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C59" lockStructure="1" lockWindows="1"/>
  <bookViews>
    <workbookView xWindow="0" yWindow="0" windowWidth="25200" windowHeight="11100"/>
  </bookViews>
  <sheets>
    <sheet name="Rekapitulace stavby" sheetId="1" r:id="rId1"/>
    <sheet name="00001 - DSO 01.1a Stoka A" sheetId="2" r:id="rId2"/>
    <sheet name="00002 - DSO 01.1b Stoka A1" sheetId="3" r:id="rId3"/>
    <sheet name="00003 - DSO 01.1c Stoka A2a" sheetId="4" r:id="rId4"/>
    <sheet name="00004 - DSO 01.1d Stoka A3" sheetId="5" r:id="rId5"/>
    <sheet name="00005 - DSO 01.1e Stoka A4" sheetId="6" r:id="rId6"/>
    <sheet name="00006 - DSO 01.1f Stoka A4a" sheetId="7" r:id="rId7"/>
    <sheet name="00007 - DSO 01.1g Stoka A4b" sheetId="8" r:id="rId8"/>
    <sheet name="Odbočení stoka A" sheetId="9" r:id="rId9"/>
    <sheet name="Odbočení stoka A1" sheetId="10" r:id="rId10"/>
    <sheet name="Odbočení stoka A2a" sheetId="11" r:id="rId11"/>
    <sheet name="Odbočení stoka A3" sheetId="12" r:id="rId12"/>
    <sheet name="Odbočení stoka A4" sheetId="13" r:id="rId13"/>
    <sheet name="Odbočení stoka A4a" sheetId="14" r:id="rId14"/>
    <sheet name="Odbočení stoka A4b" sheetId="15" r:id="rId15"/>
    <sheet name="00001 - DSO 01.3a Stoka D" sheetId="16" r:id="rId16"/>
    <sheet name="00002 - DSO 01.3b Stoka DA" sheetId="17" r:id="rId17"/>
    <sheet name="00007 - DSO 01.3g Stoka D3" sheetId="18" r:id="rId18"/>
    <sheet name="00001 - DSO 01.3.1a Kanal..." sheetId="19" r:id="rId19"/>
    <sheet name="00002 - DSO 01.3.1b Kanal..." sheetId="20" r:id="rId20"/>
    <sheet name="00007 - DSO 01.3.1g Kanal..." sheetId="21" r:id="rId21"/>
    <sheet name="0001 - DSO 02.1 Čerpací s..." sheetId="22" r:id="rId22"/>
    <sheet name="0002 - DSO 02.2 Čerpací s..." sheetId="23" r:id="rId23"/>
    <sheet name="0003 - DSO 02.3 Čerpací s..." sheetId="24" r:id="rId24"/>
    <sheet name="0001 - DSO 05.1 Čerpací s..." sheetId="25" r:id="rId25"/>
    <sheet name="0002 - DSO 05.2 Čerpací s..." sheetId="26" r:id="rId26"/>
    <sheet name="0003 - DSO 05.3 Čerpací s..." sheetId="27" r:id="rId27"/>
    <sheet name="0001 - DSO 07.1 Čerpací s..." sheetId="28" r:id="rId28"/>
    <sheet name="0002 - DSO 07.2 Čerpací s..." sheetId="29" r:id="rId29"/>
    <sheet name="0003 - DSO 07.3 Čerpací s..." sheetId="30" r:id="rId30"/>
    <sheet name="0001 - DSO 09.1 Čerpací s..." sheetId="31" r:id="rId31"/>
    <sheet name="0002 - DSO 09.2 Čerpací s..." sheetId="32" r:id="rId32"/>
    <sheet name="0003 - DSO 09.3 Čerpací s..." sheetId="33" r:id="rId33"/>
    <sheet name="0001 - DSO 11.1 Výtlak V1" sheetId="34" r:id="rId34"/>
    <sheet name="0004 - DSO 11.4 Výtlak V5" sheetId="35" r:id="rId35"/>
    <sheet name="0006 - DSO 11.6 Výtlak V8" sheetId="36" r:id="rId36"/>
    <sheet name="0008 - DSO 11.8 Výtlak V11" sheetId="37" r:id="rId37"/>
    <sheet name="0001 - DSO 12.1 Čerpací s..." sheetId="38" r:id="rId38"/>
    <sheet name="0002 - DSO 12.3 Čerpací s..." sheetId="39" r:id="rId39"/>
    <sheet name="0001 - PS Strojně-technol..." sheetId="40" r:id="rId40"/>
    <sheet name="0001 - PS 01.1 ČS1 - elek..." sheetId="41" r:id="rId41"/>
    <sheet name="0001 - PS 04.1 ČS5 - elek..." sheetId="42" r:id="rId42"/>
    <sheet name="0001 - PS 06.1 ČS8 - elek..." sheetId="43" r:id="rId43"/>
    <sheet name="0001 - PS 08.1 ČS11 - ele..." sheetId="44" r:id="rId44"/>
    <sheet name="0001 - PS 10 Domovní čerp..." sheetId="45" r:id="rId45"/>
    <sheet name="024 - PS11 Stávající čerp..." sheetId="46" r:id="rId46"/>
    <sheet name="025 - Ostatní a vedlejší ..." sheetId="47" r:id="rId47"/>
  </sheets>
  <definedNames>
    <definedName name="_xlnm._FilterDatabase" localSheetId="1" hidden="1">'00001 - DSO 01.1a Stoka A'!$C$124:$K$428</definedName>
    <definedName name="_xlnm._FilterDatabase" localSheetId="18" hidden="1">'00001 - DSO 01.3.1a Kanal...'!$C$122:$K$394</definedName>
    <definedName name="_xlnm._FilterDatabase" localSheetId="15" hidden="1">'00001 - DSO 01.3a Stoka D'!$C$124:$K$525</definedName>
    <definedName name="_xlnm._FilterDatabase" localSheetId="2" hidden="1">'00002 - DSO 01.1b Stoka A1'!$C$124:$K$414</definedName>
    <definedName name="_xlnm._FilterDatabase" localSheetId="19" hidden="1">'00002 - DSO 01.3.1b Kanal...'!$C$121:$K$353</definedName>
    <definedName name="_xlnm._FilterDatabase" localSheetId="16" hidden="1">'00002 - DSO 01.3b Stoka DA'!$C$120:$K$381</definedName>
    <definedName name="_xlnm._FilterDatabase" localSheetId="3" hidden="1">'00003 - DSO 01.1c Stoka A2a'!$C$120:$K$400</definedName>
    <definedName name="_xlnm._FilterDatabase" localSheetId="4" hidden="1">'00004 - DSO 01.1d Stoka A3'!$C$121:$K$382</definedName>
    <definedName name="_xlnm._FilterDatabase" localSheetId="5" hidden="1">'00005 - DSO 01.1e Stoka A4'!$C$124:$K$425</definedName>
    <definedName name="_xlnm._FilterDatabase" localSheetId="6" hidden="1">'00006 - DSO 01.1f Stoka A4a'!$C$120:$K$450</definedName>
    <definedName name="_xlnm._FilterDatabase" localSheetId="7" hidden="1">'00007 - DSO 01.1g Stoka A4b'!$C$120:$K$351</definedName>
    <definedName name="_xlnm._FilterDatabase" localSheetId="20" hidden="1">'00007 - DSO 01.3.1g Kanal...'!$C$121:$K$386</definedName>
    <definedName name="_xlnm._FilterDatabase" localSheetId="17" hidden="1">'00007 - DSO 01.3g Stoka D3'!$C$121:$K$435</definedName>
    <definedName name="_xlnm._FilterDatabase" localSheetId="21" hidden="1">'0001 - DSO 02.1 Čerpací s...'!$C$121:$K$325</definedName>
    <definedName name="_xlnm._FilterDatabase" localSheetId="24" hidden="1">'0001 - DSO 05.1 Čerpací s...'!$C$121:$K$311</definedName>
    <definedName name="_xlnm._FilterDatabase" localSheetId="27" hidden="1">'0001 - DSO 07.1 Čerpací s...'!$C$123:$K$313</definedName>
    <definedName name="_xlnm._FilterDatabase" localSheetId="30" hidden="1">'0001 - DSO 09.1 Čerpací s...'!$C$123:$K$319</definedName>
    <definedName name="_xlnm._FilterDatabase" localSheetId="33" hidden="1">'0001 - DSO 11.1 Výtlak V1'!$C$124:$K$358</definedName>
    <definedName name="_xlnm._FilterDatabase" localSheetId="37" hidden="1">'0001 - DSO 12.1 Čerpací s...'!$C$121:$K$407</definedName>
    <definedName name="_xlnm._FilterDatabase" localSheetId="40" hidden="1">'0001 - PS 01.1 ČS1 - elek...'!$C$132:$K$330</definedName>
    <definedName name="_xlnm._FilterDatabase" localSheetId="41" hidden="1">'0001 - PS 04.1 ČS5 - elek...'!$C$122:$K$321</definedName>
    <definedName name="_xlnm._FilterDatabase" localSheetId="42" hidden="1">'0001 - PS 06.1 ČS8 - elek...'!$C$123:$K$324</definedName>
    <definedName name="_xlnm._FilterDatabase" localSheetId="43" hidden="1">'0001 - PS 08.1 ČS11 - ele...'!$C$122:$K$321</definedName>
    <definedName name="_xlnm._FilterDatabase" localSheetId="44" hidden="1">'0001 - PS 10 Domovní čerp...'!$C$125:$K$129</definedName>
    <definedName name="_xlnm._FilterDatabase" localSheetId="39" hidden="1">'0001 - PS Strojně-technol...'!$C$125:$K$129</definedName>
    <definedName name="_xlnm._FilterDatabase" localSheetId="22" hidden="1">'0002 - DSO 02.2 Čerpací s...'!$C$125:$K$129</definedName>
    <definedName name="_xlnm._FilterDatabase" localSheetId="25" hidden="1">'0002 - DSO 05.2 Čerpací s...'!$C$125:$K$129</definedName>
    <definedName name="_xlnm._FilterDatabase" localSheetId="28" hidden="1">'0002 - DSO 07.2 Čerpací s...'!$C$125:$K$129</definedName>
    <definedName name="_xlnm._FilterDatabase" localSheetId="31" hidden="1">'0002 - DSO 09.2 Čerpací s...'!$C$125:$K$129</definedName>
    <definedName name="_xlnm._FilterDatabase" localSheetId="38" hidden="1">'0002 - DSO 12.3 Čerpací s...'!$C$127:$K$160</definedName>
    <definedName name="_xlnm._FilterDatabase" localSheetId="23" hidden="1">'0003 - DSO 02.3 Čerpací s...'!$C$128:$K$182</definedName>
    <definedName name="_xlnm._FilterDatabase" localSheetId="26" hidden="1">'0003 - DSO 05.3 Čerpací s...'!$C$118:$K$161</definedName>
    <definedName name="_xlnm._FilterDatabase" localSheetId="29" hidden="1">'0003 - DSO 07.3 Čerpací s...'!$C$118:$K$173</definedName>
    <definedName name="_xlnm._FilterDatabase" localSheetId="32" hidden="1">'0003 - DSO 09.3 Čerpací s...'!$C$118:$K$161</definedName>
    <definedName name="_xlnm._FilterDatabase" localSheetId="34" hidden="1">'0004 - DSO 11.4 Výtlak V5'!$C$120:$K$352</definedName>
    <definedName name="_xlnm._FilterDatabase" localSheetId="35" hidden="1">'0006 - DSO 11.6 Výtlak V8'!$C$124:$K$605</definedName>
    <definedName name="_xlnm._FilterDatabase" localSheetId="36" hidden="1">'0008 - DSO 11.8 Výtlak V11'!$C$120:$K$356</definedName>
    <definedName name="_xlnm._FilterDatabase" localSheetId="45" hidden="1">'024 - PS11 Stávající čerp...'!$C$113:$K$124</definedName>
    <definedName name="_xlnm._FilterDatabase" localSheetId="46" hidden="1">'025 - Ostatní a vedlejší ...'!$C$132:$K$213</definedName>
    <definedName name="_xlnm._FilterDatabase" localSheetId="8" hidden="1">'Odbočení stoka A'!$C$121:$K$392</definedName>
    <definedName name="_xlnm._FilterDatabase" localSheetId="9" hidden="1">'Odbočení stoka A1'!$C$120:$K$353</definedName>
    <definedName name="_xlnm._FilterDatabase" localSheetId="10" hidden="1">'Odbočení stoka A2a'!$C$119:$K$352</definedName>
    <definedName name="_xlnm._FilterDatabase" localSheetId="11" hidden="1">'Odbočení stoka A3'!$C$119:$K$377</definedName>
    <definedName name="_xlnm._FilterDatabase" localSheetId="12" hidden="1">'Odbočení stoka A4'!$C$120:$K$353</definedName>
    <definedName name="_xlnm._FilterDatabase" localSheetId="13" hidden="1">'Odbočení stoka A4a'!$C$120:$K$351</definedName>
    <definedName name="_xlnm._FilterDatabase" localSheetId="14" hidden="1">'Odbočení stoka A4b'!$C$120:$K$353</definedName>
    <definedName name="_xlnm.Print_Titles" localSheetId="1">'00001 - DSO 01.1a Stoka A'!$124:$124</definedName>
    <definedName name="_xlnm.Print_Titles" localSheetId="18">'00001 - DSO 01.3.1a Kanal...'!$122:$122</definedName>
    <definedName name="_xlnm.Print_Titles" localSheetId="15">'00001 - DSO 01.3a Stoka D'!$124:$124</definedName>
    <definedName name="_xlnm.Print_Titles" localSheetId="2">'00002 - DSO 01.1b Stoka A1'!$124:$124</definedName>
    <definedName name="_xlnm.Print_Titles" localSheetId="19">'00002 - DSO 01.3.1b Kanal...'!$121:$121</definedName>
    <definedName name="_xlnm.Print_Titles" localSheetId="16">'00002 - DSO 01.3b Stoka DA'!$120:$120</definedName>
    <definedName name="_xlnm.Print_Titles" localSheetId="3">'00003 - DSO 01.1c Stoka A2a'!$120:$120</definedName>
    <definedName name="_xlnm.Print_Titles" localSheetId="4">'00004 - DSO 01.1d Stoka A3'!$121:$121</definedName>
    <definedName name="_xlnm.Print_Titles" localSheetId="5">'00005 - DSO 01.1e Stoka A4'!$124:$124</definedName>
    <definedName name="_xlnm.Print_Titles" localSheetId="6">'00006 - DSO 01.1f Stoka A4a'!$120:$120</definedName>
    <definedName name="_xlnm.Print_Titles" localSheetId="7">'00007 - DSO 01.1g Stoka A4b'!$120:$120</definedName>
    <definedName name="_xlnm.Print_Titles" localSheetId="20">'00007 - DSO 01.3.1g Kanal...'!$121:$121</definedName>
    <definedName name="_xlnm.Print_Titles" localSheetId="17">'00007 - DSO 01.3g Stoka D3'!$121:$121</definedName>
    <definedName name="_xlnm.Print_Titles" localSheetId="21">'0001 - DSO 02.1 Čerpací s...'!$121:$121</definedName>
    <definedName name="_xlnm.Print_Titles" localSheetId="24">'0001 - DSO 05.1 Čerpací s...'!$121:$121</definedName>
    <definedName name="_xlnm.Print_Titles" localSheetId="27">'0001 - DSO 07.1 Čerpací s...'!$123:$123</definedName>
    <definedName name="_xlnm.Print_Titles" localSheetId="30">'0001 - DSO 09.1 Čerpací s...'!$123:$123</definedName>
    <definedName name="_xlnm.Print_Titles" localSheetId="33">'0001 - DSO 11.1 Výtlak V1'!$124:$124</definedName>
    <definedName name="_xlnm.Print_Titles" localSheetId="37">'0001 - DSO 12.1 Čerpací s...'!$121:$121</definedName>
    <definedName name="_xlnm.Print_Titles" localSheetId="40">'0001 - PS 01.1 ČS1 - elek...'!$132:$132</definedName>
    <definedName name="_xlnm.Print_Titles" localSheetId="41">'0001 - PS 04.1 ČS5 - elek...'!$122:$122</definedName>
    <definedName name="_xlnm.Print_Titles" localSheetId="42">'0001 - PS 06.1 ČS8 - elek...'!$123:$123</definedName>
    <definedName name="_xlnm.Print_Titles" localSheetId="43">'0001 - PS 08.1 ČS11 - ele...'!$122:$122</definedName>
    <definedName name="_xlnm.Print_Titles" localSheetId="44">'0001 - PS 10 Domovní čerp...'!$125:$125</definedName>
    <definedName name="_xlnm.Print_Titles" localSheetId="39">'0001 - PS Strojně-technol...'!$125:$125</definedName>
    <definedName name="_xlnm.Print_Titles" localSheetId="22">'0002 - DSO 02.2 Čerpací s...'!$125:$125</definedName>
    <definedName name="_xlnm.Print_Titles" localSheetId="25">'0002 - DSO 05.2 Čerpací s...'!$125:$125</definedName>
    <definedName name="_xlnm.Print_Titles" localSheetId="28">'0002 - DSO 07.2 Čerpací s...'!$125:$125</definedName>
    <definedName name="_xlnm.Print_Titles" localSheetId="31">'0002 - DSO 09.2 Čerpací s...'!$125:$125</definedName>
    <definedName name="_xlnm.Print_Titles" localSheetId="38">'0002 - DSO 12.3 Čerpací s...'!$127:$127</definedName>
    <definedName name="_xlnm.Print_Titles" localSheetId="23">'0003 - DSO 02.3 Čerpací s...'!$128:$128</definedName>
    <definedName name="_xlnm.Print_Titles" localSheetId="26">'0003 - DSO 05.3 Čerpací s...'!$118:$118</definedName>
    <definedName name="_xlnm.Print_Titles" localSheetId="29">'0003 - DSO 07.3 Čerpací s...'!$118:$118</definedName>
    <definedName name="_xlnm.Print_Titles" localSheetId="32">'0003 - DSO 09.3 Čerpací s...'!$118:$118</definedName>
    <definedName name="_xlnm.Print_Titles" localSheetId="34">'0004 - DSO 11.4 Výtlak V5'!$120:$120</definedName>
    <definedName name="_xlnm.Print_Titles" localSheetId="35">'0006 - DSO 11.6 Výtlak V8'!$124:$124</definedName>
    <definedName name="_xlnm.Print_Titles" localSheetId="36">'0008 - DSO 11.8 Výtlak V11'!$120:$120</definedName>
    <definedName name="_xlnm.Print_Titles" localSheetId="45">'024 - PS11 Stávající čerp...'!$113:$113</definedName>
    <definedName name="_xlnm.Print_Titles" localSheetId="46">'025 - Ostatní a vedlejší ...'!$132:$132</definedName>
    <definedName name="_xlnm.Print_Titles" localSheetId="8">'Odbočení stoka A'!$121:$121</definedName>
    <definedName name="_xlnm.Print_Titles" localSheetId="9">'Odbočení stoka A1'!$120:$120</definedName>
    <definedName name="_xlnm.Print_Titles" localSheetId="10">'Odbočení stoka A2a'!$119:$119</definedName>
    <definedName name="_xlnm.Print_Titles" localSheetId="11">'Odbočení stoka A3'!$119:$119</definedName>
    <definedName name="_xlnm.Print_Titles" localSheetId="12">'Odbočení stoka A4'!$120:$120</definedName>
    <definedName name="_xlnm.Print_Titles" localSheetId="13">'Odbočení stoka A4a'!$120:$120</definedName>
    <definedName name="_xlnm.Print_Titles" localSheetId="14">'Odbočení stoka A4b'!$120:$120</definedName>
    <definedName name="_xlnm.Print_Titles" localSheetId="0">'Rekapitulace stavby'!$84:$84</definedName>
    <definedName name="_xlnm.Print_Area" localSheetId="1">'00001 - DSO 01.1a Stoka A'!$C$4:$J$75,'00001 - DSO 01.1a Stoka A'!$C$81:$J$109,'00001 - DSO 01.1a Stoka A'!$C$115:$K$428</definedName>
    <definedName name="_xlnm.Print_Area" localSheetId="18">'00001 - DSO 01.3.1a Kanal...'!$C$4:$J$75,'00001 - DSO 01.3.1a Kanal...'!$C$81:$J$109,'00001 - DSO 01.3.1a Kanal...'!$C$115:$K$394</definedName>
    <definedName name="_xlnm.Print_Area" localSheetId="15">'00001 - DSO 01.3a Stoka D'!$C$4:$J$75,'00001 - DSO 01.3a Stoka D'!$C$81:$J$109,'00001 - DSO 01.3a Stoka D'!$C$115:$K$525</definedName>
    <definedName name="_xlnm.Print_Area" localSheetId="2">'00002 - DSO 01.1b Stoka A1'!$C$4:$J$75,'00002 - DSO 01.1b Stoka A1'!$C$81:$J$109,'00002 - DSO 01.1b Stoka A1'!$C$115:$K$414</definedName>
    <definedName name="_xlnm.Print_Area" localSheetId="19">'00002 - DSO 01.3.1b Kanal...'!$C$4:$J$75,'00002 - DSO 01.3.1b Kanal...'!$C$81:$J$108,'00002 - DSO 01.3.1b Kanal...'!$C$114:$K$353</definedName>
    <definedName name="_xlnm.Print_Area" localSheetId="16">'00002 - DSO 01.3b Stoka DA'!$C$4:$J$75,'00002 - DSO 01.3b Stoka DA'!$C$81:$J$109,'00002 - DSO 01.3b Stoka DA'!$C$115:$K$381</definedName>
    <definedName name="_xlnm.Print_Area" localSheetId="3">'00003 - DSO 01.1c Stoka A2a'!$C$4:$J$75,'00003 - DSO 01.1c Stoka A2a'!$C$81:$J$109,'00003 - DSO 01.1c Stoka A2a'!$C$115:$K$400</definedName>
    <definedName name="_xlnm.Print_Area" localSheetId="4">'00004 - DSO 01.1d Stoka A3'!$C$4:$J$75,'00004 - DSO 01.1d Stoka A3'!$C$81:$J$109,'00004 - DSO 01.1d Stoka A3'!$C$115:$K$382</definedName>
    <definedName name="_xlnm.Print_Area" localSheetId="5">'00005 - DSO 01.1e Stoka A4'!$C$4:$J$75,'00005 - DSO 01.1e Stoka A4'!$C$81:$J$109,'00005 - DSO 01.1e Stoka A4'!$C$115:$K$425</definedName>
    <definedName name="_xlnm.Print_Area" localSheetId="6">'00006 - DSO 01.1f Stoka A4a'!$C$4:$J$75,'00006 - DSO 01.1f Stoka A4a'!$C$81:$J$109,'00006 - DSO 01.1f Stoka A4a'!$C$115:$K$450</definedName>
    <definedName name="_xlnm.Print_Area" localSheetId="7">'00007 - DSO 01.1g Stoka A4b'!$C$4:$J$75,'00007 - DSO 01.1g Stoka A4b'!$C$81:$J$109,'00007 - DSO 01.1g Stoka A4b'!$C$115:$K$351</definedName>
    <definedName name="_xlnm.Print_Area" localSheetId="20">'00007 - DSO 01.3.1g Kanal...'!$C$4:$J$75,'00007 - DSO 01.3.1g Kanal...'!$C$81:$J$109,'00007 - DSO 01.3.1g Kanal...'!$C$115:$K$386</definedName>
    <definedName name="_xlnm.Print_Area" localSheetId="17">'00007 - DSO 01.3g Stoka D3'!$C$4:$J$75,'00007 - DSO 01.3g Stoka D3'!$C$81:$J$109,'00007 - DSO 01.3g Stoka D3'!$C$115:$K$435</definedName>
    <definedName name="_xlnm.Print_Area" localSheetId="21">'0001 - DSO 02.1 Čerpací s...'!$C$4:$J$76,'0001 - DSO 02.1 Čerpací s...'!$C$82:$J$109,'0001 - DSO 02.1 Čerpací s...'!$C$115:$K$325</definedName>
    <definedName name="_xlnm.Print_Area" localSheetId="24">'0001 - DSO 05.1 Čerpací s...'!$C$4:$J$76,'0001 - DSO 05.1 Čerpací s...'!$C$82:$J$109,'0001 - DSO 05.1 Čerpací s...'!$C$115:$K$311</definedName>
    <definedName name="_xlnm.Print_Area" localSheetId="27">'0001 - DSO 07.1 Čerpací s...'!$C$4:$J$76,'0001 - DSO 07.1 Čerpací s...'!$C$82:$J$109,'0001 - DSO 07.1 Čerpací s...'!$C$115:$K$313</definedName>
    <definedName name="_xlnm.Print_Area" localSheetId="30">'0001 - DSO 09.1 Čerpací s...'!$C$4:$J$76,'0001 - DSO 09.1 Čerpací s...'!$C$82:$J$109,'0001 - DSO 09.1 Čerpací s...'!$C$115:$K$319</definedName>
    <definedName name="_xlnm.Print_Area" localSheetId="33">'0001 - DSO 11.1 Výtlak V1'!$C$4:$J$75,'0001 - DSO 11.1 Výtlak V1'!$C$81:$J$109,'0001 - DSO 11.1 Výtlak V1'!$C$115:$K$358</definedName>
    <definedName name="_xlnm.Print_Area" localSheetId="37">'0001 - DSO 12.1 Čerpací s...'!$C$4:$J$76,'0001 - DSO 12.1 Čerpací s...'!$C$82:$J$110,'0001 - DSO 12.1 Čerpací s...'!$C$116:$K$407</definedName>
    <definedName name="_xlnm.Print_Area" localSheetId="40">'0001 - PS 01.1 ČS1 - elek...'!$C$4:$J$76,'0001 - PS 01.1 ČS1 - elek...'!$C$82:$J$110,'0001 - PS 01.1 ČS1 - elek...'!$C$116:$K$330</definedName>
    <definedName name="_xlnm.Print_Area" localSheetId="41">'0001 - PS 04.1 ČS5 - elek...'!$C$4:$J$76,'0001 - PS 04.1 ČS5 - elek...'!$C$82:$J$110,'0001 - PS 04.1 ČS5 - elek...'!$C$116:$K$321</definedName>
    <definedName name="_xlnm.Print_Area" localSheetId="42">'0001 - PS 06.1 ČS8 - elek...'!$C$4:$J$76,'0001 - PS 06.1 ČS8 - elek...'!$C$82:$J$110,'0001 - PS 06.1 ČS8 - elek...'!$C$116:$K$324</definedName>
    <definedName name="_xlnm.Print_Area" localSheetId="43">'0001 - PS 08.1 ČS11 - ele...'!$C$4:$J$76,'0001 - PS 08.1 ČS11 - ele...'!$C$82:$J$110,'0001 - PS 08.1 ČS11 - ele...'!$C$116:$K$321</definedName>
    <definedName name="_xlnm.Print_Area" localSheetId="44">'0001 - PS 10 Domovní čerp...'!$C$4:$J$76,'0001 - PS 10 Domovní čerp...'!$C$82:$J$103,'0001 - PS 10 Domovní čerp...'!$C$109:$K$129</definedName>
    <definedName name="_xlnm.Print_Area" localSheetId="39">'0001 - PS Strojně-technol...'!$C$4:$J$76,'0001 - PS Strojně-technol...'!$C$82:$J$103,'0001 - PS Strojně-technol...'!$C$109:$K$129</definedName>
    <definedName name="_xlnm.Print_Area" localSheetId="22">'0002 - DSO 02.2 Čerpací s...'!$C$4:$J$76,'0002 - DSO 02.2 Čerpací s...'!$C$82:$J$103,'0002 - DSO 02.2 Čerpací s...'!$C$109:$K$129</definedName>
    <definedName name="_xlnm.Print_Area" localSheetId="25">'0002 - DSO 05.2 Čerpací s...'!$C$4:$J$76,'0002 - DSO 05.2 Čerpací s...'!$C$82:$J$103,'0002 - DSO 05.2 Čerpací s...'!$C$109:$K$129</definedName>
    <definedName name="_xlnm.Print_Area" localSheetId="28">'0002 - DSO 07.2 Čerpací s...'!$C$4:$J$76,'0002 - DSO 07.2 Čerpací s...'!$C$82:$J$103,'0002 - DSO 07.2 Čerpací s...'!$C$109:$K$129</definedName>
    <definedName name="_xlnm.Print_Area" localSheetId="31">'0002 - DSO 09.2 Čerpací s...'!$C$4:$J$76,'0002 - DSO 09.2 Čerpací s...'!$C$82:$J$103,'0002 - DSO 09.2 Čerpací s...'!$C$109:$K$129</definedName>
    <definedName name="_xlnm.Print_Area" localSheetId="38">'0002 - DSO 12.3 Čerpací s...'!$C$4:$J$76,'0002 - DSO 12.3 Čerpací s...'!$C$82:$J$105,'0002 - DSO 12.3 Čerpací s...'!$C$111:$K$160</definedName>
    <definedName name="_xlnm.Print_Area" localSheetId="23">'0003 - DSO 02.3 Čerpací s...'!$C$4:$J$76,'0003 - DSO 02.3 Čerpací s...'!$C$82:$J$106,'0003 - DSO 02.3 Čerpací s...'!$C$112:$K$182</definedName>
    <definedName name="_xlnm.Print_Area" localSheetId="26">'0003 - DSO 05.3 Čerpací s...'!$C$4:$J$76,'0003 - DSO 05.3 Čerpací s...'!$C$82:$J$106,'0003 - DSO 05.3 Čerpací s...'!$C$112:$K$161</definedName>
    <definedName name="_xlnm.Print_Area" localSheetId="29">'0003 - DSO 07.3 Čerpací s...'!$C$4:$J$76,'0003 - DSO 07.3 Čerpací s...'!$C$82:$J$106,'0003 - DSO 07.3 Čerpací s...'!$C$112:$K$173</definedName>
    <definedName name="_xlnm.Print_Area" localSheetId="32">'0003 - DSO 09.3 Čerpací s...'!$C$4:$J$76,'0003 - DSO 09.3 Čerpací s...'!$C$82:$J$106,'0003 - DSO 09.3 Čerpací s...'!$C$112:$K$161</definedName>
    <definedName name="_xlnm.Print_Area" localSheetId="34">'0004 - DSO 11.4 Výtlak V5'!$C$4:$J$75,'0004 - DSO 11.4 Výtlak V5'!$C$81:$J$109,'0004 - DSO 11.4 Výtlak V5'!$C$115:$K$352</definedName>
    <definedName name="_xlnm.Print_Area" localSheetId="35">'0006 - DSO 11.6 Výtlak V8'!$C$4:$J$75,'0006 - DSO 11.6 Výtlak V8'!$C$81:$J$109,'0006 - DSO 11.6 Výtlak V8'!$C$115:$K$605</definedName>
    <definedName name="_xlnm.Print_Area" localSheetId="36">'0008 - DSO 11.8 Výtlak V11'!$C$4:$J$75,'0008 - DSO 11.8 Výtlak V11'!$C$81:$J$109,'0008 - DSO 11.8 Výtlak V11'!$C$115:$K$356</definedName>
    <definedName name="_xlnm.Print_Area" localSheetId="45">'024 - PS11 Stávající čerp...'!$C$4:$J$76,'024 - PS11 Stávající čerp...'!$C$82:$J$101,'024 - PS11 Stávající čerp...'!$C$107:$K$124</definedName>
    <definedName name="_xlnm.Print_Area" localSheetId="46">'025 - Ostatní a vedlejší ...'!$C$4:$J$76,'025 - Ostatní a vedlejší ...'!$C$82:$J$121,'025 - Ostatní a vedlejší ...'!$C$127:$K$213</definedName>
    <definedName name="_xlnm.Print_Area" localSheetId="8">'Odbočení stoka A'!$C$4:$J$75,'Odbočení stoka A'!$C$81:$J$109,'Odbočení stoka A'!$C$115:$K$392</definedName>
    <definedName name="_xlnm.Print_Area" localSheetId="9">'Odbočení stoka A1'!$C$4:$J$75,'Odbočení stoka A1'!$C$81:$J$108,'Odbočení stoka A1'!$C$114:$K$353</definedName>
    <definedName name="_xlnm.Print_Area" localSheetId="10">'Odbočení stoka A2a'!$C$4:$J$75,'Odbočení stoka A2a'!$C$81:$J$108,'Odbočení stoka A2a'!$C$114:$K$352</definedName>
    <definedName name="_xlnm.Print_Area" localSheetId="11">'Odbočení stoka A3'!$C$4:$J$75,'Odbočení stoka A3'!$C$81:$J$108,'Odbočení stoka A3'!$C$114:$K$377</definedName>
    <definedName name="_xlnm.Print_Area" localSheetId="12">'Odbočení stoka A4'!$C$4:$J$75,'Odbočení stoka A4'!$C$81:$J$108,'Odbočení stoka A4'!$C$114:$K$353</definedName>
    <definedName name="_xlnm.Print_Area" localSheetId="13">'Odbočení stoka A4a'!$C$4:$J$75,'Odbočení stoka A4a'!$C$81:$J$108,'Odbočení stoka A4a'!$C$114:$K$351</definedName>
    <definedName name="_xlnm.Print_Area" localSheetId="14">'Odbočení stoka A4b'!$C$4:$J$75,'Odbočení stoka A4b'!$C$81:$J$108,'Odbočení stoka A4b'!$C$114:$K$353</definedName>
    <definedName name="_xlnm.Print_Area" localSheetId="0">'Rekapitulace stavby'!$D$4:$AO$76,'Rekapitulace stavby'!$C$82:$AX$151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06" i="38" l="1"/>
  <c r="N404" i="38" s="1"/>
  <c r="N405" i="38"/>
  <c r="N402" i="38"/>
  <c r="N400" i="38" s="1"/>
  <c r="N401" i="38"/>
  <c r="N399" i="38"/>
  <c r="N397" i="38" s="1"/>
  <c r="N398" i="38"/>
  <c r="N390" i="38"/>
  <c r="N391" i="38" s="1"/>
  <c r="N389" i="38" s="1"/>
  <c r="N385" i="38"/>
  <c r="N386" i="38" s="1"/>
  <c r="N384" i="38" s="1"/>
  <c r="N395" i="38" s="1"/>
  <c r="N355" i="37"/>
  <c r="N353" i="37" s="1"/>
  <c r="N354" i="37"/>
  <c r="N350" i="37"/>
  <c r="N351" i="37" s="1"/>
  <c r="N349" i="37" s="1"/>
  <c r="N347" i="37"/>
  <c r="N348" i="37" s="1"/>
  <c r="N346" i="37" s="1"/>
  <c r="N339" i="37"/>
  <c r="N340" i="37" s="1"/>
  <c r="N338" i="37" s="1"/>
  <c r="N334" i="37"/>
  <c r="N335" i="37" s="1"/>
  <c r="N333" i="37" s="1"/>
  <c r="N344" i="37" s="1"/>
  <c r="N604" i="36"/>
  <c r="N602" i="36" s="1"/>
  <c r="N603" i="36"/>
  <c r="N599" i="36"/>
  <c r="N600" i="36" s="1"/>
  <c r="N598" i="36" s="1"/>
  <c r="N596" i="36"/>
  <c r="N597" i="36" s="1"/>
  <c r="N595" i="36" s="1"/>
  <c r="N588" i="36"/>
  <c r="N589" i="36" s="1"/>
  <c r="N587" i="36" s="1"/>
  <c r="N583" i="36"/>
  <c r="N584" i="36" s="1"/>
  <c r="N582" i="36" s="1"/>
  <c r="N593" i="36" s="1"/>
  <c r="N351" i="35"/>
  <c r="N349" i="35" s="1"/>
  <c r="N350" i="35"/>
  <c r="N346" i="35"/>
  <c r="N347" i="35" s="1"/>
  <c r="N345" i="35" s="1"/>
  <c r="N343" i="35"/>
  <c r="N344" i="35" s="1"/>
  <c r="N342" i="35" s="1"/>
  <c r="N335" i="35"/>
  <c r="N336" i="35" s="1"/>
  <c r="N334" i="35" s="1"/>
  <c r="N330" i="35"/>
  <c r="N331" i="35" s="1"/>
  <c r="N329" i="35" s="1"/>
  <c r="N340" i="35" s="1"/>
  <c r="N357" i="34"/>
  <c r="N355" i="34" s="1"/>
  <c r="N356" i="34"/>
  <c r="N352" i="34"/>
  <c r="N353" i="34" s="1"/>
  <c r="N351" i="34" s="1"/>
  <c r="N349" i="34"/>
  <c r="N350" i="34" s="1"/>
  <c r="N348" i="34" s="1"/>
  <c r="N341" i="34"/>
  <c r="N342" i="34" s="1"/>
  <c r="N340" i="34" s="1"/>
  <c r="N336" i="34"/>
  <c r="N337" i="34" s="1"/>
  <c r="N335" i="34" s="1"/>
  <c r="N346" i="34" s="1"/>
  <c r="N385" i="21"/>
  <c r="N383" i="21" s="1"/>
  <c r="N384" i="21"/>
  <c r="N380" i="21"/>
  <c r="N381" i="21" s="1"/>
  <c r="N379" i="21" s="1"/>
  <c r="N377" i="21"/>
  <c r="N378" i="21" s="1"/>
  <c r="N376" i="21" s="1"/>
  <c r="N369" i="21"/>
  <c r="N370" i="21" s="1"/>
  <c r="N368" i="21" s="1"/>
  <c r="N364" i="21"/>
  <c r="N365" i="21" s="1"/>
  <c r="N363" i="21" s="1"/>
  <c r="N374" i="21" s="1"/>
  <c r="N352" i="20"/>
  <c r="N350" i="20" s="1"/>
  <c r="N351" i="20"/>
  <c r="N347" i="20"/>
  <c r="N348" i="20" s="1"/>
  <c r="N346" i="20" s="1"/>
  <c r="N344" i="20"/>
  <c r="N345" i="20" s="1"/>
  <c r="N343" i="20" s="1"/>
  <c r="N336" i="20"/>
  <c r="N337" i="20" s="1"/>
  <c r="N335" i="20" s="1"/>
  <c r="N331" i="20"/>
  <c r="N332" i="20" s="1"/>
  <c r="N330" i="20" s="1"/>
  <c r="N341" i="20" s="1"/>
  <c r="N393" i="19"/>
  <c r="N391" i="19" s="1"/>
  <c r="N392" i="19"/>
  <c r="N388" i="19"/>
  <c r="N389" i="19" s="1"/>
  <c r="N387" i="19" s="1"/>
  <c r="N385" i="19"/>
  <c r="N386" i="19" s="1"/>
  <c r="N384" i="19" s="1"/>
  <c r="N377" i="19"/>
  <c r="N378" i="19" s="1"/>
  <c r="N376" i="19" s="1"/>
  <c r="N372" i="19"/>
  <c r="N373" i="19" s="1"/>
  <c r="N371" i="19" s="1"/>
  <c r="N382" i="19" s="1"/>
  <c r="N434" i="18"/>
  <c r="N432" i="18" s="1"/>
  <c r="N433" i="18"/>
  <c r="N429" i="18"/>
  <c r="N430" i="18" s="1"/>
  <c r="N428" i="18" s="1"/>
  <c r="N426" i="18"/>
  <c r="N427" i="18" s="1"/>
  <c r="N425" i="18" s="1"/>
  <c r="N418" i="18"/>
  <c r="N419" i="18" s="1"/>
  <c r="N417" i="18" s="1"/>
  <c r="N413" i="18"/>
  <c r="N414" i="18" s="1"/>
  <c r="N412" i="18" s="1"/>
  <c r="N423" i="18" s="1"/>
  <c r="N380" i="17"/>
  <c r="N378" i="17" s="1"/>
  <c r="N379" i="17"/>
  <c r="N375" i="17"/>
  <c r="N376" i="17" s="1"/>
  <c r="N374" i="17" s="1"/>
  <c r="N372" i="17"/>
  <c r="N373" i="17" s="1"/>
  <c r="N371" i="17" s="1"/>
  <c r="N364" i="17"/>
  <c r="N365" i="17" s="1"/>
  <c r="N363" i="17" s="1"/>
  <c r="N359" i="17"/>
  <c r="N360" i="17" s="1"/>
  <c r="N358" i="17" s="1"/>
  <c r="N369" i="17" s="1"/>
  <c r="N524" i="16"/>
  <c r="N522" i="16" s="1"/>
  <c r="N523" i="16"/>
  <c r="N519" i="16"/>
  <c r="N520" i="16" s="1"/>
  <c r="N518" i="16" s="1"/>
  <c r="N516" i="16"/>
  <c r="N517" i="16" s="1"/>
  <c r="N515" i="16" s="1"/>
  <c r="N508" i="16"/>
  <c r="N509" i="16" s="1"/>
  <c r="N507" i="16" s="1"/>
  <c r="N503" i="16"/>
  <c r="N504" i="16" s="1"/>
  <c r="N502" i="16" s="1"/>
  <c r="N513" i="16" s="1"/>
  <c r="N352" i="15"/>
  <c r="N350" i="15" s="1"/>
  <c r="N351" i="15"/>
  <c r="N347" i="15"/>
  <c r="N348" i="15" s="1"/>
  <c r="N346" i="15" s="1"/>
  <c r="N344" i="15"/>
  <c r="N345" i="15" s="1"/>
  <c r="N343" i="15" s="1"/>
  <c r="N336" i="15"/>
  <c r="N337" i="15" s="1"/>
  <c r="N335" i="15" s="1"/>
  <c r="N331" i="15"/>
  <c r="N332" i="15" s="1"/>
  <c r="N330" i="15" s="1"/>
  <c r="N341" i="15" s="1"/>
  <c r="N350" i="14"/>
  <c r="N348" i="14" s="1"/>
  <c r="N349" i="14"/>
  <c r="N345" i="14"/>
  <c r="N346" i="14" s="1"/>
  <c r="N344" i="14" s="1"/>
  <c r="N342" i="14"/>
  <c r="N343" i="14" s="1"/>
  <c r="N341" i="14" s="1"/>
  <c r="N334" i="14"/>
  <c r="N335" i="14" s="1"/>
  <c r="N333" i="14" s="1"/>
  <c r="N329" i="14"/>
  <c r="N330" i="14" s="1"/>
  <c r="N328" i="14" s="1"/>
  <c r="N339" i="14" s="1"/>
  <c r="N352" i="13"/>
  <c r="N350" i="13" s="1"/>
  <c r="N351" i="13"/>
  <c r="N347" i="13"/>
  <c r="N348" i="13" s="1"/>
  <c r="N346" i="13" s="1"/>
  <c r="N344" i="13"/>
  <c r="N345" i="13" s="1"/>
  <c r="N343" i="13" s="1"/>
  <c r="N336" i="13"/>
  <c r="N337" i="13" s="1"/>
  <c r="N335" i="13" s="1"/>
  <c r="N331" i="13"/>
  <c r="N332" i="13" s="1"/>
  <c r="N330" i="13" s="1"/>
  <c r="N341" i="13" s="1"/>
  <c r="N376" i="12"/>
  <c r="N374" i="12" s="1"/>
  <c r="N375" i="12"/>
  <c r="N371" i="12"/>
  <c r="N372" i="12" s="1"/>
  <c r="N370" i="12" s="1"/>
  <c r="N368" i="12"/>
  <c r="N369" i="12" s="1"/>
  <c r="N367" i="12" s="1"/>
  <c r="N360" i="12"/>
  <c r="N361" i="12" s="1"/>
  <c r="N359" i="12" s="1"/>
  <c r="N355" i="12"/>
  <c r="N356" i="12" s="1"/>
  <c r="N354" i="12" s="1"/>
  <c r="N365" i="12" s="1"/>
  <c r="N351" i="11"/>
  <c r="N349" i="11" s="1"/>
  <c r="N350" i="11"/>
  <c r="N346" i="11"/>
  <c r="N347" i="11" s="1"/>
  <c r="N345" i="11" s="1"/>
  <c r="N343" i="11"/>
  <c r="N344" i="11" s="1"/>
  <c r="N342" i="11" s="1"/>
  <c r="N336" i="11"/>
  <c r="N337" i="11" s="1"/>
  <c r="N334" i="11" s="1"/>
  <c r="N330" i="11"/>
  <c r="N331" i="11" s="1"/>
  <c r="N329" i="11" s="1"/>
  <c r="N340" i="11" s="1"/>
  <c r="N352" i="10"/>
  <c r="N350" i="10" s="1"/>
  <c r="N351" i="10"/>
  <c r="N347" i="10"/>
  <c r="N348" i="10" s="1"/>
  <c r="N346" i="10" s="1"/>
  <c r="N344" i="10"/>
  <c r="N345" i="10" s="1"/>
  <c r="N343" i="10" s="1"/>
  <c r="N336" i="10"/>
  <c r="N337" i="10" s="1"/>
  <c r="N335" i="10" s="1"/>
  <c r="N331" i="10"/>
  <c r="N332" i="10" s="1"/>
  <c r="N330" i="10" s="1"/>
  <c r="N341" i="10" s="1"/>
  <c r="N391" i="9"/>
  <c r="N389" i="9" s="1"/>
  <c r="N390" i="9"/>
  <c r="N386" i="9"/>
  <c r="N387" i="9" s="1"/>
  <c r="N385" i="9" s="1"/>
  <c r="N383" i="9"/>
  <c r="N384" i="9" s="1"/>
  <c r="N382" i="9" s="1"/>
  <c r="N380" i="9"/>
  <c r="N377" i="9"/>
  <c r="N378" i="9" s="1"/>
  <c r="N374" i="9" s="1"/>
  <c r="N370" i="9"/>
  <c r="N371" i="9" s="1"/>
  <c r="N369" i="9" s="1"/>
  <c r="N350" i="8"/>
  <c r="N348" i="8" s="1"/>
  <c r="N349" i="8"/>
  <c r="N345" i="8"/>
  <c r="N346" i="8" s="1"/>
  <c r="N344" i="8" s="1"/>
  <c r="N342" i="8"/>
  <c r="N343" i="8" s="1"/>
  <c r="N341" i="8" s="1"/>
  <c r="N335" i="8"/>
  <c r="N336" i="8" s="1"/>
  <c r="N333" i="8" s="1"/>
  <c r="N330" i="8"/>
  <c r="N331" i="8" s="1"/>
  <c r="N328" i="8" s="1"/>
  <c r="N339" i="8" s="1"/>
  <c r="N449" i="7"/>
  <c r="N447" i="7" s="1"/>
  <c r="N448" i="7"/>
  <c r="N444" i="7"/>
  <c r="N445" i="7" s="1"/>
  <c r="N443" i="7" s="1"/>
  <c r="N441" i="7"/>
  <c r="N442" i="7" s="1"/>
  <c r="N440" i="7" s="1"/>
  <c r="N435" i="7"/>
  <c r="N436" i="7" s="1"/>
  <c r="N432" i="7" s="1"/>
  <c r="N429" i="7"/>
  <c r="N430" i="7" s="1"/>
  <c r="N427" i="7" s="1"/>
  <c r="N438" i="7" s="1"/>
  <c r="N424" i="6"/>
  <c r="N422" i="6" s="1"/>
  <c r="N423" i="6"/>
  <c r="N419" i="6"/>
  <c r="N420" i="6" s="1"/>
  <c r="N418" i="6" s="1"/>
  <c r="N416" i="6"/>
  <c r="N417" i="6" s="1"/>
  <c r="N415" i="6" s="1"/>
  <c r="N409" i="6"/>
  <c r="N410" i="6" s="1"/>
  <c r="N407" i="6" s="1"/>
  <c r="N404" i="6"/>
  <c r="N405" i="6" s="1"/>
  <c r="N402" i="6" s="1"/>
  <c r="N413" i="6" s="1"/>
  <c r="N381" i="5"/>
  <c r="N379" i="5" s="1"/>
  <c r="N380" i="5"/>
  <c r="N376" i="5"/>
  <c r="N377" i="5" s="1"/>
  <c r="N374" i="5" s="1"/>
  <c r="N372" i="5"/>
  <c r="N373" i="5" s="1"/>
  <c r="N370" i="5" s="1"/>
  <c r="N364" i="5"/>
  <c r="N365" i="5" s="1"/>
  <c r="N362" i="5" s="1"/>
  <c r="N359" i="5"/>
  <c r="N360" i="5" s="1"/>
  <c r="N357" i="5" s="1"/>
  <c r="N368" i="5" s="1"/>
  <c r="N399" i="4"/>
  <c r="N397" i="4" s="1"/>
  <c r="N398" i="4"/>
  <c r="N394" i="4"/>
  <c r="N395" i="4" s="1"/>
  <c r="N392" i="4" s="1"/>
  <c r="N390" i="4"/>
  <c r="N391" i="4" s="1"/>
  <c r="N388" i="4" s="1"/>
  <c r="N383" i="4"/>
  <c r="N384" i="4" s="1"/>
  <c r="N380" i="4" s="1"/>
  <c r="N377" i="4"/>
  <c r="N378" i="4" s="1"/>
  <c r="N375" i="4" s="1"/>
  <c r="N386" i="4" s="1"/>
  <c r="N413" i="3"/>
  <c r="N411" i="3" s="1"/>
  <c r="N412" i="3"/>
  <c r="N408" i="3"/>
  <c r="N409" i="3" s="1"/>
  <c r="N406" i="3" s="1"/>
  <c r="N404" i="3"/>
  <c r="N405" i="3" s="1"/>
  <c r="N402" i="3" s="1"/>
  <c r="N400" i="3"/>
  <c r="N398" i="3"/>
  <c r="N399" i="3" s="1"/>
  <c r="N394" i="3" s="1"/>
  <c r="N391" i="3"/>
  <c r="N393" i="3" s="1"/>
  <c r="N389" i="3" s="1"/>
  <c r="N428" i="2"/>
  <c r="N425" i="2" s="1"/>
  <c r="N427" i="2"/>
  <c r="N422" i="2"/>
  <c r="N423" i="2" s="1"/>
  <c r="N420" i="2" s="1"/>
  <c r="N418" i="2"/>
  <c r="N419" i="2" s="1"/>
  <c r="N416" i="2" s="1"/>
  <c r="N414" i="2"/>
  <c r="N410" i="2"/>
  <c r="N411" i="2" s="1"/>
  <c r="N408" i="2" s="1"/>
  <c r="N405" i="2"/>
  <c r="N406" i="2" s="1"/>
  <c r="N403" i="2" s="1"/>
  <c r="N367" i="38" l="1"/>
  <c r="N368" i="38" s="1"/>
  <c r="N364" i="38" s="1"/>
  <c r="N355" i="38"/>
  <c r="N369" i="38" s="1"/>
  <c r="N346" i="38"/>
  <c r="N348" i="38"/>
  <c r="N342" i="38"/>
  <c r="N345" i="38"/>
  <c r="N296" i="38"/>
  <c r="N294" i="38" s="1"/>
  <c r="N271" i="38"/>
  <c r="N272" i="38" s="1"/>
  <c r="N269" i="38"/>
  <c r="N261" i="38"/>
  <c r="N259" i="38"/>
  <c r="N258" i="38"/>
  <c r="N256" i="38"/>
  <c r="N254" i="38"/>
  <c r="N327" i="38"/>
  <c r="N323" i="38" s="1"/>
  <c r="N326" i="38"/>
  <c r="N292" i="38"/>
  <c r="N293" i="38" s="1"/>
  <c r="N286" i="38" s="1"/>
  <c r="N284" i="38" s="1"/>
  <c r="N291" i="38"/>
  <c r="N290" i="38"/>
  <c r="N283" i="38"/>
  <c r="N281" i="38" s="1"/>
  <c r="N279" i="38"/>
  <c r="N252" i="38" s="1"/>
  <c r="N250" i="38"/>
  <c r="N248" i="38"/>
  <c r="N262" i="38" s="1"/>
  <c r="N263" i="38" s="1"/>
  <c r="N245" i="38" s="1"/>
  <c r="N241" i="38"/>
  <c r="N242" i="38" s="1"/>
  <c r="N243" i="38" s="1"/>
  <c r="N244" i="38" s="1"/>
  <c r="N236" i="38" s="1"/>
  <c r="N232" i="38"/>
  <c r="N234" i="38" s="1"/>
  <c r="N235" i="38" s="1"/>
  <c r="N229" i="38" s="1"/>
  <c r="N225" i="38"/>
  <c r="N226" i="38" s="1"/>
  <c r="N223" i="38"/>
  <c r="N227" i="38" s="1"/>
  <c r="N228" i="38" s="1"/>
  <c r="N219" i="38" s="1"/>
  <c r="N222" i="38"/>
  <c r="N161" i="38"/>
  <c r="N163" i="38" s="1"/>
  <c r="N164" i="38" s="1"/>
  <c r="N157" i="38" s="1"/>
  <c r="N214" i="38"/>
  <c r="N215" i="38" s="1"/>
  <c r="N212" i="38" s="1"/>
  <c r="N207" i="38"/>
  <c r="N205" i="38"/>
  <c r="N203" i="38"/>
  <c r="N208" i="38" s="1"/>
  <c r="N209" i="38" s="1"/>
  <c r="N200" i="38" s="1"/>
  <c r="N196" i="38"/>
  <c r="N197" i="38" s="1"/>
  <c r="N193" i="38" s="1"/>
  <c r="N198" i="38" s="1"/>
  <c r="N191" i="38"/>
  <c r="N181" i="38"/>
  <c r="N179" i="38"/>
  <c r="N142" i="38"/>
  <c r="N134" i="38"/>
  <c r="N129" i="38"/>
  <c r="N273" i="38" l="1"/>
  <c r="N274" i="38" s="1"/>
  <c r="N275" i="38" s="1"/>
  <c r="N264" i="38" s="1"/>
  <c r="N280" i="38"/>
  <c r="N276" i="38" s="1"/>
  <c r="N192" i="38"/>
  <c r="N188" i="38" s="1"/>
  <c r="N182" i="38"/>
  <c r="N183" i="38" s="1"/>
  <c r="N184" i="38" s="1"/>
  <c r="N175" i="38" s="1"/>
  <c r="N185" i="38" s="1"/>
  <c r="N143" i="38"/>
  <c r="N138" i="38" s="1"/>
  <c r="N136" i="38" s="1"/>
  <c r="N329" i="38" s="1"/>
  <c r="N135" i="38"/>
  <c r="N131" i="38" s="1"/>
  <c r="N130" i="38"/>
  <c r="N126" i="38" s="1"/>
  <c r="N304" i="21"/>
  <c r="N328" i="21" s="1"/>
  <c r="N307" i="21"/>
  <c r="N259" i="21"/>
  <c r="N261" i="21"/>
  <c r="N238" i="21"/>
  <c r="N239" i="21" s="1"/>
  <c r="N236" i="21"/>
  <c r="N240" i="21" s="1"/>
  <c r="N241" i="21" s="1"/>
  <c r="N242" i="21" s="1"/>
  <c r="N231" i="21" s="1"/>
  <c r="N228" i="21"/>
  <c r="N226" i="21"/>
  <c r="N225" i="21"/>
  <c r="N288" i="21"/>
  <c r="N286" i="21"/>
  <c r="N289" i="21" s="1"/>
  <c r="N279" i="21"/>
  <c r="N277" i="21"/>
  <c r="N280" i="21" s="1"/>
  <c r="N281" i="21" s="1"/>
  <c r="N273" i="21" s="1"/>
  <c r="N272" i="21"/>
  <c r="N268" i="21" s="1"/>
  <c r="N271" i="21"/>
  <c r="N222" i="21" s="1"/>
  <c r="N266" i="21"/>
  <c r="N263" i="21" s="1"/>
  <c r="N258" i="21"/>
  <c r="N253" i="21" s="1"/>
  <c r="N251" i="21" s="1"/>
  <c r="N257" i="21"/>
  <c r="N220" i="21"/>
  <c r="N250" i="21"/>
  <c r="N248" i="21" s="1"/>
  <c r="N243" i="21"/>
  <c r="N247" i="21"/>
  <c r="N246" i="21"/>
  <c r="N218" i="21"/>
  <c r="N211" i="21"/>
  <c r="N212" i="21" s="1"/>
  <c r="N213" i="21" s="1"/>
  <c r="N214" i="21" s="1"/>
  <c r="N206" i="21" s="1"/>
  <c r="N203" i="21"/>
  <c r="N202" i="21"/>
  <c r="N204" i="21" s="1"/>
  <c r="N205" i="21" s="1"/>
  <c r="N199" i="21" s="1"/>
  <c r="N188" i="21"/>
  <c r="N189" i="21" s="1"/>
  <c r="N186" i="21" s="1"/>
  <c r="N197" i="21"/>
  <c r="N198" i="21" s="1"/>
  <c r="N190" i="21" s="1"/>
  <c r="N180" i="21" s="1"/>
  <c r="N196" i="21"/>
  <c r="N184" i="21"/>
  <c r="N185" i="21" s="1"/>
  <c r="N182" i="21" s="1"/>
  <c r="N177" i="21"/>
  <c r="N175" i="21"/>
  <c r="N178" i="21" s="1"/>
  <c r="N179" i="21" s="1"/>
  <c r="N172" i="21" s="1"/>
  <c r="N168" i="21"/>
  <c r="N169" i="21" s="1"/>
  <c r="N165" i="21" s="1"/>
  <c r="N170" i="21" s="1"/>
  <c r="N163" i="21"/>
  <c r="N164" i="21" s="1"/>
  <c r="N160" i="21" s="1"/>
  <c r="N229" i="21" l="1"/>
  <c r="N230" i="21" s="1"/>
  <c r="N215" i="21" s="1"/>
  <c r="N224" i="21"/>
  <c r="N290" i="21"/>
  <c r="N282" i="21" s="1"/>
  <c r="N335" i="38"/>
  <c r="N333" i="38"/>
  <c r="N331" i="38"/>
  <c r="N153" i="21"/>
  <c r="N151" i="21"/>
  <c r="N150" i="21"/>
  <c r="N154" i="21" s="1"/>
  <c r="N155" i="21" s="1"/>
  <c r="N156" i="21" s="1"/>
  <c r="N146" i="21" s="1"/>
  <c r="N157" i="21" s="1"/>
  <c r="N144" i="21"/>
  <c r="N145" i="21" s="1"/>
  <c r="N140" i="21" s="1"/>
  <c r="N136" i="21"/>
  <c r="N135" i="21"/>
  <c r="N137" i="21" s="1"/>
  <c r="N138" i="21" s="1"/>
  <c r="N139" i="21" s="1"/>
  <c r="N130" i="21" s="1"/>
  <c r="N128" i="21" s="1"/>
  <c r="N126" i="21" s="1"/>
  <c r="N292" i="21" s="1"/>
  <c r="N288" i="20"/>
  <c r="N314" i="20" s="1"/>
  <c r="N291" i="20"/>
  <c r="N282" i="20"/>
  <c r="N251" i="20"/>
  <c r="N253" i="20"/>
  <c r="N232" i="20"/>
  <c r="N233" i="20" s="1"/>
  <c r="N234" i="20" s="1"/>
  <c r="N223" i="20" s="1"/>
  <c r="N230" i="20"/>
  <c r="N231" i="20" s="1"/>
  <c r="N228" i="20"/>
  <c r="N220" i="20"/>
  <c r="N219" i="20"/>
  <c r="N218" i="20"/>
  <c r="N263" i="20"/>
  <c r="N264" i="20" s="1"/>
  <c r="N260" i="20" s="1"/>
  <c r="N258" i="20"/>
  <c r="N255" i="20" s="1"/>
  <c r="N240" i="20"/>
  <c r="N242" i="20"/>
  <c r="N249" i="20"/>
  <c r="N250" i="20" s="1"/>
  <c r="N245" i="20" s="1"/>
  <c r="N243" i="20" s="1"/>
  <c r="N235" i="20"/>
  <c r="N239" i="20"/>
  <c r="N238" i="20"/>
  <c r="N214" i="20" s="1"/>
  <c r="N212" i="20"/>
  <c r="N207" i="20"/>
  <c r="N208" i="20" s="1"/>
  <c r="N200" i="20" s="1"/>
  <c r="N206" i="20"/>
  <c r="N199" i="20"/>
  <c r="N195" i="20" s="1"/>
  <c r="N198" i="20"/>
  <c r="N192" i="20"/>
  <c r="N191" i="20"/>
  <c r="N188" i="20"/>
  <c r="N189" i="20" s="1"/>
  <c r="N193" i="20" s="1"/>
  <c r="N194" i="20" s="1"/>
  <c r="N185" i="20" s="1"/>
  <c r="N180" i="20"/>
  <c r="N181" i="20" s="1"/>
  <c r="N178" i="20" s="1"/>
  <c r="N173" i="20"/>
  <c r="N171" i="20"/>
  <c r="N174" i="20" s="1"/>
  <c r="N175" i="20" s="1"/>
  <c r="N168" i="20" s="1"/>
  <c r="N165" i="20"/>
  <c r="N161" i="20" s="1"/>
  <c r="N166" i="20" s="1"/>
  <c r="N164" i="20"/>
  <c r="N159" i="20"/>
  <c r="N160" i="20" s="1"/>
  <c r="N156" i="20" s="1"/>
  <c r="N149" i="20"/>
  <c r="N147" i="20"/>
  <c r="N150" i="20" s="1"/>
  <c r="N151" i="20" s="1"/>
  <c r="N152" i="20" s="1"/>
  <c r="N143" i="20" s="1"/>
  <c r="N153" i="20" s="1"/>
  <c r="N142" i="20"/>
  <c r="N137" i="20" s="1"/>
  <c r="N141" i="20"/>
  <c r="N135" i="20"/>
  <c r="N136" i="20" s="1"/>
  <c r="N130" i="20" s="1"/>
  <c r="N128" i="20" s="1"/>
  <c r="N126" i="20" s="1"/>
  <c r="N276" i="20" s="1"/>
  <c r="N278" i="20" s="1"/>
  <c r="N318" i="19"/>
  <c r="N313" i="19"/>
  <c r="N316" i="19" s="1"/>
  <c r="N308" i="19"/>
  <c r="N305" i="19" s="1"/>
  <c r="N332" i="19" s="1"/>
  <c r="N262" i="19"/>
  <c r="N260" i="19" s="1"/>
  <c r="N239" i="19"/>
  <c r="N240" i="19" s="1"/>
  <c r="N237" i="19"/>
  <c r="N241" i="19" s="1"/>
  <c r="N242" i="19" s="1"/>
  <c r="N243" i="19" s="1"/>
  <c r="N232" i="19" s="1"/>
  <c r="N229" i="19"/>
  <c r="N227" i="19"/>
  <c r="N226" i="19"/>
  <c r="N290" i="19"/>
  <c r="N289" i="19"/>
  <c r="N287" i="19"/>
  <c r="N280" i="19"/>
  <c r="N278" i="19"/>
  <c r="N281" i="19" s="1"/>
  <c r="N282" i="19" s="1"/>
  <c r="N274" i="19" s="1"/>
  <c r="N273" i="19"/>
  <c r="N269" i="19" s="1"/>
  <c r="N272" i="19"/>
  <c r="N267" i="19"/>
  <c r="N264" i="19" s="1"/>
  <c r="N258" i="19"/>
  <c r="N259" i="19" s="1"/>
  <c r="N254" i="19" s="1"/>
  <c r="N252" i="19" s="1"/>
  <c r="N249" i="19"/>
  <c r="N251" i="19"/>
  <c r="N247" i="19"/>
  <c r="N248" i="19" s="1"/>
  <c r="N244" i="19" s="1"/>
  <c r="N219" i="19"/>
  <c r="N213" i="19"/>
  <c r="N214" i="19" s="1"/>
  <c r="N215" i="19" s="1"/>
  <c r="N207" i="19" s="1"/>
  <c r="N204" i="19"/>
  <c r="N203" i="19"/>
  <c r="N205" i="19" s="1"/>
  <c r="N206" i="19" s="1"/>
  <c r="N200" i="19" s="1"/>
  <c r="N197" i="19"/>
  <c r="N198" i="19" s="1"/>
  <c r="N199" i="19" s="1"/>
  <c r="N190" i="19" s="1"/>
  <c r="N196" i="19"/>
  <c r="N193" i="19"/>
  <c r="N194" i="19" s="1"/>
  <c r="N186" i="19"/>
  <c r="N183" i="19" s="1"/>
  <c r="N185" i="19"/>
  <c r="N178" i="19"/>
  <c r="N176" i="19"/>
  <c r="N179" i="19" s="1"/>
  <c r="N180" i="19" s="1"/>
  <c r="N173" i="19" s="1"/>
  <c r="N166" i="19"/>
  <c r="N171" i="19" s="1"/>
  <c r="N170" i="19"/>
  <c r="N169" i="19"/>
  <c r="N164" i="19"/>
  <c r="N165" i="19" s="1"/>
  <c r="N161" i="19" s="1"/>
  <c r="N154" i="19"/>
  <c r="N152" i="19"/>
  <c r="N151" i="19"/>
  <c r="N155" i="19" s="1"/>
  <c r="N156" i="19" s="1"/>
  <c r="N157" i="19" s="1"/>
  <c r="N147" i="19" s="1"/>
  <c r="N158" i="19" s="1"/>
  <c r="N145" i="19"/>
  <c r="N146" i="19" s="1"/>
  <c r="N141" i="19" s="1"/>
  <c r="N137" i="19"/>
  <c r="N136" i="19"/>
  <c r="N293" i="15"/>
  <c r="N290" i="15" s="1"/>
  <c r="N314" i="15" s="1"/>
  <c r="N251" i="15"/>
  <c r="N253" i="15"/>
  <c r="N242" i="15"/>
  <c r="N240" i="15" s="1"/>
  <c r="N231" i="15"/>
  <c r="N232" i="15" s="1"/>
  <c r="N233" i="15" s="1"/>
  <c r="N234" i="15" s="1"/>
  <c r="N223" i="15" s="1"/>
  <c r="N230" i="15"/>
  <c r="N228" i="15"/>
  <c r="N220" i="15"/>
  <c r="N218" i="15"/>
  <c r="N217" i="15"/>
  <c r="N276" i="15"/>
  <c r="N271" i="15" s="1"/>
  <c r="N275" i="15"/>
  <c r="N269" i="15"/>
  <c r="N270" i="15" s="1"/>
  <c r="N265" i="15" s="1"/>
  <c r="N263" i="15"/>
  <c r="N255" i="15"/>
  <c r="N258" i="15"/>
  <c r="N250" i="15"/>
  <c r="N245" i="15" s="1"/>
  <c r="N243" i="15" s="1"/>
  <c r="N249" i="15"/>
  <c r="N239" i="15"/>
  <c r="N235" i="15" s="1"/>
  <c r="N238" i="15"/>
  <c r="N213" i="15" s="1"/>
  <c r="N211" i="15"/>
  <c r="N206" i="15"/>
  <c r="N207" i="15" s="1"/>
  <c r="N199" i="15" s="1"/>
  <c r="N205" i="15"/>
  <c r="N198" i="15"/>
  <c r="N194" i="15" s="1"/>
  <c r="N197" i="15"/>
  <c r="N191" i="15"/>
  <c r="N192" i="15" s="1"/>
  <c r="N193" i="15" s="1"/>
  <c r="N184" i="15" s="1"/>
  <c r="N190" i="15"/>
  <c r="N187" i="15"/>
  <c r="N188" i="15" s="1"/>
  <c r="N179" i="15"/>
  <c r="N180" i="15" s="1"/>
  <c r="N177" i="15" s="1"/>
  <c r="N174" i="15"/>
  <c r="N167" i="15" s="1"/>
  <c r="N172" i="15"/>
  <c r="N170" i="15"/>
  <c r="N173" i="15" s="1"/>
  <c r="N163" i="15"/>
  <c r="N164" i="15" s="1"/>
  <c r="N160" i="15" s="1"/>
  <c r="N165" i="15" s="1"/>
  <c r="N155" i="15"/>
  <c r="N158" i="15"/>
  <c r="N159" i="15" s="1"/>
  <c r="N148" i="15"/>
  <c r="N149" i="15" s="1"/>
  <c r="N150" i="15" s="1"/>
  <c r="N151" i="15" s="1"/>
  <c r="N142" i="15" s="1"/>
  <c r="N152" i="15" s="1"/>
  <c r="N146" i="15"/>
  <c r="N141" i="15"/>
  <c r="N136" i="15" s="1"/>
  <c r="N140" i="15"/>
  <c r="N129" i="15"/>
  <c r="N127" i="15" s="1"/>
  <c r="N125" i="15" s="1"/>
  <c r="N278" i="15" s="1"/>
  <c r="N135" i="15"/>
  <c r="N134" i="15"/>
  <c r="N288" i="14"/>
  <c r="N312" i="14" s="1"/>
  <c r="N291" i="14"/>
  <c r="N251" i="14"/>
  <c r="N253" i="14"/>
  <c r="N231" i="14"/>
  <c r="N232" i="14" s="1"/>
  <c r="N233" i="14" s="1"/>
  <c r="N234" i="14" s="1"/>
  <c r="N223" i="14" s="1"/>
  <c r="N230" i="14"/>
  <c r="N228" i="14"/>
  <c r="N220" i="14"/>
  <c r="N218" i="14"/>
  <c r="N217" i="14"/>
  <c r="N215" i="14"/>
  <c r="N263" i="14"/>
  <c r="N264" i="14" s="1"/>
  <c r="N260" i="14" s="1"/>
  <c r="N258" i="14"/>
  <c r="N255" i="14" s="1"/>
  <c r="N250" i="14"/>
  <c r="N245" i="14" s="1"/>
  <c r="N243" i="14" s="1"/>
  <c r="N249" i="14"/>
  <c r="N242" i="14"/>
  <c r="N240" i="14" s="1"/>
  <c r="N238" i="14"/>
  <c r="N211" i="14"/>
  <c r="N206" i="14"/>
  <c r="N207" i="14" s="1"/>
  <c r="N199" i="14" s="1"/>
  <c r="N205" i="14"/>
  <c r="N197" i="14"/>
  <c r="N198" i="14" s="1"/>
  <c r="N194" i="14" s="1"/>
  <c r="N184" i="14"/>
  <c r="N191" i="14"/>
  <c r="N190" i="14"/>
  <c r="N187" i="14"/>
  <c r="N188" i="14" s="1"/>
  <c r="N192" i="14" s="1"/>
  <c r="N193" i="14" s="1"/>
  <c r="N180" i="14"/>
  <c r="N177" i="14" s="1"/>
  <c r="N179" i="14"/>
  <c r="N172" i="14"/>
  <c r="N170" i="14"/>
  <c r="N173" i="14" s="1"/>
  <c r="N174" i="14" s="1"/>
  <c r="N167" i="14" s="1"/>
  <c r="N160" i="14"/>
  <c r="N165" i="14" s="1"/>
  <c r="N163" i="14"/>
  <c r="N164" i="14" s="1"/>
  <c r="N158" i="14"/>
  <c r="N159" i="14" s="1"/>
  <c r="N155" i="14" s="1"/>
  <c r="N142" i="14"/>
  <c r="N152" i="14" s="1"/>
  <c r="N151" i="14"/>
  <c r="N148" i="14"/>
  <c r="N146" i="14"/>
  <c r="N149" i="14" s="1"/>
  <c r="N150" i="14" s="1"/>
  <c r="N140" i="14"/>
  <c r="N141" i="14" s="1"/>
  <c r="N136" i="14" s="1"/>
  <c r="N125" i="14"/>
  <c r="N276" i="14" s="1"/>
  <c r="N278" i="14" s="1"/>
  <c r="N280" i="14" s="1"/>
  <c r="N282" i="14" s="1"/>
  <c r="N135" i="14"/>
  <c r="N129" i="14" s="1"/>
  <c r="N127" i="14" s="1"/>
  <c r="N134" i="14"/>
  <c r="N290" i="13"/>
  <c r="N288" i="13" s="1"/>
  <c r="N314" i="13" s="1"/>
  <c r="N282" i="13"/>
  <c r="N253" i="13"/>
  <c r="N251" i="13" s="1"/>
  <c r="N242" i="13"/>
  <c r="N240" i="13" s="1"/>
  <c r="N230" i="13"/>
  <c r="N231" i="13" s="1"/>
  <c r="N228" i="13"/>
  <c r="N220" i="13"/>
  <c r="N218" i="13"/>
  <c r="N217" i="13"/>
  <c r="N263" i="13"/>
  <c r="N215" i="13" s="1"/>
  <c r="N255" i="13"/>
  <c r="N258" i="13"/>
  <c r="N249" i="13"/>
  <c r="N250" i="13" s="1"/>
  <c r="N245" i="13" s="1"/>
  <c r="N243" i="13" s="1"/>
  <c r="N213" i="13"/>
  <c r="N235" i="13"/>
  <c r="N239" i="13"/>
  <c r="N238" i="13"/>
  <c r="N211" i="13"/>
  <c r="N205" i="13"/>
  <c r="N206" i="13"/>
  <c r="N207" i="13" s="1"/>
  <c r="N199" i="13" s="1"/>
  <c r="N194" i="13"/>
  <c r="N198" i="13"/>
  <c r="N197" i="13"/>
  <c r="N188" i="13"/>
  <c r="N190" i="13"/>
  <c r="N191" i="13" s="1"/>
  <c r="N187" i="13"/>
  <c r="N180" i="13"/>
  <c r="N177" i="13" s="1"/>
  <c r="N179" i="13"/>
  <c r="N173" i="13"/>
  <c r="N174" i="13" s="1"/>
  <c r="N167" i="13" s="1"/>
  <c r="N172" i="13"/>
  <c r="N170" i="13"/>
  <c r="N163" i="13"/>
  <c r="N164" i="13" s="1"/>
  <c r="N160" i="13" s="1"/>
  <c r="N165" i="13" s="1"/>
  <c r="N158" i="13"/>
  <c r="N159" i="13" s="1"/>
  <c r="N155" i="13" s="1"/>
  <c r="N148" i="13"/>
  <c r="N146" i="13"/>
  <c r="N149" i="13" s="1"/>
  <c r="N150" i="13" s="1"/>
  <c r="N151" i="13" s="1"/>
  <c r="N142" i="13" s="1"/>
  <c r="N152" i="13" s="1"/>
  <c r="N136" i="13"/>
  <c r="N140" i="13"/>
  <c r="N141" i="13" s="1"/>
  <c r="N134" i="13"/>
  <c r="N135" i="13" s="1"/>
  <c r="N129" i="13" s="1"/>
  <c r="N127" i="13" s="1"/>
  <c r="N125" i="13" s="1"/>
  <c r="N276" i="13" s="1"/>
  <c r="N341" i="12"/>
  <c r="N335" i="12"/>
  <c r="N331" i="12"/>
  <c r="N339" i="12" s="1"/>
  <c r="N305" i="12"/>
  <c r="N302" i="12" s="1"/>
  <c r="N328" i="12" s="1"/>
  <c r="N259" i="12"/>
  <c r="N257" i="12" s="1"/>
  <c r="N229" i="12"/>
  <c r="N236" i="12"/>
  <c r="N237" i="12" s="1"/>
  <c r="N234" i="12"/>
  <c r="N238" i="12" s="1"/>
  <c r="N239" i="12" s="1"/>
  <c r="N240" i="12" s="1"/>
  <c r="N226" i="12"/>
  <c r="N224" i="12"/>
  <c r="N223" i="12"/>
  <c r="N220" i="12"/>
  <c r="N286" i="12"/>
  <c r="N284" i="12"/>
  <c r="N287" i="12" s="1"/>
  <c r="N275" i="12"/>
  <c r="N278" i="12"/>
  <c r="N279" i="12" s="1"/>
  <c r="N271" i="12" s="1"/>
  <c r="N277" i="12"/>
  <c r="N270" i="12"/>
  <c r="N266" i="12" s="1"/>
  <c r="N269" i="12"/>
  <c r="N264" i="12"/>
  <c r="N261" i="12" s="1"/>
  <c r="N251" i="12"/>
  <c r="N249" i="12" s="1"/>
  <c r="N255" i="12"/>
  <c r="N256" i="12" s="1"/>
  <c r="N246" i="12"/>
  <c r="N248" i="12"/>
  <c r="N244" i="12"/>
  <c r="N245" i="12" s="1"/>
  <c r="N241" i="12" s="1"/>
  <c r="N216" i="12"/>
  <c r="N211" i="12"/>
  <c r="N212" i="12" s="1"/>
  <c r="N204" i="12" s="1"/>
  <c r="N210" i="12"/>
  <c r="N201" i="12"/>
  <c r="N202" i="12" s="1"/>
  <c r="N203" i="12" s="1"/>
  <c r="N197" i="12" s="1"/>
  <c r="N200" i="12"/>
  <c r="N193" i="12"/>
  <c r="N194" i="12" s="1"/>
  <c r="N190" i="12"/>
  <c r="N191" i="12" s="1"/>
  <c r="N195" i="12" s="1"/>
  <c r="N196" i="12" s="1"/>
  <c r="N187" i="12" s="1"/>
  <c r="N182" i="12"/>
  <c r="N183" i="12" s="1"/>
  <c r="N180" i="12" s="1"/>
  <c r="N176" i="12"/>
  <c r="N177" i="12" s="1"/>
  <c r="N170" i="12" s="1"/>
  <c r="N175" i="12"/>
  <c r="N173" i="12"/>
  <c r="N167" i="12"/>
  <c r="N163" i="12" s="1"/>
  <c r="N168" i="12" s="1"/>
  <c r="N166" i="12"/>
  <c r="N161" i="12"/>
  <c r="N162" i="12" s="1"/>
  <c r="N158" i="12" s="1"/>
  <c r="N155" i="12"/>
  <c r="N148" i="12"/>
  <c r="N151" i="12"/>
  <c r="N149" i="12"/>
  <c r="N152" i="12" s="1"/>
  <c r="N153" i="12" s="1"/>
  <c r="N154" i="12" s="1"/>
  <c r="N144" i="12" s="1"/>
  <c r="N138" i="12"/>
  <c r="N143" i="12"/>
  <c r="N142" i="12"/>
  <c r="N134" i="12"/>
  <c r="N133" i="12"/>
  <c r="N135" i="12" s="1"/>
  <c r="N136" i="12" s="1"/>
  <c r="N137" i="12" s="1"/>
  <c r="N128" i="12" s="1"/>
  <c r="N290" i="11"/>
  <c r="N287" i="11" s="1"/>
  <c r="N313" i="11" s="1"/>
  <c r="N275" i="11"/>
  <c r="N277" i="11" s="1"/>
  <c r="N279" i="11" s="1"/>
  <c r="N281" i="11" s="1"/>
  <c r="N250" i="11"/>
  <c r="N252" i="11"/>
  <c r="N229" i="11"/>
  <c r="N230" i="11" s="1"/>
  <c r="N227" i="11"/>
  <c r="N219" i="11"/>
  <c r="N217" i="11"/>
  <c r="N216" i="11"/>
  <c r="N214" i="11"/>
  <c r="N259" i="11"/>
  <c r="N263" i="11"/>
  <c r="N262" i="11"/>
  <c r="N254" i="11"/>
  <c r="N257" i="11"/>
  <c r="N249" i="11"/>
  <c r="N244" i="11" s="1"/>
  <c r="N242" i="11" s="1"/>
  <c r="N248" i="11"/>
  <c r="N241" i="11"/>
  <c r="N239" i="11" s="1"/>
  <c r="N237" i="11"/>
  <c r="N210" i="11"/>
  <c r="N197" i="11"/>
  <c r="N193" i="11" s="1"/>
  <c r="N182" i="11"/>
  <c r="N180" i="11" s="1"/>
  <c r="N189" i="11"/>
  <c r="N190" i="11" s="1"/>
  <c r="N186" i="11"/>
  <c r="N187" i="11" s="1"/>
  <c r="N191" i="11" s="1"/>
  <c r="N178" i="11"/>
  <c r="N179" i="11" s="1"/>
  <c r="N176" i="11" s="1"/>
  <c r="N172" i="11"/>
  <c r="N173" i="11" s="1"/>
  <c r="N166" i="11" s="1"/>
  <c r="N171" i="11"/>
  <c r="N169" i="11"/>
  <c r="N163" i="11"/>
  <c r="N159" i="11" s="1"/>
  <c r="N164" i="11" s="1"/>
  <c r="N162" i="11"/>
  <c r="N157" i="11"/>
  <c r="N158" i="11" s="1"/>
  <c r="N154" i="11" s="1"/>
  <c r="N151" i="11"/>
  <c r="N147" i="11"/>
  <c r="N145" i="11"/>
  <c r="N148" i="11" s="1"/>
  <c r="N149" i="11" s="1"/>
  <c r="N150" i="11" s="1"/>
  <c r="N141" i="11" s="1"/>
  <c r="N140" i="11"/>
  <c r="N135" i="11" s="1"/>
  <c r="N139" i="11"/>
  <c r="N133" i="11"/>
  <c r="N134" i="11" s="1"/>
  <c r="N128" i="11" s="1"/>
  <c r="N126" i="11" s="1"/>
  <c r="N124" i="11" s="1"/>
  <c r="N316" i="10"/>
  <c r="N314" i="10" s="1"/>
  <c r="N288" i="10"/>
  <c r="N291" i="10"/>
  <c r="N251" i="10"/>
  <c r="N253" i="10"/>
  <c r="N230" i="10"/>
  <c r="N231" i="10" s="1"/>
  <c r="N228" i="10"/>
  <c r="N232" i="10" s="1"/>
  <c r="N233" i="10" s="1"/>
  <c r="N234" i="10" s="1"/>
  <c r="N223" i="10" s="1"/>
  <c r="N220" i="10"/>
  <c r="N218" i="10"/>
  <c r="N217" i="10"/>
  <c r="N215" i="10"/>
  <c r="N260" i="10"/>
  <c r="N264" i="10"/>
  <c r="N263" i="10"/>
  <c r="N258" i="10"/>
  <c r="N255" i="10" s="1"/>
  <c r="N250" i="10"/>
  <c r="N245" i="10" s="1"/>
  <c r="N243" i="10" s="1"/>
  <c r="N249" i="10"/>
  <c r="N240" i="10"/>
  <c r="N242" i="10"/>
  <c r="N238" i="10"/>
  <c r="N239" i="10" s="1"/>
  <c r="N235" i="10" s="1"/>
  <c r="N211" i="10"/>
  <c r="N205" i="10"/>
  <c r="N206" i="10" s="1"/>
  <c r="N207" i="10" s="1"/>
  <c r="N199" i="10" s="1"/>
  <c r="N197" i="10"/>
  <c r="N198" i="10" s="1"/>
  <c r="N194" i="10" s="1"/>
  <c r="N190" i="10"/>
  <c r="N191" i="10" s="1"/>
  <c r="N187" i="10"/>
  <c r="N188" i="10" s="1"/>
  <c r="N179" i="10"/>
  <c r="N180" i="10" s="1"/>
  <c r="N177" i="10" s="1"/>
  <c r="N172" i="10"/>
  <c r="N170" i="10"/>
  <c r="N173" i="10" s="1"/>
  <c r="N174" i="10" s="1"/>
  <c r="N167" i="10" s="1"/>
  <c r="N165" i="10"/>
  <c r="N160" i="10"/>
  <c r="N164" i="10"/>
  <c r="N163" i="10"/>
  <c r="N159" i="10"/>
  <c r="N155" i="10" s="1"/>
  <c r="N158" i="10"/>
  <c r="N150" i="10"/>
  <c r="N151" i="10" s="1"/>
  <c r="N142" i="10" s="1"/>
  <c r="N152" i="10" s="1"/>
  <c r="N148" i="10"/>
  <c r="N146" i="10"/>
  <c r="N149" i="10" s="1"/>
  <c r="N140" i="10"/>
  <c r="N141" i="10" s="1"/>
  <c r="N136" i="10" s="1"/>
  <c r="N127" i="10"/>
  <c r="N125" i="10" s="1"/>
  <c r="N276" i="10" s="1"/>
  <c r="N134" i="10"/>
  <c r="N135" i="10" s="1"/>
  <c r="N129" i="10" s="1"/>
  <c r="N307" i="9"/>
  <c r="N304" i="9" s="1"/>
  <c r="N330" i="9" s="1"/>
  <c r="N259" i="9"/>
  <c r="N261" i="9"/>
  <c r="N238" i="9"/>
  <c r="N239" i="9" s="1"/>
  <c r="N240" i="9" s="1"/>
  <c r="N241" i="9" s="1"/>
  <c r="N242" i="9" s="1"/>
  <c r="N231" i="9" s="1"/>
  <c r="N236" i="9"/>
  <c r="N235" i="9"/>
  <c r="N226" i="9"/>
  <c r="N225" i="9"/>
  <c r="N228" i="9"/>
  <c r="N288" i="9"/>
  <c r="N286" i="9"/>
  <c r="N289" i="9" s="1"/>
  <c r="N279" i="9"/>
  <c r="N277" i="9"/>
  <c r="N280" i="9" s="1"/>
  <c r="N281" i="9" s="1"/>
  <c r="N273" i="9" s="1"/>
  <c r="N222" i="9"/>
  <c r="N272" i="9"/>
  <c r="N268" i="9" s="1"/>
  <c r="N271" i="9"/>
  <c r="N266" i="9"/>
  <c r="N263" i="9" s="1"/>
  <c r="N258" i="9"/>
  <c r="N253" i="9" s="1"/>
  <c r="N251" i="9" s="1"/>
  <c r="N257" i="9"/>
  <c r="N220" i="9"/>
  <c r="N250" i="9"/>
  <c r="N248" i="9" s="1"/>
  <c r="N246" i="9"/>
  <c r="N247" i="9" s="1"/>
  <c r="N243" i="9" s="1"/>
  <c r="N218" i="9"/>
  <c r="N211" i="9"/>
  <c r="N212" i="9" s="1"/>
  <c r="N213" i="9" s="1"/>
  <c r="N214" i="9" s="1"/>
  <c r="N206" i="9" s="1"/>
  <c r="N204" i="9"/>
  <c r="N205" i="9" s="1"/>
  <c r="N199" i="9" s="1"/>
  <c r="N203" i="9"/>
  <c r="N202" i="9"/>
  <c r="N194" i="9"/>
  <c r="N195" i="9" s="1"/>
  <c r="N193" i="9"/>
  <c r="N197" i="9" s="1"/>
  <c r="N198" i="9" s="1"/>
  <c r="N189" i="9" s="1"/>
  <c r="N192" i="9"/>
  <c r="N182" i="9"/>
  <c r="N185" i="9"/>
  <c r="N184" i="9"/>
  <c r="N177" i="9"/>
  <c r="N175" i="9"/>
  <c r="N178" i="9" s="1"/>
  <c r="N179" i="9" s="1"/>
  <c r="N172" i="9" s="1"/>
  <c r="N168" i="9"/>
  <c r="N169" i="9" s="1"/>
  <c r="N165" i="9" s="1"/>
  <c r="N170" i="9" s="1"/>
  <c r="N163" i="9"/>
  <c r="N164" i="9" s="1"/>
  <c r="N160" i="9" s="1"/>
  <c r="N146" i="9"/>
  <c r="N157" i="9" s="1"/>
  <c r="N153" i="9"/>
  <c r="N151" i="9"/>
  <c r="N150" i="9"/>
  <c r="N154" i="9" s="1"/>
  <c r="N155" i="9" s="1"/>
  <c r="N156" i="9" s="1"/>
  <c r="N280" i="10" l="1"/>
  <c r="N278" i="10"/>
  <c r="N282" i="10"/>
  <c r="N126" i="12"/>
  <c r="N124" i="12" s="1"/>
  <c r="N290" i="12"/>
  <c r="N292" i="12" s="1"/>
  <c r="N294" i="12" s="1"/>
  <c r="N296" i="12" s="1"/>
  <c r="N284" i="15"/>
  <c r="N282" i="15"/>
  <c r="N280" i="15"/>
  <c r="N298" i="21"/>
  <c r="N296" i="21"/>
  <c r="N294" i="21"/>
  <c r="N203" i="11"/>
  <c r="N204" i="11" s="1"/>
  <c r="N205" i="11" s="1"/>
  <c r="N206" i="11" s="1"/>
  <c r="N198" i="11" s="1"/>
  <c r="N192" i="11"/>
  <c r="N183" i="11" s="1"/>
  <c r="N174" i="11" s="1"/>
  <c r="N290" i="9"/>
  <c r="N282" i="9" s="1"/>
  <c r="N224" i="9"/>
  <c r="N231" i="11"/>
  <c r="N232" i="11" s="1"/>
  <c r="N233" i="11" s="1"/>
  <c r="N222" i="11" s="1"/>
  <c r="N221" i="14"/>
  <c r="N222" i="14" s="1"/>
  <c r="N208" i="14" s="1"/>
  <c r="N223" i="19"/>
  <c r="N229" i="9"/>
  <c r="N230" i="9" s="1"/>
  <c r="N215" i="9" s="1"/>
  <c r="N232" i="13"/>
  <c r="N233" i="13" s="1"/>
  <c r="N234" i="13" s="1"/>
  <c r="N223" i="13" s="1"/>
  <c r="N213" i="14"/>
  <c r="N239" i="14"/>
  <c r="N235" i="14" s="1"/>
  <c r="N264" i="13"/>
  <c r="N260" i="13" s="1"/>
  <c r="N319" i="19"/>
  <c r="N320" i="19" s="1"/>
  <c r="N309" i="19" s="1"/>
  <c r="N238" i="11"/>
  <c r="N234" i="11" s="1"/>
  <c r="N212" i="11"/>
  <c r="N220" i="11" s="1"/>
  <c r="N221" i="11" s="1"/>
  <c r="N207" i="11" s="1"/>
  <c r="N192" i="13"/>
  <c r="N193" i="13" s="1"/>
  <c r="N184" i="13" s="1"/>
  <c r="N221" i="20"/>
  <c r="N222" i="20" s="1"/>
  <c r="N209" i="20" s="1"/>
  <c r="N192" i="10"/>
  <c r="N193" i="10" s="1"/>
  <c r="N218" i="12"/>
  <c r="N227" i="12" s="1"/>
  <c r="N228" i="12" s="1"/>
  <c r="N213" i="12" s="1"/>
  <c r="N280" i="13"/>
  <c r="N278" i="13"/>
  <c r="N215" i="15"/>
  <c r="N221" i="13"/>
  <c r="N222" i="13" s="1"/>
  <c r="N208" i="13" s="1"/>
  <c r="N221" i="15"/>
  <c r="N222" i="15" s="1"/>
  <c r="N208" i="15" s="1"/>
  <c r="N138" i="19"/>
  <c r="N139" i="19" s="1"/>
  <c r="N140" i="19" s="1"/>
  <c r="N131" i="19" s="1"/>
  <c r="N129" i="19" s="1"/>
  <c r="N127" i="19" s="1"/>
  <c r="N293" i="19" s="1"/>
  <c r="N225" i="19"/>
  <c r="N291" i="19"/>
  <c r="N283" i="19" s="1"/>
  <c r="N280" i="20"/>
  <c r="N222" i="12"/>
  <c r="N288" i="12"/>
  <c r="N280" i="12" s="1"/>
  <c r="N213" i="10"/>
  <c r="N221" i="10" s="1"/>
  <c r="N222" i="10" s="1"/>
  <c r="N208" i="10" s="1"/>
  <c r="N337" i="12"/>
  <c r="N221" i="19"/>
  <c r="N216" i="20"/>
  <c r="N264" i="15"/>
  <c r="N260" i="15" s="1"/>
  <c r="N230" i="19" l="1"/>
  <c r="N231" i="19" s="1"/>
  <c r="N216" i="19" s="1"/>
  <c r="N297" i="19"/>
  <c r="N295" i="19"/>
  <c r="N299" i="19"/>
  <c r="N175" i="10"/>
  <c r="N184" i="10"/>
  <c r="N144" i="9"/>
  <c r="N145" i="9" s="1"/>
  <c r="N140" i="9" s="1"/>
  <c r="N136" i="9"/>
  <c r="N137" i="9" s="1"/>
  <c r="N138" i="9" s="1"/>
  <c r="N139" i="9" s="1"/>
  <c r="N130" i="9" s="1"/>
  <c r="N128" i="9" s="1"/>
  <c r="N126" i="9" s="1"/>
  <c r="N292" i="9" s="1"/>
  <c r="N135" i="9"/>
  <c r="N294" i="9" l="1"/>
  <c r="N296" i="9"/>
  <c r="N298" i="9"/>
  <c r="N325" i="37"/>
  <c r="N322" i="37" s="1"/>
  <c r="N309" i="37"/>
  <c r="N311" i="37"/>
  <c r="N286" i="37"/>
  <c r="N283" i="37" s="1"/>
  <c r="N285" i="37"/>
  <c r="N279" i="37"/>
  <c r="N281" i="37"/>
  <c r="N241" i="37"/>
  <c r="N243" i="37"/>
  <c r="N232" i="37"/>
  <c r="N229" i="37" s="1"/>
  <c r="N226" i="37"/>
  <c r="N224" i="37"/>
  <c r="N254" i="37"/>
  <c r="N250" i="37" s="1"/>
  <c r="N253" i="37"/>
  <c r="N222" i="37" s="1"/>
  <c r="N248" i="37"/>
  <c r="N245" i="37" s="1"/>
  <c r="N238" i="37"/>
  <c r="N240" i="37"/>
  <c r="N237" i="37"/>
  <c r="N233" i="37" s="1"/>
  <c r="N236" i="37"/>
  <c r="N220" i="37" s="1"/>
  <c r="N227" i="37" s="1"/>
  <c r="N228" i="37" s="1"/>
  <c r="N215" i="37" s="1"/>
  <c r="N218" i="37"/>
  <c r="N213" i="37"/>
  <c r="N214" i="37" s="1"/>
  <c r="N211" i="37" s="1"/>
  <c r="N209" i="37"/>
  <c r="N210" i="37" s="1"/>
  <c r="N206" i="37" s="1"/>
  <c r="N204" i="37"/>
  <c r="N205" i="37" s="1"/>
  <c r="N202" i="37" s="1"/>
  <c r="N201" i="37"/>
  <c r="N197" i="37" s="1"/>
  <c r="N200" i="37"/>
  <c r="N193" i="37"/>
  <c r="N194" i="37" s="1"/>
  <c r="N190" i="37" s="1"/>
  <c r="N195" i="37" s="1"/>
  <c r="N188" i="37"/>
  <c r="N189" i="37" s="1"/>
  <c r="N185" i="37" s="1"/>
  <c r="N178" i="37"/>
  <c r="N179" i="37" s="1"/>
  <c r="N180" i="37" s="1"/>
  <c r="N181" i="37" s="1"/>
  <c r="N173" i="37" s="1"/>
  <c r="N182" i="37" s="1"/>
  <c r="N177" i="37"/>
  <c r="N149" i="37"/>
  <c r="N151" i="37" s="1"/>
  <c r="N145" i="37" s="1"/>
  <c r="N271" i="37" s="1"/>
  <c r="N273" i="37" s="1"/>
  <c r="N133" i="37"/>
  <c r="N134" i="37" s="1"/>
  <c r="N130" i="37" s="1"/>
  <c r="N128" i="37"/>
  <c r="N129" i="37" s="1"/>
  <c r="N125" i="37" s="1"/>
  <c r="N142" i="37"/>
  <c r="N141" i="37"/>
  <c r="N143" i="37" s="1"/>
  <c r="N144" i="37" s="1"/>
  <c r="N137" i="37" s="1"/>
  <c r="N135" i="37" s="1"/>
  <c r="N260" i="37" s="1"/>
  <c r="N574" i="36"/>
  <c r="N571" i="36"/>
  <c r="N522" i="36"/>
  <c r="N520" i="36" s="1"/>
  <c r="N478" i="36"/>
  <c r="N514" i="36"/>
  <c r="N512" i="36" s="1"/>
  <c r="N475" i="36"/>
  <c r="N509" i="36" s="1"/>
  <c r="N474" i="36"/>
  <c r="N471" i="36" s="1"/>
  <c r="N473" i="36"/>
  <c r="N470" i="36"/>
  <c r="N465" i="36" s="1"/>
  <c r="N469" i="36"/>
  <c r="N436" i="36"/>
  <c r="N438" i="36" s="1"/>
  <c r="N321" i="36"/>
  <c r="N322" i="36" s="1"/>
  <c r="N323" i="36" s="1"/>
  <c r="N310" i="36" s="1"/>
  <c r="N315" i="36"/>
  <c r="N319" i="36"/>
  <c r="N318" i="36"/>
  <c r="N317" i="36"/>
  <c r="N320" i="36" s="1"/>
  <c r="N307" i="36"/>
  <c r="N305" i="36"/>
  <c r="N304" i="36"/>
  <c r="N401" i="36"/>
  <c r="N402" i="36" s="1"/>
  <c r="N400" i="36"/>
  <c r="N351" i="36"/>
  <c r="N355" i="36"/>
  <c r="N354" i="36"/>
  <c r="N331" i="36"/>
  <c r="N333" i="36"/>
  <c r="N329" i="36"/>
  <c r="N330" i="36" s="1"/>
  <c r="N324" i="36" s="1"/>
  <c r="N328" i="36"/>
  <c r="N327" i="36"/>
  <c r="N298" i="36"/>
  <c r="N296" i="36"/>
  <c r="N290" i="36"/>
  <c r="N291" i="36" s="1"/>
  <c r="N292" i="36" s="1"/>
  <c r="N284" i="36" s="1"/>
  <c r="N289" i="36"/>
  <c r="N287" i="36"/>
  <c r="N281" i="36"/>
  <c r="N280" i="36"/>
  <c r="N279" i="36"/>
  <c r="N282" i="36" s="1"/>
  <c r="N283" i="36" s="1"/>
  <c r="N276" i="36" s="1"/>
  <c r="N273" i="36"/>
  <c r="N272" i="36"/>
  <c r="N271" i="36"/>
  <c r="N267" i="36"/>
  <c r="N274" i="36" s="1"/>
  <c r="N275" i="36" s="1"/>
  <c r="N260" i="36"/>
  <c r="N257" i="36" s="1"/>
  <c r="N259" i="36"/>
  <c r="N252" i="36"/>
  <c r="N250" i="36"/>
  <c r="N248" i="36"/>
  <c r="N253" i="36" s="1"/>
  <c r="N254" i="36" s="1"/>
  <c r="N245" i="36" s="1"/>
  <c r="N240" i="36"/>
  <c r="N239" i="36"/>
  <c r="N241" i="36" s="1"/>
  <c r="N242" i="36" s="1"/>
  <c r="N236" i="36" s="1"/>
  <c r="N243" i="36" s="1"/>
  <c r="N226" i="36"/>
  <c r="N228" i="36"/>
  <c r="N222" i="36"/>
  <c r="N225" i="36"/>
  <c r="N221" i="36"/>
  <c r="N217" i="36" s="1"/>
  <c r="N220" i="36"/>
  <c r="N210" i="36"/>
  <c r="N209" i="36"/>
  <c r="N208" i="36"/>
  <c r="N207" i="36"/>
  <c r="N205" i="36"/>
  <c r="N204" i="36"/>
  <c r="N211" i="36" s="1"/>
  <c r="N212" i="36" s="1"/>
  <c r="N213" i="36" s="1"/>
  <c r="N200" i="36" s="1"/>
  <c r="N214" i="36" s="1"/>
  <c r="N149" i="36"/>
  <c r="N155" i="36"/>
  <c r="N153" i="36"/>
  <c r="N147" i="36"/>
  <c r="N148" i="36" s="1"/>
  <c r="N141" i="36" s="1"/>
  <c r="N139" i="36" s="1"/>
  <c r="N425" i="36" s="1"/>
  <c r="N146" i="36"/>
  <c r="N145" i="36"/>
  <c r="N137" i="36"/>
  <c r="N138" i="36" s="1"/>
  <c r="N134" i="36" s="1"/>
  <c r="N132" i="36"/>
  <c r="N133" i="36" s="1"/>
  <c r="N129" i="36" s="1"/>
  <c r="N431" i="36" l="1"/>
  <c r="N429" i="36"/>
  <c r="N427" i="36"/>
  <c r="N262" i="37"/>
  <c r="N266" i="37"/>
  <c r="N264" i="37"/>
  <c r="N302" i="36"/>
  <c r="N403" i="36"/>
  <c r="N397" i="36" s="1"/>
  <c r="N300" i="36"/>
  <c r="N313" i="34"/>
  <c r="N181" i="34"/>
  <c r="N182" i="34"/>
  <c r="N155" i="34"/>
  <c r="N149" i="34" s="1"/>
  <c r="N275" i="34" s="1"/>
  <c r="N277" i="34" s="1"/>
  <c r="N153" i="34"/>
  <c r="N145" i="34"/>
  <c r="N146" i="34"/>
  <c r="N137" i="34"/>
  <c r="N321" i="35"/>
  <c r="N318" i="35" s="1"/>
  <c r="N307" i="35"/>
  <c r="N305" i="35" s="1"/>
  <c r="N286" i="35"/>
  <c r="N283" i="35" s="1"/>
  <c r="N285" i="35"/>
  <c r="N282" i="35"/>
  <c r="N279" i="35" s="1"/>
  <c r="N243" i="35"/>
  <c r="N241" i="35" s="1"/>
  <c r="N229" i="35"/>
  <c r="N232" i="35"/>
  <c r="N226" i="35"/>
  <c r="N224" i="35"/>
  <c r="N253" i="35"/>
  <c r="N222" i="35" s="1"/>
  <c r="N248" i="35"/>
  <c r="N245" i="35" s="1"/>
  <c r="N238" i="35"/>
  <c r="N240" i="35"/>
  <c r="N236" i="35"/>
  <c r="N220" i="35" s="1"/>
  <c r="N218" i="35"/>
  <c r="N213" i="35"/>
  <c r="N214" i="35" s="1"/>
  <c r="N211" i="35" s="1"/>
  <c r="N210" i="35"/>
  <c r="N206" i="35" s="1"/>
  <c r="N209" i="35"/>
  <c r="N202" i="35"/>
  <c r="N205" i="35"/>
  <c r="N204" i="35"/>
  <c r="N200" i="35"/>
  <c r="N201" i="35" s="1"/>
  <c r="N197" i="35" s="1"/>
  <c r="N194" i="35"/>
  <c r="N190" i="35" s="1"/>
  <c r="N195" i="35" s="1"/>
  <c r="N193" i="35"/>
  <c r="N188" i="35"/>
  <c r="N189" i="35" s="1"/>
  <c r="N185" i="35" s="1"/>
  <c r="N180" i="35"/>
  <c r="N181" i="35" s="1"/>
  <c r="N173" i="35" s="1"/>
  <c r="N182" i="35" s="1"/>
  <c r="N179" i="35"/>
  <c r="N178" i="35"/>
  <c r="N177" i="35"/>
  <c r="N149" i="35"/>
  <c r="N150" i="35" s="1"/>
  <c r="N145" i="35" s="1"/>
  <c r="N273" i="35" s="1"/>
  <c r="N271" i="35" s="1"/>
  <c r="N133" i="35"/>
  <c r="N134" i="35" s="1"/>
  <c r="N130" i="35" s="1"/>
  <c r="N128" i="35"/>
  <c r="N129" i="35" s="1"/>
  <c r="N125" i="35" s="1"/>
  <c r="N143" i="35"/>
  <c r="N144" i="35" s="1"/>
  <c r="N137" i="35" s="1"/>
  <c r="N135" i="35" s="1"/>
  <c r="N260" i="35" s="1"/>
  <c r="N142" i="35"/>
  <c r="N141" i="35"/>
  <c r="N338" i="18"/>
  <c r="N324" i="18"/>
  <c r="N315" i="18"/>
  <c r="N257" i="18"/>
  <c r="N251" i="18"/>
  <c r="N246" i="18"/>
  <c r="N243" i="18"/>
  <c r="N238" i="18"/>
  <c r="N233" i="18"/>
  <c r="N227" i="18"/>
  <c r="N217" i="18"/>
  <c r="N212" i="18"/>
  <c r="N205" i="18"/>
  <c r="N200" i="18"/>
  <c r="N196" i="18"/>
  <c r="N188" i="18"/>
  <c r="N182" i="18"/>
  <c r="N170" i="18"/>
  <c r="N145" i="18"/>
  <c r="N135" i="18"/>
  <c r="N264" i="35" l="1"/>
  <c r="N262" i="35"/>
  <c r="N266" i="35"/>
  <c r="N227" i="35"/>
  <c r="N228" i="35" s="1"/>
  <c r="N215" i="35" s="1"/>
  <c r="N237" i="35"/>
  <c r="N233" i="35" s="1"/>
  <c r="N254" i="35"/>
  <c r="N250" i="35" s="1"/>
  <c r="N308" i="36"/>
  <c r="N309" i="36" s="1"/>
  <c r="N293" i="36" s="1"/>
  <c r="N289" i="34"/>
  <c r="N290" i="34" s="1"/>
  <c r="N287" i="34" s="1"/>
  <c r="N285" i="34"/>
  <c r="N283" i="34" s="1"/>
  <c r="N311" i="34" s="1"/>
  <c r="N233" i="34"/>
  <c r="N236" i="34"/>
  <c r="N230" i="34"/>
  <c r="N228" i="34"/>
  <c r="N226" i="34"/>
  <c r="N254" i="34"/>
  <c r="N258" i="34"/>
  <c r="N257" i="34"/>
  <c r="N252" i="34"/>
  <c r="N249" i="34" s="1"/>
  <c r="N244" i="34"/>
  <c r="N242" i="34" s="1"/>
  <c r="N224" i="34"/>
  <c r="N231" i="34" s="1"/>
  <c r="N232" i="34" s="1"/>
  <c r="N219" i="34" s="1"/>
  <c r="N237" i="34"/>
  <c r="N241" i="34"/>
  <c r="N240" i="34"/>
  <c r="N222" i="34"/>
  <c r="N217" i="34"/>
  <c r="N218" i="34" s="1"/>
  <c r="N215" i="34" s="1"/>
  <c r="N209" i="34"/>
  <c r="N206" i="34" s="1"/>
  <c r="N208" i="34"/>
  <c r="N213" i="34"/>
  <c r="N214" i="34" s="1"/>
  <c r="N210" i="34" s="1"/>
  <c r="N204" i="34"/>
  <c r="N205" i="34" s="1"/>
  <c r="N201" i="34" s="1"/>
  <c r="N199" i="34"/>
  <c r="N194" i="34"/>
  <c r="N198" i="34"/>
  <c r="N197" i="34"/>
  <c r="N192" i="34"/>
  <c r="N193" i="34" s="1"/>
  <c r="N189" i="34" s="1"/>
  <c r="N183" i="34"/>
  <c r="N184" i="34" s="1"/>
  <c r="N185" i="34" s="1"/>
  <c r="N177" i="34" s="1"/>
  <c r="N186" i="34" s="1"/>
  <c r="N129" i="34"/>
  <c r="N133" i="34"/>
  <c r="N132" i="34"/>
  <c r="N138" i="34"/>
  <c r="N134" i="34" s="1"/>
  <c r="N147" i="34"/>
  <c r="N148" i="34" s="1"/>
  <c r="N141" i="34" s="1"/>
  <c r="N139" i="34" s="1"/>
  <c r="N264" i="34" s="1"/>
  <c r="N266" i="34" s="1"/>
  <c r="N336" i="18"/>
  <c r="N330" i="18"/>
  <c r="N328" i="18" s="1"/>
  <c r="N322" i="18"/>
  <c r="N325" i="18" s="1"/>
  <c r="N312" i="18"/>
  <c r="N311" i="18"/>
  <c r="N308" i="18" s="1"/>
  <c r="N248" i="18"/>
  <c r="N244" i="18"/>
  <c r="N230" i="18"/>
  <c r="N225" i="18"/>
  <c r="N224" i="18"/>
  <c r="N223" i="18"/>
  <c r="N259" i="18"/>
  <c r="N253" i="18" s="1"/>
  <c r="N258" i="18"/>
  <c r="N221" i="18" s="1"/>
  <c r="N256" i="18"/>
  <c r="N241" i="18"/>
  <c r="N239" i="18"/>
  <c r="N219" i="18" s="1"/>
  <c r="N237" i="18"/>
  <c r="N213" i="18"/>
  <c r="N210" i="18" s="1"/>
  <c r="N207" i="18"/>
  <c r="N208" i="18" s="1"/>
  <c r="N209" i="18" s="1"/>
  <c r="N201" i="18" s="1"/>
  <c r="N206" i="18"/>
  <c r="N204" i="18"/>
  <c r="N198" i="18"/>
  <c r="N193" i="18"/>
  <c r="N197" i="18"/>
  <c r="N187" i="18"/>
  <c r="N189" i="18" s="1"/>
  <c r="N190" i="18" s="1"/>
  <c r="N184" i="18" s="1"/>
  <c r="N191" i="18" s="1"/>
  <c r="N183" i="18"/>
  <c r="N179" i="18" s="1"/>
  <c r="N172" i="18"/>
  <c r="N171" i="18"/>
  <c r="N169" i="18"/>
  <c r="N173" i="18" s="1"/>
  <c r="N174" i="18" s="1"/>
  <c r="N175" i="18" s="1"/>
  <c r="N165" i="18" s="1"/>
  <c r="N176" i="18" s="1"/>
  <c r="N144" i="18"/>
  <c r="N146" i="18" s="1"/>
  <c r="N147" i="18" s="1"/>
  <c r="N140" i="18" s="1"/>
  <c r="N300" i="18" s="1"/>
  <c r="N302" i="18" s="1"/>
  <c r="N137" i="18"/>
  <c r="N138" i="18" s="1"/>
  <c r="N139" i="18" s="1"/>
  <c r="N130" i="18" s="1"/>
  <c r="N128" i="18" s="1"/>
  <c r="N126" i="18" s="1"/>
  <c r="N289" i="18" s="1"/>
  <c r="N291" i="18" s="1"/>
  <c r="N293" i="18" s="1"/>
  <c r="N295" i="18" s="1"/>
  <c r="N136" i="18"/>
  <c r="N134" i="18"/>
  <c r="N286" i="17"/>
  <c r="N298" i="17" s="1"/>
  <c r="N306" i="17" s="1"/>
  <c r="N289" i="17"/>
  <c r="N230" i="17"/>
  <c r="N232" i="17"/>
  <c r="N227" i="17"/>
  <c r="N229" i="17"/>
  <c r="N221" i="17"/>
  <c r="N218" i="17" s="1"/>
  <c r="N215" i="17"/>
  <c r="N213" i="17"/>
  <c r="N212" i="17"/>
  <c r="N210" i="17"/>
  <c r="N242" i="17"/>
  <c r="N243" i="17" s="1"/>
  <c r="N239" i="17" s="1"/>
  <c r="N234" i="17"/>
  <c r="N237" i="17"/>
  <c r="N208" i="17"/>
  <c r="N216" i="17" s="1"/>
  <c r="N217" i="17" s="1"/>
  <c r="N203" i="17" s="1"/>
  <c r="N225" i="17"/>
  <c r="N226" i="17" s="1"/>
  <c r="N222" i="17" s="1"/>
  <c r="N206" i="17"/>
  <c r="N201" i="17"/>
  <c r="N202" i="17" s="1"/>
  <c r="N199" i="17" s="1"/>
  <c r="N196" i="17"/>
  <c r="N195" i="17"/>
  <c r="N197" i="17" s="1"/>
  <c r="N198" i="17" s="1"/>
  <c r="N192" i="17" s="1"/>
  <c r="N191" i="17"/>
  <c r="N189" i="17" s="1"/>
  <c r="N187" i="17"/>
  <c r="N188" i="17" s="1"/>
  <c r="N184" i="17" s="1"/>
  <c r="N180" i="17"/>
  <c r="N181" i="17" s="1"/>
  <c r="N177" i="17" s="1"/>
  <c r="N182" i="17" s="1"/>
  <c r="N175" i="17"/>
  <c r="N176" i="17" s="1"/>
  <c r="N172" i="17" s="1"/>
  <c r="N165" i="17"/>
  <c r="N164" i="17"/>
  <c r="N166" i="17" s="1"/>
  <c r="N167" i="17" s="1"/>
  <c r="N168" i="17" s="1"/>
  <c r="N160" i="17" s="1"/>
  <c r="N169" i="17" s="1"/>
  <c r="N141" i="17"/>
  <c r="N142" i="17" s="1"/>
  <c r="N137" i="17" s="1"/>
  <c r="N278" i="17" s="1"/>
  <c r="N280" i="17" s="1"/>
  <c r="N134" i="17"/>
  <c r="N133" i="17"/>
  <c r="N415" i="16"/>
  <c r="N412" i="16" s="1"/>
  <c r="N403" i="16"/>
  <c r="N406" i="16"/>
  <c r="N395" i="16"/>
  <c r="N397" i="16"/>
  <c r="N389" i="16"/>
  <c r="N392" i="16" s="1"/>
  <c r="N391" i="16"/>
  <c r="N380" i="16"/>
  <c r="N377" i="16" s="1"/>
  <c r="N376" i="16"/>
  <c r="N373" i="16" s="1"/>
  <c r="N375" i="16"/>
  <c r="N372" i="16"/>
  <c r="N369" i="16" s="1"/>
  <c r="N368" i="16"/>
  <c r="N365" i="16" s="1"/>
  <c r="N363" i="16"/>
  <c r="N364" i="16" s="1"/>
  <c r="N361" i="16" s="1"/>
  <c r="N360" i="16"/>
  <c r="N356" i="16"/>
  <c r="N353" i="16" s="1"/>
  <c r="N287" i="16"/>
  <c r="N284" i="16" s="1"/>
  <c r="N282" i="16"/>
  <c r="N280" i="16" s="1"/>
  <c r="N277" i="16"/>
  <c r="N279" i="16"/>
  <c r="N263" i="16"/>
  <c r="N266" i="16"/>
  <c r="N260" i="16"/>
  <c r="N258" i="16"/>
  <c r="N257" i="16"/>
  <c r="N256" i="16"/>
  <c r="N296" i="16"/>
  <c r="N295" i="16"/>
  <c r="N294" i="16"/>
  <c r="N293" i="16"/>
  <c r="N297" i="16" s="1"/>
  <c r="N292" i="16"/>
  <c r="N274" i="16"/>
  <c r="N273" i="16"/>
  <c r="N272" i="16"/>
  <c r="N271" i="16"/>
  <c r="N270" i="16"/>
  <c r="N275" i="16" s="1"/>
  <c r="N250" i="16"/>
  <c r="N245" i="16"/>
  <c r="N246" i="16" s="1"/>
  <c r="N243" i="16" s="1"/>
  <c r="N240" i="16"/>
  <c r="N237" i="16"/>
  <c r="N236" i="16"/>
  <c r="N239" i="16"/>
  <c r="N238" i="16"/>
  <c r="N235" i="16"/>
  <c r="N234" i="16"/>
  <c r="N233" i="16"/>
  <c r="N241" i="16" s="1"/>
  <c r="N242" i="16" s="1"/>
  <c r="N230" i="16" s="1"/>
  <c r="N229" i="16"/>
  <c r="N226" i="16" s="1"/>
  <c r="N228" i="16"/>
  <c r="N225" i="16"/>
  <c r="N221" i="16" s="1"/>
  <c r="N224" i="16"/>
  <c r="N216" i="16"/>
  <c r="N215" i="16"/>
  <c r="N214" i="16"/>
  <c r="N213" i="16"/>
  <c r="N212" i="16"/>
  <c r="N217" i="16" s="1"/>
  <c r="N218" i="16" s="1"/>
  <c r="N209" i="16" s="1"/>
  <c r="N219" i="16" s="1"/>
  <c r="N207" i="16"/>
  <c r="N208" i="16" s="1"/>
  <c r="N204" i="16" s="1"/>
  <c r="N198" i="16"/>
  <c r="N199" i="16" s="1"/>
  <c r="N200" i="16" s="1"/>
  <c r="N186" i="16" s="1"/>
  <c r="N201" i="16" s="1"/>
  <c r="N197" i="16"/>
  <c r="N194" i="16"/>
  <c r="N193" i="16"/>
  <c r="N196" i="16"/>
  <c r="N195" i="16"/>
  <c r="N192" i="16"/>
  <c r="N191" i="16"/>
  <c r="N190" i="16"/>
  <c r="N155" i="16"/>
  <c r="N154" i="16"/>
  <c r="N153" i="16"/>
  <c r="N152" i="16"/>
  <c r="N151" i="16"/>
  <c r="N156" i="16" s="1"/>
  <c r="N157" i="16" s="1"/>
  <c r="N147" i="16" s="1"/>
  <c r="N345" i="16" s="1"/>
  <c r="N347" i="16" s="1"/>
  <c r="N144" i="16"/>
  <c r="N141" i="16"/>
  <c r="N140" i="16"/>
  <c r="N143" i="16"/>
  <c r="N142" i="16"/>
  <c r="N139" i="16"/>
  <c r="N138" i="16"/>
  <c r="N137" i="16"/>
  <c r="N145" i="16" s="1"/>
  <c r="N146" i="16" s="1"/>
  <c r="N133" i="16" s="1"/>
  <c r="N131" i="16" s="1"/>
  <c r="N129" i="16" s="1"/>
  <c r="N334" i="16" s="1"/>
  <c r="N336" i="16" s="1"/>
  <c r="N282" i="8"/>
  <c r="N279" i="8" s="1"/>
  <c r="N289" i="8" s="1"/>
  <c r="N291" i="8" s="1"/>
  <c r="N299" i="8" s="1"/>
  <c r="N237" i="8"/>
  <c r="N235" i="8" s="1"/>
  <c r="N223" i="8"/>
  <c r="N226" i="8"/>
  <c r="N211" i="8"/>
  <c r="N221" i="8" s="1"/>
  <c r="N222" i="8" s="1"/>
  <c r="N208" i="8" s="1"/>
  <c r="N220" i="8"/>
  <c r="N218" i="8"/>
  <c r="N217" i="8"/>
  <c r="N248" i="8"/>
  <c r="N244" i="8" s="1"/>
  <c r="N247" i="8"/>
  <c r="N215" i="8" s="1"/>
  <c r="N239" i="8"/>
  <c r="N242" i="8"/>
  <c r="N232" i="8"/>
  <c r="N234" i="8"/>
  <c r="N231" i="8"/>
  <c r="N227" i="8" s="1"/>
  <c r="N230" i="8"/>
  <c r="N213" i="8" s="1"/>
  <c r="N206" i="8"/>
  <c r="N207" i="8" s="1"/>
  <c r="N204" i="8" s="1"/>
  <c r="N201" i="8"/>
  <c r="N200" i="8"/>
  <c r="N202" i="8" s="1"/>
  <c r="N203" i="8" s="1"/>
  <c r="N197" i="8" s="1"/>
  <c r="N195" i="8"/>
  <c r="N196" i="8" s="1"/>
  <c r="N193" i="8" s="1"/>
  <c r="N188" i="8"/>
  <c r="N192" i="8"/>
  <c r="N191" i="8"/>
  <c r="N185" i="8"/>
  <c r="N181" i="8" s="1"/>
  <c r="N186" i="8" s="1"/>
  <c r="N184" i="8"/>
  <c r="N176" i="8"/>
  <c r="N180" i="8"/>
  <c r="N179" i="8"/>
  <c r="N169" i="8"/>
  <c r="N168" i="8"/>
  <c r="N170" i="8" s="1"/>
  <c r="N171" i="8" s="1"/>
  <c r="N172" i="8" s="1"/>
  <c r="N164" i="8" s="1"/>
  <c r="N173" i="8" s="1"/>
  <c r="N141" i="8"/>
  <c r="N142" i="8" s="1"/>
  <c r="N137" i="8" s="1"/>
  <c r="N271" i="8" s="1"/>
  <c r="N273" i="8" s="1"/>
  <c r="N136" i="8"/>
  <c r="N129" i="8" s="1"/>
  <c r="N135" i="8"/>
  <c r="N134" i="8"/>
  <c r="N133" i="8"/>
  <c r="N352" i="7"/>
  <c r="N350" i="7" s="1"/>
  <c r="N295" i="7"/>
  <c r="N292" i="7" s="1"/>
  <c r="N280" i="7"/>
  <c r="N278" i="7" s="1"/>
  <c r="N272" i="7"/>
  <c r="N260" i="7" s="1"/>
  <c r="N257" i="7"/>
  <c r="N255" i="7"/>
  <c r="N254" i="7"/>
  <c r="N253" i="7"/>
  <c r="N251" i="7"/>
  <c r="N301" i="7"/>
  <c r="N297" i="7" s="1"/>
  <c r="N300" i="7"/>
  <c r="N249" i="7"/>
  <c r="N277" i="7"/>
  <c r="N273" i="7" s="1"/>
  <c r="N276" i="7"/>
  <c r="N247" i="7"/>
  <c r="N258" i="7" s="1"/>
  <c r="N259" i="7" s="1"/>
  <c r="N244" i="7" s="1"/>
  <c r="N241" i="7"/>
  <c r="N242" i="7" s="1"/>
  <c r="N243" i="7" s="1"/>
  <c r="N235" i="7" s="1"/>
  <c r="N240" i="7"/>
  <c r="N232" i="7"/>
  <c r="N231" i="7"/>
  <c r="N233" i="7" s="1"/>
  <c r="N234" i="7" s="1"/>
  <c r="N227" i="7" s="1"/>
  <c r="N230" i="7"/>
  <c r="N212" i="7"/>
  <c r="N209" i="7" s="1"/>
  <c r="N211" i="7"/>
  <c r="N204" i="7"/>
  <c r="N205" i="7" s="1"/>
  <c r="N206" i="7" s="1"/>
  <c r="N199" i="7" s="1"/>
  <c r="N202" i="7"/>
  <c r="N196" i="7"/>
  <c r="N192" i="7" s="1"/>
  <c r="N197" i="7" s="1"/>
  <c r="N195" i="7"/>
  <c r="N190" i="7"/>
  <c r="N191" i="7" s="1"/>
  <c r="N187" i="7" s="1"/>
  <c r="N180" i="7"/>
  <c r="N179" i="7"/>
  <c r="N178" i="7"/>
  <c r="N176" i="7"/>
  <c r="N175" i="7"/>
  <c r="N181" i="7" s="1"/>
  <c r="N182" i="7" s="1"/>
  <c r="N183" i="7" s="1"/>
  <c r="N170" i="7" s="1"/>
  <c r="N184" i="7" s="1"/>
  <c r="N174" i="7"/>
  <c r="N362" i="7" l="1"/>
  <c r="N360" i="7"/>
  <c r="N370" i="7" s="1"/>
  <c r="N127" i="8"/>
  <c r="N125" i="8"/>
  <c r="N260" i="8" s="1"/>
  <c r="N262" i="8" s="1"/>
  <c r="N264" i="8" s="1"/>
  <c r="N266" i="8" s="1"/>
  <c r="N254" i="16"/>
  <c r="N261" i="16" s="1"/>
  <c r="N262" i="16" s="1"/>
  <c r="N247" i="16" s="1"/>
  <c r="N298" i="16"/>
  <c r="N289" i="16" s="1"/>
  <c r="N338" i="16"/>
  <c r="N340" i="16"/>
  <c r="N252" i="16"/>
  <c r="N276" i="16"/>
  <c r="N267" i="16" s="1"/>
  <c r="N296" i="17"/>
  <c r="N228" i="18"/>
  <c r="N229" i="18" s="1"/>
  <c r="N214" i="18" s="1"/>
  <c r="N135" i="17"/>
  <c r="N136" i="17" s="1"/>
  <c r="N129" i="17" s="1"/>
  <c r="N127" i="17" s="1"/>
  <c r="N125" i="17" s="1"/>
  <c r="N267" i="17" s="1"/>
  <c r="N270" i="34"/>
  <c r="N268" i="34"/>
  <c r="N240" i="18"/>
  <c r="N234" i="18" s="1"/>
  <c r="N138" i="7"/>
  <c r="N342" i="7" s="1"/>
  <c r="N344" i="7" s="1"/>
  <c r="N143" i="7"/>
  <c r="N142" i="7"/>
  <c r="N135" i="7"/>
  <c r="N136" i="7" s="1"/>
  <c r="N137" i="7" s="1"/>
  <c r="N129" i="7" s="1"/>
  <c r="N125" i="7" s="1"/>
  <c r="N134" i="7"/>
  <c r="N133" i="7"/>
  <c r="N314" i="6"/>
  <c r="N311" i="6" s="1"/>
  <c r="N321" i="6" s="1"/>
  <c r="N323" i="6" s="1"/>
  <c r="N331" i="6" s="1"/>
  <c r="N245" i="6"/>
  <c r="N243" i="6" s="1"/>
  <c r="N231" i="6"/>
  <c r="N234" i="6"/>
  <c r="N228" i="6"/>
  <c r="N226" i="6"/>
  <c r="N225" i="6"/>
  <c r="N224" i="6"/>
  <c r="N256" i="6"/>
  <c r="N252" i="6" s="1"/>
  <c r="N255" i="6"/>
  <c r="N222" i="6" s="1"/>
  <c r="N250" i="6"/>
  <c r="N247" i="6" s="1"/>
  <c r="N240" i="6"/>
  <c r="N242" i="6"/>
  <c r="N238" i="6"/>
  <c r="N220" i="6" s="1"/>
  <c r="N229" i="6" s="1"/>
  <c r="N230" i="6" s="1"/>
  <c r="N215" i="6" s="1"/>
  <c r="N218" i="6"/>
  <c r="N214" i="6"/>
  <c r="N211" i="6" s="1"/>
  <c r="N213" i="6"/>
  <c r="N208" i="6"/>
  <c r="N209" i="6" s="1"/>
  <c r="N210" i="6" s="1"/>
  <c r="N203" i="6" s="1"/>
  <c r="N207" i="6"/>
  <c r="N206" i="6"/>
  <c r="N199" i="6"/>
  <c r="N202" i="6"/>
  <c r="N201" i="6"/>
  <c r="N197" i="6"/>
  <c r="N198" i="6" s="1"/>
  <c r="N194" i="6" s="1"/>
  <c r="N191" i="6"/>
  <c r="N187" i="6" s="1"/>
  <c r="N192" i="6" s="1"/>
  <c r="N190" i="6"/>
  <c r="N185" i="6"/>
  <c r="N186" i="6" s="1"/>
  <c r="N182" i="6" s="1"/>
  <c r="N175" i="6"/>
  <c r="N174" i="6"/>
  <c r="N173" i="6"/>
  <c r="N176" i="6" s="1"/>
  <c r="N177" i="6" s="1"/>
  <c r="N178" i="6" s="1"/>
  <c r="N169" i="6" s="1"/>
  <c r="N179" i="6" s="1"/>
  <c r="N142" i="6"/>
  <c r="N303" i="6" s="1"/>
  <c r="N305" i="6" s="1"/>
  <c r="N147" i="6"/>
  <c r="N146" i="6"/>
  <c r="N139" i="6"/>
  <c r="N140" i="6" s="1"/>
  <c r="N141" i="6" s="1"/>
  <c r="N133" i="6" s="1"/>
  <c r="N138" i="6"/>
  <c r="N137" i="6"/>
  <c r="N310" i="5"/>
  <c r="N312" i="5"/>
  <c r="N301" i="5"/>
  <c r="N300" i="5" s="1"/>
  <c r="N302" i="5" s="1"/>
  <c r="N290" i="5"/>
  <c r="N293" i="5"/>
  <c r="N240" i="5"/>
  <c r="N243" i="5"/>
  <c r="N238" i="5"/>
  <c r="N236" i="5" s="1"/>
  <c r="N224" i="5"/>
  <c r="N227" i="5"/>
  <c r="N212" i="5"/>
  <c r="N221" i="5"/>
  <c r="N219" i="5"/>
  <c r="N218" i="5"/>
  <c r="N248" i="5"/>
  <c r="N216" i="5" s="1"/>
  <c r="N233" i="5"/>
  <c r="N235" i="5"/>
  <c r="N231" i="5"/>
  <c r="N214" i="5" s="1"/>
  <c r="N207" i="5"/>
  <c r="N208" i="5" s="1"/>
  <c r="N205" i="5" s="1"/>
  <c r="N202" i="5"/>
  <c r="N203" i="5" s="1"/>
  <c r="N204" i="5" s="1"/>
  <c r="N198" i="5" s="1"/>
  <c r="N201" i="5"/>
  <c r="N196" i="5"/>
  <c r="N197" i="5" s="1"/>
  <c r="N194" i="5" s="1"/>
  <c r="N193" i="5"/>
  <c r="N189" i="5" s="1"/>
  <c r="N192" i="5"/>
  <c r="N185" i="5"/>
  <c r="N186" i="5" s="1"/>
  <c r="N182" i="5" s="1"/>
  <c r="N187" i="5" s="1"/>
  <c r="N180" i="5"/>
  <c r="N181" i="5" s="1"/>
  <c r="N177" i="5" s="1"/>
  <c r="N170" i="5"/>
  <c r="N171" i="5" s="1"/>
  <c r="N172" i="5" s="1"/>
  <c r="N173" i="5" s="1"/>
  <c r="N169" i="5"/>
  <c r="N143" i="5"/>
  <c r="N138" i="5" s="1"/>
  <c r="N142" i="5"/>
  <c r="J138" i="5"/>
  <c r="S138" i="5"/>
  <c r="L138" i="5" s="1"/>
  <c r="CF138" i="5"/>
  <c r="CH138" i="5"/>
  <c r="CJ138" i="5"/>
  <c r="DU138" i="5"/>
  <c r="DV138" i="5"/>
  <c r="DW138" i="5"/>
  <c r="DX138" i="5"/>
  <c r="DY138" i="5"/>
  <c r="EA138" i="5"/>
  <c r="N135" i="5"/>
  <c r="N134" i="5"/>
  <c r="N136" i="5" s="1"/>
  <c r="N137" i="5" s="1"/>
  <c r="N130" i="5" s="1"/>
  <c r="N128" i="5" s="1"/>
  <c r="N126" i="5" s="1"/>
  <c r="N271" i="5" s="1"/>
  <c r="N273" i="5" s="1"/>
  <c r="N275" i="5" s="1"/>
  <c r="N277" i="5" s="1"/>
  <c r="N316" i="4"/>
  <c r="N314" i="4" s="1"/>
  <c r="N308" i="4"/>
  <c r="N306" i="4" s="1"/>
  <c r="N302" i="4"/>
  <c r="N301" i="4" s="1"/>
  <c r="N303" i="4" s="1"/>
  <c r="N294" i="4"/>
  <c r="N291" i="4" s="1"/>
  <c r="N290" i="4"/>
  <c r="N241" i="4"/>
  <c r="N242" i="4" s="1"/>
  <c r="N238" i="4" s="1"/>
  <c r="N236" i="4"/>
  <c r="N234" i="4" s="1"/>
  <c r="N223" i="4"/>
  <c r="N220" i="4" s="1"/>
  <c r="N217" i="4"/>
  <c r="N215" i="4"/>
  <c r="N248" i="4"/>
  <c r="N247" i="4"/>
  <c r="N249" i="4" s="1"/>
  <c r="N250" i="4" s="1"/>
  <c r="N244" i="4" s="1"/>
  <c r="N212" i="4" s="1"/>
  <c r="N228" i="4"/>
  <c r="N227" i="4"/>
  <c r="N229" i="4" s="1"/>
  <c r="N208" i="4"/>
  <c r="N203" i="4"/>
  <c r="N204" i="4" s="1"/>
  <c r="N201" i="4" s="1"/>
  <c r="N197" i="4"/>
  <c r="N196" i="4"/>
  <c r="N199" i="4" s="1"/>
  <c r="N200" i="4" s="1"/>
  <c r="N193" i="4" s="1"/>
  <c r="N191" i="4"/>
  <c r="N192" i="4" s="1"/>
  <c r="N189" i="4" s="1"/>
  <c r="N187" i="4"/>
  <c r="N188" i="4" s="1"/>
  <c r="N184" i="4" s="1"/>
  <c r="N179" i="4"/>
  <c r="N178" i="4"/>
  <c r="N173" i="4"/>
  <c r="N174" i="4" s="1"/>
  <c r="N170" i="4" s="1"/>
  <c r="N163" i="4"/>
  <c r="N162" i="4"/>
  <c r="N161" i="4"/>
  <c r="N142" i="4"/>
  <c r="N143" i="4" s="1"/>
  <c r="N138" i="4" s="1"/>
  <c r="N279" i="4" s="1"/>
  <c r="N281" i="4" s="1"/>
  <c r="N134" i="4"/>
  <c r="N133" i="4"/>
  <c r="N136" i="4" s="1"/>
  <c r="N137" i="4" s="1"/>
  <c r="N129" i="4" s="1"/>
  <c r="N127" i="4" s="1"/>
  <c r="N125" i="4" s="1"/>
  <c r="N268" i="4" s="1"/>
  <c r="N270" i="4" s="1"/>
  <c r="N272" i="4" s="1"/>
  <c r="N274" i="4" s="1"/>
  <c r="N131" i="6" l="1"/>
  <c r="N129" i="6"/>
  <c r="N292" i="6" s="1"/>
  <c r="N282" i="5"/>
  <c r="N284" i="5" s="1"/>
  <c r="O138" i="5"/>
  <c r="N331" i="7"/>
  <c r="N333" i="7" s="1"/>
  <c r="N335" i="7" s="1"/>
  <c r="N337" i="7" s="1"/>
  <c r="N127" i="7"/>
  <c r="N174" i="5"/>
  <c r="N165" i="5"/>
  <c r="N222" i="5"/>
  <c r="N223" i="5" s="1"/>
  <c r="N209" i="5" s="1"/>
  <c r="N180" i="4"/>
  <c r="N181" i="4" s="1"/>
  <c r="N164" i="4"/>
  <c r="N165" i="4" s="1"/>
  <c r="N166" i="4" s="1"/>
  <c r="N239" i="6"/>
  <c r="N235" i="6" s="1"/>
  <c r="N273" i="17"/>
  <c r="N271" i="17"/>
  <c r="N269" i="17"/>
  <c r="U138" i="5"/>
  <c r="V138" i="5" s="1"/>
  <c r="N249" i="5"/>
  <c r="N245" i="5" s="1"/>
  <c r="T138" i="5"/>
  <c r="N232" i="5"/>
  <c r="N228" i="5" s="1"/>
  <c r="N182" i="4"/>
  <c r="N175" i="4"/>
  <c r="N167" i="4"/>
  <c r="N157" i="4"/>
  <c r="N210" i="4"/>
  <c r="N218" i="4" s="1"/>
  <c r="N219" i="4" s="1"/>
  <c r="N205" i="4" s="1"/>
  <c r="N230" i="4"/>
  <c r="N224" i="4" s="1"/>
  <c r="N233" i="4" s="1"/>
  <c r="N231" i="4" s="1"/>
  <c r="P138" i="5"/>
  <c r="Q138" i="5" s="1"/>
  <c r="M138" i="5"/>
  <c r="N298" i="6" l="1"/>
  <c r="N296" i="6"/>
  <c r="N294" i="6"/>
  <c r="N307" i="3"/>
  <c r="N308" i="3" s="1"/>
  <c r="N305" i="3" s="1"/>
  <c r="N304" i="3"/>
  <c r="N301" i="3" s="1"/>
  <c r="N250" i="3"/>
  <c r="N246" i="3" s="1"/>
  <c r="N249" i="3"/>
  <c r="N225" i="3"/>
  <c r="N256" i="3"/>
  <c r="N255" i="3"/>
  <c r="N257" i="3" s="1"/>
  <c r="N236" i="3"/>
  <c r="N237" i="3" s="1"/>
  <c r="N235" i="3"/>
  <c r="N216" i="3"/>
  <c r="N210" i="3"/>
  <c r="N212" i="3"/>
  <c r="N206" i="3"/>
  <c r="N208" i="3" s="1"/>
  <c r="N209" i="3" s="1"/>
  <c r="N202" i="3" s="1"/>
  <c r="N205" i="3"/>
  <c r="N190" i="3"/>
  <c r="N189" i="3"/>
  <c r="N191" i="3" s="1"/>
  <c r="N192" i="3" s="1"/>
  <c r="N174" i="3"/>
  <c r="N173" i="3"/>
  <c r="N176" i="3" s="1"/>
  <c r="N177" i="3" s="1"/>
  <c r="N178" i="3" s="1"/>
  <c r="N146" i="3"/>
  <c r="N147" i="3" s="1"/>
  <c r="N142" i="3" s="1"/>
  <c r="N293" i="3" s="1"/>
  <c r="N295" i="3" s="1"/>
  <c r="N140" i="3"/>
  <c r="N141" i="3" s="1"/>
  <c r="N133" i="3" s="1"/>
  <c r="N131" i="3" s="1"/>
  <c r="N129" i="3" s="1"/>
  <c r="N282" i="3" s="1"/>
  <c r="N284" i="3" s="1"/>
  <c r="N286" i="3" s="1"/>
  <c r="N288" i="3" s="1"/>
  <c r="N138" i="3"/>
  <c r="N169" i="3" l="1"/>
  <c r="N179" i="3"/>
  <c r="N193" i="3"/>
  <c r="N186" i="3"/>
  <c r="N218" i="3"/>
  <c r="N226" i="3" s="1"/>
  <c r="N227" i="3" s="1"/>
  <c r="N238" i="3"/>
  <c r="N232" i="3" s="1"/>
  <c r="N241" i="3" s="1"/>
  <c r="N239" i="3" s="1"/>
  <c r="N258" i="3"/>
  <c r="N252" i="3" s="1"/>
  <c r="N220" i="3"/>
  <c r="N318" i="2"/>
  <c r="N315" i="2" s="1"/>
  <c r="N231" i="3" l="1"/>
  <c r="N228" i="3" s="1"/>
  <c r="N244" i="3" s="1"/>
  <c r="N242" i="3" s="1"/>
  <c r="N213" i="3"/>
  <c r="N198" i="3"/>
  <c r="N195" i="3" s="1"/>
  <c r="N201" i="3" s="1"/>
  <c r="N199" i="3" s="1"/>
  <c r="N185" i="3"/>
  <c r="N182" i="3" s="1"/>
  <c r="N234" i="2"/>
  <c r="N266" i="2"/>
  <c r="N262" i="2" s="1"/>
  <c r="N265" i="2"/>
  <c r="N228" i="2" s="1"/>
  <c r="N260" i="2"/>
  <c r="N256" i="2" s="1"/>
  <c r="N250" i="2"/>
  <c r="N251" i="2" s="1"/>
  <c r="N248" i="2" s="1"/>
  <c r="N247" i="2"/>
  <c r="N243" i="2" s="1"/>
  <c r="N246" i="2"/>
  <c r="N226" i="2" s="1"/>
  <c r="N224" i="2"/>
  <c r="N219" i="2"/>
  <c r="N220" i="2" s="1"/>
  <c r="N217" i="2" s="1"/>
  <c r="N215" i="2"/>
  <c r="N216" i="2" s="1"/>
  <c r="N210" i="2" s="1"/>
  <c r="N214" i="2"/>
  <c r="N213" i="2"/>
  <c r="N198" i="2"/>
  <c r="N199" i="2" s="1"/>
  <c r="N197" i="2"/>
  <c r="N182" i="2"/>
  <c r="N181" i="2"/>
  <c r="N183" i="2" s="1"/>
  <c r="N184" i="2" s="1"/>
  <c r="N146" i="2"/>
  <c r="N141" i="2" s="1"/>
  <c r="N145" i="2"/>
  <c r="N139" i="2"/>
  <c r="N140" i="2" s="1"/>
  <c r="N133" i="2" s="1"/>
  <c r="N131" i="2" s="1"/>
  <c r="N129" i="2" s="1"/>
  <c r="N137" i="2"/>
  <c r="N192" i="2" l="1"/>
  <c r="N193" i="2" s="1"/>
  <c r="N189" i="2" s="1"/>
  <c r="N185" i="2"/>
  <c r="N204" i="2"/>
  <c r="N194" i="2"/>
  <c r="N237" i="2"/>
  <c r="N238" i="2" s="1"/>
  <c r="N242" i="2" s="1"/>
  <c r="N239" i="2" s="1"/>
  <c r="N254" i="2" s="1"/>
  <c r="N252" i="2" s="1"/>
  <c r="X125" i="42"/>
  <c r="Z125" i="42"/>
  <c r="AB125" i="42"/>
  <c r="AD125" i="42"/>
  <c r="S320" i="42"/>
  <c r="O320" i="42"/>
  <c r="S318" i="42"/>
  <c r="L318" i="42" s="1"/>
  <c r="O318" i="42"/>
  <c r="S316" i="42"/>
  <c r="U316" i="42" s="1"/>
  <c r="V316" i="42" s="1"/>
  <c r="O316" i="42"/>
  <c r="S313" i="42"/>
  <c r="U313" i="42" s="1"/>
  <c r="V313" i="42" s="1"/>
  <c r="O313" i="42"/>
  <c r="S311" i="42"/>
  <c r="O311" i="42"/>
  <c r="S309" i="42"/>
  <c r="L309" i="42" s="1"/>
  <c r="O309" i="42"/>
  <c r="S307" i="42"/>
  <c r="T307" i="42" s="1"/>
  <c r="O307" i="42"/>
  <c r="S305" i="42"/>
  <c r="U305" i="42" s="1"/>
  <c r="V305" i="42" s="1"/>
  <c r="O305" i="42"/>
  <c r="S302" i="42"/>
  <c r="O302" i="42"/>
  <c r="S300" i="42"/>
  <c r="L300" i="42" s="1"/>
  <c r="O300" i="42"/>
  <c r="S298" i="42"/>
  <c r="T298" i="42" s="1"/>
  <c r="O298" i="42"/>
  <c r="S296" i="42"/>
  <c r="U296" i="42" s="1"/>
  <c r="V296" i="42" s="1"/>
  <c r="O296" i="42"/>
  <c r="S293" i="42"/>
  <c r="O293" i="42"/>
  <c r="S291" i="42"/>
  <c r="U291" i="42" s="1"/>
  <c r="V291" i="42" s="1"/>
  <c r="O291" i="42"/>
  <c r="S289" i="42"/>
  <c r="T289" i="42" s="1"/>
  <c r="O289" i="42"/>
  <c r="S287" i="42"/>
  <c r="U287" i="42" s="1"/>
  <c r="V287" i="42" s="1"/>
  <c r="O287" i="42"/>
  <c r="S285" i="42"/>
  <c r="O285" i="42"/>
  <c r="S283" i="42"/>
  <c r="U283" i="42" s="1"/>
  <c r="V283" i="42" s="1"/>
  <c r="O283" i="42"/>
  <c r="S281" i="42"/>
  <c r="T281" i="42" s="1"/>
  <c r="O281" i="42"/>
  <c r="S279" i="42"/>
  <c r="U279" i="42" s="1"/>
  <c r="V279" i="42" s="1"/>
  <c r="O279" i="42"/>
  <c r="S277" i="42"/>
  <c r="O277" i="42"/>
  <c r="S275" i="42"/>
  <c r="U275" i="42" s="1"/>
  <c r="V275" i="42" s="1"/>
  <c r="O275" i="42"/>
  <c r="S272" i="42"/>
  <c r="T272" i="42" s="1"/>
  <c r="O272" i="42"/>
  <c r="S270" i="42"/>
  <c r="U270" i="42" s="1"/>
  <c r="V270" i="42" s="1"/>
  <c r="O270" i="42"/>
  <c r="S268" i="42"/>
  <c r="O268" i="42"/>
  <c r="S266" i="42"/>
  <c r="U266" i="42" s="1"/>
  <c r="V266" i="42" s="1"/>
  <c r="O266" i="42"/>
  <c r="S264" i="42"/>
  <c r="T264" i="42" s="1"/>
  <c r="O264" i="42"/>
  <c r="S262" i="42"/>
  <c r="U262" i="42" s="1"/>
  <c r="V262" i="42" s="1"/>
  <c r="O262" i="42"/>
  <c r="S260" i="42"/>
  <c r="O260" i="42"/>
  <c r="S258" i="42"/>
  <c r="U258" i="42" s="1"/>
  <c r="V258" i="42" s="1"/>
  <c r="O258" i="42"/>
  <c r="S256" i="42"/>
  <c r="T256" i="42" s="1"/>
  <c r="O256" i="42"/>
  <c r="S254" i="42"/>
  <c r="U254" i="42" s="1"/>
  <c r="V254" i="42" s="1"/>
  <c r="O254" i="42"/>
  <c r="S252" i="42"/>
  <c r="O252" i="42"/>
  <c r="S250" i="42"/>
  <c r="U250" i="42" s="1"/>
  <c r="V250" i="42" s="1"/>
  <c r="O250" i="42"/>
  <c r="S248" i="42"/>
  <c r="T248" i="42" s="1"/>
  <c r="O248" i="42"/>
  <c r="S246" i="42"/>
  <c r="U246" i="42" s="1"/>
  <c r="V246" i="42" s="1"/>
  <c r="O246" i="42"/>
  <c r="S244" i="42"/>
  <c r="O244" i="42"/>
  <c r="S241" i="42"/>
  <c r="U241" i="42" s="1"/>
  <c r="V241" i="42" s="1"/>
  <c r="O241" i="42"/>
  <c r="S239" i="42"/>
  <c r="T239" i="42" s="1"/>
  <c r="O239" i="42"/>
  <c r="S237" i="42"/>
  <c r="U237" i="42" s="1"/>
  <c r="V237" i="42" s="1"/>
  <c r="O237" i="42"/>
  <c r="S235" i="42"/>
  <c r="O235" i="42"/>
  <c r="S233" i="42"/>
  <c r="U233" i="42" s="1"/>
  <c r="V233" i="42" s="1"/>
  <c r="O233" i="42"/>
  <c r="L233" i="42"/>
  <c r="M233" i="42" s="1"/>
  <c r="S229" i="42"/>
  <c r="T229" i="42" s="1"/>
  <c r="O229" i="42"/>
  <c r="S227" i="42"/>
  <c r="U227" i="42" s="1"/>
  <c r="V227" i="42" s="1"/>
  <c r="O227" i="42"/>
  <c r="S225" i="42"/>
  <c r="O225" i="42"/>
  <c r="S223" i="42"/>
  <c r="U223" i="42" s="1"/>
  <c r="V223" i="42" s="1"/>
  <c r="O223" i="42"/>
  <c r="S221" i="42"/>
  <c r="U221" i="42" s="1"/>
  <c r="V221" i="42" s="1"/>
  <c r="O221" i="42"/>
  <c r="T219" i="42"/>
  <c r="S219" i="42"/>
  <c r="U219" i="42" s="1"/>
  <c r="V219" i="42" s="1"/>
  <c r="O219" i="42"/>
  <c r="L219" i="42"/>
  <c r="S217" i="42"/>
  <c r="O217" i="42"/>
  <c r="S215" i="42"/>
  <c r="O215" i="42"/>
  <c r="S213" i="42"/>
  <c r="U213" i="42" s="1"/>
  <c r="V213" i="42" s="1"/>
  <c r="O213" i="42"/>
  <c r="S211" i="42"/>
  <c r="T211" i="42" s="1"/>
  <c r="O211" i="42"/>
  <c r="S209" i="42"/>
  <c r="U209" i="42" s="1"/>
  <c r="V209" i="42" s="1"/>
  <c r="O209" i="42"/>
  <c r="S207" i="42"/>
  <c r="O207" i="42"/>
  <c r="S205" i="42"/>
  <c r="L205" i="42" s="1"/>
  <c r="O205" i="42"/>
  <c r="S203" i="42"/>
  <c r="U203" i="42" s="1"/>
  <c r="V203" i="42" s="1"/>
  <c r="O203" i="42"/>
  <c r="S201" i="42"/>
  <c r="U201" i="42" s="1"/>
  <c r="V201" i="42" s="1"/>
  <c r="O201" i="42"/>
  <c r="S199" i="42"/>
  <c r="O199" i="42"/>
  <c r="S197" i="42"/>
  <c r="L197" i="42" s="1"/>
  <c r="O197" i="42"/>
  <c r="S195" i="42"/>
  <c r="T195" i="42" s="1"/>
  <c r="O195" i="42"/>
  <c r="S193" i="42"/>
  <c r="U193" i="42" s="1"/>
  <c r="V193" i="42" s="1"/>
  <c r="O193" i="42"/>
  <c r="S191" i="42"/>
  <c r="O191" i="42"/>
  <c r="S189" i="42"/>
  <c r="U189" i="42" s="1"/>
  <c r="V189" i="42" s="1"/>
  <c r="O189" i="42"/>
  <c r="S187" i="42"/>
  <c r="T187" i="42" s="1"/>
  <c r="O187" i="42"/>
  <c r="S185" i="42"/>
  <c r="U185" i="42" s="1"/>
  <c r="V185" i="42" s="1"/>
  <c r="O185" i="42"/>
  <c r="S183" i="42"/>
  <c r="O183" i="42"/>
  <c r="S181" i="42"/>
  <c r="U181" i="42" s="1"/>
  <c r="V181" i="42" s="1"/>
  <c r="O181" i="42"/>
  <c r="S179" i="42"/>
  <c r="T179" i="42" s="1"/>
  <c r="O179" i="42"/>
  <c r="S177" i="42"/>
  <c r="U177" i="42" s="1"/>
  <c r="V177" i="42" s="1"/>
  <c r="O177" i="42"/>
  <c r="S175" i="42"/>
  <c r="O175" i="42"/>
  <c r="T173" i="42"/>
  <c r="S173" i="42"/>
  <c r="L173" i="42" s="1"/>
  <c r="O173" i="42"/>
  <c r="S171" i="42"/>
  <c r="T171" i="42" s="1"/>
  <c r="O171" i="42"/>
  <c r="S169" i="42"/>
  <c r="U169" i="42" s="1"/>
  <c r="V169" i="42" s="1"/>
  <c r="O169" i="42"/>
  <c r="S167" i="42"/>
  <c r="O167" i="42"/>
  <c r="S165" i="42"/>
  <c r="L165" i="42" s="1"/>
  <c r="O165" i="42"/>
  <c r="S163" i="42"/>
  <c r="T163" i="42" s="1"/>
  <c r="O163" i="42"/>
  <c r="S161" i="42"/>
  <c r="U161" i="42" s="1"/>
  <c r="V161" i="42" s="1"/>
  <c r="O161" i="42"/>
  <c r="S159" i="42"/>
  <c r="O159" i="42"/>
  <c r="S157" i="42"/>
  <c r="L157" i="42" s="1"/>
  <c r="O157" i="42"/>
  <c r="S155" i="42"/>
  <c r="T155" i="42" s="1"/>
  <c r="O155" i="42"/>
  <c r="S153" i="42"/>
  <c r="U153" i="42" s="1"/>
  <c r="V153" i="42" s="1"/>
  <c r="O153" i="42"/>
  <c r="S151" i="42"/>
  <c r="O151" i="42"/>
  <c r="S149" i="42"/>
  <c r="U149" i="42" s="1"/>
  <c r="V149" i="42" s="1"/>
  <c r="O149" i="42"/>
  <c r="S147" i="42"/>
  <c r="T147" i="42" s="1"/>
  <c r="O147" i="42"/>
  <c r="S145" i="42"/>
  <c r="T145" i="42" s="1"/>
  <c r="O145" i="42"/>
  <c r="S143" i="42"/>
  <c r="O143" i="42"/>
  <c r="S141" i="42"/>
  <c r="L141" i="42" s="1"/>
  <c r="O141" i="42"/>
  <c r="S139" i="42"/>
  <c r="T139" i="42" s="1"/>
  <c r="O139" i="42"/>
  <c r="S137" i="42"/>
  <c r="U137" i="42" s="1"/>
  <c r="V137" i="42" s="1"/>
  <c r="O137" i="42"/>
  <c r="S135" i="42"/>
  <c r="O135" i="42"/>
  <c r="S133" i="42"/>
  <c r="U133" i="42" s="1"/>
  <c r="V133" i="42" s="1"/>
  <c r="O133" i="42"/>
  <c r="S131" i="42"/>
  <c r="T131" i="42" s="1"/>
  <c r="O131" i="42"/>
  <c r="S129" i="42"/>
  <c r="U129" i="42" s="1"/>
  <c r="V129" i="42" s="1"/>
  <c r="O129" i="42"/>
  <c r="O127" i="42"/>
  <c r="S127" i="42"/>
  <c r="L127" i="42" s="1"/>
  <c r="U121" i="27"/>
  <c r="X121" i="27"/>
  <c r="Z121" i="27"/>
  <c r="AB121" i="27"/>
  <c r="AD121" i="27"/>
  <c r="S160" i="27"/>
  <c r="T160" i="27" s="1"/>
  <c r="O160" i="27"/>
  <c r="S158" i="27"/>
  <c r="U158" i="27" s="1"/>
  <c r="V158" i="27" s="1"/>
  <c r="O158" i="27"/>
  <c r="S156" i="27"/>
  <c r="L156" i="27" s="1"/>
  <c r="O156" i="27"/>
  <c r="S154" i="27"/>
  <c r="U154" i="27" s="1"/>
  <c r="V154" i="27" s="1"/>
  <c r="O154" i="27"/>
  <c r="S151" i="27"/>
  <c r="T151" i="27" s="1"/>
  <c r="O151" i="27"/>
  <c r="S149" i="27"/>
  <c r="U149" i="27" s="1"/>
  <c r="V149" i="27" s="1"/>
  <c r="O149" i="27"/>
  <c r="S147" i="27"/>
  <c r="L147" i="27" s="1"/>
  <c r="O147" i="27"/>
  <c r="S145" i="27"/>
  <c r="U145" i="27" s="1"/>
  <c r="V145" i="27" s="1"/>
  <c r="O145" i="27"/>
  <c r="S142" i="27"/>
  <c r="T142" i="27" s="1"/>
  <c r="O142" i="27"/>
  <c r="S140" i="27"/>
  <c r="U140" i="27" s="1"/>
  <c r="V140" i="27" s="1"/>
  <c r="O140" i="27"/>
  <c r="S138" i="27"/>
  <c r="L138" i="27" s="1"/>
  <c r="O138" i="27"/>
  <c r="S136" i="27"/>
  <c r="U136" i="27" s="1"/>
  <c r="V136" i="27" s="1"/>
  <c r="O136" i="27"/>
  <c r="S134" i="27"/>
  <c r="T134" i="27" s="1"/>
  <c r="O134" i="27"/>
  <c r="S132" i="27"/>
  <c r="U132" i="27" s="1"/>
  <c r="V132" i="27" s="1"/>
  <c r="O132" i="27"/>
  <c r="S130" i="27"/>
  <c r="L130" i="27" s="1"/>
  <c r="O130" i="27"/>
  <c r="S128" i="27"/>
  <c r="U128" i="27" s="1"/>
  <c r="V128" i="27" s="1"/>
  <c r="O128" i="27"/>
  <c r="S126" i="27"/>
  <c r="T126" i="27" s="1"/>
  <c r="O126" i="27"/>
  <c r="O123" i="27"/>
  <c r="O122" i="27" s="1"/>
  <c r="U123" i="27"/>
  <c r="V123" i="27" s="1"/>
  <c r="V122" i="27" s="1"/>
  <c r="S123" i="27"/>
  <c r="T123" i="27" s="1"/>
  <c r="T122" i="27" s="1"/>
  <c r="L145" i="42" l="1"/>
  <c r="U163" i="42"/>
  <c r="V163" i="42" s="1"/>
  <c r="T275" i="42"/>
  <c r="L158" i="27"/>
  <c r="P158" i="27" s="1"/>
  <c r="Q158" i="27" s="1"/>
  <c r="T157" i="42"/>
  <c r="L195" i="42"/>
  <c r="M195" i="42" s="1"/>
  <c r="L153" i="42"/>
  <c r="U145" i="42"/>
  <c r="V145" i="42" s="1"/>
  <c r="L128" i="27"/>
  <c r="M128" i="27" s="1"/>
  <c r="L154" i="27"/>
  <c r="M154" i="27" s="1"/>
  <c r="U195" i="42"/>
  <c r="V195" i="42" s="1"/>
  <c r="U239" i="42"/>
  <c r="V239" i="42" s="1"/>
  <c r="N208" i="2"/>
  <c r="N209" i="2" s="1"/>
  <c r="N206" i="2" s="1"/>
  <c r="N205" i="2"/>
  <c r="N201" i="2" s="1"/>
  <c r="T203" i="42"/>
  <c r="U272" i="42"/>
  <c r="V272" i="42" s="1"/>
  <c r="L298" i="42"/>
  <c r="M298" i="42" s="1"/>
  <c r="N186" i="2"/>
  <c r="N177" i="2"/>
  <c r="T127" i="42"/>
  <c r="L193" i="42"/>
  <c r="L316" i="42"/>
  <c r="M316" i="42" s="1"/>
  <c r="O153" i="27"/>
  <c r="O274" i="42"/>
  <c r="O243" i="42"/>
  <c r="O295" i="42"/>
  <c r="O126" i="42"/>
  <c r="O232" i="42"/>
  <c r="O304" i="42"/>
  <c r="O315" i="42"/>
  <c r="L177" i="42"/>
  <c r="M177" i="42" s="1"/>
  <c r="T189" i="42"/>
  <c r="P195" i="42"/>
  <c r="Q195" i="42" s="1"/>
  <c r="U211" i="42"/>
  <c r="V211" i="42" s="1"/>
  <c r="L254" i="42"/>
  <c r="P254" i="42" s="1"/>
  <c r="Q254" i="42" s="1"/>
  <c r="L283" i="42"/>
  <c r="M283" i="42" s="1"/>
  <c r="U300" i="42"/>
  <c r="V300" i="42" s="1"/>
  <c r="U307" i="42"/>
  <c r="V307" i="42" s="1"/>
  <c r="L129" i="42"/>
  <c r="M129" i="42" s="1"/>
  <c r="L161" i="42"/>
  <c r="L185" i="42"/>
  <c r="L270" i="42"/>
  <c r="P270" i="42" s="1"/>
  <c r="Q270" i="42" s="1"/>
  <c r="L307" i="42"/>
  <c r="M307" i="42" s="1"/>
  <c r="U139" i="42"/>
  <c r="V139" i="42" s="1"/>
  <c r="U147" i="42"/>
  <c r="V147" i="42" s="1"/>
  <c r="T316" i="42"/>
  <c r="U131" i="42"/>
  <c r="V131" i="42" s="1"/>
  <c r="T149" i="42"/>
  <c r="U179" i="42"/>
  <c r="V179" i="42" s="1"/>
  <c r="T181" i="42"/>
  <c r="U187" i="42"/>
  <c r="V187" i="42" s="1"/>
  <c r="L203" i="42"/>
  <c r="M203" i="42" s="1"/>
  <c r="L211" i="42"/>
  <c r="M211" i="42" s="1"/>
  <c r="L227" i="42"/>
  <c r="M227" i="42" s="1"/>
  <c r="T246" i="42"/>
  <c r="L275" i="42"/>
  <c r="M275" i="42" s="1"/>
  <c r="T279" i="42"/>
  <c r="L296" i="42"/>
  <c r="P296" i="42" s="1"/>
  <c r="Q296" i="42" s="1"/>
  <c r="L305" i="42"/>
  <c r="P305" i="42" s="1"/>
  <c r="Q305" i="42" s="1"/>
  <c r="T318" i="42"/>
  <c r="L179" i="42"/>
  <c r="M179" i="42" s="1"/>
  <c r="L181" i="42"/>
  <c r="M181" i="42" s="1"/>
  <c r="L209" i="42"/>
  <c r="P209" i="42" s="1"/>
  <c r="Q209" i="42" s="1"/>
  <c r="L246" i="42"/>
  <c r="L258" i="42"/>
  <c r="M258" i="42" s="1"/>
  <c r="T165" i="42"/>
  <c r="T205" i="42"/>
  <c r="T241" i="42"/>
  <c r="U298" i="42"/>
  <c r="V298" i="42" s="1"/>
  <c r="M127" i="42"/>
  <c r="P127" i="42"/>
  <c r="Q127" i="42" s="1"/>
  <c r="U127" i="42"/>
  <c r="V127" i="42" s="1"/>
  <c r="T129" i="42"/>
  <c r="T137" i="42"/>
  <c r="T141" i="42"/>
  <c r="L149" i="42"/>
  <c r="M149" i="42" s="1"/>
  <c r="U155" i="42"/>
  <c r="V155" i="42" s="1"/>
  <c r="L171" i="42"/>
  <c r="U171" i="42"/>
  <c r="V171" i="42" s="1"/>
  <c r="U173" i="42"/>
  <c r="V173" i="42" s="1"/>
  <c r="P179" i="42"/>
  <c r="Q179" i="42" s="1"/>
  <c r="L189" i="42"/>
  <c r="M189" i="42" s="1"/>
  <c r="T197" i="42"/>
  <c r="L201" i="42"/>
  <c r="M201" i="42" s="1"/>
  <c r="U205" i="42"/>
  <c r="V205" i="42" s="1"/>
  <c r="L213" i="42"/>
  <c r="T213" i="42"/>
  <c r="T223" i="42"/>
  <c r="T237" i="42"/>
  <c r="L241" i="42"/>
  <c r="U248" i="42"/>
  <c r="V248" i="42" s="1"/>
  <c r="T250" i="42"/>
  <c r="T262" i="42"/>
  <c r="U264" i="42"/>
  <c r="V264" i="42" s="1"/>
  <c r="T266" i="42"/>
  <c r="L279" i="42"/>
  <c r="P279" i="42" s="1"/>
  <c r="Q279" i="42" s="1"/>
  <c r="T287" i="42"/>
  <c r="U289" i="42"/>
  <c r="V289" i="42" s="1"/>
  <c r="T291" i="42"/>
  <c r="T309" i="42"/>
  <c r="L313" i="42"/>
  <c r="P313" i="42" s="1"/>
  <c r="Q313" i="42" s="1"/>
  <c r="U318" i="42"/>
  <c r="V318" i="42" s="1"/>
  <c r="L137" i="42"/>
  <c r="P137" i="42" s="1"/>
  <c r="Q137" i="42" s="1"/>
  <c r="L169" i="42"/>
  <c r="P169" i="42" s="1"/>
  <c r="Q169" i="42" s="1"/>
  <c r="U197" i="42"/>
  <c r="V197" i="42" s="1"/>
  <c r="P203" i="42"/>
  <c r="Q203" i="42" s="1"/>
  <c r="P211" i="42"/>
  <c r="Q211" i="42" s="1"/>
  <c r="L223" i="42"/>
  <c r="L237" i="42"/>
  <c r="P237" i="42" s="1"/>
  <c r="Q237" i="42" s="1"/>
  <c r="L250" i="42"/>
  <c r="M250" i="42" s="1"/>
  <c r="L262" i="42"/>
  <c r="P262" i="42" s="1"/>
  <c r="Q262" i="42" s="1"/>
  <c r="L266" i="42"/>
  <c r="M266" i="42" s="1"/>
  <c r="L287" i="42"/>
  <c r="P287" i="42" s="1"/>
  <c r="Q287" i="42" s="1"/>
  <c r="L291" i="42"/>
  <c r="M291" i="42" s="1"/>
  <c r="P298" i="42"/>
  <c r="Q298" i="42" s="1"/>
  <c r="U309" i="42"/>
  <c r="V309" i="42" s="1"/>
  <c r="P316" i="42"/>
  <c r="Q316" i="42" s="1"/>
  <c r="L133" i="42"/>
  <c r="T133" i="42"/>
  <c r="T227" i="42"/>
  <c r="U229" i="42"/>
  <c r="V229" i="42" s="1"/>
  <c r="T233" i="42"/>
  <c r="T254" i="42"/>
  <c r="U256" i="42"/>
  <c r="V256" i="42" s="1"/>
  <c r="T258" i="42"/>
  <c r="T270" i="42"/>
  <c r="U281" i="42"/>
  <c r="V281" i="42" s="1"/>
  <c r="T283" i="42"/>
  <c r="T300" i="42"/>
  <c r="L191" i="42"/>
  <c r="U191" i="42"/>
  <c r="V191" i="42" s="1"/>
  <c r="T191" i="42"/>
  <c r="M141" i="42"/>
  <c r="P141" i="42"/>
  <c r="Q141" i="42" s="1"/>
  <c r="L143" i="42"/>
  <c r="U143" i="42"/>
  <c r="V143" i="42" s="1"/>
  <c r="T143" i="42"/>
  <c r="M165" i="42"/>
  <c r="P165" i="42"/>
  <c r="Q165" i="42" s="1"/>
  <c r="L167" i="42"/>
  <c r="U167" i="42"/>
  <c r="V167" i="42" s="1"/>
  <c r="T167" i="42"/>
  <c r="M173" i="42"/>
  <c r="P173" i="42"/>
  <c r="Q173" i="42" s="1"/>
  <c r="P185" i="42"/>
  <c r="Q185" i="42" s="1"/>
  <c r="M185" i="42"/>
  <c r="P193" i="42"/>
  <c r="Q193" i="42" s="1"/>
  <c r="M193" i="42"/>
  <c r="L199" i="42"/>
  <c r="U199" i="42"/>
  <c r="V199" i="42" s="1"/>
  <c r="T199" i="42"/>
  <c r="T217" i="42"/>
  <c r="U217" i="42"/>
  <c r="V217" i="42" s="1"/>
  <c r="L302" i="42"/>
  <c r="U302" i="42"/>
  <c r="V302" i="42" s="1"/>
  <c r="T302" i="42"/>
  <c r="P153" i="42"/>
  <c r="Q153" i="42" s="1"/>
  <c r="M153" i="42"/>
  <c r="P145" i="42"/>
  <c r="Q145" i="42" s="1"/>
  <c r="M145" i="42"/>
  <c r="M157" i="42"/>
  <c r="P157" i="42"/>
  <c r="Q157" i="42" s="1"/>
  <c r="L159" i="42"/>
  <c r="U159" i="42"/>
  <c r="V159" i="42" s="1"/>
  <c r="T159" i="42"/>
  <c r="L175" i="42"/>
  <c r="U175" i="42"/>
  <c r="V175" i="42" s="1"/>
  <c r="T175" i="42"/>
  <c r="M205" i="42"/>
  <c r="P205" i="42"/>
  <c r="Q205" i="42" s="1"/>
  <c r="L215" i="42"/>
  <c r="U215" i="42"/>
  <c r="V215" i="42" s="1"/>
  <c r="T215" i="42"/>
  <c r="L235" i="42"/>
  <c r="U235" i="42"/>
  <c r="V235" i="42" s="1"/>
  <c r="V232" i="42" s="1"/>
  <c r="T235" i="42"/>
  <c r="L135" i="42"/>
  <c r="U135" i="42"/>
  <c r="V135" i="42" s="1"/>
  <c r="T135" i="42"/>
  <c r="L183" i="42"/>
  <c r="U183" i="42"/>
  <c r="V183" i="42" s="1"/>
  <c r="T183" i="42"/>
  <c r="M197" i="42"/>
  <c r="P197" i="42"/>
  <c r="Q197" i="42" s="1"/>
  <c r="L151" i="42"/>
  <c r="U151" i="42"/>
  <c r="V151" i="42" s="1"/>
  <c r="T151" i="42"/>
  <c r="P161" i="42"/>
  <c r="Q161" i="42" s="1"/>
  <c r="M161" i="42"/>
  <c r="L207" i="42"/>
  <c r="U207" i="42"/>
  <c r="V207" i="42" s="1"/>
  <c r="T207" i="42"/>
  <c r="L217" i="42"/>
  <c r="L268" i="42"/>
  <c r="U268" i="42"/>
  <c r="V268" i="42" s="1"/>
  <c r="T268" i="42"/>
  <c r="M309" i="42"/>
  <c r="P309" i="42"/>
  <c r="Q309" i="42" s="1"/>
  <c r="L131" i="42"/>
  <c r="L139" i="42"/>
  <c r="U141" i="42"/>
  <c r="V141" i="42" s="1"/>
  <c r="L147" i="42"/>
  <c r="P149" i="42"/>
  <c r="Q149" i="42" s="1"/>
  <c r="L155" i="42"/>
  <c r="U157" i="42"/>
  <c r="V157" i="42" s="1"/>
  <c r="L163" i="42"/>
  <c r="U165" i="42"/>
  <c r="V165" i="42" s="1"/>
  <c r="L187" i="42"/>
  <c r="M223" i="42"/>
  <c r="P223" i="42"/>
  <c r="Q223" i="42" s="1"/>
  <c r="L244" i="42"/>
  <c r="U244" i="42"/>
  <c r="V244" i="42" s="1"/>
  <c r="T244" i="42"/>
  <c r="M270" i="42"/>
  <c r="L277" i="42"/>
  <c r="U277" i="42"/>
  <c r="V277" i="42" s="1"/>
  <c r="T277" i="42"/>
  <c r="T274" i="42" s="1"/>
  <c r="M305" i="42"/>
  <c r="L311" i="42"/>
  <c r="U311" i="42"/>
  <c r="V311" i="42" s="1"/>
  <c r="T311" i="42"/>
  <c r="T153" i="42"/>
  <c r="T161" i="42"/>
  <c r="T169" i="42"/>
  <c r="T177" i="42"/>
  <c r="T185" i="42"/>
  <c r="T193" i="42"/>
  <c r="T201" i="42"/>
  <c r="T209" i="42"/>
  <c r="P219" i="42"/>
  <c r="Q219" i="42" s="1"/>
  <c r="M219" i="42"/>
  <c r="L225" i="42"/>
  <c r="T225" i="42"/>
  <c r="P246" i="42"/>
  <c r="Q246" i="42" s="1"/>
  <c r="M246" i="42"/>
  <c r="L252" i="42"/>
  <c r="U252" i="42"/>
  <c r="V252" i="42" s="1"/>
  <c r="T252" i="42"/>
  <c r="L285" i="42"/>
  <c r="U285" i="42"/>
  <c r="V285" i="42" s="1"/>
  <c r="T285" i="42"/>
  <c r="M318" i="42"/>
  <c r="P318" i="42"/>
  <c r="Q318" i="42" s="1"/>
  <c r="T221" i="42"/>
  <c r="L221" i="42"/>
  <c r="U225" i="42"/>
  <c r="V225" i="42" s="1"/>
  <c r="L260" i="42"/>
  <c r="U260" i="42"/>
  <c r="V260" i="42" s="1"/>
  <c r="T260" i="42"/>
  <c r="L293" i="42"/>
  <c r="U293" i="42"/>
  <c r="V293" i="42" s="1"/>
  <c r="T293" i="42"/>
  <c r="M300" i="42"/>
  <c r="P300" i="42"/>
  <c r="Q300" i="42" s="1"/>
  <c r="L320" i="42"/>
  <c r="U320" i="42"/>
  <c r="V320" i="42" s="1"/>
  <c r="T320" i="42"/>
  <c r="L229" i="42"/>
  <c r="P233" i="42"/>
  <c r="Q233" i="42" s="1"/>
  <c r="L239" i="42"/>
  <c r="L248" i="42"/>
  <c r="L256" i="42"/>
  <c r="L264" i="42"/>
  <c r="P266" i="42"/>
  <c r="Q266" i="42" s="1"/>
  <c r="L272" i="42"/>
  <c r="P275" i="42"/>
  <c r="Q275" i="42" s="1"/>
  <c r="L281" i="42"/>
  <c r="P283" i="42"/>
  <c r="Q283" i="42" s="1"/>
  <c r="L289" i="42"/>
  <c r="T296" i="42"/>
  <c r="T305" i="42"/>
  <c r="T313" i="42"/>
  <c r="O144" i="27"/>
  <c r="O125" i="27"/>
  <c r="L140" i="27"/>
  <c r="P140" i="27" s="1"/>
  <c r="Q140" i="27" s="1"/>
  <c r="L149" i="27"/>
  <c r="P149" i="27" s="1"/>
  <c r="Q149" i="27" s="1"/>
  <c r="T154" i="27"/>
  <c r="T145" i="27"/>
  <c r="L132" i="27"/>
  <c r="P132" i="27" s="1"/>
  <c r="Q132" i="27" s="1"/>
  <c r="T136" i="27"/>
  <c r="L145" i="27"/>
  <c r="M145" i="27" s="1"/>
  <c r="T128" i="27"/>
  <c r="L136" i="27"/>
  <c r="M136" i="27" s="1"/>
  <c r="L123" i="27"/>
  <c r="P128" i="27"/>
  <c r="Q128" i="27" s="1"/>
  <c r="P154" i="27"/>
  <c r="Q154" i="27" s="1"/>
  <c r="L126" i="27"/>
  <c r="U126" i="27"/>
  <c r="V126" i="27" s="1"/>
  <c r="L134" i="27"/>
  <c r="U134" i="27"/>
  <c r="V134" i="27" s="1"/>
  <c r="L142" i="27"/>
  <c r="U142" i="27"/>
  <c r="V142" i="27" s="1"/>
  <c r="L151" i="27"/>
  <c r="U151" i="27"/>
  <c r="V151" i="27" s="1"/>
  <c r="L160" i="27"/>
  <c r="U160" i="27"/>
  <c r="V160" i="27" s="1"/>
  <c r="P130" i="27"/>
  <c r="Q130" i="27" s="1"/>
  <c r="M130" i="27"/>
  <c r="M138" i="27"/>
  <c r="P138" i="27"/>
  <c r="Q138" i="27" s="1"/>
  <c r="M147" i="27"/>
  <c r="P147" i="27"/>
  <c r="Q147" i="27" s="1"/>
  <c r="P156" i="27"/>
  <c r="Q156" i="27" s="1"/>
  <c r="M156" i="27"/>
  <c r="T130" i="27"/>
  <c r="T138" i="27"/>
  <c r="M140" i="27"/>
  <c r="T147" i="27"/>
  <c r="T156" i="27"/>
  <c r="M158" i="27"/>
  <c r="U130" i="27"/>
  <c r="V130" i="27" s="1"/>
  <c r="T132" i="27"/>
  <c r="U138" i="27"/>
  <c r="V138" i="27" s="1"/>
  <c r="T140" i="27"/>
  <c r="U147" i="27"/>
  <c r="V147" i="27" s="1"/>
  <c r="V144" i="27" s="1"/>
  <c r="T149" i="27"/>
  <c r="U156" i="27"/>
  <c r="V156" i="27" s="1"/>
  <c r="V153" i="27" s="1"/>
  <c r="T158" i="27"/>
  <c r="P177" i="42" l="1"/>
  <c r="Q177" i="42" s="1"/>
  <c r="V315" i="42"/>
  <c r="V295" i="42"/>
  <c r="O121" i="27"/>
  <c r="AR120" i="1" s="1"/>
  <c r="V125" i="27"/>
  <c r="T125" i="27"/>
  <c r="T126" i="42"/>
  <c r="O125" i="42"/>
  <c r="AR141" i="1" s="1"/>
  <c r="V243" i="42"/>
  <c r="M287" i="42"/>
  <c r="T315" i="42"/>
  <c r="T304" i="42"/>
  <c r="M254" i="42"/>
  <c r="M237" i="42"/>
  <c r="P189" i="42"/>
  <c r="Q189" i="42" s="1"/>
  <c r="M209" i="42"/>
  <c r="V126" i="42"/>
  <c r="M241" i="42"/>
  <c r="P241" i="42"/>
  <c r="Q241" i="42" s="1"/>
  <c r="P307" i="42"/>
  <c r="Q307" i="42" s="1"/>
  <c r="V304" i="42"/>
  <c r="T295" i="42"/>
  <c r="V274" i="42"/>
  <c r="T243" i="42"/>
  <c r="M296" i="42"/>
  <c r="P227" i="42"/>
  <c r="Q227" i="42" s="1"/>
  <c r="T232" i="42"/>
  <c r="P129" i="42"/>
  <c r="Q129" i="42" s="1"/>
  <c r="P201" i="42"/>
  <c r="Q201" i="42" s="1"/>
  <c r="M169" i="42"/>
  <c r="M137" i="42"/>
  <c r="P291" i="42"/>
  <c r="Q291" i="42" s="1"/>
  <c r="P258" i="42"/>
  <c r="Q258" i="42" s="1"/>
  <c r="P181" i="42"/>
  <c r="Q181" i="42" s="1"/>
  <c r="M313" i="42"/>
  <c r="M262" i="42"/>
  <c r="M279" i="42"/>
  <c r="P133" i="42"/>
  <c r="Q133" i="42" s="1"/>
  <c r="M133" i="42"/>
  <c r="P250" i="42"/>
  <c r="Q250" i="42" s="1"/>
  <c r="M213" i="42"/>
  <c r="P213" i="42"/>
  <c r="Q213" i="42" s="1"/>
  <c r="M171" i="42"/>
  <c r="P171" i="42"/>
  <c r="Q171" i="42" s="1"/>
  <c r="M272" i="42"/>
  <c r="P272" i="42"/>
  <c r="Q272" i="42" s="1"/>
  <c r="P151" i="42"/>
  <c r="Q151" i="42" s="1"/>
  <c r="M151" i="42"/>
  <c r="P320" i="42"/>
  <c r="Q320" i="42" s="1"/>
  <c r="Q315" i="42" s="1"/>
  <c r="M320" i="42"/>
  <c r="M315" i="42" s="1"/>
  <c r="P311" i="42"/>
  <c r="Q311" i="42" s="1"/>
  <c r="M311" i="42"/>
  <c r="M304" i="42" s="1"/>
  <c r="M187" i="42"/>
  <c r="P187" i="42"/>
  <c r="Q187" i="42" s="1"/>
  <c r="M155" i="42"/>
  <c r="P155" i="42"/>
  <c r="Q155" i="42" s="1"/>
  <c r="M139" i="42"/>
  <c r="P139" i="42"/>
  <c r="Q139" i="42" s="1"/>
  <c r="P268" i="42"/>
  <c r="Q268" i="42" s="1"/>
  <c r="M268" i="42"/>
  <c r="P207" i="42"/>
  <c r="Q207" i="42" s="1"/>
  <c r="M207" i="42"/>
  <c r="P175" i="42"/>
  <c r="Q175" i="42" s="1"/>
  <c r="M175" i="42"/>
  <c r="M289" i="42"/>
  <c r="P289" i="42"/>
  <c r="Q289" i="42" s="1"/>
  <c r="M256" i="42"/>
  <c r="P256" i="42"/>
  <c r="Q256" i="42" s="1"/>
  <c r="M239" i="42"/>
  <c r="P239" i="42"/>
  <c r="Q239" i="42" s="1"/>
  <c r="P252" i="42"/>
  <c r="Q252" i="42" s="1"/>
  <c r="M252" i="42"/>
  <c r="M281" i="42"/>
  <c r="P281" i="42"/>
  <c r="Q281" i="42" s="1"/>
  <c r="M264" i="42"/>
  <c r="P264" i="42"/>
  <c r="Q264" i="42" s="1"/>
  <c r="M229" i="42"/>
  <c r="P229" i="42"/>
  <c r="Q229" i="42" s="1"/>
  <c r="P293" i="42"/>
  <c r="Q293" i="42" s="1"/>
  <c r="M293" i="42"/>
  <c r="P277" i="42"/>
  <c r="Q277" i="42" s="1"/>
  <c r="M277" i="42"/>
  <c r="M131" i="42"/>
  <c r="P131" i="42"/>
  <c r="Q131" i="42" s="1"/>
  <c r="P217" i="42"/>
  <c r="Q217" i="42" s="1"/>
  <c r="M217" i="42"/>
  <c r="P135" i="42"/>
  <c r="Q135" i="42" s="1"/>
  <c r="M135" i="42"/>
  <c r="P215" i="42"/>
  <c r="Q215" i="42" s="1"/>
  <c r="M215" i="42"/>
  <c r="P159" i="42"/>
  <c r="Q159" i="42" s="1"/>
  <c r="M159" i="42"/>
  <c r="P199" i="42"/>
  <c r="Q199" i="42" s="1"/>
  <c r="M199" i="42"/>
  <c r="M225" i="42"/>
  <c r="P225" i="42"/>
  <c r="Q225" i="42" s="1"/>
  <c r="P143" i="42"/>
  <c r="Q143" i="42" s="1"/>
  <c r="M143" i="42"/>
  <c r="M248" i="42"/>
  <c r="P248" i="42"/>
  <c r="Q248" i="42" s="1"/>
  <c r="P260" i="42"/>
  <c r="Q260" i="42" s="1"/>
  <c r="M260" i="42"/>
  <c r="P221" i="42"/>
  <c r="Q221" i="42" s="1"/>
  <c r="M221" i="42"/>
  <c r="P285" i="42"/>
  <c r="Q285" i="42" s="1"/>
  <c r="M285" i="42"/>
  <c r="P244" i="42"/>
  <c r="Q244" i="42" s="1"/>
  <c r="M244" i="42"/>
  <c r="M163" i="42"/>
  <c r="P163" i="42"/>
  <c r="Q163" i="42" s="1"/>
  <c r="M147" i="42"/>
  <c r="P147" i="42"/>
  <c r="Q147" i="42" s="1"/>
  <c r="P183" i="42"/>
  <c r="Q183" i="42" s="1"/>
  <c r="M183" i="42"/>
  <c r="P235" i="42"/>
  <c r="Q235" i="42" s="1"/>
  <c r="M235" i="42"/>
  <c r="P302" i="42"/>
  <c r="Q302" i="42" s="1"/>
  <c r="Q295" i="42" s="1"/>
  <c r="M302" i="42"/>
  <c r="P167" i="42"/>
  <c r="Q167" i="42" s="1"/>
  <c r="M167" i="42"/>
  <c r="P191" i="42"/>
  <c r="Q191" i="42" s="1"/>
  <c r="M191" i="42"/>
  <c r="V121" i="27"/>
  <c r="M149" i="27"/>
  <c r="M132" i="27"/>
  <c r="T144" i="27"/>
  <c r="T153" i="27"/>
  <c r="P145" i="27"/>
  <c r="Q145" i="27" s="1"/>
  <c r="P136" i="27"/>
  <c r="Q136" i="27" s="1"/>
  <c r="M160" i="27"/>
  <c r="M153" i="27" s="1"/>
  <c r="P160" i="27"/>
  <c r="Q160" i="27" s="1"/>
  <c r="Q153" i="27" s="1"/>
  <c r="M142" i="27"/>
  <c r="P142" i="27"/>
  <c r="Q142" i="27" s="1"/>
  <c r="M126" i="27"/>
  <c r="P126" i="27"/>
  <c r="Q126" i="27" s="1"/>
  <c r="M151" i="27"/>
  <c r="P151" i="27"/>
  <c r="Q151" i="27" s="1"/>
  <c r="M134" i="27"/>
  <c r="P134" i="27"/>
  <c r="Q134" i="27" s="1"/>
  <c r="M123" i="27"/>
  <c r="M122" i="27" s="1"/>
  <c r="P123" i="27"/>
  <c r="Q123" i="27" s="1"/>
  <c r="Q122" i="27" s="1"/>
  <c r="X124" i="21"/>
  <c r="Z124" i="21"/>
  <c r="AB124" i="21"/>
  <c r="AD124" i="21"/>
  <c r="S383" i="21"/>
  <c r="O383" i="21"/>
  <c r="O382" i="21" s="1"/>
  <c r="S379" i="21"/>
  <c r="L379" i="21" s="1"/>
  <c r="O379" i="21"/>
  <c r="S376" i="21"/>
  <c r="U376" i="21" s="1"/>
  <c r="V376" i="21" s="1"/>
  <c r="O376" i="21"/>
  <c r="S374" i="21"/>
  <c r="U374" i="21" s="1"/>
  <c r="V374" i="21" s="1"/>
  <c r="O374" i="21"/>
  <c r="L374" i="21"/>
  <c r="S368" i="21"/>
  <c r="O368" i="21"/>
  <c r="S363" i="21"/>
  <c r="L363" i="21" s="1"/>
  <c r="O363" i="21"/>
  <c r="S358" i="21"/>
  <c r="T358" i="21" s="1"/>
  <c r="O358" i="21"/>
  <c r="S354" i="21"/>
  <c r="U354" i="21" s="1"/>
  <c r="V354" i="21" s="1"/>
  <c r="O354" i="21"/>
  <c r="S351" i="21"/>
  <c r="O351" i="21"/>
  <c r="S349" i="21"/>
  <c r="L349" i="21" s="1"/>
  <c r="O349" i="21"/>
  <c r="S347" i="21"/>
  <c r="T347" i="21" s="1"/>
  <c r="O347" i="21"/>
  <c r="S343" i="21"/>
  <c r="U343" i="21" s="1"/>
  <c r="V343" i="21" s="1"/>
  <c r="O343" i="21"/>
  <c r="S341" i="21"/>
  <c r="O341" i="21"/>
  <c r="S339" i="21"/>
  <c r="U339" i="21" s="1"/>
  <c r="V339" i="21" s="1"/>
  <c r="O339" i="21"/>
  <c r="S337" i="21"/>
  <c r="T337" i="21" s="1"/>
  <c r="O337" i="21"/>
  <c r="S335" i="21"/>
  <c r="U335" i="21" s="1"/>
  <c r="V335" i="21" s="1"/>
  <c r="O335" i="21"/>
  <c r="S331" i="21"/>
  <c r="O331" i="21"/>
  <c r="S328" i="21"/>
  <c r="T328" i="21" s="1"/>
  <c r="O328" i="21"/>
  <c r="S326" i="21"/>
  <c r="T326" i="21" s="1"/>
  <c r="O326" i="21"/>
  <c r="S321" i="21"/>
  <c r="U321" i="21" s="1"/>
  <c r="V321" i="21" s="1"/>
  <c r="O321" i="21"/>
  <c r="S319" i="21"/>
  <c r="O319" i="21"/>
  <c r="S317" i="21"/>
  <c r="T317" i="21" s="1"/>
  <c r="O317" i="21"/>
  <c r="L317" i="21"/>
  <c r="M317" i="21" s="1"/>
  <c r="S308" i="21"/>
  <c r="T308" i="21" s="1"/>
  <c r="O308" i="21"/>
  <c r="S304" i="21"/>
  <c r="U304" i="21" s="1"/>
  <c r="V304" i="21" s="1"/>
  <c r="O304" i="21"/>
  <c r="S298" i="21"/>
  <c r="O298" i="21"/>
  <c r="S296" i="21"/>
  <c r="U296" i="21" s="1"/>
  <c r="V296" i="21" s="1"/>
  <c r="O296" i="21"/>
  <c r="S294" i="21"/>
  <c r="T294" i="21" s="1"/>
  <c r="O294" i="21"/>
  <c r="S292" i="21"/>
  <c r="U292" i="21" s="1"/>
  <c r="V292" i="21" s="1"/>
  <c r="O292" i="21"/>
  <c r="S282" i="21"/>
  <c r="O282" i="21"/>
  <c r="S273" i="21"/>
  <c r="U273" i="21" s="1"/>
  <c r="V273" i="21" s="1"/>
  <c r="O273" i="21"/>
  <c r="S268" i="21"/>
  <c r="T268" i="21" s="1"/>
  <c r="O268" i="21"/>
  <c r="S263" i="21"/>
  <c r="U263" i="21" s="1"/>
  <c r="V263" i="21" s="1"/>
  <c r="V262" i="21" s="1"/>
  <c r="O263" i="21"/>
  <c r="O262" i="21" s="1"/>
  <c r="S259" i="21"/>
  <c r="O259" i="21"/>
  <c r="S253" i="21"/>
  <c r="U253" i="21" s="1"/>
  <c r="V253" i="21" s="1"/>
  <c r="O253" i="21"/>
  <c r="S251" i="21"/>
  <c r="T251" i="21" s="1"/>
  <c r="O251" i="21"/>
  <c r="S248" i="21"/>
  <c r="U248" i="21" s="1"/>
  <c r="V248" i="21" s="1"/>
  <c r="O248" i="21"/>
  <c r="S243" i="21"/>
  <c r="O243" i="21"/>
  <c r="S231" i="21"/>
  <c r="U231" i="21" s="1"/>
  <c r="V231" i="21" s="1"/>
  <c r="O231" i="21"/>
  <c r="S215" i="21"/>
  <c r="T215" i="21" s="1"/>
  <c r="O215" i="21"/>
  <c r="S206" i="21"/>
  <c r="U206" i="21" s="1"/>
  <c r="V206" i="21" s="1"/>
  <c r="O206" i="21"/>
  <c r="S199" i="21"/>
  <c r="O199" i="21"/>
  <c r="S190" i="21"/>
  <c r="U190" i="21" s="1"/>
  <c r="V190" i="21" s="1"/>
  <c r="O190" i="21"/>
  <c r="S186" i="21"/>
  <c r="T186" i="21" s="1"/>
  <c r="O186" i="21"/>
  <c r="S182" i="21"/>
  <c r="U182" i="21" s="1"/>
  <c r="V182" i="21" s="1"/>
  <c r="O182" i="21"/>
  <c r="S180" i="21"/>
  <c r="O180" i="21"/>
  <c r="S172" i="21"/>
  <c r="U172" i="21" s="1"/>
  <c r="V172" i="21" s="1"/>
  <c r="O172" i="21"/>
  <c r="S170" i="21"/>
  <c r="T170" i="21" s="1"/>
  <c r="O170" i="21"/>
  <c r="S165" i="21"/>
  <c r="U165" i="21" s="1"/>
  <c r="V165" i="21" s="1"/>
  <c r="O165" i="21"/>
  <c r="S160" i="21"/>
  <c r="T160" i="21" s="1"/>
  <c r="O160" i="21"/>
  <c r="L160" i="21"/>
  <c r="M160" i="21" s="1"/>
  <c r="S157" i="21"/>
  <c r="T157" i="21" s="1"/>
  <c r="O157" i="21"/>
  <c r="S146" i="21"/>
  <c r="U146" i="21" s="1"/>
  <c r="V146" i="21" s="1"/>
  <c r="O146" i="21"/>
  <c r="S140" i="21"/>
  <c r="L140" i="21" s="1"/>
  <c r="O140" i="21"/>
  <c r="S130" i="21"/>
  <c r="L130" i="21" s="1"/>
  <c r="O130" i="21"/>
  <c r="S128" i="21"/>
  <c r="T128" i="21" s="1"/>
  <c r="O128" i="21"/>
  <c r="O126" i="21"/>
  <c r="S126" i="21"/>
  <c r="L126" i="21" s="1"/>
  <c r="M125" i="27" l="1"/>
  <c r="M121" i="27" s="1"/>
  <c r="AQ120" i="1" s="1"/>
  <c r="T121" i="27"/>
  <c r="U317" i="21"/>
  <c r="V317" i="21" s="1"/>
  <c r="M144" i="27"/>
  <c r="M126" i="42"/>
  <c r="T125" i="42"/>
  <c r="M274" i="42"/>
  <c r="T263" i="21"/>
  <c r="T262" i="21" s="1"/>
  <c r="U328" i="21"/>
  <c r="V328" i="21" s="1"/>
  <c r="T273" i="21"/>
  <c r="O125" i="21"/>
  <c r="Q274" i="42"/>
  <c r="Q126" i="42"/>
  <c r="Q304" i="42"/>
  <c r="M232" i="42"/>
  <c r="M243" i="42"/>
  <c r="V125" i="42"/>
  <c r="Q243" i="42"/>
  <c r="M295" i="42"/>
  <c r="Q232" i="42"/>
  <c r="Q144" i="27"/>
  <c r="Q125" i="27"/>
  <c r="O353" i="21"/>
  <c r="O291" i="21"/>
  <c r="O267" i="21"/>
  <c r="U268" i="21"/>
  <c r="V268" i="21" s="1"/>
  <c r="L343" i="21"/>
  <c r="P343" i="21" s="1"/>
  <c r="Q343" i="21" s="1"/>
  <c r="U157" i="21"/>
  <c r="V157" i="21" s="1"/>
  <c r="L190" i="21"/>
  <c r="M190" i="21" s="1"/>
  <c r="O303" i="21"/>
  <c r="O362" i="21"/>
  <c r="L128" i="21"/>
  <c r="M128" i="21" s="1"/>
  <c r="U128" i="21"/>
  <c r="V128" i="21" s="1"/>
  <c r="U130" i="21"/>
  <c r="V130" i="21" s="1"/>
  <c r="L182" i="21"/>
  <c r="M182" i="21" s="1"/>
  <c r="T130" i="21"/>
  <c r="L146" i="21"/>
  <c r="P146" i="21" s="1"/>
  <c r="Q146" i="21" s="1"/>
  <c r="T182" i="21"/>
  <c r="L263" i="21"/>
  <c r="P263" i="21" s="1"/>
  <c r="Q263" i="21" s="1"/>
  <c r="Q262" i="21" s="1"/>
  <c r="L273" i="21"/>
  <c r="M273" i="21" s="1"/>
  <c r="L328" i="21"/>
  <c r="M328" i="21" s="1"/>
  <c r="T126" i="21"/>
  <c r="U215" i="21"/>
  <c r="V215" i="21" s="1"/>
  <c r="T231" i="21"/>
  <c r="L354" i="21"/>
  <c r="P354" i="21" s="1"/>
  <c r="Q354" i="21" s="1"/>
  <c r="T376" i="21"/>
  <c r="T379" i="21"/>
  <c r="U126" i="21"/>
  <c r="V126" i="21" s="1"/>
  <c r="L157" i="21"/>
  <c r="P160" i="21"/>
  <c r="Q160" i="21" s="1"/>
  <c r="U186" i="21"/>
  <c r="V186" i="21" s="1"/>
  <c r="T190" i="21"/>
  <c r="L231" i="21"/>
  <c r="M231" i="21" s="1"/>
  <c r="L304" i="21"/>
  <c r="M304" i="21" s="1"/>
  <c r="L321" i="21"/>
  <c r="M321" i="21" s="1"/>
  <c r="L335" i="21"/>
  <c r="M335" i="21" s="1"/>
  <c r="L376" i="21"/>
  <c r="M376" i="21" s="1"/>
  <c r="U379" i="21"/>
  <c r="V379" i="21" s="1"/>
  <c r="P126" i="21"/>
  <c r="Q126" i="21" s="1"/>
  <c r="M126" i="21"/>
  <c r="T206" i="21"/>
  <c r="U160" i="21"/>
  <c r="V160" i="21" s="1"/>
  <c r="T165" i="21"/>
  <c r="U170" i="21"/>
  <c r="V170" i="21" s="1"/>
  <c r="T172" i="21"/>
  <c r="L206" i="21"/>
  <c r="P206" i="21" s="1"/>
  <c r="Q206" i="21" s="1"/>
  <c r="T248" i="21"/>
  <c r="U251" i="21"/>
  <c r="V251" i="21" s="1"/>
  <c r="T253" i="21"/>
  <c r="T292" i="21"/>
  <c r="L296" i="21"/>
  <c r="M296" i="21" s="1"/>
  <c r="P317" i="21"/>
  <c r="Q317" i="21" s="1"/>
  <c r="U337" i="21"/>
  <c r="V337" i="21" s="1"/>
  <c r="T339" i="21"/>
  <c r="T349" i="21"/>
  <c r="T363" i="21"/>
  <c r="U294" i="21"/>
  <c r="V294" i="21" s="1"/>
  <c r="T296" i="21"/>
  <c r="L165" i="21"/>
  <c r="M165" i="21" s="1"/>
  <c r="L172" i="21"/>
  <c r="M172" i="21" s="1"/>
  <c r="L248" i="21"/>
  <c r="M248" i="21" s="1"/>
  <c r="L253" i="21"/>
  <c r="M253" i="21" s="1"/>
  <c r="L292" i="21"/>
  <c r="P292" i="21" s="1"/>
  <c r="Q292" i="21" s="1"/>
  <c r="L308" i="21"/>
  <c r="U308" i="21"/>
  <c r="V308" i="21" s="1"/>
  <c r="L326" i="21"/>
  <c r="U326" i="21"/>
  <c r="V326" i="21" s="1"/>
  <c r="L339" i="21"/>
  <c r="M339" i="21" s="1"/>
  <c r="U347" i="21"/>
  <c r="V347" i="21" s="1"/>
  <c r="U358" i="21"/>
  <c r="V358" i="21" s="1"/>
  <c r="V353" i="21" s="1"/>
  <c r="M130" i="21"/>
  <c r="P130" i="21"/>
  <c r="Q130" i="21" s="1"/>
  <c r="M140" i="21"/>
  <c r="P140" i="21"/>
  <c r="Q140" i="21" s="1"/>
  <c r="P165" i="21"/>
  <c r="Q165" i="21" s="1"/>
  <c r="M263" i="21"/>
  <c r="M262" i="21" s="1"/>
  <c r="M343" i="21"/>
  <c r="P321" i="21"/>
  <c r="Q321" i="21" s="1"/>
  <c r="M363" i="21"/>
  <c r="P363" i="21"/>
  <c r="Q363" i="21" s="1"/>
  <c r="L368" i="21"/>
  <c r="U368" i="21"/>
  <c r="V368" i="21" s="1"/>
  <c r="T368" i="21"/>
  <c r="U140" i="21"/>
  <c r="V140" i="21" s="1"/>
  <c r="T146" i="21"/>
  <c r="L243" i="21"/>
  <c r="U243" i="21"/>
  <c r="V243" i="21" s="1"/>
  <c r="T243" i="21"/>
  <c r="M349" i="21"/>
  <c r="P349" i="21"/>
  <c r="Q349" i="21" s="1"/>
  <c r="L351" i="21"/>
  <c r="U351" i="21"/>
  <c r="V351" i="21" s="1"/>
  <c r="T351" i="21"/>
  <c r="P374" i="21"/>
  <c r="Q374" i="21" s="1"/>
  <c r="M374" i="21"/>
  <c r="M379" i="21"/>
  <c r="P379" i="21"/>
  <c r="Q379" i="21" s="1"/>
  <c r="L180" i="21"/>
  <c r="U180" i="21"/>
  <c r="V180" i="21" s="1"/>
  <c r="T180" i="21"/>
  <c r="L282" i="21"/>
  <c r="U282" i="21"/>
  <c r="V282" i="21" s="1"/>
  <c r="V267" i="21" s="1"/>
  <c r="T282" i="21"/>
  <c r="L319" i="21"/>
  <c r="U319" i="21"/>
  <c r="V319" i="21" s="1"/>
  <c r="T319" i="21"/>
  <c r="T140" i="21"/>
  <c r="L199" i="21"/>
  <c r="U199" i="21"/>
  <c r="V199" i="21" s="1"/>
  <c r="T199" i="21"/>
  <c r="L298" i="21"/>
  <c r="U298" i="21"/>
  <c r="V298" i="21" s="1"/>
  <c r="T298" i="21"/>
  <c r="L259" i="21"/>
  <c r="U259" i="21"/>
  <c r="V259" i="21" s="1"/>
  <c r="T259" i="21"/>
  <c r="L331" i="21"/>
  <c r="U331" i="21"/>
  <c r="V331" i="21" s="1"/>
  <c r="T331" i="21"/>
  <c r="L341" i="21"/>
  <c r="U341" i="21"/>
  <c r="V341" i="21" s="1"/>
  <c r="T341" i="21"/>
  <c r="L383" i="21"/>
  <c r="U383" i="21"/>
  <c r="V383" i="21" s="1"/>
  <c r="V382" i="21" s="1"/>
  <c r="T383" i="21"/>
  <c r="T382" i="21" s="1"/>
  <c r="L170" i="21"/>
  <c r="L186" i="21"/>
  <c r="L215" i="21"/>
  <c r="L251" i="21"/>
  <c r="L268" i="21"/>
  <c r="P273" i="21"/>
  <c r="Q273" i="21" s="1"/>
  <c r="L294" i="21"/>
  <c r="L337" i="21"/>
  <c r="L347" i="21"/>
  <c r="U349" i="21"/>
  <c r="V349" i="21" s="1"/>
  <c r="L358" i="21"/>
  <c r="U363" i="21"/>
  <c r="V363" i="21" s="1"/>
  <c r="T304" i="21"/>
  <c r="T321" i="21"/>
  <c r="T335" i="21"/>
  <c r="T343" i="21"/>
  <c r="T354" i="21"/>
  <c r="T353" i="21" s="1"/>
  <c r="T374" i="21"/>
  <c r="M125" i="42" l="1"/>
  <c r="AQ141" i="1" s="1"/>
  <c r="P190" i="21"/>
  <c r="Q190" i="21" s="1"/>
  <c r="P335" i="21"/>
  <c r="Q335" i="21" s="1"/>
  <c r="M354" i="21"/>
  <c r="T267" i="21"/>
  <c r="P328" i="21"/>
  <c r="Q328" i="21" s="1"/>
  <c r="P128" i="21"/>
  <c r="Q128" i="21" s="1"/>
  <c r="Q121" i="27"/>
  <c r="AS120" i="1" s="1"/>
  <c r="Q125" i="42"/>
  <c r="AS141" i="1" s="1"/>
  <c r="O124" i="21"/>
  <c r="AR112" i="1" s="1"/>
  <c r="P248" i="21"/>
  <c r="Q248" i="21" s="1"/>
  <c r="P182" i="21"/>
  <c r="Q182" i="21" s="1"/>
  <c r="P304" i="21"/>
  <c r="Q304" i="21" s="1"/>
  <c r="M206" i="21"/>
  <c r="V303" i="21"/>
  <c r="V291" i="21"/>
  <c r="P172" i="21"/>
  <c r="Q172" i="21" s="1"/>
  <c r="T125" i="21"/>
  <c r="T303" i="21"/>
  <c r="V125" i="21"/>
  <c r="T362" i="21"/>
  <c r="V362" i="21"/>
  <c r="P339" i="21"/>
  <c r="Q339" i="21" s="1"/>
  <c r="M146" i="21"/>
  <c r="T291" i="21"/>
  <c r="M157" i="21"/>
  <c r="P157" i="21"/>
  <c r="Q157" i="21" s="1"/>
  <c r="P376" i="21"/>
  <c r="Q376" i="21" s="1"/>
  <c r="P231" i="21"/>
  <c r="Q231" i="21" s="1"/>
  <c r="M326" i="21"/>
  <c r="P326" i="21"/>
  <c r="Q326" i="21" s="1"/>
  <c r="M292" i="21"/>
  <c r="P296" i="21"/>
  <c r="Q296" i="21" s="1"/>
  <c r="P253" i="21"/>
  <c r="Q253" i="21" s="1"/>
  <c r="M308" i="21"/>
  <c r="P308" i="21"/>
  <c r="Q308" i="21" s="1"/>
  <c r="P368" i="21"/>
  <c r="Q368" i="21" s="1"/>
  <c r="M368" i="21"/>
  <c r="M362" i="21" s="1"/>
  <c r="M347" i="21"/>
  <c r="P347" i="21"/>
  <c r="Q347" i="21" s="1"/>
  <c r="M294" i="21"/>
  <c r="P294" i="21"/>
  <c r="Q294" i="21" s="1"/>
  <c r="M251" i="21"/>
  <c r="P251" i="21"/>
  <c r="Q251" i="21" s="1"/>
  <c r="M186" i="21"/>
  <c r="P186" i="21"/>
  <c r="Q186" i="21" s="1"/>
  <c r="P259" i="21"/>
  <c r="Q259" i="21" s="1"/>
  <c r="M259" i="21"/>
  <c r="P243" i="21"/>
  <c r="Q243" i="21" s="1"/>
  <c r="M243" i="21"/>
  <c r="P383" i="21"/>
  <c r="Q383" i="21" s="1"/>
  <c r="Q382" i="21" s="1"/>
  <c r="M383" i="21"/>
  <c r="M382" i="21" s="1"/>
  <c r="P331" i="21"/>
  <c r="Q331" i="21" s="1"/>
  <c r="M331" i="21"/>
  <c r="P298" i="21"/>
  <c r="Q298" i="21" s="1"/>
  <c r="M298" i="21"/>
  <c r="P351" i="21"/>
  <c r="Q351" i="21" s="1"/>
  <c r="M351" i="21"/>
  <c r="P282" i="21"/>
  <c r="Q282" i="21" s="1"/>
  <c r="M282" i="21"/>
  <c r="P319" i="21"/>
  <c r="Q319" i="21" s="1"/>
  <c r="M319" i="21"/>
  <c r="M358" i="21"/>
  <c r="M353" i="21" s="1"/>
  <c r="P358" i="21"/>
  <c r="Q358" i="21" s="1"/>
  <c r="Q353" i="21" s="1"/>
  <c r="M337" i="21"/>
  <c r="P337" i="21"/>
  <c r="Q337" i="21" s="1"/>
  <c r="M268" i="21"/>
  <c r="P268" i="21"/>
  <c r="Q268" i="21" s="1"/>
  <c r="Q267" i="21" s="1"/>
  <c r="M215" i="21"/>
  <c r="P215" i="21"/>
  <c r="Q215" i="21" s="1"/>
  <c r="M170" i="21"/>
  <c r="P170" i="21"/>
  <c r="Q170" i="21" s="1"/>
  <c r="P341" i="21"/>
  <c r="Q341" i="21" s="1"/>
  <c r="M341" i="21"/>
  <c r="P199" i="21"/>
  <c r="Q199" i="21" s="1"/>
  <c r="M199" i="21"/>
  <c r="P180" i="21"/>
  <c r="Q180" i="21" s="1"/>
  <c r="M180" i="21"/>
  <c r="V124" i="21" l="1"/>
  <c r="Q362" i="21"/>
  <c r="Q303" i="21"/>
  <c r="M125" i="21"/>
  <c r="Q291" i="21"/>
  <c r="M303" i="21"/>
  <c r="Q125" i="21"/>
  <c r="M291" i="21"/>
  <c r="T124" i="21"/>
  <c r="M267" i="21"/>
  <c r="X121" i="33"/>
  <c r="Z121" i="33"/>
  <c r="AB121" i="33"/>
  <c r="AD121" i="33"/>
  <c r="S160" i="33"/>
  <c r="L160" i="33" s="1"/>
  <c r="O160" i="33"/>
  <c r="S158" i="33"/>
  <c r="L158" i="33" s="1"/>
  <c r="O158" i="33"/>
  <c r="S156" i="33"/>
  <c r="T156" i="33" s="1"/>
  <c r="O156" i="33"/>
  <c r="S154" i="33"/>
  <c r="U154" i="33" s="1"/>
  <c r="V154" i="33" s="1"/>
  <c r="O154" i="33"/>
  <c r="S151" i="33"/>
  <c r="L151" i="33" s="1"/>
  <c r="O151" i="33"/>
  <c r="S149" i="33"/>
  <c r="L149" i="33" s="1"/>
  <c r="O149" i="33"/>
  <c r="S147" i="33"/>
  <c r="T147" i="33" s="1"/>
  <c r="O147" i="33"/>
  <c r="S145" i="33"/>
  <c r="U145" i="33" s="1"/>
  <c r="V145" i="33" s="1"/>
  <c r="O145" i="33"/>
  <c r="S142" i="33"/>
  <c r="L142" i="33" s="1"/>
  <c r="O142" i="33"/>
  <c r="S140" i="33"/>
  <c r="T140" i="33" s="1"/>
  <c r="O140" i="33"/>
  <c r="S138" i="33"/>
  <c r="T138" i="33" s="1"/>
  <c r="O138" i="33"/>
  <c r="S136" i="33"/>
  <c r="U136" i="33" s="1"/>
  <c r="V136" i="33" s="1"/>
  <c r="O136" i="33"/>
  <c r="S134" i="33"/>
  <c r="L134" i="33" s="1"/>
  <c r="O134" i="33"/>
  <c r="U132" i="33"/>
  <c r="V132" i="33" s="1"/>
  <c r="S132" i="33"/>
  <c r="L132" i="33" s="1"/>
  <c r="O132" i="33"/>
  <c r="S130" i="33"/>
  <c r="T130" i="33" s="1"/>
  <c r="O130" i="33"/>
  <c r="S128" i="33"/>
  <c r="U128" i="33" s="1"/>
  <c r="V128" i="33" s="1"/>
  <c r="O128" i="33"/>
  <c r="S126" i="33"/>
  <c r="L126" i="33" s="1"/>
  <c r="O126" i="33"/>
  <c r="O123" i="33"/>
  <c r="O122" i="33" s="1"/>
  <c r="S123" i="33"/>
  <c r="L123" i="33" s="1"/>
  <c r="X121" i="30"/>
  <c r="Z121" i="30"/>
  <c r="AB121" i="30"/>
  <c r="AD121" i="30"/>
  <c r="S172" i="30"/>
  <c r="L172" i="30" s="1"/>
  <c r="O172" i="30"/>
  <c r="S170" i="30"/>
  <c r="U170" i="30" s="1"/>
  <c r="V170" i="30" s="1"/>
  <c r="O170" i="30"/>
  <c r="L170" i="30"/>
  <c r="M170" i="30" s="1"/>
  <c r="S168" i="30"/>
  <c r="T168" i="30" s="1"/>
  <c r="O168" i="30"/>
  <c r="S166" i="30"/>
  <c r="U166" i="30" s="1"/>
  <c r="V166" i="30" s="1"/>
  <c r="O166" i="30"/>
  <c r="S163" i="30"/>
  <c r="L163" i="30" s="1"/>
  <c r="O163" i="30"/>
  <c r="S161" i="30"/>
  <c r="L161" i="30" s="1"/>
  <c r="O161" i="30"/>
  <c r="S159" i="30"/>
  <c r="T159" i="30" s="1"/>
  <c r="O159" i="30"/>
  <c r="S157" i="30"/>
  <c r="U157" i="30" s="1"/>
  <c r="V157" i="30" s="1"/>
  <c r="O157" i="30"/>
  <c r="S155" i="30"/>
  <c r="L155" i="30" s="1"/>
  <c r="O155" i="30"/>
  <c r="S153" i="30"/>
  <c r="L153" i="30" s="1"/>
  <c r="O153" i="30"/>
  <c r="S151" i="30"/>
  <c r="T151" i="30" s="1"/>
  <c r="O151" i="30"/>
  <c r="S149" i="30"/>
  <c r="U149" i="30" s="1"/>
  <c r="V149" i="30" s="1"/>
  <c r="O149" i="30"/>
  <c r="S147" i="30"/>
  <c r="L147" i="30" s="1"/>
  <c r="O147" i="30"/>
  <c r="S145" i="30"/>
  <c r="L145" i="30" s="1"/>
  <c r="O145" i="30"/>
  <c r="S142" i="30"/>
  <c r="T142" i="30" s="1"/>
  <c r="O142" i="30"/>
  <c r="S140" i="30"/>
  <c r="U140" i="30" s="1"/>
  <c r="V140" i="30" s="1"/>
  <c r="O140" i="30"/>
  <c r="S138" i="30"/>
  <c r="L138" i="30" s="1"/>
  <c r="O138" i="30"/>
  <c r="S136" i="30"/>
  <c r="L136" i="30" s="1"/>
  <c r="O136" i="30"/>
  <c r="S134" i="30"/>
  <c r="T134" i="30" s="1"/>
  <c r="O134" i="30"/>
  <c r="S132" i="30"/>
  <c r="U132" i="30" s="1"/>
  <c r="V132" i="30" s="1"/>
  <c r="O132" i="30"/>
  <c r="S130" i="30"/>
  <c r="L130" i="30" s="1"/>
  <c r="O130" i="30"/>
  <c r="S128" i="30"/>
  <c r="U128" i="30" s="1"/>
  <c r="V128" i="30" s="1"/>
  <c r="O128" i="30"/>
  <c r="S126" i="30"/>
  <c r="T126" i="30" s="1"/>
  <c r="O126" i="30"/>
  <c r="O123" i="30"/>
  <c r="O122" i="30" s="1"/>
  <c r="S123" i="30"/>
  <c r="T123" i="30" s="1"/>
  <c r="T122" i="30" s="1"/>
  <c r="U145" i="30" l="1"/>
  <c r="V145" i="30" s="1"/>
  <c r="L132" i="30"/>
  <c r="P132" i="30" s="1"/>
  <c r="Q132" i="30" s="1"/>
  <c r="L166" i="30"/>
  <c r="P166" i="30" s="1"/>
  <c r="Q166" i="30" s="1"/>
  <c r="T145" i="30"/>
  <c r="T170" i="30"/>
  <c r="Q124" i="21"/>
  <c r="AS112" i="1" s="1"/>
  <c r="M124" i="21"/>
  <c r="AQ112" i="1" s="1"/>
  <c r="U140" i="33"/>
  <c r="V140" i="33" s="1"/>
  <c r="U158" i="33"/>
  <c r="V158" i="33" s="1"/>
  <c r="L149" i="30"/>
  <c r="P149" i="30" s="1"/>
  <c r="Q149" i="30" s="1"/>
  <c r="O165" i="30"/>
  <c r="O144" i="30"/>
  <c r="O125" i="30"/>
  <c r="O121" i="30" s="1"/>
  <c r="AR124" i="1" s="1"/>
  <c r="O153" i="33"/>
  <c r="O144" i="33"/>
  <c r="O125" i="33"/>
  <c r="T123" i="33"/>
  <c r="T122" i="33" s="1"/>
  <c r="U123" i="33"/>
  <c r="V123" i="33" s="1"/>
  <c r="V122" i="33" s="1"/>
  <c r="L140" i="33"/>
  <c r="M140" i="33" s="1"/>
  <c r="T158" i="33"/>
  <c r="L147" i="33"/>
  <c r="T132" i="33"/>
  <c r="L136" i="33"/>
  <c r="P136" i="33" s="1"/>
  <c r="Q136" i="33" s="1"/>
  <c r="L145" i="33"/>
  <c r="P145" i="33" s="1"/>
  <c r="Q145" i="33" s="1"/>
  <c r="M123" i="33"/>
  <c r="M122" i="33" s="1"/>
  <c r="P123" i="33"/>
  <c r="Q123" i="33" s="1"/>
  <c r="Q122" i="33" s="1"/>
  <c r="L128" i="33"/>
  <c r="P128" i="33" s="1"/>
  <c r="Q128" i="33" s="1"/>
  <c r="T149" i="33"/>
  <c r="L154" i="33"/>
  <c r="P154" i="33" s="1"/>
  <c r="Q154" i="33" s="1"/>
  <c r="L130" i="33"/>
  <c r="U130" i="33"/>
  <c r="V130" i="33" s="1"/>
  <c r="L156" i="33"/>
  <c r="U156" i="33"/>
  <c r="V156" i="33" s="1"/>
  <c r="L138" i="33"/>
  <c r="U138" i="33"/>
  <c r="V138" i="33" s="1"/>
  <c r="U147" i="33"/>
  <c r="V147" i="33" s="1"/>
  <c r="U149" i="33"/>
  <c r="V149" i="33" s="1"/>
  <c r="P126" i="33"/>
  <c r="Q126" i="33" s="1"/>
  <c r="M126" i="33"/>
  <c r="M149" i="33"/>
  <c r="P149" i="33"/>
  <c r="Q149" i="33" s="1"/>
  <c r="P151" i="33"/>
  <c r="Q151" i="33" s="1"/>
  <c r="M151" i="33"/>
  <c r="M132" i="33"/>
  <c r="P132" i="33"/>
  <c r="Q132" i="33" s="1"/>
  <c r="M134" i="33"/>
  <c r="P134" i="33"/>
  <c r="Q134" i="33" s="1"/>
  <c r="P142" i="33"/>
  <c r="Q142" i="33" s="1"/>
  <c r="M142" i="33"/>
  <c r="M158" i="33"/>
  <c r="P158" i="33"/>
  <c r="Q158" i="33" s="1"/>
  <c r="M160" i="33"/>
  <c r="P160" i="33"/>
  <c r="Q160" i="33" s="1"/>
  <c r="T134" i="33"/>
  <c r="T160" i="33"/>
  <c r="U126" i="33"/>
  <c r="V126" i="33" s="1"/>
  <c r="T128" i="33"/>
  <c r="U134" i="33"/>
  <c r="V134" i="33" s="1"/>
  <c r="T136" i="33"/>
  <c r="U142" i="33"/>
  <c r="V142" i="33" s="1"/>
  <c r="T145" i="33"/>
  <c r="T144" i="33" s="1"/>
  <c r="U151" i="33"/>
  <c r="V151" i="33" s="1"/>
  <c r="T154" i="33"/>
  <c r="T153" i="33" s="1"/>
  <c r="U160" i="33"/>
  <c r="V160" i="33" s="1"/>
  <c r="T126" i="33"/>
  <c r="T142" i="33"/>
  <c r="T151" i="33"/>
  <c r="T161" i="30"/>
  <c r="T128" i="30"/>
  <c r="L151" i="30"/>
  <c r="U123" i="30"/>
  <c r="V123" i="30" s="1"/>
  <c r="V122" i="30" s="1"/>
  <c r="L128" i="30"/>
  <c r="M128" i="30" s="1"/>
  <c r="U161" i="30"/>
  <c r="V161" i="30" s="1"/>
  <c r="L142" i="30"/>
  <c r="U142" i="30"/>
  <c r="V142" i="30" s="1"/>
  <c r="L159" i="30"/>
  <c r="U159" i="30"/>
  <c r="V159" i="30" s="1"/>
  <c r="L123" i="30"/>
  <c r="T136" i="30"/>
  <c r="L140" i="30"/>
  <c r="P140" i="30" s="1"/>
  <c r="Q140" i="30" s="1"/>
  <c r="T153" i="30"/>
  <c r="L157" i="30"/>
  <c r="P157" i="30" s="1"/>
  <c r="Q157" i="30" s="1"/>
  <c r="P170" i="30"/>
  <c r="Q170" i="30" s="1"/>
  <c r="L126" i="30"/>
  <c r="U126" i="30"/>
  <c r="V126" i="30" s="1"/>
  <c r="L134" i="30"/>
  <c r="U134" i="30"/>
  <c r="V134" i="30" s="1"/>
  <c r="U136" i="30"/>
  <c r="V136" i="30" s="1"/>
  <c r="U151" i="30"/>
  <c r="V151" i="30" s="1"/>
  <c r="U153" i="30"/>
  <c r="V153" i="30" s="1"/>
  <c r="L168" i="30"/>
  <c r="U168" i="30"/>
  <c r="V168" i="30" s="1"/>
  <c r="M136" i="30"/>
  <c r="P136" i="30"/>
  <c r="Q136" i="30" s="1"/>
  <c r="M153" i="30"/>
  <c r="P153" i="30"/>
  <c r="Q153" i="30" s="1"/>
  <c r="P138" i="30"/>
  <c r="Q138" i="30" s="1"/>
  <c r="M138" i="30"/>
  <c r="P155" i="30"/>
  <c r="Q155" i="30" s="1"/>
  <c r="M155" i="30"/>
  <c r="P130" i="30"/>
  <c r="Q130" i="30" s="1"/>
  <c r="M130" i="30"/>
  <c r="M145" i="30"/>
  <c r="P145" i="30"/>
  <c r="Q145" i="30" s="1"/>
  <c r="P147" i="30"/>
  <c r="Q147" i="30" s="1"/>
  <c r="M147" i="30"/>
  <c r="M161" i="30"/>
  <c r="P161" i="30"/>
  <c r="Q161" i="30" s="1"/>
  <c r="P163" i="30"/>
  <c r="Q163" i="30" s="1"/>
  <c r="M163" i="30"/>
  <c r="P172" i="30"/>
  <c r="Q172" i="30" s="1"/>
  <c r="M172" i="30"/>
  <c r="T130" i="30"/>
  <c r="T138" i="30"/>
  <c r="T163" i="30"/>
  <c r="M166" i="30"/>
  <c r="T172" i="30"/>
  <c r="U130" i="30"/>
  <c r="V130" i="30" s="1"/>
  <c r="T132" i="30"/>
  <c r="U138" i="30"/>
  <c r="V138" i="30" s="1"/>
  <c r="T140" i="30"/>
  <c r="U147" i="30"/>
  <c r="V147" i="30" s="1"/>
  <c r="T149" i="30"/>
  <c r="U155" i="30"/>
  <c r="V155" i="30" s="1"/>
  <c r="T157" i="30"/>
  <c r="U163" i="30"/>
  <c r="V163" i="30" s="1"/>
  <c r="T166" i="30"/>
  <c r="U172" i="30"/>
  <c r="V172" i="30" s="1"/>
  <c r="M132" i="30"/>
  <c r="T147" i="30"/>
  <c r="M149" i="30"/>
  <c r="T155" i="30"/>
  <c r="V144" i="30" l="1"/>
  <c r="M145" i="33"/>
  <c r="V153" i="33"/>
  <c r="V165" i="30"/>
  <c r="T165" i="30"/>
  <c r="O121" i="33"/>
  <c r="AR128" i="1" s="1"/>
  <c r="T125" i="33"/>
  <c r="T121" i="33" s="1"/>
  <c r="V125" i="33"/>
  <c r="V121" i="33" s="1"/>
  <c r="V144" i="33"/>
  <c r="P140" i="33"/>
  <c r="Q140" i="33" s="1"/>
  <c r="T144" i="30"/>
  <c r="T125" i="30"/>
  <c r="M147" i="33"/>
  <c r="M144" i="33" s="1"/>
  <c r="P147" i="33"/>
  <c r="Q147" i="33" s="1"/>
  <c r="Q144" i="33" s="1"/>
  <c r="M154" i="33"/>
  <c r="M128" i="33"/>
  <c r="M136" i="33"/>
  <c r="M138" i="33"/>
  <c r="P138" i="33"/>
  <c r="Q138" i="33" s="1"/>
  <c r="M130" i="33"/>
  <c r="P130" i="33"/>
  <c r="Q130" i="33" s="1"/>
  <c r="M156" i="33"/>
  <c r="P156" i="33"/>
  <c r="Q156" i="33" s="1"/>
  <c r="Q153" i="33" s="1"/>
  <c r="P128" i="30"/>
  <c r="Q128" i="30" s="1"/>
  <c r="M157" i="30"/>
  <c r="V125" i="30"/>
  <c r="V121" i="30" s="1"/>
  <c r="M151" i="30"/>
  <c r="P151" i="30"/>
  <c r="Q151" i="30" s="1"/>
  <c r="M140" i="30"/>
  <c r="M168" i="30"/>
  <c r="M165" i="30" s="1"/>
  <c r="P168" i="30"/>
  <c r="Q168" i="30" s="1"/>
  <c r="Q165" i="30" s="1"/>
  <c r="M159" i="30"/>
  <c r="P159" i="30"/>
  <c r="Q159" i="30" s="1"/>
  <c r="M134" i="30"/>
  <c r="P134" i="30"/>
  <c r="Q134" i="30" s="1"/>
  <c r="M126" i="30"/>
  <c r="P126" i="30"/>
  <c r="Q126" i="30" s="1"/>
  <c r="M123" i="30"/>
  <c r="M122" i="30" s="1"/>
  <c r="P123" i="30"/>
  <c r="Q123" i="30" s="1"/>
  <c r="Q122" i="30" s="1"/>
  <c r="M142" i="30"/>
  <c r="P142" i="30"/>
  <c r="Q142" i="30" s="1"/>
  <c r="M125" i="33" l="1"/>
  <c r="M121" i="33" s="1"/>
  <c r="AQ128" i="1" s="1"/>
  <c r="M153" i="33"/>
  <c r="T121" i="30"/>
  <c r="M144" i="30"/>
  <c r="Q144" i="30"/>
  <c r="Q125" i="33"/>
  <c r="Q121" i="33" s="1"/>
  <c r="AS128" i="1" s="1"/>
  <c r="Q125" i="30"/>
  <c r="M125" i="30"/>
  <c r="M121" i="30" s="1"/>
  <c r="AQ124" i="1" s="1"/>
  <c r="Q121" i="30" l="1"/>
  <c r="AS124" i="1" s="1"/>
  <c r="X125" i="44" l="1"/>
  <c r="Z125" i="44"/>
  <c r="AB125" i="44"/>
  <c r="AD125" i="44"/>
  <c r="S320" i="44"/>
  <c r="O320" i="44"/>
  <c r="S318" i="44"/>
  <c r="L318" i="44" s="1"/>
  <c r="O318" i="44"/>
  <c r="S316" i="44"/>
  <c r="U316" i="44" s="1"/>
  <c r="V316" i="44" s="1"/>
  <c r="O316" i="44"/>
  <c r="S313" i="44"/>
  <c r="U313" i="44" s="1"/>
  <c r="V313" i="44" s="1"/>
  <c r="O313" i="44"/>
  <c r="S311" i="44"/>
  <c r="O311" i="44"/>
  <c r="S309" i="44"/>
  <c r="L309" i="44" s="1"/>
  <c r="O309" i="44"/>
  <c r="S307" i="44"/>
  <c r="U307" i="44" s="1"/>
  <c r="V307" i="44" s="1"/>
  <c r="O307" i="44"/>
  <c r="S305" i="44"/>
  <c r="U305" i="44" s="1"/>
  <c r="V305" i="44" s="1"/>
  <c r="O305" i="44"/>
  <c r="S302" i="44"/>
  <c r="O302" i="44"/>
  <c r="S300" i="44"/>
  <c r="L300" i="44" s="1"/>
  <c r="O300" i="44"/>
  <c r="S298" i="44"/>
  <c r="U298" i="44" s="1"/>
  <c r="V298" i="44" s="1"/>
  <c r="O298" i="44"/>
  <c r="S296" i="44"/>
  <c r="U296" i="44" s="1"/>
  <c r="V296" i="44" s="1"/>
  <c r="O296" i="44"/>
  <c r="S293" i="44"/>
  <c r="O293" i="44"/>
  <c r="S291" i="44"/>
  <c r="T291" i="44" s="1"/>
  <c r="O291" i="44"/>
  <c r="S289" i="44"/>
  <c r="T289" i="44" s="1"/>
  <c r="O289" i="44"/>
  <c r="S287" i="44"/>
  <c r="U287" i="44" s="1"/>
  <c r="V287" i="44" s="1"/>
  <c r="O287" i="44"/>
  <c r="S285" i="44"/>
  <c r="O285" i="44"/>
  <c r="S283" i="44"/>
  <c r="L283" i="44" s="1"/>
  <c r="O283" i="44"/>
  <c r="S281" i="44"/>
  <c r="T281" i="44" s="1"/>
  <c r="O281" i="44"/>
  <c r="S279" i="44"/>
  <c r="U279" i="44" s="1"/>
  <c r="V279" i="44" s="1"/>
  <c r="O279" i="44"/>
  <c r="S277" i="44"/>
  <c r="O277" i="44"/>
  <c r="S275" i="44"/>
  <c r="L275" i="44" s="1"/>
  <c r="O275" i="44"/>
  <c r="S272" i="44"/>
  <c r="T272" i="44" s="1"/>
  <c r="O272" i="44"/>
  <c r="S270" i="44"/>
  <c r="U270" i="44" s="1"/>
  <c r="V270" i="44" s="1"/>
  <c r="O270" i="44"/>
  <c r="S268" i="44"/>
  <c r="O268" i="44"/>
  <c r="S266" i="44"/>
  <c r="U266" i="44" s="1"/>
  <c r="V266" i="44" s="1"/>
  <c r="O266" i="44"/>
  <c r="S264" i="44"/>
  <c r="T264" i="44" s="1"/>
  <c r="O264" i="44"/>
  <c r="S262" i="44"/>
  <c r="U262" i="44" s="1"/>
  <c r="V262" i="44" s="1"/>
  <c r="O262" i="44"/>
  <c r="S260" i="44"/>
  <c r="O260" i="44"/>
  <c r="S258" i="44"/>
  <c r="U258" i="44" s="1"/>
  <c r="V258" i="44" s="1"/>
  <c r="O258" i="44"/>
  <c r="S256" i="44"/>
  <c r="T256" i="44" s="1"/>
  <c r="O256" i="44"/>
  <c r="S254" i="44"/>
  <c r="U254" i="44" s="1"/>
  <c r="V254" i="44" s="1"/>
  <c r="O254" i="44"/>
  <c r="S252" i="44"/>
  <c r="O252" i="44"/>
  <c r="S250" i="44"/>
  <c r="L250" i="44" s="1"/>
  <c r="O250" i="44"/>
  <c r="S248" i="44"/>
  <c r="T248" i="44" s="1"/>
  <c r="O248" i="44"/>
  <c r="S246" i="44"/>
  <c r="U246" i="44" s="1"/>
  <c r="V246" i="44" s="1"/>
  <c r="O246" i="44"/>
  <c r="S244" i="44"/>
  <c r="O244" i="44"/>
  <c r="S241" i="44"/>
  <c r="U241" i="44" s="1"/>
  <c r="V241" i="44" s="1"/>
  <c r="O241" i="44"/>
  <c r="S239" i="44"/>
  <c r="T239" i="44" s="1"/>
  <c r="O239" i="44"/>
  <c r="S237" i="44"/>
  <c r="U237" i="44" s="1"/>
  <c r="V237" i="44" s="1"/>
  <c r="O237" i="44"/>
  <c r="S235" i="44"/>
  <c r="O235" i="44"/>
  <c r="S233" i="44"/>
  <c r="L233" i="44" s="1"/>
  <c r="O233" i="44"/>
  <c r="S229" i="44"/>
  <c r="U229" i="44" s="1"/>
  <c r="V229" i="44" s="1"/>
  <c r="O229" i="44"/>
  <c r="S227" i="44"/>
  <c r="U227" i="44" s="1"/>
  <c r="V227" i="44" s="1"/>
  <c r="O227" i="44"/>
  <c r="S225" i="44"/>
  <c r="O225" i="44"/>
  <c r="S223" i="44"/>
  <c r="L223" i="44" s="1"/>
  <c r="M223" i="44" s="1"/>
  <c r="O223" i="44"/>
  <c r="S221" i="44"/>
  <c r="U221" i="44" s="1"/>
  <c r="V221" i="44" s="1"/>
  <c r="O221" i="44"/>
  <c r="S219" i="44"/>
  <c r="L219" i="44" s="1"/>
  <c r="P219" i="44" s="1"/>
  <c r="Q219" i="44" s="1"/>
  <c r="O219" i="44"/>
  <c r="S217" i="44"/>
  <c r="T217" i="44" s="1"/>
  <c r="O217" i="44"/>
  <c r="S215" i="44"/>
  <c r="L215" i="44" s="1"/>
  <c r="O215" i="44"/>
  <c r="S213" i="44"/>
  <c r="U213" i="44" s="1"/>
  <c r="V213" i="44" s="1"/>
  <c r="O213" i="44"/>
  <c r="S211" i="44"/>
  <c r="O211" i="44"/>
  <c r="S209" i="44"/>
  <c r="U209" i="44" s="1"/>
  <c r="V209" i="44" s="1"/>
  <c r="O209" i="44"/>
  <c r="S207" i="44"/>
  <c r="T207" i="44" s="1"/>
  <c r="O207" i="44"/>
  <c r="S205" i="44"/>
  <c r="U205" i="44" s="1"/>
  <c r="V205" i="44" s="1"/>
  <c r="O205" i="44"/>
  <c r="S203" i="44"/>
  <c r="U203" i="44" s="1"/>
  <c r="V203" i="44" s="1"/>
  <c r="O203" i="44"/>
  <c r="S201" i="44"/>
  <c r="U201" i="44" s="1"/>
  <c r="V201" i="44" s="1"/>
  <c r="O201" i="44"/>
  <c r="S199" i="44"/>
  <c r="U199" i="44" s="1"/>
  <c r="V199" i="44" s="1"/>
  <c r="O199" i="44"/>
  <c r="S197" i="44"/>
  <c r="U197" i="44" s="1"/>
  <c r="V197" i="44" s="1"/>
  <c r="O197" i="44"/>
  <c r="S195" i="44"/>
  <c r="O195" i="44"/>
  <c r="S193" i="44"/>
  <c r="U193" i="44" s="1"/>
  <c r="V193" i="44" s="1"/>
  <c r="O193" i="44"/>
  <c r="S191" i="44"/>
  <c r="U191" i="44" s="1"/>
  <c r="V191" i="44" s="1"/>
  <c r="O191" i="44"/>
  <c r="S189" i="44"/>
  <c r="U189" i="44" s="1"/>
  <c r="V189" i="44" s="1"/>
  <c r="O189" i="44"/>
  <c r="S187" i="44"/>
  <c r="U187" i="44" s="1"/>
  <c r="V187" i="44" s="1"/>
  <c r="O187" i="44"/>
  <c r="S185" i="44"/>
  <c r="U185" i="44" s="1"/>
  <c r="V185" i="44" s="1"/>
  <c r="O185" i="44"/>
  <c r="S183" i="44"/>
  <c r="O183" i="44"/>
  <c r="S181" i="44"/>
  <c r="U181" i="44" s="1"/>
  <c r="V181" i="44" s="1"/>
  <c r="O181" i="44"/>
  <c r="S179" i="44"/>
  <c r="O179" i="44"/>
  <c r="S177" i="44"/>
  <c r="U177" i="44" s="1"/>
  <c r="V177" i="44" s="1"/>
  <c r="O177" i="44"/>
  <c r="S175" i="44"/>
  <c r="U175" i="44" s="1"/>
  <c r="V175" i="44" s="1"/>
  <c r="O175" i="44"/>
  <c r="S173" i="44"/>
  <c r="U173" i="44" s="1"/>
  <c r="V173" i="44" s="1"/>
  <c r="O173" i="44"/>
  <c r="U171" i="44"/>
  <c r="V171" i="44" s="1"/>
  <c r="S171" i="44"/>
  <c r="O171" i="44"/>
  <c r="S169" i="44"/>
  <c r="U169" i="44" s="1"/>
  <c r="V169" i="44" s="1"/>
  <c r="O169" i="44"/>
  <c r="S167" i="44"/>
  <c r="O167" i="44"/>
  <c r="S165" i="44"/>
  <c r="U165" i="44" s="1"/>
  <c r="V165" i="44" s="1"/>
  <c r="O165" i="44"/>
  <c r="S163" i="44"/>
  <c r="O163" i="44"/>
  <c r="S161" i="44"/>
  <c r="U161" i="44" s="1"/>
  <c r="V161" i="44" s="1"/>
  <c r="O161" i="44"/>
  <c r="S159" i="44"/>
  <c r="U159" i="44" s="1"/>
  <c r="V159" i="44" s="1"/>
  <c r="O159" i="44"/>
  <c r="S157" i="44"/>
  <c r="U157" i="44" s="1"/>
  <c r="V157" i="44" s="1"/>
  <c r="O157" i="44"/>
  <c r="S155" i="44"/>
  <c r="U155" i="44" s="1"/>
  <c r="V155" i="44" s="1"/>
  <c r="O155" i="44"/>
  <c r="S153" i="44"/>
  <c r="U153" i="44" s="1"/>
  <c r="V153" i="44" s="1"/>
  <c r="O153" i="44"/>
  <c r="S151" i="44"/>
  <c r="O151" i="44"/>
  <c r="S149" i="44"/>
  <c r="U149" i="44" s="1"/>
  <c r="V149" i="44" s="1"/>
  <c r="O149" i="44"/>
  <c r="S147" i="44"/>
  <c r="O147" i="44"/>
  <c r="T145" i="44"/>
  <c r="S145" i="44"/>
  <c r="U145" i="44" s="1"/>
  <c r="V145" i="44" s="1"/>
  <c r="O145" i="44"/>
  <c r="S143" i="44"/>
  <c r="U143" i="44" s="1"/>
  <c r="V143" i="44" s="1"/>
  <c r="O143" i="44"/>
  <c r="S141" i="44"/>
  <c r="U141" i="44" s="1"/>
  <c r="V141" i="44" s="1"/>
  <c r="O141" i="44"/>
  <c r="S139" i="44"/>
  <c r="U139" i="44" s="1"/>
  <c r="V139" i="44" s="1"/>
  <c r="O139" i="44"/>
  <c r="S137" i="44"/>
  <c r="U137" i="44" s="1"/>
  <c r="V137" i="44" s="1"/>
  <c r="O137" i="44"/>
  <c r="S135" i="44"/>
  <c r="T135" i="44" s="1"/>
  <c r="O135" i="44"/>
  <c r="S133" i="44"/>
  <c r="L133" i="44" s="1"/>
  <c r="O133" i="44"/>
  <c r="S131" i="44"/>
  <c r="L131" i="44" s="1"/>
  <c r="O131" i="44"/>
  <c r="S129" i="44"/>
  <c r="U129" i="44" s="1"/>
  <c r="V129" i="44" s="1"/>
  <c r="O129" i="44"/>
  <c r="O127" i="44"/>
  <c r="S127" i="44"/>
  <c r="L127" i="44" s="1"/>
  <c r="L256" i="44" l="1"/>
  <c r="M256" i="44" s="1"/>
  <c r="T316" i="44"/>
  <c r="O295" i="44"/>
  <c r="O304" i="44"/>
  <c r="O315" i="44"/>
  <c r="O274" i="44"/>
  <c r="O232" i="44"/>
  <c r="O243" i="44"/>
  <c r="U239" i="44"/>
  <c r="V239" i="44" s="1"/>
  <c r="T193" i="44"/>
  <c r="L239" i="44"/>
  <c r="M239" i="44" s="1"/>
  <c r="O126" i="44"/>
  <c r="T177" i="44"/>
  <c r="L193" i="44"/>
  <c r="M193" i="44" s="1"/>
  <c r="T213" i="44"/>
  <c r="U281" i="44"/>
  <c r="V281" i="44" s="1"/>
  <c r="T318" i="44"/>
  <c r="T129" i="44"/>
  <c r="U207" i="44"/>
  <c r="V207" i="44" s="1"/>
  <c r="L316" i="44"/>
  <c r="M316" i="44" s="1"/>
  <c r="U318" i="44"/>
  <c r="V318" i="44" s="1"/>
  <c r="L272" i="44"/>
  <c r="M272" i="44" s="1"/>
  <c r="L129" i="44"/>
  <c r="M129" i="44" s="1"/>
  <c r="T161" i="44"/>
  <c r="U215" i="44"/>
  <c r="V215" i="44" s="1"/>
  <c r="T250" i="44"/>
  <c r="L258" i="44"/>
  <c r="M258" i="44" s="1"/>
  <c r="L281" i="44"/>
  <c r="M281" i="44" s="1"/>
  <c r="T221" i="44"/>
  <c r="T223" i="44"/>
  <c r="L254" i="44"/>
  <c r="P254" i="44" s="1"/>
  <c r="Q254" i="44" s="1"/>
  <c r="U264" i="44"/>
  <c r="V264" i="44" s="1"/>
  <c r="L149" i="44"/>
  <c r="P149" i="44" s="1"/>
  <c r="Q149" i="44" s="1"/>
  <c r="L165" i="44"/>
  <c r="P165" i="44" s="1"/>
  <c r="Q165" i="44" s="1"/>
  <c r="L181" i="44"/>
  <c r="M181" i="44" s="1"/>
  <c r="L197" i="44"/>
  <c r="M197" i="44" s="1"/>
  <c r="U223" i="44"/>
  <c r="V223" i="44" s="1"/>
  <c r="L262" i="44"/>
  <c r="P262" i="44" s="1"/>
  <c r="Q262" i="44" s="1"/>
  <c r="L264" i="44"/>
  <c r="M264" i="44" s="1"/>
  <c r="T275" i="44"/>
  <c r="L279" i="44"/>
  <c r="P279" i="44" s="1"/>
  <c r="Q279" i="44" s="1"/>
  <c r="L291" i="44"/>
  <c r="U291" i="44"/>
  <c r="V291" i="44" s="1"/>
  <c r="L313" i="44"/>
  <c r="M313" i="44" s="1"/>
  <c r="T127" i="44"/>
  <c r="T131" i="44"/>
  <c r="T141" i="44"/>
  <c r="L145" i="44"/>
  <c r="M145" i="44" s="1"/>
  <c r="T157" i="44"/>
  <c r="L161" i="44"/>
  <c r="P161" i="44" s="1"/>
  <c r="Q161" i="44" s="1"/>
  <c r="T173" i="44"/>
  <c r="L177" i="44"/>
  <c r="P177" i="44" s="1"/>
  <c r="Q177" i="44" s="1"/>
  <c r="T189" i="44"/>
  <c r="T209" i="44"/>
  <c r="T215" i="44"/>
  <c r="P223" i="44"/>
  <c r="Q223" i="44" s="1"/>
  <c r="U256" i="44"/>
  <c r="V256" i="44" s="1"/>
  <c r="T258" i="44"/>
  <c r="U272" i="44"/>
  <c r="V272" i="44" s="1"/>
  <c r="U275" i="44"/>
  <c r="V275" i="44" s="1"/>
  <c r="U283" i="44"/>
  <c r="V283" i="44" s="1"/>
  <c r="P127" i="44"/>
  <c r="Q127" i="44" s="1"/>
  <c r="M127" i="44"/>
  <c r="U127" i="44"/>
  <c r="V127" i="44" s="1"/>
  <c r="U131" i="44"/>
  <c r="V131" i="44" s="1"/>
  <c r="T137" i="44"/>
  <c r="L141" i="44"/>
  <c r="M141" i="44" s="1"/>
  <c r="T153" i="44"/>
  <c r="L157" i="44"/>
  <c r="P157" i="44" s="1"/>
  <c r="Q157" i="44" s="1"/>
  <c r="T169" i="44"/>
  <c r="L173" i="44"/>
  <c r="M173" i="44" s="1"/>
  <c r="T185" i="44"/>
  <c r="L189" i="44"/>
  <c r="M189" i="44" s="1"/>
  <c r="T201" i="44"/>
  <c r="T205" i="44"/>
  <c r="L209" i="44"/>
  <c r="M209" i="44" s="1"/>
  <c r="L213" i="44"/>
  <c r="M213" i="44" s="1"/>
  <c r="M219" i="44"/>
  <c r="L221" i="44"/>
  <c r="M221" i="44" s="1"/>
  <c r="L229" i="44"/>
  <c r="T229" i="44"/>
  <c r="T233" i="44"/>
  <c r="L237" i="44"/>
  <c r="P237" i="44" s="1"/>
  <c r="Q237" i="44" s="1"/>
  <c r="L241" i="44"/>
  <c r="T241" i="44"/>
  <c r="L246" i="44"/>
  <c r="P246" i="44" s="1"/>
  <c r="Q246" i="44" s="1"/>
  <c r="L248" i="44"/>
  <c r="U248" i="44"/>
  <c r="V248" i="44" s="1"/>
  <c r="U250" i="44"/>
  <c r="V250" i="44" s="1"/>
  <c r="P256" i="44"/>
  <c r="Q256" i="44" s="1"/>
  <c r="L266" i="44"/>
  <c r="T266" i="44"/>
  <c r="L270" i="44"/>
  <c r="P270" i="44" s="1"/>
  <c r="Q270" i="44" s="1"/>
  <c r="L289" i="44"/>
  <c r="U289" i="44"/>
  <c r="V289" i="44" s="1"/>
  <c r="L298" i="44"/>
  <c r="T298" i="44"/>
  <c r="T300" i="44"/>
  <c r="L305" i="44"/>
  <c r="P305" i="44" s="1"/>
  <c r="Q305" i="44" s="1"/>
  <c r="L307" i="44"/>
  <c r="T307" i="44"/>
  <c r="T309" i="44"/>
  <c r="P129" i="44"/>
  <c r="Q129" i="44" s="1"/>
  <c r="L137" i="44"/>
  <c r="M137" i="44" s="1"/>
  <c r="T149" i="44"/>
  <c r="L153" i="44"/>
  <c r="P153" i="44" s="1"/>
  <c r="Q153" i="44" s="1"/>
  <c r="T165" i="44"/>
  <c r="L169" i="44"/>
  <c r="M169" i="44" s="1"/>
  <c r="T181" i="44"/>
  <c r="L185" i="44"/>
  <c r="P185" i="44" s="1"/>
  <c r="Q185" i="44" s="1"/>
  <c r="T197" i="44"/>
  <c r="L201" i="44"/>
  <c r="M201" i="44" s="1"/>
  <c r="L205" i="44"/>
  <c r="M205" i="44" s="1"/>
  <c r="L227" i="44"/>
  <c r="M227" i="44" s="1"/>
  <c r="U233" i="44"/>
  <c r="V233" i="44" s="1"/>
  <c r="P239" i="44"/>
  <c r="Q239" i="44" s="1"/>
  <c r="P272" i="44"/>
  <c r="Q272" i="44" s="1"/>
  <c r="T283" i="44"/>
  <c r="L287" i="44"/>
  <c r="M287" i="44" s="1"/>
  <c r="L296" i="44"/>
  <c r="P296" i="44" s="1"/>
  <c r="Q296" i="44" s="1"/>
  <c r="U300" i="44"/>
  <c r="V300" i="44" s="1"/>
  <c r="U309" i="44"/>
  <c r="V309" i="44" s="1"/>
  <c r="M131" i="44"/>
  <c r="P131" i="44"/>
  <c r="Q131" i="44" s="1"/>
  <c r="P133" i="44"/>
  <c r="Q133" i="44" s="1"/>
  <c r="M133" i="44"/>
  <c r="T151" i="44"/>
  <c r="L151" i="44"/>
  <c r="T167" i="44"/>
  <c r="L167" i="44"/>
  <c r="T183" i="44"/>
  <c r="L183" i="44"/>
  <c r="L211" i="44"/>
  <c r="U211" i="44"/>
  <c r="V211" i="44" s="1"/>
  <c r="T211" i="44"/>
  <c r="P215" i="44"/>
  <c r="Q215" i="44" s="1"/>
  <c r="M215" i="44"/>
  <c r="T133" i="44"/>
  <c r="U135" i="44"/>
  <c r="V135" i="44" s="1"/>
  <c r="P141" i="44"/>
  <c r="Q141" i="44" s="1"/>
  <c r="L147" i="44"/>
  <c r="T147" i="44"/>
  <c r="U151" i="44"/>
  <c r="V151" i="44" s="1"/>
  <c r="L163" i="44"/>
  <c r="T163" i="44"/>
  <c r="U167" i="44"/>
  <c r="V167" i="44" s="1"/>
  <c r="L179" i="44"/>
  <c r="T179" i="44"/>
  <c r="U183" i="44"/>
  <c r="V183" i="44" s="1"/>
  <c r="P189" i="44"/>
  <c r="Q189" i="44" s="1"/>
  <c r="L195" i="44"/>
  <c r="T195" i="44"/>
  <c r="L225" i="44"/>
  <c r="U225" i="44"/>
  <c r="V225" i="44" s="1"/>
  <c r="T225" i="44"/>
  <c r="L268" i="44"/>
  <c r="U268" i="44"/>
  <c r="V268" i="44" s="1"/>
  <c r="T268" i="44"/>
  <c r="U133" i="44"/>
  <c r="V133" i="44" s="1"/>
  <c r="T143" i="44"/>
  <c r="L143" i="44"/>
  <c r="U147" i="44"/>
  <c r="V147" i="44" s="1"/>
  <c r="T159" i="44"/>
  <c r="L159" i="44"/>
  <c r="U163" i="44"/>
  <c r="V163" i="44" s="1"/>
  <c r="T175" i="44"/>
  <c r="L175" i="44"/>
  <c r="U179" i="44"/>
  <c r="V179" i="44" s="1"/>
  <c r="T191" i="44"/>
  <c r="L191" i="44"/>
  <c r="U195" i="44"/>
  <c r="V195" i="44" s="1"/>
  <c r="P205" i="44"/>
  <c r="Q205" i="44" s="1"/>
  <c r="M275" i="44"/>
  <c r="P275" i="44"/>
  <c r="Q275" i="44" s="1"/>
  <c r="L135" i="44"/>
  <c r="T199" i="44"/>
  <c r="L199" i="44"/>
  <c r="L203" i="44"/>
  <c r="T203" i="44"/>
  <c r="L139" i="44"/>
  <c r="T139" i="44"/>
  <c r="L155" i="44"/>
  <c r="T155" i="44"/>
  <c r="L171" i="44"/>
  <c r="T171" i="44"/>
  <c r="P181" i="44"/>
  <c r="Q181" i="44" s="1"/>
  <c r="L187" i="44"/>
  <c r="T187" i="44"/>
  <c r="M309" i="44"/>
  <c r="P309" i="44"/>
  <c r="Q309" i="44" s="1"/>
  <c r="L207" i="44"/>
  <c r="L217" i="44"/>
  <c r="U217" i="44"/>
  <c r="V217" i="44" s="1"/>
  <c r="M233" i="44"/>
  <c r="P233" i="44"/>
  <c r="Q233" i="44" s="1"/>
  <c r="L244" i="44"/>
  <c r="U244" i="44"/>
  <c r="V244" i="44" s="1"/>
  <c r="T244" i="44"/>
  <c r="M250" i="44"/>
  <c r="P250" i="44"/>
  <c r="Q250" i="44" s="1"/>
  <c r="L260" i="44"/>
  <c r="U260" i="44"/>
  <c r="V260" i="44" s="1"/>
  <c r="T260" i="44"/>
  <c r="L277" i="44"/>
  <c r="U277" i="44"/>
  <c r="V277" i="44" s="1"/>
  <c r="T277" i="44"/>
  <c r="M283" i="44"/>
  <c r="P283" i="44"/>
  <c r="Q283" i="44" s="1"/>
  <c r="L293" i="44"/>
  <c r="U293" i="44"/>
  <c r="V293" i="44" s="1"/>
  <c r="T293" i="44"/>
  <c r="L311" i="44"/>
  <c r="U311" i="44"/>
  <c r="V311" i="44" s="1"/>
  <c r="T311" i="44"/>
  <c r="L235" i="44"/>
  <c r="U235" i="44"/>
  <c r="V235" i="44" s="1"/>
  <c r="T235" i="44"/>
  <c r="L252" i="44"/>
  <c r="U252" i="44"/>
  <c r="V252" i="44" s="1"/>
  <c r="T252" i="44"/>
  <c r="L285" i="44"/>
  <c r="U285" i="44"/>
  <c r="V285" i="44" s="1"/>
  <c r="T285" i="44"/>
  <c r="M300" i="44"/>
  <c r="P300" i="44"/>
  <c r="Q300" i="44" s="1"/>
  <c r="M318" i="44"/>
  <c r="P318" i="44"/>
  <c r="Q318" i="44" s="1"/>
  <c r="U219" i="44"/>
  <c r="V219" i="44" s="1"/>
  <c r="T219" i="44"/>
  <c r="P287" i="44"/>
  <c r="Q287" i="44" s="1"/>
  <c r="L302" i="44"/>
  <c r="U302" i="44"/>
  <c r="V302" i="44" s="1"/>
  <c r="T302" i="44"/>
  <c r="L320" i="44"/>
  <c r="U320" i="44"/>
  <c r="V320" i="44" s="1"/>
  <c r="T320" i="44"/>
  <c r="T227" i="44"/>
  <c r="T237" i="44"/>
  <c r="T246" i="44"/>
  <c r="T254" i="44"/>
  <c r="T262" i="44"/>
  <c r="T270" i="44"/>
  <c r="T279" i="44"/>
  <c r="T287" i="44"/>
  <c r="T296" i="44"/>
  <c r="T305" i="44"/>
  <c r="T313" i="44"/>
  <c r="X126" i="43"/>
  <c r="Z126" i="43"/>
  <c r="AB126" i="43"/>
  <c r="AD126" i="43"/>
  <c r="S276" i="43"/>
  <c r="S323" i="43"/>
  <c r="O323" i="43"/>
  <c r="S321" i="43"/>
  <c r="L321" i="43" s="1"/>
  <c r="O321" i="43"/>
  <c r="S319" i="43"/>
  <c r="U319" i="43" s="1"/>
  <c r="V319" i="43" s="1"/>
  <c r="O319" i="43"/>
  <c r="S316" i="43"/>
  <c r="U316" i="43" s="1"/>
  <c r="V316" i="43" s="1"/>
  <c r="O316" i="43"/>
  <c r="S314" i="43"/>
  <c r="O314" i="43"/>
  <c r="S312" i="43"/>
  <c r="L312" i="43" s="1"/>
  <c r="O312" i="43"/>
  <c r="S310" i="43"/>
  <c r="T310" i="43" s="1"/>
  <c r="O310" i="43"/>
  <c r="S308" i="43"/>
  <c r="U308" i="43" s="1"/>
  <c r="V308" i="43" s="1"/>
  <c r="O308" i="43"/>
  <c r="S305" i="43"/>
  <c r="O305" i="43"/>
  <c r="S303" i="43"/>
  <c r="T303" i="43" s="1"/>
  <c r="O303" i="43"/>
  <c r="S301" i="43"/>
  <c r="T301" i="43" s="1"/>
  <c r="O301" i="43"/>
  <c r="S299" i="43"/>
  <c r="U299" i="43" s="1"/>
  <c r="V299" i="43" s="1"/>
  <c r="O299" i="43"/>
  <c r="S297" i="43"/>
  <c r="O297" i="43"/>
  <c r="S294" i="43"/>
  <c r="U294" i="43" s="1"/>
  <c r="V294" i="43" s="1"/>
  <c r="O294" i="43"/>
  <c r="S292" i="43"/>
  <c r="T292" i="43" s="1"/>
  <c r="O292" i="43"/>
  <c r="S290" i="43"/>
  <c r="U290" i="43" s="1"/>
  <c r="V290" i="43" s="1"/>
  <c r="O290" i="43"/>
  <c r="S288" i="43"/>
  <c r="O288" i="43"/>
  <c r="S286" i="43"/>
  <c r="U286" i="43" s="1"/>
  <c r="V286" i="43" s="1"/>
  <c r="O286" i="43"/>
  <c r="S284" i="43"/>
  <c r="T284" i="43" s="1"/>
  <c r="O284" i="43"/>
  <c r="S282" i="43"/>
  <c r="U282" i="43" s="1"/>
  <c r="V282" i="43" s="1"/>
  <c r="O282" i="43"/>
  <c r="S280" i="43"/>
  <c r="O280" i="43"/>
  <c r="S278" i="43"/>
  <c r="U278" i="43" s="1"/>
  <c r="V278" i="43" s="1"/>
  <c r="O278" i="43"/>
  <c r="T276" i="43"/>
  <c r="O276" i="43"/>
  <c r="S273" i="43"/>
  <c r="U273" i="43" s="1"/>
  <c r="V273" i="43" s="1"/>
  <c r="O273" i="43"/>
  <c r="S271" i="43"/>
  <c r="O271" i="43"/>
  <c r="S269" i="43"/>
  <c r="U269" i="43" s="1"/>
  <c r="V269" i="43" s="1"/>
  <c r="O269" i="43"/>
  <c r="S267" i="43"/>
  <c r="T267" i="43" s="1"/>
  <c r="O267" i="43"/>
  <c r="S265" i="43"/>
  <c r="U265" i="43" s="1"/>
  <c r="V265" i="43" s="1"/>
  <c r="O265" i="43"/>
  <c r="S263" i="43"/>
  <c r="O263" i="43"/>
  <c r="S261" i="43"/>
  <c r="U261" i="43" s="1"/>
  <c r="V261" i="43" s="1"/>
  <c r="O261" i="43"/>
  <c r="S259" i="43"/>
  <c r="T259" i="43" s="1"/>
  <c r="O259" i="43"/>
  <c r="S257" i="43"/>
  <c r="U257" i="43" s="1"/>
  <c r="V257" i="43" s="1"/>
  <c r="O257" i="43"/>
  <c r="S255" i="43"/>
  <c r="O255" i="43"/>
  <c r="S253" i="43"/>
  <c r="U253" i="43" s="1"/>
  <c r="V253" i="43" s="1"/>
  <c r="O253" i="43"/>
  <c r="S251" i="43"/>
  <c r="T251" i="43" s="1"/>
  <c r="O251" i="43"/>
  <c r="S249" i="43"/>
  <c r="U249" i="43" s="1"/>
  <c r="V249" i="43" s="1"/>
  <c r="O249" i="43"/>
  <c r="S247" i="43"/>
  <c r="O247" i="43"/>
  <c r="S245" i="43"/>
  <c r="U245" i="43" s="1"/>
  <c r="V245" i="43" s="1"/>
  <c r="O245" i="43"/>
  <c r="S242" i="43"/>
  <c r="T242" i="43" s="1"/>
  <c r="O242" i="43"/>
  <c r="S240" i="43"/>
  <c r="U240" i="43" s="1"/>
  <c r="V240" i="43" s="1"/>
  <c r="O240" i="43"/>
  <c r="S238" i="43"/>
  <c r="O238" i="43"/>
  <c r="S236" i="43"/>
  <c r="U236" i="43" s="1"/>
  <c r="V236" i="43" s="1"/>
  <c r="O236" i="43"/>
  <c r="S234" i="43"/>
  <c r="T234" i="43" s="1"/>
  <c r="O234" i="43"/>
  <c r="S230" i="43"/>
  <c r="U230" i="43" s="1"/>
  <c r="V230" i="43" s="1"/>
  <c r="O230" i="43"/>
  <c r="S228" i="43"/>
  <c r="O228" i="43"/>
  <c r="S226" i="43"/>
  <c r="U226" i="43" s="1"/>
  <c r="V226" i="43" s="1"/>
  <c r="O226" i="43"/>
  <c r="S224" i="43"/>
  <c r="T224" i="43" s="1"/>
  <c r="O224" i="43"/>
  <c r="S222" i="43"/>
  <c r="U222" i="43" s="1"/>
  <c r="V222" i="43" s="1"/>
  <c r="O222" i="43"/>
  <c r="S220" i="43"/>
  <c r="T220" i="43" s="1"/>
  <c r="O220" i="43"/>
  <c r="S218" i="43"/>
  <c r="T218" i="43" s="1"/>
  <c r="O218" i="43"/>
  <c r="S216" i="43"/>
  <c r="U216" i="43" s="1"/>
  <c r="V216" i="43" s="1"/>
  <c r="O216" i="43"/>
  <c r="S214" i="43"/>
  <c r="O214" i="43"/>
  <c r="S212" i="43"/>
  <c r="T212" i="43" s="1"/>
  <c r="O212" i="43"/>
  <c r="S210" i="43"/>
  <c r="T210" i="43" s="1"/>
  <c r="O210" i="43"/>
  <c r="S208" i="43"/>
  <c r="U208" i="43" s="1"/>
  <c r="V208" i="43" s="1"/>
  <c r="O208" i="43"/>
  <c r="S206" i="43"/>
  <c r="O206" i="43"/>
  <c r="S204" i="43"/>
  <c r="T204" i="43" s="1"/>
  <c r="O204" i="43"/>
  <c r="S202" i="43"/>
  <c r="T202" i="43" s="1"/>
  <c r="O202" i="43"/>
  <c r="S200" i="43"/>
  <c r="U200" i="43" s="1"/>
  <c r="V200" i="43" s="1"/>
  <c r="O200" i="43"/>
  <c r="S198" i="43"/>
  <c r="O198" i="43"/>
  <c r="S196" i="43"/>
  <c r="T196" i="43" s="1"/>
  <c r="O196" i="43"/>
  <c r="S194" i="43"/>
  <c r="T194" i="43" s="1"/>
  <c r="O194" i="43"/>
  <c r="S192" i="43"/>
  <c r="U192" i="43" s="1"/>
  <c r="V192" i="43" s="1"/>
  <c r="O192" i="43"/>
  <c r="S190" i="43"/>
  <c r="O190" i="43"/>
  <c r="S188" i="43"/>
  <c r="T188" i="43" s="1"/>
  <c r="O188" i="43"/>
  <c r="S186" i="43"/>
  <c r="T186" i="43" s="1"/>
  <c r="O186" i="43"/>
  <c r="S184" i="43"/>
  <c r="U184" i="43" s="1"/>
  <c r="V184" i="43" s="1"/>
  <c r="O184" i="43"/>
  <c r="S182" i="43"/>
  <c r="O182" i="43"/>
  <c r="S180" i="43"/>
  <c r="T180" i="43" s="1"/>
  <c r="O180" i="43"/>
  <c r="S178" i="43"/>
  <c r="T178" i="43" s="1"/>
  <c r="O178" i="43"/>
  <c r="S176" i="43"/>
  <c r="U176" i="43" s="1"/>
  <c r="V176" i="43" s="1"/>
  <c r="O176" i="43"/>
  <c r="S174" i="43"/>
  <c r="O174" i="43"/>
  <c r="S172" i="43"/>
  <c r="T172" i="43" s="1"/>
  <c r="O172" i="43"/>
  <c r="S170" i="43"/>
  <c r="T170" i="43" s="1"/>
  <c r="O170" i="43"/>
  <c r="S168" i="43"/>
  <c r="U168" i="43" s="1"/>
  <c r="V168" i="43" s="1"/>
  <c r="O168" i="43"/>
  <c r="S166" i="43"/>
  <c r="O166" i="43"/>
  <c r="S164" i="43"/>
  <c r="T164" i="43" s="1"/>
  <c r="O164" i="43"/>
  <c r="S162" i="43"/>
  <c r="T162" i="43" s="1"/>
  <c r="O162" i="43"/>
  <c r="S160" i="43"/>
  <c r="U160" i="43" s="1"/>
  <c r="V160" i="43" s="1"/>
  <c r="O160" i="43"/>
  <c r="S158" i="43"/>
  <c r="O158" i="43"/>
  <c r="S156" i="43"/>
  <c r="L156" i="43" s="1"/>
  <c r="O156" i="43"/>
  <c r="S154" i="43"/>
  <c r="T154" i="43" s="1"/>
  <c r="O154" i="43"/>
  <c r="S152" i="43"/>
  <c r="U152" i="43" s="1"/>
  <c r="V152" i="43" s="1"/>
  <c r="O152" i="43"/>
  <c r="S150" i="43"/>
  <c r="O150" i="43"/>
  <c r="S148" i="43"/>
  <c r="T148" i="43" s="1"/>
  <c r="O148" i="43"/>
  <c r="S146" i="43"/>
  <c r="T146" i="43" s="1"/>
  <c r="O146" i="43"/>
  <c r="S144" i="43"/>
  <c r="U144" i="43" s="1"/>
  <c r="V144" i="43" s="1"/>
  <c r="O144" i="43"/>
  <c r="S142" i="43"/>
  <c r="O142" i="43"/>
  <c r="S140" i="43"/>
  <c r="L140" i="43" s="1"/>
  <c r="O140" i="43"/>
  <c r="S138" i="43"/>
  <c r="T138" i="43" s="1"/>
  <c r="O138" i="43"/>
  <c r="S136" i="43"/>
  <c r="U136" i="43" s="1"/>
  <c r="V136" i="43" s="1"/>
  <c r="O136" i="43"/>
  <c r="S134" i="43"/>
  <c r="O134" i="43"/>
  <c r="S132" i="43"/>
  <c r="U132" i="43" s="1"/>
  <c r="V132" i="43" s="1"/>
  <c r="O132" i="43"/>
  <c r="S130" i="43"/>
  <c r="T130" i="43" s="1"/>
  <c r="O130" i="43"/>
  <c r="O128" i="43"/>
  <c r="S128" i="43"/>
  <c r="L128" i="43" s="1"/>
  <c r="X124" i="20"/>
  <c r="Z124" i="20"/>
  <c r="AB124" i="20"/>
  <c r="AD124" i="20"/>
  <c r="S350" i="20"/>
  <c r="L350" i="20" s="1"/>
  <c r="O350" i="20"/>
  <c r="O349" i="20" s="1"/>
  <c r="S346" i="20"/>
  <c r="L346" i="20" s="1"/>
  <c r="O346" i="20"/>
  <c r="S343" i="20"/>
  <c r="U343" i="20" s="1"/>
  <c r="V343" i="20" s="1"/>
  <c r="O343" i="20"/>
  <c r="S341" i="20"/>
  <c r="U341" i="20" s="1"/>
  <c r="V341" i="20" s="1"/>
  <c r="O341" i="20"/>
  <c r="S335" i="20"/>
  <c r="O335" i="20"/>
  <c r="S330" i="20"/>
  <c r="L330" i="20" s="1"/>
  <c r="O330" i="20"/>
  <c r="S327" i="20"/>
  <c r="U327" i="20" s="1"/>
  <c r="V327" i="20" s="1"/>
  <c r="O327" i="20"/>
  <c r="S325" i="20"/>
  <c r="U325" i="20" s="1"/>
  <c r="V325" i="20" s="1"/>
  <c r="O325" i="20"/>
  <c r="S323" i="20"/>
  <c r="O323" i="20"/>
  <c r="S321" i="20"/>
  <c r="L321" i="20" s="1"/>
  <c r="O321" i="20"/>
  <c r="S317" i="20"/>
  <c r="T317" i="20" s="1"/>
  <c r="O317" i="20"/>
  <c r="S314" i="20"/>
  <c r="U314" i="20" s="1"/>
  <c r="V314" i="20" s="1"/>
  <c r="O314" i="20"/>
  <c r="S312" i="20"/>
  <c r="O312" i="20"/>
  <c r="S307" i="20"/>
  <c r="L307" i="20" s="1"/>
  <c r="O307" i="20"/>
  <c r="S305" i="20"/>
  <c r="T305" i="20" s="1"/>
  <c r="O305" i="20"/>
  <c r="S303" i="20"/>
  <c r="U303" i="20" s="1"/>
  <c r="V303" i="20" s="1"/>
  <c r="O303" i="20"/>
  <c r="S292" i="20"/>
  <c r="O292" i="20"/>
  <c r="S288" i="20"/>
  <c r="L288" i="20" s="1"/>
  <c r="O288" i="20"/>
  <c r="S282" i="20"/>
  <c r="T282" i="20" s="1"/>
  <c r="O282" i="20"/>
  <c r="S280" i="20"/>
  <c r="U280" i="20" s="1"/>
  <c r="V280" i="20" s="1"/>
  <c r="O280" i="20"/>
  <c r="S278" i="20"/>
  <c r="O278" i="20"/>
  <c r="S276" i="20"/>
  <c r="L276" i="20" s="1"/>
  <c r="O276" i="20"/>
  <c r="S270" i="20"/>
  <c r="T270" i="20" s="1"/>
  <c r="O270" i="20"/>
  <c r="S265" i="20"/>
  <c r="U265" i="20" s="1"/>
  <c r="V265" i="20" s="1"/>
  <c r="O265" i="20"/>
  <c r="S260" i="20"/>
  <c r="O260" i="20"/>
  <c r="S255" i="20"/>
  <c r="L255" i="20" s="1"/>
  <c r="O255" i="20"/>
  <c r="O254" i="20" s="1"/>
  <c r="S251" i="20"/>
  <c r="T251" i="20" s="1"/>
  <c r="O251" i="20"/>
  <c r="S245" i="20"/>
  <c r="U245" i="20" s="1"/>
  <c r="V245" i="20" s="1"/>
  <c r="O245" i="20"/>
  <c r="S243" i="20"/>
  <c r="O243" i="20"/>
  <c r="S240" i="20"/>
  <c r="U240" i="20" s="1"/>
  <c r="V240" i="20" s="1"/>
  <c r="O240" i="20"/>
  <c r="S235" i="20"/>
  <c r="T235" i="20" s="1"/>
  <c r="O235" i="20"/>
  <c r="S223" i="20"/>
  <c r="U223" i="20" s="1"/>
  <c r="V223" i="20" s="1"/>
  <c r="O223" i="20"/>
  <c r="S209" i="20"/>
  <c r="O209" i="20"/>
  <c r="S200" i="20"/>
  <c r="L200" i="20" s="1"/>
  <c r="O200" i="20"/>
  <c r="S195" i="20"/>
  <c r="T195" i="20" s="1"/>
  <c r="O195" i="20"/>
  <c r="S185" i="20"/>
  <c r="U185" i="20" s="1"/>
  <c r="V185" i="20" s="1"/>
  <c r="O185" i="20"/>
  <c r="S182" i="20"/>
  <c r="O182" i="20"/>
  <c r="S178" i="20"/>
  <c r="L178" i="20" s="1"/>
  <c r="O178" i="20"/>
  <c r="S176" i="20"/>
  <c r="T176" i="20" s="1"/>
  <c r="O176" i="20"/>
  <c r="S168" i="20"/>
  <c r="U168" i="20" s="1"/>
  <c r="V168" i="20" s="1"/>
  <c r="O168" i="20"/>
  <c r="S166" i="20"/>
  <c r="O166" i="20"/>
  <c r="S161" i="20"/>
  <c r="L161" i="20" s="1"/>
  <c r="O161" i="20"/>
  <c r="S156" i="20"/>
  <c r="T156" i="20" s="1"/>
  <c r="O156" i="20"/>
  <c r="S153" i="20"/>
  <c r="U153" i="20" s="1"/>
  <c r="V153" i="20" s="1"/>
  <c r="O153" i="20"/>
  <c r="S143" i="20"/>
  <c r="O143" i="20"/>
  <c r="S137" i="20"/>
  <c r="L137" i="20" s="1"/>
  <c r="O137" i="20"/>
  <c r="S130" i="20"/>
  <c r="T130" i="20" s="1"/>
  <c r="O130" i="20"/>
  <c r="S128" i="20"/>
  <c r="U128" i="20" s="1"/>
  <c r="V128" i="20" s="1"/>
  <c r="O128" i="20"/>
  <c r="O126" i="20"/>
  <c r="S126" i="20"/>
  <c r="U126" i="20" s="1"/>
  <c r="V126" i="20" s="1"/>
  <c r="L210" i="43" l="1"/>
  <c r="M210" i="43" s="1"/>
  <c r="M161" i="44"/>
  <c r="P264" i="44"/>
  <c r="Q264" i="44" s="1"/>
  <c r="T132" i="43"/>
  <c r="L200" i="43"/>
  <c r="L265" i="43"/>
  <c r="P265" i="43" s="1"/>
  <c r="Q265" i="43" s="1"/>
  <c r="L146" i="43"/>
  <c r="M146" i="43" s="1"/>
  <c r="L308" i="43"/>
  <c r="M262" i="44"/>
  <c r="M246" i="44"/>
  <c r="M165" i="44"/>
  <c r="M149" i="44"/>
  <c r="M153" i="44"/>
  <c r="P193" i="44"/>
  <c r="Q193" i="44" s="1"/>
  <c r="V295" i="44"/>
  <c r="T315" i="44"/>
  <c r="T295" i="44"/>
  <c r="P227" i="44"/>
  <c r="Q227" i="44" s="1"/>
  <c r="V304" i="44"/>
  <c r="O244" i="43"/>
  <c r="T128" i="43"/>
  <c r="U172" i="43"/>
  <c r="V172" i="43" s="1"/>
  <c r="L226" i="43"/>
  <c r="M226" i="43" s="1"/>
  <c r="L220" i="43"/>
  <c r="M220" i="43" s="1"/>
  <c r="L253" i="43"/>
  <c r="M253" i="43" s="1"/>
  <c r="T255" i="20"/>
  <c r="T254" i="20" s="1"/>
  <c r="L270" i="20"/>
  <c r="M270" i="20" s="1"/>
  <c r="L303" i="20"/>
  <c r="P303" i="20" s="1"/>
  <c r="Q303" i="20" s="1"/>
  <c r="U270" i="20"/>
  <c r="V270" i="20" s="1"/>
  <c r="O125" i="44"/>
  <c r="AR145" i="1" s="1"/>
  <c r="O318" i="43"/>
  <c r="O307" i="43"/>
  <c r="O296" i="43"/>
  <c r="O275" i="43"/>
  <c r="O233" i="43"/>
  <c r="O127" i="43"/>
  <c r="V315" i="44"/>
  <c r="T304" i="44"/>
  <c r="M279" i="44"/>
  <c r="P213" i="44"/>
  <c r="Q213" i="44" s="1"/>
  <c r="V274" i="44"/>
  <c r="T274" i="44"/>
  <c r="P145" i="44"/>
  <c r="Q145" i="44" s="1"/>
  <c r="P221" i="44"/>
  <c r="Q221" i="44" s="1"/>
  <c r="M185" i="44"/>
  <c r="P169" i="44"/>
  <c r="Q169" i="44" s="1"/>
  <c r="P316" i="44"/>
  <c r="Q316" i="44" s="1"/>
  <c r="P258" i="44"/>
  <c r="Q258" i="44" s="1"/>
  <c r="P281" i="44"/>
  <c r="Q281" i="44" s="1"/>
  <c r="O329" i="20"/>
  <c r="O287" i="20"/>
  <c r="O275" i="20"/>
  <c r="O259" i="20"/>
  <c r="L156" i="20"/>
  <c r="M156" i="20" s="1"/>
  <c r="O125" i="20"/>
  <c r="L153" i="20"/>
  <c r="P153" i="20" s="1"/>
  <c r="Q153" i="20" s="1"/>
  <c r="L343" i="20"/>
  <c r="M343" i="20" s="1"/>
  <c r="V243" i="44"/>
  <c r="M254" i="44"/>
  <c r="P197" i="44"/>
  <c r="Q197" i="44" s="1"/>
  <c r="P173" i="44"/>
  <c r="Q173" i="44" s="1"/>
  <c r="T232" i="44"/>
  <c r="M296" i="44"/>
  <c r="T243" i="44"/>
  <c r="M177" i="44"/>
  <c r="T126" i="44"/>
  <c r="V232" i="44"/>
  <c r="V126" i="44"/>
  <c r="M237" i="44"/>
  <c r="P313" i="44"/>
  <c r="Q313" i="44" s="1"/>
  <c r="M291" i="44"/>
  <c r="P291" i="44"/>
  <c r="Q291" i="44" s="1"/>
  <c r="P209" i="44"/>
  <c r="Q209" i="44" s="1"/>
  <c r="M307" i="44"/>
  <c r="P307" i="44"/>
  <c r="Q307" i="44" s="1"/>
  <c r="M298" i="44"/>
  <c r="P298" i="44"/>
  <c r="Q298" i="44" s="1"/>
  <c r="M270" i="44"/>
  <c r="M157" i="44"/>
  <c r="M229" i="44"/>
  <c r="P229" i="44"/>
  <c r="Q229" i="44" s="1"/>
  <c r="P201" i="44"/>
  <c r="Q201" i="44" s="1"/>
  <c r="P137" i="44"/>
  <c r="Q137" i="44" s="1"/>
  <c r="M305" i="44"/>
  <c r="M289" i="44"/>
  <c r="P289" i="44"/>
  <c r="Q289" i="44" s="1"/>
  <c r="M266" i="44"/>
  <c r="P266" i="44"/>
  <c r="Q266" i="44" s="1"/>
  <c r="M248" i="44"/>
  <c r="P248" i="44"/>
  <c r="Q248" i="44" s="1"/>
  <c r="M241" i="44"/>
  <c r="P241" i="44"/>
  <c r="Q241" i="44" s="1"/>
  <c r="P199" i="44"/>
  <c r="Q199" i="44" s="1"/>
  <c r="M199" i="44"/>
  <c r="M159" i="44"/>
  <c r="P159" i="44"/>
  <c r="Q159" i="44" s="1"/>
  <c r="P268" i="44"/>
  <c r="Q268" i="44" s="1"/>
  <c r="M268" i="44"/>
  <c r="M179" i="44"/>
  <c r="P179" i="44"/>
  <c r="Q179" i="44" s="1"/>
  <c r="P252" i="44"/>
  <c r="Q252" i="44" s="1"/>
  <c r="M252" i="44"/>
  <c r="P311" i="44"/>
  <c r="Q311" i="44" s="1"/>
  <c r="M311" i="44"/>
  <c r="P277" i="44"/>
  <c r="Q277" i="44" s="1"/>
  <c r="M277" i="44"/>
  <c r="P217" i="44"/>
  <c r="Q217" i="44" s="1"/>
  <c r="M217" i="44"/>
  <c r="M187" i="44"/>
  <c r="P187" i="44"/>
  <c r="Q187" i="44" s="1"/>
  <c r="M171" i="44"/>
  <c r="P171" i="44"/>
  <c r="Q171" i="44" s="1"/>
  <c r="P155" i="44"/>
  <c r="Q155" i="44" s="1"/>
  <c r="M155" i="44"/>
  <c r="P139" i="44"/>
  <c r="Q139" i="44" s="1"/>
  <c r="M139" i="44"/>
  <c r="M143" i="44"/>
  <c r="P143" i="44"/>
  <c r="Q143" i="44" s="1"/>
  <c r="M163" i="44"/>
  <c r="P163" i="44"/>
  <c r="Q163" i="44" s="1"/>
  <c r="P211" i="44"/>
  <c r="Q211" i="44" s="1"/>
  <c r="M211" i="44"/>
  <c r="P293" i="44"/>
  <c r="Q293" i="44" s="1"/>
  <c r="M293" i="44"/>
  <c r="P151" i="44"/>
  <c r="Q151" i="44" s="1"/>
  <c r="M151" i="44"/>
  <c r="P302" i="44"/>
  <c r="Q302" i="44" s="1"/>
  <c r="M302" i="44"/>
  <c r="P285" i="44"/>
  <c r="Q285" i="44" s="1"/>
  <c r="M285" i="44"/>
  <c r="P235" i="44"/>
  <c r="Q235" i="44" s="1"/>
  <c r="M235" i="44"/>
  <c r="M232" i="44" s="1"/>
  <c r="P260" i="44"/>
  <c r="Q260" i="44" s="1"/>
  <c r="M260" i="44"/>
  <c r="P135" i="44"/>
  <c r="Q135" i="44" s="1"/>
  <c r="M135" i="44"/>
  <c r="M191" i="44"/>
  <c r="P191" i="44"/>
  <c r="Q191" i="44" s="1"/>
  <c r="M147" i="44"/>
  <c r="P147" i="44"/>
  <c r="Q147" i="44" s="1"/>
  <c r="P183" i="44"/>
  <c r="Q183" i="44" s="1"/>
  <c r="M183" i="44"/>
  <c r="P167" i="44"/>
  <c r="Q167" i="44" s="1"/>
  <c r="M167" i="44"/>
  <c r="P320" i="44"/>
  <c r="Q320" i="44" s="1"/>
  <c r="M320" i="44"/>
  <c r="M315" i="44" s="1"/>
  <c r="P244" i="44"/>
  <c r="Q244" i="44" s="1"/>
  <c r="M244" i="44"/>
  <c r="M207" i="44"/>
  <c r="P207" i="44"/>
  <c r="Q207" i="44" s="1"/>
  <c r="P203" i="44"/>
  <c r="Q203" i="44" s="1"/>
  <c r="M203" i="44"/>
  <c r="M175" i="44"/>
  <c r="P175" i="44"/>
  <c r="Q175" i="44" s="1"/>
  <c r="P225" i="44"/>
  <c r="Q225" i="44" s="1"/>
  <c r="M225" i="44"/>
  <c r="P195" i="44"/>
  <c r="Q195" i="44" s="1"/>
  <c r="M195" i="44"/>
  <c r="U130" i="43"/>
  <c r="V130" i="43" s="1"/>
  <c r="U180" i="43"/>
  <c r="V180" i="43" s="1"/>
  <c r="T269" i="43"/>
  <c r="U284" i="43"/>
  <c r="V284" i="43" s="1"/>
  <c r="T294" i="43"/>
  <c r="U303" i="43"/>
  <c r="V303" i="43" s="1"/>
  <c r="L130" i="43"/>
  <c r="M130" i="43" s="1"/>
  <c r="T140" i="43"/>
  <c r="U188" i="43"/>
  <c r="V188" i="43" s="1"/>
  <c r="U234" i="43"/>
  <c r="V234" i="43" s="1"/>
  <c r="U267" i="43"/>
  <c r="V267" i="43" s="1"/>
  <c r="L284" i="43"/>
  <c r="P284" i="43" s="1"/>
  <c r="Q284" i="43" s="1"/>
  <c r="L290" i="43"/>
  <c r="M290" i="43" s="1"/>
  <c r="L301" i="43"/>
  <c r="U301" i="43"/>
  <c r="V301" i="43" s="1"/>
  <c r="U310" i="43"/>
  <c r="V310" i="43" s="1"/>
  <c r="L136" i="43"/>
  <c r="M136" i="43" s="1"/>
  <c r="U140" i="43"/>
  <c r="V140" i="43" s="1"/>
  <c r="U146" i="43"/>
  <c r="V146" i="43" s="1"/>
  <c r="U164" i="43"/>
  <c r="V164" i="43" s="1"/>
  <c r="L194" i="43"/>
  <c r="U194" i="43"/>
  <c r="V194" i="43" s="1"/>
  <c r="U204" i="43"/>
  <c r="V204" i="43" s="1"/>
  <c r="U210" i="43"/>
  <c r="V210" i="43" s="1"/>
  <c r="L222" i="43"/>
  <c r="M222" i="43" s="1"/>
  <c r="L240" i="43"/>
  <c r="M240" i="43" s="1"/>
  <c r="L310" i="43"/>
  <c r="M310" i="43" s="1"/>
  <c r="U128" i="43"/>
  <c r="V128" i="43" s="1"/>
  <c r="L132" i="43"/>
  <c r="M132" i="43" s="1"/>
  <c r="L154" i="43"/>
  <c r="U154" i="43"/>
  <c r="V154" i="43" s="1"/>
  <c r="L186" i="43"/>
  <c r="U186" i="43"/>
  <c r="V186" i="43" s="1"/>
  <c r="U196" i="43"/>
  <c r="V196" i="43" s="1"/>
  <c r="L208" i="43"/>
  <c r="P208" i="43" s="1"/>
  <c r="Q208" i="43" s="1"/>
  <c r="T236" i="43"/>
  <c r="T278" i="43"/>
  <c r="T286" i="43"/>
  <c r="U292" i="43"/>
  <c r="V292" i="43" s="1"/>
  <c r="T321" i="43"/>
  <c r="P146" i="43"/>
  <c r="Q146" i="43" s="1"/>
  <c r="L152" i="43"/>
  <c r="P152" i="43" s="1"/>
  <c r="Q152" i="43" s="1"/>
  <c r="P210" i="43"/>
  <c r="Q210" i="43" s="1"/>
  <c r="L216" i="43"/>
  <c r="M216" i="43" s="1"/>
  <c r="L249" i="43"/>
  <c r="M249" i="43" s="1"/>
  <c r="L278" i="43"/>
  <c r="M278" i="43" s="1"/>
  <c r="P310" i="43"/>
  <c r="Q310" i="43" s="1"/>
  <c r="T319" i="43"/>
  <c r="U148" i="43"/>
  <c r="V148" i="43" s="1"/>
  <c r="L164" i="43"/>
  <c r="L172" i="43"/>
  <c r="L180" i="43"/>
  <c r="L192" i="43"/>
  <c r="P192" i="43" s="1"/>
  <c r="Q192" i="43" s="1"/>
  <c r="L202" i="43"/>
  <c r="U202" i="43"/>
  <c r="V202" i="43" s="1"/>
  <c r="U212" i="43"/>
  <c r="V212" i="43" s="1"/>
  <c r="T240" i="43"/>
  <c r="L269" i="43"/>
  <c r="M269" i="43" s="1"/>
  <c r="T273" i="43"/>
  <c r="M284" i="43"/>
  <c r="L299" i="43"/>
  <c r="M299" i="43" s="1"/>
  <c r="L303" i="43"/>
  <c r="M303" i="43" s="1"/>
  <c r="L319" i="43"/>
  <c r="M319" i="43" s="1"/>
  <c r="P128" i="43"/>
  <c r="Q128" i="43" s="1"/>
  <c r="M128" i="43"/>
  <c r="T156" i="43"/>
  <c r="L160" i="43"/>
  <c r="P160" i="43" s="1"/>
  <c r="Q160" i="43" s="1"/>
  <c r="L162" i="43"/>
  <c r="U162" i="43"/>
  <c r="V162" i="43" s="1"/>
  <c r="L170" i="43"/>
  <c r="U170" i="43"/>
  <c r="V170" i="43" s="1"/>
  <c r="L178" i="43"/>
  <c r="U178" i="43"/>
  <c r="V178" i="43" s="1"/>
  <c r="T230" i="43"/>
  <c r="L236" i="43"/>
  <c r="M236" i="43" s="1"/>
  <c r="U242" i="43"/>
  <c r="V242" i="43" s="1"/>
  <c r="T245" i="43"/>
  <c r="T257" i="43"/>
  <c r="U259" i="43"/>
  <c r="V259" i="43" s="1"/>
  <c r="T261" i="43"/>
  <c r="L273" i="43"/>
  <c r="P273" i="43" s="1"/>
  <c r="Q273" i="43" s="1"/>
  <c r="T282" i="43"/>
  <c r="L286" i="43"/>
  <c r="M286" i="43" s="1"/>
  <c r="L294" i="43"/>
  <c r="M294" i="43" s="1"/>
  <c r="T312" i="43"/>
  <c r="L316" i="43"/>
  <c r="P316" i="43" s="1"/>
  <c r="Q316" i="43" s="1"/>
  <c r="U321" i="43"/>
  <c r="V321" i="43" s="1"/>
  <c r="P132" i="43"/>
  <c r="Q132" i="43" s="1"/>
  <c r="L144" i="43"/>
  <c r="P144" i="43" s="1"/>
  <c r="Q144" i="43" s="1"/>
  <c r="U156" i="43"/>
  <c r="V156" i="43" s="1"/>
  <c r="L168" i="43"/>
  <c r="P168" i="43" s="1"/>
  <c r="Q168" i="43" s="1"/>
  <c r="L176" i="43"/>
  <c r="P176" i="43" s="1"/>
  <c r="Q176" i="43" s="1"/>
  <c r="L184" i="43"/>
  <c r="P184" i="43" s="1"/>
  <c r="Q184" i="43" s="1"/>
  <c r="P220" i="43"/>
  <c r="Q220" i="43" s="1"/>
  <c r="L230" i="43"/>
  <c r="P230" i="43" s="1"/>
  <c r="Q230" i="43" s="1"/>
  <c r="L245" i="43"/>
  <c r="M245" i="43" s="1"/>
  <c r="L257" i="43"/>
  <c r="M257" i="43" s="1"/>
  <c r="L261" i="43"/>
  <c r="M261" i="43" s="1"/>
  <c r="L282" i="43"/>
  <c r="M282" i="43" s="1"/>
  <c r="U312" i="43"/>
  <c r="V312" i="43" s="1"/>
  <c r="L138" i="43"/>
  <c r="U138" i="43"/>
  <c r="V138" i="43" s="1"/>
  <c r="L148" i="43"/>
  <c r="L188" i="43"/>
  <c r="L196" i="43"/>
  <c r="L204" i="43"/>
  <c r="L212" i="43"/>
  <c r="L218" i="43"/>
  <c r="U218" i="43"/>
  <c r="V218" i="43" s="1"/>
  <c r="T222" i="43"/>
  <c r="U224" i="43"/>
  <c r="V224" i="43" s="1"/>
  <c r="T226" i="43"/>
  <c r="T249" i="43"/>
  <c r="U251" i="43"/>
  <c r="V251" i="43" s="1"/>
  <c r="T253" i="43"/>
  <c r="T265" i="43"/>
  <c r="U276" i="43"/>
  <c r="L174" i="43"/>
  <c r="U174" i="43"/>
  <c r="V174" i="43" s="1"/>
  <c r="T174" i="43"/>
  <c r="L263" i="43"/>
  <c r="U263" i="43"/>
  <c r="V263" i="43" s="1"/>
  <c r="T263" i="43"/>
  <c r="L134" i="43"/>
  <c r="U134" i="43"/>
  <c r="V134" i="43" s="1"/>
  <c r="T134" i="43"/>
  <c r="M140" i="43"/>
  <c r="P140" i="43"/>
  <c r="Q140" i="43" s="1"/>
  <c r="L150" i="43"/>
  <c r="U150" i="43"/>
  <c r="V150" i="43" s="1"/>
  <c r="T150" i="43"/>
  <c r="M156" i="43"/>
  <c r="P156" i="43"/>
  <c r="Q156" i="43" s="1"/>
  <c r="L166" i="43"/>
  <c r="U166" i="43"/>
  <c r="V166" i="43" s="1"/>
  <c r="T166" i="43"/>
  <c r="L198" i="43"/>
  <c r="U198" i="43"/>
  <c r="V198" i="43" s="1"/>
  <c r="T198" i="43"/>
  <c r="L305" i="43"/>
  <c r="U305" i="43"/>
  <c r="V305" i="43" s="1"/>
  <c r="T305" i="43"/>
  <c r="M184" i="43"/>
  <c r="L206" i="43"/>
  <c r="U206" i="43"/>
  <c r="V206" i="43" s="1"/>
  <c r="T206" i="43"/>
  <c r="P216" i="43"/>
  <c r="Q216" i="43" s="1"/>
  <c r="P136" i="43"/>
  <c r="Q136" i="43" s="1"/>
  <c r="L142" i="43"/>
  <c r="U142" i="43"/>
  <c r="V142" i="43" s="1"/>
  <c r="T142" i="43"/>
  <c r="L158" i="43"/>
  <c r="U158" i="43"/>
  <c r="V158" i="43" s="1"/>
  <c r="T158" i="43"/>
  <c r="L190" i="43"/>
  <c r="U190" i="43"/>
  <c r="V190" i="43" s="1"/>
  <c r="T190" i="43"/>
  <c r="P200" i="43"/>
  <c r="Q200" i="43" s="1"/>
  <c r="M200" i="43"/>
  <c r="M160" i="43"/>
  <c r="L182" i="43"/>
  <c r="U182" i="43"/>
  <c r="V182" i="43" s="1"/>
  <c r="T182" i="43"/>
  <c r="L214" i="43"/>
  <c r="U214" i="43"/>
  <c r="V214" i="43" s="1"/>
  <c r="T214" i="43"/>
  <c r="L228" i="43"/>
  <c r="U228" i="43"/>
  <c r="V228" i="43" s="1"/>
  <c r="T228" i="43"/>
  <c r="M312" i="43"/>
  <c r="P312" i="43"/>
  <c r="Q312" i="43" s="1"/>
  <c r="L238" i="43"/>
  <c r="U238" i="43"/>
  <c r="V238" i="43" s="1"/>
  <c r="T238" i="43"/>
  <c r="M265" i="43"/>
  <c r="L271" i="43"/>
  <c r="U271" i="43"/>
  <c r="V271" i="43" s="1"/>
  <c r="T271" i="43"/>
  <c r="L288" i="43"/>
  <c r="U288" i="43"/>
  <c r="V288" i="43" s="1"/>
  <c r="T288" i="43"/>
  <c r="L297" i="43"/>
  <c r="U297" i="43"/>
  <c r="V297" i="43" s="1"/>
  <c r="T297" i="43"/>
  <c r="P308" i="43"/>
  <c r="Q308" i="43" s="1"/>
  <c r="M308" i="43"/>
  <c r="L314" i="43"/>
  <c r="U314" i="43"/>
  <c r="V314" i="43" s="1"/>
  <c r="T314" i="43"/>
  <c r="T136" i="43"/>
  <c r="T144" i="43"/>
  <c r="T152" i="43"/>
  <c r="T160" i="43"/>
  <c r="T168" i="43"/>
  <c r="T176" i="43"/>
  <c r="T184" i="43"/>
  <c r="T192" i="43"/>
  <c r="T200" i="43"/>
  <c r="T208" i="43"/>
  <c r="T216" i="43"/>
  <c r="L247" i="43"/>
  <c r="U247" i="43"/>
  <c r="V247" i="43" s="1"/>
  <c r="T247" i="43"/>
  <c r="L280" i="43"/>
  <c r="U280" i="43"/>
  <c r="V280" i="43" s="1"/>
  <c r="T280" i="43"/>
  <c r="M321" i="43"/>
  <c r="P321" i="43"/>
  <c r="Q321" i="43" s="1"/>
  <c r="U220" i="43"/>
  <c r="V220" i="43" s="1"/>
  <c r="L255" i="43"/>
  <c r="U255" i="43"/>
  <c r="V255" i="43" s="1"/>
  <c r="T255" i="43"/>
  <c r="L323" i="43"/>
  <c r="U323" i="43"/>
  <c r="V323" i="43" s="1"/>
  <c r="T323" i="43"/>
  <c r="L224" i="43"/>
  <c r="L234" i="43"/>
  <c r="P236" i="43"/>
  <c r="Q236" i="43" s="1"/>
  <c r="L242" i="43"/>
  <c r="L251" i="43"/>
  <c r="P253" i="43"/>
  <c r="Q253" i="43" s="1"/>
  <c r="L259" i="43"/>
  <c r="L267" i="43"/>
  <c r="L276" i="43"/>
  <c r="P286" i="43"/>
  <c r="Q286" i="43" s="1"/>
  <c r="L292" i="43"/>
  <c r="T290" i="43"/>
  <c r="T299" i="43"/>
  <c r="T308" i="43"/>
  <c r="T316" i="43"/>
  <c r="L195" i="20"/>
  <c r="M195" i="20" s="1"/>
  <c r="T240" i="20"/>
  <c r="L341" i="20"/>
  <c r="M341" i="20" s="1"/>
  <c r="U156" i="20"/>
  <c r="V156" i="20" s="1"/>
  <c r="U200" i="20"/>
  <c r="V200" i="20" s="1"/>
  <c r="L240" i="20"/>
  <c r="M240" i="20" s="1"/>
  <c r="L251" i="20"/>
  <c r="M251" i="20" s="1"/>
  <c r="L176" i="20"/>
  <c r="U176" i="20"/>
  <c r="V176" i="20" s="1"/>
  <c r="L223" i="20"/>
  <c r="P223" i="20" s="1"/>
  <c r="Q223" i="20" s="1"/>
  <c r="L245" i="20"/>
  <c r="M245" i="20" s="1"/>
  <c r="T288" i="20"/>
  <c r="U307" i="20"/>
  <c r="V307" i="20" s="1"/>
  <c r="U321" i="20"/>
  <c r="V321" i="20" s="1"/>
  <c r="T346" i="20"/>
  <c r="U282" i="20"/>
  <c r="V282" i="20" s="1"/>
  <c r="U288" i="20"/>
  <c r="V288" i="20" s="1"/>
  <c r="U305" i="20"/>
  <c r="V305" i="20" s="1"/>
  <c r="L317" i="20"/>
  <c r="U317" i="20"/>
  <c r="V317" i="20" s="1"/>
  <c r="T343" i="20"/>
  <c r="T126" i="20"/>
  <c r="L130" i="20"/>
  <c r="U130" i="20"/>
  <c r="V130" i="20" s="1"/>
  <c r="U195" i="20"/>
  <c r="V195" i="20" s="1"/>
  <c r="U251" i="20"/>
  <c r="V251" i="20" s="1"/>
  <c r="U255" i="20"/>
  <c r="V255" i="20" s="1"/>
  <c r="V254" i="20" s="1"/>
  <c r="L282" i="20"/>
  <c r="M282" i="20" s="1"/>
  <c r="L126" i="20"/>
  <c r="T137" i="20"/>
  <c r="T178" i="20"/>
  <c r="L185" i="20"/>
  <c r="P185" i="20" s="1"/>
  <c r="Q185" i="20" s="1"/>
  <c r="T276" i="20"/>
  <c r="L280" i="20"/>
  <c r="M280" i="20" s="1"/>
  <c r="L327" i="20"/>
  <c r="T327" i="20"/>
  <c r="T330" i="20"/>
  <c r="U346" i="20"/>
  <c r="V346" i="20" s="1"/>
  <c r="L128" i="20"/>
  <c r="P128" i="20" s="1"/>
  <c r="Q128" i="20" s="1"/>
  <c r="L168" i="20"/>
  <c r="M168" i="20" s="1"/>
  <c r="U178" i="20"/>
  <c r="V178" i="20" s="1"/>
  <c r="L265" i="20"/>
  <c r="P265" i="20" s="1"/>
  <c r="Q265" i="20" s="1"/>
  <c r="U276" i="20"/>
  <c r="V276" i="20" s="1"/>
  <c r="L305" i="20"/>
  <c r="T307" i="20"/>
  <c r="L314" i="20"/>
  <c r="P314" i="20" s="1"/>
  <c r="Q314" i="20" s="1"/>
  <c r="T321" i="20"/>
  <c r="L325" i="20"/>
  <c r="P325" i="20" s="1"/>
  <c r="Q325" i="20" s="1"/>
  <c r="U330" i="20"/>
  <c r="V330" i="20" s="1"/>
  <c r="T161" i="20"/>
  <c r="T200" i="20"/>
  <c r="L235" i="20"/>
  <c r="U235" i="20"/>
  <c r="V235" i="20" s="1"/>
  <c r="M137" i="20"/>
  <c r="P137" i="20"/>
  <c r="Q137" i="20" s="1"/>
  <c r="L143" i="20"/>
  <c r="U143" i="20"/>
  <c r="V143" i="20" s="1"/>
  <c r="T143" i="20"/>
  <c r="M161" i="20"/>
  <c r="P161" i="20"/>
  <c r="Q161" i="20" s="1"/>
  <c r="L166" i="20"/>
  <c r="U166" i="20"/>
  <c r="V166" i="20" s="1"/>
  <c r="T166" i="20"/>
  <c r="M178" i="20"/>
  <c r="P178" i="20"/>
  <c r="Q178" i="20" s="1"/>
  <c r="P280" i="20"/>
  <c r="Q280" i="20" s="1"/>
  <c r="L292" i="20"/>
  <c r="U292" i="20"/>
  <c r="V292" i="20" s="1"/>
  <c r="T292" i="20"/>
  <c r="L323" i="20"/>
  <c r="U323" i="20"/>
  <c r="V323" i="20" s="1"/>
  <c r="T323" i="20"/>
  <c r="L278" i="20"/>
  <c r="U278" i="20"/>
  <c r="V278" i="20" s="1"/>
  <c r="T278" i="20"/>
  <c r="M321" i="20"/>
  <c r="P321" i="20"/>
  <c r="Q321" i="20" s="1"/>
  <c r="L182" i="20"/>
  <c r="U182" i="20"/>
  <c r="V182" i="20" s="1"/>
  <c r="T182" i="20"/>
  <c r="M200" i="20"/>
  <c r="P200" i="20"/>
  <c r="Q200" i="20" s="1"/>
  <c r="L243" i="20"/>
  <c r="U243" i="20"/>
  <c r="V243" i="20" s="1"/>
  <c r="T243" i="20"/>
  <c r="M255" i="20"/>
  <c r="M254" i="20" s="1"/>
  <c r="P255" i="20"/>
  <c r="Q255" i="20" s="1"/>
  <c r="Q254" i="20" s="1"/>
  <c r="M307" i="20"/>
  <c r="P307" i="20"/>
  <c r="Q307" i="20" s="1"/>
  <c r="M330" i="20"/>
  <c r="P330" i="20"/>
  <c r="Q330" i="20" s="1"/>
  <c r="M288" i="20"/>
  <c r="P288" i="20"/>
  <c r="Q288" i="20" s="1"/>
  <c r="L209" i="20"/>
  <c r="U209" i="20"/>
  <c r="V209" i="20" s="1"/>
  <c r="T209" i="20"/>
  <c r="L260" i="20"/>
  <c r="U260" i="20"/>
  <c r="V260" i="20" s="1"/>
  <c r="T260" i="20"/>
  <c r="M276" i="20"/>
  <c r="P276" i="20"/>
  <c r="Q276" i="20" s="1"/>
  <c r="L312" i="20"/>
  <c r="U312" i="20"/>
  <c r="V312" i="20" s="1"/>
  <c r="T312" i="20"/>
  <c r="L335" i="20"/>
  <c r="U335" i="20"/>
  <c r="V335" i="20" s="1"/>
  <c r="T335" i="20"/>
  <c r="M346" i="20"/>
  <c r="P346" i="20"/>
  <c r="Q346" i="20" s="1"/>
  <c r="P350" i="20"/>
  <c r="Q350" i="20" s="1"/>
  <c r="Q349" i="20" s="1"/>
  <c r="M350" i="20"/>
  <c r="M349" i="20" s="1"/>
  <c r="U137" i="20"/>
  <c r="V137" i="20" s="1"/>
  <c r="U161" i="20"/>
  <c r="V161" i="20" s="1"/>
  <c r="T350" i="20"/>
  <c r="T349" i="20" s="1"/>
  <c r="T128" i="20"/>
  <c r="T153" i="20"/>
  <c r="T168" i="20"/>
  <c r="T185" i="20"/>
  <c r="T223" i="20"/>
  <c r="T245" i="20"/>
  <c r="T265" i="20"/>
  <c r="T280" i="20"/>
  <c r="T303" i="20"/>
  <c r="T314" i="20"/>
  <c r="T325" i="20"/>
  <c r="T341" i="20"/>
  <c r="U350" i="20"/>
  <c r="V350" i="20" s="1"/>
  <c r="V349" i="20" s="1"/>
  <c r="X125" i="19"/>
  <c r="Z125" i="19"/>
  <c r="AB125" i="19"/>
  <c r="AD125" i="19"/>
  <c r="P341" i="20" l="1"/>
  <c r="Q341" i="20" s="1"/>
  <c r="Q295" i="44"/>
  <c r="P303" i="43"/>
  <c r="Q303" i="43" s="1"/>
  <c r="P240" i="43"/>
  <c r="Q240" i="43" s="1"/>
  <c r="M316" i="43"/>
  <c r="P257" i="43"/>
  <c r="Q257" i="43" s="1"/>
  <c r="P156" i="20"/>
  <c r="Q156" i="20" s="1"/>
  <c r="M243" i="44"/>
  <c r="V125" i="44"/>
  <c r="P290" i="43"/>
  <c r="Q290" i="43" s="1"/>
  <c r="M153" i="20"/>
  <c r="P270" i="20"/>
  <c r="Q270" i="20" s="1"/>
  <c r="M185" i="20"/>
  <c r="M303" i="20"/>
  <c r="V244" i="43"/>
  <c r="T127" i="43"/>
  <c r="V318" i="43"/>
  <c r="T233" i="43"/>
  <c r="V307" i="43"/>
  <c r="P226" i="43"/>
  <c r="Q226" i="43" s="1"/>
  <c r="P249" i="43"/>
  <c r="Q249" i="43" s="1"/>
  <c r="P222" i="43"/>
  <c r="Q222" i="43" s="1"/>
  <c r="T275" i="43"/>
  <c r="P240" i="20"/>
  <c r="Q240" i="20" s="1"/>
  <c r="V259" i="20"/>
  <c r="Q315" i="44"/>
  <c r="Q304" i="44"/>
  <c r="Q274" i="44"/>
  <c r="Q232" i="44"/>
  <c r="O126" i="43"/>
  <c r="AR143" i="1" s="1"/>
  <c r="M126" i="44"/>
  <c r="M304" i="44"/>
  <c r="Q126" i="44"/>
  <c r="M295" i="44"/>
  <c r="M274" i="44"/>
  <c r="T125" i="44"/>
  <c r="O124" i="20"/>
  <c r="AR111" i="1" s="1"/>
  <c r="P343" i="20"/>
  <c r="Q343" i="20" s="1"/>
  <c r="P282" i="20"/>
  <c r="Q282" i="20" s="1"/>
  <c r="P195" i="20"/>
  <c r="Q195" i="20" s="1"/>
  <c r="Q243" i="44"/>
  <c r="T244" i="43"/>
  <c r="T296" i="43"/>
  <c r="M192" i="43"/>
  <c r="P130" i="43"/>
  <c r="Q130" i="43" s="1"/>
  <c r="M301" i="43"/>
  <c r="P301" i="43"/>
  <c r="Q301" i="43" s="1"/>
  <c r="V233" i="43"/>
  <c r="P294" i="43"/>
  <c r="Q294" i="43" s="1"/>
  <c r="P299" i="43"/>
  <c r="Q299" i="43" s="1"/>
  <c r="V296" i="43"/>
  <c r="M168" i="43"/>
  <c r="T318" i="43"/>
  <c r="V127" i="43"/>
  <c r="M194" i="43"/>
  <c r="P194" i="43"/>
  <c r="Q194" i="43" s="1"/>
  <c r="T307" i="43"/>
  <c r="P261" i="43"/>
  <c r="Q261" i="43" s="1"/>
  <c r="P282" i="43"/>
  <c r="Q282" i="43" s="1"/>
  <c r="M230" i="43"/>
  <c r="P319" i="43"/>
  <c r="Q319" i="43" s="1"/>
  <c r="V276" i="43"/>
  <c r="V275" i="43" s="1"/>
  <c r="M164" i="43"/>
  <c r="P164" i="43"/>
  <c r="Q164" i="43" s="1"/>
  <c r="M152" i="43"/>
  <c r="M208" i="43"/>
  <c r="M180" i="43"/>
  <c r="P180" i="43"/>
  <c r="Q180" i="43" s="1"/>
  <c r="M202" i="43"/>
  <c r="P202" i="43"/>
  <c r="Q202" i="43" s="1"/>
  <c r="P269" i="43"/>
  <c r="Q269" i="43" s="1"/>
  <c r="M154" i="43"/>
  <c r="P154" i="43"/>
  <c r="Q154" i="43" s="1"/>
  <c r="P278" i="43"/>
  <c r="Q278" i="43" s="1"/>
  <c r="M172" i="43"/>
  <c r="P172" i="43"/>
  <c r="Q172" i="43" s="1"/>
  <c r="M186" i="43"/>
  <c r="P186" i="43"/>
  <c r="Q186" i="43" s="1"/>
  <c r="M212" i="43"/>
  <c r="P212" i="43"/>
  <c r="Q212" i="43" s="1"/>
  <c r="M148" i="43"/>
  <c r="P148" i="43"/>
  <c r="Q148" i="43" s="1"/>
  <c r="M170" i="43"/>
  <c r="P170" i="43"/>
  <c r="Q170" i="43" s="1"/>
  <c r="P245" i="43"/>
  <c r="Q245" i="43" s="1"/>
  <c r="M273" i="43"/>
  <c r="M144" i="43"/>
  <c r="M176" i="43"/>
  <c r="M204" i="43"/>
  <c r="P204" i="43"/>
  <c r="Q204" i="43" s="1"/>
  <c r="M218" i="43"/>
  <c r="P218" i="43"/>
  <c r="Q218" i="43" s="1"/>
  <c r="M188" i="43"/>
  <c r="P188" i="43"/>
  <c r="Q188" i="43" s="1"/>
  <c r="M196" i="43"/>
  <c r="P196" i="43"/>
  <c r="Q196" i="43" s="1"/>
  <c r="M138" i="43"/>
  <c r="P138" i="43"/>
  <c r="Q138" i="43" s="1"/>
  <c r="M178" i="43"/>
  <c r="P178" i="43"/>
  <c r="Q178" i="43" s="1"/>
  <c r="M162" i="43"/>
  <c r="P162" i="43"/>
  <c r="Q162" i="43" s="1"/>
  <c r="P228" i="43"/>
  <c r="Q228" i="43" s="1"/>
  <c r="M228" i="43"/>
  <c r="P182" i="43"/>
  <c r="Q182" i="43" s="1"/>
  <c r="M182" i="43"/>
  <c r="P206" i="43"/>
  <c r="Q206" i="43" s="1"/>
  <c r="M206" i="43"/>
  <c r="M292" i="43"/>
  <c r="P292" i="43"/>
  <c r="Q292" i="43" s="1"/>
  <c r="P142" i="43"/>
  <c r="Q142" i="43" s="1"/>
  <c r="M142" i="43"/>
  <c r="P305" i="43"/>
  <c r="Q305" i="43" s="1"/>
  <c r="M305" i="43"/>
  <c r="P134" i="43"/>
  <c r="Q134" i="43" s="1"/>
  <c r="M134" i="43"/>
  <c r="M259" i="43"/>
  <c r="P259" i="43"/>
  <c r="Q259" i="43" s="1"/>
  <c r="M242" i="43"/>
  <c r="P242" i="43"/>
  <c r="Q242" i="43" s="1"/>
  <c r="P255" i="43"/>
  <c r="Q255" i="43" s="1"/>
  <c r="M255" i="43"/>
  <c r="P158" i="43"/>
  <c r="Q158" i="43" s="1"/>
  <c r="M158" i="43"/>
  <c r="P150" i="43"/>
  <c r="Q150" i="43" s="1"/>
  <c r="M150" i="43"/>
  <c r="P263" i="43"/>
  <c r="Q263" i="43" s="1"/>
  <c r="M263" i="43"/>
  <c r="M267" i="43"/>
  <c r="P267" i="43"/>
  <c r="Q267" i="43" s="1"/>
  <c r="M251" i="43"/>
  <c r="P251" i="43"/>
  <c r="Q251" i="43" s="1"/>
  <c r="M234" i="43"/>
  <c r="P234" i="43"/>
  <c r="Q234" i="43" s="1"/>
  <c r="P280" i="43"/>
  <c r="Q280" i="43" s="1"/>
  <c r="M280" i="43"/>
  <c r="P271" i="43"/>
  <c r="Q271" i="43" s="1"/>
  <c r="M271" i="43"/>
  <c r="P198" i="43"/>
  <c r="Q198" i="43" s="1"/>
  <c r="M198" i="43"/>
  <c r="M276" i="43"/>
  <c r="P276" i="43"/>
  <c r="Q276" i="43" s="1"/>
  <c r="M224" i="43"/>
  <c r="P224" i="43"/>
  <c r="Q224" i="43" s="1"/>
  <c r="P297" i="43"/>
  <c r="Q297" i="43" s="1"/>
  <c r="M297" i="43"/>
  <c r="P323" i="43"/>
  <c r="Q323" i="43" s="1"/>
  <c r="M323" i="43"/>
  <c r="M318" i="43" s="1"/>
  <c r="P247" i="43"/>
  <c r="Q247" i="43" s="1"/>
  <c r="M247" i="43"/>
  <c r="P314" i="43"/>
  <c r="Q314" i="43" s="1"/>
  <c r="Q307" i="43" s="1"/>
  <c r="M314" i="43"/>
  <c r="M307" i="43" s="1"/>
  <c r="P288" i="43"/>
  <c r="Q288" i="43" s="1"/>
  <c r="M288" i="43"/>
  <c r="P238" i="43"/>
  <c r="Q238" i="43" s="1"/>
  <c r="M238" i="43"/>
  <c r="P214" i="43"/>
  <c r="Q214" i="43" s="1"/>
  <c r="M214" i="43"/>
  <c r="P190" i="43"/>
  <c r="Q190" i="43" s="1"/>
  <c r="M190" i="43"/>
  <c r="P166" i="43"/>
  <c r="Q166" i="43" s="1"/>
  <c r="M166" i="43"/>
  <c r="P174" i="43"/>
  <c r="Q174" i="43" s="1"/>
  <c r="M174" i="43"/>
  <c r="V329" i="20"/>
  <c r="T275" i="20"/>
  <c r="T125" i="20"/>
  <c r="V287" i="20"/>
  <c r="P245" i="20"/>
  <c r="Q245" i="20" s="1"/>
  <c r="M325" i="20"/>
  <c r="V125" i="20"/>
  <c r="T329" i="20"/>
  <c r="P251" i="20"/>
  <c r="Q251" i="20" s="1"/>
  <c r="T259" i="20"/>
  <c r="M223" i="20"/>
  <c r="V275" i="20"/>
  <c r="T287" i="20"/>
  <c r="P168" i="20"/>
  <c r="Q168" i="20" s="1"/>
  <c r="M265" i="20"/>
  <c r="M130" i="20"/>
  <c r="P130" i="20"/>
  <c r="Q130" i="20" s="1"/>
  <c r="M317" i="20"/>
  <c r="P317" i="20"/>
  <c r="Q317" i="20" s="1"/>
  <c r="M176" i="20"/>
  <c r="P176" i="20"/>
  <c r="Q176" i="20" s="1"/>
  <c r="M128" i="20"/>
  <c r="M314" i="20"/>
  <c r="M235" i="20"/>
  <c r="P235" i="20"/>
  <c r="Q235" i="20" s="1"/>
  <c r="M327" i="20"/>
  <c r="P327" i="20"/>
  <c r="Q327" i="20" s="1"/>
  <c r="M305" i="20"/>
  <c r="P305" i="20"/>
  <c r="Q305" i="20" s="1"/>
  <c r="M126" i="20"/>
  <c r="P126" i="20"/>
  <c r="Q126" i="20" s="1"/>
  <c r="P182" i="20"/>
  <c r="Q182" i="20" s="1"/>
  <c r="M182" i="20"/>
  <c r="P166" i="20"/>
  <c r="Q166" i="20" s="1"/>
  <c r="M166" i="20"/>
  <c r="P335" i="20"/>
  <c r="Q335" i="20" s="1"/>
  <c r="M335" i="20"/>
  <c r="M329" i="20" s="1"/>
  <c r="P260" i="20"/>
  <c r="Q260" i="20" s="1"/>
  <c r="Q259" i="20" s="1"/>
  <c r="M260" i="20"/>
  <c r="M259" i="20" s="1"/>
  <c r="P278" i="20"/>
  <c r="Q278" i="20" s="1"/>
  <c r="M278" i="20"/>
  <c r="M275" i="20" s="1"/>
  <c r="P292" i="20"/>
  <c r="Q292" i="20" s="1"/>
  <c r="M292" i="20"/>
  <c r="P143" i="20"/>
  <c r="Q143" i="20" s="1"/>
  <c r="M143" i="20"/>
  <c r="P209" i="20"/>
  <c r="Q209" i="20" s="1"/>
  <c r="M209" i="20"/>
  <c r="P323" i="20"/>
  <c r="Q323" i="20" s="1"/>
  <c r="M323" i="20"/>
  <c r="P312" i="20"/>
  <c r="Q312" i="20" s="1"/>
  <c r="M312" i="20"/>
  <c r="P243" i="20"/>
  <c r="Q243" i="20" s="1"/>
  <c r="M243" i="20"/>
  <c r="S391" i="19"/>
  <c r="O391" i="19"/>
  <c r="O390" i="19" s="1"/>
  <c r="S387" i="19"/>
  <c r="L387" i="19" s="1"/>
  <c r="O387" i="19"/>
  <c r="S384" i="19"/>
  <c r="U384" i="19" s="1"/>
  <c r="V384" i="19" s="1"/>
  <c r="O384" i="19"/>
  <c r="S382" i="19"/>
  <c r="U382" i="19" s="1"/>
  <c r="V382" i="19" s="1"/>
  <c r="O382" i="19"/>
  <c r="S376" i="19"/>
  <c r="O376" i="19"/>
  <c r="S371" i="19"/>
  <c r="U371" i="19" s="1"/>
  <c r="V371" i="19" s="1"/>
  <c r="O371" i="19"/>
  <c r="S366" i="19"/>
  <c r="T366" i="19" s="1"/>
  <c r="O366" i="19"/>
  <c r="S362" i="19"/>
  <c r="U362" i="19" s="1"/>
  <c r="V362" i="19" s="1"/>
  <c r="O362" i="19"/>
  <c r="S358" i="19"/>
  <c r="O358" i="19"/>
  <c r="S355" i="19"/>
  <c r="U355" i="19" s="1"/>
  <c r="V355" i="19" s="1"/>
  <c r="O355" i="19"/>
  <c r="S353" i="19"/>
  <c r="T353" i="19" s="1"/>
  <c r="O353" i="19"/>
  <c r="S351" i="19"/>
  <c r="U351" i="19" s="1"/>
  <c r="V351" i="19" s="1"/>
  <c r="O351" i="19"/>
  <c r="S347" i="19"/>
  <c r="O347" i="19"/>
  <c r="S345" i="19"/>
  <c r="U345" i="19" s="1"/>
  <c r="V345" i="19" s="1"/>
  <c r="O345" i="19"/>
  <c r="S343" i="19"/>
  <c r="T343" i="19" s="1"/>
  <c r="O343" i="19"/>
  <c r="S341" i="19"/>
  <c r="U341" i="19" s="1"/>
  <c r="V341" i="19" s="1"/>
  <c r="O341" i="19"/>
  <c r="S339" i="19"/>
  <c r="O339" i="19"/>
  <c r="S335" i="19"/>
  <c r="L335" i="19" s="1"/>
  <c r="O335" i="19"/>
  <c r="S332" i="19"/>
  <c r="T332" i="19" s="1"/>
  <c r="O332" i="19"/>
  <c r="S330" i="19"/>
  <c r="U330" i="19" s="1"/>
  <c r="V330" i="19" s="1"/>
  <c r="O330" i="19"/>
  <c r="S325" i="19"/>
  <c r="O325" i="19"/>
  <c r="S323" i="19"/>
  <c r="U323" i="19" s="1"/>
  <c r="V323" i="19" s="1"/>
  <c r="O323" i="19"/>
  <c r="S321" i="19"/>
  <c r="T321" i="19" s="1"/>
  <c r="O321" i="19"/>
  <c r="S309" i="19"/>
  <c r="U309" i="19" s="1"/>
  <c r="V309" i="19" s="1"/>
  <c r="O309" i="19"/>
  <c r="S305" i="19"/>
  <c r="O305" i="19"/>
  <c r="S299" i="19"/>
  <c r="U299" i="19" s="1"/>
  <c r="V299" i="19" s="1"/>
  <c r="O299" i="19"/>
  <c r="S297" i="19"/>
  <c r="T297" i="19" s="1"/>
  <c r="O297" i="19"/>
  <c r="S295" i="19"/>
  <c r="U295" i="19" s="1"/>
  <c r="V295" i="19" s="1"/>
  <c r="O295" i="19"/>
  <c r="S293" i="19"/>
  <c r="O293" i="19"/>
  <c r="S283" i="19"/>
  <c r="U283" i="19" s="1"/>
  <c r="V283" i="19" s="1"/>
  <c r="O283" i="19"/>
  <c r="S274" i="19"/>
  <c r="T274" i="19" s="1"/>
  <c r="O274" i="19"/>
  <c r="S269" i="19"/>
  <c r="U269" i="19" s="1"/>
  <c r="V269" i="19" s="1"/>
  <c r="O269" i="19"/>
  <c r="S264" i="19"/>
  <c r="O264" i="19"/>
  <c r="O263" i="19" s="1"/>
  <c r="S260" i="19"/>
  <c r="U260" i="19" s="1"/>
  <c r="V260" i="19" s="1"/>
  <c r="O260" i="19"/>
  <c r="S254" i="19"/>
  <c r="T254" i="19" s="1"/>
  <c r="O254" i="19"/>
  <c r="S252" i="19"/>
  <c r="U252" i="19" s="1"/>
  <c r="V252" i="19" s="1"/>
  <c r="O252" i="19"/>
  <c r="S249" i="19"/>
  <c r="O249" i="19"/>
  <c r="S244" i="19"/>
  <c r="U244" i="19" s="1"/>
  <c r="V244" i="19" s="1"/>
  <c r="O244" i="19"/>
  <c r="S232" i="19"/>
  <c r="T232" i="19" s="1"/>
  <c r="O232" i="19"/>
  <c r="S216" i="19"/>
  <c r="U216" i="19" s="1"/>
  <c r="V216" i="19" s="1"/>
  <c r="O216" i="19"/>
  <c r="S207" i="19"/>
  <c r="O207" i="19"/>
  <c r="S200" i="19"/>
  <c r="U200" i="19" s="1"/>
  <c r="V200" i="19" s="1"/>
  <c r="O200" i="19"/>
  <c r="S190" i="19"/>
  <c r="T190" i="19" s="1"/>
  <c r="O190" i="19"/>
  <c r="S187" i="19"/>
  <c r="U187" i="19" s="1"/>
  <c r="V187" i="19" s="1"/>
  <c r="O187" i="19"/>
  <c r="S183" i="19"/>
  <c r="O183" i="19"/>
  <c r="S181" i="19"/>
  <c r="U181" i="19" s="1"/>
  <c r="V181" i="19" s="1"/>
  <c r="O181" i="19"/>
  <c r="S173" i="19"/>
  <c r="T173" i="19" s="1"/>
  <c r="O173" i="19"/>
  <c r="S171" i="19"/>
  <c r="U171" i="19" s="1"/>
  <c r="V171" i="19" s="1"/>
  <c r="O171" i="19"/>
  <c r="S166" i="19"/>
  <c r="O166" i="19"/>
  <c r="S161" i="19"/>
  <c r="U161" i="19" s="1"/>
  <c r="V161" i="19" s="1"/>
  <c r="O161" i="19"/>
  <c r="S158" i="19"/>
  <c r="U158" i="19" s="1"/>
  <c r="V158" i="19" s="1"/>
  <c r="O158" i="19"/>
  <c r="S147" i="19"/>
  <c r="T147" i="19" s="1"/>
  <c r="O147" i="19"/>
  <c r="S141" i="19"/>
  <c r="U141" i="19" s="1"/>
  <c r="V141" i="19" s="1"/>
  <c r="O141" i="19"/>
  <c r="S131" i="19"/>
  <c r="L131" i="19" s="1"/>
  <c r="O131" i="19"/>
  <c r="S129" i="19"/>
  <c r="U129" i="19" s="1"/>
  <c r="V129" i="19" s="1"/>
  <c r="O129" i="19"/>
  <c r="O127" i="19"/>
  <c r="S127" i="19"/>
  <c r="U127" i="19" s="1"/>
  <c r="V127" i="19" s="1"/>
  <c r="X123" i="35"/>
  <c r="Z123" i="35"/>
  <c r="AB123" i="35"/>
  <c r="AD123" i="35"/>
  <c r="S349" i="35"/>
  <c r="S345" i="35"/>
  <c r="L345" i="35" s="1"/>
  <c r="S342" i="35"/>
  <c r="T342" i="35" s="1"/>
  <c r="S340" i="35"/>
  <c r="L340" i="35" s="1"/>
  <c r="S334" i="35"/>
  <c r="T334" i="35" s="1"/>
  <c r="S329" i="35"/>
  <c r="L329" i="35" s="1"/>
  <c r="S323" i="35"/>
  <c r="U323" i="35" s="1"/>
  <c r="V323" i="35" s="1"/>
  <c r="V322" i="35" s="1"/>
  <c r="O323" i="35"/>
  <c r="O322" i="35" s="1"/>
  <c r="S318" i="35"/>
  <c r="L318" i="35" s="1"/>
  <c r="S314" i="35"/>
  <c r="S310" i="35"/>
  <c r="U310" i="35" s="1"/>
  <c r="V310" i="35" s="1"/>
  <c r="O310" i="35"/>
  <c r="S308" i="35"/>
  <c r="T308" i="35" s="1"/>
  <c r="O308" i="35"/>
  <c r="S305" i="35"/>
  <c r="L305" i="35" s="1"/>
  <c r="O305" i="35"/>
  <c r="S303" i="35"/>
  <c r="O303" i="35"/>
  <c r="S299" i="35"/>
  <c r="L299" i="35" s="1"/>
  <c r="M299" i="35" s="1"/>
  <c r="O299" i="35"/>
  <c r="S297" i="35"/>
  <c r="T297" i="35" s="1"/>
  <c r="O297" i="35"/>
  <c r="S295" i="35"/>
  <c r="O295" i="35"/>
  <c r="S293" i="35"/>
  <c r="T293" i="35" s="1"/>
  <c r="O293" i="35"/>
  <c r="S291" i="35"/>
  <c r="L291" i="35" s="1"/>
  <c r="M291" i="35" s="1"/>
  <c r="O291" i="35"/>
  <c r="S287" i="35"/>
  <c r="T287" i="35" s="1"/>
  <c r="O287" i="35"/>
  <c r="S283" i="35"/>
  <c r="L283" i="35" s="1"/>
  <c r="O283" i="35"/>
  <c r="S279" i="35"/>
  <c r="T279" i="35" s="1"/>
  <c r="S273" i="35"/>
  <c r="L273" i="35" s="1"/>
  <c r="M273" i="35" s="1"/>
  <c r="O273" i="35"/>
  <c r="S271" i="35"/>
  <c r="T271" i="35" s="1"/>
  <c r="O271" i="35"/>
  <c r="S266" i="35"/>
  <c r="L266" i="35" s="1"/>
  <c r="O266" i="35"/>
  <c r="S264" i="35"/>
  <c r="T264" i="35" s="1"/>
  <c r="O264" i="35"/>
  <c r="S262" i="35"/>
  <c r="U262" i="35" s="1"/>
  <c r="V262" i="35" s="1"/>
  <c r="S260" i="35"/>
  <c r="T260" i="35" s="1"/>
  <c r="S255" i="35"/>
  <c r="L255" i="35" s="1"/>
  <c r="O255" i="35"/>
  <c r="S250" i="35"/>
  <c r="S245" i="35"/>
  <c r="L245" i="35" s="1"/>
  <c r="S241" i="35"/>
  <c r="T241" i="35" s="1"/>
  <c r="S238" i="35"/>
  <c r="L238" i="35" s="1"/>
  <c r="S233" i="35"/>
  <c r="S229" i="35"/>
  <c r="T229" i="35" s="1"/>
  <c r="S215" i="35"/>
  <c r="T215" i="35" s="1"/>
  <c r="S211" i="35"/>
  <c r="L211" i="35" s="1"/>
  <c r="S206" i="35"/>
  <c r="T206" i="35" s="1"/>
  <c r="S202" i="35"/>
  <c r="U202" i="35" s="1"/>
  <c r="V202" i="35" s="1"/>
  <c r="S197" i="35"/>
  <c r="T197" i="35" s="1"/>
  <c r="S195" i="35"/>
  <c r="L195" i="35" s="1"/>
  <c r="S190" i="35"/>
  <c r="S185" i="35"/>
  <c r="U185" i="35" s="1"/>
  <c r="V185" i="35" s="1"/>
  <c r="S182" i="35"/>
  <c r="T182" i="35" s="1"/>
  <c r="S173" i="35"/>
  <c r="L173" i="35" s="1"/>
  <c r="S169" i="35"/>
  <c r="O169" i="35"/>
  <c r="S165" i="35"/>
  <c r="L165" i="35" s="1"/>
  <c r="M165" i="35" s="1"/>
  <c r="O165" i="35"/>
  <c r="S163" i="35"/>
  <c r="T163" i="35" s="1"/>
  <c r="O163" i="35"/>
  <c r="S160" i="35"/>
  <c r="L160" i="35" s="1"/>
  <c r="P160" i="35" s="1"/>
  <c r="Q160" i="35" s="1"/>
  <c r="O160" i="35"/>
  <c r="S156" i="35"/>
  <c r="O156" i="35"/>
  <c r="S152" i="35"/>
  <c r="T152" i="35" s="1"/>
  <c r="O152" i="35"/>
  <c r="S145" i="35"/>
  <c r="T145" i="35" s="1"/>
  <c r="O145" i="35"/>
  <c r="S137" i="35"/>
  <c r="U137" i="35" s="1"/>
  <c r="V137" i="35" s="1"/>
  <c r="S135" i="35"/>
  <c r="L135" i="35" s="1"/>
  <c r="O135" i="35" s="1"/>
  <c r="S130" i="35"/>
  <c r="U130" i="35" s="1"/>
  <c r="V130" i="35" s="1"/>
  <c r="O125" i="35"/>
  <c r="S125" i="35"/>
  <c r="L125" i="35" s="1"/>
  <c r="M125" i="20" l="1"/>
  <c r="O173" i="35"/>
  <c r="O195" i="35"/>
  <c r="O211" i="35"/>
  <c r="O238" i="35"/>
  <c r="M245" i="35"/>
  <c r="M244" i="35" s="1"/>
  <c r="O245" i="35"/>
  <c r="O244" i="35" s="1"/>
  <c r="O318" i="35"/>
  <c r="M329" i="35"/>
  <c r="O329" i="35"/>
  <c r="O340" i="35"/>
  <c r="M345" i="35"/>
  <c r="O345" i="35"/>
  <c r="O357" i="19"/>
  <c r="M127" i="43"/>
  <c r="T126" i="43"/>
  <c r="M244" i="43"/>
  <c r="L366" i="19"/>
  <c r="M366" i="19" s="1"/>
  <c r="L351" i="19"/>
  <c r="Q329" i="20"/>
  <c r="V124" i="20"/>
  <c r="Q127" i="43"/>
  <c r="Q125" i="44"/>
  <c r="AS145" i="1" s="1"/>
  <c r="M125" i="44"/>
  <c r="AQ145" i="1" s="1"/>
  <c r="Q275" i="20"/>
  <c r="Q287" i="20"/>
  <c r="M287" i="20"/>
  <c r="M124" i="20" s="1"/>
  <c r="AQ111" i="1" s="1"/>
  <c r="M296" i="43"/>
  <c r="Q275" i="43"/>
  <c r="Q233" i="43"/>
  <c r="Q296" i="43"/>
  <c r="M275" i="43"/>
  <c r="M233" i="43"/>
  <c r="Q244" i="43"/>
  <c r="Q318" i="43"/>
  <c r="V126" i="43"/>
  <c r="T124" i="20"/>
  <c r="Q125" i="20"/>
  <c r="O126" i="19"/>
  <c r="O304" i="19"/>
  <c r="T269" i="19"/>
  <c r="L252" i="19"/>
  <c r="O292" i="19"/>
  <c r="O370" i="19"/>
  <c r="L382" i="19"/>
  <c r="P382" i="19" s="1"/>
  <c r="Q382" i="19" s="1"/>
  <c r="O268" i="19"/>
  <c r="T335" i="19"/>
  <c r="L355" i="19"/>
  <c r="M355" i="19" s="1"/>
  <c r="T127" i="19"/>
  <c r="L181" i="19"/>
  <c r="M181" i="19" s="1"/>
  <c r="T252" i="19"/>
  <c r="L330" i="19"/>
  <c r="M330" i="19" s="1"/>
  <c r="L158" i="19"/>
  <c r="T158" i="19"/>
  <c r="T309" i="19"/>
  <c r="U343" i="19"/>
  <c r="V343" i="19" s="1"/>
  <c r="T387" i="19"/>
  <c r="L129" i="19"/>
  <c r="T129" i="19"/>
  <c r="L171" i="19"/>
  <c r="P171" i="19" s="1"/>
  <c r="Q171" i="19" s="1"/>
  <c r="L200" i="19"/>
  <c r="M200" i="19" s="1"/>
  <c r="T216" i="19"/>
  <c r="L244" i="19"/>
  <c r="M244" i="19" s="1"/>
  <c r="U254" i="19"/>
  <c r="V254" i="19" s="1"/>
  <c r="T260" i="19"/>
  <c r="L295" i="19"/>
  <c r="M295" i="19" s="1"/>
  <c r="L343" i="19"/>
  <c r="M343" i="19" s="1"/>
  <c r="L345" i="19"/>
  <c r="P345" i="19" s="1"/>
  <c r="Q345" i="19" s="1"/>
  <c r="T384" i="19"/>
  <c r="U190" i="19"/>
  <c r="V190" i="19" s="1"/>
  <c r="T200" i="19"/>
  <c r="U232" i="19"/>
  <c r="V232" i="19" s="1"/>
  <c r="T244" i="19"/>
  <c r="T345" i="19"/>
  <c r="L260" i="19"/>
  <c r="M260" i="19" s="1"/>
  <c r="T330" i="19"/>
  <c r="L341" i="19"/>
  <c r="M341" i="19" s="1"/>
  <c r="U366" i="19"/>
  <c r="V366" i="19" s="1"/>
  <c r="L384" i="19"/>
  <c r="M384" i="19" s="1"/>
  <c r="L332" i="19"/>
  <c r="L127" i="19"/>
  <c r="L147" i="19"/>
  <c r="U147" i="19"/>
  <c r="V147" i="19" s="1"/>
  <c r="T187" i="19"/>
  <c r="U274" i="19"/>
  <c r="V274" i="19" s="1"/>
  <c r="V268" i="19" s="1"/>
  <c r="T283" i="19"/>
  <c r="U321" i="19"/>
  <c r="V321" i="19" s="1"/>
  <c r="T323" i="19"/>
  <c r="U332" i="19"/>
  <c r="V332" i="19" s="1"/>
  <c r="L362" i="19"/>
  <c r="P362" i="19" s="1"/>
  <c r="Q362" i="19" s="1"/>
  <c r="L371" i="19"/>
  <c r="T371" i="19"/>
  <c r="U387" i="19"/>
  <c r="V387" i="19" s="1"/>
  <c r="L141" i="19"/>
  <c r="P141" i="19" s="1"/>
  <c r="Q141" i="19" s="1"/>
  <c r="L187" i="19"/>
  <c r="P187" i="19" s="1"/>
  <c r="Q187" i="19" s="1"/>
  <c r="L283" i="19"/>
  <c r="M283" i="19" s="1"/>
  <c r="U297" i="19"/>
  <c r="V297" i="19" s="1"/>
  <c r="T299" i="19"/>
  <c r="L323" i="19"/>
  <c r="M323" i="19" s="1"/>
  <c r="L353" i="19"/>
  <c r="U353" i="19"/>
  <c r="V353" i="19" s="1"/>
  <c r="T355" i="19"/>
  <c r="P366" i="19"/>
  <c r="Q366" i="19" s="1"/>
  <c r="T171" i="19"/>
  <c r="U173" i="19"/>
  <c r="V173" i="19" s="1"/>
  <c r="T181" i="19"/>
  <c r="L216" i="19"/>
  <c r="M216" i="19" s="1"/>
  <c r="L269" i="19"/>
  <c r="P269" i="19" s="1"/>
  <c r="Q269" i="19" s="1"/>
  <c r="T295" i="19"/>
  <c r="L299" i="19"/>
  <c r="M299" i="19" s="1"/>
  <c r="L309" i="19"/>
  <c r="P309" i="19" s="1"/>
  <c r="Q309" i="19" s="1"/>
  <c r="P131" i="19"/>
  <c r="Q131" i="19" s="1"/>
  <c r="M131" i="19"/>
  <c r="L305" i="19"/>
  <c r="U305" i="19"/>
  <c r="V305" i="19" s="1"/>
  <c r="T305" i="19"/>
  <c r="P341" i="19"/>
  <c r="Q341" i="19" s="1"/>
  <c r="T131" i="19"/>
  <c r="T161" i="19"/>
  <c r="L183" i="19"/>
  <c r="U183" i="19"/>
  <c r="V183" i="19" s="1"/>
  <c r="T183" i="19"/>
  <c r="L293" i="19"/>
  <c r="U293" i="19"/>
  <c r="V293" i="19" s="1"/>
  <c r="T293" i="19"/>
  <c r="L325" i="19"/>
  <c r="U325" i="19"/>
  <c r="V325" i="19" s="1"/>
  <c r="T325" i="19"/>
  <c r="L347" i="19"/>
  <c r="U347" i="19"/>
  <c r="V347" i="19" s="1"/>
  <c r="T347" i="19"/>
  <c r="L376" i="19"/>
  <c r="U376" i="19"/>
  <c r="V376" i="19" s="1"/>
  <c r="T376" i="19"/>
  <c r="U131" i="19"/>
  <c r="V131" i="19" s="1"/>
  <c r="T141" i="19"/>
  <c r="L166" i="19"/>
  <c r="T166" i="19"/>
  <c r="L207" i="19"/>
  <c r="U207" i="19"/>
  <c r="V207" i="19" s="1"/>
  <c r="T207" i="19"/>
  <c r="P295" i="19"/>
  <c r="Q295" i="19" s="1"/>
  <c r="P351" i="19"/>
  <c r="Q351" i="19" s="1"/>
  <c r="M351" i="19"/>
  <c r="L358" i="19"/>
  <c r="U358" i="19"/>
  <c r="V358" i="19" s="1"/>
  <c r="T358" i="19"/>
  <c r="M387" i="19"/>
  <c r="P387" i="19"/>
  <c r="Q387" i="19" s="1"/>
  <c r="P252" i="19"/>
  <c r="Q252" i="19" s="1"/>
  <c r="M252" i="19"/>
  <c r="L264" i="19"/>
  <c r="U264" i="19"/>
  <c r="V264" i="19" s="1"/>
  <c r="V263" i="19" s="1"/>
  <c r="T264" i="19"/>
  <c r="T263" i="19" s="1"/>
  <c r="L161" i="19"/>
  <c r="U166" i="19"/>
  <c r="V166" i="19" s="1"/>
  <c r="L249" i="19"/>
  <c r="U249" i="19"/>
  <c r="V249" i="19" s="1"/>
  <c r="T249" i="19"/>
  <c r="M335" i="19"/>
  <c r="P335" i="19"/>
  <c r="Q335" i="19" s="1"/>
  <c r="L339" i="19"/>
  <c r="U339" i="19"/>
  <c r="V339" i="19" s="1"/>
  <c r="T339" i="19"/>
  <c r="L391" i="19"/>
  <c r="U391" i="19"/>
  <c r="V391" i="19" s="1"/>
  <c r="V390" i="19" s="1"/>
  <c r="T391" i="19"/>
  <c r="T390" i="19" s="1"/>
  <c r="L173" i="19"/>
  <c r="L190" i="19"/>
  <c r="L232" i="19"/>
  <c r="L254" i="19"/>
  <c r="L274" i="19"/>
  <c r="L297" i="19"/>
  <c r="L321" i="19"/>
  <c r="U335" i="19"/>
  <c r="V335" i="19" s="1"/>
  <c r="T341" i="19"/>
  <c r="T351" i="19"/>
  <c r="T362" i="19"/>
  <c r="T382" i="19"/>
  <c r="P255" i="35"/>
  <c r="Q255" i="35" s="1"/>
  <c r="U145" i="35"/>
  <c r="V145" i="35" s="1"/>
  <c r="T291" i="35"/>
  <c r="P329" i="35"/>
  <c r="Q329" i="35" s="1"/>
  <c r="U342" i="35"/>
  <c r="V342" i="35" s="1"/>
  <c r="L229" i="35"/>
  <c r="T130" i="35"/>
  <c r="L137" i="35"/>
  <c r="U182" i="35"/>
  <c r="V182" i="35" s="1"/>
  <c r="L215" i="35"/>
  <c r="T262" i="35"/>
  <c r="T345" i="35"/>
  <c r="L262" i="35"/>
  <c r="L297" i="35"/>
  <c r="M297" i="35" s="1"/>
  <c r="L130" i="35"/>
  <c r="L163" i="35"/>
  <c r="M163" i="35" s="1"/>
  <c r="U229" i="35"/>
  <c r="V229" i="35" s="1"/>
  <c r="T125" i="35"/>
  <c r="L182" i="35"/>
  <c r="L185" i="35"/>
  <c r="O185" i="35" s="1"/>
  <c r="L241" i="35"/>
  <c r="O241" i="35" s="1"/>
  <c r="U241" i="35"/>
  <c r="V241" i="35" s="1"/>
  <c r="T245" i="35"/>
  <c r="T244" i="35" s="1"/>
  <c r="U287" i="35"/>
  <c r="V287" i="35" s="1"/>
  <c r="U291" i="35"/>
  <c r="V291" i="35" s="1"/>
  <c r="U345" i="35"/>
  <c r="V345" i="35" s="1"/>
  <c r="U125" i="35"/>
  <c r="V125" i="35" s="1"/>
  <c r="L145" i="35"/>
  <c r="U163" i="35"/>
  <c r="V163" i="35" s="1"/>
  <c r="U245" i="35"/>
  <c r="V245" i="35" s="1"/>
  <c r="V244" i="35" s="1"/>
  <c r="L287" i="35"/>
  <c r="M287" i="35" s="1"/>
  <c r="P345" i="35"/>
  <c r="Q345" i="35" s="1"/>
  <c r="P125" i="35"/>
  <c r="Q125" i="35" s="1"/>
  <c r="M125" i="35"/>
  <c r="P305" i="35"/>
  <c r="Q305" i="35" s="1"/>
  <c r="M305" i="35"/>
  <c r="P283" i="35"/>
  <c r="Q283" i="35" s="1"/>
  <c r="M283" i="35"/>
  <c r="T165" i="35"/>
  <c r="T273" i="35"/>
  <c r="U308" i="35"/>
  <c r="V308" i="35" s="1"/>
  <c r="T323" i="35"/>
  <c r="T322" i="35" s="1"/>
  <c r="U152" i="35"/>
  <c r="V152" i="35" s="1"/>
  <c r="U165" i="35"/>
  <c r="V165" i="35" s="1"/>
  <c r="T185" i="35"/>
  <c r="L197" i="35"/>
  <c r="L202" i="35"/>
  <c r="O202" i="35" s="1"/>
  <c r="T202" i="35"/>
  <c r="U260" i="35"/>
  <c r="V260" i="35" s="1"/>
  <c r="L271" i="35"/>
  <c r="U271" i="35"/>
  <c r="V271" i="35" s="1"/>
  <c r="U273" i="35"/>
  <c r="V273" i="35" s="1"/>
  <c r="P291" i="35"/>
  <c r="Q291" i="35" s="1"/>
  <c r="T299" i="35"/>
  <c r="L308" i="35"/>
  <c r="M308" i="35" s="1"/>
  <c r="L310" i="35"/>
  <c r="T310" i="35"/>
  <c r="L323" i="35"/>
  <c r="M323" i="35" s="1"/>
  <c r="M322" i="35" s="1"/>
  <c r="T329" i="35"/>
  <c r="L152" i="35"/>
  <c r="U197" i="35"/>
  <c r="V197" i="35" s="1"/>
  <c r="P165" i="35"/>
  <c r="Q165" i="35" s="1"/>
  <c r="U215" i="35"/>
  <c r="V215" i="35" s="1"/>
  <c r="L260" i="35"/>
  <c r="U297" i="35"/>
  <c r="V297" i="35" s="1"/>
  <c r="U299" i="35"/>
  <c r="V299" i="35" s="1"/>
  <c r="U329" i="35"/>
  <c r="V329" i="35" s="1"/>
  <c r="L342" i="35"/>
  <c r="O342" i="35" s="1"/>
  <c r="P266" i="35"/>
  <c r="Q266" i="35" s="1"/>
  <c r="M266" i="35"/>
  <c r="P135" i="35"/>
  <c r="Q135" i="35" s="1"/>
  <c r="M135" i="35"/>
  <c r="U160" i="35"/>
  <c r="V160" i="35" s="1"/>
  <c r="T160" i="35"/>
  <c r="L169" i="35"/>
  <c r="U169" i="35"/>
  <c r="V169" i="35" s="1"/>
  <c r="L190" i="35"/>
  <c r="O190" i="35" s="1"/>
  <c r="U190" i="35"/>
  <c r="V190" i="35" s="1"/>
  <c r="U238" i="35"/>
  <c r="V238" i="35" s="1"/>
  <c r="T238" i="35"/>
  <c r="L250" i="35"/>
  <c r="O250" i="35" s="1"/>
  <c r="O249" i="35" s="1"/>
  <c r="U250" i="35"/>
  <c r="V250" i="35" s="1"/>
  <c r="M160" i="35"/>
  <c r="T169" i="35"/>
  <c r="U211" i="35"/>
  <c r="V211" i="35" s="1"/>
  <c r="T211" i="35"/>
  <c r="T250" i="35"/>
  <c r="U295" i="35"/>
  <c r="V295" i="35" s="1"/>
  <c r="T295" i="35"/>
  <c r="L303" i="35"/>
  <c r="U303" i="35"/>
  <c r="V303" i="35" s="1"/>
  <c r="U340" i="35"/>
  <c r="V340" i="35" s="1"/>
  <c r="T340" i="35"/>
  <c r="U135" i="35"/>
  <c r="V135" i="35" s="1"/>
  <c r="T137" i="35"/>
  <c r="L156" i="35"/>
  <c r="U156" i="35"/>
  <c r="V156" i="35" s="1"/>
  <c r="U173" i="35"/>
  <c r="V173" i="35" s="1"/>
  <c r="T173" i="35"/>
  <c r="U195" i="35"/>
  <c r="V195" i="35" s="1"/>
  <c r="T195" i="35"/>
  <c r="M211" i="35"/>
  <c r="L233" i="35"/>
  <c r="O233" i="35" s="1"/>
  <c r="U233" i="35"/>
  <c r="V233" i="35" s="1"/>
  <c r="P245" i="35"/>
  <c r="Q245" i="35" s="1"/>
  <c r="Q244" i="35" s="1"/>
  <c r="U255" i="35"/>
  <c r="V255" i="35" s="1"/>
  <c r="T255" i="35"/>
  <c r="T303" i="35"/>
  <c r="U318" i="35"/>
  <c r="V318" i="35" s="1"/>
  <c r="T318" i="35"/>
  <c r="M340" i="35"/>
  <c r="L349" i="35"/>
  <c r="O349" i="35" s="1"/>
  <c r="O348" i="35" s="1"/>
  <c r="U349" i="35"/>
  <c r="V349" i="35" s="1"/>
  <c r="V348" i="35" s="1"/>
  <c r="L314" i="35"/>
  <c r="O314" i="35" s="1"/>
  <c r="U314" i="35"/>
  <c r="V314" i="35" s="1"/>
  <c r="T135" i="35"/>
  <c r="T190" i="35"/>
  <c r="M238" i="35"/>
  <c r="U266" i="35"/>
  <c r="V266" i="35" s="1"/>
  <c r="T266" i="35"/>
  <c r="L279" i="35"/>
  <c r="O279" i="35" s="1"/>
  <c r="U279" i="35"/>
  <c r="V279" i="35" s="1"/>
  <c r="L295" i="35"/>
  <c r="T314" i="35"/>
  <c r="T156" i="35"/>
  <c r="M173" i="35"/>
  <c r="M195" i="35"/>
  <c r="L206" i="35"/>
  <c r="O206" i="35" s="1"/>
  <c r="U206" i="35"/>
  <c r="V206" i="35" s="1"/>
  <c r="T233" i="35"/>
  <c r="M255" i="35"/>
  <c r="L264" i="35"/>
  <c r="U264" i="35"/>
  <c r="V264" i="35" s="1"/>
  <c r="P273" i="35"/>
  <c r="Q273" i="35" s="1"/>
  <c r="U283" i="35"/>
  <c r="V283" i="35" s="1"/>
  <c r="T283" i="35"/>
  <c r="L293" i="35"/>
  <c r="U293" i="35"/>
  <c r="V293" i="35" s="1"/>
  <c r="P299" i="35"/>
  <c r="Q299" i="35" s="1"/>
  <c r="U305" i="35"/>
  <c r="V305" i="35" s="1"/>
  <c r="T305" i="35"/>
  <c r="M318" i="35"/>
  <c r="L334" i="35"/>
  <c r="O334" i="35" s="1"/>
  <c r="U334" i="35"/>
  <c r="V334" i="35" s="1"/>
  <c r="T349" i="35"/>
  <c r="T348" i="35" s="1"/>
  <c r="M126" i="43" l="1"/>
  <c r="AQ143" i="1" s="1"/>
  <c r="O278" i="35"/>
  <c r="O328" i="35"/>
  <c r="M182" i="35"/>
  <c r="O182" i="35"/>
  <c r="M130" i="35"/>
  <c r="O130" i="35"/>
  <c r="M197" i="35"/>
  <c r="O197" i="35"/>
  <c r="M215" i="35"/>
  <c r="O215" i="35"/>
  <c r="P340" i="35"/>
  <c r="Q340" i="35" s="1"/>
  <c r="P318" i="35"/>
  <c r="Q318" i="35" s="1"/>
  <c r="P238" i="35"/>
  <c r="Q238" i="35" s="1"/>
  <c r="P195" i="35"/>
  <c r="Q195" i="35" s="1"/>
  <c r="M262" i="35"/>
  <c r="O262" i="35"/>
  <c r="P308" i="35"/>
  <c r="Q308" i="35" s="1"/>
  <c r="M260" i="35"/>
  <c r="O260" i="35"/>
  <c r="P137" i="35"/>
  <c r="Q137" i="35" s="1"/>
  <c r="O137" i="35"/>
  <c r="M229" i="35"/>
  <c r="O229" i="35"/>
  <c r="P211" i="35"/>
  <c r="Q211" i="35" s="1"/>
  <c r="P173" i="35"/>
  <c r="Q173" i="35" s="1"/>
  <c r="M382" i="19"/>
  <c r="M137" i="35"/>
  <c r="P200" i="19"/>
  <c r="Q200" i="19" s="1"/>
  <c r="V292" i="19"/>
  <c r="T268" i="19"/>
  <c r="P355" i="19"/>
  <c r="Q355" i="19" s="1"/>
  <c r="P262" i="35"/>
  <c r="Q262" i="35" s="1"/>
  <c r="M309" i="19"/>
  <c r="P299" i="19"/>
  <c r="Q299" i="19" s="1"/>
  <c r="P244" i="19"/>
  <c r="Q244" i="19" s="1"/>
  <c r="Q126" i="43"/>
  <c r="AS143" i="1" s="1"/>
  <c r="Q124" i="20"/>
  <c r="AS111" i="1" s="1"/>
  <c r="O125" i="19"/>
  <c r="AR110" i="1" s="1"/>
  <c r="P181" i="19"/>
  <c r="Q181" i="19" s="1"/>
  <c r="V370" i="19"/>
  <c r="V126" i="19"/>
  <c r="T304" i="19"/>
  <c r="P330" i="19"/>
  <c r="Q330" i="19" s="1"/>
  <c r="T292" i="19"/>
  <c r="T370" i="19"/>
  <c r="T126" i="19"/>
  <c r="V304" i="19"/>
  <c r="P323" i="19"/>
  <c r="Q323" i="19" s="1"/>
  <c r="P283" i="19"/>
  <c r="Q283" i="19" s="1"/>
  <c r="P216" i="19"/>
  <c r="Q216" i="19" s="1"/>
  <c r="T357" i="19"/>
  <c r="M187" i="19"/>
  <c r="V357" i="19"/>
  <c r="M141" i="19"/>
  <c r="M345" i="19"/>
  <c r="M362" i="19"/>
  <c r="M171" i="19"/>
  <c r="P384" i="19"/>
  <c r="Q384" i="19" s="1"/>
  <c r="P343" i="19"/>
  <c r="Q343" i="19" s="1"/>
  <c r="M129" i="19"/>
  <c r="P129" i="19"/>
  <c r="Q129" i="19" s="1"/>
  <c r="P260" i="19"/>
  <c r="Q260" i="19" s="1"/>
  <c r="M158" i="19"/>
  <c r="P158" i="19"/>
  <c r="Q158" i="19" s="1"/>
  <c r="M147" i="19"/>
  <c r="P147" i="19"/>
  <c r="Q147" i="19" s="1"/>
  <c r="M269" i="19"/>
  <c r="M371" i="19"/>
  <c r="P371" i="19"/>
  <c r="Q371" i="19" s="1"/>
  <c r="P127" i="19"/>
  <c r="Q127" i="19" s="1"/>
  <c r="M127" i="19"/>
  <c r="M353" i="19"/>
  <c r="P353" i="19"/>
  <c r="Q353" i="19" s="1"/>
  <c r="P332" i="19"/>
  <c r="Q332" i="19" s="1"/>
  <c r="M332" i="19"/>
  <c r="M232" i="19"/>
  <c r="P232" i="19"/>
  <c r="Q232" i="19" s="1"/>
  <c r="P249" i="19"/>
  <c r="Q249" i="19" s="1"/>
  <c r="M249" i="19"/>
  <c r="P161" i="19"/>
  <c r="Q161" i="19" s="1"/>
  <c r="M161" i="19"/>
  <c r="P358" i="19"/>
  <c r="Q358" i="19" s="1"/>
  <c r="Q357" i="19" s="1"/>
  <c r="M358" i="19"/>
  <c r="P376" i="19"/>
  <c r="Q376" i="19" s="1"/>
  <c r="M376" i="19"/>
  <c r="P183" i="19"/>
  <c r="Q183" i="19" s="1"/>
  <c r="M183" i="19"/>
  <c r="P305" i="19"/>
  <c r="Q305" i="19" s="1"/>
  <c r="M305" i="19"/>
  <c r="M321" i="19"/>
  <c r="P321" i="19"/>
  <c r="Q321" i="19" s="1"/>
  <c r="M173" i="19"/>
  <c r="P173" i="19"/>
  <c r="Q173" i="19" s="1"/>
  <c r="P339" i="19"/>
  <c r="Q339" i="19" s="1"/>
  <c r="M339" i="19"/>
  <c r="P264" i="19"/>
  <c r="Q264" i="19" s="1"/>
  <c r="Q263" i="19" s="1"/>
  <c r="M264" i="19"/>
  <c r="M263" i="19" s="1"/>
  <c r="M297" i="19"/>
  <c r="P297" i="19"/>
  <c r="Q297" i="19" s="1"/>
  <c r="M254" i="19"/>
  <c r="P254" i="19"/>
  <c r="Q254" i="19" s="1"/>
  <c r="M190" i="19"/>
  <c r="P190" i="19"/>
  <c r="Q190" i="19" s="1"/>
  <c r="P207" i="19"/>
  <c r="Q207" i="19" s="1"/>
  <c r="M207" i="19"/>
  <c r="M166" i="19"/>
  <c r="P166" i="19"/>
  <c r="Q166" i="19" s="1"/>
  <c r="M274" i="19"/>
  <c r="P274" i="19"/>
  <c r="Q274" i="19" s="1"/>
  <c r="P347" i="19"/>
  <c r="Q347" i="19" s="1"/>
  <c r="M347" i="19"/>
  <c r="P293" i="19"/>
  <c r="Q293" i="19" s="1"/>
  <c r="M293" i="19"/>
  <c r="P391" i="19"/>
  <c r="Q391" i="19" s="1"/>
  <c r="Q390" i="19" s="1"/>
  <c r="M391" i="19"/>
  <c r="M390" i="19" s="1"/>
  <c r="P325" i="19"/>
  <c r="Q325" i="19" s="1"/>
  <c r="M325" i="19"/>
  <c r="P229" i="35"/>
  <c r="Q229" i="35" s="1"/>
  <c r="P287" i="35"/>
  <c r="Q287" i="35" s="1"/>
  <c r="P163" i="35"/>
  <c r="Q163" i="35" s="1"/>
  <c r="T278" i="35"/>
  <c r="V249" i="35"/>
  <c r="T259" i="35"/>
  <c r="V259" i="35"/>
  <c r="V278" i="35"/>
  <c r="P297" i="35"/>
  <c r="Q297" i="35" s="1"/>
  <c r="P182" i="35"/>
  <c r="Q182" i="35" s="1"/>
  <c r="P130" i="35"/>
  <c r="Q130" i="35" s="1"/>
  <c r="V124" i="35"/>
  <c r="T124" i="35"/>
  <c r="P197" i="35"/>
  <c r="Q197" i="35" s="1"/>
  <c r="T249" i="35"/>
  <c r="V328" i="35"/>
  <c r="T328" i="35"/>
  <c r="P323" i="35"/>
  <c r="Q323" i="35" s="1"/>
  <c r="Q322" i="35" s="1"/>
  <c r="M145" i="35"/>
  <c r="P145" i="35"/>
  <c r="Q145" i="35" s="1"/>
  <c r="M185" i="35"/>
  <c r="P185" i="35"/>
  <c r="Q185" i="35" s="1"/>
  <c r="M241" i="35"/>
  <c r="P241" i="35"/>
  <c r="Q241" i="35" s="1"/>
  <c r="M342" i="35"/>
  <c r="P342" i="35"/>
  <c r="Q342" i="35" s="1"/>
  <c r="M152" i="35"/>
  <c r="P152" i="35"/>
  <c r="Q152" i="35" s="1"/>
  <c r="M310" i="35"/>
  <c r="P310" i="35"/>
  <c r="Q310" i="35" s="1"/>
  <c r="P260" i="35"/>
  <c r="Q260" i="35" s="1"/>
  <c r="M271" i="35"/>
  <c r="P271" i="35"/>
  <c r="Q271" i="35" s="1"/>
  <c r="M202" i="35"/>
  <c r="P202" i="35"/>
  <c r="Q202" i="35" s="1"/>
  <c r="P349" i="35"/>
  <c r="Q349" i="35" s="1"/>
  <c r="Q348" i="35" s="1"/>
  <c r="M349" i="35"/>
  <c r="M348" i="35" s="1"/>
  <c r="P156" i="35"/>
  <c r="Q156" i="35" s="1"/>
  <c r="M156" i="35"/>
  <c r="P169" i="35"/>
  <c r="Q169" i="35" s="1"/>
  <c r="M169" i="35"/>
  <c r="P334" i="35"/>
  <c r="Q334" i="35" s="1"/>
  <c r="M334" i="35"/>
  <c r="P279" i="35"/>
  <c r="Q279" i="35" s="1"/>
  <c r="M279" i="35"/>
  <c r="P314" i="35"/>
  <c r="Q314" i="35" s="1"/>
  <c r="M314" i="35"/>
  <c r="P303" i="35"/>
  <c r="Q303" i="35" s="1"/>
  <c r="M303" i="35"/>
  <c r="P295" i="35"/>
  <c r="Q295" i="35" s="1"/>
  <c r="M295" i="35"/>
  <c r="P293" i="35"/>
  <c r="Q293" i="35" s="1"/>
  <c r="M293" i="35"/>
  <c r="P264" i="35"/>
  <c r="Q264" i="35" s="1"/>
  <c r="M264" i="35"/>
  <c r="P206" i="35"/>
  <c r="Q206" i="35" s="1"/>
  <c r="M206" i="35"/>
  <c r="P233" i="35"/>
  <c r="Q233" i="35" s="1"/>
  <c r="M233" i="35"/>
  <c r="P250" i="35"/>
  <c r="Q250" i="35" s="1"/>
  <c r="Q249" i="35" s="1"/>
  <c r="M250" i="35"/>
  <c r="M249" i="35" s="1"/>
  <c r="P190" i="35"/>
  <c r="Q190" i="35" s="1"/>
  <c r="M190" i="35"/>
  <c r="O124" i="35" l="1"/>
  <c r="P215" i="35"/>
  <c r="Q215" i="35" s="1"/>
  <c r="Q124" i="35" s="1"/>
  <c r="O259" i="35"/>
  <c r="T123" i="35"/>
  <c r="Q292" i="19"/>
  <c r="M259" i="35"/>
  <c r="V123" i="35"/>
  <c r="T125" i="19"/>
  <c r="M357" i="19"/>
  <c r="Q268" i="19"/>
  <c r="V125" i="19"/>
  <c r="M292" i="19"/>
  <c r="Q304" i="19"/>
  <c r="M370" i="19"/>
  <c r="Q126" i="19"/>
  <c r="M304" i="19"/>
  <c r="Q370" i="19"/>
  <c r="M126" i="19"/>
  <c r="M268" i="19"/>
  <c r="Q328" i="35"/>
  <c r="M328" i="35"/>
  <c r="Q259" i="35"/>
  <c r="M124" i="35"/>
  <c r="M278" i="35"/>
  <c r="Q278" i="35"/>
  <c r="O123" i="35" l="1"/>
  <c r="AR131" i="1" s="1"/>
  <c r="Q123" i="35"/>
  <c r="AS131" i="1" s="1"/>
  <c r="M123" i="35"/>
  <c r="AQ131" i="1" s="1"/>
  <c r="Q125" i="19"/>
  <c r="AS110" i="1" s="1"/>
  <c r="M125" i="19"/>
  <c r="AQ110" i="1" s="1"/>
  <c r="X124" i="18"/>
  <c r="Z124" i="18"/>
  <c r="AB124" i="18"/>
  <c r="AD124" i="18"/>
  <c r="S432" i="18"/>
  <c r="O432" i="18"/>
  <c r="O431" i="18" s="1"/>
  <c r="S428" i="18"/>
  <c r="L428" i="18" s="1"/>
  <c r="O428" i="18"/>
  <c r="S425" i="18"/>
  <c r="T425" i="18" s="1"/>
  <c r="O425" i="18"/>
  <c r="S423" i="18"/>
  <c r="U423" i="18" s="1"/>
  <c r="V423" i="18" s="1"/>
  <c r="O423" i="18"/>
  <c r="S417" i="18"/>
  <c r="O417" i="18"/>
  <c r="S412" i="18"/>
  <c r="T412" i="18" s="1"/>
  <c r="O412" i="18"/>
  <c r="S406" i="18"/>
  <c r="T406" i="18" s="1"/>
  <c r="O406" i="18"/>
  <c r="S401" i="18"/>
  <c r="U401" i="18" s="1"/>
  <c r="V401" i="18" s="1"/>
  <c r="O401" i="18"/>
  <c r="S398" i="18"/>
  <c r="O398" i="18"/>
  <c r="S396" i="18"/>
  <c r="L396" i="18" s="1"/>
  <c r="O396" i="18"/>
  <c r="S392" i="18"/>
  <c r="T392" i="18" s="1"/>
  <c r="O392" i="18"/>
  <c r="S388" i="18"/>
  <c r="U388" i="18" s="1"/>
  <c r="V388" i="18" s="1"/>
  <c r="O388" i="18"/>
  <c r="S384" i="18"/>
  <c r="O384" i="18"/>
  <c r="S382" i="18"/>
  <c r="T382" i="18" s="1"/>
  <c r="O382" i="18"/>
  <c r="S380" i="18"/>
  <c r="T380" i="18" s="1"/>
  <c r="O380" i="18"/>
  <c r="S378" i="18"/>
  <c r="U378" i="18" s="1"/>
  <c r="V378" i="18" s="1"/>
  <c r="O378" i="18"/>
  <c r="S376" i="18"/>
  <c r="O376" i="18"/>
  <c r="S373" i="18"/>
  <c r="U373" i="18" s="1"/>
  <c r="V373" i="18" s="1"/>
  <c r="O373" i="18"/>
  <c r="S369" i="18"/>
  <c r="T369" i="18" s="1"/>
  <c r="O369" i="18"/>
  <c r="S367" i="18"/>
  <c r="U367" i="18" s="1"/>
  <c r="V367" i="18" s="1"/>
  <c r="O367" i="18"/>
  <c r="S363" i="18"/>
  <c r="O363" i="18"/>
  <c r="S361" i="18"/>
  <c r="U361" i="18" s="1"/>
  <c r="V361" i="18" s="1"/>
  <c r="O361" i="18"/>
  <c r="S359" i="18"/>
  <c r="T359" i="18" s="1"/>
  <c r="O359" i="18"/>
  <c r="S357" i="18"/>
  <c r="U357" i="18" s="1"/>
  <c r="V357" i="18" s="1"/>
  <c r="O357" i="18"/>
  <c r="S353" i="18"/>
  <c r="O353" i="18"/>
  <c r="S351" i="18"/>
  <c r="U351" i="18" s="1"/>
  <c r="V351" i="18" s="1"/>
  <c r="O351" i="18"/>
  <c r="S347" i="18"/>
  <c r="T347" i="18" s="1"/>
  <c r="O347" i="18"/>
  <c r="S345" i="18"/>
  <c r="U345" i="18" s="1"/>
  <c r="V345" i="18" s="1"/>
  <c r="O345" i="18"/>
  <c r="S343" i="18"/>
  <c r="O343" i="18"/>
  <c r="S339" i="18"/>
  <c r="U339" i="18" s="1"/>
  <c r="V339" i="18" s="1"/>
  <c r="O339" i="18"/>
  <c r="S336" i="18"/>
  <c r="T336" i="18" s="1"/>
  <c r="O336" i="18"/>
  <c r="S331" i="18"/>
  <c r="U331" i="18" s="1"/>
  <c r="V331" i="18" s="1"/>
  <c r="O331" i="18"/>
  <c r="S328" i="18"/>
  <c r="O328" i="18"/>
  <c r="S325" i="18"/>
  <c r="U325" i="18" s="1"/>
  <c r="V325" i="18" s="1"/>
  <c r="O325" i="18"/>
  <c r="S322" i="18"/>
  <c r="T322" i="18" s="1"/>
  <c r="O322" i="18"/>
  <c r="S320" i="18"/>
  <c r="U320" i="18" s="1"/>
  <c r="V320" i="18" s="1"/>
  <c r="O320" i="18"/>
  <c r="S316" i="18"/>
  <c r="O316" i="18"/>
  <c r="S312" i="18"/>
  <c r="U312" i="18" s="1"/>
  <c r="V312" i="18" s="1"/>
  <c r="O312" i="18"/>
  <c r="S308" i="18"/>
  <c r="T308" i="18" s="1"/>
  <c r="O308" i="18"/>
  <c r="S302" i="18"/>
  <c r="U302" i="18" s="1"/>
  <c r="V302" i="18" s="1"/>
  <c r="O302" i="18"/>
  <c r="S300" i="18"/>
  <c r="O300" i="18"/>
  <c r="S295" i="18"/>
  <c r="U295" i="18" s="1"/>
  <c r="V295" i="18" s="1"/>
  <c r="O295" i="18"/>
  <c r="S293" i="18"/>
  <c r="T293" i="18" s="1"/>
  <c r="O293" i="18"/>
  <c r="S291" i="18"/>
  <c r="U291" i="18" s="1"/>
  <c r="V291" i="18" s="1"/>
  <c r="O291" i="18"/>
  <c r="S289" i="18"/>
  <c r="O289" i="18"/>
  <c r="S280" i="18"/>
  <c r="U280" i="18" s="1"/>
  <c r="V280" i="18" s="1"/>
  <c r="O280" i="18"/>
  <c r="S278" i="18"/>
  <c r="T278" i="18" s="1"/>
  <c r="O278" i="18"/>
  <c r="S274" i="18"/>
  <c r="U274" i="18" s="1"/>
  <c r="V274" i="18" s="1"/>
  <c r="O274" i="18"/>
  <c r="S272" i="18"/>
  <c r="T272" i="18" s="1"/>
  <c r="O272" i="18"/>
  <c r="S268" i="18"/>
  <c r="L268" i="18" s="1"/>
  <c r="O268" i="18"/>
  <c r="S260" i="18"/>
  <c r="L260" i="18" s="1"/>
  <c r="O260" i="18"/>
  <c r="S253" i="18"/>
  <c r="U253" i="18" s="1"/>
  <c r="V253" i="18" s="1"/>
  <c r="O253" i="18"/>
  <c r="S248" i="18"/>
  <c r="L248" i="18" s="1"/>
  <c r="O248" i="18"/>
  <c r="O247" i="18" s="1"/>
  <c r="S244" i="18"/>
  <c r="L244" i="18" s="1"/>
  <c r="O244" i="18"/>
  <c r="S241" i="18"/>
  <c r="L241" i="18" s="1"/>
  <c r="O241" i="18"/>
  <c r="S234" i="18"/>
  <c r="T234" i="18" s="1"/>
  <c r="O234" i="18"/>
  <c r="S230" i="18"/>
  <c r="L230" i="18" s="1"/>
  <c r="O230" i="18"/>
  <c r="S214" i="18"/>
  <c r="L214" i="18" s="1"/>
  <c r="O214" i="18"/>
  <c r="S210" i="18"/>
  <c r="L210" i="18" s="1"/>
  <c r="O210" i="18"/>
  <c r="S201" i="18"/>
  <c r="U201" i="18" s="1"/>
  <c r="V201" i="18" s="1"/>
  <c r="O201" i="18"/>
  <c r="S198" i="18"/>
  <c r="L198" i="18" s="1"/>
  <c r="O198" i="18"/>
  <c r="S193" i="18"/>
  <c r="L193" i="18" s="1"/>
  <c r="O193" i="18"/>
  <c r="S191" i="18"/>
  <c r="L191" i="18" s="1"/>
  <c r="O191" i="18"/>
  <c r="S184" i="18"/>
  <c r="U184" i="18" s="1"/>
  <c r="V184" i="18" s="1"/>
  <c r="O184" i="18"/>
  <c r="S179" i="18"/>
  <c r="L179" i="18" s="1"/>
  <c r="O179" i="18"/>
  <c r="S176" i="18"/>
  <c r="L176" i="18" s="1"/>
  <c r="O176" i="18"/>
  <c r="S165" i="18"/>
  <c r="L165" i="18" s="1"/>
  <c r="O165" i="18"/>
  <c r="S161" i="18"/>
  <c r="U161" i="18" s="1"/>
  <c r="V161" i="18" s="1"/>
  <c r="O161" i="18"/>
  <c r="S159" i="18"/>
  <c r="L159" i="18" s="1"/>
  <c r="O159" i="18"/>
  <c r="S156" i="18"/>
  <c r="L156" i="18" s="1"/>
  <c r="O156" i="18"/>
  <c r="S152" i="18"/>
  <c r="L152" i="18" s="1"/>
  <c r="O152" i="18"/>
  <c r="S148" i="18"/>
  <c r="U148" i="18" s="1"/>
  <c r="V148" i="18" s="1"/>
  <c r="O148" i="18"/>
  <c r="S140" i="18"/>
  <c r="L140" i="18" s="1"/>
  <c r="O140" i="18"/>
  <c r="S130" i="18"/>
  <c r="L130" i="18" s="1"/>
  <c r="O130" i="18"/>
  <c r="S128" i="18"/>
  <c r="L128" i="18" s="1"/>
  <c r="O128" i="18"/>
  <c r="O126" i="18"/>
  <c r="S126" i="18"/>
  <c r="L126" i="18" s="1"/>
  <c r="T193" i="18" l="1"/>
  <c r="L161" i="18"/>
  <c r="P161" i="18" s="1"/>
  <c r="Q161" i="18" s="1"/>
  <c r="O400" i="18"/>
  <c r="U412" i="18"/>
  <c r="V412" i="18" s="1"/>
  <c r="U165" i="18"/>
  <c r="V165" i="18" s="1"/>
  <c r="O288" i="18"/>
  <c r="T295" i="18"/>
  <c r="L331" i="18"/>
  <c r="M331" i="18" s="1"/>
  <c r="T361" i="18"/>
  <c r="O411" i="18"/>
  <c r="O252" i="18"/>
  <c r="U260" i="18"/>
  <c r="V260" i="18" s="1"/>
  <c r="O307" i="18"/>
  <c r="T312" i="18"/>
  <c r="U359" i="18"/>
  <c r="V359" i="18" s="1"/>
  <c r="U382" i="18"/>
  <c r="V382" i="18" s="1"/>
  <c r="O125" i="18"/>
  <c r="T156" i="18"/>
  <c r="T241" i="18"/>
  <c r="U308" i="18"/>
  <c r="V308" i="18" s="1"/>
  <c r="T320" i="18"/>
  <c r="L373" i="18"/>
  <c r="M373" i="18" s="1"/>
  <c r="T161" i="18"/>
  <c r="T191" i="18"/>
  <c r="L291" i="18"/>
  <c r="P291" i="18" s="1"/>
  <c r="Q291" i="18" s="1"/>
  <c r="L361" i="18"/>
  <c r="M361" i="18" s="1"/>
  <c r="L369" i="18"/>
  <c r="M369" i="18" s="1"/>
  <c r="T126" i="18"/>
  <c r="T148" i="18"/>
  <c r="T152" i="18"/>
  <c r="U234" i="18"/>
  <c r="V234" i="18" s="1"/>
  <c r="T253" i="18"/>
  <c r="L295" i="18"/>
  <c r="M295" i="18" s="1"/>
  <c r="L320" i="18"/>
  <c r="M320" i="18" s="1"/>
  <c r="L339" i="18"/>
  <c r="M339" i="18" s="1"/>
  <c r="T357" i="18"/>
  <c r="T367" i="18"/>
  <c r="L392" i="18"/>
  <c r="U392" i="18"/>
  <c r="V392" i="18" s="1"/>
  <c r="T428" i="18"/>
  <c r="U126" i="18"/>
  <c r="V126" i="18" s="1"/>
  <c r="L148" i="18"/>
  <c r="P148" i="18" s="1"/>
  <c r="Q148" i="18" s="1"/>
  <c r="L234" i="18"/>
  <c r="P234" i="18" s="1"/>
  <c r="Q234" i="18" s="1"/>
  <c r="L253" i="18"/>
  <c r="P253" i="18" s="1"/>
  <c r="Q253" i="18" s="1"/>
  <c r="L357" i="18"/>
  <c r="M357" i="18" s="1"/>
  <c r="T165" i="18"/>
  <c r="T176" i="18"/>
  <c r="U191" i="18"/>
  <c r="V191" i="18" s="1"/>
  <c r="T201" i="18"/>
  <c r="T244" i="18"/>
  <c r="U369" i="18"/>
  <c r="V369" i="18" s="1"/>
  <c r="T373" i="18"/>
  <c r="L382" i="18"/>
  <c r="L412" i="18"/>
  <c r="M126" i="18"/>
  <c r="P126" i="18"/>
  <c r="Q126" i="18" s="1"/>
  <c r="T128" i="18"/>
  <c r="T130" i="18"/>
  <c r="U152" i="18"/>
  <c r="V152" i="18" s="1"/>
  <c r="T184" i="18"/>
  <c r="L201" i="18"/>
  <c r="P201" i="18" s="1"/>
  <c r="Q201" i="18" s="1"/>
  <c r="T210" i="18"/>
  <c r="T214" i="18"/>
  <c r="U241" i="18"/>
  <c r="V241" i="18" s="1"/>
  <c r="T274" i="18"/>
  <c r="U278" i="18"/>
  <c r="V278" i="18" s="1"/>
  <c r="T280" i="18"/>
  <c r="T302" i="18"/>
  <c r="L312" i="18"/>
  <c r="M312" i="18" s="1"/>
  <c r="U322" i="18"/>
  <c r="V322" i="18" s="1"/>
  <c r="T325" i="18"/>
  <c r="T345" i="18"/>
  <c r="U347" i="18"/>
  <c r="V347" i="18" s="1"/>
  <c r="T351" i="18"/>
  <c r="L367" i="18"/>
  <c r="P367" i="18" s="1"/>
  <c r="Q367" i="18" s="1"/>
  <c r="L378" i="18"/>
  <c r="M378" i="18" s="1"/>
  <c r="L380" i="18"/>
  <c r="U380" i="18"/>
  <c r="V380" i="18" s="1"/>
  <c r="T396" i="18"/>
  <c r="L401" i="18"/>
  <c r="P401" i="18" s="1"/>
  <c r="Q401" i="18" s="1"/>
  <c r="L406" i="18"/>
  <c r="U406" i="18"/>
  <c r="V406" i="18" s="1"/>
  <c r="V400" i="18" s="1"/>
  <c r="L425" i="18"/>
  <c r="U425" i="18"/>
  <c r="V425" i="18" s="1"/>
  <c r="U428" i="18"/>
  <c r="V428" i="18" s="1"/>
  <c r="U128" i="18"/>
  <c r="V128" i="18" s="1"/>
  <c r="L184" i="18"/>
  <c r="P184" i="18" s="1"/>
  <c r="Q184" i="18" s="1"/>
  <c r="U210" i="18"/>
  <c r="V210" i="18" s="1"/>
  <c r="L274" i="18"/>
  <c r="L280" i="18"/>
  <c r="M280" i="18" s="1"/>
  <c r="L302" i="18"/>
  <c r="P302" i="18" s="1"/>
  <c r="Q302" i="18" s="1"/>
  <c r="L325" i="18"/>
  <c r="M325" i="18" s="1"/>
  <c r="L345" i="18"/>
  <c r="M345" i="18" s="1"/>
  <c r="L351" i="18"/>
  <c r="M351" i="18" s="1"/>
  <c r="L388" i="18"/>
  <c r="P388" i="18" s="1"/>
  <c r="Q388" i="18" s="1"/>
  <c r="U396" i="18"/>
  <c r="V396" i="18" s="1"/>
  <c r="L423" i="18"/>
  <c r="P423" i="18" s="1"/>
  <c r="Q423" i="18" s="1"/>
  <c r="T260" i="18"/>
  <c r="T268" i="18"/>
  <c r="T291" i="18"/>
  <c r="U293" i="18"/>
  <c r="V293" i="18" s="1"/>
  <c r="T331" i="18"/>
  <c r="U336" i="18"/>
  <c r="V336" i="18" s="1"/>
  <c r="T339" i="18"/>
  <c r="M128" i="18"/>
  <c r="P128" i="18"/>
  <c r="Q128" i="18" s="1"/>
  <c r="M210" i="18"/>
  <c r="P210" i="18"/>
  <c r="Q210" i="18" s="1"/>
  <c r="M214" i="18"/>
  <c r="P214" i="18"/>
  <c r="Q214" i="18" s="1"/>
  <c r="M179" i="18"/>
  <c r="P179" i="18"/>
  <c r="Q179" i="18" s="1"/>
  <c r="M191" i="18"/>
  <c r="P191" i="18"/>
  <c r="Q191" i="18" s="1"/>
  <c r="M193" i="18"/>
  <c r="P193" i="18"/>
  <c r="Q193" i="18" s="1"/>
  <c r="M130" i="18"/>
  <c r="P130" i="18"/>
  <c r="Q130" i="18" s="1"/>
  <c r="P198" i="18"/>
  <c r="Q198" i="18" s="1"/>
  <c r="M198" i="18"/>
  <c r="M248" i="18"/>
  <c r="M247" i="18" s="1"/>
  <c r="P248" i="18"/>
  <c r="Q248" i="18" s="1"/>
  <c r="Q247" i="18" s="1"/>
  <c r="M260" i="18"/>
  <c r="P260" i="18"/>
  <c r="Q260" i="18" s="1"/>
  <c r="M268" i="18"/>
  <c r="P268" i="18"/>
  <c r="Q268" i="18" s="1"/>
  <c r="P159" i="18"/>
  <c r="Q159" i="18" s="1"/>
  <c r="M159" i="18"/>
  <c r="P165" i="18"/>
  <c r="Q165" i="18" s="1"/>
  <c r="M165" i="18"/>
  <c r="M176" i="18"/>
  <c r="P176" i="18"/>
  <c r="Q176" i="18" s="1"/>
  <c r="P140" i="18"/>
  <c r="Q140" i="18" s="1"/>
  <c r="M140" i="18"/>
  <c r="M152" i="18"/>
  <c r="P152" i="18"/>
  <c r="Q152" i="18" s="1"/>
  <c r="M156" i="18"/>
  <c r="P156" i="18"/>
  <c r="Q156" i="18" s="1"/>
  <c r="P230" i="18"/>
  <c r="Q230" i="18" s="1"/>
  <c r="M230" i="18"/>
  <c r="P241" i="18"/>
  <c r="Q241" i="18" s="1"/>
  <c r="M241" i="18"/>
  <c r="M244" i="18"/>
  <c r="P244" i="18"/>
  <c r="Q244" i="18" s="1"/>
  <c r="P357" i="18"/>
  <c r="Q357" i="18" s="1"/>
  <c r="L363" i="18"/>
  <c r="U363" i="18"/>
  <c r="V363" i="18" s="1"/>
  <c r="T363" i="18"/>
  <c r="U130" i="18"/>
  <c r="V130" i="18" s="1"/>
  <c r="T140" i="18"/>
  <c r="U156" i="18"/>
  <c r="V156" i="18" s="1"/>
  <c r="T159" i="18"/>
  <c r="U176" i="18"/>
  <c r="V176" i="18" s="1"/>
  <c r="T179" i="18"/>
  <c r="U193" i="18"/>
  <c r="V193" i="18" s="1"/>
  <c r="T198" i="18"/>
  <c r="U214" i="18"/>
  <c r="V214" i="18" s="1"/>
  <c r="T230" i="18"/>
  <c r="U244" i="18"/>
  <c r="V244" i="18" s="1"/>
  <c r="T248" i="18"/>
  <c r="T247" i="18" s="1"/>
  <c r="U268" i="18"/>
  <c r="V268" i="18" s="1"/>
  <c r="U272" i="18"/>
  <c r="V272" i="18" s="1"/>
  <c r="L328" i="18"/>
  <c r="U328" i="18"/>
  <c r="V328" i="18" s="1"/>
  <c r="T328" i="18"/>
  <c r="U140" i="18"/>
  <c r="V140" i="18" s="1"/>
  <c r="U159" i="18"/>
  <c r="V159" i="18" s="1"/>
  <c r="U179" i="18"/>
  <c r="V179" i="18" s="1"/>
  <c r="U198" i="18"/>
  <c r="V198" i="18" s="1"/>
  <c r="U230" i="18"/>
  <c r="V230" i="18" s="1"/>
  <c r="U248" i="18"/>
  <c r="V248" i="18" s="1"/>
  <c r="V247" i="18" s="1"/>
  <c r="P274" i="18"/>
  <c r="Q274" i="18" s="1"/>
  <c r="M274" i="18"/>
  <c r="L289" i="18"/>
  <c r="U289" i="18"/>
  <c r="V289" i="18" s="1"/>
  <c r="T289" i="18"/>
  <c r="L343" i="18"/>
  <c r="U343" i="18"/>
  <c r="V343" i="18" s="1"/>
  <c r="T343" i="18"/>
  <c r="L384" i="18"/>
  <c r="U384" i="18"/>
  <c r="V384" i="18" s="1"/>
  <c r="T384" i="18"/>
  <c r="M396" i="18"/>
  <c r="P396" i="18"/>
  <c r="Q396" i="18" s="1"/>
  <c r="L417" i="18"/>
  <c r="U417" i="18"/>
  <c r="V417" i="18" s="1"/>
  <c r="T417" i="18"/>
  <c r="M428" i="18"/>
  <c r="P428" i="18"/>
  <c r="Q428" i="18" s="1"/>
  <c r="L316" i="18"/>
  <c r="U316" i="18"/>
  <c r="V316" i="18" s="1"/>
  <c r="T316" i="18"/>
  <c r="L272" i="18"/>
  <c r="M291" i="18"/>
  <c r="L300" i="18"/>
  <c r="U300" i="18"/>
  <c r="V300" i="18" s="1"/>
  <c r="T300" i="18"/>
  <c r="L353" i="18"/>
  <c r="U353" i="18"/>
  <c r="V353" i="18" s="1"/>
  <c r="T353" i="18"/>
  <c r="L376" i="18"/>
  <c r="U376" i="18"/>
  <c r="V376" i="18" s="1"/>
  <c r="T376" i="18"/>
  <c r="L398" i="18"/>
  <c r="U398" i="18"/>
  <c r="V398" i="18" s="1"/>
  <c r="T398" i="18"/>
  <c r="L432" i="18"/>
  <c r="U432" i="18"/>
  <c r="V432" i="18" s="1"/>
  <c r="V431" i="18" s="1"/>
  <c r="T432" i="18"/>
  <c r="T431" i="18" s="1"/>
  <c r="L278" i="18"/>
  <c r="L293" i="18"/>
  <c r="L308" i="18"/>
  <c r="L322" i="18"/>
  <c r="L336" i="18"/>
  <c r="L347" i="18"/>
  <c r="L359" i="18"/>
  <c r="T378" i="18"/>
  <c r="T388" i="18"/>
  <c r="T401" i="18"/>
  <c r="T400" i="18" s="1"/>
  <c r="T423" i="18"/>
  <c r="X116" i="46"/>
  <c r="Z116" i="46"/>
  <c r="S122" i="46"/>
  <c r="L122" i="46" s="1"/>
  <c r="O122" i="46"/>
  <c r="O118" i="46"/>
  <c r="S118" i="46"/>
  <c r="U118" i="46" s="1"/>
  <c r="V118" i="46" s="1"/>
  <c r="O404" i="38"/>
  <c r="O403" i="38" s="1"/>
  <c r="O400" i="38"/>
  <c r="O395" i="38"/>
  <c r="O389" i="38"/>
  <c r="O384" i="38"/>
  <c r="O374" i="38"/>
  <c r="O369" i="38"/>
  <c r="O364" i="38"/>
  <c r="O358" i="38"/>
  <c r="O346" i="38"/>
  <c r="O331" i="38"/>
  <c r="O329" i="38"/>
  <c r="O316" i="38"/>
  <c r="O298" i="38"/>
  <c r="O281" i="38"/>
  <c r="O236" i="38"/>
  <c r="O212" i="38"/>
  <c r="O193" i="38"/>
  <c r="O172" i="38"/>
  <c r="O151" i="38"/>
  <c r="O131" i="38"/>
  <c r="S404" i="38"/>
  <c r="S400" i="38"/>
  <c r="L400" i="38" s="1"/>
  <c r="S397" i="38"/>
  <c r="T397" i="38" s="1"/>
  <c r="O397" i="38"/>
  <c r="S395" i="38"/>
  <c r="U395" i="38" s="1"/>
  <c r="V395" i="38" s="1"/>
  <c r="S389" i="38"/>
  <c r="S384" i="38"/>
  <c r="U384" i="38" s="1"/>
  <c r="V384" i="38" s="1"/>
  <c r="S379" i="38"/>
  <c r="T379" i="38" s="1"/>
  <c r="O379" i="38"/>
  <c r="S374" i="38"/>
  <c r="U374" i="38" s="1"/>
  <c r="V374" i="38" s="1"/>
  <c r="S369" i="38"/>
  <c r="S364" i="38"/>
  <c r="U364" i="38" s="1"/>
  <c r="V364" i="38" s="1"/>
  <c r="S360" i="38"/>
  <c r="T360" i="38" s="1"/>
  <c r="O360" i="38"/>
  <c r="S358" i="38"/>
  <c r="U358" i="38" s="1"/>
  <c r="V358" i="38" s="1"/>
  <c r="S355" i="38"/>
  <c r="O355" i="38"/>
  <c r="S353" i="38"/>
  <c r="U353" i="38" s="1"/>
  <c r="V353" i="38" s="1"/>
  <c r="O353" i="38"/>
  <c r="S349" i="38"/>
  <c r="T349" i="38" s="1"/>
  <c r="O349" i="38"/>
  <c r="S346" i="38"/>
  <c r="U346" i="38" s="1"/>
  <c r="V346" i="38" s="1"/>
  <c r="S342" i="38"/>
  <c r="O342" i="38"/>
  <c r="S335" i="38"/>
  <c r="U335" i="38" s="1"/>
  <c r="V335" i="38" s="1"/>
  <c r="O335" i="38"/>
  <c r="S333" i="38"/>
  <c r="T333" i="38" s="1"/>
  <c r="O333" i="38"/>
  <c r="S331" i="38"/>
  <c r="U331" i="38" s="1"/>
  <c r="V331" i="38" s="1"/>
  <c r="S329" i="38"/>
  <c r="S323" i="38"/>
  <c r="U323" i="38" s="1"/>
  <c r="V323" i="38" s="1"/>
  <c r="V322" i="38" s="1"/>
  <c r="O323" i="38"/>
  <c r="O322" i="38" s="1"/>
  <c r="S318" i="38"/>
  <c r="T318" i="38" s="1"/>
  <c r="O318" i="38"/>
  <c r="S316" i="38"/>
  <c r="U316" i="38" s="1"/>
  <c r="V316" i="38" s="1"/>
  <c r="S312" i="38"/>
  <c r="O312" i="38"/>
  <c r="S307" i="38"/>
  <c r="U307" i="38" s="1"/>
  <c r="V307" i="38" s="1"/>
  <c r="O307" i="38"/>
  <c r="S302" i="38"/>
  <c r="T302" i="38" s="1"/>
  <c r="O302" i="38"/>
  <c r="S298" i="38"/>
  <c r="U298" i="38" s="1"/>
  <c r="V298" i="38" s="1"/>
  <c r="S294" i="38"/>
  <c r="O294" i="38"/>
  <c r="S286" i="38"/>
  <c r="U286" i="38" s="1"/>
  <c r="V286" i="38" s="1"/>
  <c r="O286" i="38"/>
  <c r="S284" i="38"/>
  <c r="T284" i="38" s="1"/>
  <c r="O284" i="38"/>
  <c r="S281" i="38"/>
  <c r="U281" i="38" s="1"/>
  <c r="V281" i="38" s="1"/>
  <c r="S276" i="38"/>
  <c r="O276" i="38"/>
  <c r="S264" i="38"/>
  <c r="U264" i="38" s="1"/>
  <c r="V264" i="38" s="1"/>
  <c r="O264" i="38"/>
  <c r="S245" i="38"/>
  <c r="T245" i="38" s="1"/>
  <c r="O245" i="38"/>
  <c r="S236" i="38"/>
  <c r="U236" i="38" s="1"/>
  <c r="V236" i="38" s="1"/>
  <c r="S229" i="38"/>
  <c r="O229" i="38"/>
  <c r="S219" i="38"/>
  <c r="U219" i="38" s="1"/>
  <c r="V219" i="38" s="1"/>
  <c r="O219" i="38"/>
  <c r="S216" i="38"/>
  <c r="T216" i="38" s="1"/>
  <c r="O216" i="38"/>
  <c r="S212" i="38"/>
  <c r="U212" i="38" s="1"/>
  <c r="V212" i="38" s="1"/>
  <c r="S210" i="38"/>
  <c r="O210" i="38"/>
  <c r="S200" i="38"/>
  <c r="U200" i="38" s="1"/>
  <c r="V200" i="38" s="1"/>
  <c r="O200" i="38"/>
  <c r="S198" i="38"/>
  <c r="T198" i="38" s="1"/>
  <c r="O198" i="38"/>
  <c r="S193" i="38"/>
  <c r="U193" i="38" s="1"/>
  <c r="V193" i="38" s="1"/>
  <c r="S188" i="38"/>
  <c r="U188" i="38" s="1"/>
  <c r="V188" i="38" s="1"/>
  <c r="O188" i="38"/>
  <c r="S185" i="38"/>
  <c r="U185" i="38" s="1"/>
  <c r="V185" i="38" s="1"/>
  <c r="O185" i="38"/>
  <c r="S175" i="38"/>
  <c r="O175" i="38"/>
  <c r="S172" i="38"/>
  <c r="U172" i="38" s="1"/>
  <c r="V172" i="38" s="1"/>
  <c r="S165" i="38"/>
  <c r="T165" i="38" s="1"/>
  <c r="O165" i="38"/>
  <c r="S157" i="38"/>
  <c r="T157" i="38" s="1"/>
  <c r="O157" i="38"/>
  <c r="S153" i="38"/>
  <c r="U153" i="38" s="1"/>
  <c r="V153" i="38" s="1"/>
  <c r="O153" i="38"/>
  <c r="S151" i="38"/>
  <c r="L151" i="38" s="1"/>
  <c r="S148" i="38"/>
  <c r="U148" i="38" s="1"/>
  <c r="V148" i="38" s="1"/>
  <c r="O148" i="38"/>
  <c r="S144" i="38"/>
  <c r="T144" i="38" s="1"/>
  <c r="O144" i="38"/>
  <c r="S138" i="38"/>
  <c r="U138" i="38" s="1"/>
  <c r="V138" i="38" s="1"/>
  <c r="O138" i="38"/>
  <c r="S136" i="38"/>
  <c r="L136" i="38" s="1"/>
  <c r="O136" i="38"/>
  <c r="S131" i="38"/>
  <c r="U131" i="38" s="1"/>
  <c r="V131" i="38" s="1"/>
  <c r="O126" i="38"/>
  <c r="S126" i="38"/>
  <c r="L126" i="38" s="1"/>
  <c r="AF124" i="38"/>
  <c r="AD124" i="38"/>
  <c r="AB124" i="38"/>
  <c r="Z124" i="38"/>
  <c r="X124" i="38"/>
  <c r="M302" i="18" l="1"/>
  <c r="P361" i="18"/>
  <c r="Q361" i="18" s="1"/>
  <c r="P373" i="18"/>
  <c r="Q373" i="18" s="1"/>
  <c r="M161" i="18"/>
  <c r="P345" i="18"/>
  <c r="Q345" i="18" s="1"/>
  <c r="P331" i="18"/>
  <c r="Q331" i="18" s="1"/>
  <c r="M388" i="18"/>
  <c r="T411" i="18"/>
  <c r="M184" i="18"/>
  <c r="M401" i="18"/>
  <c r="V411" i="18"/>
  <c r="M367" i="18"/>
  <c r="P378" i="18"/>
  <c r="Q378" i="18" s="1"/>
  <c r="T307" i="18"/>
  <c r="V252" i="18"/>
  <c r="M234" i="18"/>
  <c r="O124" i="18"/>
  <c r="AR108" i="1" s="1"/>
  <c r="V125" i="18"/>
  <c r="P312" i="18"/>
  <c r="Q312" i="18" s="1"/>
  <c r="V288" i="18"/>
  <c r="Q125" i="18"/>
  <c r="T288" i="18"/>
  <c r="P369" i="18"/>
  <c r="Q369" i="18" s="1"/>
  <c r="P320" i="18"/>
  <c r="Q320" i="18" s="1"/>
  <c r="M201" i="18"/>
  <c r="T252" i="18"/>
  <c r="T125" i="18"/>
  <c r="V307" i="18"/>
  <c r="M412" i="18"/>
  <c r="P412" i="18"/>
  <c r="Q412" i="18" s="1"/>
  <c r="M392" i="18"/>
  <c r="P392" i="18"/>
  <c r="Q392" i="18" s="1"/>
  <c r="P339" i="18"/>
  <c r="Q339" i="18" s="1"/>
  <c r="M382" i="18"/>
  <c r="P382" i="18"/>
  <c r="Q382" i="18" s="1"/>
  <c r="M148" i="18"/>
  <c r="P325" i="18"/>
  <c r="Q325" i="18" s="1"/>
  <c r="P295" i="18"/>
  <c r="Q295" i="18" s="1"/>
  <c r="M253" i="18"/>
  <c r="P280" i="18"/>
  <c r="Q280" i="18" s="1"/>
  <c r="M406" i="18"/>
  <c r="P406" i="18"/>
  <c r="Q406" i="18" s="1"/>
  <c r="Q400" i="18" s="1"/>
  <c r="M380" i="18"/>
  <c r="P380" i="18"/>
  <c r="Q380" i="18" s="1"/>
  <c r="M423" i="18"/>
  <c r="P351" i="18"/>
  <c r="Q351" i="18" s="1"/>
  <c r="M425" i="18"/>
  <c r="P425" i="18"/>
  <c r="Q425" i="18" s="1"/>
  <c r="M359" i="18"/>
  <c r="P359" i="18"/>
  <c r="Q359" i="18" s="1"/>
  <c r="M308" i="18"/>
  <c r="P308" i="18"/>
  <c r="Q308" i="18" s="1"/>
  <c r="M278" i="18"/>
  <c r="P278" i="18"/>
  <c r="Q278" i="18" s="1"/>
  <c r="P398" i="18"/>
  <c r="Q398" i="18" s="1"/>
  <c r="M398" i="18"/>
  <c r="P272" i="18"/>
  <c r="Q272" i="18" s="1"/>
  <c r="M272" i="18"/>
  <c r="P417" i="18"/>
  <c r="Q417" i="18" s="1"/>
  <c r="M417" i="18"/>
  <c r="P376" i="18"/>
  <c r="Q376" i="18" s="1"/>
  <c r="M376" i="18"/>
  <c r="P300" i="18"/>
  <c r="Q300" i="18" s="1"/>
  <c r="M300" i="18"/>
  <c r="P384" i="18"/>
  <c r="Q384" i="18" s="1"/>
  <c r="M384" i="18"/>
  <c r="P289" i="18"/>
  <c r="Q289" i="18" s="1"/>
  <c r="M289" i="18"/>
  <c r="P363" i="18"/>
  <c r="Q363" i="18" s="1"/>
  <c r="M363" i="18"/>
  <c r="P353" i="18"/>
  <c r="Q353" i="18" s="1"/>
  <c r="M353" i="18"/>
  <c r="P343" i="18"/>
  <c r="Q343" i="18" s="1"/>
  <c r="M343" i="18"/>
  <c r="P328" i="18"/>
  <c r="Q328" i="18" s="1"/>
  <c r="M328" i="18"/>
  <c r="M347" i="18"/>
  <c r="P347" i="18"/>
  <c r="Q347" i="18" s="1"/>
  <c r="M322" i="18"/>
  <c r="P322" i="18"/>
  <c r="Q322" i="18" s="1"/>
  <c r="M293" i="18"/>
  <c r="P293" i="18"/>
  <c r="Q293" i="18" s="1"/>
  <c r="M336" i="18"/>
  <c r="P336" i="18"/>
  <c r="Q336" i="18" s="1"/>
  <c r="P432" i="18"/>
  <c r="Q432" i="18" s="1"/>
  <c r="Q431" i="18" s="1"/>
  <c r="M432" i="18"/>
  <c r="M431" i="18" s="1"/>
  <c r="P316" i="18"/>
  <c r="Q316" i="18" s="1"/>
  <c r="M316" i="18"/>
  <c r="O117" i="46"/>
  <c r="O116" i="46" s="1"/>
  <c r="AR149" i="1" s="1"/>
  <c r="L118" i="46"/>
  <c r="T118" i="46"/>
  <c r="P122" i="46"/>
  <c r="Q122" i="46" s="1"/>
  <c r="M122" i="46"/>
  <c r="T122" i="46"/>
  <c r="U122" i="46"/>
  <c r="V122" i="46" s="1"/>
  <c r="V117" i="46" s="1"/>
  <c r="V116" i="46" s="1"/>
  <c r="O373" i="38"/>
  <c r="O383" i="38"/>
  <c r="O328" i="38"/>
  <c r="O341" i="38"/>
  <c r="L358" i="38"/>
  <c r="M358" i="38" s="1"/>
  <c r="L131" i="38"/>
  <c r="M131" i="38" s="1"/>
  <c r="T172" i="38"/>
  <c r="L219" i="38"/>
  <c r="M219" i="38" s="1"/>
  <c r="T323" i="38"/>
  <c r="T322" i="38" s="1"/>
  <c r="O297" i="38"/>
  <c r="U318" i="38"/>
  <c r="V318" i="38" s="1"/>
  <c r="O125" i="38"/>
  <c r="T138" i="38"/>
  <c r="U245" i="38"/>
  <c r="V245" i="38" s="1"/>
  <c r="L323" i="38"/>
  <c r="M323" i="38" s="1"/>
  <c r="M322" i="38" s="1"/>
  <c r="L148" i="38"/>
  <c r="M148" i="38" s="1"/>
  <c r="L212" i="38"/>
  <c r="P212" i="38" s="1"/>
  <c r="Q212" i="38" s="1"/>
  <c r="L281" i="38"/>
  <c r="M281" i="38" s="1"/>
  <c r="U302" i="38"/>
  <c r="V302" i="38" s="1"/>
  <c r="U126" i="38"/>
  <c r="V126" i="38" s="1"/>
  <c r="U157" i="38"/>
  <c r="V157" i="38" s="1"/>
  <c r="L286" i="38"/>
  <c r="M286" i="38" s="1"/>
  <c r="L316" i="38"/>
  <c r="P316" i="38" s="1"/>
  <c r="Q316" i="38" s="1"/>
  <c r="T364" i="38"/>
  <c r="T131" i="38"/>
  <c r="U144" i="38"/>
  <c r="V144" i="38" s="1"/>
  <c r="T148" i="38"/>
  <c r="L185" i="38"/>
  <c r="M185" i="38" s="1"/>
  <c r="T212" i="38"/>
  <c r="U216" i="38"/>
  <c r="V216" i="38" s="1"/>
  <c r="T219" i="38"/>
  <c r="T307" i="38"/>
  <c r="L364" i="38"/>
  <c r="M364" i="38" s="1"/>
  <c r="T400" i="38"/>
  <c r="L335" i="38"/>
  <c r="M335" i="38" s="1"/>
  <c r="T126" i="38"/>
  <c r="U165" i="38"/>
  <c r="V165" i="38" s="1"/>
  <c r="T264" i="38"/>
  <c r="T298" i="38"/>
  <c r="T316" i="38"/>
  <c r="T331" i="38"/>
  <c r="M126" i="38"/>
  <c r="P126" i="38"/>
  <c r="Q126" i="38" s="1"/>
  <c r="L138" i="38"/>
  <c r="P138" i="38" s="1"/>
  <c r="Q138" i="38" s="1"/>
  <c r="T153" i="38"/>
  <c r="L165" i="38"/>
  <c r="M165" i="38" s="1"/>
  <c r="L172" i="38"/>
  <c r="P172" i="38" s="1"/>
  <c r="Q172" i="38" s="1"/>
  <c r="T193" i="38"/>
  <c r="U198" i="38"/>
  <c r="V198" i="38" s="1"/>
  <c r="T200" i="38"/>
  <c r="T236" i="38"/>
  <c r="L264" i="38"/>
  <c r="M264" i="38" s="1"/>
  <c r="L298" i="38"/>
  <c r="P298" i="38" s="1"/>
  <c r="L307" i="38"/>
  <c r="M307" i="38" s="1"/>
  <c r="L331" i="38"/>
  <c r="P331" i="38" s="1"/>
  <c r="Q331" i="38" s="1"/>
  <c r="T346" i="38"/>
  <c r="U349" i="38"/>
  <c r="V349" i="38" s="1"/>
  <c r="T353" i="38"/>
  <c r="T374" i="38"/>
  <c r="T373" i="38" s="1"/>
  <c r="U379" i="38"/>
  <c r="V379" i="38" s="1"/>
  <c r="V373" i="38" s="1"/>
  <c r="T384" i="38"/>
  <c r="L397" i="38"/>
  <c r="U397" i="38"/>
  <c r="V397" i="38" s="1"/>
  <c r="U400" i="38"/>
  <c r="V400" i="38" s="1"/>
  <c r="L153" i="38"/>
  <c r="P153" i="38" s="1"/>
  <c r="Q153" i="38" s="1"/>
  <c r="T185" i="38"/>
  <c r="L193" i="38"/>
  <c r="M193" i="38" s="1"/>
  <c r="L200" i="38"/>
  <c r="M200" i="38" s="1"/>
  <c r="L236" i="38"/>
  <c r="M236" i="38" s="1"/>
  <c r="T281" i="38"/>
  <c r="U284" i="38"/>
  <c r="V284" i="38" s="1"/>
  <c r="T286" i="38"/>
  <c r="L346" i="38"/>
  <c r="P346" i="38" s="1"/>
  <c r="Q346" i="38" s="1"/>
  <c r="L353" i="38"/>
  <c r="M353" i="38" s="1"/>
  <c r="L374" i="38"/>
  <c r="P374" i="38" s="1"/>
  <c r="Q374" i="38" s="1"/>
  <c r="L384" i="38"/>
  <c r="M384" i="38" s="1"/>
  <c r="L395" i="38"/>
  <c r="P395" i="38" s="1"/>
  <c r="Q395" i="38" s="1"/>
  <c r="U333" i="38"/>
  <c r="V333" i="38" s="1"/>
  <c r="T335" i="38"/>
  <c r="T358" i="38"/>
  <c r="U360" i="38"/>
  <c r="V360" i="38" s="1"/>
  <c r="M136" i="38"/>
  <c r="P136" i="38"/>
  <c r="Q136" i="38" s="1"/>
  <c r="P151" i="38"/>
  <c r="Q151" i="38" s="1"/>
  <c r="M151" i="38"/>
  <c r="L229" i="38"/>
  <c r="U229" i="38"/>
  <c r="V229" i="38" s="1"/>
  <c r="T229" i="38"/>
  <c r="L329" i="38"/>
  <c r="U329" i="38"/>
  <c r="V329" i="38" s="1"/>
  <c r="T329" i="38"/>
  <c r="T136" i="38"/>
  <c r="L144" i="38"/>
  <c r="T151" i="38"/>
  <c r="L157" i="38"/>
  <c r="L188" i="38"/>
  <c r="T188" i="38"/>
  <c r="L276" i="38"/>
  <c r="U276" i="38"/>
  <c r="V276" i="38" s="1"/>
  <c r="T276" i="38"/>
  <c r="L342" i="38"/>
  <c r="U342" i="38"/>
  <c r="V342" i="38" s="1"/>
  <c r="T342" i="38"/>
  <c r="U136" i="38"/>
  <c r="V136" i="38" s="1"/>
  <c r="U151" i="38"/>
  <c r="V151" i="38" s="1"/>
  <c r="T175" i="38"/>
  <c r="L175" i="38"/>
  <c r="L294" i="38"/>
  <c r="U294" i="38"/>
  <c r="V294" i="38" s="1"/>
  <c r="T294" i="38"/>
  <c r="L355" i="38"/>
  <c r="U355" i="38"/>
  <c r="V355" i="38" s="1"/>
  <c r="T355" i="38"/>
  <c r="L389" i="38"/>
  <c r="U389" i="38"/>
  <c r="V389" i="38" s="1"/>
  <c r="T389" i="38"/>
  <c r="M400" i="38"/>
  <c r="P400" i="38"/>
  <c r="Q400" i="38" s="1"/>
  <c r="U175" i="38"/>
  <c r="V175" i="38" s="1"/>
  <c r="L210" i="38"/>
  <c r="U210" i="38"/>
  <c r="V210" i="38" s="1"/>
  <c r="T210" i="38"/>
  <c r="L312" i="38"/>
  <c r="U312" i="38"/>
  <c r="V312" i="38" s="1"/>
  <c r="T312" i="38"/>
  <c r="L369" i="38"/>
  <c r="U369" i="38"/>
  <c r="V369" i="38" s="1"/>
  <c r="T369" i="38"/>
  <c r="L404" i="38"/>
  <c r="U404" i="38"/>
  <c r="V404" i="38" s="1"/>
  <c r="V403" i="38" s="1"/>
  <c r="T404" i="38"/>
  <c r="T403" i="38" s="1"/>
  <c r="L198" i="38"/>
  <c r="L216" i="38"/>
  <c r="L245" i="38"/>
  <c r="L284" i="38"/>
  <c r="L302" i="38"/>
  <c r="L318" i="38"/>
  <c r="L333" i="38"/>
  <c r="L349" i="38"/>
  <c r="L360" i="38"/>
  <c r="L379" i="38"/>
  <c r="T395" i="38"/>
  <c r="O378" i="17"/>
  <c r="O377" i="17" s="1"/>
  <c r="X123" i="17"/>
  <c r="Z123" i="17"/>
  <c r="AB123" i="17"/>
  <c r="AD123" i="17"/>
  <c r="AF123" i="17"/>
  <c r="S378" i="17"/>
  <c r="S374" i="17"/>
  <c r="L374" i="17" s="1"/>
  <c r="O374" i="17"/>
  <c r="S371" i="17"/>
  <c r="U371" i="17" s="1"/>
  <c r="V371" i="17" s="1"/>
  <c r="O371" i="17"/>
  <c r="S369" i="17"/>
  <c r="U369" i="17" s="1"/>
  <c r="V369" i="17" s="1"/>
  <c r="O369" i="17"/>
  <c r="S363" i="17"/>
  <c r="O363" i="17"/>
  <c r="S358" i="17"/>
  <c r="L358" i="17" s="1"/>
  <c r="O358" i="17"/>
  <c r="S352" i="17"/>
  <c r="T352" i="17" s="1"/>
  <c r="O352" i="17"/>
  <c r="S347" i="17"/>
  <c r="T347" i="17" s="1"/>
  <c r="O347" i="17"/>
  <c r="S344" i="17"/>
  <c r="O344" i="17"/>
  <c r="S342" i="17"/>
  <c r="L342" i="17" s="1"/>
  <c r="O342" i="17"/>
  <c r="S338" i="17"/>
  <c r="T338" i="17" s="1"/>
  <c r="O338" i="17"/>
  <c r="S333" i="17"/>
  <c r="T333" i="17" s="1"/>
  <c r="O333" i="17"/>
  <c r="S331" i="17"/>
  <c r="O331" i="17"/>
  <c r="S329" i="17"/>
  <c r="L329" i="17" s="1"/>
  <c r="O329" i="17"/>
  <c r="S327" i="17"/>
  <c r="T327" i="17" s="1"/>
  <c r="O327" i="17"/>
  <c r="S323" i="17"/>
  <c r="T323" i="17" s="1"/>
  <c r="O323" i="17"/>
  <c r="S321" i="17"/>
  <c r="O321" i="17"/>
  <c r="S317" i="17"/>
  <c r="L317" i="17" s="1"/>
  <c r="O317" i="17"/>
  <c r="S315" i="17"/>
  <c r="T315" i="17" s="1"/>
  <c r="O315" i="17"/>
  <c r="S313" i="17"/>
  <c r="T313" i="17" s="1"/>
  <c r="O313" i="17"/>
  <c r="S309" i="17"/>
  <c r="O309" i="17"/>
  <c r="S306" i="17"/>
  <c r="L306" i="17" s="1"/>
  <c r="O306" i="17"/>
  <c r="S301" i="17"/>
  <c r="L301" i="17" s="1"/>
  <c r="M301" i="17" s="1"/>
  <c r="O301" i="17"/>
  <c r="S298" i="17"/>
  <c r="T298" i="17" s="1"/>
  <c r="O298" i="17"/>
  <c r="S296" i="17"/>
  <c r="O296" i="17"/>
  <c r="S294" i="17"/>
  <c r="L294" i="17" s="1"/>
  <c r="O294" i="17"/>
  <c r="S290" i="17"/>
  <c r="L290" i="17" s="1"/>
  <c r="M290" i="17" s="1"/>
  <c r="O290" i="17"/>
  <c r="S286" i="17"/>
  <c r="T286" i="17" s="1"/>
  <c r="O286" i="17"/>
  <c r="S280" i="17"/>
  <c r="O280" i="17"/>
  <c r="S278" i="17"/>
  <c r="L278" i="17" s="1"/>
  <c r="O278" i="17"/>
  <c r="S273" i="17"/>
  <c r="U273" i="17" s="1"/>
  <c r="V273" i="17" s="1"/>
  <c r="O273" i="17"/>
  <c r="S271" i="17"/>
  <c r="T271" i="17" s="1"/>
  <c r="O271" i="17"/>
  <c r="S269" i="17"/>
  <c r="O269" i="17"/>
  <c r="S267" i="17"/>
  <c r="L267" i="17" s="1"/>
  <c r="O267" i="17"/>
  <c r="S261" i="17"/>
  <c r="U261" i="17" s="1"/>
  <c r="V261" i="17" s="1"/>
  <c r="O261" i="17"/>
  <c r="S259" i="17"/>
  <c r="T259" i="17" s="1"/>
  <c r="O259" i="17"/>
  <c r="S255" i="17"/>
  <c r="O255" i="17"/>
  <c r="S253" i="17"/>
  <c r="L253" i="17" s="1"/>
  <c r="O253" i="17"/>
  <c r="S249" i="17"/>
  <c r="U249" i="17" s="1"/>
  <c r="V249" i="17" s="1"/>
  <c r="O249" i="17"/>
  <c r="S244" i="17"/>
  <c r="T244" i="17" s="1"/>
  <c r="O244" i="17"/>
  <c r="S239" i="17"/>
  <c r="O239" i="17"/>
  <c r="S234" i="17"/>
  <c r="L234" i="17" s="1"/>
  <c r="O234" i="17"/>
  <c r="O233" i="17" s="1"/>
  <c r="S230" i="17"/>
  <c r="U230" i="17" s="1"/>
  <c r="V230" i="17" s="1"/>
  <c r="O230" i="17"/>
  <c r="S227" i="17"/>
  <c r="T227" i="17" s="1"/>
  <c r="O227" i="17"/>
  <c r="S222" i="17"/>
  <c r="L222" i="17" s="1"/>
  <c r="P222" i="17" s="1"/>
  <c r="Q222" i="17" s="1"/>
  <c r="O222" i="17"/>
  <c r="S218" i="17"/>
  <c r="O218" i="17"/>
  <c r="S203" i="17"/>
  <c r="T203" i="17" s="1"/>
  <c r="O203" i="17"/>
  <c r="S199" i="17"/>
  <c r="T199" i="17" s="1"/>
  <c r="O199" i="17"/>
  <c r="S192" i="17"/>
  <c r="L192" i="17" s="1"/>
  <c r="O192" i="17"/>
  <c r="S189" i="17"/>
  <c r="U189" i="17" s="1"/>
  <c r="V189" i="17" s="1"/>
  <c r="O189" i="17"/>
  <c r="S184" i="17"/>
  <c r="T184" i="17" s="1"/>
  <c r="O184" i="17"/>
  <c r="S182" i="17"/>
  <c r="U182" i="17" s="1"/>
  <c r="V182" i="17" s="1"/>
  <c r="O182" i="17"/>
  <c r="S177" i="17"/>
  <c r="L177" i="17" s="1"/>
  <c r="O177" i="17"/>
  <c r="S172" i="17"/>
  <c r="U172" i="17" s="1"/>
  <c r="V172" i="17" s="1"/>
  <c r="O172" i="17"/>
  <c r="S169" i="17"/>
  <c r="T169" i="17" s="1"/>
  <c r="O169" i="17"/>
  <c r="S160" i="17"/>
  <c r="U160" i="17" s="1"/>
  <c r="V160" i="17" s="1"/>
  <c r="O160" i="17"/>
  <c r="S156" i="17"/>
  <c r="L156" i="17" s="1"/>
  <c r="O156" i="17"/>
  <c r="S154" i="17"/>
  <c r="U154" i="17" s="1"/>
  <c r="V154" i="17" s="1"/>
  <c r="O154" i="17"/>
  <c r="S151" i="17"/>
  <c r="T151" i="17" s="1"/>
  <c r="O151" i="17"/>
  <c r="S147" i="17"/>
  <c r="U147" i="17" s="1"/>
  <c r="V147" i="17" s="1"/>
  <c r="O147" i="17"/>
  <c r="S143" i="17"/>
  <c r="L143" i="17" s="1"/>
  <c r="O143" i="17"/>
  <c r="S137" i="17"/>
  <c r="U137" i="17" s="1"/>
  <c r="V137" i="17" s="1"/>
  <c r="O137" i="17"/>
  <c r="S129" i="17"/>
  <c r="T129" i="17" s="1"/>
  <c r="O129" i="17"/>
  <c r="S127" i="17"/>
  <c r="U127" i="17" s="1"/>
  <c r="V127" i="17" s="1"/>
  <c r="O127" i="17"/>
  <c r="O125" i="17"/>
  <c r="S125" i="17"/>
  <c r="L125" i="17" s="1"/>
  <c r="T117" i="46" l="1"/>
  <c r="T116" i="46" s="1"/>
  <c r="V328" i="38"/>
  <c r="P219" i="38"/>
  <c r="Q219" i="38" s="1"/>
  <c r="P358" i="38"/>
  <c r="Q358" i="38" s="1"/>
  <c r="V341" i="38"/>
  <c r="T346" i="17"/>
  <c r="M400" i="18"/>
  <c r="M125" i="18"/>
  <c r="Q252" i="18"/>
  <c r="Q307" i="18"/>
  <c r="Q288" i="18"/>
  <c r="M307" i="18"/>
  <c r="M252" i="18"/>
  <c r="T124" i="18"/>
  <c r="M411" i="18"/>
  <c r="M288" i="18"/>
  <c r="Q411" i="18"/>
  <c r="V124" i="18"/>
  <c r="O124" i="38"/>
  <c r="AR135" i="1" s="1"/>
  <c r="L271" i="17"/>
  <c r="L249" i="17"/>
  <c r="M249" i="17" s="1"/>
  <c r="L369" i="17"/>
  <c r="M369" i="17" s="1"/>
  <c r="U347" i="17"/>
  <c r="V347" i="17" s="1"/>
  <c r="U290" i="17"/>
  <c r="V290" i="17" s="1"/>
  <c r="U151" i="17"/>
  <c r="V151" i="17" s="1"/>
  <c r="T261" i="17"/>
  <c r="L273" i="17"/>
  <c r="P273" i="17" s="1"/>
  <c r="Q273" i="17" s="1"/>
  <c r="T328" i="38"/>
  <c r="M118" i="46"/>
  <c r="M117" i="46" s="1"/>
  <c r="M116" i="46" s="1"/>
  <c r="AQ149" i="1" s="1"/>
  <c r="P118" i="46"/>
  <c r="Q118" i="46" s="1"/>
  <c r="Q117" i="46" s="1"/>
  <c r="Q116" i="46" s="1"/>
  <c r="AS149" i="1" s="1"/>
  <c r="P193" i="38"/>
  <c r="Q193" i="38" s="1"/>
  <c r="M212" i="38"/>
  <c r="V383" i="38"/>
  <c r="P131" i="38"/>
  <c r="Q131" i="38" s="1"/>
  <c r="T341" i="38"/>
  <c r="M172" i="38"/>
  <c r="T383" i="38"/>
  <c r="P364" i="38"/>
  <c r="Q364" i="38" s="1"/>
  <c r="P281" i="38"/>
  <c r="Q281" i="38" s="1"/>
  <c r="P185" i="38"/>
  <c r="Q185" i="38" s="1"/>
  <c r="V297" i="38"/>
  <c r="M138" i="38"/>
  <c r="P286" i="38"/>
  <c r="Q286" i="38" s="1"/>
  <c r="Q298" i="38"/>
  <c r="P323" i="38"/>
  <c r="Q323" i="38" s="1"/>
  <c r="Q322" i="38" s="1"/>
  <c r="P148" i="38"/>
  <c r="Q148" i="38" s="1"/>
  <c r="T125" i="38"/>
  <c r="T124" i="38" s="1"/>
  <c r="V125" i="38"/>
  <c r="V124" i="38" s="1"/>
  <c r="P353" i="38"/>
  <c r="Q353" i="38" s="1"/>
  <c r="P264" i="38"/>
  <c r="Q264" i="38" s="1"/>
  <c r="P200" i="38"/>
  <c r="Q200" i="38" s="1"/>
  <c r="M346" i="38"/>
  <c r="T297" i="38"/>
  <c r="M331" i="38"/>
  <c r="M316" i="38"/>
  <c r="P335" i="38"/>
  <c r="Q335" i="38" s="1"/>
  <c r="P307" i="38"/>
  <c r="Q307" i="38" s="1"/>
  <c r="M374" i="38"/>
  <c r="P165" i="38"/>
  <c r="Q165" i="38" s="1"/>
  <c r="M298" i="38"/>
  <c r="M395" i="38"/>
  <c r="P236" i="38"/>
  <c r="Q236" i="38" s="1"/>
  <c r="M153" i="38"/>
  <c r="P384" i="38"/>
  <c r="Q384" i="38" s="1"/>
  <c r="M397" i="38"/>
  <c r="P397" i="38"/>
  <c r="Q397" i="38" s="1"/>
  <c r="M318" i="38"/>
  <c r="P318" i="38"/>
  <c r="Q318" i="38" s="1"/>
  <c r="P210" i="38"/>
  <c r="Q210" i="38" s="1"/>
  <c r="M210" i="38"/>
  <c r="P389" i="38"/>
  <c r="Q389" i="38" s="1"/>
  <c r="M389" i="38"/>
  <c r="P276" i="38"/>
  <c r="Q276" i="38" s="1"/>
  <c r="M276" i="38"/>
  <c r="M188" i="38"/>
  <c r="P188" i="38"/>
  <c r="Q188" i="38" s="1"/>
  <c r="P157" i="38"/>
  <c r="Q157" i="38" s="1"/>
  <c r="M157" i="38"/>
  <c r="M144" i="38"/>
  <c r="P144" i="38"/>
  <c r="Q144" i="38" s="1"/>
  <c r="P404" i="38"/>
  <c r="Q404" i="38" s="1"/>
  <c r="Q403" i="38" s="1"/>
  <c r="M404" i="38"/>
  <c r="M403" i="38" s="1"/>
  <c r="M379" i="38"/>
  <c r="P379" i="38"/>
  <c r="Q379" i="38" s="1"/>
  <c r="Q373" i="38" s="1"/>
  <c r="M216" i="38"/>
  <c r="P216" i="38"/>
  <c r="Q216" i="38" s="1"/>
  <c r="M360" i="38"/>
  <c r="P360" i="38"/>
  <c r="Q360" i="38" s="1"/>
  <c r="M333" i="38"/>
  <c r="P333" i="38"/>
  <c r="Q333" i="38" s="1"/>
  <c r="M302" i="38"/>
  <c r="P302" i="38"/>
  <c r="Q302" i="38" s="1"/>
  <c r="M245" i="38"/>
  <c r="P245" i="38"/>
  <c r="Q245" i="38" s="1"/>
  <c r="M198" i="38"/>
  <c r="P198" i="38"/>
  <c r="Q198" i="38" s="1"/>
  <c r="P369" i="38"/>
  <c r="Q369" i="38" s="1"/>
  <c r="M369" i="38"/>
  <c r="P329" i="38"/>
  <c r="Q329" i="38" s="1"/>
  <c r="M329" i="38"/>
  <c r="M349" i="38"/>
  <c r="P349" i="38"/>
  <c r="Q349" i="38" s="1"/>
  <c r="M284" i="38"/>
  <c r="P284" i="38"/>
  <c r="Q284" i="38" s="1"/>
  <c r="P294" i="38"/>
  <c r="Q294" i="38" s="1"/>
  <c r="M294" i="38"/>
  <c r="P312" i="38"/>
  <c r="Q312" i="38" s="1"/>
  <c r="M312" i="38"/>
  <c r="P355" i="38"/>
  <c r="Q355" i="38" s="1"/>
  <c r="M355" i="38"/>
  <c r="M175" i="38"/>
  <c r="P175" i="38"/>
  <c r="Q175" i="38" s="1"/>
  <c r="P342" i="38"/>
  <c r="Q342" i="38" s="1"/>
  <c r="M342" i="38"/>
  <c r="P229" i="38"/>
  <c r="Q229" i="38" s="1"/>
  <c r="M229" i="38"/>
  <c r="L172" i="17"/>
  <c r="M172" i="17" s="1"/>
  <c r="T230" i="17"/>
  <c r="T154" i="17"/>
  <c r="U184" i="17"/>
  <c r="V184" i="17" s="1"/>
  <c r="L230" i="17"/>
  <c r="M230" i="17" s="1"/>
  <c r="O346" i="17"/>
  <c r="T249" i="17"/>
  <c r="L286" i="17"/>
  <c r="M286" i="17" s="1"/>
  <c r="U323" i="17"/>
  <c r="V323" i="17" s="1"/>
  <c r="L127" i="17"/>
  <c r="P127" i="17" s="1"/>
  <c r="Q127" i="17" s="1"/>
  <c r="L151" i="17"/>
  <c r="M151" i="17" s="1"/>
  <c r="L154" i="17"/>
  <c r="M154" i="17" s="1"/>
  <c r="L169" i="17"/>
  <c r="M169" i="17" s="1"/>
  <c r="T189" i="17"/>
  <c r="U203" i="17"/>
  <c r="V203" i="17" s="1"/>
  <c r="L261" i="17"/>
  <c r="M261" i="17" s="1"/>
  <c r="U333" i="17"/>
  <c r="V333" i="17" s="1"/>
  <c r="L147" i="17"/>
  <c r="P147" i="17" s="1"/>
  <c r="Q147" i="17" s="1"/>
  <c r="L203" i="17"/>
  <c r="M203" i="17" s="1"/>
  <c r="T172" i="17"/>
  <c r="U313" i="17"/>
  <c r="V313" i="17" s="1"/>
  <c r="O357" i="17"/>
  <c r="O285" i="17"/>
  <c r="O266" i="17"/>
  <c r="O238" i="17"/>
  <c r="O124" i="17"/>
  <c r="P192" i="17"/>
  <c r="Q192" i="17" s="1"/>
  <c r="M192" i="17"/>
  <c r="U129" i="17"/>
  <c r="V129" i="17" s="1"/>
  <c r="T137" i="17"/>
  <c r="L160" i="17"/>
  <c r="P160" i="17" s="1"/>
  <c r="Q160" i="17" s="1"/>
  <c r="L184" i="17"/>
  <c r="M184" i="17" s="1"/>
  <c r="L189" i="17"/>
  <c r="M189" i="17" s="1"/>
  <c r="L199" i="17"/>
  <c r="M199" i="17" s="1"/>
  <c r="U259" i="17"/>
  <c r="V259" i="17" s="1"/>
  <c r="T267" i="17"/>
  <c r="P301" i="17"/>
  <c r="Q301" i="17" s="1"/>
  <c r="U315" i="17"/>
  <c r="V315" i="17" s="1"/>
  <c r="U338" i="17"/>
  <c r="V338" i="17" s="1"/>
  <c r="T374" i="17"/>
  <c r="L129" i="17"/>
  <c r="M129" i="17" s="1"/>
  <c r="L137" i="17"/>
  <c r="M137" i="17" s="1"/>
  <c r="L182" i="17"/>
  <c r="P182" i="17" s="1"/>
  <c r="Q182" i="17" s="1"/>
  <c r="L227" i="17"/>
  <c r="P227" i="17" s="1"/>
  <c r="Q227" i="17" s="1"/>
  <c r="L244" i="17"/>
  <c r="P244" i="17" s="1"/>
  <c r="Q244" i="17" s="1"/>
  <c r="L259" i="17"/>
  <c r="P259" i="17" s="1"/>
  <c r="Q259" i="17" s="1"/>
  <c r="T371" i="17"/>
  <c r="U169" i="17"/>
  <c r="V169" i="17" s="1"/>
  <c r="T234" i="17"/>
  <c r="T233" i="17" s="1"/>
  <c r="T253" i="17"/>
  <c r="U271" i="17"/>
  <c r="V271" i="17" s="1"/>
  <c r="U286" i="17"/>
  <c r="V286" i="17" s="1"/>
  <c r="T290" i="17"/>
  <c r="T294" i="17"/>
  <c r="U301" i="17"/>
  <c r="V301" i="17" s="1"/>
  <c r="U327" i="17"/>
  <c r="V327" i="17" s="1"/>
  <c r="U352" i="17"/>
  <c r="V352" i="17" s="1"/>
  <c r="L371" i="17"/>
  <c r="M371" i="17" s="1"/>
  <c r="P125" i="17"/>
  <c r="Q125" i="17" s="1"/>
  <c r="M125" i="17"/>
  <c r="U125" i="17"/>
  <c r="V125" i="17" s="1"/>
  <c r="M273" i="17"/>
  <c r="T273" i="17"/>
  <c r="T278" i="17"/>
  <c r="U298" i="17"/>
  <c r="V298" i="17" s="1"/>
  <c r="L313" i="17"/>
  <c r="P313" i="17" s="1"/>
  <c r="Q313" i="17" s="1"/>
  <c r="L323" i="17"/>
  <c r="M323" i="17" s="1"/>
  <c r="L333" i="17"/>
  <c r="P333" i="17" s="1"/>
  <c r="Q333" i="17" s="1"/>
  <c r="L347" i="17"/>
  <c r="M347" i="17" s="1"/>
  <c r="U374" i="17"/>
  <c r="V374" i="17" s="1"/>
  <c r="T125" i="17"/>
  <c r="U199" i="17"/>
  <c r="V199" i="17" s="1"/>
  <c r="U227" i="17"/>
  <c r="V227" i="17" s="1"/>
  <c r="U244" i="17"/>
  <c r="V244" i="17" s="1"/>
  <c r="L298" i="17"/>
  <c r="P298" i="17" s="1"/>
  <c r="Q298" i="17" s="1"/>
  <c r="T301" i="17"/>
  <c r="T306" i="17"/>
  <c r="L315" i="17"/>
  <c r="T317" i="17"/>
  <c r="L327" i="17"/>
  <c r="T329" i="17"/>
  <c r="L338" i="17"/>
  <c r="T342" i="17"/>
  <c r="L352" i="17"/>
  <c r="T358" i="17"/>
  <c r="P143" i="17"/>
  <c r="Q143" i="17" s="1"/>
  <c r="M143" i="17"/>
  <c r="P156" i="17"/>
  <c r="Q156" i="17" s="1"/>
  <c r="M156" i="17"/>
  <c r="P177" i="17"/>
  <c r="Q177" i="17" s="1"/>
  <c r="M177" i="17"/>
  <c r="L218" i="17"/>
  <c r="U218" i="17"/>
  <c r="V218" i="17" s="1"/>
  <c r="M234" i="17"/>
  <c r="M233" i="17" s="1"/>
  <c r="P234" i="17"/>
  <c r="Q234" i="17" s="1"/>
  <c r="Q233" i="17" s="1"/>
  <c r="L269" i="17"/>
  <c r="U269" i="17"/>
  <c r="V269" i="17" s="1"/>
  <c r="T269" i="17"/>
  <c r="T156" i="17"/>
  <c r="M306" i="17"/>
  <c r="P306" i="17"/>
  <c r="Q306" i="17" s="1"/>
  <c r="M329" i="17"/>
  <c r="P329" i="17"/>
  <c r="Q329" i="17" s="1"/>
  <c r="L363" i="17"/>
  <c r="U363" i="17"/>
  <c r="V363" i="17" s="1"/>
  <c r="T363" i="17"/>
  <c r="U156" i="17"/>
  <c r="V156" i="17" s="1"/>
  <c r="T160" i="17"/>
  <c r="U177" i="17"/>
  <c r="V177" i="17" s="1"/>
  <c r="T182" i="17"/>
  <c r="U222" i="17"/>
  <c r="V222" i="17" s="1"/>
  <c r="T222" i="17"/>
  <c r="M253" i="17"/>
  <c r="P253" i="17"/>
  <c r="Q253" i="17" s="1"/>
  <c r="L255" i="17"/>
  <c r="U255" i="17"/>
  <c r="V255" i="17" s="1"/>
  <c r="T255" i="17"/>
  <c r="M374" i="17"/>
  <c r="P374" i="17"/>
  <c r="Q374" i="17" s="1"/>
  <c r="L239" i="17"/>
  <c r="U239" i="17"/>
  <c r="V239" i="17" s="1"/>
  <c r="T239" i="17"/>
  <c r="M267" i="17"/>
  <c r="P267" i="17"/>
  <c r="Q267" i="17" s="1"/>
  <c r="M294" i="17"/>
  <c r="P294" i="17"/>
  <c r="Q294" i="17" s="1"/>
  <c r="L296" i="17"/>
  <c r="U296" i="17"/>
  <c r="V296" i="17" s="1"/>
  <c r="T296" i="17"/>
  <c r="T143" i="17"/>
  <c r="T177" i="17"/>
  <c r="T218" i="17"/>
  <c r="P271" i="17"/>
  <c r="Q271" i="17" s="1"/>
  <c r="M271" i="17"/>
  <c r="L309" i="17"/>
  <c r="U309" i="17"/>
  <c r="V309" i="17" s="1"/>
  <c r="T309" i="17"/>
  <c r="L331" i="17"/>
  <c r="U331" i="17"/>
  <c r="V331" i="17" s="1"/>
  <c r="T331" i="17"/>
  <c r="M358" i="17"/>
  <c r="P358" i="17"/>
  <c r="Q358" i="17" s="1"/>
  <c r="T127" i="17"/>
  <c r="U143" i="17"/>
  <c r="V143" i="17" s="1"/>
  <c r="T147" i="17"/>
  <c r="U192" i="17"/>
  <c r="V192" i="17" s="1"/>
  <c r="T192" i="17"/>
  <c r="M222" i="17"/>
  <c r="M278" i="17"/>
  <c r="P278" i="17"/>
  <c r="Q278" i="17" s="1"/>
  <c r="L280" i="17"/>
  <c r="U280" i="17"/>
  <c r="V280" i="17" s="1"/>
  <c r="T280" i="17"/>
  <c r="P290" i="17"/>
  <c r="Q290" i="17" s="1"/>
  <c r="M317" i="17"/>
  <c r="P317" i="17"/>
  <c r="Q317" i="17" s="1"/>
  <c r="L321" i="17"/>
  <c r="U321" i="17"/>
  <c r="V321" i="17" s="1"/>
  <c r="T321" i="17"/>
  <c r="M342" i="17"/>
  <c r="P342" i="17"/>
  <c r="Q342" i="17" s="1"/>
  <c r="L344" i="17"/>
  <c r="U344" i="17"/>
  <c r="V344" i="17" s="1"/>
  <c r="T344" i="17"/>
  <c r="L378" i="17"/>
  <c r="U378" i="17"/>
  <c r="V378" i="17" s="1"/>
  <c r="V377" i="17" s="1"/>
  <c r="T378" i="17"/>
  <c r="T377" i="17" s="1"/>
  <c r="U234" i="17"/>
  <c r="V234" i="17" s="1"/>
  <c r="V233" i="17" s="1"/>
  <c r="U253" i="17"/>
  <c r="V253" i="17" s="1"/>
  <c r="U267" i="17"/>
  <c r="V267" i="17" s="1"/>
  <c r="U278" i="17"/>
  <c r="V278" i="17" s="1"/>
  <c r="U294" i="17"/>
  <c r="V294" i="17" s="1"/>
  <c r="U306" i="17"/>
  <c r="V306" i="17" s="1"/>
  <c r="U317" i="17"/>
  <c r="V317" i="17" s="1"/>
  <c r="U329" i="17"/>
  <c r="V329" i="17" s="1"/>
  <c r="U342" i="17"/>
  <c r="V342" i="17" s="1"/>
  <c r="U358" i="17"/>
  <c r="V358" i="17" s="1"/>
  <c r="T369" i="17"/>
  <c r="P172" i="17" l="1"/>
  <c r="Q172" i="17" s="1"/>
  <c r="P230" i="17"/>
  <c r="Q230" i="17" s="1"/>
  <c r="P189" i="17"/>
  <c r="Q189" i="17" s="1"/>
  <c r="P169" i="17"/>
  <c r="Q169" i="17" s="1"/>
  <c r="P286" i="17"/>
  <c r="Q286" i="17" s="1"/>
  <c r="P369" i="17"/>
  <c r="Q369" i="17" s="1"/>
  <c r="P249" i="17"/>
  <c r="Q249" i="17" s="1"/>
  <c r="Q124" i="18"/>
  <c r="AS108" i="1" s="1"/>
  <c r="M124" i="18"/>
  <c r="AQ108" i="1" s="1"/>
  <c r="V346" i="17"/>
  <c r="M147" i="17"/>
  <c r="M127" i="17"/>
  <c r="M259" i="17"/>
  <c r="P199" i="17"/>
  <c r="Q199" i="17" s="1"/>
  <c r="M244" i="17"/>
  <c r="M328" i="38"/>
  <c r="M383" i="38"/>
  <c r="Q383" i="38"/>
  <c r="Q328" i="38"/>
  <c r="M341" i="38"/>
  <c r="M373" i="38"/>
  <c r="Q341" i="38"/>
  <c r="Q125" i="38"/>
  <c r="M125" i="38"/>
  <c r="Q297" i="38"/>
  <c r="M297" i="38"/>
  <c r="V357" i="17"/>
  <c r="P184" i="17"/>
  <c r="Q184" i="17" s="1"/>
  <c r="M313" i="17"/>
  <c r="M298" i="17"/>
  <c r="P261" i="17"/>
  <c r="Q261" i="17" s="1"/>
  <c r="P154" i="17"/>
  <c r="Q154" i="17" s="1"/>
  <c r="M227" i="17"/>
  <c r="T238" i="17"/>
  <c r="T285" i="17"/>
  <c r="V238" i="17"/>
  <c r="M160" i="17"/>
  <c r="P371" i="17"/>
  <c r="Q371" i="17" s="1"/>
  <c r="P203" i="17"/>
  <c r="Q203" i="17" s="1"/>
  <c r="V124" i="17"/>
  <c r="T124" i="17"/>
  <c r="P151" i="17"/>
  <c r="Q151" i="17" s="1"/>
  <c r="V266" i="17"/>
  <c r="M182" i="17"/>
  <c r="P323" i="17"/>
  <c r="Q323" i="17" s="1"/>
  <c r="T357" i="17"/>
  <c r="P137" i="17"/>
  <c r="Q137" i="17" s="1"/>
  <c r="V285" i="17"/>
  <c r="T266" i="17"/>
  <c r="O123" i="17"/>
  <c r="AR107" i="1" s="1"/>
  <c r="P129" i="17"/>
  <c r="Q129" i="17" s="1"/>
  <c r="M338" i="17"/>
  <c r="P338" i="17"/>
  <c r="Q338" i="17" s="1"/>
  <c r="M315" i="17"/>
  <c r="P315" i="17"/>
  <c r="Q315" i="17" s="1"/>
  <c r="M333" i="17"/>
  <c r="P347" i="17"/>
  <c r="Q347" i="17" s="1"/>
  <c r="M352" i="17"/>
  <c r="M346" i="17" s="1"/>
  <c r="P352" i="17"/>
  <c r="Q352" i="17" s="1"/>
  <c r="M327" i="17"/>
  <c r="P327" i="17"/>
  <c r="Q327" i="17" s="1"/>
  <c r="P280" i="17"/>
  <c r="Q280" i="17" s="1"/>
  <c r="M280" i="17"/>
  <c r="P239" i="17"/>
  <c r="Q239" i="17" s="1"/>
  <c r="M239" i="17"/>
  <c r="P344" i="17"/>
  <c r="Q344" i="17" s="1"/>
  <c r="M344" i="17"/>
  <c r="P309" i="17"/>
  <c r="Q309" i="17" s="1"/>
  <c r="M309" i="17"/>
  <c r="P296" i="17"/>
  <c r="Q296" i="17" s="1"/>
  <c r="M296" i="17"/>
  <c r="P255" i="17"/>
  <c r="Q255" i="17" s="1"/>
  <c r="M255" i="17"/>
  <c r="P269" i="17"/>
  <c r="Q269" i="17" s="1"/>
  <c r="Q266" i="17" s="1"/>
  <c r="M269" i="17"/>
  <c r="P218" i="17"/>
  <c r="Q218" i="17" s="1"/>
  <c r="M218" i="17"/>
  <c r="P378" i="17"/>
  <c r="Q378" i="17" s="1"/>
  <c r="Q377" i="17" s="1"/>
  <c r="M378" i="17"/>
  <c r="M377" i="17" s="1"/>
  <c r="P321" i="17"/>
  <c r="Q321" i="17" s="1"/>
  <c r="M321" i="17"/>
  <c r="P331" i="17"/>
  <c r="Q331" i="17" s="1"/>
  <c r="M331" i="17"/>
  <c r="P363" i="17"/>
  <c r="Q363" i="17" s="1"/>
  <c r="M363" i="17"/>
  <c r="M357" i="17" s="1"/>
  <c r="M266" i="17" l="1"/>
  <c r="Q346" i="17"/>
  <c r="Q124" i="38"/>
  <c r="AS135" i="1" s="1"/>
  <c r="M124" i="38"/>
  <c r="AQ135" i="1" s="1"/>
  <c r="Q357" i="17"/>
  <c r="V123" i="17"/>
  <c r="M124" i="17"/>
  <c r="M285" i="17"/>
  <c r="M238" i="17"/>
  <c r="T123" i="17"/>
  <c r="Q285" i="17"/>
  <c r="Q238" i="17"/>
  <c r="Q124" i="17"/>
  <c r="M123" i="17" l="1"/>
  <c r="AQ107" i="1" s="1"/>
  <c r="Q123" i="17"/>
  <c r="AS107" i="1" s="1"/>
  <c r="O158" i="12" l="1"/>
  <c r="Z123" i="15" l="1"/>
  <c r="AB123" i="15"/>
  <c r="AD123" i="15"/>
  <c r="AF123" i="15"/>
  <c r="AH123" i="15"/>
  <c r="S350" i="15"/>
  <c r="O350" i="15"/>
  <c r="O349" i="15" s="1"/>
  <c r="S346" i="15"/>
  <c r="L346" i="15" s="1"/>
  <c r="O346" i="15"/>
  <c r="S343" i="15"/>
  <c r="T343" i="15" s="1"/>
  <c r="O343" i="15"/>
  <c r="S341" i="15"/>
  <c r="U341" i="15" s="1"/>
  <c r="V341" i="15" s="1"/>
  <c r="O341" i="15"/>
  <c r="S335" i="15"/>
  <c r="O335" i="15"/>
  <c r="S330" i="15"/>
  <c r="U330" i="15" s="1"/>
  <c r="V330" i="15" s="1"/>
  <c r="O330" i="15"/>
  <c r="S327" i="15"/>
  <c r="T327" i="15" s="1"/>
  <c r="O327" i="15"/>
  <c r="S325" i="15"/>
  <c r="U325" i="15" s="1"/>
  <c r="V325" i="15" s="1"/>
  <c r="O325" i="15"/>
  <c r="S323" i="15"/>
  <c r="O323" i="15"/>
  <c r="S321" i="15"/>
  <c r="U321" i="15" s="1"/>
  <c r="V321" i="15" s="1"/>
  <c r="O321" i="15"/>
  <c r="S317" i="15"/>
  <c r="T317" i="15" s="1"/>
  <c r="O317" i="15"/>
  <c r="S314" i="15"/>
  <c r="U314" i="15" s="1"/>
  <c r="V314" i="15" s="1"/>
  <c r="O314" i="15"/>
  <c r="S312" i="15"/>
  <c r="O312" i="15"/>
  <c r="S307" i="15"/>
  <c r="U307" i="15" s="1"/>
  <c r="V307" i="15" s="1"/>
  <c r="O307" i="15"/>
  <c r="S305" i="15"/>
  <c r="T305" i="15" s="1"/>
  <c r="O305" i="15"/>
  <c r="S303" i="15"/>
  <c r="U303" i="15" s="1"/>
  <c r="V303" i="15" s="1"/>
  <c r="O303" i="15"/>
  <c r="S294" i="15"/>
  <c r="O294" i="15"/>
  <c r="S290" i="15"/>
  <c r="U290" i="15" s="1"/>
  <c r="V290" i="15" s="1"/>
  <c r="O290" i="15"/>
  <c r="S284" i="15"/>
  <c r="T284" i="15" s="1"/>
  <c r="O284" i="15"/>
  <c r="S282" i="15"/>
  <c r="U282" i="15" s="1"/>
  <c r="V282" i="15" s="1"/>
  <c r="O282" i="15"/>
  <c r="S280" i="15"/>
  <c r="O280" i="15"/>
  <c r="S278" i="15"/>
  <c r="U278" i="15" s="1"/>
  <c r="V278" i="15" s="1"/>
  <c r="O278" i="15"/>
  <c r="S271" i="15"/>
  <c r="T271" i="15" s="1"/>
  <c r="O271" i="15"/>
  <c r="S265" i="15"/>
  <c r="U265" i="15" s="1"/>
  <c r="V265" i="15" s="1"/>
  <c r="O265" i="15"/>
  <c r="S260" i="15"/>
  <c r="O260" i="15"/>
  <c r="S255" i="15"/>
  <c r="U255" i="15" s="1"/>
  <c r="V255" i="15" s="1"/>
  <c r="V254" i="15" s="1"/>
  <c r="O255" i="15"/>
  <c r="O254" i="15" s="1"/>
  <c r="S251" i="15"/>
  <c r="T251" i="15" s="1"/>
  <c r="O251" i="15"/>
  <c r="S245" i="15"/>
  <c r="U245" i="15" s="1"/>
  <c r="V245" i="15" s="1"/>
  <c r="O245" i="15"/>
  <c r="S243" i="15"/>
  <c r="O243" i="15"/>
  <c r="S240" i="15"/>
  <c r="U240" i="15" s="1"/>
  <c r="V240" i="15" s="1"/>
  <c r="O240" i="15"/>
  <c r="S235" i="15"/>
  <c r="T235" i="15" s="1"/>
  <c r="O235" i="15"/>
  <c r="S223" i="15"/>
  <c r="U223" i="15" s="1"/>
  <c r="V223" i="15" s="1"/>
  <c r="O223" i="15"/>
  <c r="S208" i="15"/>
  <c r="O208" i="15"/>
  <c r="S199" i="15"/>
  <c r="T199" i="15" s="1"/>
  <c r="O199" i="15"/>
  <c r="S194" i="15"/>
  <c r="T194" i="15" s="1"/>
  <c r="O194" i="15"/>
  <c r="S184" i="15"/>
  <c r="U184" i="15" s="1"/>
  <c r="V184" i="15" s="1"/>
  <c r="O184" i="15"/>
  <c r="S181" i="15"/>
  <c r="O181" i="15"/>
  <c r="S177" i="15"/>
  <c r="U177" i="15" s="1"/>
  <c r="V177" i="15" s="1"/>
  <c r="O177" i="15"/>
  <c r="S175" i="15"/>
  <c r="T175" i="15" s="1"/>
  <c r="O175" i="15"/>
  <c r="S167" i="15"/>
  <c r="U167" i="15" s="1"/>
  <c r="V167" i="15" s="1"/>
  <c r="O167" i="15"/>
  <c r="S165" i="15"/>
  <c r="O165" i="15"/>
  <c r="S160" i="15"/>
  <c r="U160" i="15" s="1"/>
  <c r="V160" i="15" s="1"/>
  <c r="O160" i="15"/>
  <c r="S155" i="15"/>
  <c r="U155" i="15" s="1"/>
  <c r="V155" i="15" s="1"/>
  <c r="O155" i="15"/>
  <c r="S152" i="15"/>
  <c r="U152" i="15" s="1"/>
  <c r="V152" i="15" s="1"/>
  <c r="O152" i="15"/>
  <c r="S142" i="15"/>
  <c r="U142" i="15" s="1"/>
  <c r="V142" i="15" s="1"/>
  <c r="O142" i="15"/>
  <c r="S136" i="15"/>
  <c r="U136" i="15" s="1"/>
  <c r="V136" i="15" s="1"/>
  <c r="O136" i="15"/>
  <c r="S129" i="15"/>
  <c r="U129" i="15" s="1"/>
  <c r="V129" i="15" s="1"/>
  <c r="O129" i="15"/>
  <c r="S127" i="15"/>
  <c r="U127" i="15" s="1"/>
  <c r="V127" i="15" s="1"/>
  <c r="O127" i="15"/>
  <c r="O125" i="15"/>
  <c r="L245" i="15" l="1"/>
  <c r="T245" i="15"/>
  <c r="O329" i="15"/>
  <c r="O289" i="15"/>
  <c r="O277" i="15"/>
  <c r="O259" i="15"/>
  <c r="O124" i="15"/>
  <c r="L278" i="15"/>
  <c r="M278" i="15" s="1"/>
  <c r="L167" i="15"/>
  <c r="P167" i="15" s="1"/>
  <c r="Q167" i="15" s="1"/>
  <c r="L307" i="15"/>
  <c r="M307" i="15" s="1"/>
  <c r="T346" i="15"/>
  <c r="L325" i="15"/>
  <c r="M325" i="15" s="1"/>
  <c r="U346" i="15"/>
  <c r="V346" i="15" s="1"/>
  <c r="T265" i="15"/>
  <c r="L303" i="15"/>
  <c r="L127" i="15"/>
  <c r="P127" i="15" s="1"/>
  <c r="Q127" i="15" s="1"/>
  <c r="L265" i="15"/>
  <c r="P265" i="15" s="1"/>
  <c r="Q265" i="15" s="1"/>
  <c r="T152" i="15"/>
  <c r="T160" i="15"/>
  <c r="U235" i="15"/>
  <c r="V235" i="15" s="1"/>
  <c r="T240" i="15"/>
  <c r="T282" i="15"/>
  <c r="U284" i="15"/>
  <c r="V284" i="15" s="1"/>
  <c r="T314" i="15"/>
  <c r="L343" i="15"/>
  <c r="U343" i="15"/>
  <c r="V343" i="15" s="1"/>
  <c r="T136" i="15"/>
  <c r="L152" i="15"/>
  <c r="M152" i="15" s="1"/>
  <c r="L160" i="15"/>
  <c r="M160" i="15" s="1"/>
  <c r="U175" i="15"/>
  <c r="V175" i="15" s="1"/>
  <c r="T177" i="15"/>
  <c r="T184" i="15"/>
  <c r="L199" i="15"/>
  <c r="M199" i="15" s="1"/>
  <c r="U199" i="15"/>
  <c r="V199" i="15" s="1"/>
  <c r="L223" i="15"/>
  <c r="P223" i="15" s="1"/>
  <c r="Q223" i="15" s="1"/>
  <c r="L240" i="15"/>
  <c r="M240" i="15" s="1"/>
  <c r="U251" i="15"/>
  <c r="V251" i="15" s="1"/>
  <c r="T255" i="15"/>
  <c r="T254" i="15" s="1"/>
  <c r="L282" i="15"/>
  <c r="P282" i="15" s="1"/>
  <c r="Q282" i="15" s="1"/>
  <c r="L290" i="15"/>
  <c r="M290" i="15" s="1"/>
  <c r="L314" i="15"/>
  <c r="M314" i="15" s="1"/>
  <c r="L321" i="15"/>
  <c r="M321" i="15" s="1"/>
  <c r="U327" i="15"/>
  <c r="V327" i="15" s="1"/>
  <c r="T330" i="15"/>
  <c r="L341" i="15"/>
  <c r="P341" i="15" s="1"/>
  <c r="Q341" i="15" s="1"/>
  <c r="U194" i="15"/>
  <c r="V194" i="15" s="1"/>
  <c r="T223" i="15"/>
  <c r="T290" i="15"/>
  <c r="U317" i="15"/>
  <c r="V317" i="15" s="1"/>
  <c r="T321" i="15"/>
  <c r="T127" i="15"/>
  <c r="L136" i="15"/>
  <c r="M136" i="15" s="1"/>
  <c r="T167" i="15"/>
  <c r="L177" i="15"/>
  <c r="M177" i="15" s="1"/>
  <c r="L184" i="15"/>
  <c r="M184" i="15" s="1"/>
  <c r="L255" i="15"/>
  <c r="M255" i="15" s="1"/>
  <c r="M254" i="15" s="1"/>
  <c r="U271" i="15"/>
  <c r="V271" i="15" s="1"/>
  <c r="T278" i="15"/>
  <c r="T303" i="15"/>
  <c r="U305" i="15"/>
  <c r="V305" i="15" s="1"/>
  <c r="T307" i="15"/>
  <c r="T325" i="15"/>
  <c r="L330" i="15"/>
  <c r="M330" i="15" s="1"/>
  <c r="T129" i="15"/>
  <c r="L129" i="15"/>
  <c r="L280" i="15"/>
  <c r="U280" i="15"/>
  <c r="V280" i="15" s="1"/>
  <c r="T280" i="15"/>
  <c r="P325" i="15"/>
  <c r="Q325" i="15" s="1"/>
  <c r="L142" i="15"/>
  <c r="T142" i="15"/>
  <c r="L260" i="15"/>
  <c r="U260" i="15"/>
  <c r="V260" i="15" s="1"/>
  <c r="T260" i="15"/>
  <c r="L323" i="15"/>
  <c r="U323" i="15"/>
  <c r="V323" i="15" s="1"/>
  <c r="T323" i="15"/>
  <c r="L208" i="15"/>
  <c r="U208" i="15"/>
  <c r="V208" i="15" s="1"/>
  <c r="T208" i="15"/>
  <c r="L294" i="15"/>
  <c r="U294" i="15"/>
  <c r="V294" i="15" s="1"/>
  <c r="T294" i="15"/>
  <c r="L335" i="15"/>
  <c r="U335" i="15"/>
  <c r="V335" i="15" s="1"/>
  <c r="T335" i="15"/>
  <c r="M346" i="15"/>
  <c r="P346" i="15"/>
  <c r="Q346" i="15" s="1"/>
  <c r="L165" i="15"/>
  <c r="U165" i="15"/>
  <c r="V165" i="15" s="1"/>
  <c r="T165" i="15"/>
  <c r="P245" i="15"/>
  <c r="Q245" i="15" s="1"/>
  <c r="M245" i="15"/>
  <c r="T155" i="15"/>
  <c r="L155" i="15"/>
  <c r="L181" i="15"/>
  <c r="U181" i="15"/>
  <c r="V181" i="15" s="1"/>
  <c r="T181" i="15"/>
  <c r="M223" i="15"/>
  <c r="L243" i="15"/>
  <c r="U243" i="15"/>
  <c r="V243" i="15" s="1"/>
  <c r="T243" i="15"/>
  <c r="P303" i="15"/>
  <c r="Q303" i="15" s="1"/>
  <c r="M303" i="15"/>
  <c r="L312" i="15"/>
  <c r="U312" i="15"/>
  <c r="V312" i="15" s="1"/>
  <c r="T312" i="15"/>
  <c r="L350" i="15"/>
  <c r="U350" i="15"/>
  <c r="V350" i="15" s="1"/>
  <c r="V349" i="15" s="1"/>
  <c r="T350" i="15"/>
  <c r="T349" i="15" s="1"/>
  <c r="L175" i="15"/>
  <c r="L194" i="15"/>
  <c r="L235" i="15"/>
  <c r="L251" i="15"/>
  <c r="L271" i="15"/>
  <c r="L284" i="15"/>
  <c r="L305" i="15"/>
  <c r="L317" i="15"/>
  <c r="L327" i="15"/>
  <c r="T341" i="15"/>
  <c r="S125" i="15"/>
  <c r="Z123" i="14"/>
  <c r="AB123" i="14"/>
  <c r="AD123" i="14"/>
  <c r="AF123" i="14"/>
  <c r="AH123" i="14"/>
  <c r="S348" i="14"/>
  <c r="L348" i="14" s="1"/>
  <c r="O348" i="14"/>
  <c r="O347" i="14" s="1"/>
  <c r="S344" i="14"/>
  <c r="L344" i="14" s="1"/>
  <c r="O344" i="14"/>
  <c r="S341" i="14"/>
  <c r="T341" i="14" s="1"/>
  <c r="O341" i="14"/>
  <c r="S339" i="14"/>
  <c r="U339" i="14" s="1"/>
  <c r="V339" i="14" s="1"/>
  <c r="O339" i="14"/>
  <c r="S333" i="14"/>
  <c r="L333" i="14" s="1"/>
  <c r="O333" i="14"/>
  <c r="S328" i="14"/>
  <c r="L328" i="14" s="1"/>
  <c r="O328" i="14"/>
  <c r="S325" i="14"/>
  <c r="T325" i="14" s="1"/>
  <c r="O325" i="14"/>
  <c r="S323" i="14"/>
  <c r="U323" i="14" s="1"/>
  <c r="V323" i="14" s="1"/>
  <c r="O323" i="14"/>
  <c r="S321" i="14"/>
  <c r="O321" i="14"/>
  <c r="S319" i="14"/>
  <c r="L319" i="14" s="1"/>
  <c r="O319" i="14"/>
  <c r="S315" i="14"/>
  <c r="T315" i="14" s="1"/>
  <c r="O315" i="14"/>
  <c r="S312" i="14"/>
  <c r="U312" i="14" s="1"/>
  <c r="V312" i="14" s="1"/>
  <c r="O312" i="14"/>
  <c r="S310" i="14"/>
  <c r="O310" i="14"/>
  <c r="S305" i="14"/>
  <c r="L305" i="14" s="1"/>
  <c r="O305" i="14"/>
  <c r="S303" i="14"/>
  <c r="T303" i="14" s="1"/>
  <c r="O303" i="14"/>
  <c r="S301" i="14"/>
  <c r="U301" i="14" s="1"/>
  <c r="V301" i="14" s="1"/>
  <c r="O301" i="14"/>
  <c r="S292" i="14"/>
  <c r="O292" i="14"/>
  <c r="S288" i="14"/>
  <c r="U288" i="14" s="1"/>
  <c r="V288" i="14" s="1"/>
  <c r="O288" i="14"/>
  <c r="S282" i="14"/>
  <c r="T282" i="14" s="1"/>
  <c r="O282" i="14"/>
  <c r="S280" i="14"/>
  <c r="U280" i="14" s="1"/>
  <c r="V280" i="14" s="1"/>
  <c r="O280" i="14"/>
  <c r="S278" i="14"/>
  <c r="O278" i="14"/>
  <c r="S276" i="14"/>
  <c r="U276" i="14" s="1"/>
  <c r="V276" i="14" s="1"/>
  <c r="O276" i="14"/>
  <c r="S270" i="14"/>
  <c r="T270" i="14" s="1"/>
  <c r="O270" i="14"/>
  <c r="S265" i="14"/>
  <c r="T265" i="14" s="1"/>
  <c r="O265" i="14"/>
  <c r="S260" i="14"/>
  <c r="O260" i="14"/>
  <c r="S255" i="14"/>
  <c r="L255" i="14" s="1"/>
  <c r="O255" i="14"/>
  <c r="O254" i="14" s="1"/>
  <c r="S251" i="14"/>
  <c r="T251" i="14" s="1"/>
  <c r="O251" i="14"/>
  <c r="S245" i="14"/>
  <c r="U245" i="14" s="1"/>
  <c r="V245" i="14" s="1"/>
  <c r="O245" i="14"/>
  <c r="S243" i="14"/>
  <c r="O243" i="14"/>
  <c r="S240" i="14"/>
  <c r="L240" i="14" s="1"/>
  <c r="O240" i="14"/>
  <c r="S235" i="14"/>
  <c r="U235" i="14" s="1"/>
  <c r="V235" i="14" s="1"/>
  <c r="O235" i="14"/>
  <c r="S223" i="14"/>
  <c r="U223" i="14" s="1"/>
  <c r="V223" i="14" s="1"/>
  <c r="O223" i="14"/>
  <c r="S208" i="14"/>
  <c r="O208" i="14"/>
  <c r="S199" i="14"/>
  <c r="U199" i="14" s="1"/>
  <c r="V199" i="14" s="1"/>
  <c r="O199" i="14"/>
  <c r="S194" i="14"/>
  <c r="T194" i="14" s="1"/>
  <c r="O194" i="14"/>
  <c r="S184" i="14"/>
  <c r="U184" i="14" s="1"/>
  <c r="V184" i="14" s="1"/>
  <c r="O184" i="14"/>
  <c r="S181" i="14"/>
  <c r="O181" i="14"/>
  <c r="S177" i="14"/>
  <c r="L177" i="14" s="1"/>
  <c r="O177" i="14"/>
  <c r="S175" i="14"/>
  <c r="T175" i="14" s="1"/>
  <c r="O175" i="14"/>
  <c r="S167" i="14"/>
  <c r="U167" i="14" s="1"/>
  <c r="V167" i="14" s="1"/>
  <c r="O167" i="14"/>
  <c r="S165" i="14"/>
  <c r="O165" i="14"/>
  <c r="S160" i="14"/>
  <c r="L160" i="14" s="1"/>
  <c r="O160" i="14"/>
  <c r="S155" i="14"/>
  <c r="T155" i="14" s="1"/>
  <c r="O155" i="14"/>
  <c r="S152" i="14"/>
  <c r="U152" i="14" s="1"/>
  <c r="V152" i="14" s="1"/>
  <c r="O152" i="14"/>
  <c r="S142" i="14"/>
  <c r="O142" i="14"/>
  <c r="S136" i="14"/>
  <c r="L136" i="14" s="1"/>
  <c r="O136" i="14"/>
  <c r="S129" i="14"/>
  <c r="T129" i="14" s="1"/>
  <c r="O129" i="14"/>
  <c r="S127" i="14"/>
  <c r="U127" i="14" s="1"/>
  <c r="V127" i="14" s="1"/>
  <c r="O127" i="14"/>
  <c r="O125" i="14"/>
  <c r="S125" i="14"/>
  <c r="L125" i="14" s="1"/>
  <c r="U341" i="14" l="1"/>
  <c r="V341" i="14" s="1"/>
  <c r="P184" i="15"/>
  <c r="Q184" i="15" s="1"/>
  <c r="V277" i="15"/>
  <c r="M282" i="15"/>
  <c r="P278" i="15"/>
  <c r="Q278" i="15" s="1"/>
  <c r="P290" i="15"/>
  <c r="Q290" i="15" s="1"/>
  <c r="P255" i="15"/>
  <c r="Q255" i="15" s="1"/>
  <c r="Q254" i="15" s="1"/>
  <c r="V259" i="15"/>
  <c r="L341" i="14"/>
  <c r="M341" i="14" s="1"/>
  <c r="O275" i="14"/>
  <c r="L312" i="14"/>
  <c r="P312" i="14" s="1"/>
  <c r="Q312" i="14" s="1"/>
  <c r="U344" i="14"/>
  <c r="V344" i="14" s="1"/>
  <c r="T136" i="14"/>
  <c r="L127" i="14"/>
  <c r="O123" i="15"/>
  <c r="AR104" i="1" s="1"/>
  <c r="V289" i="15"/>
  <c r="T329" i="15"/>
  <c r="P307" i="15"/>
  <c r="Q307" i="15" s="1"/>
  <c r="P321" i="15"/>
  <c r="Q321" i="15" s="1"/>
  <c r="P177" i="15"/>
  <c r="Q177" i="15" s="1"/>
  <c r="T259" i="15"/>
  <c r="O327" i="14"/>
  <c r="O124" i="14"/>
  <c r="O287" i="14"/>
  <c r="T255" i="14"/>
  <c r="T254" i="14" s="1"/>
  <c r="L184" i="14"/>
  <c r="P184" i="14" s="1"/>
  <c r="Q184" i="14" s="1"/>
  <c r="O259" i="14"/>
  <c r="T344" i="14"/>
  <c r="T289" i="15"/>
  <c r="M127" i="15"/>
  <c r="M167" i="15"/>
  <c r="M265" i="15"/>
  <c r="P136" i="15"/>
  <c r="Q136" i="15" s="1"/>
  <c r="V329" i="15"/>
  <c r="T277" i="15"/>
  <c r="M341" i="15"/>
  <c r="P314" i="15"/>
  <c r="Q314" i="15" s="1"/>
  <c r="P152" i="15"/>
  <c r="Q152" i="15" s="1"/>
  <c r="M343" i="15"/>
  <c r="P343" i="15"/>
  <c r="Q343" i="15" s="1"/>
  <c r="L125" i="15"/>
  <c r="T125" i="15"/>
  <c r="T124" i="15" s="1"/>
  <c r="U125" i="15"/>
  <c r="V125" i="15" s="1"/>
  <c r="V124" i="15" s="1"/>
  <c r="P199" i="15"/>
  <c r="Q199" i="15" s="1"/>
  <c r="P160" i="15"/>
  <c r="Q160" i="15" s="1"/>
  <c r="P330" i="15"/>
  <c r="Q330" i="15" s="1"/>
  <c r="P240" i="15"/>
  <c r="Q240" i="15" s="1"/>
  <c r="P335" i="15"/>
  <c r="Q335" i="15" s="1"/>
  <c r="M335" i="15"/>
  <c r="P350" i="15"/>
  <c r="Q350" i="15" s="1"/>
  <c r="Q349" i="15" s="1"/>
  <c r="M350" i="15"/>
  <c r="M349" i="15" s="1"/>
  <c r="M155" i="15"/>
  <c r="P155" i="15"/>
  <c r="Q155" i="15" s="1"/>
  <c r="P165" i="15"/>
  <c r="Q165" i="15" s="1"/>
  <c r="M165" i="15"/>
  <c r="P323" i="15"/>
  <c r="Q323" i="15" s="1"/>
  <c r="M323" i="15"/>
  <c r="M317" i="15"/>
  <c r="P317" i="15"/>
  <c r="Q317" i="15" s="1"/>
  <c r="P181" i="15"/>
  <c r="Q181" i="15" s="1"/>
  <c r="M181" i="15"/>
  <c r="P260" i="15"/>
  <c r="Q260" i="15" s="1"/>
  <c r="M260" i="15"/>
  <c r="M327" i="15"/>
  <c r="P327" i="15"/>
  <c r="Q327" i="15" s="1"/>
  <c r="M305" i="15"/>
  <c r="P305" i="15"/>
  <c r="Q305" i="15" s="1"/>
  <c r="M271" i="15"/>
  <c r="P271" i="15"/>
  <c r="Q271" i="15" s="1"/>
  <c r="M235" i="15"/>
  <c r="P235" i="15"/>
  <c r="Q235" i="15" s="1"/>
  <c r="M175" i="15"/>
  <c r="P175" i="15"/>
  <c r="Q175" i="15" s="1"/>
  <c r="P312" i="15"/>
  <c r="Q312" i="15" s="1"/>
  <c r="M312" i="15"/>
  <c r="P142" i="15"/>
  <c r="Q142" i="15" s="1"/>
  <c r="M142" i="15"/>
  <c r="P129" i="15"/>
  <c r="Q129" i="15" s="1"/>
  <c r="M129" i="15"/>
  <c r="M284" i="15"/>
  <c r="P284" i="15"/>
  <c r="Q284" i="15" s="1"/>
  <c r="M251" i="15"/>
  <c r="P251" i="15"/>
  <c r="Q251" i="15" s="1"/>
  <c r="M194" i="15"/>
  <c r="P194" i="15"/>
  <c r="Q194" i="15" s="1"/>
  <c r="P208" i="15"/>
  <c r="Q208" i="15" s="1"/>
  <c r="M208" i="15"/>
  <c r="P243" i="15"/>
  <c r="Q243" i="15" s="1"/>
  <c r="M243" i="15"/>
  <c r="P294" i="15"/>
  <c r="Q294" i="15" s="1"/>
  <c r="M294" i="15"/>
  <c r="P280" i="15"/>
  <c r="Q280" i="15" s="1"/>
  <c r="M280" i="15"/>
  <c r="U194" i="14"/>
  <c r="V194" i="14" s="1"/>
  <c r="T199" i="14"/>
  <c r="U251" i="14"/>
  <c r="V251" i="14" s="1"/>
  <c r="T288" i="14"/>
  <c r="L323" i="14"/>
  <c r="P323" i="14" s="1"/>
  <c r="Q323" i="14" s="1"/>
  <c r="L167" i="14"/>
  <c r="M167" i="14" s="1"/>
  <c r="L194" i="14"/>
  <c r="M194" i="14" s="1"/>
  <c r="L199" i="14"/>
  <c r="M199" i="14" s="1"/>
  <c r="T125" i="14"/>
  <c r="U129" i="14"/>
  <c r="V129" i="14" s="1"/>
  <c r="T160" i="14"/>
  <c r="L245" i="14"/>
  <c r="P245" i="14" s="1"/>
  <c r="Q245" i="14" s="1"/>
  <c r="L251" i="14"/>
  <c r="M251" i="14" s="1"/>
  <c r="U282" i="14"/>
  <c r="V282" i="14" s="1"/>
  <c r="T319" i="14"/>
  <c r="U125" i="14"/>
  <c r="V125" i="14" s="1"/>
  <c r="L280" i="14"/>
  <c r="P280" i="14" s="1"/>
  <c r="Q280" i="14" s="1"/>
  <c r="L282" i="14"/>
  <c r="M282" i="14" s="1"/>
  <c r="U315" i="14"/>
  <c r="V315" i="14" s="1"/>
  <c r="U319" i="14"/>
  <c r="V319" i="14" s="1"/>
  <c r="L339" i="14"/>
  <c r="P339" i="14" s="1"/>
  <c r="Q339" i="14" s="1"/>
  <c r="L175" i="14"/>
  <c r="U175" i="14"/>
  <c r="V175" i="14" s="1"/>
  <c r="L301" i="14"/>
  <c r="P301" i="14" s="1"/>
  <c r="Q301" i="14" s="1"/>
  <c r="L315" i="14"/>
  <c r="M315" i="14" s="1"/>
  <c r="M125" i="14"/>
  <c r="P125" i="14"/>
  <c r="Q125" i="14" s="1"/>
  <c r="L155" i="14"/>
  <c r="U155" i="14"/>
  <c r="V155" i="14" s="1"/>
  <c r="T177" i="14"/>
  <c r="L235" i="14"/>
  <c r="T235" i="14"/>
  <c r="T240" i="14"/>
  <c r="U265" i="14"/>
  <c r="V265" i="14" s="1"/>
  <c r="U270" i="14"/>
  <c r="V270" i="14" s="1"/>
  <c r="T276" i="14"/>
  <c r="L288" i="14"/>
  <c r="M288" i="14" s="1"/>
  <c r="T305" i="14"/>
  <c r="T328" i="14"/>
  <c r="L152" i="14"/>
  <c r="M152" i="14" s="1"/>
  <c r="L223" i="14"/>
  <c r="M223" i="14" s="1"/>
  <c r="L265" i="14"/>
  <c r="P265" i="14" s="1"/>
  <c r="Q265" i="14" s="1"/>
  <c r="L276" i="14"/>
  <c r="M276" i="14" s="1"/>
  <c r="L303" i="14"/>
  <c r="U303" i="14"/>
  <c r="V303" i="14" s="1"/>
  <c r="U305" i="14"/>
  <c r="V305" i="14" s="1"/>
  <c r="L325" i="14"/>
  <c r="U325" i="14"/>
  <c r="V325" i="14" s="1"/>
  <c r="U328" i="14"/>
  <c r="V328" i="14" s="1"/>
  <c r="P341" i="14"/>
  <c r="Q341" i="14" s="1"/>
  <c r="M160" i="14"/>
  <c r="P160" i="14"/>
  <c r="Q160" i="14" s="1"/>
  <c r="L208" i="14"/>
  <c r="U208" i="14"/>
  <c r="V208" i="14" s="1"/>
  <c r="T208" i="14"/>
  <c r="L310" i="14"/>
  <c r="U310" i="14"/>
  <c r="V310" i="14" s="1"/>
  <c r="T310" i="14"/>
  <c r="M319" i="14"/>
  <c r="P319" i="14"/>
  <c r="Q319" i="14" s="1"/>
  <c r="L142" i="14"/>
  <c r="U142" i="14"/>
  <c r="V142" i="14" s="1"/>
  <c r="T142" i="14"/>
  <c r="M177" i="14"/>
  <c r="P177" i="14"/>
  <c r="Q177" i="14" s="1"/>
  <c r="L292" i="14"/>
  <c r="U292" i="14"/>
  <c r="V292" i="14" s="1"/>
  <c r="T292" i="14"/>
  <c r="M305" i="14"/>
  <c r="P305" i="14"/>
  <c r="Q305" i="14" s="1"/>
  <c r="M328" i="14"/>
  <c r="P328" i="14"/>
  <c r="Q328" i="14" s="1"/>
  <c r="P333" i="14"/>
  <c r="Q333" i="14" s="1"/>
  <c r="M333" i="14"/>
  <c r="M240" i="14"/>
  <c r="P240" i="14"/>
  <c r="Q240" i="14" s="1"/>
  <c r="L243" i="14"/>
  <c r="U243" i="14"/>
  <c r="V243" i="14" s="1"/>
  <c r="T243" i="14"/>
  <c r="M255" i="14"/>
  <c r="M254" i="14" s="1"/>
  <c r="P255" i="14"/>
  <c r="Q255" i="14" s="1"/>
  <c r="Q254" i="14" s="1"/>
  <c r="L260" i="14"/>
  <c r="U260" i="14"/>
  <c r="V260" i="14" s="1"/>
  <c r="T260" i="14"/>
  <c r="T259" i="14" s="1"/>
  <c r="L321" i="14"/>
  <c r="U321" i="14"/>
  <c r="V321" i="14" s="1"/>
  <c r="T321" i="14"/>
  <c r="M136" i="14"/>
  <c r="P136" i="14"/>
  <c r="Q136" i="14" s="1"/>
  <c r="L165" i="14"/>
  <c r="U165" i="14"/>
  <c r="V165" i="14" s="1"/>
  <c r="T165" i="14"/>
  <c r="L181" i="14"/>
  <c r="U181" i="14"/>
  <c r="V181" i="14" s="1"/>
  <c r="T181" i="14"/>
  <c r="L278" i="14"/>
  <c r="U278" i="14"/>
  <c r="V278" i="14" s="1"/>
  <c r="T278" i="14"/>
  <c r="M344" i="14"/>
  <c r="P344" i="14"/>
  <c r="Q344" i="14" s="1"/>
  <c r="M348" i="14"/>
  <c r="M347" i="14" s="1"/>
  <c r="P348" i="14"/>
  <c r="Q348" i="14" s="1"/>
  <c r="Q347" i="14" s="1"/>
  <c r="L129" i="14"/>
  <c r="U136" i="14"/>
  <c r="V136" i="14" s="1"/>
  <c r="U160" i="14"/>
  <c r="V160" i="14" s="1"/>
  <c r="U177" i="14"/>
  <c r="V177" i="14" s="1"/>
  <c r="U240" i="14"/>
  <c r="V240" i="14" s="1"/>
  <c r="U255" i="14"/>
  <c r="V255" i="14" s="1"/>
  <c r="V254" i="14" s="1"/>
  <c r="L270" i="14"/>
  <c r="T333" i="14"/>
  <c r="T348" i="14"/>
  <c r="T347" i="14" s="1"/>
  <c r="T127" i="14"/>
  <c r="T152" i="14"/>
  <c r="T167" i="14"/>
  <c r="T184" i="14"/>
  <c r="T223" i="14"/>
  <c r="T245" i="14"/>
  <c r="T280" i="14"/>
  <c r="T301" i="14"/>
  <c r="T312" i="14"/>
  <c r="T323" i="14"/>
  <c r="U333" i="14"/>
  <c r="V333" i="14" s="1"/>
  <c r="T339" i="14"/>
  <c r="U348" i="14"/>
  <c r="V348" i="14" s="1"/>
  <c r="V347" i="14" s="1"/>
  <c r="O359" i="12"/>
  <c r="O266" i="12"/>
  <c r="O170" i="12"/>
  <c r="X122" i="12"/>
  <c r="Z122" i="12"/>
  <c r="AB122" i="12"/>
  <c r="AD122" i="12"/>
  <c r="AF122" i="12"/>
  <c r="AH122" i="12"/>
  <c r="S374" i="12"/>
  <c r="O374" i="12"/>
  <c r="O373" i="12" s="1"/>
  <c r="S370" i="12"/>
  <c r="L370" i="12" s="1"/>
  <c r="O370" i="12"/>
  <c r="S367" i="12"/>
  <c r="U367" i="12" s="1"/>
  <c r="V367" i="12" s="1"/>
  <c r="O367" i="12"/>
  <c r="S365" i="12"/>
  <c r="U365" i="12" s="1"/>
  <c r="V365" i="12" s="1"/>
  <c r="O365" i="12"/>
  <c r="S359" i="12"/>
  <c r="S354" i="12"/>
  <c r="L354" i="12" s="1"/>
  <c r="O354" i="12"/>
  <c r="S351" i="12"/>
  <c r="T351" i="12" s="1"/>
  <c r="O351" i="12"/>
  <c r="S349" i="12"/>
  <c r="U349" i="12" s="1"/>
  <c r="V349" i="12" s="1"/>
  <c r="O349" i="12"/>
  <c r="S347" i="12"/>
  <c r="O347" i="12"/>
  <c r="S343" i="12"/>
  <c r="L343" i="12" s="1"/>
  <c r="O343" i="12"/>
  <c r="S341" i="12"/>
  <c r="T341" i="12" s="1"/>
  <c r="O341" i="12"/>
  <c r="S339" i="12"/>
  <c r="U339" i="12" s="1"/>
  <c r="V339" i="12" s="1"/>
  <c r="O339" i="12"/>
  <c r="S337" i="12"/>
  <c r="O337" i="12"/>
  <c r="S335" i="12"/>
  <c r="U335" i="12" s="1"/>
  <c r="V335" i="12" s="1"/>
  <c r="O335" i="12"/>
  <c r="S331" i="12"/>
  <c r="T331" i="12" s="1"/>
  <c r="O331" i="12"/>
  <c r="S328" i="12"/>
  <c r="U328" i="12" s="1"/>
  <c r="V328" i="12" s="1"/>
  <c r="O328" i="12"/>
  <c r="S326" i="12"/>
  <c r="O326" i="12"/>
  <c r="S321" i="12"/>
  <c r="U321" i="12" s="1"/>
  <c r="V321" i="12" s="1"/>
  <c r="O321" i="12"/>
  <c r="S319" i="12"/>
  <c r="T319" i="12" s="1"/>
  <c r="O319" i="12"/>
  <c r="S317" i="12"/>
  <c r="U317" i="12" s="1"/>
  <c r="V317" i="12" s="1"/>
  <c r="O317" i="12"/>
  <c r="S306" i="12"/>
  <c r="O306" i="12"/>
  <c r="S302" i="12"/>
  <c r="U302" i="12" s="1"/>
  <c r="V302" i="12" s="1"/>
  <c r="O302" i="12"/>
  <c r="S296" i="12"/>
  <c r="T296" i="12" s="1"/>
  <c r="O296" i="12"/>
  <c r="S294" i="12"/>
  <c r="U294" i="12" s="1"/>
  <c r="V294" i="12" s="1"/>
  <c r="O294" i="12"/>
  <c r="S292" i="12"/>
  <c r="O292" i="12"/>
  <c r="S290" i="12"/>
  <c r="U290" i="12" s="1"/>
  <c r="V290" i="12" s="1"/>
  <c r="O290" i="12"/>
  <c r="S280" i="12"/>
  <c r="T280" i="12" s="1"/>
  <c r="O280" i="12"/>
  <c r="S271" i="12"/>
  <c r="U271" i="12" s="1"/>
  <c r="V271" i="12" s="1"/>
  <c r="O271" i="12"/>
  <c r="S266" i="12"/>
  <c r="S261" i="12"/>
  <c r="U261" i="12" s="1"/>
  <c r="V261" i="12" s="1"/>
  <c r="V260" i="12" s="1"/>
  <c r="O261" i="12"/>
  <c r="O260" i="12" s="1"/>
  <c r="S257" i="12"/>
  <c r="T257" i="12" s="1"/>
  <c r="O257" i="12"/>
  <c r="S251" i="12"/>
  <c r="U251" i="12" s="1"/>
  <c r="V251" i="12" s="1"/>
  <c r="O251" i="12"/>
  <c r="S249" i="12"/>
  <c r="O249" i="12"/>
  <c r="S246" i="12"/>
  <c r="U246" i="12" s="1"/>
  <c r="V246" i="12" s="1"/>
  <c r="O246" i="12"/>
  <c r="S241" i="12"/>
  <c r="T241" i="12" s="1"/>
  <c r="O241" i="12"/>
  <c r="S229" i="12"/>
  <c r="U229" i="12" s="1"/>
  <c r="V229" i="12" s="1"/>
  <c r="O229" i="12"/>
  <c r="S213" i="12"/>
  <c r="O213" i="12"/>
  <c r="S204" i="12"/>
  <c r="U204" i="12" s="1"/>
  <c r="V204" i="12" s="1"/>
  <c r="O204" i="12"/>
  <c r="S197" i="12"/>
  <c r="T197" i="12" s="1"/>
  <c r="O197" i="12"/>
  <c r="S187" i="12"/>
  <c r="U187" i="12" s="1"/>
  <c r="V187" i="12" s="1"/>
  <c r="O187" i="12"/>
  <c r="S184" i="12"/>
  <c r="O184" i="12"/>
  <c r="S180" i="12"/>
  <c r="U180" i="12" s="1"/>
  <c r="V180" i="12" s="1"/>
  <c r="O180" i="12"/>
  <c r="S178" i="12"/>
  <c r="T178" i="12" s="1"/>
  <c r="O178" i="12"/>
  <c r="S170" i="12"/>
  <c r="U170" i="12" s="1"/>
  <c r="V170" i="12" s="1"/>
  <c r="S168" i="12"/>
  <c r="O168" i="12"/>
  <c r="S163" i="12"/>
  <c r="U163" i="12" s="1"/>
  <c r="V163" i="12" s="1"/>
  <c r="O163" i="12"/>
  <c r="S158" i="12"/>
  <c r="S155" i="12"/>
  <c r="U155" i="12" s="1"/>
  <c r="V155" i="12" s="1"/>
  <c r="O155" i="12"/>
  <c r="S144" i="12"/>
  <c r="O144" i="12"/>
  <c r="S138" i="12"/>
  <c r="U138" i="12" s="1"/>
  <c r="V138" i="12" s="1"/>
  <c r="O138" i="12"/>
  <c r="S128" i="12"/>
  <c r="T128" i="12" s="1"/>
  <c r="O128" i="12"/>
  <c r="S126" i="12"/>
  <c r="U126" i="12" s="1"/>
  <c r="V126" i="12" s="1"/>
  <c r="O126" i="12"/>
  <c r="S124" i="12"/>
  <c r="U124" i="12" s="1"/>
  <c r="V124" i="12" s="1"/>
  <c r="M312" i="14" l="1"/>
  <c r="P194" i="14"/>
  <c r="Q194" i="14" s="1"/>
  <c r="M245" i="14"/>
  <c r="P127" i="14"/>
  <c r="Q127" i="14" s="1"/>
  <c r="T204" i="12"/>
  <c r="Q277" i="15"/>
  <c r="M289" i="15"/>
  <c r="V123" i="15"/>
  <c r="Q259" i="15"/>
  <c r="M323" i="14"/>
  <c r="P315" i="14"/>
  <c r="Q315" i="14" s="1"/>
  <c r="M127" i="14"/>
  <c r="P167" i="14"/>
  <c r="Q167" i="14" s="1"/>
  <c r="P282" i="14"/>
  <c r="Q282" i="14" s="1"/>
  <c r="V275" i="14"/>
  <c r="P223" i="14"/>
  <c r="Q223" i="14" s="1"/>
  <c r="U343" i="12"/>
  <c r="V343" i="12" s="1"/>
  <c r="U197" i="12"/>
  <c r="V197" i="12" s="1"/>
  <c r="Q289" i="15"/>
  <c r="M329" i="15"/>
  <c r="O123" i="14"/>
  <c r="AR103" i="1" s="1"/>
  <c r="P152" i="14"/>
  <c r="Q152" i="14" s="1"/>
  <c r="M339" i="14"/>
  <c r="M327" i="14" s="1"/>
  <c r="V259" i="14"/>
  <c r="M184" i="14"/>
  <c r="P199" i="14"/>
  <c r="Q199" i="14" s="1"/>
  <c r="V287" i="14"/>
  <c r="Q329" i="15"/>
  <c r="T123" i="15"/>
  <c r="M259" i="15"/>
  <c r="M277" i="15"/>
  <c r="P125" i="15"/>
  <c r="Q125" i="15" s="1"/>
  <c r="Q124" i="15" s="1"/>
  <c r="M125" i="15"/>
  <c r="M124" i="15" s="1"/>
  <c r="V327" i="14"/>
  <c r="T275" i="14"/>
  <c r="P288" i="14"/>
  <c r="Q288" i="14" s="1"/>
  <c r="M280" i="14"/>
  <c r="T327" i="14"/>
  <c r="V124" i="14"/>
  <c r="T287" i="14"/>
  <c r="T124" i="14"/>
  <c r="P276" i="14"/>
  <c r="Q276" i="14" s="1"/>
  <c r="Q327" i="14"/>
  <c r="P251" i="14"/>
  <c r="Q251" i="14" s="1"/>
  <c r="M301" i="14"/>
  <c r="M175" i="14"/>
  <c r="P175" i="14"/>
  <c r="Q175" i="14" s="1"/>
  <c r="M155" i="14"/>
  <c r="P155" i="14"/>
  <c r="Q155" i="14" s="1"/>
  <c r="M265" i="14"/>
  <c r="M325" i="14"/>
  <c r="P325" i="14"/>
  <c r="Q325" i="14" s="1"/>
  <c r="M303" i="14"/>
  <c r="P303" i="14"/>
  <c r="Q303" i="14" s="1"/>
  <c r="M235" i="14"/>
  <c r="P235" i="14"/>
  <c r="Q235" i="14" s="1"/>
  <c r="M129" i="14"/>
  <c r="P129" i="14"/>
  <c r="Q129" i="14" s="1"/>
  <c r="P243" i="14"/>
  <c r="Q243" i="14" s="1"/>
  <c r="M243" i="14"/>
  <c r="P142" i="14"/>
  <c r="Q142" i="14" s="1"/>
  <c r="M142" i="14"/>
  <c r="M270" i="14"/>
  <c r="P270" i="14"/>
  <c r="Q270" i="14" s="1"/>
  <c r="P278" i="14"/>
  <c r="Q278" i="14" s="1"/>
  <c r="M278" i="14"/>
  <c r="P165" i="14"/>
  <c r="Q165" i="14" s="1"/>
  <c r="M165" i="14"/>
  <c r="P292" i="14"/>
  <c r="Q292" i="14" s="1"/>
  <c r="M292" i="14"/>
  <c r="P310" i="14"/>
  <c r="Q310" i="14" s="1"/>
  <c r="M310" i="14"/>
  <c r="P260" i="14"/>
  <c r="Q260" i="14" s="1"/>
  <c r="M260" i="14"/>
  <c r="P181" i="14"/>
  <c r="Q181" i="14" s="1"/>
  <c r="M181" i="14"/>
  <c r="P321" i="14"/>
  <c r="Q321" i="14" s="1"/>
  <c r="M321" i="14"/>
  <c r="P208" i="14"/>
  <c r="Q208" i="14" s="1"/>
  <c r="M208" i="14"/>
  <c r="O301" i="12"/>
  <c r="O289" i="12"/>
  <c r="O265" i="12"/>
  <c r="L204" i="12"/>
  <c r="M204" i="12" s="1"/>
  <c r="T290" i="12"/>
  <c r="L155" i="12"/>
  <c r="M155" i="12" s="1"/>
  <c r="O353" i="12"/>
  <c r="U341" i="12"/>
  <c r="V341" i="12" s="1"/>
  <c r="T170" i="12"/>
  <c r="T251" i="12"/>
  <c r="U280" i="12"/>
  <c r="V280" i="12" s="1"/>
  <c r="L138" i="12"/>
  <c r="M138" i="12" s="1"/>
  <c r="L170" i="12"/>
  <c r="P170" i="12" s="1"/>
  <c r="Q170" i="12" s="1"/>
  <c r="T271" i="12"/>
  <c r="L317" i="12"/>
  <c r="P317" i="12" s="1"/>
  <c r="Q317" i="12" s="1"/>
  <c r="L271" i="12"/>
  <c r="P271" i="12" s="1"/>
  <c r="Q271" i="12" s="1"/>
  <c r="L290" i="12"/>
  <c r="M290" i="12" s="1"/>
  <c r="L321" i="12"/>
  <c r="M321" i="12" s="1"/>
  <c r="L341" i="12"/>
  <c r="M341" i="12" s="1"/>
  <c r="U354" i="12"/>
  <c r="V354" i="12" s="1"/>
  <c r="T317" i="12"/>
  <c r="L339" i="12"/>
  <c r="P339" i="12" s="1"/>
  <c r="Q339" i="12" s="1"/>
  <c r="U351" i="12"/>
  <c r="V351" i="12" s="1"/>
  <c r="T138" i="12"/>
  <c r="L180" i="12"/>
  <c r="M180" i="12" s="1"/>
  <c r="L246" i="12"/>
  <c r="M246" i="12" s="1"/>
  <c r="L124" i="12"/>
  <c r="O124" i="12" s="1"/>
  <c r="O123" i="12" s="1"/>
  <c r="L128" i="12"/>
  <c r="T124" i="12"/>
  <c r="L126" i="12"/>
  <c r="P126" i="12" s="1"/>
  <c r="Q126" i="12" s="1"/>
  <c r="T163" i="12"/>
  <c r="L187" i="12"/>
  <c r="M187" i="12" s="1"/>
  <c r="T229" i="12"/>
  <c r="L251" i="12"/>
  <c r="M251" i="12" s="1"/>
  <c r="U257" i="12"/>
  <c r="V257" i="12" s="1"/>
  <c r="T261" i="12"/>
  <c r="T260" i="12" s="1"/>
  <c r="T294" i="12"/>
  <c r="U296" i="12"/>
  <c r="V296" i="12" s="1"/>
  <c r="T302" i="12"/>
  <c r="L328" i="12"/>
  <c r="M328" i="12" s="1"/>
  <c r="L335" i="12"/>
  <c r="M335" i="12" s="1"/>
  <c r="L367" i="12"/>
  <c r="T367" i="12"/>
  <c r="T370" i="12"/>
  <c r="T155" i="12"/>
  <c r="L163" i="12"/>
  <c r="M163" i="12" s="1"/>
  <c r="U178" i="12"/>
  <c r="V178" i="12" s="1"/>
  <c r="T180" i="12"/>
  <c r="L229" i="12"/>
  <c r="M229" i="12" s="1"/>
  <c r="U241" i="12"/>
  <c r="V241" i="12" s="1"/>
  <c r="T246" i="12"/>
  <c r="L261" i="12"/>
  <c r="M261" i="12" s="1"/>
  <c r="M260" i="12" s="1"/>
  <c r="L294" i="12"/>
  <c r="P294" i="12" s="1"/>
  <c r="Q294" i="12" s="1"/>
  <c r="L302" i="12"/>
  <c r="M302" i="12" s="1"/>
  <c r="U319" i="12"/>
  <c r="V319" i="12" s="1"/>
  <c r="T321" i="12"/>
  <c r="T343" i="12"/>
  <c r="L349" i="12"/>
  <c r="P349" i="12" s="1"/>
  <c r="Q349" i="12" s="1"/>
  <c r="L351" i="12"/>
  <c r="T354" i="12"/>
  <c r="L365" i="12"/>
  <c r="P365" i="12" s="1"/>
  <c r="Q365" i="12" s="1"/>
  <c r="U370" i="12"/>
  <c r="V370" i="12" s="1"/>
  <c r="T187" i="12"/>
  <c r="T328" i="12"/>
  <c r="U331" i="12"/>
  <c r="V331" i="12" s="1"/>
  <c r="T335" i="12"/>
  <c r="T158" i="12"/>
  <c r="L158" i="12"/>
  <c r="L144" i="12"/>
  <c r="T144" i="12"/>
  <c r="U158" i="12"/>
  <c r="V158" i="12" s="1"/>
  <c r="L184" i="12"/>
  <c r="U184" i="12"/>
  <c r="V184" i="12" s="1"/>
  <c r="T184" i="12"/>
  <c r="L326" i="12"/>
  <c r="U326" i="12"/>
  <c r="V326" i="12" s="1"/>
  <c r="T326" i="12"/>
  <c r="L359" i="12"/>
  <c r="U359" i="12"/>
  <c r="V359" i="12" s="1"/>
  <c r="T359" i="12"/>
  <c r="L168" i="12"/>
  <c r="U168" i="12"/>
  <c r="V168" i="12" s="1"/>
  <c r="T168" i="12"/>
  <c r="L249" i="12"/>
  <c r="U249" i="12"/>
  <c r="V249" i="12" s="1"/>
  <c r="T249" i="12"/>
  <c r="L306" i="12"/>
  <c r="U306" i="12"/>
  <c r="V306" i="12" s="1"/>
  <c r="T306" i="12"/>
  <c r="M354" i="12"/>
  <c r="P354" i="12"/>
  <c r="Q354" i="12" s="1"/>
  <c r="U144" i="12"/>
  <c r="V144" i="12" s="1"/>
  <c r="L213" i="12"/>
  <c r="U213" i="12"/>
  <c r="V213" i="12" s="1"/>
  <c r="T213" i="12"/>
  <c r="L266" i="12"/>
  <c r="U266" i="12"/>
  <c r="V266" i="12" s="1"/>
  <c r="T266" i="12"/>
  <c r="L337" i="12"/>
  <c r="U337" i="12"/>
  <c r="V337" i="12" s="1"/>
  <c r="T337" i="12"/>
  <c r="M343" i="12"/>
  <c r="P343" i="12"/>
  <c r="Q343" i="12" s="1"/>
  <c r="M370" i="12"/>
  <c r="P370" i="12"/>
  <c r="Q370" i="12" s="1"/>
  <c r="T126" i="12"/>
  <c r="U128" i="12"/>
  <c r="V128" i="12" s="1"/>
  <c r="L292" i="12"/>
  <c r="U292" i="12"/>
  <c r="V292" i="12" s="1"/>
  <c r="T292" i="12"/>
  <c r="L347" i="12"/>
  <c r="U347" i="12"/>
  <c r="V347" i="12" s="1"/>
  <c r="T347" i="12"/>
  <c r="L374" i="12"/>
  <c r="U374" i="12"/>
  <c r="V374" i="12" s="1"/>
  <c r="V373" i="12" s="1"/>
  <c r="T374" i="12"/>
  <c r="T373" i="12" s="1"/>
  <c r="L178" i="12"/>
  <c r="L197" i="12"/>
  <c r="L241" i="12"/>
  <c r="L257" i="12"/>
  <c r="L280" i="12"/>
  <c r="L296" i="12"/>
  <c r="L319" i="12"/>
  <c r="L331" i="12"/>
  <c r="T339" i="12"/>
  <c r="T349" i="12"/>
  <c r="T365" i="12"/>
  <c r="P204" i="12" l="1"/>
  <c r="Q204" i="12" s="1"/>
  <c r="V123" i="14"/>
  <c r="M275" i="14"/>
  <c r="M170" i="12"/>
  <c r="M339" i="12"/>
  <c r="P155" i="12"/>
  <c r="Q155" i="12" s="1"/>
  <c r="P321" i="12"/>
  <c r="Q321" i="12" s="1"/>
  <c r="P246" i="12"/>
  <c r="Q246" i="12" s="1"/>
  <c r="V289" i="12"/>
  <c r="T265" i="12"/>
  <c r="M317" i="12"/>
  <c r="T353" i="12"/>
  <c r="P187" i="12"/>
  <c r="Q187" i="12" s="1"/>
  <c r="Q123" i="15"/>
  <c r="AS104" i="1" s="1"/>
  <c r="M124" i="14"/>
  <c r="T123" i="14"/>
  <c r="M287" i="14"/>
  <c r="Q124" i="14"/>
  <c r="M123" i="15"/>
  <c r="AQ104" i="1" s="1"/>
  <c r="M259" i="14"/>
  <c r="Q259" i="14"/>
  <c r="Q275" i="14"/>
  <c r="Q287" i="14"/>
  <c r="P335" i="12"/>
  <c r="Q335" i="12" s="1"/>
  <c r="P180" i="12"/>
  <c r="Q180" i="12" s="1"/>
  <c r="P229" i="12"/>
  <c r="Q229" i="12" s="1"/>
  <c r="P328" i="12"/>
  <c r="Q328" i="12" s="1"/>
  <c r="V123" i="12"/>
  <c r="V301" i="12"/>
  <c r="P290" i="12"/>
  <c r="Q290" i="12" s="1"/>
  <c r="T289" i="12"/>
  <c r="O122" i="12"/>
  <c r="AR101" i="1" s="1"/>
  <c r="V353" i="12"/>
  <c r="M271" i="12"/>
  <c r="P138" i="12"/>
  <c r="Q138" i="12" s="1"/>
  <c r="V265" i="12"/>
  <c r="T301" i="12"/>
  <c r="P261" i="12"/>
  <c r="Q261" i="12" s="1"/>
  <c r="Q260" i="12" s="1"/>
  <c r="M349" i="12"/>
  <c r="T123" i="12"/>
  <c r="P302" i="12"/>
  <c r="Q302" i="12" s="1"/>
  <c r="P163" i="12"/>
  <c r="Q163" i="12" s="1"/>
  <c r="P341" i="12"/>
  <c r="Q341" i="12" s="1"/>
  <c r="M126" i="12"/>
  <c r="M294" i="12"/>
  <c r="M365" i="12"/>
  <c r="P251" i="12"/>
  <c r="Q251" i="12" s="1"/>
  <c r="M351" i="12"/>
  <c r="P351" i="12"/>
  <c r="Q351" i="12" s="1"/>
  <c r="M128" i="12"/>
  <c r="P128" i="12"/>
  <c r="Q128" i="12" s="1"/>
  <c r="M367" i="12"/>
  <c r="P367" i="12"/>
  <c r="Q367" i="12" s="1"/>
  <c r="M124" i="12"/>
  <c r="P124" i="12"/>
  <c r="Q124" i="12" s="1"/>
  <c r="M319" i="12"/>
  <c r="P319" i="12"/>
  <c r="Q319" i="12" s="1"/>
  <c r="M241" i="12"/>
  <c r="P241" i="12"/>
  <c r="Q241" i="12" s="1"/>
  <c r="P374" i="12"/>
  <c r="Q374" i="12" s="1"/>
  <c r="Q373" i="12" s="1"/>
  <c r="M374" i="12"/>
  <c r="M373" i="12" s="1"/>
  <c r="P292" i="12"/>
  <c r="Q292" i="12" s="1"/>
  <c r="M292" i="12"/>
  <c r="P337" i="12"/>
  <c r="Q337" i="12" s="1"/>
  <c r="M337" i="12"/>
  <c r="P213" i="12"/>
  <c r="Q213" i="12" s="1"/>
  <c r="M213" i="12"/>
  <c r="P306" i="12"/>
  <c r="Q306" i="12" s="1"/>
  <c r="M306" i="12"/>
  <c r="P347" i="12"/>
  <c r="Q347" i="12" s="1"/>
  <c r="M347" i="12"/>
  <c r="P359" i="12"/>
  <c r="Q359" i="12" s="1"/>
  <c r="M359" i="12"/>
  <c r="M280" i="12"/>
  <c r="P280" i="12"/>
  <c r="Q280" i="12" s="1"/>
  <c r="M178" i="12"/>
  <c r="P178" i="12"/>
  <c r="Q178" i="12" s="1"/>
  <c r="P266" i="12"/>
  <c r="Q266" i="12" s="1"/>
  <c r="M266" i="12"/>
  <c r="P184" i="12"/>
  <c r="Q184" i="12" s="1"/>
  <c r="M184" i="12"/>
  <c r="P158" i="12"/>
  <c r="Q158" i="12" s="1"/>
  <c r="M158" i="12"/>
  <c r="P249" i="12"/>
  <c r="Q249" i="12" s="1"/>
  <c r="M249" i="12"/>
  <c r="M331" i="12"/>
  <c r="P331" i="12"/>
  <c r="Q331" i="12" s="1"/>
  <c r="M296" i="12"/>
  <c r="P296" i="12"/>
  <c r="Q296" i="12" s="1"/>
  <c r="M257" i="12"/>
  <c r="P257" i="12"/>
  <c r="Q257" i="12" s="1"/>
  <c r="M197" i="12"/>
  <c r="P197" i="12"/>
  <c r="Q197" i="12" s="1"/>
  <c r="P168" i="12"/>
  <c r="Q168" i="12" s="1"/>
  <c r="M168" i="12"/>
  <c r="P326" i="12"/>
  <c r="Q326" i="12" s="1"/>
  <c r="M326" i="12"/>
  <c r="P144" i="12"/>
  <c r="Q144" i="12" s="1"/>
  <c r="M144" i="12"/>
  <c r="X126" i="31"/>
  <c r="Z126" i="31"/>
  <c r="AB126" i="31"/>
  <c r="AD126" i="31"/>
  <c r="AF126" i="31"/>
  <c r="AH126" i="31"/>
  <c r="AJ126" i="31"/>
  <c r="S316" i="31"/>
  <c r="O316" i="31"/>
  <c r="O315" i="31" s="1"/>
  <c r="S312" i="31"/>
  <c r="L312" i="31" s="1"/>
  <c r="O312" i="31"/>
  <c r="S309" i="31"/>
  <c r="U309" i="31" s="1"/>
  <c r="V309" i="31" s="1"/>
  <c r="O309" i="31"/>
  <c r="S307" i="31"/>
  <c r="U307" i="31" s="1"/>
  <c r="V307" i="31" s="1"/>
  <c r="O307" i="31"/>
  <c r="S301" i="31"/>
  <c r="O301" i="31"/>
  <c r="S296" i="31"/>
  <c r="L296" i="31" s="1"/>
  <c r="O296" i="31"/>
  <c r="S291" i="31"/>
  <c r="T291" i="31" s="1"/>
  <c r="O291" i="31"/>
  <c r="S286" i="31"/>
  <c r="U286" i="31" s="1"/>
  <c r="V286" i="31" s="1"/>
  <c r="O286" i="31"/>
  <c r="S280" i="31"/>
  <c r="O280" i="31"/>
  <c r="S278" i="31"/>
  <c r="L278" i="31" s="1"/>
  <c r="O278" i="31"/>
  <c r="S273" i="31"/>
  <c r="T273" i="31" s="1"/>
  <c r="O273" i="31"/>
  <c r="S271" i="31"/>
  <c r="U271" i="31" s="1"/>
  <c r="V271" i="31" s="1"/>
  <c r="O271" i="31"/>
  <c r="S269" i="31"/>
  <c r="O269" i="31"/>
  <c r="S267" i="31"/>
  <c r="U267" i="31" s="1"/>
  <c r="V267" i="31" s="1"/>
  <c r="O267" i="31"/>
  <c r="S262" i="31"/>
  <c r="T262" i="31" s="1"/>
  <c r="O262" i="31"/>
  <c r="S257" i="31"/>
  <c r="U257" i="31" s="1"/>
  <c r="V257" i="31" s="1"/>
  <c r="O257" i="31"/>
  <c r="S254" i="31"/>
  <c r="O254" i="31"/>
  <c r="S252" i="31"/>
  <c r="L252" i="31" s="1"/>
  <c r="O252" i="31"/>
  <c r="S248" i="31"/>
  <c r="T248" i="31" s="1"/>
  <c r="O248" i="31"/>
  <c r="S244" i="31"/>
  <c r="U244" i="31" s="1"/>
  <c r="V244" i="31" s="1"/>
  <c r="O244" i="31"/>
  <c r="S240" i="31"/>
  <c r="O240" i="31"/>
  <c r="S236" i="31"/>
  <c r="L236" i="31" s="1"/>
  <c r="O236" i="31"/>
  <c r="S234" i="31"/>
  <c r="T234" i="31" s="1"/>
  <c r="O234" i="31"/>
  <c r="S230" i="31"/>
  <c r="U230" i="31" s="1"/>
  <c r="V230" i="31" s="1"/>
  <c r="O230" i="31"/>
  <c r="S226" i="31"/>
  <c r="O226" i="31"/>
  <c r="S222" i="31"/>
  <c r="L222" i="31" s="1"/>
  <c r="O222" i="31"/>
  <c r="S218" i="31"/>
  <c r="T218" i="31" s="1"/>
  <c r="O218" i="31"/>
  <c r="S214" i="31"/>
  <c r="U214" i="31" s="1"/>
  <c r="V214" i="31" s="1"/>
  <c r="O214" i="31"/>
  <c r="S210" i="31"/>
  <c r="O210" i="31"/>
  <c r="S200" i="31"/>
  <c r="L200" i="31" s="1"/>
  <c r="O200" i="31"/>
  <c r="S197" i="31"/>
  <c r="T197" i="31" s="1"/>
  <c r="O197" i="31"/>
  <c r="S193" i="31"/>
  <c r="U193" i="31" s="1"/>
  <c r="V193" i="31" s="1"/>
  <c r="O193" i="31"/>
  <c r="S190" i="31"/>
  <c r="O190" i="31"/>
  <c r="S186" i="31"/>
  <c r="L186" i="31" s="1"/>
  <c r="O186" i="31"/>
  <c r="S183" i="31"/>
  <c r="T183" i="31" s="1"/>
  <c r="O183" i="31"/>
  <c r="S179" i="31"/>
  <c r="U179" i="31" s="1"/>
  <c r="V179" i="31" s="1"/>
  <c r="O179" i="31"/>
  <c r="S176" i="31"/>
  <c r="O176" i="31"/>
  <c r="S169" i="31"/>
  <c r="L169" i="31" s="1"/>
  <c r="O169" i="31"/>
  <c r="S167" i="31"/>
  <c r="T167" i="31" s="1"/>
  <c r="O167" i="31"/>
  <c r="S163" i="31"/>
  <c r="U163" i="31" s="1"/>
  <c r="V163" i="31" s="1"/>
  <c r="O163" i="31"/>
  <c r="S161" i="31"/>
  <c r="O161" i="31"/>
  <c r="S157" i="31"/>
  <c r="U157" i="31" s="1"/>
  <c r="V157" i="31" s="1"/>
  <c r="O157" i="31"/>
  <c r="S154" i="31"/>
  <c r="T154" i="31" s="1"/>
  <c r="O154" i="31"/>
  <c r="S150" i="31"/>
  <c r="U150" i="31" s="1"/>
  <c r="V150" i="31" s="1"/>
  <c r="O150" i="31"/>
  <c r="S146" i="31"/>
  <c r="O146" i="31"/>
  <c r="S142" i="31"/>
  <c r="L142" i="31" s="1"/>
  <c r="O142" i="31"/>
  <c r="S137" i="31"/>
  <c r="T137" i="31" s="1"/>
  <c r="O137" i="31"/>
  <c r="S132" i="31"/>
  <c r="L132" i="31" s="1"/>
  <c r="P132" i="31" s="1"/>
  <c r="Q132" i="31" s="1"/>
  <c r="O132" i="31"/>
  <c r="S130" i="31"/>
  <c r="U130" i="31" s="1"/>
  <c r="V130" i="31" s="1"/>
  <c r="O130" i="31"/>
  <c r="O128" i="31"/>
  <c r="S128" i="31"/>
  <c r="L128" i="31" s="1"/>
  <c r="X126" i="28"/>
  <c r="Z126" i="28"/>
  <c r="AB126" i="28"/>
  <c r="AD126" i="28"/>
  <c r="AF126" i="28"/>
  <c r="AH126" i="28"/>
  <c r="AJ126" i="28"/>
  <c r="S310" i="28"/>
  <c r="L310" i="28" s="1"/>
  <c r="O310" i="28"/>
  <c r="O309" i="28" s="1"/>
  <c r="S306" i="28"/>
  <c r="L306" i="28" s="1"/>
  <c r="O306" i="28"/>
  <c r="S303" i="28"/>
  <c r="U303" i="28" s="1"/>
  <c r="V303" i="28" s="1"/>
  <c r="O303" i="28"/>
  <c r="S301" i="28"/>
  <c r="U301" i="28" s="1"/>
  <c r="V301" i="28" s="1"/>
  <c r="O301" i="28"/>
  <c r="S295" i="28"/>
  <c r="O295" i="28"/>
  <c r="S290" i="28"/>
  <c r="L290" i="28" s="1"/>
  <c r="O290" i="28"/>
  <c r="S285" i="28"/>
  <c r="U285" i="28" s="1"/>
  <c r="V285" i="28" s="1"/>
  <c r="O285" i="28"/>
  <c r="S280" i="28"/>
  <c r="U280" i="28" s="1"/>
  <c r="V280" i="28" s="1"/>
  <c r="O280" i="28"/>
  <c r="S274" i="28"/>
  <c r="O274" i="28"/>
  <c r="S272" i="28"/>
  <c r="L272" i="28" s="1"/>
  <c r="O272" i="28"/>
  <c r="S267" i="28"/>
  <c r="L267" i="28" s="1"/>
  <c r="M267" i="28" s="1"/>
  <c r="O267" i="28"/>
  <c r="S265" i="28"/>
  <c r="T265" i="28" s="1"/>
  <c r="O265" i="28"/>
  <c r="S263" i="28"/>
  <c r="O263" i="28"/>
  <c r="S261" i="28"/>
  <c r="L261" i="28" s="1"/>
  <c r="O261" i="28"/>
  <c r="S256" i="28"/>
  <c r="L256" i="28" s="1"/>
  <c r="M256" i="28" s="1"/>
  <c r="O256" i="28"/>
  <c r="S251" i="28"/>
  <c r="T251" i="28" s="1"/>
  <c r="O251" i="28"/>
  <c r="S248" i="28"/>
  <c r="O248" i="28"/>
  <c r="S246" i="28"/>
  <c r="L246" i="28" s="1"/>
  <c r="O246" i="28"/>
  <c r="S242" i="28"/>
  <c r="L242" i="28" s="1"/>
  <c r="M242" i="28" s="1"/>
  <c r="O242" i="28"/>
  <c r="S238" i="28"/>
  <c r="T238" i="28" s="1"/>
  <c r="O238" i="28"/>
  <c r="S234" i="28"/>
  <c r="O234" i="28"/>
  <c r="S230" i="28"/>
  <c r="L230" i="28" s="1"/>
  <c r="O230" i="28"/>
  <c r="S228" i="28"/>
  <c r="L228" i="28" s="1"/>
  <c r="M228" i="28" s="1"/>
  <c r="O228" i="28"/>
  <c r="S224" i="28"/>
  <c r="T224" i="28" s="1"/>
  <c r="O224" i="28"/>
  <c r="S220" i="28"/>
  <c r="O220" i="28"/>
  <c r="S216" i="28"/>
  <c r="L216" i="28" s="1"/>
  <c r="O216" i="28"/>
  <c r="S212" i="28"/>
  <c r="T212" i="28" s="1"/>
  <c r="O212" i="28"/>
  <c r="S208" i="28"/>
  <c r="T208" i="28" s="1"/>
  <c r="O208" i="28"/>
  <c r="S204" i="28"/>
  <c r="O204" i="28"/>
  <c r="S194" i="28"/>
  <c r="L194" i="28" s="1"/>
  <c r="O194" i="28"/>
  <c r="S191" i="28"/>
  <c r="L191" i="28" s="1"/>
  <c r="M191" i="28" s="1"/>
  <c r="O191" i="28"/>
  <c r="S187" i="28"/>
  <c r="T187" i="28" s="1"/>
  <c r="O187" i="28"/>
  <c r="S184" i="28"/>
  <c r="O184" i="28"/>
  <c r="S180" i="28"/>
  <c r="L180" i="28" s="1"/>
  <c r="O180" i="28"/>
  <c r="S177" i="28"/>
  <c r="L177" i="28" s="1"/>
  <c r="M177" i="28" s="1"/>
  <c r="O177" i="28"/>
  <c r="S173" i="28"/>
  <c r="T173" i="28" s="1"/>
  <c r="O173" i="28"/>
  <c r="S170" i="28"/>
  <c r="O170" i="28"/>
  <c r="S163" i="28"/>
  <c r="L163" i="28" s="1"/>
  <c r="O163" i="28"/>
  <c r="S161" i="28"/>
  <c r="L161" i="28" s="1"/>
  <c r="M161" i="28" s="1"/>
  <c r="O161" i="28"/>
  <c r="S157" i="28"/>
  <c r="T157" i="28" s="1"/>
  <c r="O157" i="28"/>
  <c r="S155" i="28"/>
  <c r="O155" i="28"/>
  <c r="S151" i="28"/>
  <c r="L151" i="28" s="1"/>
  <c r="O151" i="28"/>
  <c r="S149" i="28"/>
  <c r="L149" i="28" s="1"/>
  <c r="M149" i="28" s="1"/>
  <c r="O149" i="28"/>
  <c r="S146" i="28"/>
  <c r="T146" i="28" s="1"/>
  <c r="O146" i="28"/>
  <c r="S142" i="28"/>
  <c r="O142" i="28"/>
  <c r="S137" i="28"/>
  <c r="L137" i="28" s="1"/>
  <c r="O137" i="28"/>
  <c r="S132" i="28"/>
  <c r="T132" i="28" s="1"/>
  <c r="O132" i="28"/>
  <c r="S130" i="28"/>
  <c r="T130" i="28" s="1"/>
  <c r="O130" i="28"/>
  <c r="O128" i="28"/>
  <c r="S128" i="28"/>
  <c r="L128" i="28" s="1"/>
  <c r="X124" i="25"/>
  <c r="Z124" i="25"/>
  <c r="AB124" i="25"/>
  <c r="AD124" i="25"/>
  <c r="AF124" i="25"/>
  <c r="AH124" i="25"/>
  <c r="AJ124" i="25"/>
  <c r="S308" i="25"/>
  <c r="L308" i="25" s="1"/>
  <c r="O308" i="25"/>
  <c r="O307" i="25" s="1"/>
  <c r="S304" i="25"/>
  <c r="L304" i="25" s="1"/>
  <c r="O304" i="25"/>
  <c r="S301" i="25"/>
  <c r="U301" i="25" s="1"/>
  <c r="V301" i="25" s="1"/>
  <c r="O301" i="25"/>
  <c r="S299" i="25"/>
  <c r="U299" i="25" s="1"/>
  <c r="V299" i="25" s="1"/>
  <c r="O299" i="25"/>
  <c r="S293" i="25"/>
  <c r="L293" i="25" s="1"/>
  <c r="O293" i="25"/>
  <c r="S288" i="25"/>
  <c r="L288" i="25" s="1"/>
  <c r="O288" i="25"/>
  <c r="S283" i="25"/>
  <c r="T283" i="25" s="1"/>
  <c r="O283" i="25"/>
  <c r="S278" i="25"/>
  <c r="U278" i="25" s="1"/>
  <c r="V278" i="25" s="1"/>
  <c r="O278" i="25"/>
  <c r="S272" i="25"/>
  <c r="O272" i="25"/>
  <c r="S270" i="25"/>
  <c r="U270" i="25" s="1"/>
  <c r="V270" i="25" s="1"/>
  <c r="O270" i="25"/>
  <c r="S265" i="25"/>
  <c r="T265" i="25" s="1"/>
  <c r="O265" i="25"/>
  <c r="S263" i="25"/>
  <c r="U263" i="25" s="1"/>
  <c r="V263" i="25" s="1"/>
  <c r="O263" i="25"/>
  <c r="S261" i="25"/>
  <c r="O261" i="25"/>
  <c r="S259" i="25"/>
  <c r="U259" i="25" s="1"/>
  <c r="V259" i="25" s="1"/>
  <c r="O259" i="25"/>
  <c r="S254" i="25"/>
  <c r="T254" i="25" s="1"/>
  <c r="O254" i="25"/>
  <c r="S249" i="25"/>
  <c r="U249" i="25" s="1"/>
  <c r="V249" i="25" s="1"/>
  <c r="O249" i="25"/>
  <c r="S246" i="25"/>
  <c r="O246" i="25"/>
  <c r="S244" i="25"/>
  <c r="U244" i="25" s="1"/>
  <c r="V244" i="25" s="1"/>
  <c r="O244" i="25"/>
  <c r="S240" i="25"/>
  <c r="T240" i="25" s="1"/>
  <c r="O240" i="25"/>
  <c r="S236" i="25"/>
  <c r="U236" i="25" s="1"/>
  <c r="V236" i="25" s="1"/>
  <c r="O236" i="25"/>
  <c r="S232" i="25"/>
  <c r="O232" i="25"/>
  <c r="S228" i="25"/>
  <c r="U228" i="25" s="1"/>
  <c r="V228" i="25" s="1"/>
  <c r="O228" i="25"/>
  <c r="S226" i="25"/>
  <c r="T226" i="25" s="1"/>
  <c r="O226" i="25"/>
  <c r="S222" i="25"/>
  <c r="U222" i="25" s="1"/>
  <c r="V222" i="25" s="1"/>
  <c r="O222" i="25"/>
  <c r="S218" i="25"/>
  <c r="O218" i="25"/>
  <c r="S214" i="25"/>
  <c r="U214" i="25" s="1"/>
  <c r="V214" i="25" s="1"/>
  <c r="O214" i="25"/>
  <c r="S210" i="25"/>
  <c r="T210" i="25" s="1"/>
  <c r="O210" i="25"/>
  <c r="S206" i="25"/>
  <c r="U206" i="25" s="1"/>
  <c r="V206" i="25" s="1"/>
  <c r="O206" i="25"/>
  <c r="S202" i="25"/>
  <c r="O202" i="25"/>
  <c r="S192" i="25"/>
  <c r="U192" i="25" s="1"/>
  <c r="V192" i="25" s="1"/>
  <c r="O192" i="25"/>
  <c r="S189" i="25"/>
  <c r="T189" i="25" s="1"/>
  <c r="O189" i="25"/>
  <c r="S185" i="25"/>
  <c r="U185" i="25" s="1"/>
  <c r="V185" i="25" s="1"/>
  <c r="O185" i="25"/>
  <c r="S182" i="25"/>
  <c r="O182" i="25"/>
  <c r="S178" i="25"/>
  <c r="U178" i="25" s="1"/>
  <c r="V178" i="25" s="1"/>
  <c r="O178" i="25"/>
  <c r="S175" i="25"/>
  <c r="T175" i="25" s="1"/>
  <c r="O175" i="25"/>
  <c r="S171" i="25"/>
  <c r="U171" i="25" s="1"/>
  <c r="V171" i="25" s="1"/>
  <c r="O171" i="25"/>
  <c r="S168" i="25"/>
  <c r="O168" i="25"/>
  <c r="S161" i="25"/>
  <c r="U161" i="25" s="1"/>
  <c r="V161" i="25" s="1"/>
  <c r="O161" i="25"/>
  <c r="S159" i="25"/>
  <c r="T159" i="25" s="1"/>
  <c r="O159" i="25"/>
  <c r="S155" i="25"/>
  <c r="U155" i="25" s="1"/>
  <c r="V155" i="25" s="1"/>
  <c r="O155" i="25"/>
  <c r="S153" i="25"/>
  <c r="O153" i="25"/>
  <c r="S149" i="25"/>
  <c r="U149" i="25" s="1"/>
  <c r="V149" i="25" s="1"/>
  <c r="O149" i="25"/>
  <c r="S147" i="25"/>
  <c r="T147" i="25" s="1"/>
  <c r="O147" i="25"/>
  <c r="S144" i="25"/>
  <c r="U144" i="25" s="1"/>
  <c r="V144" i="25" s="1"/>
  <c r="O144" i="25"/>
  <c r="S140" i="25"/>
  <c r="O140" i="25"/>
  <c r="S135" i="25"/>
  <c r="U135" i="25" s="1"/>
  <c r="V135" i="25" s="1"/>
  <c r="O135" i="25"/>
  <c r="S130" i="25"/>
  <c r="T130" i="25" s="1"/>
  <c r="O130" i="25"/>
  <c r="S128" i="25"/>
  <c r="U128" i="25" s="1"/>
  <c r="V128" i="25" s="1"/>
  <c r="O128" i="25"/>
  <c r="O126" i="25"/>
  <c r="X124" i="22"/>
  <c r="Z124" i="22"/>
  <c r="AB124" i="22"/>
  <c r="AD124" i="22"/>
  <c r="AF124" i="22"/>
  <c r="AH124" i="22"/>
  <c r="AJ124" i="22"/>
  <c r="S126" i="25"/>
  <c r="U126" i="25" s="1"/>
  <c r="V126" i="25" s="1"/>
  <c r="S322" i="22"/>
  <c r="O322" i="22"/>
  <c r="O321" i="22" s="1"/>
  <c r="S318" i="22"/>
  <c r="L318" i="22" s="1"/>
  <c r="O318" i="22"/>
  <c r="S315" i="22"/>
  <c r="U315" i="22" s="1"/>
  <c r="V315" i="22" s="1"/>
  <c r="O315" i="22"/>
  <c r="S313" i="22"/>
  <c r="U313" i="22" s="1"/>
  <c r="V313" i="22" s="1"/>
  <c r="O313" i="22"/>
  <c r="S307" i="22"/>
  <c r="O307" i="22"/>
  <c r="S302" i="22"/>
  <c r="L302" i="22" s="1"/>
  <c r="O302" i="22"/>
  <c r="S297" i="22"/>
  <c r="U297" i="22" s="1"/>
  <c r="V297" i="22" s="1"/>
  <c r="O297" i="22"/>
  <c r="S292" i="22"/>
  <c r="U292" i="22" s="1"/>
  <c r="V292" i="22" s="1"/>
  <c r="O292" i="22"/>
  <c r="S286" i="22"/>
  <c r="O286" i="22"/>
  <c r="S284" i="22"/>
  <c r="L284" i="22" s="1"/>
  <c r="O284" i="22"/>
  <c r="S279" i="22"/>
  <c r="T279" i="22" s="1"/>
  <c r="O279" i="22"/>
  <c r="S277" i="22"/>
  <c r="U277" i="22" s="1"/>
  <c r="V277" i="22" s="1"/>
  <c r="O277" i="22"/>
  <c r="S275" i="22"/>
  <c r="O275" i="22"/>
  <c r="S273" i="22"/>
  <c r="U273" i="22" s="1"/>
  <c r="V273" i="22" s="1"/>
  <c r="O273" i="22"/>
  <c r="S268" i="22"/>
  <c r="T268" i="22" s="1"/>
  <c r="O268" i="22"/>
  <c r="S263" i="22"/>
  <c r="U263" i="22" s="1"/>
  <c r="V263" i="22" s="1"/>
  <c r="O263" i="22"/>
  <c r="S260" i="22"/>
  <c r="O260" i="22"/>
  <c r="S258" i="22"/>
  <c r="U258" i="22" s="1"/>
  <c r="V258" i="22" s="1"/>
  <c r="O258" i="22"/>
  <c r="S254" i="22"/>
  <c r="T254" i="22" s="1"/>
  <c r="O254" i="22"/>
  <c r="S250" i="22"/>
  <c r="U250" i="22" s="1"/>
  <c r="V250" i="22" s="1"/>
  <c r="O250" i="22"/>
  <c r="S246" i="22"/>
  <c r="O246" i="22"/>
  <c r="S242" i="22"/>
  <c r="U242" i="22" s="1"/>
  <c r="V242" i="22" s="1"/>
  <c r="O242" i="22"/>
  <c r="S240" i="22"/>
  <c r="T240" i="22" s="1"/>
  <c r="O240" i="22"/>
  <c r="S234" i="22"/>
  <c r="U234" i="22" s="1"/>
  <c r="V234" i="22" s="1"/>
  <c r="O234" i="22"/>
  <c r="S230" i="22"/>
  <c r="O230" i="22"/>
  <c r="S226" i="22"/>
  <c r="U226" i="22" s="1"/>
  <c r="V226" i="22" s="1"/>
  <c r="O226" i="22"/>
  <c r="S222" i="22"/>
  <c r="T222" i="22" s="1"/>
  <c r="O222" i="22"/>
  <c r="S218" i="22"/>
  <c r="U218" i="22" s="1"/>
  <c r="V218" i="22" s="1"/>
  <c r="O218" i="22"/>
  <c r="S214" i="22"/>
  <c r="O214" i="22"/>
  <c r="S210" i="22"/>
  <c r="U210" i="22" s="1"/>
  <c r="V210" i="22" s="1"/>
  <c r="O210" i="22"/>
  <c r="S198" i="22"/>
  <c r="T198" i="22" s="1"/>
  <c r="O198" i="22"/>
  <c r="S195" i="22"/>
  <c r="U195" i="22" s="1"/>
  <c r="V195" i="22" s="1"/>
  <c r="O195" i="22"/>
  <c r="S191" i="22"/>
  <c r="O191" i="22"/>
  <c r="S188" i="22"/>
  <c r="U188" i="22" s="1"/>
  <c r="V188" i="22" s="1"/>
  <c r="O188" i="22"/>
  <c r="S184" i="22"/>
  <c r="T184" i="22" s="1"/>
  <c r="O184" i="22"/>
  <c r="S181" i="22"/>
  <c r="U181" i="22" s="1"/>
  <c r="V181" i="22" s="1"/>
  <c r="O181" i="22"/>
  <c r="S177" i="22"/>
  <c r="O177" i="22"/>
  <c r="S174" i="22"/>
  <c r="U174" i="22" s="1"/>
  <c r="V174" i="22" s="1"/>
  <c r="O174" i="22"/>
  <c r="S167" i="22"/>
  <c r="T167" i="22" s="1"/>
  <c r="O167" i="22"/>
  <c r="S165" i="22"/>
  <c r="U165" i="22" s="1"/>
  <c r="V165" i="22" s="1"/>
  <c r="O165" i="22"/>
  <c r="S161" i="22"/>
  <c r="O161" i="22"/>
  <c r="S159" i="22"/>
  <c r="U159" i="22" s="1"/>
  <c r="V159" i="22" s="1"/>
  <c r="O159" i="22"/>
  <c r="S155" i="22"/>
  <c r="T155" i="22" s="1"/>
  <c r="O155" i="22"/>
  <c r="S152" i="22"/>
  <c r="U152" i="22" s="1"/>
  <c r="V152" i="22" s="1"/>
  <c r="O152" i="22"/>
  <c r="S148" i="22"/>
  <c r="O148" i="22"/>
  <c r="S144" i="22"/>
  <c r="U144" i="22" s="1"/>
  <c r="V144" i="22" s="1"/>
  <c r="O144" i="22"/>
  <c r="S140" i="22"/>
  <c r="T140" i="22" s="1"/>
  <c r="O140" i="22"/>
  <c r="S135" i="22"/>
  <c r="U135" i="22" s="1"/>
  <c r="V135" i="22" s="1"/>
  <c r="O135" i="22"/>
  <c r="S130" i="22"/>
  <c r="U130" i="22" s="1"/>
  <c r="V130" i="22" s="1"/>
  <c r="O130" i="22"/>
  <c r="S128" i="22"/>
  <c r="L128" i="22" s="1"/>
  <c r="O128" i="22"/>
  <c r="O126" i="22"/>
  <c r="S126" i="22"/>
  <c r="U126" i="22" s="1"/>
  <c r="V126" i="22" s="1"/>
  <c r="O256" i="31" l="1"/>
  <c r="O266" i="31"/>
  <c r="O285" i="31"/>
  <c r="U291" i="31"/>
  <c r="V291" i="31" s="1"/>
  <c r="V285" i="31" s="1"/>
  <c r="L197" i="31"/>
  <c r="M197" i="31" s="1"/>
  <c r="O250" i="28"/>
  <c r="O260" i="28"/>
  <c r="T267" i="28"/>
  <c r="T192" i="25"/>
  <c r="L192" i="25"/>
  <c r="M192" i="25" s="1"/>
  <c r="T242" i="22"/>
  <c r="V122" i="12"/>
  <c r="M289" i="12"/>
  <c r="Q123" i="14"/>
  <c r="AS103" i="1" s="1"/>
  <c r="M123" i="14"/>
  <c r="AQ103" i="1" s="1"/>
  <c r="Q353" i="12"/>
  <c r="Q289" i="12"/>
  <c r="Q265" i="12"/>
  <c r="M353" i="12"/>
  <c r="M301" i="12"/>
  <c r="T122" i="12"/>
  <c r="M123" i="12"/>
  <c r="Q301" i="12"/>
  <c r="M265" i="12"/>
  <c r="Q123" i="12"/>
  <c r="O217" i="31"/>
  <c r="L291" i="31"/>
  <c r="M291" i="31" s="1"/>
  <c r="L230" i="31"/>
  <c r="P230" i="31" s="1"/>
  <c r="Q230" i="31" s="1"/>
  <c r="O289" i="28"/>
  <c r="O248" i="25"/>
  <c r="O277" i="25"/>
  <c r="O287" i="25"/>
  <c r="L299" i="25"/>
  <c r="P299" i="25" s="1"/>
  <c r="Q299" i="25" s="1"/>
  <c r="O291" i="22"/>
  <c r="O262" i="22"/>
  <c r="O295" i="31"/>
  <c r="O127" i="31"/>
  <c r="T128" i="31"/>
  <c r="T157" i="31"/>
  <c r="U183" i="31"/>
  <c r="V183" i="31" s="1"/>
  <c r="L271" i="31"/>
  <c r="M271" i="31" s="1"/>
  <c r="U128" i="31"/>
  <c r="V128" i="31" s="1"/>
  <c r="L157" i="31"/>
  <c r="M157" i="31" s="1"/>
  <c r="L234" i="31"/>
  <c r="M234" i="31" s="1"/>
  <c r="O127" i="28"/>
  <c r="O211" i="28"/>
  <c r="T230" i="28"/>
  <c r="L173" i="28"/>
  <c r="P173" i="28" s="1"/>
  <c r="Q173" i="28" s="1"/>
  <c r="O125" i="25"/>
  <c r="O209" i="25"/>
  <c r="O258" i="25"/>
  <c r="L244" i="25"/>
  <c r="M244" i="25" s="1"/>
  <c r="L313" i="22"/>
  <c r="M313" i="22" s="1"/>
  <c r="O217" i="22"/>
  <c r="U240" i="22"/>
  <c r="V240" i="22" s="1"/>
  <c r="O301" i="22"/>
  <c r="L183" i="31"/>
  <c r="M183" i="31" s="1"/>
  <c r="L193" i="31"/>
  <c r="P193" i="31" s="1"/>
  <c r="Q193" i="31" s="1"/>
  <c r="L286" i="31"/>
  <c r="P286" i="31" s="1"/>
  <c r="Q286" i="31" s="1"/>
  <c r="L179" i="31"/>
  <c r="P179" i="31" s="1"/>
  <c r="Q179" i="31" s="1"/>
  <c r="L273" i="31"/>
  <c r="M273" i="31" s="1"/>
  <c r="U197" i="31"/>
  <c r="V197" i="31" s="1"/>
  <c r="V279" i="28"/>
  <c r="O279" i="28"/>
  <c r="T285" i="28"/>
  <c r="T290" i="28"/>
  <c r="U149" i="28"/>
  <c r="V149" i="28" s="1"/>
  <c r="P161" i="28"/>
  <c r="Q161" i="28" s="1"/>
  <c r="L251" i="28"/>
  <c r="P251" i="28" s="1"/>
  <c r="Q251" i="28" s="1"/>
  <c r="L285" i="28"/>
  <c r="M285" i="28" s="1"/>
  <c r="U222" i="31"/>
  <c r="V222" i="31" s="1"/>
  <c r="T312" i="31"/>
  <c r="L137" i="31"/>
  <c r="U137" i="31"/>
  <c r="V137" i="31" s="1"/>
  <c r="T169" i="31"/>
  <c r="U186" i="31"/>
  <c r="V186" i="31" s="1"/>
  <c r="P197" i="31"/>
  <c r="Q197" i="31" s="1"/>
  <c r="U218" i="31"/>
  <c r="V218" i="31" s="1"/>
  <c r="L257" i="31"/>
  <c r="M257" i="31" s="1"/>
  <c r="T267" i="31"/>
  <c r="U278" i="31"/>
  <c r="V278" i="31" s="1"/>
  <c r="T309" i="31"/>
  <c r="L218" i="31"/>
  <c r="M218" i="31" s="1"/>
  <c r="U234" i="31"/>
  <c r="V234" i="31" s="1"/>
  <c r="T252" i="31"/>
  <c r="L267" i="31"/>
  <c r="M267" i="31" s="1"/>
  <c r="U273" i="31"/>
  <c r="V273" i="31" s="1"/>
  <c r="L309" i="31"/>
  <c r="M309" i="31" s="1"/>
  <c r="P128" i="31"/>
  <c r="Q128" i="31" s="1"/>
  <c r="M128" i="31"/>
  <c r="T130" i="31"/>
  <c r="T142" i="31"/>
  <c r="L150" i="31"/>
  <c r="M150" i="31" s="1"/>
  <c r="L154" i="31"/>
  <c r="U154" i="31"/>
  <c r="V154" i="31" s="1"/>
  <c r="L167" i="31"/>
  <c r="U167" i="31"/>
  <c r="V167" i="31" s="1"/>
  <c r="U169" i="31"/>
  <c r="V169" i="31" s="1"/>
  <c r="T200" i="31"/>
  <c r="L214" i="31"/>
  <c r="P214" i="31" s="1"/>
  <c r="Q214" i="31" s="1"/>
  <c r="T236" i="31"/>
  <c r="L244" i="31"/>
  <c r="P244" i="31" s="1"/>
  <c r="Q244" i="31" s="1"/>
  <c r="L248" i="31"/>
  <c r="U248" i="31"/>
  <c r="V248" i="31" s="1"/>
  <c r="U252" i="31"/>
  <c r="V252" i="31" s="1"/>
  <c r="T296" i="31"/>
  <c r="L307" i="31"/>
  <c r="M307" i="31" s="1"/>
  <c r="U312" i="31"/>
  <c r="V312" i="31" s="1"/>
  <c r="L130" i="31"/>
  <c r="P130" i="31" s="1"/>
  <c r="Q130" i="31" s="1"/>
  <c r="U142" i="31"/>
  <c r="V142" i="31" s="1"/>
  <c r="L163" i="31"/>
  <c r="P163" i="31" s="1"/>
  <c r="Q163" i="31" s="1"/>
  <c r="U200" i="31"/>
  <c r="V200" i="31" s="1"/>
  <c r="U236" i="31"/>
  <c r="V236" i="31" s="1"/>
  <c r="U296" i="31"/>
  <c r="V296" i="31" s="1"/>
  <c r="T186" i="31"/>
  <c r="T222" i="31"/>
  <c r="L262" i="31"/>
  <c r="U262" i="31"/>
  <c r="V262" i="31" s="1"/>
  <c r="V256" i="31" s="1"/>
  <c r="T278" i="31"/>
  <c r="P150" i="31"/>
  <c r="Q150" i="31" s="1"/>
  <c r="U132" i="31"/>
  <c r="V132" i="31" s="1"/>
  <c r="T132" i="31"/>
  <c r="L210" i="31"/>
  <c r="U210" i="31"/>
  <c r="V210" i="31" s="1"/>
  <c r="T210" i="31"/>
  <c r="M222" i="31"/>
  <c r="P222" i="31"/>
  <c r="Q222" i="31" s="1"/>
  <c r="L301" i="31"/>
  <c r="U301" i="31"/>
  <c r="V301" i="31" s="1"/>
  <c r="T301" i="31"/>
  <c r="L190" i="31"/>
  <c r="U190" i="31"/>
  <c r="V190" i="31" s="1"/>
  <c r="T190" i="31"/>
  <c r="M200" i="31"/>
  <c r="P200" i="31"/>
  <c r="Q200" i="31" s="1"/>
  <c r="L254" i="31"/>
  <c r="U254" i="31"/>
  <c r="V254" i="31" s="1"/>
  <c r="T254" i="31"/>
  <c r="P271" i="31"/>
  <c r="Q271" i="31" s="1"/>
  <c r="L280" i="31"/>
  <c r="U280" i="31"/>
  <c r="V280" i="31" s="1"/>
  <c r="T280" i="31"/>
  <c r="M132" i="31"/>
  <c r="M142" i="31"/>
  <c r="P142" i="31"/>
  <c r="Q142" i="31" s="1"/>
  <c r="L161" i="31"/>
  <c r="U161" i="31"/>
  <c r="V161" i="31" s="1"/>
  <c r="T161" i="31"/>
  <c r="M169" i="31"/>
  <c r="P169" i="31"/>
  <c r="Q169" i="31" s="1"/>
  <c r="L226" i="31"/>
  <c r="U226" i="31"/>
  <c r="V226" i="31" s="1"/>
  <c r="T226" i="31"/>
  <c r="M236" i="31"/>
  <c r="P236" i="31"/>
  <c r="Q236" i="31" s="1"/>
  <c r="M312" i="31"/>
  <c r="P312" i="31"/>
  <c r="Q312" i="31" s="1"/>
  <c r="M179" i="31"/>
  <c r="M296" i="31"/>
  <c r="P296" i="31"/>
  <c r="Q296" i="31" s="1"/>
  <c r="L146" i="31"/>
  <c r="U146" i="31"/>
  <c r="V146" i="31" s="1"/>
  <c r="T146" i="31"/>
  <c r="L176" i="31"/>
  <c r="U176" i="31"/>
  <c r="V176" i="31" s="1"/>
  <c r="T176" i="31"/>
  <c r="M186" i="31"/>
  <c r="P186" i="31"/>
  <c r="Q186" i="31" s="1"/>
  <c r="L240" i="31"/>
  <c r="U240" i="31"/>
  <c r="V240" i="31" s="1"/>
  <c r="T240" i="31"/>
  <c r="M252" i="31"/>
  <c r="P252" i="31"/>
  <c r="Q252" i="31" s="1"/>
  <c r="L269" i="31"/>
  <c r="U269" i="31"/>
  <c r="V269" i="31" s="1"/>
  <c r="T269" i="31"/>
  <c r="M278" i="31"/>
  <c r="P278" i="31"/>
  <c r="Q278" i="31" s="1"/>
  <c r="L316" i="31"/>
  <c r="U316" i="31"/>
  <c r="V316" i="31" s="1"/>
  <c r="V315" i="31" s="1"/>
  <c r="T316" i="31"/>
  <c r="T315" i="31" s="1"/>
  <c r="T150" i="31"/>
  <c r="T163" i="31"/>
  <c r="T179" i="31"/>
  <c r="T193" i="31"/>
  <c r="T214" i="31"/>
  <c r="T230" i="31"/>
  <c r="T244" i="31"/>
  <c r="T257" i="31"/>
  <c r="T256" i="31" s="1"/>
  <c r="T271" i="31"/>
  <c r="T286" i="31"/>
  <c r="T285" i="31" s="1"/>
  <c r="T307" i="31"/>
  <c r="T163" i="28"/>
  <c r="T228" i="28"/>
  <c r="T306" i="28"/>
  <c r="T128" i="28"/>
  <c r="L130" i="28"/>
  <c r="P130" i="28" s="1"/>
  <c r="Q130" i="28" s="1"/>
  <c r="T161" i="28"/>
  <c r="T177" i="28"/>
  <c r="T180" i="28"/>
  <c r="U191" i="28"/>
  <c r="V191" i="28" s="1"/>
  <c r="U238" i="28"/>
  <c r="V238" i="28" s="1"/>
  <c r="U256" i="28"/>
  <c r="V256" i="28" s="1"/>
  <c r="P267" i="28"/>
  <c r="Q267" i="28" s="1"/>
  <c r="L280" i="28"/>
  <c r="P280" i="28" s="1"/>
  <c r="Q280" i="28" s="1"/>
  <c r="L303" i="28"/>
  <c r="T303" i="28"/>
  <c r="U128" i="28"/>
  <c r="V128" i="28" s="1"/>
  <c r="L146" i="28"/>
  <c r="M146" i="28" s="1"/>
  <c r="U173" i="28"/>
  <c r="V173" i="28" s="1"/>
  <c r="U177" i="28"/>
  <c r="V177" i="28" s="1"/>
  <c r="U187" i="28"/>
  <c r="V187" i="28" s="1"/>
  <c r="U212" i="28"/>
  <c r="V212" i="28" s="1"/>
  <c r="P228" i="28"/>
  <c r="Q228" i="28" s="1"/>
  <c r="L238" i="28"/>
  <c r="P238" i="28" s="1"/>
  <c r="Q238" i="28" s="1"/>
  <c r="T272" i="28"/>
  <c r="L301" i="28"/>
  <c r="M301" i="28" s="1"/>
  <c r="M128" i="28"/>
  <c r="P128" i="28"/>
  <c r="Q128" i="28" s="1"/>
  <c r="U132" i="28"/>
  <c r="V132" i="28" s="1"/>
  <c r="L157" i="28"/>
  <c r="P157" i="28" s="1"/>
  <c r="Q157" i="28" s="1"/>
  <c r="L208" i="28"/>
  <c r="P208" i="28" s="1"/>
  <c r="Q208" i="28" s="1"/>
  <c r="L224" i="28"/>
  <c r="P224" i="28" s="1"/>
  <c r="Q224" i="28" s="1"/>
  <c r="U242" i="28"/>
  <c r="V242" i="28" s="1"/>
  <c r="L265" i="28"/>
  <c r="M265" i="28" s="1"/>
  <c r="P285" i="28"/>
  <c r="Q285" i="28" s="1"/>
  <c r="U130" i="28"/>
  <c r="V130" i="28" s="1"/>
  <c r="U146" i="28"/>
  <c r="V146" i="28" s="1"/>
  <c r="T149" i="28"/>
  <c r="T151" i="28"/>
  <c r="U161" i="28"/>
  <c r="V161" i="28" s="1"/>
  <c r="L187" i="28"/>
  <c r="P187" i="28" s="1"/>
  <c r="Q187" i="28" s="1"/>
  <c r="T191" i="28"/>
  <c r="T194" i="28"/>
  <c r="L212" i="28"/>
  <c r="T216" i="28"/>
  <c r="U228" i="28"/>
  <c r="V228" i="28" s="1"/>
  <c r="P242" i="28"/>
  <c r="Q242" i="28" s="1"/>
  <c r="U251" i="28"/>
  <c r="V251" i="28" s="1"/>
  <c r="V250" i="28" s="1"/>
  <c r="T256" i="28"/>
  <c r="T250" i="28" s="1"/>
  <c r="T261" i="28"/>
  <c r="U267" i="28"/>
  <c r="V267" i="28" s="1"/>
  <c r="U306" i="28"/>
  <c r="V306" i="28" s="1"/>
  <c r="L132" i="28"/>
  <c r="T137" i="28"/>
  <c r="U157" i="28"/>
  <c r="V157" i="28" s="1"/>
  <c r="P191" i="28"/>
  <c r="Q191" i="28" s="1"/>
  <c r="U208" i="28"/>
  <c r="V208" i="28" s="1"/>
  <c r="U224" i="28"/>
  <c r="V224" i="28" s="1"/>
  <c r="T242" i="28"/>
  <c r="T246" i="28"/>
  <c r="U265" i="28"/>
  <c r="V265" i="28" s="1"/>
  <c r="M151" i="28"/>
  <c r="P151" i="28"/>
  <c r="Q151" i="28" s="1"/>
  <c r="L263" i="28"/>
  <c r="U263" i="28"/>
  <c r="V263" i="28" s="1"/>
  <c r="T263" i="28"/>
  <c r="M163" i="28"/>
  <c r="P163" i="28"/>
  <c r="Q163" i="28" s="1"/>
  <c r="L170" i="28"/>
  <c r="U170" i="28"/>
  <c r="V170" i="28" s="1"/>
  <c r="T170" i="28"/>
  <c r="P177" i="28"/>
  <c r="Q177" i="28" s="1"/>
  <c r="M216" i="28"/>
  <c r="P216" i="28"/>
  <c r="Q216" i="28" s="1"/>
  <c r="L220" i="28"/>
  <c r="U220" i="28"/>
  <c r="V220" i="28" s="1"/>
  <c r="T220" i="28"/>
  <c r="M272" i="28"/>
  <c r="P272" i="28"/>
  <c r="Q272" i="28" s="1"/>
  <c r="L274" i="28"/>
  <c r="U274" i="28"/>
  <c r="V274" i="28" s="1"/>
  <c r="T274" i="28"/>
  <c r="L155" i="28"/>
  <c r="U155" i="28"/>
  <c r="V155" i="28" s="1"/>
  <c r="T155" i="28"/>
  <c r="M261" i="28"/>
  <c r="P261" i="28"/>
  <c r="Q261" i="28" s="1"/>
  <c r="M180" i="28"/>
  <c r="P180" i="28"/>
  <c r="Q180" i="28" s="1"/>
  <c r="L184" i="28"/>
  <c r="U184" i="28"/>
  <c r="V184" i="28" s="1"/>
  <c r="T184" i="28"/>
  <c r="M230" i="28"/>
  <c r="P230" i="28"/>
  <c r="Q230" i="28" s="1"/>
  <c r="L234" i="28"/>
  <c r="U234" i="28"/>
  <c r="V234" i="28" s="1"/>
  <c r="T234" i="28"/>
  <c r="M290" i="28"/>
  <c r="P290" i="28"/>
  <c r="Q290" i="28" s="1"/>
  <c r="L295" i="28"/>
  <c r="U295" i="28"/>
  <c r="V295" i="28" s="1"/>
  <c r="T295" i="28"/>
  <c r="M137" i="28"/>
  <c r="P137" i="28"/>
  <c r="Q137" i="28" s="1"/>
  <c r="L142" i="28"/>
  <c r="U142" i="28"/>
  <c r="V142" i="28" s="1"/>
  <c r="T142" i="28"/>
  <c r="P149" i="28"/>
  <c r="Q149" i="28" s="1"/>
  <c r="M194" i="28"/>
  <c r="P194" i="28"/>
  <c r="Q194" i="28" s="1"/>
  <c r="L204" i="28"/>
  <c r="U204" i="28"/>
  <c r="V204" i="28" s="1"/>
  <c r="T204" i="28"/>
  <c r="M246" i="28"/>
  <c r="P246" i="28"/>
  <c r="Q246" i="28" s="1"/>
  <c r="L248" i="28"/>
  <c r="U248" i="28"/>
  <c r="V248" i="28" s="1"/>
  <c r="T248" i="28"/>
  <c r="P256" i="28"/>
  <c r="Q256" i="28" s="1"/>
  <c r="M306" i="28"/>
  <c r="P306" i="28"/>
  <c r="Q306" i="28" s="1"/>
  <c r="P310" i="28"/>
  <c r="Q310" i="28" s="1"/>
  <c r="Q309" i="28" s="1"/>
  <c r="M310" i="28"/>
  <c r="M309" i="28" s="1"/>
  <c r="U137" i="28"/>
  <c r="V137" i="28" s="1"/>
  <c r="U151" i="28"/>
  <c r="V151" i="28" s="1"/>
  <c r="U163" i="28"/>
  <c r="V163" i="28" s="1"/>
  <c r="U180" i="28"/>
  <c r="V180" i="28" s="1"/>
  <c r="U194" i="28"/>
  <c r="V194" i="28" s="1"/>
  <c r="U216" i="28"/>
  <c r="V216" i="28" s="1"/>
  <c r="U230" i="28"/>
  <c r="V230" i="28" s="1"/>
  <c r="U246" i="28"/>
  <c r="V246" i="28" s="1"/>
  <c r="U261" i="28"/>
  <c r="V261" i="28" s="1"/>
  <c r="U272" i="28"/>
  <c r="V272" i="28" s="1"/>
  <c r="U290" i="28"/>
  <c r="V290" i="28" s="1"/>
  <c r="T310" i="28"/>
  <c r="T309" i="28" s="1"/>
  <c r="T280" i="28"/>
  <c r="T301" i="28"/>
  <c r="U310" i="28"/>
  <c r="V310" i="28" s="1"/>
  <c r="V309" i="28" s="1"/>
  <c r="L149" i="25"/>
  <c r="M149" i="25" s="1"/>
  <c r="T178" i="25"/>
  <c r="T236" i="25"/>
  <c r="L270" i="25"/>
  <c r="M270" i="25" s="1"/>
  <c r="L178" i="25"/>
  <c r="M178" i="25" s="1"/>
  <c r="L228" i="25"/>
  <c r="M228" i="25" s="1"/>
  <c r="U130" i="25"/>
  <c r="V130" i="25" s="1"/>
  <c r="T135" i="25"/>
  <c r="T185" i="25"/>
  <c r="T304" i="25"/>
  <c r="L135" i="25"/>
  <c r="M135" i="25" s="1"/>
  <c r="U159" i="25"/>
  <c r="V159" i="25" s="1"/>
  <c r="T161" i="25"/>
  <c r="U210" i="25"/>
  <c r="V210" i="25" s="1"/>
  <c r="T214" i="25"/>
  <c r="L249" i="25"/>
  <c r="M249" i="25" s="1"/>
  <c r="T263" i="25"/>
  <c r="T301" i="25"/>
  <c r="T155" i="25"/>
  <c r="L161" i="25"/>
  <c r="M161" i="25" s="1"/>
  <c r="L214" i="25"/>
  <c r="M214" i="25" s="1"/>
  <c r="U240" i="25"/>
  <c r="V240" i="25" s="1"/>
  <c r="T244" i="25"/>
  <c r="L263" i="25"/>
  <c r="P263" i="25" s="1"/>
  <c r="Q263" i="25" s="1"/>
  <c r="U283" i="25"/>
  <c r="V283" i="25" s="1"/>
  <c r="V277" i="25" s="1"/>
  <c r="L301" i="25"/>
  <c r="M301" i="25" s="1"/>
  <c r="L126" i="25"/>
  <c r="T128" i="25"/>
  <c r="L155" i="25"/>
  <c r="M155" i="25" s="1"/>
  <c r="L185" i="25"/>
  <c r="P185" i="25" s="1"/>
  <c r="Q185" i="25" s="1"/>
  <c r="T206" i="25"/>
  <c r="L236" i="25"/>
  <c r="P236" i="25" s="1"/>
  <c r="Q236" i="25" s="1"/>
  <c r="U254" i="25"/>
  <c r="V254" i="25" s="1"/>
  <c r="V248" i="25" s="1"/>
  <c r="T259" i="25"/>
  <c r="L278" i="25"/>
  <c r="M278" i="25" s="1"/>
  <c r="U304" i="25"/>
  <c r="V304" i="25" s="1"/>
  <c r="T126" i="25"/>
  <c r="L128" i="25"/>
  <c r="M128" i="25" s="1"/>
  <c r="T144" i="25"/>
  <c r="U147" i="25"/>
  <c r="V147" i="25" s="1"/>
  <c r="T149" i="25"/>
  <c r="T171" i="25"/>
  <c r="U175" i="25"/>
  <c r="V175" i="25" s="1"/>
  <c r="L206" i="25"/>
  <c r="P206" i="25" s="1"/>
  <c r="Q206" i="25" s="1"/>
  <c r="T222" i="25"/>
  <c r="U226" i="25"/>
  <c r="V226" i="25" s="1"/>
  <c r="T228" i="25"/>
  <c r="T249" i="25"/>
  <c r="T248" i="25" s="1"/>
  <c r="L259" i="25"/>
  <c r="M259" i="25" s="1"/>
  <c r="U265" i="25"/>
  <c r="V265" i="25" s="1"/>
  <c r="T270" i="25"/>
  <c r="T288" i="25"/>
  <c r="L144" i="25"/>
  <c r="M144" i="25" s="1"/>
  <c r="L171" i="25"/>
  <c r="P171" i="25" s="1"/>
  <c r="Q171" i="25" s="1"/>
  <c r="U189" i="25"/>
  <c r="V189" i="25" s="1"/>
  <c r="L222" i="25"/>
  <c r="P222" i="25" s="1"/>
  <c r="Q222" i="25" s="1"/>
  <c r="L140" i="25"/>
  <c r="U140" i="25"/>
  <c r="V140" i="25" s="1"/>
  <c r="T140" i="25"/>
  <c r="L202" i="25"/>
  <c r="U202" i="25"/>
  <c r="V202" i="25" s="1"/>
  <c r="T202" i="25"/>
  <c r="P249" i="25"/>
  <c r="Q249" i="25" s="1"/>
  <c r="L261" i="25"/>
  <c r="U261" i="25"/>
  <c r="V261" i="25" s="1"/>
  <c r="T261" i="25"/>
  <c r="M288" i="25"/>
  <c r="P288" i="25"/>
  <c r="Q288" i="25" s="1"/>
  <c r="L246" i="25"/>
  <c r="U246" i="25"/>
  <c r="V246" i="25" s="1"/>
  <c r="T246" i="25"/>
  <c r="M293" i="25"/>
  <c r="P293" i="25"/>
  <c r="Q293" i="25" s="1"/>
  <c r="L153" i="25"/>
  <c r="U153" i="25"/>
  <c r="V153" i="25" s="1"/>
  <c r="T153" i="25"/>
  <c r="L218" i="25"/>
  <c r="U218" i="25"/>
  <c r="V218" i="25" s="1"/>
  <c r="T218" i="25"/>
  <c r="M263" i="25"/>
  <c r="L272" i="25"/>
  <c r="U272" i="25"/>
  <c r="V272" i="25" s="1"/>
  <c r="T272" i="25"/>
  <c r="L182" i="25"/>
  <c r="U182" i="25"/>
  <c r="V182" i="25" s="1"/>
  <c r="T182" i="25"/>
  <c r="L168" i="25"/>
  <c r="U168" i="25"/>
  <c r="V168" i="25" s="1"/>
  <c r="T168" i="25"/>
  <c r="L232" i="25"/>
  <c r="U232" i="25"/>
  <c r="V232" i="25" s="1"/>
  <c r="T232" i="25"/>
  <c r="M304" i="25"/>
  <c r="P304" i="25"/>
  <c r="Q304" i="25" s="1"/>
  <c r="M308" i="25"/>
  <c r="M307" i="25" s="1"/>
  <c r="P308" i="25"/>
  <c r="Q308" i="25" s="1"/>
  <c r="Q307" i="25" s="1"/>
  <c r="L130" i="25"/>
  <c r="L147" i="25"/>
  <c r="L159" i="25"/>
  <c r="L175" i="25"/>
  <c r="L189" i="25"/>
  <c r="L210" i="25"/>
  <c r="L226" i="25"/>
  <c r="L240" i="25"/>
  <c r="L254" i="25"/>
  <c r="L265" i="25"/>
  <c r="L283" i="25"/>
  <c r="U288" i="25"/>
  <c r="V288" i="25" s="1"/>
  <c r="T293" i="25"/>
  <c r="M299" i="25"/>
  <c r="T308" i="25"/>
  <c r="T307" i="25" s="1"/>
  <c r="T278" i="25"/>
  <c r="T277" i="25" s="1"/>
  <c r="U293" i="25"/>
  <c r="V293" i="25" s="1"/>
  <c r="T299" i="25"/>
  <c r="U308" i="25"/>
  <c r="V308" i="25" s="1"/>
  <c r="V307" i="25" s="1"/>
  <c r="O125" i="22"/>
  <c r="T152" i="22"/>
  <c r="L242" i="22"/>
  <c r="M242" i="22" s="1"/>
  <c r="T273" i="22"/>
  <c r="V291" i="22"/>
  <c r="L152" i="22"/>
  <c r="P152" i="22" s="1"/>
  <c r="Q152" i="22" s="1"/>
  <c r="O272" i="22"/>
  <c r="L181" i="22"/>
  <c r="M181" i="22" s="1"/>
  <c r="L135" i="22"/>
  <c r="P135" i="22" s="1"/>
  <c r="Q135" i="22" s="1"/>
  <c r="L210" i="22"/>
  <c r="M210" i="22" s="1"/>
  <c r="L258" i="22"/>
  <c r="M258" i="22" s="1"/>
  <c r="U268" i="22"/>
  <c r="V268" i="22" s="1"/>
  <c r="V262" i="22" s="1"/>
  <c r="T318" i="22"/>
  <c r="T126" i="22"/>
  <c r="T128" i="22"/>
  <c r="U140" i="22"/>
  <c r="V140" i="22" s="1"/>
  <c r="T144" i="22"/>
  <c r="L188" i="22"/>
  <c r="M188" i="22" s="1"/>
  <c r="U279" i="22"/>
  <c r="V279" i="22" s="1"/>
  <c r="T315" i="22"/>
  <c r="L144" i="22"/>
  <c r="M144" i="22" s="1"/>
  <c r="L159" i="22"/>
  <c r="M159" i="22" s="1"/>
  <c r="U198" i="22"/>
  <c r="V198" i="22" s="1"/>
  <c r="T210" i="22"/>
  <c r="L234" i="22"/>
  <c r="M234" i="22" s="1"/>
  <c r="L277" i="22"/>
  <c r="P277" i="22" s="1"/>
  <c r="Q277" i="22" s="1"/>
  <c r="L279" i="22"/>
  <c r="M279" i="22" s="1"/>
  <c r="L315" i="22"/>
  <c r="M315" i="22" s="1"/>
  <c r="L126" i="22"/>
  <c r="T165" i="22"/>
  <c r="U167" i="22"/>
  <c r="V167" i="22" s="1"/>
  <c r="T174" i="22"/>
  <c r="U222" i="22"/>
  <c r="V222" i="22" s="1"/>
  <c r="T226" i="22"/>
  <c r="L250" i="22"/>
  <c r="P250" i="22" s="1"/>
  <c r="Q250" i="22" s="1"/>
  <c r="L273" i="22"/>
  <c r="M273" i="22" s="1"/>
  <c r="L292" i="22"/>
  <c r="M292" i="22" s="1"/>
  <c r="L297" i="22"/>
  <c r="T297" i="22"/>
  <c r="T302" i="22"/>
  <c r="U318" i="22"/>
  <c r="V318" i="22" s="1"/>
  <c r="L165" i="22"/>
  <c r="P165" i="22" s="1"/>
  <c r="Q165" i="22" s="1"/>
  <c r="L174" i="22"/>
  <c r="M174" i="22" s="1"/>
  <c r="L195" i="22"/>
  <c r="M195" i="22" s="1"/>
  <c r="L226" i="22"/>
  <c r="M226" i="22" s="1"/>
  <c r="L263" i="22"/>
  <c r="P263" i="22" s="1"/>
  <c r="Q263" i="22" s="1"/>
  <c r="T284" i="22"/>
  <c r="U302" i="22"/>
  <c r="V302" i="22" s="1"/>
  <c r="T135" i="22"/>
  <c r="U155" i="22"/>
  <c r="V155" i="22" s="1"/>
  <c r="T159" i="22"/>
  <c r="T181" i="22"/>
  <c r="U184" i="22"/>
  <c r="V184" i="22" s="1"/>
  <c r="T188" i="22"/>
  <c r="L218" i="22"/>
  <c r="M218" i="22" s="1"/>
  <c r="U254" i="22"/>
  <c r="V254" i="22" s="1"/>
  <c r="T258" i="22"/>
  <c r="M128" i="22"/>
  <c r="P128" i="22"/>
  <c r="Q128" i="22" s="1"/>
  <c r="L148" i="22"/>
  <c r="U148" i="22"/>
  <c r="V148" i="22" s="1"/>
  <c r="T148" i="22"/>
  <c r="P218" i="22"/>
  <c r="Q218" i="22" s="1"/>
  <c r="U128" i="22"/>
  <c r="V128" i="22" s="1"/>
  <c r="L161" i="22"/>
  <c r="U161" i="22"/>
  <c r="V161" i="22" s="1"/>
  <c r="T161" i="22"/>
  <c r="L307" i="22"/>
  <c r="U307" i="22"/>
  <c r="V307" i="22" s="1"/>
  <c r="T307" i="22"/>
  <c r="M302" i="22"/>
  <c r="P302" i="22"/>
  <c r="Q302" i="22" s="1"/>
  <c r="L130" i="22"/>
  <c r="T130" i="22"/>
  <c r="L177" i="22"/>
  <c r="U177" i="22"/>
  <c r="V177" i="22" s="1"/>
  <c r="T177" i="22"/>
  <c r="M318" i="22"/>
  <c r="P318" i="22"/>
  <c r="Q318" i="22" s="1"/>
  <c r="L191" i="22"/>
  <c r="U191" i="22"/>
  <c r="V191" i="22" s="1"/>
  <c r="T191" i="22"/>
  <c r="L214" i="22"/>
  <c r="U214" i="22"/>
  <c r="V214" i="22" s="1"/>
  <c r="T214" i="22"/>
  <c r="L230" i="22"/>
  <c r="U230" i="22"/>
  <c r="V230" i="22" s="1"/>
  <c r="T230" i="22"/>
  <c r="L246" i="22"/>
  <c r="U246" i="22"/>
  <c r="V246" i="22" s="1"/>
  <c r="T246" i="22"/>
  <c r="L260" i="22"/>
  <c r="U260" i="22"/>
  <c r="V260" i="22" s="1"/>
  <c r="T260" i="22"/>
  <c r="L275" i="22"/>
  <c r="U275" i="22"/>
  <c r="V275" i="22" s="1"/>
  <c r="T275" i="22"/>
  <c r="M284" i="22"/>
  <c r="P284" i="22"/>
  <c r="Q284" i="22" s="1"/>
  <c r="L286" i="22"/>
  <c r="U286" i="22"/>
  <c r="V286" i="22" s="1"/>
  <c r="T286" i="22"/>
  <c r="L322" i="22"/>
  <c r="U322" i="22"/>
  <c r="V322" i="22" s="1"/>
  <c r="V321" i="22" s="1"/>
  <c r="T322" i="22"/>
  <c r="T321" i="22" s="1"/>
  <c r="L140" i="22"/>
  <c r="L155" i="22"/>
  <c r="L167" i="22"/>
  <c r="L184" i="22"/>
  <c r="L198" i="22"/>
  <c r="L222" i="22"/>
  <c r="L240" i="22"/>
  <c r="L254" i="22"/>
  <c r="L268" i="22"/>
  <c r="U284" i="22"/>
  <c r="V284" i="22" s="1"/>
  <c r="T195" i="22"/>
  <c r="T218" i="22"/>
  <c r="T234" i="22"/>
  <c r="T250" i="22"/>
  <c r="T263" i="22"/>
  <c r="T262" i="22" s="1"/>
  <c r="T277" i="22"/>
  <c r="T292" i="22"/>
  <c r="T313" i="22"/>
  <c r="X122" i="11"/>
  <c r="Z122" i="11"/>
  <c r="AB122" i="11"/>
  <c r="AD122" i="11"/>
  <c r="AF122" i="11"/>
  <c r="AH122" i="11"/>
  <c r="AJ122" i="11"/>
  <c r="AL122" i="11"/>
  <c r="S349" i="11"/>
  <c r="L349" i="11" s="1"/>
  <c r="O349" i="11"/>
  <c r="O348" i="11" s="1"/>
  <c r="S345" i="11"/>
  <c r="L345" i="11" s="1"/>
  <c r="O345" i="11"/>
  <c r="S342" i="11"/>
  <c r="U342" i="11" s="1"/>
  <c r="V342" i="11" s="1"/>
  <c r="O342" i="11"/>
  <c r="S340" i="11"/>
  <c r="U340" i="11" s="1"/>
  <c r="V340" i="11" s="1"/>
  <c r="O340" i="11"/>
  <c r="S334" i="11"/>
  <c r="O334" i="11"/>
  <c r="S329" i="11"/>
  <c r="L329" i="11" s="1"/>
  <c r="O329" i="11"/>
  <c r="S326" i="11"/>
  <c r="T326" i="11" s="1"/>
  <c r="O326" i="11"/>
  <c r="S324" i="11"/>
  <c r="U324" i="11" s="1"/>
  <c r="V324" i="11" s="1"/>
  <c r="O324" i="11"/>
  <c r="S322" i="11"/>
  <c r="O322" i="11"/>
  <c r="S320" i="11"/>
  <c r="L320" i="11" s="1"/>
  <c r="O320" i="11"/>
  <c r="S316" i="11"/>
  <c r="T316" i="11" s="1"/>
  <c r="O316" i="11"/>
  <c r="S313" i="11"/>
  <c r="U313" i="11" s="1"/>
  <c r="V313" i="11" s="1"/>
  <c r="O313" i="11"/>
  <c r="S311" i="11"/>
  <c r="O311" i="11"/>
  <c r="S306" i="11"/>
  <c r="U306" i="11" s="1"/>
  <c r="V306" i="11" s="1"/>
  <c r="O306" i="11"/>
  <c r="S304" i="11"/>
  <c r="T304" i="11" s="1"/>
  <c r="O304" i="11"/>
  <c r="S302" i="11"/>
  <c r="U302" i="11" s="1"/>
  <c r="V302" i="11" s="1"/>
  <c r="O302" i="11"/>
  <c r="S291" i="11"/>
  <c r="O291" i="11"/>
  <c r="S287" i="11"/>
  <c r="U287" i="11" s="1"/>
  <c r="V287" i="11" s="1"/>
  <c r="O287" i="11"/>
  <c r="S281" i="11"/>
  <c r="T281" i="11" s="1"/>
  <c r="O281" i="11"/>
  <c r="S279" i="11"/>
  <c r="U279" i="11" s="1"/>
  <c r="V279" i="11" s="1"/>
  <c r="O279" i="11"/>
  <c r="S277" i="11"/>
  <c r="O277" i="11"/>
  <c r="S275" i="11"/>
  <c r="U275" i="11" s="1"/>
  <c r="V275" i="11" s="1"/>
  <c r="O275" i="11"/>
  <c r="S269" i="11"/>
  <c r="T269" i="11" s="1"/>
  <c r="O269" i="11"/>
  <c r="S264" i="11"/>
  <c r="U264" i="11" s="1"/>
  <c r="V264" i="11" s="1"/>
  <c r="O264" i="11"/>
  <c r="S259" i="11"/>
  <c r="O259" i="11"/>
  <c r="S254" i="11"/>
  <c r="U254" i="11" s="1"/>
  <c r="V254" i="11" s="1"/>
  <c r="V253" i="11" s="1"/>
  <c r="O254" i="11"/>
  <c r="O253" i="11" s="1"/>
  <c r="S250" i="11"/>
  <c r="T250" i="11" s="1"/>
  <c r="O250" i="11"/>
  <c r="S244" i="11"/>
  <c r="U244" i="11" s="1"/>
  <c r="V244" i="11" s="1"/>
  <c r="O244" i="11"/>
  <c r="S242" i="11"/>
  <c r="O242" i="11"/>
  <c r="S239" i="11"/>
  <c r="U239" i="11" s="1"/>
  <c r="V239" i="11" s="1"/>
  <c r="O239" i="11"/>
  <c r="S234" i="11"/>
  <c r="T234" i="11" s="1"/>
  <c r="O234" i="11"/>
  <c r="S222" i="11"/>
  <c r="U222" i="11" s="1"/>
  <c r="V222" i="11" s="1"/>
  <c r="O222" i="11"/>
  <c r="S207" i="11"/>
  <c r="O207" i="11"/>
  <c r="S198" i="11"/>
  <c r="U198" i="11" s="1"/>
  <c r="V198" i="11" s="1"/>
  <c r="O198" i="11"/>
  <c r="S193" i="11"/>
  <c r="T193" i="11" s="1"/>
  <c r="O193" i="11"/>
  <c r="S183" i="11"/>
  <c r="U183" i="11" s="1"/>
  <c r="V183" i="11" s="1"/>
  <c r="O183" i="11"/>
  <c r="S180" i="11"/>
  <c r="O180" i="11"/>
  <c r="S176" i="11"/>
  <c r="U176" i="11" s="1"/>
  <c r="V176" i="11" s="1"/>
  <c r="O176" i="11"/>
  <c r="S174" i="11"/>
  <c r="T174" i="11" s="1"/>
  <c r="O174" i="11"/>
  <c r="S166" i="11"/>
  <c r="U166" i="11" s="1"/>
  <c r="V166" i="11" s="1"/>
  <c r="O166" i="11"/>
  <c r="S164" i="11"/>
  <c r="O164" i="11"/>
  <c r="S159" i="11"/>
  <c r="U159" i="11" s="1"/>
  <c r="V159" i="11" s="1"/>
  <c r="O159" i="11"/>
  <c r="S154" i="11"/>
  <c r="T154" i="11" s="1"/>
  <c r="O154" i="11"/>
  <c r="S151" i="11"/>
  <c r="U151" i="11" s="1"/>
  <c r="V151" i="11" s="1"/>
  <c r="O151" i="11"/>
  <c r="S141" i="11"/>
  <c r="O141" i="11"/>
  <c r="S135" i="11"/>
  <c r="U135" i="11" s="1"/>
  <c r="V135" i="11" s="1"/>
  <c r="O135" i="11"/>
  <c r="S128" i="11"/>
  <c r="T128" i="11" s="1"/>
  <c r="O128" i="11"/>
  <c r="S126" i="11"/>
  <c r="U126" i="11" s="1"/>
  <c r="V126" i="11" s="1"/>
  <c r="O126" i="11"/>
  <c r="O124" i="11"/>
  <c r="S124" i="11"/>
  <c r="L124" i="11" s="1"/>
  <c r="O330" i="10"/>
  <c r="X123" i="10"/>
  <c r="Z123" i="10"/>
  <c r="AB123" i="10"/>
  <c r="AD123" i="10"/>
  <c r="AF123" i="10"/>
  <c r="AH123" i="10"/>
  <c r="AJ123" i="10"/>
  <c r="AL123" i="10"/>
  <c r="S350" i="10"/>
  <c r="O350" i="10"/>
  <c r="O349" i="10" s="1"/>
  <c r="S346" i="10"/>
  <c r="L346" i="10" s="1"/>
  <c r="O346" i="10"/>
  <c r="S343" i="10"/>
  <c r="U343" i="10" s="1"/>
  <c r="V343" i="10" s="1"/>
  <c r="O343" i="10"/>
  <c r="S341" i="10"/>
  <c r="U341" i="10" s="1"/>
  <c r="V341" i="10" s="1"/>
  <c r="O341" i="10"/>
  <c r="S335" i="10"/>
  <c r="T335" i="10" s="1"/>
  <c r="O335" i="10"/>
  <c r="S330" i="10"/>
  <c r="L330" i="10" s="1"/>
  <c r="M330" i="10" s="1"/>
  <c r="S327" i="10"/>
  <c r="T327" i="10" s="1"/>
  <c r="O327" i="10"/>
  <c r="S325" i="10"/>
  <c r="L325" i="10" s="1"/>
  <c r="P325" i="10" s="1"/>
  <c r="Q325" i="10" s="1"/>
  <c r="O325" i="10"/>
  <c r="S323" i="10"/>
  <c r="O323" i="10"/>
  <c r="S321" i="10"/>
  <c r="U321" i="10" s="1"/>
  <c r="V321" i="10" s="1"/>
  <c r="O321" i="10"/>
  <c r="S317" i="10"/>
  <c r="T317" i="10" s="1"/>
  <c r="O317" i="10"/>
  <c r="S314" i="10"/>
  <c r="O314" i="10"/>
  <c r="S312" i="10"/>
  <c r="O312" i="10"/>
  <c r="S307" i="10"/>
  <c r="U307" i="10" s="1"/>
  <c r="V307" i="10" s="1"/>
  <c r="O307" i="10"/>
  <c r="S305" i="10"/>
  <c r="T305" i="10" s="1"/>
  <c r="O305" i="10"/>
  <c r="S303" i="10"/>
  <c r="L303" i="10" s="1"/>
  <c r="P303" i="10" s="1"/>
  <c r="Q303" i="10" s="1"/>
  <c r="O303" i="10"/>
  <c r="S292" i="10"/>
  <c r="T292" i="10" s="1"/>
  <c r="O292" i="10"/>
  <c r="S288" i="10"/>
  <c r="U288" i="10" s="1"/>
  <c r="V288" i="10" s="1"/>
  <c r="O288" i="10"/>
  <c r="S282" i="10"/>
  <c r="T282" i="10" s="1"/>
  <c r="O282" i="10"/>
  <c r="S280" i="10"/>
  <c r="O280" i="10"/>
  <c r="L280" i="10"/>
  <c r="P280" i="10" s="1"/>
  <c r="Q280" i="10" s="1"/>
  <c r="S278" i="10"/>
  <c r="T278" i="10" s="1"/>
  <c r="O278" i="10"/>
  <c r="S276" i="10"/>
  <c r="U276" i="10" s="1"/>
  <c r="V276" i="10" s="1"/>
  <c r="O276" i="10"/>
  <c r="S270" i="10"/>
  <c r="T270" i="10" s="1"/>
  <c r="O270" i="10"/>
  <c r="S265" i="10"/>
  <c r="L265" i="10" s="1"/>
  <c r="P265" i="10" s="1"/>
  <c r="Q265" i="10" s="1"/>
  <c r="O265" i="10"/>
  <c r="S260" i="10"/>
  <c r="T260" i="10" s="1"/>
  <c r="O260" i="10"/>
  <c r="S255" i="10"/>
  <c r="L255" i="10" s="1"/>
  <c r="M255" i="10" s="1"/>
  <c r="M254" i="10" s="1"/>
  <c r="O255" i="10"/>
  <c r="O254" i="10" s="1"/>
  <c r="S251" i="10"/>
  <c r="T251" i="10" s="1"/>
  <c r="O251" i="10"/>
  <c r="S245" i="10"/>
  <c r="L245" i="10" s="1"/>
  <c r="P245" i="10" s="1"/>
  <c r="Q245" i="10" s="1"/>
  <c r="O245" i="10"/>
  <c r="S243" i="10"/>
  <c r="T243" i="10" s="1"/>
  <c r="O243" i="10"/>
  <c r="S240" i="10"/>
  <c r="L240" i="10" s="1"/>
  <c r="M240" i="10" s="1"/>
  <c r="O240" i="10"/>
  <c r="S235" i="10"/>
  <c r="T235" i="10" s="1"/>
  <c r="O235" i="10"/>
  <c r="S223" i="10"/>
  <c r="L223" i="10" s="1"/>
  <c r="O223" i="10"/>
  <c r="S208" i="10"/>
  <c r="T208" i="10" s="1"/>
  <c r="O208" i="10"/>
  <c r="S199" i="10"/>
  <c r="L199" i="10" s="1"/>
  <c r="M199" i="10" s="1"/>
  <c r="O199" i="10"/>
  <c r="S194" i="10"/>
  <c r="T194" i="10" s="1"/>
  <c r="O194" i="10"/>
  <c r="S184" i="10"/>
  <c r="L184" i="10" s="1"/>
  <c r="O184" i="10"/>
  <c r="S181" i="10"/>
  <c r="T181" i="10" s="1"/>
  <c r="O181" i="10"/>
  <c r="S177" i="10"/>
  <c r="L177" i="10" s="1"/>
  <c r="M177" i="10" s="1"/>
  <c r="O177" i="10"/>
  <c r="S175" i="10"/>
  <c r="T175" i="10" s="1"/>
  <c r="O175" i="10"/>
  <c r="S167" i="10"/>
  <c r="L167" i="10" s="1"/>
  <c r="P167" i="10" s="1"/>
  <c r="Q167" i="10" s="1"/>
  <c r="O167" i="10"/>
  <c r="S165" i="10"/>
  <c r="O165" i="10"/>
  <c r="S160" i="10"/>
  <c r="U160" i="10" s="1"/>
  <c r="V160" i="10" s="1"/>
  <c r="O160" i="10"/>
  <c r="S155" i="10"/>
  <c r="T155" i="10" s="1"/>
  <c r="O155" i="10"/>
  <c r="S152" i="10"/>
  <c r="O152" i="10"/>
  <c r="S142" i="10"/>
  <c r="O142" i="10"/>
  <c r="S136" i="10"/>
  <c r="L136" i="10" s="1"/>
  <c r="M136" i="10" s="1"/>
  <c r="O136" i="10"/>
  <c r="S129" i="10"/>
  <c r="T129" i="10" s="1"/>
  <c r="O129" i="10"/>
  <c r="S127" i="10"/>
  <c r="L127" i="10" s="1"/>
  <c r="O127" i="10"/>
  <c r="S125" i="10"/>
  <c r="U125" i="10" s="1"/>
  <c r="V125" i="10" s="1"/>
  <c r="P267" i="31" l="1"/>
  <c r="Q267" i="31" s="1"/>
  <c r="O274" i="11"/>
  <c r="M230" i="31"/>
  <c r="M173" i="28"/>
  <c r="P146" i="28"/>
  <c r="Q146" i="28" s="1"/>
  <c r="T166" i="11"/>
  <c r="P127" i="10"/>
  <c r="Q127" i="10" s="1"/>
  <c r="P291" i="31"/>
  <c r="Q291" i="31" s="1"/>
  <c r="Q285" i="31" s="1"/>
  <c r="M286" i="31"/>
  <c r="M285" i="31" s="1"/>
  <c r="P257" i="31"/>
  <c r="Q257" i="31" s="1"/>
  <c r="M130" i="31"/>
  <c r="M280" i="28"/>
  <c r="M279" i="28" s="1"/>
  <c r="M130" i="28"/>
  <c r="P301" i="28"/>
  <c r="Q301" i="28" s="1"/>
  <c r="M206" i="25"/>
  <c r="P192" i="25"/>
  <c r="Q192" i="25" s="1"/>
  <c r="M236" i="25"/>
  <c r="O124" i="25"/>
  <c r="AR118" i="1" s="1"/>
  <c r="P313" i="22"/>
  <c r="Q313" i="22" s="1"/>
  <c r="P181" i="22"/>
  <c r="Q181" i="22" s="1"/>
  <c r="P195" i="22"/>
  <c r="Q195" i="22" s="1"/>
  <c r="O126" i="31"/>
  <c r="AR126" i="1" s="1"/>
  <c r="Q122" i="12"/>
  <c r="AS101" i="1" s="1"/>
  <c r="M122" i="12"/>
  <c r="AQ101" i="1" s="1"/>
  <c r="O126" i="28"/>
  <c r="AR122" i="1" s="1"/>
  <c r="P244" i="25"/>
  <c r="Q244" i="25" s="1"/>
  <c r="P278" i="25"/>
  <c r="Q278" i="25" s="1"/>
  <c r="P135" i="25"/>
  <c r="Q135" i="25" s="1"/>
  <c r="M135" i="22"/>
  <c r="P273" i="22"/>
  <c r="Q273" i="22" s="1"/>
  <c r="P292" i="22"/>
  <c r="Q292" i="22" s="1"/>
  <c r="T295" i="31"/>
  <c r="V266" i="31"/>
  <c r="T217" i="31"/>
  <c r="P157" i="31"/>
  <c r="Q157" i="31" s="1"/>
  <c r="V127" i="31"/>
  <c r="P234" i="31"/>
  <c r="Q234" i="31" s="1"/>
  <c r="T127" i="31"/>
  <c r="V289" i="28"/>
  <c r="M224" i="28"/>
  <c r="Q279" i="28"/>
  <c r="Q250" i="28"/>
  <c r="P128" i="25"/>
  <c r="Q128" i="25" s="1"/>
  <c r="T287" i="25"/>
  <c r="M171" i="25"/>
  <c r="V287" i="25"/>
  <c r="P228" i="25"/>
  <c r="Q228" i="25" s="1"/>
  <c r="V125" i="25"/>
  <c r="P234" i="22"/>
  <c r="Q234" i="22" s="1"/>
  <c r="M152" i="22"/>
  <c r="P174" i="22"/>
  <c r="Q174" i="22" s="1"/>
  <c r="P315" i="22"/>
  <c r="Q315" i="22" s="1"/>
  <c r="P258" i="22"/>
  <c r="Q258" i="22" s="1"/>
  <c r="P210" i="22"/>
  <c r="Q210" i="22" s="1"/>
  <c r="M244" i="31"/>
  <c r="M193" i="31"/>
  <c r="V295" i="31"/>
  <c r="V217" i="31"/>
  <c r="T266" i="31"/>
  <c r="P273" i="31"/>
  <c r="Q273" i="31" s="1"/>
  <c r="P183" i="31"/>
  <c r="Q183" i="31" s="1"/>
  <c r="T260" i="28"/>
  <c r="V211" i="28"/>
  <c r="T279" i="28"/>
  <c r="V260" i="28"/>
  <c r="M208" i="28"/>
  <c r="P265" i="28"/>
  <c r="Q265" i="28" s="1"/>
  <c r="M157" i="28"/>
  <c r="M251" i="28"/>
  <c r="M250" i="28" s="1"/>
  <c r="T211" i="28"/>
  <c r="V127" i="28"/>
  <c r="T127" i="28"/>
  <c r="T289" i="28"/>
  <c r="M137" i="31"/>
  <c r="P137" i="31"/>
  <c r="Q137" i="31" s="1"/>
  <c r="P307" i="31"/>
  <c r="Q307" i="31" s="1"/>
  <c r="P218" i="31"/>
  <c r="Q218" i="31" s="1"/>
  <c r="P309" i="31"/>
  <c r="Q309" i="31" s="1"/>
  <c r="M167" i="31"/>
  <c r="P167" i="31"/>
  <c r="Q167" i="31" s="1"/>
  <c r="M163" i="31"/>
  <c r="M214" i="31"/>
  <c r="M262" i="31"/>
  <c r="M256" i="31" s="1"/>
  <c r="P262" i="31"/>
  <c r="Q262" i="31" s="1"/>
  <c r="M154" i="31"/>
  <c r="P154" i="31"/>
  <c r="Q154" i="31" s="1"/>
  <c r="M248" i="31"/>
  <c r="P248" i="31"/>
  <c r="Q248" i="31" s="1"/>
  <c r="P161" i="31"/>
  <c r="Q161" i="31" s="1"/>
  <c r="M161" i="31"/>
  <c r="P269" i="31"/>
  <c r="Q269" i="31" s="1"/>
  <c r="M269" i="31"/>
  <c r="P176" i="31"/>
  <c r="Q176" i="31" s="1"/>
  <c r="M176" i="31"/>
  <c r="P226" i="31"/>
  <c r="Q226" i="31" s="1"/>
  <c r="M226" i="31"/>
  <c r="P316" i="31"/>
  <c r="Q316" i="31" s="1"/>
  <c r="Q315" i="31" s="1"/>
  <c r="M316" i="31"/>
  <c r="M315" i="31" s="1"/>
  <c r="P240" i="31"/>
  <c r="Q240" i="31" s="1"/>
  <c r="M240" i="31"/>
  <c r="P146" i="31"/>
  <c r="Q146" i="31" s="1"/>
  <c r="M146" i="31"/>
  <c r="P280" i="31"/>
  <c r="Q280" i="31" s="1"/>
  <c r="M280" i="31"/>
  <c r="P190" i="31"/>
  <c r="Q190" i="31" s="1"/>
  <c r="M190" i="31"/>
  <c r="P210" i="31"/>
  <c r="Q210" i="31" s="1"/>
  <c r="M210" i="31"/>
  <c r="P254" i="31"/>
  <c r="Q254" i="31" s="1"/>
  <c r="M254" i="31"/>
  <c r="P301" i="31"/>
  <c r="Q301" i="31" s="1"/>
  <c r="M301" i="31"/>
  <c r="M295" i="31" s="1"/>
  <c r="M238" i="28"/>
  <c r="M303" i="28"/>
  <c r="P303" i="28"/>
  <c r="Q303" i="28" s="1"/>
  <c r="M132" i="28"/>
  <c r="P132" i="28"/>
  <c r="Q132" i="28" s="1"/>
  <c r="M187" i="28"/>
  <c r="M212" i="28"/>
  <c r="P212" i="28"/>
  <c r="Q212" i="28" s="1"/>
  <c r="P295" i="28"/>
  <c r="Q295" i="28" s="1"/>
  <c r="M295" i="28"/>
  <c r="M289" i="28" s="1"/>
  <c r="P204" i="28"/>
  <c r="Q204" i="28" s="1"/>
  <c r="M204" i="28"/>
  <c r="P142" i="28"/>
  <c r="Q142" i="28" s="1"/>
  <c r="M142" i="28"/>
  <c r="P155" i="28"/>
  <c r="Q155" i="28" s="1"/>
  <c r="M155" i="28"/>
  <c r="P220" i="28"/>
  <c r="Q220" i="28" s="1"/>
  <c r="M220" i="28"/>
  <c r="P234" i="28"/>
  <c r="Q234" i="28" s="1"/>
  <c r="M234" i="28"/>
  <c r="P170" i="28"/>
  <c r="Q170" i="28" s="1"/>
  <c r="M170" i="28"/>
  <c r="P248" i="28"/>
  <c r="Q248" i="28" s="1"/>
  <c r="M248" i="28"/>
  <c r="P184" i="28"/>
  <c r="Q184" i="28" s="1"/>
  <c r="M184" i="28"/>
  <c r="P274" i="28"/>
  <c r="Q274" i="28" s="1"/>
  <c r="M274" i="28"/>
  <c r="P263" i="28"/>
  <c r="Q263" i="28" s="1"/>
  <c r="M263" i="28"/>
  <c r="M287" i="25"/>
  <c r="P214" i="25"/>
  <c r="Q214" i="25" s="1"/>
  <c r="P149" i="25"/>
  <c r="Q149" i="25" s="1"/>
  <c r="P270" i="25"/>
  <c r="Q270" i="25" s="1"/>
  <c r="V258" i="25"/>
  <c r="T209" i="25"/>
  <c r="T125" i="25"/>
  <c r="P178" i="25"/>
  <c r="Q178" i="25" s="1"/>
  <c r="P155" i="25"/>
  <c r="Q155" i="25" s="1"/>
  <c r="P161" i="25"/>
  <c r="Q161" i="25" s="1"/>
  <c r="T258" i="25"/>
  <c r="V209" i="25"/>
  <c r="P301" i="25"/>
  <c r="Q301" i="25" s="1"/>
  <c r="Q287" i="25" s="1"/>
  <c r="M222" i="25"/>
  <c r="P144" i="25"/>
  <c r="Q144" i="25" s="1"/>
  <c r="M185" i="25"/>
  <c r="P259" i="25"/>
  <c r="Q259" i="25" s="1"/>
  <c r="M126" i="25"/>
  <c r="P126" i="25"/>
  <c r="Q126" i="25" s="1"/>
  <c r="M265" i="25"/>
  <c r="P265" i="25"/>
  <c r="Q265" i="25" s="1"/>
  <c r="M240" i="25"/>
  <c r="P240" i="25"/>
  <c r="Q240" i="25" s="1"/>
  <c r="M210" i="25"/>
  <c r="P210" i="25"/>
  <c r="Q210" i="25" s="1"/>
  <c r="M175" i="25"/>
  <c r="P175" i="25"/>
  <c r="Q175" i="25" s="1"/>
  <c r="M147" i="25"/>
  <c r="P147" i="25"/>
  <c r="Q147" i="25" s="1"/>
  <c r="P168" i="25"/>
  <c r="Q168" i="25" s="1"/>
  <c r="M168" i="25"/>
  <c r="P272" i="25"/>
  <c r="Q272" i="25" s="1"/>
  <c r="M272" i="25"/>
  <c r="P140" i="25"/>
  <c r="Q140" i="25" s="1"/>
  <c r="M140" i="25"/>
  <c r="P232" i="25"/>
  <c r="Q232" i="25" s="1"/>
  <c r="M232" i="25"/>
  <c r="P182" i="25"/>
  <c r="Q182" i="25" s="1"/>
  <c r="M182" i="25"/>
  <c r="P218" i="25"/>
  <c r="Q218" i="25" s="1"/>
  <c r="M218" i="25"/>
  <c r="P246" i="25"/>
  <c r="Q246" i="25" s="1"/>
  <c r="M246" i="25"/>
  <c r="P202" i="25"/>
  <c r="Q202" i="25" s="1"/>
  <c r="M202" i="25"/>
  <c r="M283" i="25"/>
  <c r="M277" i="25" s="1"/>
  <c r="P283" i="25"/>
  <c r="Q283" i="25" s="1"/>
  <c r="M254" i="25"/>
  <c r="M248" i="25" s="1"/>
  <c r="P254" i="25"/>
  <c r="Q254" i="25" s="1"/>
  <c r="Q248" i="25" s="1"/>
  <c r="M226" i="25"/>
  <c r="P226" i="25"/>
  <c r="Q226" i="25" s="1"/>
  <c r="M189" i="25"/>
  <c r="P189" i="25"/>
  <c r="Q189" i="25" s="1"/>
  <c r="M159" i="25"/>
  <c r="P159" i="25"/>
  <c r="Q159" i="25" s="1"/>
  <c r="M130" i="25"/>
  <c r="P130" i="25"/>
  <c r="Q130" i="25" s="1"/>
  <c r="P153" i="25"/>
  <c r="Q153" i="25" s="1"/>
  <c r="M153" i="25"/>
  <c r="P261" i="25"/>
  <c r="Q261" i="25" s="1"/>
  <c r="M261" i="25"/>
  <c r="T272" i="22"/>
  <c r="V125" i="22"/>
  <c r="T291" i="22"/>
  <c r="P242" i="22"/>
  <c r="Q242" i="22" s="1"/>
  <c r="V272" i="22"/>
  <c r="V217" i="22"/>
  <c r="P144" i="22"/>
  <c r="Q144" i="22" s="1"/>
  <c r="O124" i="22"/>
  <c r="AR114" i="1" s="1"/>
  <c r="T125" i="22"/>
  <c r="M277" i="22"/>
  <c r="P226" i="22"/>
  <c r="Q226" i="22" s="1"/>
  <c r="P188" i="22"/>
  <c r="Q188" i="22" s="1"/>
  <c r="P159" i="22"/>
  <c r="Q159" i="22" s="1"/>
  <c r="V301" i="22"/>
  <c r="T301" i="22"/>
  <c r="T217" i="22"/>
  <c r="M263" i="22"/>
  <c r="P279" i="22"/>
  <c r="Q279" i="22" s="1"/>
  <c r="M165" i="22"/>
  <c r="M250" i="22"/>
  <c r="M297" i="22"/>
  <c r="M291" i="22" s="1"/>
  <c r="P297" i="22"/>
  <c r="Q297" i="22" s="1"/>
  <c r="M126" i="22"/>
  <c r="P126" i="22"/>
  <c r="Q126" i="22" s="1"/>
  <c r="M240" i="22"/>
  <c r="P240" i="22"/>
  <c r="Q240" i="22" s="1"/>
  <c r="M167" i="22"/>
  <c r="P167" i="22"/>
  <c r="Q167" i="22" s="1"/>
  <c r="P230" i="22"/>
  <c r="Q230" i="22" s="1"/>
  <c r="M230" i="22"/>
  <c r="P246" i="22"/>
  <c r="Q246" i="22" s="1"/>
  <c r="M246" i="22"/>
  <c r="P161" i="22"/>
  <c r="Q161" i="22" s="1"/>
  <c r="M161" i="22"/>
  <c r="M198" i="22"/>
  <c r="P198" i="22"/>
  <c r="Q198" i="22" s="1"/>
  <c r="M140" i="22"/>
  <c r="P140" i="22"/>
  <c r="Q140" i="22" s="1"/>
  <c r="M254" i="22"/>
  <c r="P254" i="22"/>
  <c r="Q254" i="22" s="1"/>
  <c r="M222" i="22"/>
  <c r="P222" i="22"/>
  <c r="Q222" i="22" s="1"/>
  <c r="M184" i="22"/>
  <c r="P184" i="22"/>
  <c r="Q184" i="22" s="1"/>
  <c r="M155" i="22"/>
  <c r="P155" i="22"/>
  <c r="Q155" i="22" s="1"/>
  <c r="P286" i="22"/>
  <c r="Q286" i="22" s="1"/>
  <c r="M286" i="22"/>
  <c r="P260" i="22"/>
  <c r="Q260" i="22" s="1"/>
  <c r="M260" i="22"/>
  <c r="P191" i="22"/>
  <c r="Q191" i="22" s="1"/>
  <c r="M191" i="22"/>
  <c r="P307" i="22"/>
  <c r="Q307" i="22" s="1"/>
  <c r="M307" i="22"/>
  <c r="M301" i="22" s="1"/>
  <c r="M268" i="22"/>
  <c r="P268" i="22"/>
  <c r="Q268" i="22" s="1"/>
  <c r="Q262" i="22" s="1"/>
  <c r="P322" i="22"/>
  <c r="Q322" i="22" s="1"/>
  <c r="Q321" i="22" s="1"/>
  <c r="M322" i="22"/>
  <c r="M321" i="22" s="1"/>
  <c r="P275" i="22"/>
  <c r="Q275" i="22" s="1"/>
  <c r="M275" i="22"/>
  <c r="P214" i="22"/>
  <c r="Q214" i="22" s="1"/>
  <c r="M214" i="22"/>
  <c r="P177" i="22"/>
  <c r="Q177" i="22" s="1"/>
  <c r="M177" i="22"/>
  <c r="M130" i="22"/>
  <c r="P130" i="22"/>
  <c r="Q130" i="22" s="1"/>
  <c r="P148" i="22"/>
  <c r="Q148" i="22" s="1"/>
  <c r="M148" i="22"/>
  <c r="T264" i="11"/>
  <c r="L126" i="11"/>
  <c r="M126" i="11" s="1"/>
  <c r="L342" i="11"/>
  <c r="M342" i="11" s="1"/>
  <c r="T255" i="10"/>
  <c r="T254" i="10" s="1"/>
  <c r="U129" i="10"/>
  <c r="V129" i="10" s="1"/>
  <c r="U235" i="10"/>
  <c r="V235" i="10" s="1"/>
  <c r="L194" i="10"/>
  <c r="M194" i="10" s="1"/>
  <c r="L305" i="10"/>
  <c r="M305" i="10" s="1"/>
  <c r="U281" i="11"/>
  <c r="V281" i="11" s="1"/>
  <c r="T275" i="11"/>
  <c r="L302" i="11"/>
  <c r="P302" i="11" s="1"/>
  <c r="Q302" i="11" s="1"/>
  <c r="L275" i="11"/>
  <c r="M275" i="11" s="1"/>
  <c r="U155" i="10"/>
  <c r="V155" i="10" s="1"/>
  <c r="T343" i="10"/>
  <c r="T125" i="10"/>
  <c r="L317" i="10"/>
  <c r="M317" i="10" s="1"/>
  <c r="U194" i="10"/>
  <c r="V194" i="10" s="1"/>
  <c r="T240" i="10"/>
  <c r="L276" i="10"/>
  <c r="O328" i="11"/>
  <c r="O286" i="11"/>
  <c r="O258" i="11"/>
  <c r="O123" i="11"/>
  <c r="L239" i="11"/>
  <c r="M239" i="11" s="1"/>
  <c r="T287" i="11"/>
  <c r="U304" i="11"/>
  <c r="V304" i="11" s="1"/>
  <c r="L316" i="11"/>
  <c r="M316" i="11" s="1"/>
  <c r="U326" i="11"/>
  <c r="V326" i="11" s="1"/>
  <c r="L313" i="11"/>
  <c r="M313" i="11" s="1"/>
  <c r="L326" i="11"/>
  <c r="M326" i="11" s="1"/>
  <c r="T279" i="11"/>
  <c r="T342" i="11"/>
  <c r="U128" i="11"/>
  <c r="V128" i="11" s="1"/>
  <c r="T135" i="11"/>
  <c r="T151" i="11"/>
  <c r="U154" i="11"/>
  <c r="V154" i="11" s="1"/>
  <c r="T159" i="11"/>
  <c r="L176" i="11"/>
  <c r="M176" i="11" s="1"/>
  <c r="L264" i="11"/>
  <c r="P264" i="11" s="1"/>
  <c r="Q264" i="11" s="1"/>
  <c r="T306" i="11"/>
  <c r="T345" i="11"/>
  <c r="U124" i="11"/>
  <c r="V124" i="11" s="1"/>
  <c r="L135" i="11"/>
  <c r="M135" i="11" s="1"/>
  <c r="L151" i="11"/>
  <c r="M151" i="11" s="1"/>
  <c r="L159" i="11"/>
  <c r="M159" i="11" s="1"/>
  <c r="L222" i="11"/>
  <c r="P222" i="11" s="1"/>
  <c r="Q222" i="11" s="1"/>
  <c r="T320" i="11"/>
  <c r="U269" i="11"/>
  <c r="V269" i="11" s="1"/>
  <c r="U316" i="11"/>
  <c r="V316" i="11" s="1"/>
  <c r="U320" i="11"/>
  <c r="V320" i="11" s="1"/>
  <c r="P124" i="11"/>
  <c r="Q124" i="11" s="1"/>
  <c r="M124" i="11"/>
  <c r="T124" i="11"/>
  <c r="L166" i="11"/>
  <c r="M166" i="11" s="1"/>
  <c r="T183" i="11"/>
  <c r="U193" i="11"/>
  <c r="V193" i="11" s="1"/>
  <c r="T198" i="11"/>
  <c r="T244" i="11"/>
  <c r="U250" i="11"/>
  <c r="V250" i="11" s="1"/>
  <c r="T254" i="11"/>
  <c r="T253" i="11" s="1"/>
  <c r="L279" i="11"/>
  <c r="P279" i="11" s="1"/>
  <c r="Q279" i="11" s="1"/>
  <c r="L287" i="11"/>
  <c r="M287" i="11" s="1"/>
  <c r="L306" i="11"/>
  <c r="M306" i="11" s="1"/>
  <c r="T329" i="11"/>
  <c r="L340" i="11"/>
  <c r="P340" i="11" s="1"/>
  <c r="Q340" i="11" s="1"/>
  <c r="U345" i="11"/>
  <c r="V345" i="11" s="1"/>
  <c r="L183" i="11"/>
  <c r="P183" i="11" s="1"/>
  <c r="Q183" i="11" s="1"/>
  <c r="L198" i="11"/>
  <c r="M198" i="11" s="1"/>
  <c r="L244" i="11"/>
  <c r="P244" i="11" s="1"/>
  <c r="Q244" i="11" s="1"/>
  <c r="L254" i="11"/>
  <c r="M254" i="11" s="1"/>
  <c r="M253" i="11" s="1"/>
  <c r="L324" i="11"/>
  <c r="P324" i="11" s="1"/>
  <c r="Q324" i="11" s="1"/>
  <c r="U329" i="11"/>
  <c r="V329" i="11" s="1"/>
  <c r="T126" i="11"/>
  <c r="U174" i="11"/>
  <c r="V174" i="11" s="1"/>
  <c r="T176" i="11"/>
  <c r="T222" i="11"/>
  <c r="U234" i="11"/>
  <c r="V234" i="11" s="1"/>
  <c r="T239" i="11"/>
  <c r="L259" i="11"/>
  <c r="U259" i="11"/>
  <c r="V259" i="11" s="1"/>
  <c r="T259" i="11"/>
  <c r="T258" i="11" s="1"/>
  <c r="P126" i="11"/>
  <c r="Q126" i="11" s="1"/>
  <c r="L180" i="11"/>
  <c r="U180" i="11"/>
  <c r="V180" i="11" s="1"/>
  <c r="T180" i="11"/>
  <c r="M264" i="11"/>
  <c r="L277" i="11"/>
  <c r="U277" i="11"/>
  <c r="V277" i="11" s="1"/>
  <c r="V274" i="11" s="1"/>
  <c r="T277" i="11"/>
  <c r="L207" i="11"/>
  <c r="U207" i="11"/>
  <c r="V207" i="11" s="1"/>
  <c r="T207" i="11"/>
  <c r="L291" i="11"/>
  <c r="U291" i="11"/>
  <c r="V291" i="11" s="1"/>
  <c r="T291" i="11"/>
  <c r="L311" i="11"/>
  <c r="U311" i="11"/>
  <c r="V311" i="11" s="1"/>
  <c r="T311" i="11"/>
  <c r="M320" i="11"/>
  <c r="P320" i="11"/>
  <c r="Q320" i="11" s="1"/>
  <c r="L164" i="11"/>
  <c r="U164" i="11"/>
  <c r="V164" i="11" s="1"/>
  <c r="T164" i="11"/>
  <c r="M324" i="11"/>
  <c r="L334" i="11"/>
  <c r="U334" i="11"/>
  <c r="V334" i="11" s="1"/>
  <c r="T334" i="11"/>
  <c r="L141" i="11"/>
  <c r="U141" i="11"/>
  <c r="V141" i="11" s="1"/>
  <c r="T141" i="11"/>
  <c r="L242" i="11"/>
  <c r="U242" i="11"/>
  <c r="V242" i="11" s="1"/>
  <c r="T242" i="11"/>
  <c r="L322" i="11"/>
  <c r="U322" i="11"/>
  <c r="V322" i="11" s="1"/>
  <c r="T322" i="11"/>
  <c r="M329" i="11"/>
  <c r="P329" i="11"/>
  <c r="Q329" i="11" s="1"/>
  <c r="M345" i="11"/>
  <c r="P345" i="11"/>
  <c r="Q345" i="11" s="1"/>
  <c r="M349" i="11"/>
  <c r="M348" i="11" s="1"/>
  <c r="P349" i="11"/>
  <c r="Q349" i="11" s="1"/>
  <c r="Q348" i="11" s="1"/>
  <c r="L128" i="11"/>
  <c r="L154" i="11"/>
  <c r="L174" i="11"/>
  <c r="L193" i="11"/>
  <c r="L234" i="11"/>
  <c r="L250" i="11"/>
  <c r="L269" i="11"/>
  <c r="L281" i="11"/>
  <c r="L304" i="11"/>
  <c r="T349" i="11"/>
  <c r="T348" i="11" s="1"/>
  <c r="T302" i="11"/>
  <c r="T313" i="11"/>
  <c r="T324" i="11"/>
  <c r="T340" i="11"/>
  <c r="U349" i="11"/>
  <c r="V349" i="11" s="1"/>
  <c r="V348" i="11" s="1"/>
  <c r="O329" i="10"/>
  <c r="O287" i="10"/>
  <c r="O275" i="10"/>
  <c r="O259" i="10"/>
  <c r="T136" i="10"/>
  <c r="T346" i="10"/>
  <c r="L288" i="10"/>
  <c r="L327" i="10"/>
  <c r="M327" i="10" s="1"/>
  <c r="L155" i="10"/>
  <c r="M155" i="10" s="1"/>
  <c r="L160" i="10"/>
  <c r="T160" i="10"/>
  <c r="U199" i="10"/>
  <c r="V199" i="10" s="1"/>
  <c r="T307" i="10"/>
  <c r="T321" i="10"/>
  <c r="T330" i="10"/>
  <c r="L343" i="10"/>
  <c r="M343" i="10" s="1"/>
  <c r="U346" i="10"/>
  <c r="V346" i="10" s="1"/>
  <c r="P136" i="10"/>
  <c r="Q136" i="10" s="1"/>
  <c r="P240" i="10"/>
  <c r="Q240" i="10" s="1"/>
  <c r="L307" i="10"/>
  <c r="M307" i="10" s="1"/>
  <c r="L321" i="10"/>
  <c r="M321" i="10" s="1"/>
  <c r="U330" i="10"/>
  <c r="V330" i="10" s="1"/>
  <c r="L341" i="10"/>
  <c r="P341" i="10" s="1"/>
  <c r="Q341" i="10" s="1"/>
  <c r="P330" i="10"/>
  <c r="Q330" i="10" s="1"/>
  <c r="P223" i="10"/>
  <c r="Q223" i="10" s="1"/>
  <c r="M223" i="10"/>
  <c r="U175" i="10"/>
  <c r="V175" i="10" s="1"/>
  <c r="T177" i="10"/>
  <c r="U270" i="10"/>
  <c r="V270" i="10" s="1"/>
  <c r="U282" i="10"/>
  <c r="V282" i="10" s="1"/>
  <c r="M325" i="10"/>
  <c r="L125" i="10"/>
  <c r="O125" i="10" s="1"/>
  <c r="O124" i="10" s="1"/>
  <c r="L175" i="10"/>
  <c r="M175" i="10" s="1"/>
  <c r="U177" i="10"/>
  <c r="V177" i="10" s="1"/>
  <c r="L270" i="10"/>
  <c r="M270" i="10" s="1"/>
  <c r="T276" i="10"/>
  <c r="L282" i="10"/>
  <c r="M282" i="10" s="1"/>
  <c r="T288" i="10"/>
  <c r="U317" i="10"/>
  <c r="V317" i="10" s="1"/>
  <c r="L129" i="10"/>
  <c r="M129" i="10" s="1"/>
  <c r="U136" i="10"/>
  <c r="V136" i="10" s="1"/>
  <c r="M167" i="10"/>
  <c r="P177" i="10"/>
  <c r="Q177" i="10" s="1"/>
  <c r="T199" i="10"/>
  <c r="L235" i="10"/>
  <c r="M235" i="10" s="1"/>
  <c r="U240" i="10"/>
  <c r="V240" i="10" s="1"/>
  <c r="L251" i="10"/>
  <c r="U251" i="10"/>
  <c r="V251" i="10" s="1"/>
  <c r="U255" i="10"/>
  <c r="V255" i="10" s="1"/>
  <c r="V254" i="10" s="1"/>
  <c r="M265" i="10"/>
  <c r="U305" i="10"/>
  <c r="V305" i="10" s="1"/>
  <c r="U327" i="10"/>
  <c r="V327" i="10" s="1"/>
  <c r="P184" i="10"/>
  <c r="Q184" i="10" s="1"/>
  <c r="M184" i="10"/>
  <c r="U152" i="10"/>
  <c r="V152" i="10" s="1"/>
  <c r="T152" i="10"/>
  <c r="U314" i="10"/>
  <c r="V314" i="10" s="1"/>
  <c r="T314" i="10"/>
  <c r="L165" i="10"/>
  <c r="U165" i="10"/>
  <c r="V165" i="10" s="1"/>
  <c r="U303" i="10"/>
  <c r="V303" i="10" s="1"/>
  <c r="T303" i="10"/>
  <c r="L323" i="10"/>
  <c r="U323" i="10"/>
  <c r="V323" i="10" s="1"/>
  <c r="U127" i="10"/>
  <c r="V127" i="10" s="1"/>
  <c r="T127" i="10"/>
  <c r="L142" i="10"/>
  <c r="U142" i="10"/>
  <c r="V142" i="10" s="1"/>
  <c r="T165" i="10"/>
  <c r="M245" i="10"/>
  <c r="U280" i="10"/>
  <c r="V280" i="10" s="1"/>
  <c r="T280" i="10"/>
  <c r="P282" i="10"/>
  <c r="Q282" i="10" s="1"/>
  <c r="M303" i="10"/>
  <c r="L312" i="10"/>
  <c r="U312" i="10"/>
  <c r="V312" i="10" s="1"/>
  <c r="T323" i="10"/>
  <c r="M346" i="10"/>
  <c r="P346" i="10"/>
  <c r="Q346" i="10" s="1"/>
  <c r="L152" i="10"/>
  <c r="L278" i="10"/>
  <c r="U278" i="10"/>
  <c r="V278" i="10" s="1"/>
  <c r="L314" i="10"/>
  <c r="U184" i="10"/>
  <c r="V184" i="10" s="1"/>
  <c r="T184" i="10"/>
  <c r="L208" i="10"/>
  <c r="U208" i="10"/>
  <c r="V208" i="10" s="1"/>
  <c r="U245" i="10"/>
  <c r="V245" i="10" s="1"/>
  <c r="T245" i="10"/>
  <c r="L260" i="10"/>
  <c r="U260" i="10"/>
  <c r="V260" i="10" s="1"/>
  <c r="M127" i="10"/>
  <c r="T142" i="10"/>
  <c r="U167" i="10"/>
  <c r="V167" i="10" s="1"/>
  <c r="T167" i="10"/>
  <c r="L181" i="10"/>
  <c r="U181" i="10"/>
  <c r="V181" i="10" s="1"/>
  <c r="P199" i="10"/>
  <c r="Q199" i="10" s="1"/>
  <c r="U223" i="10"/>
  <c r="V223" i="10" s="1"/>
  <c r="T223" i="10"/>
  <c r="L243" i="10"/>
  <c r="U243" i="10"/>
  <c r="V243" i="10" s="1"/>
  <c r="P255" i="10"/>
  <c r="Q255" i="10" s="1"/>
  <c r="Q254" i="10" s="1"/>
  <c r="U265" i="10"/>
  <c r="V265" i="10" s="1"/>
  <c r="T265" i="10"/>
  <c r="T259" i="10" s="1"/>
  <c r="P270" i="10"/>
  <c r="Q270" i="10" s="1"/>
  <c r="M280" i="10"/>
  <c r="L292" i="10"/>
  <c r="U292" i="10"/>
  <c r="V292" i="10" s="1"/>
  <c r="T312" i="10"/>
  <c r="U325" i="10"/>
  <c r="V325" i="10" s="1"/>
  <c r="T325" i="10"/>
  <c r="L335" i="10"/>
  <c r="U335" i="10"/>
  <c r="V335" i="10" s="1"/>
  <c r="L350" i="10"/>
  <c r="U350" i="10"/>
  <c r="V350" i="10" s="1"/>
  <c r="V349" i="10" s="1"/>
  <c r="T350" i="10"/>
  <c r="T349" i="10" s="1"/>
  <c r="T341" i="10"/>
  <c r="M258" i="25" l="1"/>
  <c r="P151" i="11"/>
  <c r="Q151" i="11" s="1"/>
  <c r="P305" i="10"/>
  <c r="Q305" i="10" s="1"/>
  <c r="M260" i="28"/>
  <c r="P313" i="11"/>
  <c r="Q313" i="11" s="1"/>
  <c r="P175" i="10"/>
  <c r="Q175" i="10" s="1"/>
  <c r="Q256" i="31"/>
  <c r="Q291" i="22"/>
  <c r="M266" i="31"/>
  <c r="M127" i="28"/>
  <c r="Q277" i="25"/>
  <c r="M272" i="22"/>
  <c r="Q266" i="31"/>
  <c r="Q127" i="31"/>
  <c r="M217" i="31"/>
  <c r="Q295" i="31"/>
  <c r="M127" i="31"/>
  <c r="V126" i="31"/>
  <c r="T126" i="31"/>
  <c r="Q289" i="28"/>
  <c r="Q260" i="28"/>
  <c r="Q127" i="28"/>
  <c r="Q209" i="25"/>
  <c r="Q258" i="25"/>
  <c r="V124" i="25"/>
  <c r="Q301" i="22"/>
  <c r="V124" i="22"/>
  <c r="T124" i="22"/>
  <c r="Q217" i="22"/>
  <c r="Q217" i="31"/>
  <c r="T126" i="28"/>
  <c r="Q211" i="28"/>
  <c r="V126" i="28"/>
  <c r="M211" i="28"/>
  <c r="M126" i="28" s="1"/>
  <c r="AQ122" i="1" s="1"/>
  <c r="Q125" i="25"/>
  <c r="M209" i="25"/>
  <c r="M125" i="25"/>
  <c r="T124" i="25"/>
  <c r="M217" i="22"/>
  <c r="Q272" i="22"/>
  <c r="M125" i="22"/>
  <c r="M262" i="22"/>
  <c r="Q125" i="22"/>
  <c r="M302" i="11"/>
  <c r="P342" i="11"/>
  <c r="Q342" i="11" s="1"/>
  <c r="P254" i="11"/>
  <c r="Q254" i="11" s="1"/>
  <c r="Q253" i="11" s="1"/>
  <c r="M222" i="11"/>
  <c r="M279" i="11"/>
  <c r="V328" i="11"/>
  <c r="P159" i="11"/>
  <c r="Q159" i="11" s="1"/>
  <c r="T274" i="11"/>
  <c r="P327" i="10"/>
  <c r="Q327" i="10" s="1"/>
  <c r="V287" i="10"/>
  <c r="T124" i="10"/>
  <c r="P194" i="10"/>
  <c r="Q194" i="10" s="1"/>
  <c r="P275" i="11"/>
  <c r="Q275" i="11" s="1"/>
  <c r="P239" i="11"/>
  <c r="Q239" i="11" s="1"/>
  <c r="M183" i="11"/>
  <c r="V286" i="11"/>
  <c r="O122" i="11"/>
  <c r="AR100" i="1" s="1"/>
  <c r="V258" i="11"/>
  <c r="P317" i="10"/>
  <c r="Q317" i="10" s="1"/>
  <c r="O123" i="10"/>
  <c r="AR99" i="1" s="1"/>
  <c r="M276" i="10"/>
  <c r="P276" i="10"/>
  <c r="Q276" i="10" s="1"/>
  <c r="V124" i="10"/>
  <c r="V259" i="10"/>
  <c r="V123" i="11"/>
  <c r="P176" i="11"/>
  <c r="Q176" i="11" s="1"/>
  <c r="P135" i="11"/>
  <c r="Q135" i="11" s="1"/>
  <c r="P316" i="11"/>
  <c r="Q316" i="11" s="1"/>
  <c r="T286" i="11"/>
  <c r="T328" i="11"/>
  <c r="T123" i="11"/>
  <c r="P326" i="11"/>
  <c r="Q326" i="11" s="1"/>
  <c r="M340" i="11"/>
  <c r="M244" i="11"/>
  <c r="P306" i="11"/>
  <c r="Q306" i="11" s="1"/>
  <c r="P166" i="11"/>
  <c r="Q166" i="11" s="1"/>
  <c r="P287" i="11"/>
  <c r="Q287" i="11" s="1"/>
  <c r="P198" i="11"/>
  <c r="Q198" i="11" s="1"/>
  <c r="M269" i="11"/>
  <c r="P269" i="11"/>
  <c r="Q269" i="11" s="1"/>
  <c r="P322" i="11"/>
  <c r="Q322" i="11" s="1"/>
  <c r="M322" i="11"/>
  <c r="P141" i="11"/>
  <c r="Q141" i="11" s="1"/>
  <c r="M141" i="11"/>
  <c r="P164" i="11"/>
  <c r="Q164" i="11" s="1"/>
  <c r="M164" i="11"/>
  <c r="P291" i="11"/>
  <c r="Q291" i="11" s="1"/>
  <c r="M291" i="11"/>
  <c r="P277" i="11"/>
  <c r="Q277" i="11" s="1"/>
  <c r="M277" i="11"/>
  <c r="P259" i="11"/>
  <c r="Q259" i="11" s="1"/>
  <c r="M259" i="11"/>
  <c r="M234" i="11"/>
  <c r="P234" i="11"/>
  <c r="Q234" i="11" s="1"/>
  <c r="M128" i="11"/>
  <c r="P128" i="11"/>
  <c r="Q128" i="11" s="1"/>
  <c r="P242" i="11"/>
  <c r="Q242" i="11" s="1"/>
  <c r="M242" i="11"/>
  <c r="P334" i="11"/>
  <c r="Q334" i="11" s="1"/>
  <c r="M334" i="11"/>
  <c r="M281" i="11"/>
  <c r="P281" i="11"/>
  <c r="Q281" i="11" s="1"/>
  <c r="M250" i="11"/>
  <c r="P250" i="11"/>
  <c r="Q250" i="11" s="1"/>
  <c r="M193" i="11"/>
  <c r="P193" i="11"/>
  <c r="Q193" i="11" s="1"/>
  <c r="M154" i="11"/>
  <c r="P154" i="11"/>
  <c r="Q154" i="11" s="1"/>
  <c r="P311" i="11"/>
  <c r="Q311" i="11" s="1"/>
  <c r="M311" i="11"/>
  <c r="P207" i="11"/>
  <c r="Q207" i="11" s="1"/>
  <c r="M207" i="11"/>
  <c r="P180" i="11"/>
  <c r="Q180" i="11" s="1"/>
  <c r="M180" i="11"/>
  <c r="M304" i="11"/>
  <c r="P304" i="11"/>
  <c r="Q304" i="11" s="1"/>
  <c r="M174" i="11"/>
  <c r="P174" i="11"/>
  <c r="Q174" i="11" s="1"/>
  <c r="V275" i="10"/>
  <c r="P155" i="10"/>
  <c r="Q155" i="10" s="1"/>
  <c r="T287" i="10"/>
  <c r="P343" i="10"/>
  <c r="Q343" i="10" s="1"/>
  <c r="T329" i="10"/>
  <c r="P129" i="10"/>
  <c r="Q129" i="10" s="1"/>
  <c r="P321" i="10"/>
  <c r="Q321" i="10" s="1"/>
  <c r="T275" i="10"/>
  <c r="V329" i="10"/>
  <c r="M288" i="10"/>
  <c r="P288" i="10"/>
  <c r="Q288" i="10" s="1"/>
  <c r="M160" i="10"/>
  <c r="P160" i="10"/>
  <c r="Q160" i="10" s="1"/>
  <c r="M341" i="10"/>
  <c r="P307" i="10"/>
  <c r="Q307" i="10" s="1"/>
  <c r="P235" i="10"/>
  <c r="Q235" i="10" s="1"/>
  <c r="M251" i="10"/>
  <c r="P251" i="10"/>
  <c r="Q251" i="10" s="1"/>
  <c r="M125" i="10"/>
  <c r="P125" i="10"/>
  <c r="Q125" i="10" s="1"/>
  <c r="P260" i="10"/>
  <c r="Q260" i="10" s="1"/>
  <c r="Q259" i="10" s="1"/>
  <c r="M260" i="10"/>
  <c r="M259" i="10" s="1"/>
  <c r="P142" i="10"/>
  <c r="Q142" i="10" s="1"/>
  <c r="M142" i="10"/>
  <c r="P181" i="10"/>
  <c r="Q181" i="10" s="1"/>
  <c r="M181" i="10"/>
  <c r="P278" i="10"/>
  <c r="Q278" i="10" s="1"/>
  <c r="M278" i="10"/>
  <c r="P335" i="10"/>
  <c r="Q335" i="10" s="1"/>
  <c r="M335" i="10"/>
  <c r="M329" i="10" s="1"/>
  <c r="P152" i="10"/>
  <c r="Q152" i="10" s="1"/>
  <c r="M152" i="10"/>
  <c r="P350" i="10"/>
  <c r="Q350" i="10" s="1"/>
  <c r="Q349" i="10" s="1"/>
  <c r="M350" i="10"/>
  <c r="M349" i="10" s="1"/>
  <c r="P292" i="10"/>
  <c r="Q292" i="10" s="1"/>
  <c r="M292" i="10"/>
  <c r="P208" i="10"/>
  <c r="Q208" i="10" s="1"/>
  <c r="M208" i="10"/>
  <c r="P312" i="10"/>
  <c r="Q312" i="10" s="1"/>
  <c r="M312" i="10"/>
  <c r="P323" i="10"/>
  <c r="Q323" i="10" s="1"/>
  <c r="M323" i="10"/>
  <c r="P165" i="10"/>
  <c r="Q165" i="10" s="1"/>
  <c r="M165" i="10"/>
  <c r="P243" i="10"/>
  <c r="Q243" i="10" s="1"/>
  <c r="M243" i="10"/>
  <c r="P314" i="10"/>
  <c r="Q314" i="10" s="1"/>
  <c r="M314" i="10"/>
  <c r="X124" i="9"/>
  <c r="Z124" i="9"/>
  <c r="AB124" i="9"/>
  <c r="AD124" i="9"/>
  <c r="AF124" i="9"/>
  <c r="AH124" i="9"/>
  <c r="AJ124" i="9"/>
  <c r="AL124" i="9"/>
  <c r="S389" i="9"/>
  <c r="O389" i="9"/>
  <c r="O388" i="9" s="1"/>
  <c r="S385" i="9"/>
  <c r="L385" i="9" s="1"/>
  <c r="O385" i="9"/>
  <c r="S382" i="9"/>
  <c r="U382" i="9" s="1"/>
  <c r="V382" i="9" s="1"/>
  <c r="O382" i="9"/>
  <c r="S380" i="9"/>
  <c r="U380" i="9" s="1"/>
  <c r="V380" i="9" s="1"/>
  <c r="O380" i="9"/>
  <c r="S374" i="9"/>
  <c r="O374" i="9"/>
  <c r="S369" i="9"/>
  <c r="L369" i="9" s="1"/>
  <c r="O369" i="9"/>
  <c r="S364" i="9"/>
  <c r="T364" i="9" s="1"/>
  <c r="O364" i="9"/>
  <c r="S360" i="9"/>
  <c r="U360" i="9" s="1"/>
  <c r="V360" i="9" s="1"/>
  <c r="O360" i="9"/>
  <c r="S356" i="9"/>
  <c r="O356" i="9"/>
  <c r="S353" i="9"/>
  <c r="L353" i="9" s="1"/>
  <c r="O353" i="9"/>
  <c r="S351" i="9"/>
  <c r="T351" i="9" s="1"/>
  <c r="O351" i="9"/>
  <c r="S349" i="9"/>
  <c r="U349" i="9" s="1"/>
  <c r="V349" i="9" s="1"/>
  <c r="O349" i="9"/>
  <c r="S345" i="9"/>
  <c r="O345" i="9"/>
  <c r="S343" i="9"/>
  <c r="T343" i="9" s="1"/>
  <c r="O343" i="9"/>
  <c r="S341" i="9"/>
  <c r="T341" i="9" s="1"/>
  <c r="O341" i="9"/>
  <c r="S339" i="9"/>
  <c r="U339" i="9" s="1"/>
  <c r="V339" i="9" s="1"/>
  <c r="O339" i="9"/>
  <c r="S337" i="9"/>
  <c r="O337" i="9"/>
  <c r="S333" i="9"/>
  <c r="U333" i="9" s="1"/>
  <c r="V333" i="9" s="1"/>
  <c r="O333" i="9"/>
  <c r="S330" i="9"/>
  <c r="T330" i="9" s="1"/>
  <c r="O330" i="9"/>
  <c r="S328" i="9"/>
  <c r="U328" i="9" s="1"/>
  <c r="V328" i="9" s="1"/>
  <c r="O328" i="9"/>
  <c r="S323" i="9"/>
  <c r="O323" i="9"/>
  <c r="S321" i="9"/>
  <c r="U321" i="9" s="1"/>
  <c r="V321" i="9" s="1"/>
  <c r="O321" i="9"/>
  <c r="S319" i="9"/>
  <c r="T319" i="9" s="1"/>
  <c r="O319" i="9"/>
  <c r="S308" i="9"/>
  <c r="U308" i="9" s="1"/>
  <c r="V308" i="9" s="1"/>
  <c r="O308" i="9"/>
  <c r="S304" i="9"/>
  <c r="O304" i="9"/>
  <c r="S298" i="9"/>
  <c r="U298" i="9" s="1"/>
  <c r="V298" i="9" s="1"/>
  <c r="O298" i="9"/>
  <c r="S296" i="9"/>
  <c r="T296" i="9" s="1"/>
  <c r="O296" i="9"/>
  <c r="S294" i="9"/>
  <c r="U294" i="9" s="1"/>
  <c r="V294" i="9" s="1"/>
  <c r="O294" i="9"/>
  <c r="S292" i="9"/>
  <c r="O292" i="9"/>
  <c r="S282" i="9"/>
  <c r="U282" i="9" s="1"/>
  <c r="V282" i="9" s="1"/>
  <c r="O282" i="9"/>
  <c r="S273" i="9"/>
  <c r="T273" i="9" s="1"/>
  <c r="O273" i="9"/>
  <c r="S268" i="9"/>
  <c r="U268" i="9" s="1"/>
  <c r="V268" i="9" s="1"/>
  <c r="O268" i="9"/>
  <c r="S263" i="9"/>
  <c r="O263" i="9"/>
  <c r="O262" i="9" s="1"/>
  <c r="S259" i="9"/>
  <c r="U259" i="9" s="1"/>
  <c r="V259" i="9" s="1"/>
  <c r="O259" i="9"/>
  <c r="S253" i="9"/>
  <c r="T253" i="9" s="1"/>
  <c r="O253" i="9"/>
  <c r="S251" i="9"/>
  <c r="U251" i="9" s="1"/>
  <c r="V251" i="9" s="1"/>
  <c r="O251" i="9"/>
  <c r="S248" i="9"/>
  <c r="O248" i="9"/>
  <c r="S243" i="9"/>
  <c r="U243" i="9" s="1"/>
  <c r="V243" i="9" s="1"/>
  <c r="O243" i="9"/>
  <c r="S231" i="9"/>
  <c r="T231" i="9" s="1"/>
  <c r="O231" i="9"/>
  <c r="S215" i="9"/>
  <c r="U215" i="9" s="1"/>
  <c r="V215" i="9" s="1"/>
  <c r="O215" i="9"/>
  <c r="S206" i="9"/>
  <c r="O206" i="9"/>
  <c r="S199" i="9"/>
  <c r="U199" i="9" s="1"/>
  <c r="V199" i="9" s="1"/>
  <c r="O199" i="9"/>
  <c r="S189" i="9"/>
  <c r="U189" i="9" s="1"/>
  <c r="V189" i="9" s="1"/>
  <c r="O189" i="9"/>
  <c r="S186" i="9"/>
  <c r="U186" i="9" s="1"/>
  <c r="V186" i="9" s="1"/>
  <c r="O186" i="9"/>
  <c r="S182" i="9"/>
  <c r="U182" i="9" s="1"/>
  <c r="V182" i="9" s="1"/>
  <c r="O182" i="9"/>
  <c r="S180" i="9"/>
  <c r="U180" i="9" s="1"/>
  <c r="V180" i="9" s="1"/>
  <c r="O180" i="9"/>
  <c r="S172" i="9"/>
  <c r="U172" i="9" s="1"/>
  <c r="V172" i="9" s="1"/>
  <c r="O172" i="9"/>
  <c r="S170" i="9"/>
  <c r="U170" i="9" s="1"/>
  <c r="V170" i="9" s="1"/>
  <c r="O170" i="9"/>
  <c r="S165" i="9"/>
  <c r="T165" i="9" s="1"/>
  <c r="O165" i="9"/>
  <c r="S160" i="9"/>
  <c r="U160" i="9" s="1"/>
  <c r="V160" i="9" s="1"/>
  <c r="O160" i="9"/>
  <c r="S157" i="9"/>
  <c r="L157" i="9" s="1"/>
  <c r="O157" i="9"/>
  <c r="S146" i="9"/>
  <c r="L146" i="9" s="1"/>
  <c r="O146" i="9"/>
  <c r="S140" i="9"/>
  <c r="T140" i="9" s="1"/>
  <c r="O140" i="9"/>
  <c r="S130" i="9"/>
  <c r="U130" i="9" s="1"/>
  <c r="V130" i="9" s="1"/>
  <c r="O130" i="9"/>
  <c r="S128" i="9"/>
  <c r="L128" i="9" s="1"/>
  <c r="O128" i="9" s="1"/>
  <c r="O126" i="9"/>
  <c r="S126" i="9"/>
  <c r="T126" i="9" s="1"/>
  <c r="E7" i="9"/>
  <c r="E84" i="9" s="1"/>
  <c r="J16" i="9"/>
  <c r="J92" i="9" s="1"/>
  <c r="J21" i="9"/>
  <c r="E22" i="9"/>
  <c r="J22" i="9"/>
  <c r="J27" i="9"/>
  <c r="E28" i="9"/>
  <c r="J95" i="9" s="1"/>
  <c r="J28" i="9"/>
  <c r="J39" i="9"/>
  <c r="J40" i="9"/>
  <c r="J41" i="9"/>
  <c r="E90" i="9"/>
  <c r="F92" i="9"/>
  <c r="F94" i="9"/>
  <c r="J94" i="9"/>
  <c r="O232" i="8"/>
  <c r="O188" i="8"/>
  <c r="X123" i="8"/>
  <c r="Z123" i="8"/>
  <c r="AB123" i="8"/>
  <c r="AD123" i="8"/>
  <c r="AF123" i="8"/>
  <c r="AH123" i="8"/>
  <c r="AJ123" i="8"/>
  <c r="AL123" i="8"/>
  <c r="S348" i="8"/>
  <c r="L348" i="8" s="1"/>
  <c r="M348" i="8" s="1"/>
  <c r="M347" i="8" s="1"/>
  <c r="O348" i="8"/>
  <c r="O347" i="8" s="1"/>
  <c r="S344" i="8"/>
  <c r="T344" i="8" s="1"/>
  <c r="O344" i="8"/>
  <c r="S341" i="8"/>
  <c r="T341" i="8" s="1"/>
  <c r="O341" i="8"/>
  <c r="S339" i="8"/>
  <c r="U339" i="8" s="1"/>
  <c r="V339" i="8" s="1"/>
  <c r="O339" i="8"/>
  <c r="S333" i="8"/>
  <c r="L333" i="8" s="1"/>
  <c r="P333" i="8" s="1"/>
  <c r="Q333" i="8" s="1"/>
  <c r="O333" i="8"/>
  <c r="S328" i="8"/>
  <c r="U328" i="8" s="1"/>
  <c r="V328" i="8" s="1"/>
  <c r="O328" i="8"/>
  <c r="S322" i="8"/>
  <c r="T322" i="8" s="1"/>
  <c r="O322" i="8"/>
  <c r="S317" i="8"/>
  <c r="U317" i="8" s="1"/>
  <c r="V317" i="8" s="1"/>
  <c r="O317" i="8"/>
  <c r="S314" i="8"/>
  <c r="L314" i="8" s="1"/>
  <c r="P314" i="8" s="1"/>
  <c r="Q314" i="8" s="1"/>
  <c r="O314" i="8"/>
  <c r="S312" i="8"/>
  <c r="U312" i="8" s="1"/>
  <c r="V312" i="8" s="1"/>
  <c r="O312" i="8"/>
  <c r="S310" i="8"/>
  <c r="T310" i="8" s="1"/>
  <c r="O310" i="8"/>
  <c r="S306" i="8"/>
  <c r="U306" i="8" s="1"/>
  <c r="V306" i="8" s="1"/>
  <c r="O306" i="8"/>
  <c r="S302" i="8"/>
  <c r="L302" i="8" s="1"/>
  <c r="M302" i="8" s="1"/>
  <c r="O302" i="8"/>
  <c r="S299" i="8"/>
  <c r="U299" i="8" s="1"/>
  <c r="V299" i="8" s="1"/>
  <c r="O299" i="8"/>
  <c r="S294" i="8"/>
  <c r="T294" i="8" s="1"/>
  <c r="O294" i="8"/>
  <c r="S291" i="8"/>
  <c r="U291" i="8" s="1"/>
  <c r="V291" i="8" s="1"/>
  <c r="O291" i="8"/>
  <c r="S289" i="8"/>
  <c r="L289" i="8" s="1"/>
  <c r="M289" i="8" s="1"/>
  <c r="O289" i="8"/>
  <c r="S287" i="8"/>
  <c r="U287" i="8" s="1"/>
  <c r="V287" i="8" s="1"/>
  <c r="O287" i="8"/>
  <c r="S283" i="8"/>
  <c r="T283" i="8" s="1"/>
  <c r="O283" i="8"/>
  <c r="S279" i="8"/>
  <c r="U279" i="8" s="1"/>
  <c r="V279" i="8" s="1"/>
  <c r="O279" i="8"/>
  <c r="S273" i="8"/>
  <c r="L273" i="8" s="1"/>
  <c r="P273" i="8" s="1"/>
  <c r="Q273" i="8" s="1"/>
  <c r="O273" i="8"/>
  <c r="S271" i="8"/>
  <c r="U271" i="8" s="1"/>
  <c r="V271" i="8" s="1"/>
  <c r="O271" i="8"/>
  <c r="S266" i="8"/>
  <c r="T266" i="8" s="1"/>
  <c r="O266" i="8"/>
  <c r="S264" i="8"/>
  <c r="U264" i="8" s="1"/>
  <c r="V264" i="8" s="1"/>
  <c r="O264" i="8"/>
  <c r="S262" i="8"/>
  <c r="L262" i="8" s="1"/>
  <c r="P262" i="8" s="1"/>
  <c r="Q262" i="8" s="1"/>
  <c r="O262" i="8"/>
  <c r="S260" i="8"/>
  <c r="U260" i="8" s="1"/>
  <c r="V260" i="8" s="1"/>
  <c r="O260" i="8"/>
  <c r="S254" i="8"/>
  <c r="T254" i="8" s="1"/>
  <c r="O254" i="8"/>
  <c r="S249" i="8"/>
  <c r="U249" i="8" s="1"/>
  <c r="V249" i="8" s="1"/>
  <c r="O249" i="8"/>
  <c r="S244" i="8"/>
  <c r="L244" i="8" s="1"/>
  <c r="M244" i="8" s="1"/>
  <c r="O244" i="8"/>
  <c r="S239" i="8"/>
  <c r="T239" i="8" s="1"/>
  <c r="T238" i="8" s="1"/>
  <c r="O239" i="8"/>
  <c r="O238" i="8" s="1"/>
  <c r="S235" i="8"/>
  <c r="T235" i="8" s="1"/>
  <c r="O235" i="8"/>
  <c r="S232" i="8"/>
  <c r="U232" i="8" s="1"/>
  <c r="V232" i="8" s="1"/>
  <c r="S227" i="8"/>
  <c r="L227" i="8" s="1"/>
  <c r="M227" i="8" s="1"/>
  <c r="O227" i="8"/>
  <c r="S223" i="8"/>
  <c r="U223" i="8" s="1"/>
  <c r="V223" i="8" s="1"/>
  <c r="O223" i="8"/>
  <c r="S208" i="8"/>
  <c r="T208" i="8" s="1"/>
  <c r="O208" i="8"/>
  <c r="S204" i="8"/>
  <c r="U204" i="8" s="1"/>
  <c r="V204" i="8" s="1"/>
  <c r="O204" i="8"/>
  <c r="S197" i="8"/>
  <c r="L197" i="8" s="1"/>
  <c r="P197" i="8" s="1"/>
  <c r="Q197" i="8" s="1"/>
  <c r="O197" i="8"/>
  <c r="S193" i="8"/>
  <c r="T193" i="8" s="1"/>
  <c r="O193" i="8"/>
  <c r="S188" i="8"/>
  <c r="T188" i="8" s="1"/>
  <c r="S186" i="8"/>
  <c r="U186" i="8" s="1"/>
  <c r="V186" i="8" s="1"/>
  <c r="O186" i="8"/>
  <c r="S181" i="8"/>
  <c r="L181" i="8" s="1"/>
  <c r="P181" i="8" s="1"/>
  <c r="Q181" i="8" s="1"/>
  <c r="O181" i="8"/>
  <c r="S176" i="8"/>
  <c r="U176" i="8" s="1"/>
  <c r="V176" i="8" s="1"/>
  <c r="O176" i="8"/>
  <c r="S173" i="8"/>
  <c r="T173" i="8" s="1"/>
  <c r="O173" i="8"/>
  <c r="S164" i="8"/>
  <c r="U164" i="8" s="1"/>
  <c r="V164" i="8" s="1"/>
  <c r="O164" i="8"/>
  <c r="S160" i="8"/>
  <c r="L160" i="8" s="1"/>
  <c r="M160" i="8" s="1"/>
  <c r="O160" i="8"/>
  <c r="S156" i="8"/>
  <c r="U156" i="8" s="1"/>
  <c r="V156" i="8" s="1"/>
  <c r="O156" i="8"/>
  <c r="S154" i="8"/>
  <c r="T154" i="8" s="1"/>
  <c r="O154" i="8"/>
  <c r="S151" i="8"/>
  <c r="U151" i="8" s="1"/>
  <c r="V151" i="8" s="1"/>
  <c r="O151" i="8"/>
  <c r="S147" i="8"/>
  <c r="U147" i="8" s="1"/>
  <c r="V147" i="8" s="1"/>
  <c r="O147" i="8"/>
  <c r="S143" i="8"/>
  <c r="L143" i="8" s="1"/>
  <c r="O143" i="8"/>
  <c r="S137" i="8"/>
  <c r="L137" i="8" s="1"/>
  <c r="O137" i="8"/>
  <c r="S129" i="8"/>
  <c r="T129" i="8" s="1"/>
  <c r="O129" i="8"/>
  <c r="S127" i="8"/>
  <c r="U127" i="8" s="1"/>
  <c r="V127" i="8" s="1"/>
  <c r="O127" i="8"/>
  <c r="O125" i="8"/>
  <c r="S125" i="8"/>
  <c r="L125" i="8" s="1"/>
  <c r="O440" i="7"/>
  <c r="O260" i="7"/>
  <c r="O209" i="7"/>
  <c r="O127" i="7"/>
  <c r="X123" i="7"/>
  <c r="Z123" i="7"/>
  <c r="AB123" i="7"/>
  <c r="AD123" i="7"/>
  <c r="AF123" i="7"/>
  <c r="AH123" i="7"/>
  <c r="AJ123" i="7"/>
  <c r="AL123" i="7"/>
  <c r="S447" i="7"/>
  <c r="O447" i="7"/>
  <c r="O446" i="7" s="1"/>
  <c r="S443" i="7"/>
  <c r="L443" i="7" s="1"/>
  <c r="O443" i="7"/>
  <c r="S440" i="7"/>
  <c r="U440" i="7" s="1"/>
  <c r="V440" i="7" s="1"/>
  <c r="S438" i="7"/>
  <c r="U438" i="7" s="1"/>
  <c r="V438" i="7" s="1"/>
  <c r="O438" i="7"/>
  <c r="S432" i="7"/>
  <c r="O432" i="7"/>
  <c r="S427" i="7"/>
  <c r="L427" i="7" s="1"/>
  <c r="O427" i="7"/>
  <c r="S421" i="7"/>
  <c r="T421" i="7" s="1"/>
  <c r="O421" i="7"/>
  <c r="S416" i="7"/>
  <c r="U416" i="7" s="1"/>
  <c r="V416" i="7" s="1"/>
  <c r="O416" i="7"/>
  <c r="S413" i="7"/>
  <c r="O413" i="7"/>
  <c r="S409" i="7"/>
  <c r="L409" i="7" s="1"/>
  <c r="O409" i="7"/>
  <c r="S407" i="7"/>
  <c r="T407" i="7" s="1"/>
  <c r="O407" i="7"/>
  <c r="S405" i="7"/>
  <c r="U405" i="7" s="1"/>
  <c r="V405" i="7" s="1"/>
  <c r="O405" i="7"/>
  <c r="S403" i="7"/>
  <c r="O403" i="7"/>
  <c r="S401" i="7"/>
  <c r="L401" i="7" s="1"/>
  <c r="O401" i="7"/>
  <c r="S397" i="7"/>
  <c r="T397" i="7" s="1"/>
  <c r="O397" i="7"/>
  <c r="S393" i="7"/>
  <c r="U393" i="7" s="1"/>
  <c r="V393" i="7" s="1"/>
  <c r="O393" i="7"/>
  <c r="S391" i="7"/>
  <c r="O391" i="7"/>
  <c r="S389" i="7"/>
  <c r="L389" i="7" s="1"/>
  <c r="O389" i="7"/>
  <c r="S385" i="7"/>
  <c r="T385" i="7" s="1"/>
  <c r="O385" i="7"/>
  <c r="S383" i="7"/>
  <c r="U383" i="7" s="1"/>
  <c r="V383" i="7" s="1"/>
  <c r="O383" i="7"/>
  <c r="S379" i="7"/>
  <c r="O379" i="7"/>
  <c r="S377" i="7"/>
  <c r="L377" i="7" s="1"/>
  <c r="O377" i="7"/>
  <c r="S373" i="7"/>
  <c r="T373" i="7" s="1"/>
  <c r="O373" i="7"/>
  <c r="S370" i="7"/>
  <c r="U370" i="7" s="1"/>
  <c r="V370" i="7" s="1"/>
  <c r="O370" i="7"/>
  <c r="S365" i="7"/>
  <c r="O365" i="7"/>
  <c r="S362" i="7"/>
  <c r="L362" i="7" s="1"/>
  <c r="O362" i="7"/>
  <c r="S360" i="7"/>
  <c r="T360" i="7" s="1"/>
  <c r="O360" i="7"/>
  <c r="S358" i="7"/>
  <c r="U358" i="7" s="1"/>
  <c r="V358" i="7" s="1"/>
  <c r="O358" i="7"/>
  <c r="S354" i="7"/>
  <c r="O354" i="7"/>
  <c r="S350" i="7"/>
  <c r="L350" i="7" s="1"/>
  <c r="O350" i="7"/>
  <c r="S344" i="7"/>
  <c r="T344" i="7" s="1"/>
  <c r="O344" i="7"/>
  <c r="S342" i="7"/>
  <c r="U342" i="7" s="1"/>
  <c r="V342" i="7" s="1"/>
  <c r="O342" i="7"/>
  <c r="S337" i="7"/>
  <c r="O337" i="7"/>
  <c r="S335" i="7"/>
  <c r="L335" i="7" s="1"/>
  <c r="O335" i="7"/>
  <c r="S333" i="7"/>
  <c r="T333" i="7" s="1"/>
  <c r="O333" i="7"/>
  <c r="S331" i="7"/>
  <c r="U331" i="7" s="1"/>
  <c r="V331" i="7" s="1"/>
  <c r="O331" i="7"/>
  <c r="S322" i="7"/>
  <c r="O322" i="7"/>
  <c r="S320" i="7"/>
  <c r="L320" i="7" s="1"/>
  <c r="O320" i="7"/>
  <c r="S316" i="7"/>
  <c r="T316" i="7" s="1"/>
  <c r="O316" i="7"/>
  <c r="S314" i="7"/>
  <c r="U314" i="7" s="1"/>
  <c r="V314" i="7" s="1"/>
  <c r="O314" i="7"/>
  <c r="S310" i="7"/>
  <c r="O310" i="7"/>
  <c r="S302" i="7"/>
  <c r="L302" i="7" s="1"/>
  <c r="O302" i="7"/>
  <c r="S297" i="7"/>
  <c r="T297" i="7" s="1"/>
  <c r="O297" i="7"/>
  <c r="S292" i="7"/>
  <c r="U292" i="7" s="1"/>
  <c r="V292" i="7" s="1"/>
  <c r="V291" i="7" s="1"/>
  <c r="O292" i="7"/>
  <c r="O291" i="7" s="1"/>
  <c r="S288" i="7"/>
  <c r="O288" i="7"/>
  <c r="S283" i="7"/>
  <c r="L283" i="7" s="1"/>
  <c r="O283" i="7"/>
  <c r="S281" i="7"/>
  <c r="T281" i="7" s="1"/>
  <c r="O281" i="7"/>
  <c r="S278" i="7"/>
  <c r="U278" i="7" s="1"/>
  <c r="V278" i="7" s="1"/>
  <c r="O278" i="7"/>
  <c r="S273" i="7"/>
  <c r="O273" i="7"/>
  <c r="S260" i="7"/>
  <c r="U260" i="7" s="1"/>
  <c r="V260" i="7" s="1"/>
  <c r="S244" i="7"/>
  <c r="T244" i="7" s="1"/>
  <c r="O244" i="7"/>
  <c r="S235" i="7"/>
  <c r="U235" i="7" s="1"/>
  <c r="V235" i="7" s="1"/>
  <c r="O235" i="7"/>
  <c r="S227" i="7"/>
  <c r="L227" i="7" s="1"/>
  <c r="O227" i="7"/>
  <c r="S216" i="7"/>
  <c r="U216" i="7" s="1"/>
  <c r="V216" i="7" s="1"/>
  <c r="O216" i="7"/>
  <c r="S213" i="7"/>
  <c r="T213" i="7" s="1"/>
  <c r="O213" i="7"/>
  <c r="S209" i="7"/>
  <c r="U209" i="7" s="1"/>
  <c r="V209" i="7" s="1"/>
  <c r="S207" i="7"/>
  <c r="L207" i="7" s="1"/>
  <c r="O207" i="7"/>
  <c r="S199" i="7"/>
  <c r="L199" i="7" s="1"/>
  <c r="O199" i="7"/>
  <c r="S197" i="7"/>
  <c r="T197" i="7" s="1"/>
  <c r="O197" i="7"/>
  <c r="S192" i="7"/>
  <c r="U192" i="7" s="1"/>
  <c r="V192" i="7" s="1"/>
  <c r="O192" i="7"/>
  <c r="S187" i="7"/>
  <c r="L187" i="7" s="1"/>
  <c r="O187" i="7"/>
  <c r="S184" i="7"/>
  <c r="L184" i="7" s="1"/>
  <c r="O184" i="7"/>
  <c r="S170" i="7"/>
  <c r="L170" i="7" s="1"/>
  <c r="O170" i="7"/>
  <c r="S165" i="7"/>
  <c r="T165" i="7" s="1"/>
  <c r="O165" i="7"/>
  <c r="S161" i="7"/>
  <c r="L161" i="7" s="1"/>
  <c r="O161" i="7"/>
  <c r="S157" i="7"/>
  <c r="L157" i="7" s="1"/>
  <c r="O157" i="7"/>
  <c r="S155" i="7"/>
  <c r="L155" i="7" s="1"/>
  <c r="O155" i="7"/>
  <c r="S152" i="7"/>
  <c r="T152" i="7" s="1"/>
  <c r="O152" i="7"/>
  <c r="S148" i="7"/>
  <c r="L148" i="7" s="1"/>
  <c r="O148" i="7"/>
  <c r="S144" i="7"/>
  <c r="L144" i="7" s="1"/>
  <c r="O144" i="7"/>
  <c r="S138" i="7"/>
  <c r="L138" i="7" s="1"/>
  <c r="O138" i="7"/>
  <c r="S129" i="7"/>
  <c r="T129" i="7" s="1"/>
  <c r="O129" i="7"/>
  <c r="S127" i="7"/>
  <c r="L127" i="7" s="1"/>
  <c r="O125" i="7"/>
  <c r="S125" i="7"/>
  <c r="U125" i="7" s="1"/>
  <c r="V125" i="7" s="1"/>
  <c r="Q328" i="11" l="1"/>
  <c r="M124" i="25"/>
  <c r="AQ118" i="1" s="1"/>
  <c r="M258" i="11"/>
  <c r="T170" i="7"/>
  <c r="T184" i="7"/>
  <c r="U170" i="7"/>
  <c r="V170" i="7" s="1"/>
  <c r="Q124" i="25"/>
  <c r="AS118" i="1" s="1"/>
  <c r="Q126" i="31"/>
  <c r="AS126" i="1" s="1"/>
  <c r="M126" i="31"/>
  <c r="AQ126" i="1" s="1"/>
  <c r="Q126" i="28"/>
  <c r="AS122" i="1" s="1"/>
  <c r="Q124" i="22"/>
  <c r="AS114" i="1" s="1"/>
  <c r="U146" i="9"/>
  <c r="V146" i="9" s="1"/>
  <c r="M124" i="22"/>
  <c r="AQ114" i="1" s="1"/>
  <c r="Q274" i="11"/>
  <c r="M328" i="11"/>
  <c r="M286" i="11"/>
  <c r="T122" i="11"/>
  <c r="M275" i="10"/>
  <c r="T123" i="10"/>
  <c r="U353" i="9"/>
  <c r="V353" i="9" s="1"/>
  <c r="L259" i="9"/>
  <c r="M259" i="9" s="1"/>
  <c r="O355" i="9"/>
  <c r="L382" i="9"/>
  <c r="M382" i="9" s="1"/>
  <c r="L193" i="8"/>
  <c r="M193" i="8" s="1"/>
  <c r="M123" i="11"/>
  <c r="M274" i="11"/>
  <c r="V122" i="11"/>
  <c r="Q275" i="10"/>
  <c r="V123" i="10"/>
  <c r="L180" i="9"/>
  <c r="M180" i="9" s="1"/>
  <c r="U129" i="8"/>
  <c r="V129" i="8" s="1"/>
  <c r="U344" i="8"/>
  <c r="V344" i="8" s="1"/>
  <c r="L129" i="8"/>
  <c r="M129" i="8" s="1"/>
  <c r="L173" i="8"/>
  <c r="P173" i="8" s="1"/>
  <c r="Q173" i="8" s="1"/>
  <c r="L344" i="8"/>
  <c r="M344" i="8" s="1"/>
  <c r="U193" i="8"/>
  <c r="V193" i="8" s="1"/>
  <c r="O316" i="8"/>
  <c r="L341" i="8"/>
  <c r="M341" i="8" s="1"/>
  <c r="L360" i="7"/>
  <c r="U409" i="7"/>
  <c r="V409" i="7" s="1"/>
  <c r="L314" i="7"/>
  <c r="U407" i="7"/>
  <c r="V407" i="7" s="1"/>
  <c r="O415" i="7"/>
  <c r="O330" i="7"/>
  <c r="L407" i="7"/>
  <c r="M407" i="7" s="1"/>
  <c r="Q123" i="11"/>
  <c r="Q286" i="11"/>
  <c r="Q258" i="11"/>
  <c r="Q329" i="10"/>
  <c r="Q124" i="10"/>
  <c r="M124" i="10"/>
  <c r="Q287" i="10"/>
  <c r="M287" i="10"/>
  <c r="O368" i="9"/>
  <c r="O303" i="9"/>
  <c r="O291" i="9"/>
  <c r="O267" i="9"/>
  <c r="O125" i="9"/>
  <c r="U126" i="9"/>
  <c r="V126" i="9" s="1"/>
  <c r="L130" i="9"/>
  <c r="P130" i="9" s="1"/>
  <c r="Q130" i="9" s="1"/>
  <c r="L308" i="9"/>
  <c r="M308" i="9" s="1"/>
  <c r="U343" i="9"/>
  <c r="V343" i="9" s="1"/>
  <c r="L380" i="9"/>
  <c r="P380" i="9" s="1"/>
  <c r="Q380" i="9" s="1"/>
  <c r="L343" i="9"/>
  <c r="M343" i="9" s="1"/>
  <c r="U140" i="9"/>
  <c r="V140" i="9" s="1"/>
  <c r="L186" i="9"/>
  <c r="M186" i="9" s="1"/>
  <c r="U273" i="9"/>
  <c r="V273" i="9" s="1"/>
  <c r="V267" i="9" s="1"/>
  <c r="T282" i="9"/>
  <c r="U351" i="9"/>
  <c r="V351" i="9" s="1"/>
  <c r="T385" i="9"/>
  <c r="L140" i="9"/>
  <c r="M140" i="9" s="1"/>
  <c r="T180" i="9"/>
  <c r="L251" i="9"/>
  <c r="P251" i="9" s="1"/>
  <c r="Q251" i="9" s="1"/>
  <c r="L282" i="9"/>
  <c r="M282" i="9" s="1"/>
  <c r="L321" i="9"/>
  <c r="M321" i="9" s="1"/>
  <c r="L351" i="9"/>
  <c r="M351" i="9" s="1"/>
  <c r="T382" i="9"/>
  <c r="U341" i="9"/>
  <c r="V341" i="9" s="1"/>
  <c r="L349" i="9"/>
  <c r="P349" i="9" s="1"/>
  <c r="Q349" i="9" s="1"/>
  <c r="L360" i="9"/>
  <c r="M360" i="9" s="1"/>
  <c r="T170" i="9"/>
  <c r="T215" i="9"/>
  <c r="U231" i="9"/>
  <c r="V231" i="9" s="1"/>
  <c r="T243" i="9"/>
  <c r="T268" i="9"/>
  <c r="T267" i="9" s="1"/>
  <c r="U296" i="9"/>
  <c r="V296" i="9" s="1"/>
  <c r="T298" i="9"/>
  <c r="T328" i="9"/>
  <c r="U330" i="9"/>
  <c r="V330" i="9" s="1"/>
  <c r="T333" i="9"/>
  <c r="T369" i="9"/>
  <c r="U385" i="9"/>
  <c r="V385" i="9" s="1"/>
  <c r="L126" i="9"/>
  <c r="L165" i="9"/>
  <c r="L170" i="9"/>
  <c r="P170" i="9" s="1"/>
  <c r="Q170" i="9" s="1"/>
  <c r="T199" i="9"/>
  <c r="L215" i="9"/>
  <c r="P215" i="9" s="1"/>
  <c r="Q215" i="9" s="1"/>
  <c r="L243" i="9"/>
  <c r="M243" i="9" s="1"/>
  <c r="L268" i="9"/>
  <c r="P268" i="9" s="1"/>
  <c r="Q268" i="9" s="1"/>
  <c r="T294" i="9"/>
  <c r="L298" i="9"/>
  <c r="M298" i="9" s="1"/>
  <c r="L328" i="9"/>
  <c r="P328" i="9" s="1"/>
  <c r="Q328" i="9" s="1"/>
  <c r="L333" i="9"/>
  <c r="M333" i="9" s="1"/>
  <c r="L339" i="9"/>
  <c r="P339" i="9" s="1"/>
  <c r="Q339" i="9" s="1"/>
  <c r="L364" i="9"/>
  <c r="U364" i="9"/>
  <c r="V364" i="9" s="1"/>
  <c r="U369" i="9"/>
  <c r="V369" i="9" s="1"/>
  <c r="T146" i="9"/>
  <c r="L160" i="9"/>
  <c r="P160" i="9" s="1"/>
  <c r="Q160" i="9" s="1"/>
  <c r="T186" i="9"/>
  <c r="L199" i="9"/>
  <c r="P199" i="9" s="1"/>
  <c r="Q199" i="9" s="1"/>
  <c r="T251" i="9"/>
  <c r="U253" i="9"/>
  <c r="V253" i="9" s="1"/>
  <c r="T259" i="9"/>
  <c r="L294" i="9"/>
  <c r="M294" i="9" s="1"/>
  <c r="T308" i="9"/>
  <c r="U319" i="9"/>
  <c r="V319" i="9" s="1"/>
  <c r="T321" i="9"/>
  <c r="T353" i="9"/>
  <c r="M128" i="9"/>
  <c r="P128" i="9"/>
  <c r="Q128" i="9" s="1"/>
  <c r="M146" i="9"/>
  <c r="P146" i="9"/>
  <c r="Q146" i="9" s="1"/>
  <c r="M157" i="9"/>
  <c r="P157" i="9"/>
  <c r="Q157" i="9" s="1"/>
  <c r="M369" i="9"/>
  <c r="P369" i="9"/>
  <c r="Q369" i="9" s="1"/>
  <c r="T128" i="9"/>
  <c r="M130" i="9"/>
  <c r="T157" i="9"/>
  <c r="L206" i="9"/>
  <c r="T206" i="9"/>
  <c r="L292" i="9"/>
  <c r="U292" i="9"/>
  <c r="V292" i="9" s="1"/>
  <c r="T292" i="9"/>
  <c r="P360" i="9"/>
  <c r="Q360" i="9" s="1"/>
  <c r="L374" i="9"/>
  <c r="U374" i="9"/>
  <c r="V374" i="9" s="1"/>
  <c r="T374" i="9"/>
  <c r="T172" i="9"/>
  <c r="L172" i="9"/>
  <c r="L356" i="9"/>
  <c r="U356" i="9"/>
  <c r="V356" i="9" s="1"/>
  <c r="T356" i="9"/>
  <c r="U128" i="9"/>
  <c r="V128" i="9" s="1"/>
  <c r="T130" i="9"/>
  <c r="U157" i="9"/>
  <c r="V157" i="9" s="1"/>
  <c r="T160" i="9"/>
  <c r="U165" i="9"/>
  <c r="V165" i="9" s="1"/>
  <c r="T189" i="9"/>
  <c r="L189" i="9"/>
  <c r="U206" i="9"/>
  <c r="V206" i="9" s="1"/>
  <c r="L304" i="9"/>
  <c r="U304" i="9"/>
  <c r="V304" i="9" s="1"/>
  <c r="T304" i="9"/>
  <c r="L337" i="9"/>
  <c r="U337" i="9"/>
  <c r="V337" i="9" s="1"/>
  <c r="T337" i="9"/>
  <c r="M385" i="9"/>
  <c r="P385" i="9"/>
  <c r="Q385" i="9" s="1"/>
  <c r="L263" i="9"/>
  <c r="U263" i="9"/>
  <c r="V263" i="9" s="1"/>
  <c r="V262" i="9" s="1"/>
  <c r="T263" i="9"/>
  <c r="T262" i="9" s="1"/>
  <c r="L182" i="9"/>
  <c r="T182" i="9"/>
  <c r="L248" i="9"/>
  <c r="U248" i="9"/>
  <c r="V248" i="9" s="1"/>
  <c r="T248" i="9"/>
  <c r="L323" i="9"/>
  <c r="U323" i="9"/>
  <c r="V323" i="9" s="1"/>
  <c r="T323" i="9"/>
  <c r="L345" i="9"/>
  <c r="U345" i="9"/>
  <c r="V345" i="9" s="1"/>
  <c r="T345" i="9"/>
  <c r="M353" i="9"/>
  <c r="P353" i="9"/>
  <c r="Q353" i="9" s="1"/>
  <c r="L389" i="9"/>
  <c r="U389" i="9"/>
  <c r="V389" i="9" s="1"/>
  <c r="V388" i="9" s="1"/>
  <c r="T389" i="9"/>
  <c r="T388" i="9" s="1"/>
  <c r="L231" i="9"/>
  <c r="L253" i="9"/>
  <c r="L273" i="9"/>
  <c r="L296" i="9"/>
  <c r="L319" i="9"/>
  <c r="L330" i="9"/>
  <c r="L341" i="9"/>
  <c r="T339" i="9"/>
  <c r="T349" i="9"/>
  <c r="T360" i="9"/>
  <c r="T380" i="9"/>
  <c r="F95" i="9"/>
  <c r="O327" i="8"/>
  <c r="O278" i="8"/>
  <c r="O259" i="8"/>
  <c r="O243" i="8"/>
  <c r="O124" i="8"/>
  <c r="L127" i="8"/>
  <c r="P127" i="8" s="1"/>
  <c r="Q127" i="8" s="1"/>
  <c r="T181" i="8"/>
  <c r="L188" i="8"/>
  <c r="M188" i="8" s="1"/>
  <c r="P227" i="8"/>
  <c r="Q227" i="8" s="1"/>
  <c r="L254" i="8"/>
  <c r="P254" i="8" s="1"/>
  <c r="Q254" i="8" s="1"/>
  <c r="U283" i="8"/>
  <c r="V283" i="8" s="1"/>
  <c r="T287" i="8"/>
  <c r="L291" i="8"/>
  <c r="P291" i="8" s="1"/>
  <c r="Q291" i="8" s="1"/>
  <c r="P302" i="8"/>
  <c r="Q302" i="8" s="1"/>
  <c r="L164" i="8"/>
  <c r="P164" i="8" s="1"/>
  <c r="Q164" i="8" s="1"/>
  <c r="M181" i="8"/>
  <c r="U181" i="8"/>
  <c r="V181" i="8" s="1"/>
  <c r="L283" i="8"/>
  <c r="M283" i="8" s="1"/>
  <c r="L287" i="8"/>
  <c r="M287" i="8" s="1"/>
  <c r="U239" i="8"/>
  <c r="V239" i="8" s="1"/>
  <c r="V238" i="8" s="1"/>
  <c r="T262" i="8"/>
  <c r="L266" i="8"/>
  <c r="U266" i="8"/>
  <c r="V266" i="8" s="1"/>
  <c r="T137" i="8"/>
  <c r="T204" i="8"/>
  <c r="L249" i="8"/>
  <c r="P249" i="8" s="1"/>
  <c r="Q249" i="8" s="1"/>
  <c r="M262" i="8"/>
  <c r="U262" i="8"/>
  <c r="V262" i="8" s="1"/>
  <c r="T271" i="8"/>
  <c r="U302" i="8"/>
  <c r="V302" i="8" s="1"/>
  <c r="L310" i="8"/>
  <c r="P310" i="8" s="1"/>
  <c r="Q310" i="8" s="1"/>
  <c r="T314" i="8"/>
  <c r="L322" i="8"/>
  <c r="L339" i="8"/>
  <c r="T339" i="8"/>
  <c r="U208" i="8"/>
  <c r="V208" i="8" s="1"/>
  <c r="U244" i="8"/>
  <c r="V244" i="8" s="1"/>
  <c r="T125" i="8"/>
  <c r="U137" i="8"/>
  <c r="V137" i="8" s="1"/>
  <c r="P160" i="8"/>
  <c r="Q160" i="8" s="1"/>
  <c r="L204" i="8"/>
  <c r="P204" i="8" s="1"/>
  <c r="Q204" i="8" s="1"/>
  <c r="P244" i="8"/>
  <c r="Q244" i="8" s="1"/>
  <c r="L271" i="8"/>
  <c r="M271" i="8" s="1"/>
  <c r="L306" i="8"/>
  <c r="P306" i="8" s="1"/>
  <c r="Q306" i="8" s="1"/>
  <c r="M314" i="8"/>
  <c r="U314" i="8"/>
  <c r="V314" i="8" s="1"/>
  <c r="P125" i="8"/>
  <c r="Q125" i="8" s="1"/>
  <c r="M125" i="8"/>
  <c r="U125" i="8"/>
  <c r="V125" i="8" s="1"/>
  <c r="L156" i="8"/>
  <c r="T156" i="8"/>
  <c r="T176" i="8"/>
  <c r="L186" i="8"/>
  <c r="P186" i="8" s="1"/>
  <c r="Q186" i="8" s="1"/>
  <c r="L223" i="8"/>
  <c r="T223" i="8"/>
  <c r="L279" i="8"/>
  <c r="T279" i="8"/>
  <c r="L147" i="8"/>
  <c r="P147" i="8" s="1"/>
  <c r="Q147" i="8" s="1"/>
  <c r="U160" i="8"/>
  <c r="V160" i="8" s="1"/>
  <c r="L176" i="8"/>
  <c r="M176" i="8" s="1"/>
  <c r="U188" i="8"/>
  <c r="V188" i="8" s="1"/>
  <c r="L239" i="8"/>
  <c r="T260" i="8"/>
  <c r="L264" i="8"/>
  <c r="P264" i="8" s="1"/>
  <c r="Q264" i="8" s="1"/>
  <c r="L299" i="8"/>
  <c r="T299" i="8"/>
  <c r="T312" i="8"/>
  <c r="L317" i="8"/>
  <c r="P317" i="8" s="1"/>
  <c r="Q317" i="8" s="1"/>
  <c r="T328" i="8"/>
  <c r="U341" i="8"/>
  <c r="V341" i="8" s="1"/>
  <c r="P348" i="8"/>
  <c r="Q348" i="8" s="1"/>
  <c r="Q347" i="8" s="1"/>
  <c r="L260" i="8"/>
  <c r="M260" i="8" s="1"/>
  <c r="P289" i="8"/>
  <c r="Q289" i="8" s="1"/>
  <c r="L312" i="8"/>
  <c r="M312" i="8" s="1"/>
  <c r="L328" i="8"/>
  <c r="M328" i="8" s="1"/>
  <c r="M137" i="8"/>
  <c r="P137" i="8"/>
  <c r="Q137" i="8" s="1"/>
  <c r="P143" i="8"/>
  <c r="Q143" i="8" s="1"/>
  <c r="M143" i="8"/>
  <c r="L151" i="8"/>
  <c r="T151" i="8"/>
  <c r="T232" i="8"/>
  <c r="U235" i="8"/>
  <c r="V235" i="8" s="1"/>
  <c r="T291" i="8"/>
  <c r="U294" i="8"/>
  <c r="V294" i="8" s="1"/>
  <c r="T333" i="8"/>
  <c r="T127" i="8"/>
  <c r="U143" i="8"/>
  <c r="V143" i="8" s="1"/>
  <c r="T147" i="8"/>
  <c r="T164" i="8"/>
  <c r="U173" i="8"/>
  <c r="V173" i="8" s="1"/>
  <c r="U197" i="8"/>
  <c r="V197" i="8" s="1"/>
  <c r="L208" i="8"/>
  <c r="T227" i="8"/>
  <c r="T249" i="8"/>
  <c r="U254" i="8"/>
  <c r="V254" i="8" s="1"/>
  <c r="U273" i="8"/>
  <c r="V273" i="8" s="1"/>
  <c r="T289" i="8"/>
  <c r="T306" i="8"/>
  <c r="U310" i="8"/>
  <c r="V310" i="8" s="1"/>
  <c r="U333" i="8"/>
  <c r="V333" i="8" s="1"/>
  <c r="T348" i="8"/>
  <c r="T347" i="8" s="1"/>
  <c r="L232" i="8"/>
  <c r="T143" i="8"/>
  <c r="U154" i="8"/>
  <c r="V154" i="8" s="1"/>
  <c r="M197" i="8"/>
  <c r="T197" i="8"/>
  <c r="M273" i="8"/>
  <c r="T273" i="8"/>
  <c r="M333" i="8"/>
  <c r="L154" i="8"/>
  <c r="T160" i="8"/>
  <c r="T186" i="8"/>
  <c r="U227" i="8"/>
  <c r="V227" i="8" s="1"/>
  <c r="L235" i="8"/>
  <c r="T244" i="8"/>
  <c r="T264" i="8"/>
  <c r="U289" i="8"/>
  <c r="V289" i="8" s="1"/>
  <c r="L294" i="8"/>
  <c r="T302" i="8"/>
  <c r="T317" i="8"/>
  <c r="T316" i="8" s="1"/>
  <c r="U322" i="8"/>
  <c r="V322" i="8" s="1"/>
  <c r="V316" i="8" s="1"/>
  <c r="U348" i="8"/>
  <c r="V348" i="8" s="1"/>
  <c r="V347" i="8" s="1"/>
  <c r="O426" i="7"/>
  <c r="O349" i="7"/>
  <c r="O296" i="7"/>
  <c r="O124" i="7"/>
  <c r="L129" i="7"/>
  <c r="P129" i="7" s="1"/>
  <c r="Q129" i="7" s="1"/>
  <c r="L209" i="7"/>
  <c r="P209" i="7" s="1"/>
  <c r="Q209" i="7" s="1"/>
  <c r="L385" i="7"/>
  <c r="M385" i="7" s="1"/>
  <c r="L405" i="7"/>
  <c r="P405" i="7" s="1"/>
  <c r="Q405" i="7" s="1"/>
  <c r="L438" i="7"/>
  <c r="P438" i="7" s="1"/>
  <c r="Q438" i="7" s="1"/>
  <c r="U385" i="7"/>
  <c r="V385" i="7" s="1"/>
  <c r="L292" i="7"/>
  <c r="M292" i="7" s="1"/>
  <c r="M291" i="7" s="1"/>
  <c r="L383" i="7"/>
  <c r="M383" i="7" s="1"/>
  <c r="T199" i="7"/>
  <c r="T335" i="7"/>
  <c r="T443" i="7"/>
  <c r="U138" i="7"/>
  <c r="V138" i="7" s="1"/>
  <c r="U213" i="7"/>
  <c r="V213" i="7" s="1"/>
  <c r="L244" i="7"/>
  <c r="M244" i="7" s="1"/>
  <c r="L278" i="7"/>
  <c r="P278" i="7" s="1"/>
  <c r="Q278" i="7" s="1"/>
  <c r="L331" i="7"/>
  <c r="P331" i="7" s="1"/>
  <c r="Q331" i="7" s="1"/>
  <c r="T350" i="7"/>
  <c r="T377" i="7"/>
  <c r="T401" i="7"/>
  <c r="T440" i="7"/>
  <c r="T125" i="7"/>
  <c r="U244" i="7"/>
  <c r="V244" i="7" s="1"/>
  <c r="L165" i="7"/>
  <c r="P165" i="7" s="1"/>
  <c r="Q165" i="7" s="1"/>
  <c r="L213" i="7"/>
  <c r="M213" i="7" s="1"/>
  <c r="L216" i="7"/>
  <c r="P216" i="7" s="1"/>
  <c r="Q216" i="7" s="1"/>
  <c r="U281" i="7"/>
  <c r="V281" i="7" s="1"/>
  <c r="T409" i="7"/>
  <c r="L416" i="7"/>
  <c r="P416" i="7" s="1"/>
  <c r="Q416" i="7" s="1"/>
  <c r="L440" i="7"/>
  <c r="M440" i="7" s="1"/>
  <c r="L125" i="7"/>
  <c r="U152" i="7"/>
  <c r="V152" i="7" s="1"/>
  <c r="T155" i="7"/>
  <c r="T157" i="7"/>
  <c r="L197" i="7"/>
  <c r="U197" i="7"/>
  <c r="V197" i="7" s="1"/>
  <c r="U199" i="7"/>
  <c r="V199" i="7" s="1"/>
  <c r="T216" i="7"/>
  <c r="L235" i="7"/>
  <c r="P235" i="7" s="1"/>
  <c r="Q235" i="7" s="1"/>
  <c r="L260" i="7"/>
  <c r="T260" i="7"/>
  <c r="T283" i="7"/>
  <c r="T320" i="7"/>
  <c r="U333" i="7"/>
  <c r="V333" i="7" s="1"/>
  <c r="U344" i="7"/>
  <c r="V344" i="7" s="1"/>
  <c r="T362" i="7"/>
  <c r="L370" i="7"/>
  <c r="P370" i="7" s="1"/>
  <c r="Q370" i="7" s="1"/>
  <c r="L373" i="7"/>
  <c r="U373" i="7"/>
  <c r="V373" i="7" s="1"/>
  <c r="U377" i="7"/>
  <c r="V377" i="7" s="1"/>
  <c r="P385" i="7"/>
  <c r="Q385" i="7" s="1"/>
  <c r="L397" i="7"/>
  <c r="U397" i="7"/>
  <c r="V397" i="7" s="1"/>
  <c r="U401" i="7"/>
  <c r="V401" i="7" s="1"/>
  <c r="T427" i="7"/>
  <c r="U443" i="7"/>
  <c r="V443" i="7" s="1"/>
  <c r="L152" i="7"/>
  <c r="P152" i="7" s="1"/>
  <c r="Q152" i="7" s="1"/>
  <c r="U155" i="7"/>
  <c r="V155" i="7" s="1"/>
  <c r="L192" i="7"/>
  <c r="P192" i="7" s="1"/>
  <c r="Q192" i="7" s="1"/>
  <c r="T302" i="7"/>
  <c r="U316" i="7"/>
  <c r="V316" i="7" s="1"/>
  <c r="U360" i="7"/>
  <c r="V360" i="7" s="1"/>
  <c r="U362" i="7"/>
  <c r="V362" i="7" s="1"/>
  <c r="T389" i="7"/>
  <c r="L393" i="7"/>
  <c r="M393" i="7" s="1"/>
  <c r="L421" i="7"/>
  <c r="U421" i="7"/>
  <c r="V421" i="7" s="1"/>
  <c r="V415" i="7" s="1"/>
  <c r="U427" i="7"/>
  <c r="V427" i="7" s="1"/>
  <c r="U129" i="7"/>
  <c r="V129" i="7" s="1"/>
  <c r="T138" i="7"/>
  <c r="T144" i="7"/>
  <c r="U165" i="7"/>
  <c r="V165" i="7" s="1"/>
  <c r="L297" i="7"/>
  <c r="U297" i="7"/>
  <c r="V297" i="7" s="1"/>
  <c r="L342" i="7"/>
  <c r="M342" i="7" s="1"/>
  <c r="L358" i="7"/>
  <c r="M358" i="7" s="1"/>
  <c r="U389" i="7"/>
  <c r="V389" i="7" s="1"/>
  <c r="M155" i="7"/>
  <c r="P155" i="7"/>
  <c r="Q155" i="7" s="1"/>
  <c r="P227" i="7"/>
  <c r="Q227" i="7" s="1"/>
  <c r="M227" i="7"/>
  <c r="P148" i="7"/>
  <c r="Q148" i="7" s="1"/>
  <c r="M148" i="7"/>
  <c r="P187" i="7"/>
  <c r="Q187" i="7" s="1"/>
  <c r="M187" i="7"/>
  <c r="M170" i="7"/>
  <c r="P170" i="7"/>
  <c r="Q170" i="7" s="1"/>
  <c r="M184" i="7"/>
  <c r="P184" i="7"/>
  <c r="Q184" i="7" s="1"/>
  <c r="M157" i="7"/>
  <c r="P157" i="7"/>
  <c r="Q157" i="7" s="1"/>
  <c r="M138" i="7"/>
  <c r="P138" i="7"/>
  <c r="Q138" i="7" s="1"/>
  <c r="M144" i="7"/>
  <c r="P144" i="7"/>
  <c r="Q144" i="7" s="1"/>
  <c r="P127" i="7"/>
  <c r="Q127" i="7" s="1"/>
  <c r="M127" i="7"/>
  <c r="P161" i="7"/>
  <c r="Q161" i="7" s="1"/>
  <c r="M161" i="7"/>
  <c r="M199" i="7"/>
  <c r="P199" i="7"/>
  <c r="Q199" i="7" s="1"/>
  <c r="P207" i="7"/>
  <c r="Q207" i="7" s="1"/>
  <c r="M207" i="7"/>
  <c r="M320" i="7"/>
  <c r="P320" i="7"/>
  <c r="Q320" i="7" s="1"/>
  <c r="L379" i="7"/>
  <c r="U379" i="7"/>
  <c r="V379" i="7" s="1"/>
  <c r="T379" i="7"/>
  <c r="M389" i="7"/>
  <c r="P389" i="7"/>
  <c r="Q389" i="7" s="1"/>
  <c r="T127" i="7"/>
  <c r="U144" i="7"/>
  <c r="V144" i="7" s="1"/>
  <c r="T148" i="7"/>
  <c r="U157" i="7"/>
  <c r="V157" i="7" s="1"/>
  <c r="T161" i="7"/>
  <c r="U184" i="7"/>
  <c r="V184" i="7" s="1"/>
  <c r="T187" i="7"/>
  <c r="T207" i="7"/>
  <c r="T227" i="7"/>
  <c r="M283" i="7"/>
  <c r="P283" i="7"/>
  <c r="Q283" i="7" s="1"/>
  <c r="L288" i="7"/>
  <c r="U288" i="7"/>
  <c r="V288" i="7" s="1"/>
  <c r="T288" i="7"/>
  <c r="M302" i="7"/>
  <c r="P302" i="7"/>
  <c r="Q302" i="7" s="1"/>
  <c r="L310" i="7"/>
  <c r="U310" i="7"/>
  <c r="V310" i="7" s="1"/>
  <c r="T310" i="7"/>
  <c r="L391" i="7"/>
  <c r="U391" i="7"/>
  <c r="V391" i="7" s="1"/>
  <c r="T391" i="7"/>
  <c r="M401" i="7"/>
  <c r="P401" i="7"/>
  <c r="Q401" i="7" s="1"/>
  <c r="L432" i="7"/>
  <c r="U432" i="7"/>
  <c r="V432" i="7" s="1"/>
  <c r="T432" i="7"/>
  <c r="L322" i="7"/>
  <c r="U322" i="7"/>
  <c r="V322" i="7" s="1"/>
  <c r="T322" i="7"/>
  <c r="U127" i="7"/>
  <c r="V127" i="7" s="1"/>
  <c r="U148" i="7"/>
  <c r="V148" i="7" s="1"/>
  <c r="U161" i="7"/>
  <c r="V161" i="7" s="1"/>
  <c r="U187" i="7"/>
  <c r="V187" i="7" s="1"/>
  <c r="T192" i="7"/>
  <c r="U207" i="7"/>
  <c r="V207" i="7" s="1"/>
  <c r="T209" i="7"/>
  <c r="U227" i="7"/>
  <c r="V227" i="7" s="1"/>
  <c r="T235" i="7"/>
  <c r="L273" i="7"/>
  <c r="U273" i="7"/>
  <c r="V273" i="7" s="1"/>
  <c r="T273" i="7"/>
  <c r="P314" i="7"/>
  <c r="Q314" i="7" s="1"/>
  <c r="M314" i="7"/>
  <c r="M350" i="7"/>
  <c r="P350" i="7"/>
  <c r="Q350" i="7" s="1"/>
  <c r="L354" i="7"/>
  <c r="U354" i="7"/>
  <c r="V354" i="7" s="1"/>
  <c r="T354" i="7"/>
  <c r="M362" i="7"/>
  <c r="P362" i="7"/>
  <c r="Q362" i="7" s="1"/>
  <c r="L403" i="7"/>
  <c r="U403" i="7"/>
  <c r="V403" i="7" s="1"/>
  <c r="T403" i="7"/>
  <c r="M443" i="7"/>
  <c r="P443" i="7"/>
  <c r="Q443" i="7" s="1"/>
  <c r="L413" i="7"/>
  <c r="U413" i="7"/>
  <c r="V413" i="7" s="1"/>
  <c r="T413" i="7"/>
  <c r="M427" i="7"/>
  <c r="P427" i="7"/>
  <c r="Q427" i="7" s="1"/>
  <c r="M335" i="7"/>
  <c r="P335" i="7"/>
  <c r="Q335" i="7" s="1"/>
  <c r="L337" i="7"/>
  <c r="U337" i="7"/>
  <c r="V337" i="7" s="1"/>
  <c r="T337" i="7"/>
  <c r="L365" i="7"/>
  <c r="U365" i="7"/>
  <c r="V365" i="7" s="1"/>
  <c r="T365" i="7"/>
  <c r="M377" i="7"/>
  <c r="P377" i="7"/>
  <c r="Q377" i="7" s="1"/>
  <c r="M409" i="7"/>
  <c r="P409" i="7"/>
  <c r="Q409" i="7" s="1"/>
  <c r="L447" i="7"/>
  <c r="U447" i="7"/>
  <c r="V447" i="7" s="1"/>
  <c r="V446" i="7" s="1"/>
  <c r="T447" i="7"/>
  <c r="T446" i="7" s="1"/>
  <c r="L281" i="7"/>
  <c r="U283" i="7"/>
  <c r="V283" i="7" s="1"/>
  <c r="U302" i="7"/>
  <c r="V302" i="7" s="1"/>
  <c r="L316" i="7"/>
  <c r="U320" i="7"/>
  <c r="V320" i="7" s="1"/>
  <c r="L333" i="7"/>
  <c r="U335" i="7"/>
  <c r="V335" i="7" s="1"/>
  <c r="L344" i="7"/>
  <c r="U350" i="7"/>
  <c r="V350" i="7" s="1"/>
  <c r="T278" i="7"/>
  <c r="T292" i="7"/>
  <c r="T291" i="7" s="1"/>
  <c r="T314" i="7"/>
  <c r="T331" i="7"/>
  <c r="T342" i="7"/>
  <c r="T358" i="7"/>
  <c r="T370" i="7"/>
  <c r="T383" i="7"/>
  <c r="T393" i="7"/>
  <c r="T405" i="7"/>
  <c r="T416" i="7"/>
  <c r="T415" i="7" s="1"/>
  <c r="T438" i="7"/>
  <c r="M216" i="7" l="1"/>
  <c r="P283" i="8"/>
  <c r="Q283" i="8" s="1"/>
  <c r="P193" i="8"/>
  <c r="Q193" i="8" s="1"/>
  <c r="P343" i="9"/>
  <c r="Q343" i="9" s="1"/>
  <c r="P312" i="8"/>
  <c r="Q312" i="8" s="1"/>
  <c r="P393" i="7"/>
  <c r="Q393" i="7" s="1"/>
  <c r="M249" i="8"/>
  <c r="P341" i="8"/>
  <c r="Q341" i="8" s="1"/>
  <c r="O123" i="8"/>
  <c r="AR96" i="1" s="1"/>
  <c r="M127" i="8"/>
  <c r="P298" i="9"/>
  <c r="Q298" i="9" s="1"/>
  <c r="M339" i="9"/>
  <c r="P259" i="9"/>
  <c r="Q259" i="9" s="1"/>
  <c r="P308" i="9"/>
  <c r="Q308" i="9" s="1"/>
  <c r="M215" i="9"/>
  <c r="P294" i="9"/>
  <c r="Q294" i="9" s="1"/>
  <c r="M199" i="9"/>
  <c r="P180" i="9"/>
  <c r="Q180" i="9" s="1"/>
  <c r="M380" i="9"/>
  <c r="M160" i="9"/>
  <c r="P382" i="9"/>
  <c r="Q382" i="9" s="1"/>
  <c r="M254" i="8"/>
  <c r="M306" i="8"/>
  <c r="P287" i="8"/>
  <c r="Q287" i="8" s="1"/>
  <c r="P129" i="8"/>
  <c r="Q129" i="8" s="1"/>
  <c r="P344" i="8"/>
  <c r="Q344" i="8" s="1"/>
  <c r="P292" i="7"/>
  <c r="Q292" i="7" s="1"/>
  <c r="Q291" i="7" s="1"/>
  <c r="P342" i="7"/>
  <c r="Q342" i="7" s="1"/>
  <c r="P383" i="7"/>
  <c r="Q383" i="7" s="1"/>
  <c r="M405" i="7"/>
  <c r="M278" i="7"/>
  <c r="M122" i="11"/>
  <c r="AQ100" i="1" s="1"/>
  <c r="V355" i="9"/>
  <c r="M251" i="9"/>
  <c r="P186" i="9"/>
  <c r="Q186" i="9" s="1"/>
  <c r="T125" i="9"/>
  <c r="V368" i="9"/>
  <c r="T368" i="9"/>
  <c r="M264" i="8"/>
  <c r="M173" i="8"/>
  <c r="V259" i="8"/>
  <c r="M310" i="8"/>
  <c r="T327" i="8"/>
  <c r="M291" i="8"/>
  <c r="V327" i="8"/>
  <c r="M204" i="8"/>
  <c r="V426" i="7"/>
  <c r="T296" i="7"/>
  <c r="V330" i="7"/>
  <c r="T330" i="7"/>
  <c r="V349" i="7"/>
  <c r="M416" i="7"/>
  <c r="M152" i="7"/>
  <c r="P407" i="7"/>
  <c r="Q407" i="7" s="1"/>
  <c r="M360" i="7"/>
  <c r="P360" i="7"/>
  <c r="Q360" i="7" s="1"/>
  <c r="Q122" i="11"/>
  <c r="AS100" i="1" s="1"/>
  <c r="M123" i="10"/>
  <c r="AQ99" i="1" s="1"/>
  <c r="Q123" i="10"/>
  <c r="AS99" i="1" s="1"/>
  <c r="O124" i="9"/>
  <c r="AR98" i="1" s="1"/>
  <c r="V125" i="9"/>
  <c r="V303" i="9"/>
  <c r="M349" i="9"/>
  <c r="T291" i="9"/>
  <c r="T303" i="9"/>
  <c r="P282" i="9"/>
  <c r="Q282" i="9" s="1"/>
  <c r="T355" i="9"/>
  <c r="V291" i="9"/>
  <c r="P351" i="9"/>
  <c r="Q351" i="9" s="1"/>
  <c r="P140" i="9"/>
  <c r="Q140" i="9" s="1"/>
  <c r="P321" i="9"/>
  <c r="Q321" i="9" s="1"/>
  <c r="P243" i="9"/>
  <c r="Q243" i="9" s="1"/>
  <c r="M170" i="9"/>
  <c r="M364" i="9"/>
  <c r="P364" i="9"/>
  <c r="Q364" i="9" s="1"/>
  <c r="M165" i="9"/>
  <c r="P165" i="9"/>
  <c r="Q165" i="9" s="1"/>
  <c r="P333" i="9"/>
  <c r="Q333" i="9" s="1"/>
  <c r="M328" i="9"/>
  <c r="M268" i="9"/>
  <c r="M126" i="9"/>
  <c r="P126" i="9"/>
  <c r="Q126" i="9" s="1"/>
  <c r="P263" i="9"/>
  <c r="Q263" i="9" s="1"/>
  <c r="Q262" i="9" s="1"/>
  <c r="M263" i="9"/>
  <c r="M262" i="9" s="1"/>
  <c r="M330" i="9"/>
  <c r="P330" i="9"/>
  <c r="Q330" i="9" s="1"/>
  <c r="M296" i="9"/>
  <c r="P296" i="9"/>
  <c r="Q296" i="9" s="1"/>
  <c r="M253" i="9"/>
  <c r="P253" i="9"/>
  <c r="Q253" i="9" s="1"/>
  <c r="P248" i="9"/>
  <c r="Q248" i="9" s="1"/>
  <c r="M248" i="9"/>
  <c r="P182" i="9"/>
  <c r="Q182" i="9" s="1"/>
  <c r="M182" i="9"/>
  <c r="P337" i="9"/>
  <c r="Q337" i="9" s="1"/>
  <c r="M337" i="9"/>
  <c r="P389" i="9"/>
  <c r="Q389" i="9" s="1"/>
  <c r="Q388" i="9" s="1"/>
  <c r="M389" i="9"/>
  <c r="M388" i="9" s="1"/>
  <c r="P172" i="9"/>
  <c r="Q172" i="9" s="1"/>
  <c r="M172" i="9"/>
  <c r="P374" i="9"/>
  <c r="Q374" i="9" s="1"/>
  <c r="M374" i="9"/>
  <c r="M368" i="9" s="1"/>
  <c r="P323" i="9"/>
  <c r="Q323" i="9" s="1"/>
  <c r="M323" i="9"/>
  <c r="P304" i="9"/>
  <c r="Q304" i="9" s="1"/>
  <c r="M304" i="9"/>
  <c r="M189" i="9"/>
  <c r="P189" i="9"/>
  <c r="Q189" i="9" s="1"/>
  <c r="M341" i="9"/>
  <c r="P341" i="9"/>
  <c r="Q341" i="9" s="1"/>
  <c r="M319" i="9"/>
  <c r="P319" i="9"/>
  <c r="Q319" i="9" s="1"/>
  <c r="M273" i="9"/>
  <c r="P273" i="9"/>
  <c r="Q273" i="9" s="1"/>
  <c r="M231" i="9"/>
  <c r="P231" i="9"/>
  <c r="Q231" i="9" s="1"/>
  <c r="P345" i="9"/>
  <c r="Q345" i="9" s="1"/>
  <c r="M345" i="9"/>
  <c r="P356" i="9"/>
  <c r="Q356" i="9" s="1"/>
  <c r="Q355" i="9" s="1"/>
  <c r="M356" i="9"/>
  <c r="P292" i="9"/>
  <c r="Q292" i="9" s="1"/>
  <c r="M292" i="9"/>
  <c r="P206" i="9"/>
  <c r="Q206" i="9" s="1"/>
  <c r="M206" i="9"/>
  <c r="V278" i="8"/>
  <c r="Q243" i="8"/>
  <c r="T124" i="8"/>
  <c r="T278" i="8"/>
  <c r="T243" i="8"/>
  <c r="M164" i="8"/>
  <c r="T259" i="8"/>
  <c r="V124" i="8"/>
  <c r="V243" i="8"/>
  <c r="P188" i="8"/>
  <c r="Q188" i="8" s="1"/>
  <c r="M322" i="8"/>
  <c r="P322" i="8"/>
  <c r="Q322" i="8" s="1"/>
  <c r="Q316" i="8" s="1"/>
  <c r="M266" i="8"/>
  <c r="P266" i="8"/>
  <c r="Q266" i="8" s="1"/>
  <c r="M317" i="8"/>
  <c r="M316" i="8" s="1"/>
  <c r="P271" i="8"/>
  <c r="Q271" i="8" s="1"/>
  <c r="P260" i="8"/>
  <c r="Q260" i="8" s="1"/>
  <c r="P339" i="8"/>
  <c r="Q339" i="8" s="1"/>
  <c r="M339" i="8"/>
  <c r="M327" i="8" s="1"/>
  <c r="P279" i="8"/>
  <c r="Q279" i="8" s="1"/>
  <c r="M279" i="8"/>
  <c r="M186" i="8"/>
  <c r="P176" i="8"/>
  <c r="Q176" i="8" s="1"/>
  <c r="M299" i="8"/>
  <c r="P299" i="8"/>
  <c r="Q299" i="8" s="1"/>
  <c r="M239" i="8"/>
  <c r="M238" i="8" s="1"/>
  <c r="P239" i="8"/>
  <c r="Q239" i="8" s="1"/>
  <c r="Q238" i="8" s="1"/>
  <c r="M223" i="8"/>
  <c r="P223" i="8"/>
  <c r="Q223" i="8" s="1"/>
  <c r="P328" i="8"/>
  <c r="Q328" i="8" s="1"/>
  <c r="M147" i="8"/>
  <c r="M156" i="8"/>
  <c r="P156" i="8"/>
  <c r="Q156" i="8" s="1"/>
  <c r="P294" i="8"/>
  <c r="Q294" i="8" s="1"/>
  <c r="M294" i="8"/>
  <c r="P235" i="8"/>
  <c r="Q235" i="8" s="1"/>
  <c r="M235" i="8"/>
  <c r="P232" i="8"/>
  <c r="Q232" i="8" s="1"/>
  <c r="M232" i="8"/>
  <c r="M154" i="8"/>
  <c r="P154" i="8"/>
  <c r="Q154" i="8" s="1"/>
  <c r="M208" i="8"/>
  <c r="P208" i="8"/>
  <c r="Q208" i="8" s="1"/>
  <c r="P151" i="8"/>
  <c r="Q151" i="8" s="1"/>
  <c r="M151" i="8"/>
  <c r="O123" i="7"/>
  <c r="AR95" i="1" s="1"/>
  <c r="V296" i="7"/>
  <c r="T124" i="7"/>
  <c r="M438" i="7"/>
  <c r="V124" i="7"/>
  <c r="M209" i="7"/>
  <c r="T426" i="7"/>
  <c r="P244" i="7"/>
  <c r="Q244" i="7" s="1"/>
  <c r="T349" i="7"/>
  <c r="M129" i="7"/>
  <c r="P440" i="7"/>
  <c r="Q440" i="7" s="1"/>
  <c r="M331" i="7"/>
  <c r="M165" i="7"/>
  <c r="P358" i="7"/>
  <c r="Q358" i="7" s="1"/>
  <c r="P213" i="7"/>
  <c r="Q213" i="7" s="1"/>
  <c r="M297" i="7"/>
  <c r="P297" i="7"/>
  <c r="Q297" i="7" s="1"/>
  <c r="M397" i="7"/>
  <c r="P397" i="7"/>
  <c r="Q397" i="7" s="1"/>
  <c r="M235" i="7"/>
  <c r="M192" i="7"/>
  <c r="M370" i="7"/>
  <c r="M421" i="7"/>
  <c r="P421" i="7"/>
  <c r="Q421" i="7" s="1"/>
  <c r="Q415" i="7" s="1"/>
  <c r="M373" i="7"/>
  <c r="P373" i="7"/>
  <c r="Q373" i="7" s="1"/>
  <c r="M260" i="7"/>
  <c r="P260" i="7"/>
  <c r="Q260" i="7" s="1"/>
  <c r="M197" i="7"/>
  <c r="P197" i="7"/>
  <c r="Q197" i="7" s="1"/>
  <c r="P125" i="7"/>
  <c r="Q125" i="7" s="1"/>
  <c r="M125" i="7"/>
  <c r="P413" i="7"/>
  <c r="Q413" i="7" s="1"/>
  <c r="M413" i="7"/>
  <c r="M333" i="7"/>
  <c r="P333" i="7"/>
  <c r="Q333" i="7" s="1"/>
  <c r="P447" i="7"/>
  <c r="Q447" i="7" s="1"/>
  <c r="Q446" i="7" s="1"/>
  <c r="M447" i="7"/>
  <c r="M446" i="7" s="1"/>
  <c r="P322" i="7"/>
  <c r="Q322" i="7" s="1"/>
  <c r="M322" i="7"/>
  <c r="P379" i="7"/>
  <c r="Q379" i="7" s="1"/>
  <c r="M379" i="7"/>
  <c r="P432" i="7"/>
  <c r="Q432" i="7" s="1"/>
  <c r="M432" i="7"/>
  <c r="M426" i="7" s="1"/>
  <c r="M281" i="7"/>
  <c r="P281" i="7"/>
  <c r="Q281" i="7" s="1"/>
  <c r="P365" i="7"/>
  <c r="Q365" i="7" s="1"/>
  <c r="M365" i="7"/>
  <c r="P354" i="7"/>
  <c r="Q354" i="7" s="1"/>
  <c r="M354" i="7"/>
  <c r="P310" i="7"/>
  <c r="Q310" i="7" s="1"/>
  <c r="M310" i="7"/>
  <c r="M344" i="7"/>
  <c r="P344" i="7"/>
  <c r="Q344" i="7" s="1"/>
  <c r="M316" i="7"/>
  <c r="P316" i="7"/>
  <c r="Q316" i="7" s="1"/>
  <c r="P337" i="7"/>
  <c r="Q337" i="7" s="1"/>
  <c r="M337" i="7"/>
  <c r="P403" i="7"/>
  <c r="Q403" i="7" s="1"/>
  <c r="M403" i="7"/>
  <c r="M273" i="7"/>
  <c r="P273" i="7"/>
  <c r="Q273" i="7" s="1"/>
  <c r="P391" i="7"/>
  <c r="Q391" i="7" s="1"/>
  <c r="M391" i="7"/>
  <c r="P288" i="7"/>
  <c r="Q288" i="7" s="1"/>
  <c r="M288" i="7"/>
  <c r="M243" i="8" l="1"/>
  <c r="Q327" i="8"/>
  <c r="Q267" i="9"/>
  <c r="M355" i="9"/>
  <c r="M267" i="9"/>
  <c r="T124" i="9"/>
  <c r="Q368" i="9"/>
  <c r="M259" i="8"/>
  <c r="V123" i="7"/>
  <c r="M415" i="7"/>
  <c r="Q330" i="7"/>
  <c r="M124" i="8"/>
  <c r="M349" i="7"/>
  <c r="M291" i="9"/>
  <c r="M303" i="9"/>
  <c r="Q125" i="9"/>
  <c r="V124" i="9"/>
  <c r="Q291" i="9"/>
  <c r="Q303" i="9"/>
  <c r="M125" i="9"/>
  <c r="Q124" i="8"/>
  <c r="T123" i="8"/>
  <c r="M278" i="8"/>
  <c r="Q259" i="8"/>
  <c r="Q278" i="8"/>
  <c r="V123" i="8"/>
  <c r="Q426" i="7"/>
  <c r="Q349" i="7"/>
  <c r="Q296" i="7"/>
  <c r="M124" i="7"/>
  <c r="M296" i="7"/>
  <c r="M330" i="7"/>
  <c r="T123" i="7"/>
  <c r="Q124" i="7"/>
  <c r="M123" i="8" l="1"/>
  <c r="AQ96" i="1" s="1"/>
  <c r="M124" i="9"/>
  <c r="AQ98" i="1" s="1"/>
  <c r="Q124" i="9"/>
  <c r="AS98" i="1" s="1"/>
  <c r="Q123" i="8"/>
  <c r="AS96" i="1" s="1"/>
  <c r="Q123" i="7"/>
  <c r="AS95" i="1" s="1"/>
  <c r="M123" i="7"/>
  <c r="AQ95" i="1" s="1"/>
  <c r="X127" i="3"/>
  <c r="Z127" i="3"/>
  <c r="AB127" i="3"/>
  <c r="AD127" i="3"/>
  <c r="AF127" i="3"/>
  <c r="AH127" i="3"/>
  <c r="AJ127" i="3"/>
  <c r="AL127" i="3"/>
  <c r="AN127" i="3"/>
  <c r="X123" i="13" l="1"/>
  <c r="Z123" i="13"/>
  <c r="AB123" i="13"/>
  <c r="AD123" i="13"/>
  <c r="AF123" i="13"/>
  <c r="AH123" i="13"/>
  <c r="AJ123" i="13"/>
  <c r="AL123" i="13"/>
  <c r="AN123" i="13"/>
  <c r="O341" i="13"/>
  <c r="O325" i="13"/>
  <c r="O314" i="13"/>
  <c r="O303" i="13"/>
  <c r="O280" i="13"/>
  <c r="O265" i="13"/>
  <c r="O255" i="13"/>
  <c r="O254" i="13" s="1"/>
  <c r="O245" i="13"/>
  <c r="O223" i="13"/>
  <c r="O194" i="13"/>
  <c r="O184" i="13"/>
  <c r="O167" i="13"/>
  <c r="O152" i="13"/>
  <c r="O127" i="13"/>
  <c r="S350" i="13"/>
  <c r="L350" i="13" s="1"/>
  <c r="O350" i="13"/>
  <c r="O349" i="13" s="1"/>
  <c r="S346" i="13"/>
  <c r="L346" i="13" s="1"/>
  <c r="O346" i="13"/>
  <c r="S343" i="13"/>
  <c r="U343" i="13" s="1"/>
  <c r="V343" i="13" s="1"/>
  <c r="O343" i="13"/>
  <c r="S341" i="13"/>
  <c r="U341" i="13" s="1"/>
  <c r="V341" i="13" s="1"/>
  <c r="S335" i="13"/>
  <c r="L335" i="13" s="1"/>
  <c r="P335" i="13" s="1"/>
  <c r="Q335" i="13" s="1"/>
  <c r="O335" i="13"/>
  <c r="S330" i="13"/>
  <c r="U330" i="13" s="1"/>
  <c r="V330" i="13" s="1"/>
  <c r="O330" i="13"/>
  <c r="S327" i="13"/>
  <c r="T327" i="13" s="1"/>
  <c r="O327" i="13"/>
  <c r="S325" i="13"/>
  <c r="U325" i="13" s="1"/>
  <c r="V325" i="13" s="1"/>
  <c r="S323" i="13"/>
  <c r="O323" i="13"/>
  <c r="S321" i="13"/>
  <c r="U321" i="13" s="1"/>
  <c r="V321" i="13" s="1"/>
  <c r="O321" i="13"/>
  <c r="S317" i="13"/>
  <c r="T317" i="13" s="1"/>
  <c r="O317" i="13"/>
  <c r="S314" i="13"/>
  <c r="U314" i="13" s="1"/>
  <c r="V314" i="13" s="1"/>
  <c r="S312" i="13"/>
  <c r="O312" i="13"/>
  <c r="S307" i="13"/>
  <c r="U307" i="13" s="1"/>
  <c r="V307" i="13" s="1"/>
  <c r="O307" i="13"/>
  <c r="S305" i="13"/>
  <c r="T305" i="13" s="1"/>
  <c r="O305" i="13"/>
  <c r="S303" i="13"/>
  <c r="U303" i="13" s="1"/>
  <c r="V303" i="13" s="1"/>
  <c r="S292" i="13"/>
  <c r="O292" i="13"/>
  <c r="S288" i="13"/>
  <c r="U288" i="13" s="1"/>
  <c r="V288" i="13" s="1"/>
  <c r="O288" i="13"/>
  <c r="S282" i="13"/>
  <c r="T282" i="13" s="1"/>
  <c r="O282" i="13"/>
  <c r="S280" i="13"/>
  <c r="U280" i="13" s="1"/>
  <c r="V280" i="13" s="1"/>
  <c r="S278" i="13"/>
  <c r="O278" i="13"/>
  <c r="S276" i="13"/>
  <c r="U276" i="13" s="1"/>
  <c r="V276" i="13" s="1"/>
  <c r="O276" i="13"/>
  <c r="S270" i="13"/>
  <c r="T270" i="13" s="1"/>
  <c r="O270" i="13"/>
  <c r="S265" i="13"/>
  <c r="U265" i="13" s="1"/>
  <c r="V265" i="13" s="1"/>
  <c r="S260" i="13"/>
  <c r="O260" i="13"/>
  <c r="S255" i="13"/>
  <c r="U255" i="13" s="1"/>
  <c r="V255" i="13" s="1"/>
  <c r="V254" i="13" s="1"/>
  <c r="S251" i="13"/>
  <c r="T251" i="13" s="1"/>
  <c r="O251" i="13"/>
  <c r="S245" i="13"/>
  <c r="U245" i="13" s="1"/>
  <c r="V245" i="13" s="1"/>
  <c r="S243" i="13"/>
  <c r="O243" i="13"/>
  <c r="S240" i="13"/>
  <c r="U240" i="13" s="1"/>
  <c r="V240" i="13" s="1"/>
  <c r="O240" i="13"/>
  <c r="S235" i="13"/>
  <c r="T235" i="13" s="1"/>
  <c r="O235" i="13"/>
  <c r="S223" i="13"/>
  <c r="U223" i="13" s="1"/>
  <c r="V223" i="13" s="1"/>
  <c r="S208" i="13"/>
  <c r="O208" i="13"/>
  <c r="S199" i="13"/>
  <c r="U199" i="13" s="1"/>
  <c r="V199" i="13" s="1"/>
  <c r="O199" i="13"/>
  <c r="S194" i="13"/>
  <c r="T194" i="13" s="1"/>
  <c r="S184" i="13"/>
  <c r="U184" i="13" s="1"/>
  <c r="V184" i="13" s="1"/>
  <c r="S181" i="13"/>
  <c r="O181" i="13"/>
  <c r="S177" i="13"/>
  <c r="U177" i="13" s="1"/>
  <c r="V177" i="13" s="1"/>
  <c r="O177" i="13"/>
  <c r="S175" i="13"/>
  <c r="T175" i="13" s="1"/>
  <c r="O175" i="13"/>
  <c r="S167" i="13"/>
  <c r="U167" i="13" s="1"/>
  <c r="V167" i="13" s="1"/>
  <c r="S165" i="13"/>
  <c r="O165" i="13"/>
  <c r="S160" i="13"/>
  <c r="U160" i="13" s="1"/>
  <c r="V160" i="13" s="1"/>
  <c r="O160" i="13"/>
  <c r="S155" i="13"/>
  <c r="T155" i="13" s="1"/>
  <c r="O155" i="13"/>
  <c r="S152" i="13"/>
  <c r="U152" i="13" s="1"/>
  <c r="V152" i="13" s="1"/>
  <c r="S142" i="13"/>
  <c r="O142" i="13"/>
  <c r="S136" i="13"/>
  <c r="U136" i="13" s="1"/>
  <c r="V136" i="13" s="1"/>
  <c r="O136" i="13"/>
  <c r="S129" i="13"/>
  <c r="T129" i="13" s="1"/>
  <c r="O129" i="13"/>
  <c r="S127" i="13"/>
  <c r="U127" i="13" s="1"/>
  <c r="V127" i="13" s="1"/>
  <c r="O125" i="13"/>
  <c r="S125" i="13"/>
  <c r="L125" i="13" s="1"/>
  <c r="O346" i="34"/>
  <c r="O324" i="34"/>
  <c r="O311" i="34"/>
  <c r="O301" i="34"/>
  <c r="O291" i="34"/>
  <c r="O275" i="34"/>
  <c r="O264" i="34"/>
  <c r="O245" i="34"/>
  <c r="X127" i="34"/>
  <c r="Z127" i="34"/>
  <c r="AB127" i="34"/>
  <c r="AD127" i="34"/>
  <c r="AF127" i="34"/>
  <c r="AH127" i="34"/>
  <c r="AJ127" i="34"/>
  <c r="AL127" i="34"/>
  <c r="AN127" i="34"/>
  <c r="S355" i="34"/>
  <c r="O355" i="34"/>
  <c r="O354" i="34" s="1"/>
  <c r="S351" i="34"/>
  <c r="L351" i="34" s="1"/>
  <c r="O351" i="34"/>
  <c r="S348" i="34"/>
  <c r="T348" i="34" s="1"/>
  <c r="O348" i="34"/>
  <c r="S346" i="34"/>
  <c r="U346" i="34" s="1"/>
  <c r="V346" i="34" s="1"/>
  <c r="S340" i="34"/>
  <c r="O340" i="34"/>
  <c r="S335" i="34"/>
  <c r="T335" i="34" s="1"/>
  <c r="O335" i="34"/>
  <c r="S329" i="34"/>
  <c r="T329" i="34" s="1"/>
  <c r="T328" i="34" s="1"/>
  <c r="O329" i="34"/>
  <c r="O328" i="34" s="1"/>
  <c r="S324" i="34"/>
  <c r="U324" i="34" s="1"/>
  <c r="V324" i="34" s="1"/>
  <c r="S320" i="34"/>
  <c r="O320" i="34"/>
  <c r="S316" i="34"/>
  <c r="U316" i="34" s="1"/>
  <c r="V316" i="34" s="1"/>
  <c r="O316" i="34"/>
  <c r="S314" i="34"/>
  <c r="T314" i="34" s="1"/>
  <c r="O314" i="34"/>
  <c r="S311" i="34"/>
  <c r="U311" i="34" s="1"/>
  <c r="V311" i="34" s="1"/>
  <c r="S309" i="34"/>
  <c r="O309" i="34"/>
  <c r="S305" i="34"/>
  <c r="T305" i="34" s="1"/>
  <c r="O305" i="34"/>
  <c r="S303" i="34"/>
  <c r="T303" i="34" s="1"/>
  <c r="O303" i="34"/>
  <c r="S301" i="34"/>
  <c r="U301" i="34" s="1"/>
  <c r="V301" i="34" s="1"/>
  <c r="S299" i="34"/>
  <c r="O299" i="34"/>
  <c r="S297" i="34"/>
  <c r="U297" i="34" s="1"/>
  <c r="V297" i="34" s="1"/>
  <c r="O297" i="34"/>
  <c r="S295" i="34"/>
  <c r="T295" i="34" s="1"/>
  <c r="O295" i="34"/>
  <c r="S291" i="34"/>
  <c r="T291" i="34" s="1"/>
  <c r="S287" i="34"/>
  <c r="L287" i="34" s="1"/>
  <c r="O287" i="34"/>
  <c r="S283" i="34"/>
  <c r="O283" i="34"/>
  <c r="S277" i="34"/>
  <c r="L277" i="34" s="1"/>
  <c r="M277" i="34" s="1"/>
  <c r="O277" i="34"/>
  <c r="S275" i="34"/>
  <c r="T275" i="34" s="1"/>
  <c r="S270" i="34"/>
  <c r="L270" i="34" s="1"/>
  <c r="P270" i="34" s="1"/>
  <c r="Q270" i="34" s="1"/>
  <c r="O270" i="34"/>
  <c r="S268" i="34"/>
  <c r="T268" i="34" s="1"/>
  <c r="O268" i="34"/>
  <c r="S266" i="34"/>
  <c r="U266" i="34" s="1"/>
  <c r="V266" i="34" s="1"/>
  <c r="O266" i="34"/>
  <c r="S264" i="34"/>
  <c r="U264" i="34" s="1"/>
  <c r="V264" i="34" s="1"/>
  <c r="S259" i="34"/>
  <c r="L259" i="34" s="1"/>
  <c r="P259" i="34" s="1"/>
  <c r="Q259" i="34" s="1"/>
  <c r="O259" i="34"/>
  <c r="S254" i="34"/>
  <c r="T254" i="34" s="1"/>
  <c r="O254" i="34"/>
  <c r="S249" i="34"/>
  <c r="L249" i="34" s="1"/>
  <c r="M249" i="34" s="1"/>
  <c r="M248" i="34" s="1"/>
  <c r="O249" i="34"/>
  <c r="O248" i="34" s="1"/>
  <c r="S245" i="34"/>
  <c r="U245" i="34" s="1"/>
  <c r="V245" i="34" s="1"/>
  <c r="S242" i="34"/>
  <c r="L242" i="34" s="1"/>
  <c r="P242" i="34" s="1"/>
  <c r="Q242" i="34" s="1"/>
  <c r="O242" i="34"/>
  <c r="S237" i="34"/>
  <c r="T237" i="34" s="1"/>
  <c r="O237" i="34"/>
  <c r="S233" i="34"/>
  <c r="L233" i="34" s="1"/>
  <c r="M233" i="34" s="1"/>
  <c r="O233" i="34"/>
  <c r="S219" i="34"/>
  <c r="U219" i="34" s="1"/>
  <c r="V219" i="34" s="1"/>
  <c r="O219" i="34"/>
  <c r="S215" i="34"/>
  <c r="L215" i="34" s="1"/>
  <c r="O215" i="34"/>
  <c r="S210" i="34"/>
  <c r="O210" i="34"/>
  <c r="S206" i="34"/>
  <c r="L206" i="34" s="1"/>
  <c r="M206" i="34" s="1"/>
  <c r="O206" i="34"/>
  <c r="S201" i="34"/>
  <c r="U201" i="34" s="1"/>
  <c r="V201" i="34" s="1"/>
  <c r="O201" i="34"/>
  <c r="S199" i="34"/>
  <c r="L199" i="34" s="1"/>
  <c r="O199" i="34"/>
  <c r="S194" i="34"/>
  <c r="T194" i="34" s="1"/>
  <c r="O194" i="34"/>
  <c r="S189" i="34"/>
  <c r="L189" i="34" s="1"/>
  <c r="M189" i="34" s="1"/>
  <c r="O189" i="34"/>
  <c r="S186" i="34"/>
  <c r="T186" i="34" s="1"/>
  <c r="O186" i="34"/>
  <c r="S177" i="34"/>
  <c r="L177" i="34" s="1"/>
  <c r="P177" i="34" s="1"/>
  <c r="Q177" i="34" s="1"/>
  <c r="O177" i="34"/>
  <c r="S173" i="34"/>
  <c r="T173" i="34" s="1"/>
  <c r="O173" i="34"/>
  <c r="S169" i="34"/>
  <c r="L169" i="34" s="1"/>
  <c r="M169" i="34" s="1"/>
  <c r="O169" i="34"/>
  <c r="S167" i="34"/>
  <c r="U167" i="34" s="1"/>
  <c r="V167" i="34" s="1"/>
  <c r="O167" i="34"/>
  <c r="S164" i="34"/>
  <c r="L164" i="34" s="1"/>
  <c r="O164" i="34"/>
  <c r="S160" i="34"/>
  <c r="T160" i="34" s="1"/>
  <c r="O160" i="34"/>
  <c r="S156" i="34"/>
  <c r="U156" i="34" s="1"/>
  <c r="V156" i="34" s="1"/>
  <c r="O156" i="34"/>
  <c r="S149" i="34"/>
  <c r="T149" i="34" s="1"/>
  <c r="O149" i="34"/>
  <c r="S141" i="34"/>
  <c r="L141" i="34" s="1"/>
  <c r="P141" i="34" s="1"/>
  <c r="Q141" i="34" s="1"/>
  <c r="O141" i="34"/>
  <c r="S139" i="34"/>
  <c r="T139" i="34" s="1"/>
  <c r="O139" i="34"/>
  <c r="S134" i="34"/>
  <c r="U134" i="34" s="1"/>
  <c r="V134" i="34" s="1"/>
  <c r="O134" i="34"/>
  <c r="O129" i="34"/>
  <c r="S129" i="34"/>
  <c r="U129" i="34" s="1"/>
  <c r="V129" i="34" s="1"/>
  <c r="L305" i="34" l="1"/>
  <c r="M305" i="34" s="1"/>
  <c r="O275" i="13"/>
  <c r="L280" i="13"/>
  <c r="M280" i="13" s="1"/>
  <c r="T321" i="13"/>
  <c r="T177" i="13"/>
  <c r="O259" i="13"/>
  <c r="T240" i="13"/>
  <c r="O124" i="13"/>
  <c r="O287" i="13"/>
  <c r="T152" i="13"/>
  <c r="U129" i="13"/>
  <c r="V129" i="13" s="1"/>
  <c r="T160" i="13"/>
  <c r="T314" i="13"/>
  <c r="O329" i="13"/>
  <c r="T127" i="13"/>
  <c r="U175" i="13"/>
  <c r="V175" i="13" s="1"/>
  <c r="T199" i="13"/>
  <c r="U235" i="13"/>
  <c r="V235" i="13" s="1"/>
  <c r="U282" i="13"/>
  <c r="V282" i="13" s="1"/>
  <c r="T288" i="13"/>
  <c r="U327" i="13"/>
  <c r="V327" i="13" s="1"/>
  <c r="T330" i="13"/>
  <c r="T343" i="13"/>
  <c r="T223" i="13"/>
  <c r="L288" i="13"/>
  <c r="M288" i="13" s="1"/>
  <c r="L325" i="13"/>
  <c r="M325" i="13" s="1"/>
  <c r="L327" i="13"/>
  <c r="M327" i="13" s="1"/>
  <c r="L330" i="13"/>
  <c r="M330" i="13" s="1"/>
  <c r="L343" i="13"/>
  <c r="M343" i="13" s="1"/>
  <c r="T136" i="13"/>
  <c r="U155" i="13"/>
  <c r="V155" i="13" s="1"/>
  <c r="U251" i="13"/>
  <c r="V251" i="13" s="1"/>
  <c r="L152" i="13"/>
  <c r="P152" i="13" s="1"/>
  <c r="Q152" i="13" s="1"/>
  <c r="L160" i="13"/>
  <c r="M160" i="13" s="1"/>
  <c r="T167" i="13"/>
  <c r="L177" i="13"/>
  <c r="M177" i="13" s="1"/>
  <c r="L223" i="13"/>
  <c r="M223" i="13" s="1"/>
  <c r="L240" i="13"/>
  <c r="M240" i="13" s="1"/>
  <c r="T245" i="13"/>
  <c r="T265" i="13"/>
  <c r="U305" i="13"/>
  <c r="V305" i="13" s="1"/>
  <c r="T307" i="13"/>
  <c r="U317" i="13"/>
  <c r="V317" i="13" s="1"/>
  <c r="T346" i="13"/>
  <c r="L265" i="13"/>
  <c r="P265" i="13" s="1"/>
  <c r="Q265" i="13" s="1"/>
  <c r="L307" i="13"/>
  <c r="M307" i="13" s="1"/>
  <c r="U194" i="13"/>
  <c r="V194" i="13" s="1"/>
  <c r="T255" i="13"/>
  <c r="T254" i="13" s="1"/>
  <c r="T280" i="13"/>
  <c r="P125" i="13"/>
  <c r="Q125" i="13" s="1"/>
  <c r="M125" i="13"/>
  <c r="T125" i="13"/>
  <c r="L127" i="13"/>
  <c r="P127" i="13" s="1"/>
  <c r="Q127" i="13" s="1"/>
  <c r="L136" i="13"/>
  <c r="M136" i="13" s="1"/>
  <c r="L167" i="13"/>
  <c r="P167" i="13" s="1"/>
  <c r="Q167" i="13" s="1"/>
  <c r="T184" i="13"/>
  <c r="L199" i="13"/>
  <c r="M199" i="13" s="1"/>
  <c r="L245" i="13"/>
  <c r="P245" i="13" s="1"/>
  <c r="Q245" i="13" s="1"/>
  <c r="L255" i="13"/>
  <c r="M255" i="13" s="1"/>
  <c r="M254" i="13" s="1"/>
  <c r="U270" i="13"/>
  <c r="V270" i="13" s="1"/>
  <c r="T276" i="13"/>
  <c r="L303" i="13"/>
  <c r="P303" i="13" s="1"/>
  <c r="Q303" i="13" s="1"/>
  <c r="L314" i="13"/>
  <c r="P314" i="13" s="1"/>
  <c r="Q314" i="13" s="1"/>
  <c r="L321" i="13"/>
  <c r="M321" i="13" s="1"/>
  <c r="L341" i="13"/>
  <c r="P341" i="13" s="1"/>
  <c r="Q341" i="13" s="1"/>
  <c r="U346" i="13"/>
  <c r="V346" i="13" s="1"/>
  <c r="U125" i="13"/>
  <c r="V125" i="13" s="1"/>
  <c r="L184" i="13"/>
  <c r="M184" i="13" s="1"/>
  <c r="L276" i="13"/>
  <c r="M276" i="13" s="1"/>
  <c r="M335" i="13"/>
  <c r="L181" i="13"/>
  <c r="U181" i="13"/>
  <c r="V181" i="13" s="1"/>
  <c r="T181" i="13"/>
  <c r="L208" i="13"/>
  <c r="U208" i="13"/>
  <c r="V208" i="13" s="1"/>
  <c r="T208" i="13"/>
  <c r="L292" i="13"/>
  <c r="U292" i="13"/>
  <c r="V292" i="13" s="1"/>
  <c r="T292" i="13"/>
  <c r="L312" i="13"/>
  <c r="U312" i="13"/>
  <c r="V312" i="13" s="1"/>
  <c r="T312" i="13"/>
  <c r="L142" i="13"/>
  <c r="U142" i="13"/>
  <c r="V142" i="13" s="1"/>
  <c r="T142" i="13"/>
  <c r="L243" i="13"/>
  <c r="U243" i="13"/>
  <c r="V243" i="13" s="1"/>
  <c r="T243" i="13"/>
  <c r="L323" i="13"/>
  <c r="U323" i="13"/>
  <c r="V323" i="13" s="1"/>
  <c r="T323" i="13"/>
  <c r="L165" i="13"/>
  <c r="U165" i="13"/>
  <c r="V165" i="13" s="1"/>
  <c r="T165" i="13"/>
  <c r="L260" i="13"/>
  <c r="U260" i="13"/>
  <c r="V260" i="13" s="1"/>
  <c r="T260" i="13"/>
  <c r="L278" i="13"/>
  <c r="U278" i="13"/>
  <c r="V278" i="13" s="1"/>
  <c r="V275" i="13" s="1"/>
  <c r="T278" i="13"/>
  <c r="M346" i="13"/>
  <c r="P346" i="13"/>
  <c r="Q346" i="13" s="1"/>
  <c r="M350" i="13"/>
  <c r="M349" i="13" s="1"/>
  <c r="P350" i="13"/>
  <c r="Q350" i="13" s="1"/>
  <c r="Q349" i="13" s="1"/>
  <c r="L129" i="13"/>
  <c r="L155" i="13"/>
  <c r="L175" i="13"/>
  <c r="L194" i="13"/>
  <c r="L235" i="13"/>
  <c r="L251" i="13"/>
  <c r="L270" i="13"/>
  <c r="L282" i="13"/>
  <c r="L305" i="13"/>
  <c r="L317" i="13"/>
  <c r="T335" i="13"/>
  <c r="T350" i="13"/>
  <c r="T349" i="13" s="1"/>
  <c r="T303" i="13"/>
  <c r="T325" i="13"/>
  <c r="U335" i="13"/>
  <c r="V335" i="13" s="1"/>
  <c r="T341" i="13"/>
  <c r="U350" i="13"/>
  <c r="V350" i="13" s="1"/>
  <c r="V349" i="13" s="1"/>
  <c r="U305" i="34"/>
  <c r="V305" i="34" s="1"/>
  <c r="O253" i="34"/>
  <c r="L275" i="34"/>
  <c r="M275" i="34" s="1"/>
  <c r="T277" i="34"/>
  <c r="U335" i="34"/>
  <c r="V335" i="34" s="1"/>
  <c r="L149" i="34"/>
  <c r="M149" i="34" s="1"/>
  <c r="U275" i="34"/>
  <c r="V275" i="34" s="1"/>
  <c r="O282" i="34"/>
  <c r="U303" i="34"/>
  <c r="V303" i="34" s="1"/>
  <c r="L311" i="34"/>
  <c r="M311" i="34" s="1"/>
  <c r="P206" i="34"/>
  <c r="Q206" i="34" s="1"/>
  <c r="O263" i="34"/>
  <c r="O334" i="34"/>
  <c r="O128" i="34"/>
  <c r="P164" i="34"/>
  <c r="Q164" i="34" s="1"/>
  <c r="M164" i="34"/>
  <c r="L156" i="34"/>
  <c r="T156" i="34"/>
  <c r="T233" i="34"/>
  <c r="T264" i="34"/>
  <c r="T301" i="34"/>
  <c r="T351" i="34"/>
  <c r="L167" i="34"/>
  <c r="T167" i="34"/>
  <c r="L186" i="34"/>
  <c r="M186" i="34" s="1"/>
  <c r="U186" i="34"/>
  <c r="V186" i="34" s="1"/>
  <c r="U189" i="34"/>
  <c r="V189" i="34" s="1"/>
  <c r="T201" i="34"/>
  <c r="U206" i="34"/>
  <c r="V206" i="34" s="1"/>
  <c r="T219" i="34"/>
  <c r="M242" i="34"/>
  <c r="L245" i="34"/>
  <c r="T245" i="34"/>
  <c r="L264" i="34"/>
  <c r="M264" i="34" s="1"/>
  <c r="L297" i="34"/>
  <c r="M297" i="34" s="1"/>
  <c r="T134" i="34"/>
  <c r="T189" i="34"/>
  <c r="L219" i="34"/>
  <c r="M219" i="34" s="1"/>
  <c r="U291" i="34"/>
  <c r="V291" i="34" s="1"/>
  <c r="P199" i="34"/>
  <c r="Q199" i="34" s="1"/>
  <c r="M199" i="34"/>
  <c r="L129" i="34"/>
  <c r="T129" i="34"/>
  <c r="L134" i="34"/>
  <c r="M134" i="34" s="1"/>
  <c r="M141" i="34"/>
  <c r="T169" i="34"/>
  <c r="L201" i="34"/>
  <c r="M201" i="34" s="1"/>
  <c r="U233" i="34"/>
  <c r="V233" i="34" s="1"/>
  <c r="T249" i="34"/>
  <c r="T248" i="34" s="1"/>
  <c r="L266" i="34"/>
  <c r="T266" i="34"/>
  <c r="U277" i="34"/>
  <c r="V277" i="34" s="1"/>
  <c r="L301" i="34"/>
  <c r="P301" i="34" s="1"/>
  <c r="Q301" i="34" s="1"/>
  <c r="U314" i="34"/>
  <c r="V314" i="34" s="1"/>
  <c r="T316" i="34"/>
  <c r="L324" i="34"/>
  <c r="P324" i="34" s="1"/>
  <c r="Q324" i="34" s="1"/>
  <c r="L329" i="34"/>
  <c r="U329" i="34"/>
  <c r="V329" i="34" s="1"/>
  <c r="V328" i="34" s="1"/>
  <c r="L348" i="34"/>
  <c r="U348" i="34"/>
  <c r="V348" i="34" s="1"/>
  <c r="U351" i="34"/>
  <c r="V351" i="34" s="1"/>
  <c r="U149" i="34"/>
  <c r="V149" i="34" s="1"/>
  <c r="U169" i="34"/>
  <c r="V169" i="34" s="1"/>
  <c r="T206" i="34"/>
  <c r="U249" i="34"/>
  <c r="V249" i="34" s="1"/>
  <c r="V248" i="34" s="1"/>
  <c r="P277" i="34"/>
  <c r="Q277" i="34" s="1"/>
  <c r="L291" i="34"/>
  <c r="U295" i="34"/>
  <c r="V295" i="34" s="1"/>
  <c r="T297" i="34"/>
  <c r="L316" i="34"/>
  <c r="M316" i="34" s="1"/>
  <c r="L335" i="34"/>
  <c r="L346" i="34"/>
  <c r="P346" i="34" s="1"/>
  <c r="Q346" i="34" s="1"/>
  <c r="P169" i="34"/>
  <c r="Q169" i="34" s="1"/>
  <c r="P249" i="34"/>
  <c r="Q249" i="34" s="1"/>
  <c r="Q248" i="34" s="1"/>
  <c r="P287" i="34"/>
  <c r="Q287" i="34" s="1"/>
  <c r="M287" i="34"/>
  <c r="P215" i="34"/>
  <c r="Q215" i="34" s="1"/>
  <c r="M215" i="34"/>
  <c r="L299" i="34"/>
  <c r="U299" i="34"/>
  <c r="V299" i="34" s="1"/>
  <c r="T299" i="34"/>
  <c r="L139" i="34"/>
  <c r="U139" i="34"/>
  <c r="V139" i="34" s="1"/>
  <c r="L160" i="34"/>
  <c r="U160" i="34"/>
  <c r="V160" i="34" s="1"/>
  <c r="P189" i="34"/>
  <c r="Q189" i="34" s="1"/>
  <c r="U199" i="34"/>
  <c r="V199" i="34" s="1"/>
  <c r="T199" i="34"/>
  <c r="L237" i="34"/>
  <c r="U237" i="34"/>
  <c r="V237" i="34" s="1"/>
  <c r="L173" i="34"/>
  <c r="U173" i="34"/>
  <c r="V173" i="34" s="1"/>
  <c r="L268" i="34"/>
  <c r="U268" i="34"/>
  <c r="V268" i="34" s="1"/>
  <c r="U177" i="34"/>
  <c r="V177" i="34" s="1"/>
  <c r="T177" i="34"/>
  <c r="L210" i="34"/>
  <c r="U210" i="34"/>
  <c r="V210" i="34" s="1"/>
  <c r="U259" i="34"/>
  <c r="V259" i="34" s="1"/>
  <c r="T259" i="34"/>
  <c r="T253" i="34" s="1"/>
  <c r="U270" i="34"/>
  <c r="V270" i="34" s="1"/>
  <c r="T270" i="34"/>
  <c r="L283" i="34"/>
  <c r="U283" i="34"/>
  <c r="V283" i="34" s="1"/>
  <c r="L309" i="34"/>
  <c r="U309" i="34"/>
  <c r="V309" i="34" s="1"/>
  <c r="T309" i="34"/>
  <c r="L340" i="34"/>
  <c r="U340" i="34"/>
  <c r="V340" i="34" s="1"/>
  <c r="T340" i="34"/>
  <c r="M351" i="34"/>
  <c r="P351" i="34"/>
  <c r="Q351" i="34" s="1"/>
  <c r="U215" i="34"/>
  <c r="V215" i="34" s="1"/>
  <c r="T215" i="34"/>
  <c r="L254" i="34"/>
  <c r="U254" i="34"/>
  <c r="V254" i="34" s="1"/>
  <c r="U287" i="34"/>
  <c r="V287" i="34" s="1"/>
  <c r="T287" i="34"/>
  <c r="U141" i="34"/>
  <c r="V141" i="34" s="1"/>
  <c r="T141" i="34"/>
  <c r="U164" i="34"/>
  <c r="V164" i="34" s="1"/>
  <c r="T164" i="34"/>
  <c r="M177" i="34"/>
  <c r="L194" i="34"/>
  <c r="U194" i="34"/>
  <c r="V194" i="34" s="1"/>
  <c r="T210" i="34"/>
  <c r="P233" i="34"/>
  <c r="Q233" i="34" s="1"/>
  <c r="U242" i="34"/>
  <c r="V242" i="34" s="1"/>
  <c r="T242" i="34"/>
  <c r="M259" i="34"/>
  <c r="M270" i="34"/>
  <c r="T283" i="34"/>
  <c r="L320" i="34"/>
  <c r="U320" i="34"/>
  <c r="V320" i="34" s="1"/>
  <c r="T320" i="34"/>
  <c r="L355" i="34"/>
  <c r="U355" i="34"/>
  <c r="V355" i="34" s="1"/>
  <c r="V354" i="34" s="1"/>
  <c r="T355" i="34"/>
  <c r="T354" i="34" s="1"/>
  <c r="L295" i="34"/>
  <c r="L303" i="34"/>
  <c r="P305" i="34"/>
  <c r="Q305" i="34" s="1"/>
  <c r="L314" i="34"/>
  <c r="T311" i="34"/>
  <c r="T324" i="34"/>
  <c r="T346" i="34"/>
  <c r="T259" i="13" l="1"/>
  <c r="P280" i="13"/>
  <c r="Q280" i="13" s="1"/>
  <c r="P134" i="34"/>
  <c r="Q134" i="34" s="1"/>
  <c r="M324" i="34"/>
  <c r="P149" i="34"/>
  <c r="Q149" i="34" s="1"/>
  <c r="P223" i="13"/>
  <c r="Q223" i="13" s="1"/>
  <c r="M127" i="13"/>
  <c r="T275" i="13"/>
  <c r="O123" i="13"/>
  <c r="M265" i="13"/>
  <c r="P288" i="13"/>
  <c r="Q288" i="13" s="1"/>
  <c r="P136" i="13"/>
  <c r="Q136" i="13" s="1"/>
  <c r="P325" i="13"/>
  <c r="Q325" i="13" s="1"/>
  <c r="M245" i="13"/>
  <c r="M152" i="13"/>
  <c r="P240" i="13"/>
  <c r="Q240" i="13" s="1"/>
  <c r="V287" i="13"/>
  <c r="P307" i="13"/>
  <c r="Q307" i="13" s="1"/>
  <c r="P276" i="13"/>
  <c r="Q276" i="13" s="1"/>
  <c r="P160" i="13"/>
  <c r="Q160" i="13" s="1"/>
  <c r="M303" i="13"/>
  <c r="V329" i="13"/>
  <c r="M341" i="13"/>
  <c r="M329" i="13" s="1"/>
  <c r="P199" i="13"/>
  <c r="Q199" i="13" s="1"/>
  <c r="P343" i="13"/>
  <c r="Q343" i="13" s="1"/>
  <c r="T124" i="13"/>
  <c r="T287" i="13"/>
  <c r="V259" i="13"/>
  <c r="M167" i="13"/>
  <c r="T329" i="13"/>
  <c r="V124" i="13"/>
  <c r="P330" i="13"/>
  <c r="Q330" i="13" s="1"/>
  <c r="P177" i="13"/>
  <c r="Q177" i="13" s="1"/>
  <c r="P327" i="13"/>
  <c r="Q327" i="13" s="1"/>
  <c r="P255" i="13"/>
  <c r="Q255" i="13" s="1"/>
  <c r="Q254" i="13" s="1"/>
  <c r="M314" i="13"/>
  <c r="P321" i="13"/>
  <c r="Q321" i="13" s="1"/>
  <c r="P184" i="13"/>
  <c r="Q184" i="13" s="1"/>
  <c r="P312" i="13"/>
  <c r="Q312" i="13" s="1"/>
  <c r="M312" i="13"/>
  <c r="P208" i="13"/>
  <c r="Q208" i="13" s="1"/>
  <c r="M208" i="13"/>
  <c r="M317" i="13"/>
  <c r="P317" i="13"/>
  <c r="Q317" i="13" s="1"/>
  <c r="M282" i="13"/>
  <c r="P282" i="13"/>
  <c r="Q282" i="13" s="1"/>
  <c r="M251" i="13"/>
  <c r="P251" i="13"/>
  <c r="Q251" i="13" s="1"/>
  <c r="M194" i="13"/>
  <c r="P194" i="13"/>
  <c r="Q194" i="13" s="1"/>
  <c r="M155" i="13"/>
  <c r="P155" i="13"/>
  <c r="Q155" i="13" s="1"/>
  <c r="P260" i="13"/>
  <c r="Q260" i="13" s="1"/>
  <c r="M260" i="13"/>
  <c r="P181" i="13"/>
  <c r="Q181" i="13" s="1"/>
  <c r="M181" i="13"/>
  <c r="P278" i="13"/>
  <c r="Q278" i="13" s="1"/>
  <c r="M278" i="13"/>
  <c r="P165" i="13"/>
  <c r="Q165" i="13" s="1"/>
  <c r="M165" i="13"/>
  <c r="P243" i="13"/>
  <c r="Q243" i="13" s="1"/>
  <c r="M243" i="13"/>
  <c r="M305" i="13"/>
  <c r="P305" i="13"/>
  <c r="Q305" i="13" s="1"/>
  <c r="M270" i="13"/>
  <c r="P270" i="13"/>
  <c r="Q270" i="13" s="1"/>
  <c r="M235" i="13"/>
  <c r="P235" i="13"/>
  <c r="Q235" i="13" s="1"/>
  <c r="M175" i="13"/>
  <c r="P175" i="13"/>
  <c r="Q175" i="13" s="1"/>
  <c r="M129" i="13"/>
  <c r="P129" i="13"/>
  <c r="Q129" i="13" s="1"/>
  <c r="P323" i="13"/>
  <c r="Q323" i="13" s="1"/>
  <c r="M323" i="13"/>
  <c r="P142" i="13"/>
  <c r="Q142" i="13" s="1"/>
  <c r="M142" i="13"/>
  <c r="P292" i="13"/>
  <c r="Q292" i="13" s="1"/>
  <c r="M292" i="13"/>
  <c r="P275" i="34"/>
  <c r="Q275" i="34" s="1"/>
  <c r="T334" i="34"/>
  <c r="V128" i="34"/>
  <c r="O127" i="34"/>
  <c r="AR130" i="1" s="1"/>
  <c r="P297" i="34"/>
  <c r="Q297" i="34" s="1"/>
  <c r="P311" i="34"/>
  <c r="Q311" i="34" s="1"/>
  <c r="V263" i="34"/>
  <c r="T282" i="34"/>
  <c r="P219" i="34"/>
  <c r="Q219" i="34" s="1"/>
  <c r="P264" i="34"/>
  <c r="Q264" i="34" s="1"/>
  <c r="V334" i="34"/>
  <c r="V253" i="34"/>
  <c r="V282" i="34"/>
  <c r="T128" i="34"/>
  <c r="T263" i="34"/>
  <c r="M245" i="34"/>
  <c r="P245" i="34"/>
  <c r="Q245" i="34" s="1"/>
  <c r="P156" i="34"/>
  <c r="Q156" i="34" s="1"/>
  <c r="M156" i="34"/>
  <c r="M301" i="34"/>
  <c r="M167" i="34"/>
  <c r="P167" i="34"/>
  <c r="Q167" i="34" s="1"/>
  <c r="M346" i="34"/>
  <c r="P186" i="34"/>
  <c r="Q186" i="34" s="1"/>
  <c r="M348" i="34"/>
  <c r="P348" i="34"/>
  <c r="Q348" i="34" s="1"/>
  <c r="P316" i="34"/>
  <c r="Q316" i="34" s="1"/>
  <c r="M266" i="34"/>
  <c r="P266" i="34"/>
  <c r="Q266" i="34" s="1"/>
  <c r="P129" i="34"/>
  <c r="Q129" i="34" s="1"/>
  <c r="M129" i="34"/>
  <c r="P201" i="34"/>
  <c r="Q201" i="34" s="1"/>
  <c r="M329" i="34"/>
  <c r="M328" i="34" s="1"/>
  <c r="P329" i="34"/>
  <c r="Q329" i="34" s="1"/>
  <c r="Q328" i="34" s="1"/>
  <c r="M335" i="34"/>
  <c r="P335" i="34"/>
  <c r="Q335" i="34" s="1"/>
  <c r="M291" i="34"/>
  <c r="P291" i="34"/>
  <c r="Q291" i="34" s="1"/>
  <c r="P194" i="34"/>
  <c r="Q194" i="34" s="1"/>
  <c r="M194" i="34"/>
  <c r="P340" i="34"/>
  <c r="Q340" i="34" s="1"/>
  <c r="M340" i="34"/>
  <c r="P173" i="34"/>
  <c r="Q173" i="34" s="1"/>
  <c r="M173" i="34"/>
  <c r="P237" i="34"/>
  <c r="Q237" i="34" s="1"/>
  <c r="M237" i="34"/>
  <c r="P139" i="34"/>
  <c r="Q139" i="34" s="1"/>
  <c r="M139" i="34"/>
  <c r="M303" i="34"/>
  <c r="P303" i="34"/>
  <c r="Q303" i="34" s="1"/>
  <c r="P355" i="34"/>
  <c r="Q355" i="34" s="1"/>
  <c r="Q354" i="34" s="1"/>
  <c r="M355" i="34"/>
  <c r="M354" i="34" s="1"/>
  <c r="M314" i="34"/>
  <c r="P314" i="34"/>
  <c r="Q314" i="34" s="1"/>
  <c r="M295" i="34"/>
  <c r="P295" i="34"/>
  <c r="Q295" i="34" s="1"/>
  <c r="P320" i="34"/>
  <c r="Q320" i="34" s="1"/>
  <c r="M320" i="34"/>
  <c r="P254" i="34"/>
  <c r="Q254" i="34" s="1"/>
  <c r="Q253" i="34" s="1"/>
  <c r="M254" i="34"/>
  <c r="M253" i="34" s="1"/>
  <c r="P283" i="34"/>
  <c r="Q283" i="34" s="1"/>
  <c r="M283" i="34"/>
  <c r="P210" i="34"/>
  <c r="Q210" i="34" s="1"/>
  <c r="M210" i="34"/>
  <c r="P309" i="34"/>
  <c r="Q309" i="34" s="1"/>
  <c r="M309" i="34"/>
  <c r="P268" i="34"/>
  <c r="Q268" i="34" s="1"/>
  <c r="M268" i="34"/>
  <c r="P160" i="34"/>
  <c r="Q160" i="34" s="1"/>
  <c r="M160" i="34"/>
  <c r="P299" i="34"/>
  <c r="Q299" i="34" s="1"/>
  <c r="M299" i="34"/>
  <c r="M275" i="13" l="1"/>
  <c r="M259" i="13"/>
  <c r="T123" i="13"/>
  <c r="AR102" i="1"/>
  <c r="AR102" i="13"/>
  <c r="V123" i="13"/>
  <c r="Q275" i="13"/>
  <c r="M287" i="13"/>
  <c r="Q329" i="13"/>
  <c r="Q124" i="13"/>
  <c r="Q287" i="13"/>
  <c r="M124" i="13"/>
  <c r="Q259" i="13"/>
  <c r="Q263" i="34"/>
  <c r="M263" i="34"/>
  <c r="V127" i="34"/>
  <c r="M334" i="34"/>
  <c r="M128" i="34"/>
  <c r="M282" i="34"/>
  <c r="Q128" i="34"/>
  <c r="T127" i="34"/>
  <c r="Q282" i="34"/>
  <c r="Q334" i="34"/>
  <c r="O402" i="3"/>
  <c r="O400" i="3"/>
  <c r="O378" i="3"/>
  <c r="O373" i="3"/>
  <c r="O365" i="3"/>
  <c r="O353" i="3"/>
  <c r="O349" i="3"/>
  <c r="O343" i="3"/>
  <c r="O335" i="3"/>
  <c r="O331" i="3"/>
  <c r="O320" i="3"/>
  <c r="O317" i="3"/>
  <c r="O309" i="3"/>
  <c r="O305" i="3"/>
  <c r="O288" i="3"/>
  <c r="O284" i="3"/>
  <c r="O276" i="3"/>
  <c r="O270" i="3"/>
  <c r="O264" i="3"/>
  <c r="O246" i="3"/>
  <c r="O245" i="3" s="1"/>
  <c r="O242" i="3"/>
  <c r="O228" i="3"/>
  <c r="O213" i="3"/>
  <c r="O199" i="3"/>
  <c r="O195" i="3"/>
  <c r="O182" i="3"/>
  <c r="O179" i="3"/>
  <c r="O165" i="3"/>
  <c r="O159" i="3"/>
  <c r="O148" i="3"/>
  <c r="O142" i="3"/>
  <c r="O131" i="3"/>
  <c r="S411" i="3"/>
  <c r="L411" i="3" s="1"/>
  <c r="M411" i="3" s="1"/>
  <c r="M410" i="3" s="1"/>
  <c r="O411" i="3"/>
  <c r="O410" i="3" s="1"/>
  <c r="S406" i="3"/>
  <c r="U406" i="3" s="1"/>
  <c r="V406" i="3" s="1"/>
  <c r="O406" i="3"/>
  <c r="S402" i="3"/>
  <c r="T402" i="3" s="1"/>
  <c r="S400" i="3"/>
  <c r="U400" i="3" s="1"/>
  <c r="V400" i="3" s="1"/>
  <c r="S394" i="3"/>
  <c r="O394" i="3"/>
  <c r="S389" i="3"/>
  <c r="U389" i="3" s="1"/>
  <c r="V389" i="3" s="1"/>
  <c r="O389" i="3"/>
  <c r="S383" i="3"/>
  <c r="T383" i="3" s="1"/>
  <c r="O383" i="3"/>
  <c r="S378" i="3"/>
  <c r="U378" i="3" s="1"/>
  <c r="V378" i="3" s="1"/>
  <c r="S375" i="3"/>
  <c r="L375" i="3" s="1"/>
  <c r="P375" i="3" s="1"/>
  <c r="Q375" i="3" s="1"/>
  <c r="O375" i="3"/>
  <c r="S373" i="3"/>
  <c r="U373" i="3" s="1"/>
  <c r="V373" i="3" s="1"/>
  <c r="S369" i="3"/>
  <c r="L369" i="3" s="1"/>
  <c r="P369" i="3" s="1"/>
  <c r="Q369" i="3" s="1"/>
  <c r="O369" i="3"/>
  <c r="S365" i="3"/>
  <c r="S361" i="3"/>
  <c r="L361" i="3" s="1"/>
  <c r="M361" i="3" s="1"/>
  <c r="O361" i="3"/>
  <c r="S359" i="3"/>
  <c r="U359" i="3" s="1"/>
  <c r="V359" i="3" s="1"/>
  <c r="O359" i="3"/>
  <c r="S355" i="3"/>
  <c r="O355" i="3"/>
  <c r="S353" i="3"/>
  <c r="U353" i="3" s="1"/>
  <c r="V353" i="3" s="1"/>
  <c r="S351" i="3"/>
  <c r="O351" i="3"/>
  <c r="S349" i="3"/>
  <c r="U349" i="3" s="1"/>
  <c r="V349" i="3" s="1"/>
  <c r="S345" i="3"/>
  <c r="T345" i="3" s="1"/>
  <c r="O345" i="3"/>
  <c r="S343" i="3"/>
  <c r="U343" i="3" s="1"/>
  <c r="V343" i="3" s="1"/>
  <c r="S339" i="3"/>
  <c r="O339" i="3"/>
  <c r="S337" i="3"/>
  <c r="U337" i="3" s="1"/>
  <c r="V337" i="3" s="1"/>
  <c r="O337" i="3"/>
  <c r="S335" i="3"/>
  <c r="T335" i="3" s="1"/>
  <c r="S331" i="3"/>
  <c r="U331" i="3" s="1"/>
  <c r="V331" i="3" s="1"/>
  <c r="S328" i="3"/>
  <c r="L328" i="3" s="1"/>
  <c r="P328" i="3" s="1"/>
  <c r="Q328" i="3" s="1"/>
  <c r="O328" i="3"/>
  <c r="S323" i="3"/>
  <c r="U323" i="3" s="1"/>
  <c r="V323" i="3" s="1"/>
  <c r="O323" i="3"/>
  <c r="S320" i="3"/>
  <c r="L320" i="3" s="1"/>
  <c r="S317" i="3"/>
  <c r="S315" i="3"/>
  <c r="L315" i="3" s="1"/>
  <c r="M315" i="3" s="1"/>
  <c r="O315" i="3"/>
  <c r="S313" i="3"/>
  <c r="T313" i="3" s="1"/>
  <c r="O313" i="3"/>
  <c r="S309" i="3"/>
  <c r="S305" i="3"/>
  <c r="U305" i="3" s="1"/>
  <c r="V305" i="3" s="1"/>
  <c r="S301" i="3"/>
  <c r="O301" i="3"/>
  <c r="S295" i="3"/>
  <c r="T295" i="3" s="1"/>
  <c r="O295" i="3"/>
  <c r="S293" i="3"/>
  <c r="T293" i="3" s="1"/>
  <c r="O293" i="3"/>
  <c r="S288" i="3"/>
  <c r="U288" i="3" s="1"/>
  <c r="V288" i="3" s="1"/>
  <c r="S286" i="3"/>
  <c r="O286" i="3"/>
  <c r="S284" i="3"/>
  <c r="U284" i="3" s="1"/>
  <c r="V284" i="3" s="1"/>
  <c r="S282" i="3"/>
  <c r="T282" i="3" s="1"/>
  <c r="O282" i="3"/>
  <c r="S276" i="3"/>
  <c r="U276" i="3" s="1"/>
  <c r="V276" i="3" s="1"/>
  <c r="S274" i="3"/>
  <c r="L274" i="3" s="1"/>
  <c r="P274" i="3" s="1"/>
  <c r="Q274" i="3" s="1"/>
  <c r="O274" i="3"/>
  <c r="S270" i="3"/>
  <c r="T270" i="3" s="1"/>
  <c r="S268" i="3"/>
  <c r="L268" i="3" s="1"/>
  <c r="O268" i="3"/>
  <c r="S264" i="3"/>
  <c r="L264" i="3" s="1"/>
  <c r="S259" i="3"/>
  <c r="L259" i="3" s="1"/>
  <c r="M259" i="3" s="1"/>
  <c r="O259" i="3"/>
  <c r="S252" i="3"/>
  <c r="U252" i="3" s="1"/>
  <c r="V252" i="3" s="1"/>
  <c r="O252" i="3"/>
  <c r="S246" i="3"/>
  <c r="S242" i="3"/>
  <c r="U242" i="3" s="1"/>
  <c r="V242" i="3" s="1"/>
  <c r="S239" i="3"/>
  <c r="L239" i="3" s="1"/>
  <c r="P239" i="3" s="1"/>
  <c r="Q239" i="3" s="1"/>
  <c r="O239" i="3"/>
  <c r="S232" i="3"/>
  <c r="O232" i="3"/>
  <c r="S228" i="3"/>
  <c r="L228" i="3" s="1"/>
  <c r="S213" i="3"/>
  <c r="T213" i="3" s="1"/>
  <c r="S210" i="3"/>
  <c r="L210" i="3" s="1"/>
  <c r="P210" i="3" s="1"/>
  <c r="Q210" i="3" s="1"/>
  <c r="O210" i="3"/>
  <c r="S202" i="3"/>
  <c r="T202" i="3" s="1"/>
  <c r="O202" i="3"/>
  <c r="S199" i="3"/>
  <c r="T199" i="3" s="1"/>
  <c r="S195" i="3"/>
  <c r="T195" i="3" s="1"/>
  <c r="S193" i="3"/>
  <c r="L193" i="3" s="1"/>
  <c r="P193" i="3" s="1"/>
  <c r="Q193" i="3" s="1"/>
  <c r="O193" i="3"/>
  <c r="S186" i="3"/>
  <c r="O186" i="3"/>
  <c r="S182" i="3"/>
  <c r="T182" i="3" s="1"/>
  <c r="S179" i="3"/>
  <c r="T179" i="3" s="1"/>
  <c r="S169" i="3"/>
  <c r="L169" i="3" s="1"/>
  <c r="P169" i="3" s="1"/>
  <c r="Q169" i="3" s="1"/>
  <c r="O169" i="3"/>
  <c r="S165" i="3"/>
  <c r="S161" i="3"/>
  <c r="U161" i="3" s="1"/>
  <c r="V161" i="3" s="1"/>
  <c r="O161" i="3"/>
  <c r="S159" i="3"/>
  <c r="T159" i="3" s="1"/>
  <c r="S156" i="3"/>
  <c r="L156" i="3" s="1"/>
  <c r="P156" i="3" s="1"/>
  <c r="Q156" i="3" s="1"/>
  <c r="O156" i="3"/>
  <c r="S152" i="3"/>
  <c r="O152" i="3"/>
  <c r="S148" i="3"/>
  <c r="U148" i="3" s="1"/>
  <c r="V148" i="3" s="1"/>
  <c r="S142" i="3"/>
  <c r="T142" i="3" s="1"/>
  <c r="S133" i="3"/>
  <c r="L133" i="3" s="1"/>
  <c r="P133" i="3" s="1"/>
  <c r="Q133" i="3" s="1"/>
  <c r="O133" i="3"/>
  <c r="S131" i="3"/>
  <c r="T131" i="3" s="1"/>
  <c r="S129" i="3"/>
  <c r="U129" i="3" s="1"/>
  <c r="V129" i="3" s="1"/>
  <c r="M123" i="13" l="1"/>
  <c r="AQ102" i="1" s="1"/>
  <c r="Q123" i="13"/>
  <c r="AS102" i="1" s="1"/>
  <c r="L335" i="3"/>
  <c r="M335" i="3" s="1"/>
  <c r="T359" i="3"/>
  <c r="L288" i="3"/>
  <c r="M288" i="3" s="1"/>
  <c r="Q127" i="34"/>
  <c r="AS130" i="1" s="1"/>
  <c r="M127" i="34"/>
  <c r="AQ130" i="1" s="1"/>
  <c r="P268" i="3"/>
  <c r="Q268" i="3" s="1"/>
  <c r="P320" i="3"/>
  <c r="Q320" i="3" s="1"/>
  <c r="L213" i="3"/>
  <c r="M213" i="3" s="1"/>
  <c r="L343" i="3"/>
  <c r="M343" i="3" s="1"/>
  <c r="T375" i="3"/>
  <c r="O300" i="3"/>
  <c r="O377" i="3"/>
  <c r="U159" i="3"/>
  <c r="V159" i="3" s="1"/>
  <c r="T328" i="3"/>
  <c r="U361" i="3"/>
  <c r="V361" i="3" s="1"/>
  <c r="O388" i="3"/>
  <c r="L400" i="3"/>
  <c r="P400" i="3" s="1"/>
  <c r="Q400" i="3" s="1"/>
  <c r="O281" i="3"/>
  <c r="O251" i="3"/>
  <c r="L383" i="3"/>
  <c r="M383" i="3" s="1"/>
  <c r="L159" i="3"/>
  <c r="M159" i="3" s="1"/>
  <c r="P315" i="3"/>
  <c r="Q315" i="3" s="1"/>
  <c r="M328" i="3"/>
  <c r="U328" i="3"/>
  <c r="V328" i="3" s="1"/>
  <c r="T349" i="3"/>
  <c r="L359" i="3"/>
  <c r="M359" i="3" s="1"/>
  <c r="M375" i="3"/>
  <c r="U375" i="3"/>
  <c r="V375" i="3" s="1"/>
  <c r="T406" i="3"/>
  <c r="T343" i="3"/>
  <c r="L349" i="3"/>
  <c r="M349" i="3" s="1"/>
  <c r="T400" i="3"/>
  <c r="L406" i="3"/>
  <c r="M406" i="3" s="1"/>
  <c r="U295" i="3"/>
  <c r="V295" i="3" s="1"/>
  <c r="U142" i="3"/>
  <c r="V142" i="3" s="1"/>
  <c r="L142" i="3"/>
  <c r="M142" i="3" s="1"/>
  <c r="U199" i="3"/>
  <c r="V199" i="3" s="1"/>
  <c r="T252" i="3"/>
  <c r="U270" i="3"/>
  <c r="V270" i="3" s="1"/>
  <c r="U313" i="3"/>
  <c r="V313" i="3" s="1"/>
  <c r="U315" i="3"/>
  <c r="V315" i="3" s="1"/>
  <c r="U182" i="3"/>
  <c r="V182" i="3" s="1"/>
  <c r="U213" i="3"/>
  <c r="V213" i="3" s="1"/>
  <c r="L252" i="3"/>
  <c r="M252" i="3" s="1"/>
  <c r="L270" i="3"/>
  <c r="M270" i="3" s="1"/>
  <c r="L282" i="3"/>
  <c r="M282" i="3" s="1"/>
  <c r="T288" i="3"/>
  <c r="M228" i="3"/>
  <c r="P228" i="3"/>
  <c r="Q228" i="3" s="1"/>
  <c r="L129" i="3"/>
  <c r="T129" i="3"/>
  <c r="L148" i="3"/>
  <c r="T148" i="3"/>
  <c r="T228" i="3"/>
  <c r="M274" i="3"/>
  <c r="L161" i="3"/>
  <c r="T161" i="3"/>
  <c r="U179" i="3"/>
  <c r="V179" i="3" s="1"/>
  <c r="U195" i="3"/>
  <c r="V195" i="3" s="1"/>
  <c r="P213" i="3"/>
  <c r="Q213" i="3" s="1"/>
  <c r="U228" i="3"/>
  <c r="V228" i="3" s="1"/>
  <c r="U274" i="3"/>
  <c r="V274" i="3" s="1"/>
  <c r="T284" i="3"/>
  <c r="L293" i="3"/>
  <c r="U293" i="3"/>
  <c r="V293" i="3" s="1"/>
  <c r="T323" i="3"/>
  <c r="L331" i="3"/>
  <c r="P331" i="3" s="1"/>
  <c r="Q331" i="3" s="1"/>
  <c r="T337" i="3"/>
  <c r="L345" i="3"/>
  <c r="U345" i="3"/>
  <c r="V345" i="3" s="1"/>
  <c r="P361" i="3"/>
  <c r="Q361" i="3" s="1"/>
  <c r="T373" i="3"/>
  <c r="L378" i="3"/>
  <c r="P378" i="3" s="1"/>
  <c r="Q378" i="3" s="1"/>
  <c r="T389" i="3"/>
  <c r="L402" i="3"/>
  <c r="U402" i="3"/>
  <c r="V402" i="3" s="1"/>
  <c r="P411" i="3"/>
  <c r="Q411" i="3" s="1"/>
  <c r="Q410" i="3" s="1"/>
  <c r="U259" i="3"/>
  <c r="V259" i="3" s="1"/>
  <c r="T274" i="3"/>
  <c r="M169" i="3"/>
  <c r="L179" i="3"/>
  <c r="M179" i="3" s="1"/>
  <c r="L182" i="3"/>
  <c r="L195" i="3"/>
  <c r="M195" i="3" s="1"/>
  <c r="L199" i="3"/>
  <c r="P259" i="3"/>
  <c r="Q259" i="3" s="1"/>
  <c r="L276" i="3"/>
  <c r="P276" i="3" s="1"/>
  <c r="Q276" i="3" s="1"/>
  <c r="L284" i="3"/>
  <c r="M284" i="3" s="1"/>
  <c r="L295" i="3"/>
  <c r="L313" i="3"/>
  <c r="L323" i="3"/>
  <c r="P323" i="3" s="1"/>
  <c r="Q323" i="3" s="1"/>
  <c r="L337" i="3"/>
  <c r="M337" i="3" s="1"/>
  <c r="L373" i="3"/>
  <c r="M373" i="3" s="1"/>
  <c r="L389" i="3"/>
  <c r="M389" i="3" s="1"/>
  <c r="U156" i="3"/>
  <c r="V156" i="3" s="1"/>
  <c r="T156" i="3"/>
  <c r="L186" i="3"/>
  <c r="U186" i="3"/>
  <c r="V186" i="3" s="1"/>
  <c r="U239" i="3"/>
  <c r="V239" i="3" s="1"/>
  <c r="T239" i="3"/>
  <c r="T246" i="3"/>
  <c r="T245" i="3" s="1"/>
  <c r="L246" i="3"/>
  <c r="P264" i="3"/>
  <c r="Q264" i="3" s="1"/>
  <c r="M264" i="3"/>
  <c r="T268" i="3"/>
  <c r="U268" i="3"/>
  <c r="V268" i="3" s="1"/>
  <c r="L286" i="3"/>
  <c r="U286" i="3"/>
  <c r="V286" i="3" s="1"/>
  <c r="U317" i="3"/>
  <c r="V317" i="3" s="1"/>
  <c r="T317" i="3"/>
  <c r="U133" i="3"/>
  <c r="V133" i="3" s="1"/>
  <c r="T133" i="3"/>
  <c r="M156" i="3"/>
  <c r="L165" i="3"/>
  <c r="U165" i="3"/>
  <c r="V165" i="3" s="1"/>
  <c r="T186" i="3"/>
  <c r="U210" i="3"/>
  <c r="V210" i="3" s="1"/>
  <c r="T210" i="3"/>
  <c r="M239" i="3"/>
  <c r="L242" i="3"/>
  <c r="T242" i="3"/>
  <c r="U246" i="3"/>
  <c r="V246" i="3" s="1"/>
  <c r="V245" i="3" s="1"/>
  <c r="M268" i="3"/>
  <c r="T286" i="3"/>
  <c r="L301" i="3"/>
  <c r="U301" i="3"/>
  <c r="V301" i="3" s="1"/>
  <c r="T301" i="3"/>
  <c r="T309" i="3"/>
  <c r="L309" i="3"/>
  <c r="L317" i="3"/>
  <c r="T320" i="3"/>
  <c r="U320" i="3"/>
  <c r="V320" i="3" s="1"/>
  <c r="L339" i="3"/>
  <c r="U339" i="3"/>
  <c r="V339" i="3" s="1"/>
  <c r="U365" i="3"/>
  <c r="V365" i="3" s="1"/>
  <c r="T365" i="3"/>
  <c r="M133" i="3"/>
  <c r="L152" i="3"/>
  <c r="U152" i="3"/>
  <c r="V152" i="3" s="1"/>
  <c r="T165" i="3"/>
  <c r="U193" i="3"/>
  <c r="V193" i="3" s="1"/>
  <c r="T193" i="3"/>
  <c r="M210" i="3"/>
  <c r="L232" i="3"/>
  <c r="U232" i="3"/>
  <c r="V232" i="3" s="1"/>
  <c r="L305" i="3"/>
  <c r="T305" i="3"/>
  <c r="U309" i="3"/>
  <c r="V309" i="3" s="1"/>
  <c r="M320" i="3"/>
  <c r="T339" i="3"/>
  <c r="L351" i="3"/>
  <c r="U351" i="3"/>
  <c r="V351" i="3" s="1"/>
  <c r="T351" i="3"/>
  <c r="T355" i="3"/>
  <c r="L355" i="3"/>
  <c r="L365" i="3"/>
  <c r="T369" i="3"/>
  <c r="U369" i="3"/>
  <c r="V369" i="3" s="1"/>
  <c r="L394" i="3"/>
  <c r="U394" i="3"/>
  <c r="V394" i="3" s="1"/>
  <c r="T394" i="3"/>
  <c r="L131" i="3"/>
  <c r="U131" i="3"/>
  <c r="V131" i="3" s="1"/>
  <c r="T152" i="3"/>
  <c r="U169" i="3"/>
  <c r="V169" i="3" s="1"/>
  <c r="T169" i="3"/>
  <c r="M193" i="3"/>
  <c r="L202" i="3"/>
  <c r="U202" i="3"/>
  <c r="V202" i="3" s="1"/>
  <c r="T232" i="3"/>
  <c r="U264" i="3"/>
  <c r="V264" i="3" s="1"/>
  <c r="T264" i="3"/>
  <c r="L353" i="3"/>
  <c r="T353" i="3"/>
  <c r="U355" i="3"/>
  <c r="V355" i="3" s="1"/>
  <c r="M369" i="3"/>
  <c r="T411" i="3"/>
  <c r="T410" i="3" s="1"/>
  <c r="T259" i="3"/>
  <c r="T276" i="3"/>
  <c r="U282" i="3"/>
  <c r="V282" i="3" s="1"/>
  <c r="T315" i="3"/>
  <c r="T331" i="3"/>
  <c r="U335" i="3"/>
  <c r="V335" i="3" s="1"/>
  <c r="T361" i="3"/>
  <c r="T378" i="3"/>
  <c r="T377" i="3" s="1"/>
  <c r="U383" i="3"/>
  <c r="V383" i="3" s="1"/>
  <c r="V377" i="3" s="1"/>
  <c r="U411" i="3"/>
  <c r="V411" i="3" s="1"/>
  <c r="V410" i="3" s="1"/>
  <c r="X123" i="37"/>
  <c r="Z123" i="37"/>
  <c r="AB123" i="37"/>
  <c r="AD123" i="37"/>
  <c r="AF123" i="37"/>
  <c r="AH123" i="37"/>
  <c r="AJ123" i="37"/>
  <c r="AL123" i="37"/>
  <c r="AN123" i="37"/>
  <c r="AP123" i="37"/>
  <c r="S353" i="37"/>
  <c r="O353" i="37"/>
  <c r="O352" i="37" s="1"/>
  <c r="S349" i="37"/>
  <c r="L349" i="37" s="1"/>
  <c r="M349" i="37" s="1"/>
  <c r="O349" i="37"/>
  <c r="S346" i="37"/>
  <c r="U346" i="37" s="1"/>
  <c r="V346" i="37" s="1"/>
  <c r="O346" i="37"/>
  <c r="S344" i="37"/>
  <c r="L344" i="37" s="1"/>
  <c r="P344" i="37" s="1"/>
  <c r="Q344" i="37" s="1"/>
  <c r="O344" i="37"/>
  <c r="S338" i="37"/>
  <c r="T338" i="37" s="1"/>
  <c r="O338" i="37"/>
  <c r="S333" i="37"/>
  <c r="L333" i="37" s="1"/>
  <c r="M333" i="37" s="1"/>
  <c r="O333" i="37"/>
  <c r="S327" i="37"/>
  <c r="U327" i="37" s="1"/>
  <c r="V327" i="37" s="1"/>
  <c r="V326" i="37" s="1"/>
  <c r="O327" i="37"/>
  <c r="O326" i="37" s="1"/>
  <c r="S322" i="37"/>
  <c r="L322" i="37" s="1"/>
  <c r="P322" i="37" s="1"/>
  <c r="Q322" i="37" s="1"/>
  <c r="O322" i="37"/>
  <c r="S318" i="37"/>
  <c r="O318" i="37"/>
  <c r="S314" i="37"/>
  <c r="L314" i="37" s="1"/>
  <c r="M314" i="37" s="1"/>
  <c r="O314" i="37"/>
  <c r="S312" i="37"/>
  <c r="U312" i="37" s="1"/>
  <c r="V312" i="37" s="1"/>
  <c r="O312" i="37"/>
  <c r="S309" i="37"/>
  <c r="L309" i="37" s="1"/>
  <c r="P309" i="37" s="1"/>
  <c r="Q309" i="37" s="1"/>
  <c r="O309" i="37"/>
  <c r="S307" i="37"/>
  <c r="T307" i="37" s="1"/>
  <c r="O307" i="37"/>
  <c r="S303" i="37"/>
  <c r="L303" i="37" s="1"/>
  <c r="M303" i="37" s="1"/>
  <c r="O303" i="37"/>
  <c r="S301" i="37"/>
  <c r="U301" i="37" s="1"/>
  <c r="V301" i="37" s="1"/>
  <c r="O301" i="37"/>
  <c r="S299" i="37"/>
  <c r="L299" i="37" s="1"/>
  <c r="P299" i="37" s="1"/>
  <c r="Q299" i="37" s="1"/>
  <c r="O299" i="37"/>
  <c r="S297" i="37"/>
  <c r="T297" i="37" s="1"/>
  <c r="O297" i="37"/>
  <c r="S295" i="37"/>
  <c r="L295" i="37" s="1"/>
  <c r="M295" i="37" s="1"/>
  <c r="O295" i="37"/>
  <c r="S293" i="37"/>
  <c r="U293" i="37" s="1"/>
  <c r="V293" i="37" s="1"/>
  <c r="O293" i="37"/>
  <c r="S291" i="37"/>
  <c r="L291" i="37" s="1"/>
  <c r="P291" i="37" s="1"/>
  <c r="Q291" i="37" s="1"/>
  <c r="O291" i="37"/>
  <c r="S287" i="37"/>
  <c r="T287" i="37" s="1"/>
  <c r="O287" i="37"/>
  <c r="S283" i="37"/>
  <c r="L283" i="37" s="1"/>
  <c r="M283" i="37" s="1"/>
  <c r="O283" i="37"/>
  <c r="S279" i="37"/>
  <c r="U279" i="37" s="1"/>
  <c r="V279" i="37" s="1"/>
  <c r="O279" i="37"/>
  <c r="S273" i="37"/>
  <c r="L273" i="37" s="1"/>
  <c r="P273" i="37" s="1"/>
  <c r="Q273" i="37" s="1"/>
  <c r="O273" i="37"/>
  <c r="S271" i="37"/>
  <c r="O271" i="37"/>
  <c r="S266" i="37"/>
  <c r="L266" i="37" s="1"/>
  <c r="M266" i="37" s="1"/>
  <c r="O266" i="37"/>
  <c r="S264" i="37"/>
  <c r="U264" i="37" s="1"/>
  <c r="V264" i="37" s="1"/>
  <c r="O264" i="37"/>
  <c r="S262" i="37"/>
  <c r="L262" i="37" s="1"/>
  <c r="P262" i="37" s="1"/>
  <c r="Q262" i="37" s="1"/>
  <c r="O262" i="37"/>
  <c r="S260" i="37"/>
  <c r="O260" i="37"/>
  <c r="S255" i="37"/>
  <c r="L255" i="37" s="1"/>
  <c r="M255" i="37" s="1"/>
  <c r="O255" i="37"/>
  <c r="S250" i="37"/>
  <c r="U250" i="37" s="1"/>
  <c r="V250" i="37" s="1"/>
  <c r="O250" i="37"/>
  <c r="S245" i="37"/>
  <c r="O245" i="37"/>
  <c r="O244" i="37" s="1"/>
  <c r="S241" i="37"/>
  <c r="T241" i="37" s="1"/>
  <c r="O241" i="37"/>
  <c r="S238" i="37"/>
  <c r="L238" i="37" s="1"/>
  <c r="M238" i="37" s="1"/>
  <c r="O238" i="37"/>
  <c r="S233" i="37"/>
  <c r="U233" i="37" s="1"/>
  <c r="V233" i="37" s="1"/>
  <c r="O233" i="37"/>
  <c r="S229" i="37"/>
  <c r="O229" i="37"/>
  <c r="S215" i="37"/>
  <c r="T215" i="37" s="1"/>
  <c r="O215" i="37"/>
  <c r="S211" i="37"/>
  <c r="L211" i="37" s="1"/>
  <c r="M211" i="37" s="1"/>
  <c r="O211" i="37"/>
  <c r="S206" i="37"/>
  <c r="T206" i="37" s="1"/>
  <c r="O206" i="37"/>
  <c r="S202" i="37"/>
  <c r="L202" i="37" s="1"/>
  <c r="O202" i="37"/>
  <c r="S197" i="37"/>
  <c r="O197" i="37"/>
  <c r="S195" i="37"/>
  <c r="U195" i="37" s="1"/>
  <c r="V195" i="37" s="1"/>
  <c r="O195" i="37"/>
  <c r="S190" i="37"/>
  <c r="T190" i="37" s="1"/>
  <c r="O190" i="37"/>
  <c r="S185" i="37"/>
  <c r="O185" i="37"/>
  <c r="S182" i="37"/>
  <c r="T182" i="37" s="1"/>
  <c r="O182" i="37"/>
  <c r="S173" i="37"/>
  <c r="U173" i="37" s="1"/>
  <c r="V173" i="37" s="1"/>
  <c r="O173" i="37"/>
  <c r="S169" i="37"/>
  <c r="T169" i="37" s="1"/>
  <c r="O169" i="37"/>
  <c r="S165" i="37"/>
  <c r="O165" i="37"/>
  <c r="S163" i="37"/>
  <c r="T163" i="37" s="1"/>
  <c r="O163" i="37"/>
  <c r="S160" i="37"/>
  <c r="U160" i="37" s="1"/>
  <c r="V160" i="37" s="1"/>
  <c r="O160" i="37"/>
  <c r="S156" i="37"/>
  <c r="T156" i="37" s="1"/>
  <c r="O156" i="37"/>
  <c r="S152" i="37"/>
  <c r="T152" i="37" s="1"/>
  <c r="O152" i="37"/>
  <c r="S145" i="37"/>
  <c r="U145" i="37" s="1"/>
  <c r="V145" i="37" s="1"/>
  <c r="O145" i="37"/>
  <c r="S137" i="37"/>
  <c r="L137" i="37" s="1"/>
  <c r="O137" i="37"/>
  <c r="S135" i="37"/>
  <c r="L135" i="37" s="1"/>
  <c r="O135" i="37"/>
  <c r="S130" i="37"/>
  <c r="U130" i="37" s="1"/>
  <c r="V130" i="37" s="1"/>
  <c r="O130" i="37"/>
  <c r="O125" i="37"/>
  <c r="S125" i="37"/>
  <c r="L125" i="37" s="1"/>
  <c r="X123" i="4"/>
  <c r="Z123" i="4"/>
  <c r="AB123" i="4"/>
  <c r="AD123" i="4"/>
  <c r="AF123" i="4"/>
  <c r="AH123" i="4"/>
  <c r="AJ123" i="4"/>
  <c r="AL123" i="4"/>
  <c r="AN123" i="4"/>
  <c r="AP123" i="4"/>
  <c r="AR123" i="4"/>
  <c r="AT123" i="4"/>
  <c r="AV123" i="4"/>
  <c r="AX123" i="4"/>
  <c r="S397" i="4"/>
  <c r="O397" i="4"/>
  <c r="O396" i="4" s="1"/>
  <c r="S392" i="4"/>
  <c r="L392" i="4" s="1"/>
  <c r="O392" i="4"/>
  <c r="S388" i="4"/>
  <c r="U388" i="4" s="1"/>
  <c r="V388" i="4" s="1"/>
  <c r="O388" i="4"/>
  <c r="S386" i="4"/>
  <c r="U386" i="4" s="1"/>
  <c r="V386" i="4" s="1"/>
  <c r="O386" i="4"/>
  <c r="S380" i="4"/>
  <c r="O380" i="4"/>
  <c r="S375" i="4"/>
  <c r="L375" i="4" s="1"/>
  <c r="O375" i="4"/>
  <c r="S369" i="4"/>
  <c r="U369" i="4" s="1"/>
  <c r="V369" i="4" s="1"/>
  <c r="O369" i="4"/>
  <c r="S364" i="4"/>
  <c r="T364" i="4" s="1"/>
  <c r="O364" i="4"/>
  <c r="S361" i="4"/>
  <c r="O361" i="4"/>
  <c r="S359" i="4"/>
  <c r="L359" i="4" s="1"/>
  <c r="O359" i="4"/>
  <c r="S355" i="4"/>
  <c r="L355" i="4" s="1"/>
  <c r="M355" i="4" s="1"/>
  <c r="O355" i="4"/>
  <c r="S351" i="4"/>
  <c r="U351" i="4" s="1"/>
  <c r="V351" i="4" s="1"/>
  <c r="O351" i="4"/>
  <c r="S347" i="4"/>
  <c r="O347" i="4"/>
  <c r="S345" i="4"/>
  <c r="L345" i="4" s="1"/>
  <c r="O345" i="4"/>
  <c r="S341" i="4"/>
  <c r="L341" i="4" s="1"/>
  <c r="M341" i="4" s="1"/>
  <c r="O341" i="4"/>
  <c r="S339" i="4"/>
  <c r="U339" i="4" s="1"/>
  <c r="V339" i="4" s="1"/>
  <c r="O339" i="4"/>
  <c r="S337" i="4"/>
  <c r="O337" i="4"/>
  <c r="S335" i="4"/>
  <c r="L335" i="4" s="1"/>
  <c r="O335" i="4"/>
  <c r="S331" i="4"/>
  <c r="L331" i="4" s="1"/>
  <c r="M331" i="4" s="1"/>
  <c r="O331" i="4"/>
  <c r="S329" i="4"/>
  <c r="U329" i="4" s="1"/>
  <c r="V329" i="4" s="1"/>
  <c r="O329" i="4"/>
  <c r="S325" i="4"/>
  <c r="O325" i="4"/>
  <c r="S323" i="4"/>
  <c r="L323" i="4" s="1"/>
  <c r="O323" i="4"/>
  <c r="S321" i="4"/>
  <c r="L321" i="4" s="1"/>
  <c r="M321" i="4" s="1"/>
  <c r="O321" i="4"/>
  <c r="S317" i="4"/>
  <c r="T317" i="4" s="1"/>
  <c r="O317" i="4"/>
  <c r="S314" i="4"/>
  <c r="O314" i="4"/>
  <c r="S309" i="4"/>
  <c r="L309" i="4" s="1"/>
  <c r="O309" i="4"/>
  <c r="S306" i="4"/>
  <c r="L306" i="4" s="1"/>
  <c r="M306" i="4" s="1"/>
  <c r="O306" i="4"/>
  <c r="S303" i="4"/>
  <c r="T303" i="4" s="1"/>
  <c r="O303" i="4"/>
  <c r="S301" i="4"/>
  <c r="O301" i="4"/>
  <c r="S299" i="4"/>
  <c r="L299" i="4" s="1"/>
  <c r="O299" i="4"/>
  <c r="S295" i="4"/>
  <c r="T295" i="4" s="1"/>
  <c r="O295" i="4"/>
  <c r="S291" i="4"/>
  <c r="T291" i="4" s="1"/>
  <c r="O291" i="4"/>
  <c r="S287" i="4"/>
  <c r="O287" i="4"/>
  <c r="S281" i="4"/>
  <c r="L281" i="4" s="1"/>
  <c r="O281" i="4"/>
  <c r="S279" i="4"/>
  <c r="L279" i="4" s="1"/>
  <c r="M279" i="4" s="1"/>
  <c r="O279" i="4"/>
  <c r="S274" i="4"/>
  <c r="T274" i="4" s="1"/>
  <c r="O274" i="4"/>
  <c r="S272" i="4"/>
  <c r="O272" i="4"/>
  <c r="S270" i="4"/>
  <c r="L270" i="4" s="1"/>
  <c r="O270" i="4"/>
  <c r="S268" i="4"/>
  <c r="L268" i="4" s="1"/>
  <c r="M268" i="4" s="1"/>
  <c r="O268" i="4"/>
  <c r="S262" i="4"/>
  <c r="T262" i="4" s="1"/>
  <c r="O262" i="4"/>
  <c r="S260" i="4"/>
  <c r="O260" i="4"/>
  <c r="S256" i="4"/>
  <c r="L256" i="4" s="1"/>
  <c r="O256" i="4"/>
  <c r="S251" i="4"/>
  <c r="L251" i="4" s="1"/>
  <c r="M251" i="4" s="1"/>
  <c r="O251" i="4"/>
  <c r="S244" i="4"/>
  <c r="T244" i="4" s="1"/>
  <c r="O244" i="4"/>
  <c r="S238" i="4"/>
  <c r="O238" i="4"/>
  <c r="O237" i="4" s="1"/>
  <c r="S234" i="4"/>
  <c r="L234" i="4" s="1"/>
  <c r="O234" i="4"/>
  <c r="S231" i="4"/>
  <c r="L231" i="4" s="1"/>
  <c r="M231" i="4" s="1"/>
  <c r="O231" i="4"/>
  <c r="S224" i="4"/>
  <c r="T224" i="4" s="1"/>
  <c r="O224" i="4"/>
  <c r="S220" i="4"/>
  <c r="L220" i="4" s="1"/>
  <c r="P220" i="4" s="1"/>
  <c r="Q220" i="4" s="1"/>
  <c r="O220" i="4"/>
  <c r="S205" i="4"/>
  <c r="U205" i="4" s="1"/>
  <c r="V205" i="4" s="1"/>
  <c r="O205" i="4"/>
  <c r="S201" i="4"/>
  <c r="L201" i="4" s="1"/>
  <c r="O201" i="4"/>
  <c r="S193" i="4"/>
  <c r="L193" i="4" s="1"/>
  <c r="O193" i="4"/>
  <c r="S189" i="4"/>
  <c r="U189" i="4" s="1"/>
  <c r="V189" i="4" s="1"/>
  <c r="O189" i="4"/>
  <c r="S184" i="4"/>
  <c r="U184" i="4" s="1"/>
  <c r="V184" i="4" s="1"/>
  <c r="O184" i="4"/>
  <c r="S182" i="4"/>
  <c r="L182" i="4" s="1"/>
  <c r="O182" i="4"/>
  <c r="S175" i="4"/>
  <c r="L175" i="4" s="1"/>
  <c r="O175" i="4"/>
  <c r="S170" i="4"/>
  <c r="T170" i="4" s="1"/>
  <c r="O170" i="4"/>
  <c r="S167" i="4"/>
  <c r="U167" i="4" s="1"/>
  <c r="V167" i="4" s="1"/>
  <c r="O167" i="4"/>
  <c r="S157" i="4"/>
  <c r="L157" i="4" s="1"/>
  <c r="O157" i="4"/>
  <c r="S155" i="4"/>
  <c r="L155" i="4" s="1"/>
  <c r="O155" i="4"/>
  <c r="S152" i="4"/>
  <c r="U152" i="4" s="1"/>
  <c r="V152" i="4" s="1"/>
  <c r="O152" i="4"/>
  <c r="S148" i="4"/>
  <c r="U148" i="4" s="1"/>
  <c r="V148" i="4" s="1"/>
  <c r="O148" i="4"/>
  <c r="S144" i="4"/>
  <c r="L144" i="4" s="1"/>
  <c r="O144" i="4"/>
  <c r="S138" i="4"/>
  <c r="L138" i="4" s="1"/>
  <c r="O138" i="4"/>
  <c r="S129" i="4"/>
  <c r="U129" i="4" s="1"/>
  <c r="V129" i="4" s="1"/>
  <c r="O129" i="4"/>
  <c r="S127" i="4"/>
  <c r="T127" i="4" s="1"/>
  <c r="O127" i="4"/>
  <c r="O125" i="4"/>
  <c r="S125" i="4"/>
  <c r="L125" i="4" s="1"/>
  <c r="L130" i="37" l="1"/>
  <c r="M130" i="37" s="1"/>
  <c r="P159" i="3"/>
  <c r="Q159" i="3" s="1"/>
  <c r="P335" i="3"/>
  <c r="Q335" i="3" s="1"/>
  <c r="P288" i="3"/>
  <c r="Q288" i="3" s="1"/>
  <c r="V388" i="3"/>
  <c r="P252" i="3"/>
  <c r="Q252" i="3" s="1"/>
  <c r="P195" i="3"/>
  <c r="Q195" i="3" s="1"/>
  <c r="P284" i="3"/>
  <c r="Q284" i="3" s="1"/>
  <c r="P142" i="3"/>
  <c r="Q142" i="3" s="1"/>
  <c r="P406" i="3"/>
  <c r="Q406" i="3" s="1"/>
  <c r="P343" i="3"/>
  <c r="Q343" i="3" s="1"/>
  <c r="P337" i="3"/>
  <c r="Q337" i="3" s="1"/>
  <c r="T281" i="3"/>
  <c r="P359" i="3"/>
  <c r="Q359" i="3" s="1"/>
  <c r="P383" i="3"/>
  <c r="Q383" i="3" s="1"/>
  <c r="Q377" i="3" s="1"/>
  <c r="M400" i="3"/>
  <c r="V281" i="3"/>
  <c r="P179" i="3"/>
  <c r="Q179" i="3" s="1"/>
  <c r="V128" i="3"/>
  <c r="T251" i="3"/>
  <c r="P270" i="3"/>
  <c r="Q270" i="3" s="1"/>
  <c r="V300" i="3"/>
  <c r="T300" i="3"/>
  <c r="T128" i="3"/>
  <c r="V251" i="3"/>
  <c r="T388" i="3"/>
  <c r="P349" i="3"/>
  <c r="Q349" i="3" s="1"/>
  <c r="P282" i="3"/>
  <c r="Q282" i="3" s="1"/>
  <c r="P389" i="3"/>
  <c r="Q389" i="3" s="1"/>
  <c r="M378" i="3"/>
  <c r="M377" i="3" s="1"/>
  <c r="M323" i="3"/>
  <c r="M295" i="3"/>
  <c r="P295" i="3"/>
  <c r="Q295" i="3" s="1"/>
  <c r="M199" i="3"/>
  <c r="P199" i="3"/>
  <c r="Q199" i="3" s="1"/>
  <c r="M293" i="3"/>
  <c r="P293" i="3"/>
  <c r="Q293" i="3" s="1"/>
  <c r="M402" i="3"/>
  <c r="P402" i="3"/>
  <c r="Q402" i="3" s="1"/>
  <c r="M161" i="3"/>
  <c r="P161" i="3"/>
  <c r="Q161" i="3" s="1"/>
  <c r="M129" i="3"/>
  <c r="P373" i="3"/>
  <c r="Q373" i="3" s="1"/>
  <c r="M182" i="3"/>
  <c r="P182" i="3"/>
  <c r="Q182" i="3" s="1"/>
  <c r="M331" i="3"/>
  <c r="M276" i="3"/>
  <c r="M251" i="3" s="1"/>
  <c r="M313" i="3"/>
  <c r="P313" i="3"/>
  <c r="Q313" i="3" s="1"/>
  <c r="M345" i="3"/>
  <c r="P345" i="3"/>
  <c r="Q345" i="3" s="1"/>
  <c r="M148" i="3"/>
  <c r="P148" i="3"/>
  <c r="Q148" i="3" s="1"/>
  <c r="P353" i="3"/>
  <c r="Q353" i="3" s="1"/>
  <c r="M353" i="3"/>
  <c r="P202" i="3"/>
  <c r="Q202" i="3" s="1"/>
  <c r="M202" i="3"/>
  <c r="P317" i="3"/>
  <c r="Q317" i="3" s="1"/>
  <c r="M317" i="3"/>
  <c r="P242" i="3"/>
  <c r="Q242" i="3" s="1"/>
  <c r="M242" i="3"/>
  <c r="P246" i="3"/>
  <c r="Q246" i="3" s="1"/>
  <c r="Q245" i="3" s="1"/>
  <c r="M246" i="3"/>
  <c r="M245" i="3" s="1"/>
  <c r="P365" i="3"/>
  <c r="Q365" i="3" s="1"/>
  <c r="M365" i="3"/>
  <c r="P305" i="3"/>
  <c r="Q305" i="3" s="1"/>
  <c r="M305" i="3"/>
  <c r="P339" i="3"/>
  <c r="Q339" i="3" s="1"/>
  <c r="M339" i="3"/>
  <c r="P309" i="3"/>
  <c r="Q309" i="3" s="1"/>
  <c r="M309" i="3"/>
  <c r="M301" i="3"/>
  <c r="P301" i="3"/>
  <c r="Q301" i="3" s="1"/>
  <c r="P186" i="3"/>
  <c r="Q186" i="3" s="1"/>
  <c r="M186" i="3"/>
  <c r="P394" i="3"/>
  <c r="Q394" i="3" s="1"/>
  <c r="M394" i="3"/>
  <c r="P355" i="3"/>
  <c r="Q355" i="3" s="1"/>
  <c r="M355" i="3"/>
  <c r="M351" i="3"/>
  <c r="P351" i="3"/>
  <c r="Q351" i="3" s="1"/>
  <c r="P152" i="3"/>
  <c r="Q152" i="3" s="1"/>
  <c r="M152" i="3"/>
  <c r="P165" i="3"/>
  <c r="Q165" i="3" s="1"/>
  <c r="M165" i="3"/>
  <c r="P131" i="3"/>
  <c r="Q131" i="3" s="1"/>
  <c r="M131" i="3"/>
  <c r="P232" i="3"/>
  <c r="Q232" i="3" s="1"/>
  <c r="M232" i="3"/>
  <c r="P286" i="3"/>
  <c r="Q286" i="3" s="1"/>
  <c r="M286" i="3"/>
  <c r="U206" i="37"/>
  <c r="V206" i="37" s="1"/>
  <c r="L169" i="37"/>
  <c r="M169" i="37" s="1"/>
  <c r="L160" i="37"/>
  <c r="M160" i="37" s="1"/>
  <c r="T312" i="37"/>
  <c r="T314" i="37"/>
  <c r="P333" i="37"/>
  <c r="Q333" i="37" s="1"/>
  <c r="L145" i="37"/>
  <c r="P145" i="37" s="1"/>
  <c r="Q145" i="37" s="1"/>
  <c r="L312" i="37"/>
  <c r="M312" i="37" s="1"/>
  <c r="O363" i="4"/>
  <c r="O374" i="4"/>
  <c r="O249" i="37"/>
  <c r="O278" i="37"/>
  <c r="U152" i="37"/>
  <c r="V152" i="37" s="1"/>
  <c r="U333" i="37"/>
  <c r="V333" i="37" s="1"/>
  <c r="O259" i="37"/>
  <c r="O124" i="37"/>
  <c r="T130" i="37"/>
  <c r="L152" i="37"/>
  <c r="M152" i="37" s="1"/>
  <c r="L173" i="37"/>
  <c r="M173" i="37" s="1"/>
  <c r="L250" i="37"/>
  <c r="M250" i="37" s="1"/>
  <c r="M249" i="37" s="1"/>
  <c r="O332" i="37"/>
  <c r="O267" i="4"/>
  <c r="L127" i="4"/>
  <c r="P127" i="4" s="1"/>
  <c r="Q127" i="4" s="1"/>
  <c r="O124" i="4"/>
  <c r="U175" i="4"/>
  <c r="V175" i="4" s="1"/>
  <c r="T233" i="37"/>
  <c r="T279" i="37"/>
  <c r="T283" i="37"/>
  <c r="T264" i="37"/>
  <c r="T266" i="37"/>
  <c r="U283" i="37"/>
  <c r="V283" i="37" s="1"/>
  <c r="L301" i="37"/>
  <c r="M301" i="37" s="1"/>
  <c r="T301" i="37"/>
  <c r="U156" i="37"/>
  <c r="V156" i="37" s="1"/>
  <c r="T160" i="37"/>
  <c r="U169" i="37"/>
  <c r="V169" i="37" s="1"/>
  <c r="T173" i="37"/>
  <c r="U190" i="37"/>
  <c r="V190" i="37" s="1"/>
  <c r="T250" i="37"/>
  <c r="L264" i="37"/>
  <c r="M264" i="37" s="1"/>
  <c r="P283" i="37"/>
  <c r="Q283" i="37" s="1"/>
  <c r="T327" i="37"/>
  <c r="T326" i="37" s="1"/>
  <c r="T333" i="37"/>
  <c r="T125" i="37"/>
  <c r="T135" i="37"/>
  <c r="L190" i="37"/>
  <c r="M190" i="37" s="1"/>
  <c r="L233" i="37"/>
  <c r="M233" i="37" s="1"/>
  <c r="T255" i="37"/>
  <c r="T293" i="37"/>
  <c r="T295" i="37"/>
  <c r="T303" i="37"/>
  <c r="T346" i="37"/>
  <c r="T349" i="37"/>
  <c r="L293" i="37"/>
  <c r="M293" i="37" s="1"/>
  <c r="L346" i="37"/>
  <c r="M346" i="37" s="1"/>
  <c r="P125" i="37"/>
  <c r="Q125" i="37" s="1"/>
  <c r="M125" i="37"/>
  <c r="P202" i="37"/>
  <c r="Q202" i="37" s="1"/>
  <c r="M202" i="37"/>
  <c r="U125" i="37"/>
  <c r="V125" i="37" s="1"/>
  <c r="U135" i="37"/>
  <c r="V135" i="37" s="1"/>
  <c r="P152" i="37"/>
  <c r="Q152" i="37" s="1"/>
  <c r="P169" i="37"/>
  <c r="Q169" i="37" s="1"/>
  <c r="L195" i="37"/>
  <c r="T195" i="37"/>
  <c r="L206" i="37"/>
  <c r="M206" i="37" s="1"/>
  <c r="T211" i="37"/>
  <c r="T238" i="37"/>
  <c r="U255" i="37"/>
  <c r="V255" i="37" s="1"/>
  <c r="V249" i="37" s="1"/>
  <c r="M262" i="37"/>
  <c r="U266" i="37"/>
  <c r="V266" i="37" s="1"/>
  <c r="M273" i="37"/>
  <c r="L279" i="37"/>
  <c r="M279" i="37" s="1"/>
  <c r="P293" i="37"/>
  <c r="Q293" i="37" s="1"/>
  <c r="U295" i="37"/>
  <c r="V295" i="37" s="1"/>
  <c r="U303" i="37"/>
  <c r="V303" i="37" s="1"/>
  <c r="M309" i="37"/>
  <c r="U314" i="37"/>
  <c r="V314" i="37" s="1"/>
  <c r="M322" i="37"/>
  <c r="L327" i="37"/>
  <c r="M327" i="37" s="1"/>
  <c r="M326" i="37" s="1"/>
  <c r="U349" i="37"/>
  <c r="V349" i="37" s="1"/>
  <c r="P130" i="37"/>
  <c r="Q130" i="37" s="1"/>
  <c r="P160" i="37"/>
  <c r="Q160" i="37" s="1"/>
  <c r="U211" i="37"/>
  <c r="V211" i="37" s="1"/>
  <c r="U238" i="37"/>
  <c r="V238" i="37" s="1"/>
  <c r="P295" i="37"/>
  <c r="Q295" i="37" s="1"/>
  <c r="P349" i="37"/>
  <c r="Q349" i="37" s="1"/>
  <c r="P211" i="37"/>
  <c r="Q211" i="37" s="1"/>
  <c r="P238" i="37"/>
  <c r="Q238" i="37" s="1"/>
  <c r="M135" i="37"/>
  <c r="P135" i="37"/>
  <c r="Q135" i="37" s="1"/>
  <c r="M137" i="37"/>
  <c r="P137" i="37"/>
  <c r="Q137" i="37" s="1"/>
  <c r="U185" i="37"/>
  <c r="V185" i="37" s="1"/>
  <c r="T185" i="37"/>
  <c r="U245" i="37"/>
  <c r="V245" i="37" s="1"/>
  <c r="V244" i="37" s="1"/>
  <c r="T245" i="37"/>
  <c r="T244" i="37" s="1"/>
  <c r="U299" i="37"/>
  <c r="V299" i="37" s="1"/>
  <c r="T299" i="37"/>
  <c r="L318" i="37"/>
  <c r="U318" i="37"/>
  <c r="V318" i="37" s="1"/>
  <c r="T137" i="37"/>
  <c r="M145" i="37"/>
  <c r="U165" i="37"/>
  <c r="V165" i="37" s="1"/>
  <c r="T165" i="37"/>
  <c r="L197" i="37"/>
  <c r="U197" i="37"/>
  <c r="V197" i="37" s="1"/>
  <c r="U229" i="37"/>
  <c r="V229" i="37" s="1"/>
  <c r="T229" i="37"/>
  <c r="L260" i="37"/>
  <c r="U260" i="37"/>
  <c r="V260" i="37" s="1"/>
  <c r="T318" i="37"/>
  <c r="U344" i="37"/>
  <c r="V344" i="37" s="1"/>
  <c r="T344" i="37"/>
  <c r="U137" i="37"/>
  <c r="V137" i="37" s="1"/>
  <c r="T145" i="37"/>
  <c r="L156" i="37"/>
  <c r="L182" i="37"/>
  <c r="U182" i="37"/>
  <c r="V182" i="37" s="1"/>
  <c r="T197" i="37"/>
  <c r="L241" i="37"/>
  <c r="U241" i="37"/>
  <c r="V241" i="37" s="1"/>
  <c r="T260" i="37"/>
  <c r="P266" i="37"/>
  <c r="Q266" i="37" s="1"/>
  <c r="U273" i="37"/>
  <c r="V273" i="37" s="1"/>
  <c r="T273" i="37"/>
  <c r="M291" i="37"/>
  <c r="L297" i="37"/>
  <c r="U297" i="37"/>
  <c r="V297" i="37" s="1"/>
  <c r="P314" i="37"/>
  <c r="Q314" i="37" s="1"/>
  <c r="U322" i="37"/>
  <c r="V322" i="37" s="1"/>
  <c r="T322" i="37"/>
  <c r="M344" i="37"/>
  <c r="L353" i="37"/>
  <c r="U353" i="37"/>
  <c r="V353" i="37" s="1"/>
  <c r="V352" i="37" s="1"/>
  <c r="L185" i="37"/>
  <c r="L245" i="37"/>
  <c r="L271" i="37"/>
  <c r="U271" i="37"/>
  <c r="V271" i="37" s="1"/>
  <c r="L165" i="37"/>
  <c r="L229" i="37"/>
  <c r="T271" i="37"/>
  <c r="U291" i="37"/>
  <c r="V291" i="37" s="1"/>
  <c r="T291" i="37"/>
  <c r="M299" i="37"/>
  <c r="L307" i="37"/>
  <c r="U307" i="37"/>
  <c r="V307" i="37" s="1"/>
  <c r="L163" i="37"/>
  <c r="U163" i="37"/>
  <c r="V163" i="37" s="1"/>
  <c r="U202" i="37"/>
  <c r="V202" i="37" s="1"/>
  <c r="T202" i="37"/>
  <c r="L215" i="37"/>
  <c r="U215" i="37"/>
  <c r="V215" i="37" s="1"/>
  <c r="P255" i="37"/>
  <c r="Q255" i="37" s="1"/>
  <c r="U262" i="37"/>
  <c r="V262" i="37" s="1"/>
  <c r="T262" i="37"/>
  <c r="L287" i="37"/>
  <c r="U287" i="37"/>
  <c r="V287" i="37" s="1"/>
  <c r="P303" i="37"/>
  <c r="Q303" i="37" s="1"/>
  <c r="U309" i="37"/>
  <c r="V309" i="37" s="1"/>
  <c r="T309" i="37"/>
  <c r="P312" i="37"/>
  <c r="Q312" i="37" s="1"/>
  <c r="L338" i="37"/>
  <c r="U338" i="37"/>
  <c r="V338" i="37" s="1"/>
  <c r="T353" i="37"/>
  <c r="T352" i="37" s="1"/>
  <c r="U244" i="4"/>
  <c r="V244" i="4" s="1"/>
  <c r="T270" i="4"/>
  <c r="U331" i="4"/>
  <c r="V331" i="4" s="1"/>
  <c r="U321" i="4"/>
  <c r="V321" i="4" s="1"/>
  <c r="O243" i="4"/>
  <c r="O286" i="4"/>
  <c r="L364" i="4"/>
  <c r="P364" i="4" s="1"/>
  <c r="Q364" i="4" s="1"/>
  <c r="T152" i="4"/>
  <c r="T155" i="4"/>
  <c r="L167" i="4"/>
  <c r="P167" i="4" s="1"/>
  <c r="Q167" i="4" s="1"/>
  <c r="T268" i="4"/>
  <c r="T388" i="4"/>
  <c r="T392" i="4"/>
  <c r="U155" i="4"/>
  <c r="V155" i="4" s="1"/>
  <c r="L388" i="4"/>
  <c r="M388" i="4" s="1"/>
  <c r="U392" i="4"/>
  <c r="V392" i="4" s="1"/>
  <c r="L152" i="4"/>
  <c r="M152" i="4" s="1"/>
  <c r="T231" i="4"/>
  <c r="T321" i="4"/>
  <c r="T323" i="4"/>
  <c r="U170" i="4"/>
  <c r="V170" i="4" s="1"/>
  <c r="T341" i="4"/>
  <c r="T345" i="4"/>
  <c r="L148" i="4"/>
  <c r="P148" i="4" s="1"/>
  <c r="Q148" i="4" s="1"/>
  <c r="T234" i="4"/>
  <c r="L262" i="4"/>
  <c r="P262" i="4" s="1"/>
  <c r="Q262" i="4" s="1"/>
  <c r="P268" i="4"/>
  <c r="Q268" i="4" s="1"/>
  <c r="T279" i="4"/>
  <c r="U291" i="4"/>
  <c r="V291" i="4" s="1"/>
  <c r="L317" i="4"/>
  <c r="M317" i="4" s="1"/>
  <c r="P321" i="4"/>
  <c r="Q321" i="4" s="1"/>
  <c r="U341" i="4"/>
  <c r="V341" i="4" s="1"/>
  <c r="L386" i="4"/>
  <c r="P386" i="4" s="1"/>
  <c r="Q386" i="4" s="1"/>
  <c r="T281" i="4"/>
  <c r="U295" i="4"/>
  <c r="V295" i="4" s="1"/>
  <c r="U127" i="4"/>
  <c r="V127" i="4" s="1"/>
  <c r="P341" i="4"/>
  <c r="Q341" i="4" s="1"/>
  <c r="U364" i="4"/>
  <c r="V364" i="4" s="1"/>
  <c r="V363" i="4" s="1"/>
  <c r="P125" i="4"/>
  <c r="Q125" i="4" s="1"/>
  <c r="M125" i="4"/>
  <c r="T125" i="4"/>
  <c r="T205" i="4"/>
  <c r="L244" i="4"/>
  <c r="P244" i="4" s="1"/>
  <c r="Q244" i="4" s="1"/>
  <c r="T251" i="4"/>
  <c r="T256" i="4"/>
  <c r="U268" i="4"/>
  <c r="V268" i="4" s="1"/>
  <c r="L291" i="4"/>
  <c r="M291" i="4" s="1"/>
  <c r="U303" i="4"/>
  <c r="V303" i="4" s="1"/>
  <c r="T306" i="4"/>
  <c r="T309" i="4"/>
  <c r="T339" i="4"/>
  <c r="T351" i="4"/>
  <c r="U125" i="4"/>
  <c r="V125" i="4" s="1"/>
  <c r="L129" i="4"/>
  <c r="T129" i="4"/>
  <c r="T138" i="4"/>
  <c r="P152" i="4"/>
  <c r="Q152" i="4" s="1"/>
  <c r="L189" i="4"/>
  <c r="T189" i="4"/>
  <c r="T193" i="4"/>
  <c r="L205" i="4"/>
  <c r="P205" i="4" s="1"/>
  <c r="Q205" i="4" s="1"/>
  <c r="L224" i="4"/>
  <c r="U224" i="4"/>
  <c r="V224" i="4" s="1"/>
  <c r="U251" i="4"/>
  <c r="V251" i="4" s="1"/>
  <c r="U274" i="4"/>
  <c r="V274" i="4" s="1"/>
  <c r="L303" i="4"/>
  <c r="P303" i="4" s="1"/>
  <c r="Q303" i="4" s="1"/>
  <c r="U306" i="4"/>
  <c r="V306" i="4" s="1"/>
  <c r="T329" i="4"/>
  <c r="L339" i="4"/>
  <c r="M339" i="4" s="1"/>
  <c r="L351" i="4"/>
  <c r="P351" i="4" s="1"/>
  <c r="Q351" i="4" s="1"/>
  <c r="T355" i="4"/>
  <c r="T359" i="4"/>
  <c r="L369" i="4"/>
  <c r="T369" i="4"/>
  <c r="T363" i="4" s="1"/>
  <c r="T375" i="4"/>
  <c r="L170" i="4"/>
  <c r="T175" i="4"/>
  <c r="L184" i="4"/>
  <c r="P184" i="4" s="1"/>
  <c r="Q184" i="4" s="1"/>
  <c r="U193" i="4"/>
  <c r="V193" i="4" s="1"/>
  <c r="U231" i="4"/>
  <c r="V231" i="4" s="1"/>
  <c r="P251" i="4"/>
  <c r="Q251" i="4" s="1"/>
  <c r="U262" i="4"/>
  <c r="V262" i="4" s="1"/>
  <c r="L274" i="4"/>
  <c r="P274" i="4" s="1"/>
  <c r="Q274" i="4" s="1"/>
  <c r="U279" i="4"/>
  <c r="V279" i="4" s="1"/>
  <c r="T299" i="4"/>
  <c r="U317" i="4"/>
  <c r="V317" i="4" s="1"/>
  <c r="L329" i="4"/>
  <c r="M329" i="4" s="1"/>
  <c r="T331" i="4"/>
  <c r="T335" i="4"/>
  <c r="U355" i="4"/>
  <c r="V355" i="4" s="1"/>
  <c r="M144" i="4"/>
  <c r="P144" i="4"/>
  <c r="Q144" i="4" s="1"/>
  <c r="M193" i="4"/>
  <c r="P193" i="4"/>
  <c r="Q193" i="4" s="1"/>
  <c r="P201" i="4"/>
  <c r="Q201" i="4" s="1"/>
  <c r="M201" i="4"/>
  <c r="M138" i="4"/>
  <c r="P138" i="4"/>
  <c r="Q138" i="4" s="1"/>
  <c r="M175" i="4"/>
  <c r="P175" i="4"/>
  <c r="Q175" i="4" s="1"/>
  <c r="P182" i="4"/>
  <c r="Q182" i="4" s="1"/>
  <c r="M182" i="4"/>
  <c r="M155" i="4"/>
  <c r="P155" i="4"/>
  <c r="Q155" i="4" s="1"/>
  <c r="P157" i="4"/>
  <c r="Q157" i="4" s="1"/>
  <c r="M157" i="4"/>
  <c r="M309" i="4"/>
  <c r="P309" i="4"/>
  <c r="Q309" i="4" s="1"/>
  <c r="U138" i="4"/>
  <c r="V138" i="4" s="1"/>
  <c r="T144" i="4"/>
  <c r="T157" i="4"/>
  <c r="T182" i="4"/>
  <c r="T201" i="4"/>
  <c r="U220" i="4"/>
  <c r="V220" i="4" s="1"/>
  <c r="T220" i="4"/>
  <c r="M256" i="4"/>
  <c r="P256" i="4"/>
  <c r="Q256" i="4" s="1"/>
  <c r="L260" i="4"/>
  <c r="U260" i="4"/>
  <c r="V260" i="4" s="1"/>
  <c r="T260" i="4"/>
  <c r="M323" i="4"/>
  <c r="P323" i="4"/>
  <c r="Q323" i="4" s="1"/>
  <c r="L325" i="4"/>
  <c r="U325" i="4"/>
  <c r="V325" i="4" s="1"/>
  <c r="T325" i="4"/>
  <c r="M345" i="4"/>
  <c r="P345" i="4"/>
  <c r="Q345" i="4" s="1"/>
  <c r="L347" i="4"/>
  <c r="U347" i="4"/>
  <c r="V347" i="4" s="1"/>
  <c r="T347" i="4"/>
  <c r="M375" i="4"/>
  <c r="P375" i="4"/>
  <c r="Q375" i="4" s="1"/>
  <c r="L380" i="4"/>
  <c r="U380" i="4"/>
  <c r="V380" i="4" s="1"/>
  <c r="T380" i="4"/>
  <c r="M234" i="4"/>
  <c r="P234" i="4"/>
  <c r="Q234" i="4" s="1"/>
  <c r="M364" i="4"/>
  <c r="U144" i="4"/>
  <c r="V144" i="4" s="1"/>
  <c r="T148" i="4"/>
  <c r="U157" i="4"/>
  <c r="V157" i="4" s="1"/>
  <c r="T167" i="4"/>
  <c r="U182" i="4"/>
  <c r="V182" i="4" s="1"/>
  <c r="T184" i="4"/>
  <c r="U201" i="4"/>
  <c r="V201" i="4" s="1"/>
  <c r="M220" i="4"/>
  <c r="M270" i="4"/>
  <c r="P270" i="4"/>
  <c r="Q270" i="4" s="1"/>
  <c r="L272" i="4"/>
  <c r="U272" i="4"/>
  <c r="V272" i="4" s="1"/>
  <c r="T272" i="4"/>
  <c r="P279" i="4"/>
  <c r="Q279" i="4" s="1"/>
  <c r="P331" i="4"/>
  <c r="Q331" i="4" s="1"/>
  <c r="P355" i="4"/>
  <c r="Q355" i="4" s="1"/>
  <c r="M392" i="4"/>
  <c r="P392" i="4"/>
  <c r="Q392" i="4" s="1"/>
  <c r="L238" i="4"/>
  <c r="U238" i="4"/>
  <c r="T238" i="4"/>
  <c r="T237" i="4" s="1"/>
  <c r="L314" i="4"/>
  <c r="U314" i="4"/>
  <c r="V314" i="4" s="1"/>
  <c r="T314" i="4"/>
  <c r="P231" i="4"/>
  <c r="Q231" i="4" s="1"/>
  <c r="M281" i="4"/>
  <c r="P281" i="4"/>
  <c r="Q281" i="4" s="1"/>
  <c r="L287" i="4"/>
  <c r="U287" i="4"/>
  <c r="V287" i="4" s="1"/>
  <c r="T287" i="4"/>
  <c r="M299" i="4"/>
  <c r="P299" i="4"/>
  <c r="Q299" i="4" s="1"/>
  <c r="L301" i="4"/>
  <c r="U301" i="4"/>
  <c r="V301" i="4" s="1"/>
  <c r="T301" i="4"/>
  <c r="P306" i="4"/>
  <c r="Q306" i="4" s="1"/>
  <c r="M335" i="4"/>
  <c r="P335" i="4"/>
  <c r="Q335" i="4" s="1"/>
  <c r="L337" i="4"/>
  <c r="U337" i="4"/>
  <c r="V337" i="4" s="1"/>
  <c r="T337" i="4"/>
  <c r="M359" i="4"/>
  <c r="P359" i="4"/>
  <c r="Q359" i="4" s="1"/>
  <c r="L361" i="4"/>
  <c r="U361" i="4"/>
  <c r="V361" i="4" s="1"/>
  <c r="T361" i="4"/>
  <c r="L397" i="4"/>
  <c r="U397" i="4"/>
  <c r="V397" i="4" s="1"/>
  <c r="V396" i="4" s="1"/>
  <c r="T397" i="4"/>
  <c r="T396" i="4" s="1"/>
  <c r="U234" i="4"/>
  <c r="V234" i="4" s="1"/>
  <c r="U256" i="4"/>
  <c r="V256" i="4" s="1"/>
  <c r="U270" i="4"/>
  <c r="V270" i="4" s="1"/>
  <c r="U281" i="4"/>
  <c r="V281" i="4" s="1"/>
  <c r="L295" i="4"/>
  <c r="U299" i="4"/>
  <c r="V299" i="4" s="1"/>
  <c r="U309" i="4"/>
  <c r="V309" i="4" s="1"/>
  <c r="U323" i="4"/>
  <c r="V323" i="4" s="1"/>
  <c r="U335" i="4"/>
  <c r="V335" i="4" s="1"/>
  <c r="U345" i="4"/>
  <c r="V345" i="4" s="1"/>
  <c r="U359" i="4"/>
  <c r="V359" i="4" s="1"/>
  <c r="U375" i="4"/>
  <c r="V375" i="4" s="1"/>
  <c r="T386" i="4"/>
  <c r="X127" i="6"/>
  <c r="Z127" i="6"/>
  <c r="AB127" i="6"/>
  <c r="AD127" i="6"/>
  <c r="AF127" i="6"/>
  <c r="AH127" i="6"/>
  <c r="AJ127" i="6"/>
  <c r="AL127" i="6"/>
  <c r="AN127" i="6"/>
  <c r="AP127" i="6"/>
  <c r="AR127" i="6"/>
  <c r="AT127" i="6"/>
  <c r="AV127" i="6"/>
  <c r="AX127" i="6"/>
  <c r="U124" i="5"/>
  <c r="X124" i="5"/>
  <c r="Z124" i="5"/>
  <c r="AB124" i="5"/>
  <c r="AD124" i="5"/>
  <c r="AF124" i="5"/>
  <c r="AH124" i="5"/>
  <c r="AJ124" i="5"/>
  <c r="AL124" i="5"/>
  <c r="AN124" i="5"/>
  <c r="AP124" i="5"/>
  <c r="AR124" i="5"/>
  <c r="AT124" i="5"/>
  <c r="AV124" i="5"/>
  <c r="AX124" i="5"/>
  <c r="S379" i="5"/>
  <c r="S374" i="5"/>
  <c r="L374" i="5" s="1"/>
  <c r="O374" i="5" s="1"/>
  <c r="S370" i="5"/>
  <c r="U370" i="5" s="1"/>
  <c r="V370" i="5" s="1"/>
  <c r="S368" i="5"/>
  <c r="U368" i="5" s="1"/>
  <c r="V368" i="5" s="1"/>
  <c r="S362" i="5"/>
  <c r="S357" i="5"/>
  <c r="L357" i="5" s="1"/>
  <c r="O357" i="5" s="1"/>
  <c r="S351" i="5"/>
  <c r="U351" i="5" s="1"/>
  <c r="V351" i="5" s="1"/>
  <c r="O351" i="5"/>
  <c r="S346" i="5"/>
  <c r="U346" i="5" s="1"/>
  <c r="V346" i="5" s="1"/>
  <c r="O346" i="5"/>
  <c r="S343" i="5"/>
  <c r="O343" i="5"/>
  <c r="S341" i="5"/>
  <c r="L341" i="5" s="1"/>
  <c r="O341" i="5"/>
  <c r="S337" i="5"/>
  <c r="U337" i="5" s="1"/>
  <c r="V337" i="5" s="1"/>
  <c r="O337" i="5"/>
  <c r="S335" i="5"/>
  <c r="U335" i="5" s="1"/>
  <c r="V335" i="5" s="1"/>
  <c r="O335" i="5"/>
  <c r="S333" i="5"/>
  <c r="O333" i="5"/>
  <c r="S329" i="5"/>
  <c r="L329" i="5" s="1"/>
  <c r="O329" i="5"/>
  <c r="S327" i="5"/>
  <c r="T327" i="5" s="1"/>
  <c r="O327" i="5"/>
  <c r="S323" i="5"/>
  <c r="U323" i="5" s="1"/>
  <c r="V323" i="5" s="1"/>
  <c r="O323" i="5"/>
  <c r="S321" i="5"/>
  <c r="O321" i="5"/>
  <c r="S319" i="5"/>
  <c r="L319" i="5" s="1"/>
  <c r="O319" i="5"/>
  <c r="S317" i="5"/>
  <c r="T317" i="5" s="1"/>
  <c r="O317" i="5"/>
  <c r="S313" i="5"/>
  <c r="U313" i="5" s="1"/>
  <c r="V313" i="5" s="1"/>
  <c r="O313" i="5"/>
  <c r="S310" i="5"/>
  <c r="O310" i="5"/>
  <c r="S305" i="5"/>
  <c r="L305" i="5" s="1"/>
  <c r="M305" i="5" s="1"/>
  <c r="O305" i="5"/>
  <c r="S302" i="5"/>
  <c r="T302" i="5" s="1"/>
  <c r="O302" i="5"/>
  <c r="S300" i="5"/>
  <c r="L300" i="5" s="1"/>
  <c r="P300" i="5" s="1"/>
  <c r="Q300" i="5" s="1"/>
  <c r="O300" i="5"/>
  <c r="S298" i="5"/>
  <c r="T298" i="5" s="1"/>
  <c r="O298" i="5"/>
  <c r="S294" i="5"/>
  <c r="L294" i="5" s="1"/>
  <c r="M294" i="5" s="1"/>
  <c r="O294" i="5"/>
  <c r="S290" i="5"/>
  <c r="T290" i="5" s="1"/>
  <c r="O290" i="5"/>
  <c r="S284" i="5"/>
  <c r="L284" i="5" s="1"/>
  <c r="O284" i="5"/>
  <c r="S282" i="5"/>
  <c r="T282" i="5" s="1"/>
  <c r="O282" i="5"/>
  <c r="S277" i="5"/>
  <c r="L277" i="5" s="1"/>
  <c r="M277" i="5" s="1"/>
  <c r="O277" i="5"/>
  <c r="S275" i="5"/>
  <c r="T275" i="5" s="1"/>
  <c r="O275" i="5"/>
  <c r="S273" i="5"/>
  <c r="L273" i="5" s="1"/>
  <c r="O273" i="5" s="1"/>
  <c r="S271" i="5"/>
  <c r="T271" i="5" s="1"/>
  <c r="S265" i="5"/>
  <c r="L265" i="5" s="1"/>
  <c r="M265" i="5" s="1"/>
  <c r="O265" i="5"/>
  <c r="S263" i="5"/>
  <c r="T263" i="5" s="1"/>
  <c r="O263" i="5"/>
  <c r="S261" i="5"/>
  <c r="O261" i="5"/>
  <c r="S259" i="5"/>
  <c r="T259" i="5" s="1"/>
  <c r="O259" i="5"/>
  <c r="S255" i="5"/>
  <c r="L255" i="5" s="1"/>
  <c r="M255" i="5" s="1"/>
  <c r="O255" i="5"/>
  <c r="S250" i="5"/>
  <c r="T250" i="5" s="1"/>
  <c r="S245" i="5"/>
  <c r="L245" i="5" s="1"/>
  <c r="O245" i="5" s="1"/>
  <c r="S240" i="5"/>
  <c r="S236" i="5"/>
  <c r="L236" i="5" s="1"/>
  <c r="S233" i="5"/>
  <c r="T233" i="5" s="1"/>
  <c r="S228" i="5"/>
  <c r="S224" i="5"/>
  <c r="T224" i="5" s="1"/>
  <c r="S209" i="5"/>
  <c r="L209" i="5" s="1"/>
  <c r="S205" i="5"/>
  <c r="T205" i="5" s="1"/>
  <c r="S198" i="5"/>
  <c r="L198" i="5" s="1"/>
  <c r="O198" i="5"/>
  <c r="S194" i="5"/>
  <c r="U194" i="5" s="1"/>
  <c r="V194" i="5" s="1"/>
  <c r="S189" i="5"/>
  <c r="L189" i="5" s="1"/>
  <c r="O189" i="5" s="1"/>
  <c r="S187" i="5"/>
  <c r="L187" i="5" s="1"/>
  <c r="O187" i="5" s="1"/>
  <c r="S182" i="5"/>
  <c r="T182" i="5" s="1"/>
  <c r="S177" i="5"/>
  <c r="U177" i="5" s="1"/>
  <c r="V177" i="5" s="1"/>
  <c r="S174" i="5"/>
  <c r="L174" i="5" s="1"/>
  <c r="O174" i="5" s="1"/>
  <c r="S165" i="5"/>
  <c r="L165" i="5" s="1"/>
  <c r="O165" i="5" s="1"/>
  <c r="S161" i="5"/>
  <c r="L161" i="5" s="1"/>
  <c r="O161" i="5"/>
  <c r="S157" i="5"/>
  <c r="T157" i="5" s="1"/>
  <c r="O157" i="5"/>
  <c r="S155" i="5"/>
  <c r="L155" i="5" s="1"/>
  <c r="O155" i="5"/>
  <c r="S152" i="5"/>
  <c r="L152" i="5" s="1"/>
  <c r="O152" i="5"/>
  <c r="S148" i="5"/>
  <c r="L148" i="5" s="1"/>
  <c r="O148" i="5"/>
  <c r="S144" i="5"/>
  <c r="U144" i="5" s="1"/>
  <c r="V144" i="5" s="1"/>
  <c r="O144" i="5"/>
  <c r="S130" i="5"/>
  <c r="L130" i="5" s="1"/>
  <c r="O130" i="5" s="1"/>
  <c r="S128" i="5"/>
  <c r="L128" i="5" s="1"/>
  <c r="O128" i="5" s="1"/>
  <c r="O126" i="5"/>
  <c r="M281" i="3" l="1"/>
  <c r="M262" i="4"/>
  <c r="M127" i="4"/>
  <c r="M167" i="4"/>
  <c r="Q251" i="3"/>
  <c r="V127" i="3"/>
  <c r="T127" i="3"/>
  <c r="M388" i="3"/>
  <c r="Q281" i="3"/>
  <c r="M128" i="3"/>
  <c r="Q300" i="3"/>
  <c r="M300" i="3"/>
  <c r="Q388" i="3"/>
  <c r="P264" i="37"/>
  <c r="Q264" i="37" s="1"/>
  <c r="P250" i="37"/>
  <c r="Q250" i="37" s="1"/>
  <c r="Q249" i="37" s="1"/>
  <c r="M209" i="5"/>
  <c r="O209" i="5"/>
  <c r="M236" i="5"/>
  <c r="O236" i="5"/>
  <c r="P339" i="4"/>
  <c r="Q339" i="4" s="1"/>
  <c r="O123" i="37"/>
  <c r="AR133" i="1" s="1"/>
  <c r="P173" i="37"/>
  <c r="Q173" i="37" s="1"/>
  <c r="V332" i="37"/>
  <c r="V278" i="37"/>
  <c r="O123" i="4"/>
  <c r="AR92" i="1" s="1"/>
  <c r="V124" i="37"/>
  <c r="T124" i="37"/>
  <c r="T332" i="37"/>
  <c r="T249" i="37"/>
  <c r="T278" i="37"/>
  <c r="T259" i="37"/>
  <c r="V259" i="37"/>
  <c r="P301" i="37"/>
  <c r="Q301" i="37" s="1"/>
  <c r="P346" i="37"/>
  <c r="Q346" i="37" s="1"/>
  <c r="P233" i="37"/>
  <c r="Q233" i="37" s="1"/>
  <c r="P190" i="37"/>
  <c r="Q190" i="37" s="1"/>
  <c r="P279" i="37"/>
  <c r="Q279" i="37" s="1"/>
  <c r="M195" i="37"/>
  <c r="P195" i="37"/>
  <c r="Q195" i="37" s="1"/>
  <c r="P206" i="37"/>
  <c r="Q206" i="37" s="1"/>
  <c r="P327" i="37"/>
  <c r="Q327" i="37" s="1"/>
  <c r="Q326" i="37" s="1"/>
  <c r="P287" i="37"/>
  <c r="Q287" i="37" s="1"/>
  <c r="M287" i="37"/>
  <c r="P297" i="37"/>
  <c r="Q297" i="37" s="1"/>
  <c r="M297" i="37"/>
  <c r="P307" i="37"/>
  <c r="Q307" i="37" s="1"/>
  <c r="M307" i="37"/>
  <c r="P271" i="37"/>
  <c r="Q271" i="37" s="1"/>
  <c r="M271" i="37"/>
  <c r="P353" i="37"/>
  <c r="Q353" i="37" s="1"/>
  <c r="Q352" i="37" s="1"/>
  <c r="M353" i="37"/>
  <c r="M352" i="37" s="1"/>
  <c r="P318" i="37"/>
  <c r="Q318" i="37" s="1"/>
  <c r="M318" i="37"/>
  <c r="P338" i="37"/>
  <c r="Q338" i="37" s="1"/>
  <c r="Q332" i="37" s="1"/>
  <c r="M338" i="37"/>
  <c r="M332" i="37" s="1"/>
  <c r="P215" i="37"/>
  <c r="Q215" i="37" s="1"/>
  <c r="M215" i="37"/>
  <c r="P229" i="37"/>
  <c r="Q229" i="37" s="1"/>
  <c r="M229" i="37"/>
  <c r="P245" i="37"/>
  <c r="Q245" i="37" s="1"/>
  <c r="Q244" i="37" s="1"/>
  <c r="M245" i="37"/>
  <c r="M244" i="37" s="1"/>
  <c r="P241" i="37"/>
  <c r="Q241" i="37" s="1"/>
  <c r="M241" i="37"/>
  <c r="M156" i="37"/>
  <c r="P156" i="37"/>
  <c r="Q156" i="37" s="1"/>
  <c r="P163" i="37"/>
  <c r="Q163" i="37" s="1"/>
  <c r="M163" i="37"/>
  <c r="P165" i="37"/>
  <c r="Q165" i="37" s="1"/>
  <c r="M165" i="37"/>
  <c r="P185" i="37"/>
  <c r="Q185" i="37" s="1"/>
  <c r="M185" i="37"/>
  <c r="P182" i="37"/>
  <c r="Q182" i="37" s="1"/>
  <c r="M182" i="37"/>
  <c r="P260" i="37"/>
  <c r="Q260" i="37" s="1"/>
  <c r="M260" i="37"/>
  <c r="P197" i="37"/>
  <c r="Q197" i="37" s="1"/>
  <c r="M197" i="37"/>
  <c r="P317" i="4"/>
  <c r="Q317" i="4" s="1"/>
  <c r="P291" i="4"/>
  <c r="Q291" i="4" s="1"/>
  <c r="P388" i="4"/>
  <c r="Q388" i="4" s="1"/>
  <c r="T243" i="4"/>
  <c r="V124" i="4"/>
  <c r="T286" i="4"/>
  <c r="M386" i="4"/>
  <c r="V374" i="4"/>
  <c r="V286" i="4"/>
  <c r="M274" i="4"/>
  <c r="T374" i="4"/>
  <c r="T267" i="4"/>
  <c r="T124" i="4"/>
  <c r="V243" i="4"/>
  <c r="V267" i="4"/>
  <c r="P329" i="4"/>
  <c r="Q329" i="4" s="1"/>
  <c r="M148" i="4"/>
  <c r="M244" i="4"/>
  <c r="M351" i="4"/>
  <c r="M184" i="4"/>
  <c r="M224" i="4"/>
  <c r="P224" i="4"/>
  <c r="Q224" i="4" s="1"/>
  <c r="M189" i="4"/>
  <c r="P189" i="4"/>
  <c r="Q189" i="4" s="1"/>
  <c r="M129" i="4"/>
  <c r="P129" i="4"/>
  <c r="Q129" i="4" s="1"/>
  <c r="M303" i="4"/>
  <c r="M170" i="4"/>
  <c r="P170" i="4"/>
  <c r="Q170" i="4" s="1"/>
  <c r="M369" i="4"/>
  <c r="M363" i="4" s="1"/>
  <c r="P369" i="4"/>
  <c r="Q369" i="4" s="1"/>
  <c r="Q363" i="4" s="1"/>
  <c r="M205" i="4"/>
  <c r="M295" i="4"/>
  <c r="P295" i="4"/>
  <c r="Q295" i="4" s="1"/>
  <c r="P314" i="4"/>
  <c r="Q314" i="4" s="1"/>
  <c r="M314" i="4"/>
  <c r="P301" i="4"/>
  <c r="Q301" i="4" s="1"/>
  <c r="M301" i="4"/>
  <c r="P272" i="4"/>
  <c r="Q272" i="4" s="1"/>
  <c r="Q267" i="4" s="1"/>
  <c r="M272" i="4"/>
  <c r="P347" i="4"/>
  <c r="Q347" i="4" s="1"/>
  <c r="M347" i="4"/>
  <c r="P260" i="4"/>
  <c r="Q260" i="4" s="1"/>
  <c r="Q243" i="4" s="1"/>
  <c r="M260" i="4"/>
  <c r="P380" i="4"/>
  <c r="Q380" i="4" s="1"/>
  <c r="M380" i="4"/>
  <c r="P361" i="4"/>
  <c r="Q361" i="4" s="1"/>
  <c r="M361" i="4"/>
  <c r="P287" i="4"/>
  <c r="Q287" i="4" s="1"/>
  <c r="M287" i="4"/>
  <c r="V238" i="4"/>
  <c r="V237" i="4" s="1"/>
  <c r="P325" i="4"/>
  <c r="Q325" i="4" s="1"/>
  <c r="M325" i="4"/>
  <c r="P397" i="4"/>
  <c r="Q397" i="4" s="1"/>
  <c r="Q396" i="4" s="1"/>
  <c r="M397" i="4"/>
  <c r="M396" i="4" s="1"/>
  <c r="P337" i="4"/>
  <c r="Q337" i="4" s="1"/>
  <c r="M337" i="4"/>
  <c r="P238" i="4"/>
  <c r="Q238" i="4" s="1"/>
  <c r="Q237" i="4" s="1"/>
  <c r="M238" i="4"/>
  <c r="M237" i="4" s="1"/>
  <c r="P209" i="5"/>
  <c r="Q209" i="5" s="1"/>
  <c r="O345" i="5"/>
  <c r="L368" i="5"/>
  <c r="V345" i="5"/>
  <c r="L317" i="5"/>
  <c r="M317" i="5" s="1"/>
  <c r="T165" i="5"/>
  <c r="U209" i="5"/>
  <c r="V209" i="5" s="1"/>
  <c r="P255" i="5"/>
  <c r="Q255" i="5" s="1"/>
  <c r="L313" i="5"/>
  <c r="M313" i="5" s="1"/>
  <c r="O289" i="5"/>
  <c r="U329" i="5"/>
  <c r="V329" i="5" s="1"/>
  <c r="U255" i="5"/>
  <c r="V255" i="5" s="1"/>
  <c r="T144" i="5"/>
  <c r="T294" i="5"/>
  <c r="P198" i="5"/>
  <c r="Q198" i="5" s="1"/>
  <c r="M198" i="5"/>
  <c r="T161" i="5"/>
  <c r="U290" i="5"/>
  <c r="V290" i="5" s="1"/>
  <c r="U302" i="5"/>
  <c r="V302" i="5" s="1"/>
  <c r="T305" i="5"/>
  <c r="T374" i="5"/>
  <c r="U157" i="5"/>
  <c r="V157" i="5" s="1"/>
  <c r="U236" i="5"/>
  <c r="V236" i="5" s="1"/>
  <c r="L290" i="5"/>
  <c r="M290" i="5" s="1"/>
  <c r="L302" i="5"/>
  <c r="M302" i="5" s="1"/>
  <c r="U305" i="5"/>
  <c r="V305" i="5" s="1"/>
  <c r="U319" i="5"/>
  <c r="V319" i="5" s="1"/>
  <c r="T370" i="5"/>
  <c r="U327" i="5"/>
  <c r="V327" i="5" s="1"/>
  <c r="L157" i="5"/>
  <c r="P157" i="5" s="1"/>
  <c r="Q157" i="5" s="1"/>
  <c r="U182" i="5"/>
  <c r="V182" i="5" s="1"/>
  <c r="T209" i="5"/>
  <c r="U275" i="5"/>
  <c r="V275" i="5" s="1"/>
  <c r="P305" i="5"/>
  <c r="Q305" i="5" s="1"/>
  <c r="U317" i="5"/>
  <c r="V317" i="5" s="1"/>
  <c r="L370" i="5"/>
  <c r="P273" i="5"/>
  <c r="Q273" i="5" s="1"/>
  <c r="M273" i="5"/>
  <c r="P245" i="5"/>
  <c r="Q245" i="5" s="1"/>
  <c r="M245" i="5"/>
  <c r="L144" i="5"/>
  <c r="P144" i="5" s="1"/>
  <c r="Q144" i="5" s="1"/>
  <c r="T148" i="5"/>
  <c r="T152" i="5"/>
  <c r="U161" i="5"/>
  <c r="V161" i="5" s="1"/>
  <c r="U250" i="5"/>
  <c r="V250" i="5" s="1"/>
  <c r="L263" i="5"/>
  <c r="U263" i="5"/>
  <c r="V263" i="5" s="1"/>
  <c r="T265" i="5"/>
  <c r="L275" i="5"/>
  <c r="M275" i="5" s="1"/>
  <c r="T277" i="5"/>
  <c r="U294" i="5"/>
  <c r="V294" i="5" s="1"/>
  <c r="M300" i="5"/>
  <c r="L337" i="5"/>
  <c r="T337" i="5"/>
  <c r="T341" i="5"/>
  <c r="L346" i="5"/>
  <c r="M346" i="5" s="1"/>
  <c r="L351" i="5"/>
  <c r="T351" i="5"/>
  <c r="T357" i="5"/>
  <c r="U374" i="5"/>
  <c r="V374" i="5" s="1"/>
  <c r="T128" i="5"/>
  <c r="T130" i="5"/>
  <c r="U148" i="5"/>
  <c r="V148" i="5" s="1"/>
  <c r="T177" i="5"/>
  <c r="T187" i="5"/>
  <c r="U205" i="5"/>
  <c r="V205" i="5" s="1"/>
  <c r="L233" i="5"/>
  <c r="O233" i="5" s="1"/>
  <c r="U233" i="5"/>
  <c r="V233" i="5" s="1"/>
  <c r="T236" i="5"/>
  <c r="L250" i="5"/>
  <c r="T255" i="5"/>
  <c r="U265" i="5"/>
  <c r="V265" i="5" s="1"/>
  <c r="U277" i="5"/>
  <c r="V277" i="5" s="1"/>
  <c r="T319" i="5"/>
  <c r="L323" i="5"/>
  <c r="P323" i="5" s="1"/>
  <c r="Q323" i="5" s="1"/>
  <c r="L327" i="5"/>
  <c r="T329" i="5"/>
  <c r="L335" i="5"/>
  <c r="P335" i="5" s="1"/>
  <c r="Q335" i="5" s="1"/>
  <c r="U341" i="5"/>
  <c r="V341" i="5" s="1"/>
  <c r="U357" i="5"/>
  <c r="V357" i="5" s="1"/>
  <c r="U128" i="5"/>
  <c r="V128" i="5" s="1"/>
  <c r="L177" i="5"/>
  <c r="L205" i="5"/>
  <c r="P277" i="5"/>
  <c r="Q277" i="5" s="1"/>
  <c r="M152" i="5"/>
  <c r="P152" i="5"/>
  <c r="Q152" i="5" s="1"/>
  <c r="P189" i="5"/>
  <c r="Q189" i="5" s="1"/>
  <c r="M189" i="5"/>
  <c r="M187" i="5"/>
  <c r="P187" i="5"/>
  <c r="Q187" i="5" s="1"/>
  <c r="P148" i="5"/>
  <c r="Q148" i="5" s="1"/>
  <c r="M148" i="5"/>
  <c r="M128" i="5"/>
  <c r="P128" i="5"/>
  <c r="Q128" i="5" s="1"/>
  <c r="M130" i="5"/>
  <c r="P130" i="5"/>
  <c r="Q130" i="5" s="1"/>
  <c r="M174" i="5"/>
  <c r="P174" i="5"/>
  <c r="Q174" i="5" s="1"/>
  <c r="P155" i="5"/>
  <c r="Q155" i="5" s="1"/>
  <c r="M155" i="5"/>
  <c r="M161" i="5"/>
  <c r="P161" i="5"/>
  <c r="Q161" i="5" s="1"/>
  <c r="M165" i="5"/>
  <c r="P165" i="5"/>
  <c r="Q165" i="5" s="1"/>
  <c r="P284" i="5"/>
  <c r="Q284" i="5" s="1"/>
  <c r="M284" i="5"/>
  <c r="U228" i="5"/>
  <c r="V228" i="5" s="1"/>
  <c r="T228" i="5"/>
  <c r="L240" i="5"/>
  <c r="O240" i="5" s="1"/>
  <c r="O239" i="5" s="1"/>
  <c r="U240" i="5"/>
  <c r="V240" i="5" s="1"/>
  <c r="V239" i="5" s="1"/>
  <c r="U261" i="5"/>
  <c r="V261" i="5" s="1"/>
  <c r="T261" i="5"/>
  <c r="M357" i="5"/>
  <c r="P357" i="5"/>
  <c r="Q357" i="5" s="1"/>
  <c r="U130" i="5"/>
  <c r="V130" i="5" s="1"/>
  <c r="U152" i="5"/>
  <c r="V152" i="5" s="1"/>
  <c r="T155" i="5"/>
  <c r="U165" i="5"/>
  <c r="V165" i="5" s="1"/>
  <c r="T174" i="5"/>
  <c r="L182" i="5"/>
  <c r="O182" i="5" s="1"/>
  <c r="U187" i="5"/>
  <c r="V187" i="5" s="1"/>
  <c r="T189" i="5"/>
  <c r="T194" i="5"/>
  <c r="T240" i="5"/>
  <c r="T239" i="5" s="1"/>
  <c r="L333" i="5"/>
  <c r="U333" i="5"/>
  <c r="V333" i="5" s="1"/>
  <c r="T333" i="5"/>
  <c r="L362" i="5"/>
  <c r="O362" i="5" s="1"/>
  <c r="U362" i="5"/>
  <c r="V362" i="5" s="1"/>
  <c r="T362" i="5"/>
  <c r="L194" i="5"/>
  <c r="O194" i="5" s="1"/>
  <c r="L228" i="5"/>
  <c r="O228" i="5" s="1"/>
  <c r="L261" i="5"/>
  <c r="M329" i="5"/>
  <c r="P329" i="5"/>
  <c r="Q329" i="5" s="1"/>
  <c r="U155" i="5"/>
  <c r="V155" i="5" s="1"/>
  <c r="U174" i="5"/>
  <c r="V174" i="5" s="1"/>
  <c r="U189" i="5"/>
  <c r="V189" i="5" s="1"/>
  <c r="U198" i="5"/>
  <c r="V198" i="5" s="1"/>
  <c r="T198" i="5"/>
  <c r="L224" i="5"/>
  <c r="O224" i="5" s="1"/>
  <c r="U224" i="5"/>
  <c r="V224" i="5" s="1"/>
  <c r="P236" i="5"/>
  <c r="Q236" i="5" s="1"/>
  <c r="U245" i="5"/>
  <c r="V245" i="5" s="1"/>
  <c r="T245" i="5"/>
  <c r="L259" i="5"/>
  <c r="U259" i="5"/>
  <c r="V259" i="5" s="1"/>
  <c r="P265" i="5"/>
  <c r="Q265" i="5" s="1"/>
  <c r="U273" i="5"/>
  <c r="V273" i="5" s="1"/>
  <c r="T273" i="5"/>
  <c r="L282" i="5"/>
  <c r="U282" i="5"/>
  <c r="V282" i="5" s="1"/>
  <c r="P294" i="5"/>
  <c r="Q294" i="5" s="1"/>
  <c r="U300" i="5"/>
  <c r="V300" i="5" s="1"/>
  <c r="T300" i="5"/>
  <c r="L310" i="5"/>
  <c r="U310" i="5"/>
  <c r="V310" i="5" s="1"/>
  <c r="T310" i="5"/>
  <c r="M319" i="5"/>
  <c r="P319" i="5"/>
  <c r="Q319" i="5" s="1"/>
  <c r="M341" i="5"/>
  <c r="P341" i="5"/>
  <c r="Q341" i="5" s="1"/>
  <c r="M374" i="5"/>
  <c r="P374" i="5"/>
  <c r="Q374" i="5" s="1"/>
  <c r="L271" i="5"/>
  <c r="O271" i="5" s="1"/>
  <c r="O270" i="5" s="1"/>
  <c r="U271" i="5"/>
  <c r="V271" i="5" s="1"/>
  <c r="U284" i="5"/>
  <c r="V284" i="5" s="1"/>
  <c r="T284" i="5"/>
  <c r="L298" i="5"/>
  <c r="U298" i="5"/>
  <c r="V298" i="5" s="1"/>
  <c r="L321" i="5"/>
  <c r="U321" i="5"/>
  <c r="V321" i="5" s="1"/>
  <c r="T321" i="5"/>
  <c r="L343" i="5"/>
  <c r="U343" i="5"/>
  <c r="V343" i="5" s="1"/>
  <c r="T343" i="5"/>
  <c r="L379" i="5"/>
  <c r="U379" i="5"/>
  <c r="V379" i="5" s="1"/>
  <c r="V378" i="5" s="1"/>
  <c r="T379" i="5"/>
  <c r="T378" i="5" s="1"/>
  <c r="T313" i="5"/>
  <c r="T323" i="5"/>
  <c r="T335" i="5"/>
  <c r="T346" i="5"/>
  <c r="T368" i="5"/>
  <c r="S126" i="5"/>
  <c r="T126" i="5" s="1"/>
  <c r="M127" i="3" l="1"/>
  <c r="AQ91" i="1" s="1"/>
  <c r="O379" i="5"/>
  <c r="O378" i="5" s="1"/>
  <c r="M205" i="5"/>
  <c r="O205" i="5"/>
  <c r="P313" i="5"/>
  <c r="Q313" i="5" s="1"/>
  <c r="M368" i="5"/>
  <c r="O368" i="5"/>
  <c r="O177" i="5"/>
  <c r="M250" i="5"/>
  <c r="P368" i="5"/>
  <c r="Q368" i="5" s="1"/>
  <c r="M370" i="5"/>
  <c r="O370" i="5"/>
  <c r="M267" i="4"/>
  <c r="Q124" i="37"/>
  <c r="M124" i="37"/>
  <c r="M278" i="37"/>
  <c r="Q259" i="37"/>
  <c r="Q124" i="4"/>
  <c r="Q374" i="4"/>
  <c r="M124" i="4"/>
  <c r="Q278" i="37"/>
  <c r="T123" i="37"/>
  <c r="M259" i="37"/>
  <c r="V123" i="37"/>
  <c r="T123" i="4"/>
  <c r="M374" i="4"/>
  <c r="M243" i="4"/>
  <c r="Q286" i="4"/>
  <c r="V123" i="4"/>
  <c r="M286" i="4"/>
  <c r="P317" i="5"/>
  <c r="Q317" i="5" s="1"/>
  <c r="T289" i="5"/>
  <c r="V356" i="5"/>
  <c r="P346" i="5"/>
  <c r="Q346" i="5" s="1"/>
  <c r="T270" i="5"/>
  <c r="T345" i="5"/>
  <c r="M144" i="5"/>
  <c r="T356" i="5"/>
  <c r="T244" i="5"/>
  <c r="V270" i="5"/>
  <c r="T125" i="5"/>
  <c r="P275" i="5"/>
  <c r="Q275" i="5" s="1"/>
  <c r="V244" i="5"/>
  <c r="V289" i="5"/>
  <c r="M157" i="5"/>
  <c r="M323" i="5"/>
  <c r="M177" i="5"/>
  <c r="P302" i="5"/>
  <c r="Q302" i="5" s="1"/>
  <c r="P290" i="5"/>
  <c r="Q290" i="5" s="1"/>
  <c r="M233" i="5"/>
  <c r="P233" i="5"/>
  <c r="Q233" i="5" s="1"/>
  <c r="L126" i="5"/>
  <c r="U126" i="5"/>
  <c r="V126" i="5" s="1"/>
  <c r="V125" i="5" s="1"/>
  <c r="M335" i="5"/>
  <c r="M327" i="5"/>
  <c r="P327" i="5"/>
  <c r="Q327" i="5" s="1"/>
  <c r="M351" i="5"/>
  <c r="M345" i="5" s="1"/>
  <c r="P351" i="5"/>
  <c r="Q351" i="5" s="1"/>
  <c r="M337" i="5"/>
  <c r="P337" i="5"/>
  <c r="Q337" i="5" s="1"/>
  <c r="M263" i="5"/>
  <c r="P263" i="5"/>
  <c r="Q263" i="5" s="1"/>
  <c r="P321" i="5"/>
  <c r="Q321" i="5" s="1"/>
  <c r="M321" i="5"/>
  <c r="P343" i="5"/>
  <c r="Q343" i="5" s="1"/>
  <c r="M343" i="5"/>
  <c r="P282" i="5"/>
  <c r="Q282" i="5" s="1"/>
  <c r="M282" i="5"/>
  <c r="P224" i="5"/>
  <c r="Q224" i="5" s="1"/>
  <c r="M224" i="5"/>
  <c r="P261" i="5"/>
  <c r="Q261" i="5" s="1"/>
  <c r="M261" i="5"/>
  <c r="P333" i="5"/>
  <c r="Q333" i="5" s="1"/>
  <c r="M333" i="5"/>
  <c r="P240" i="5"/>
  <c r="Q240" i="5" s="1"/>
  <c r="Q239" i="5" s="1"/>
  <c r="M240" i="5"/>
  <c r="M239" i="5" s="1"/>
  <c r="P379" i="5"/>
  <c r="Q379" i="5" s="1"/>
  <c r="Q378" i="5" s="1"/>
  <c r="M379" i="5"/>
  <c r="M378" i="5" s="1"/>
  <c r="P298" i="5"/>
  <c r="Q298" i="5" s="1"/>
  <c r="M298" i="5"/>
  <c r="P271" i="5"/>
  <c r="Q271" i="5" s="1"/>
  <c r="M271" i="5"/>
  <c r="P228" i="5"/>
  <c r="Q228" i="5" s="1"/>
  <c r="M228" i="5"/>
  <c r="P362" i="5"/>
  <c r="Q362" i="5" s="1"/>
  <c r="M362" i="5"/>
  <c r="M182" i="5"/>
  <c r="P182" i="5"/>
  <c r="Q182" i="5" s="1"/>
  <c r="P310" i="5"/>
  <c r="Q310" i="5" s="1"/>
  <c r="M310" i="5"/>
  <c r="P259" i="5"/>
  <c r="Q259" i="5" s="1"/>
  <c r="M259" i="5"/>
  <c r="P194" i="5"/>
  <c r="Q194" i="5" s="1"/>
  <c r="M194" i="5"/>
  <c r="X135" i="47"/>
  <c r="Z135" i="47"/>
  <c r="AB135" i="47"/>
  <c r="AD135" i="47"/>
  <c r="AF135" i="47"/>
  <c r="AH135" i="47"/>
  <c r="AJ135" i="47"/>
  <c r="AL135" i="47"/>
  <c r="AN135" i="47"/>
  <c r="AP135" i="47"/>
  <c r="AR135" i="47"/>
  <c r="AT135" i="47"/>
  <c r="AV135" i="47"/>
  <c r="AX135" i="47"/>
  <c r="S212" i="47"/>
  <c r="L212" i="47" s="1"/>
  <c r="O212" i="47"/>
  <c r="O211" i="47" s="1"/>
  <c r="S209" i="47"/>
  <c r="L209" i="47" s="1"/>
  <c r="O209" i="47"/>
  <c r="O208" i="47" s="1"/>
  <c r="S206" i="47"/>
  <c r="U206" i="47" s="1"/>
  <c r="V206" i="47" s="1"/>
  <c r="V205" i="47" s="1"/>
  <c r="O206" i="47"/>
  <c r="O205" i="47" s="1"/>
  <c r="S203" i="47"/>
  <c r="U203" i="47" s="1"/>
  <c r="V203" i="47" s="1"/>
  <c r="V202" i="47" s="1"/>
  <c r="O203" i="47"/>
  <c r="O202" i="47" s="1"/>
  <c r="S200" i="47"/>
  <c r="L200" i="47" s="1"/>
  <c r="O200" i="47"/>
  <c r="S198" i="47"/>
  <c r="L198" i="47" s="1"/>
  <c r="O198" i="47"/>
  <c r="S196" i="47"/>
  <c r="T196" i="47" s="1"/>
  <c r="O196" i="47"/>
  <c r="S193" i="47"/>
  <c r="U193" i="47" s="1"/>
  <c r="V193" i="47" s="1"/>
  <c r="O193" i="47"/>
  <c r="S191" i="47"/>
  <c r="L191" i="47" s="1"/>
  <c r="O191" i="47"/>
  <c r="S189" i="47"/>
  <c r="L189" i="47" s="1"/>
  <c r="O189" i="47"/>
  <c r="S187" i="47"/>
  <c r="U187" i="47" s="1"/>
  <c r="V187" i="47" s="1"/>
  <c r="O187" i="47"/>
  <c r="S184" i="47"/>
  <c r="U184" i="47" s="1"/>
  <c r="V184" i="47" s="1"/>
  <c r="V183" i="47" s="1"/>
  <c r="O184" i="47"/>
  <c r="O183" i="47" s="1"/>
  <c r="S180" i="47"/>
  <c r="L180" i="47" s="1"/>
  <c r="O180" i="47"/>
  <c r="O179" i="47" s="1"/>
  <c r="S176" i="47"/>
  <c r="L176" i="47" s="1"/>
  <c r="O176" i="47"/>
  <c r="O175" i="47" s="1"/>
  <c r="S173" i="47"/>
  <c r="L173" i="47" s="1"/>
  <c r="O173" i="47"/>
  <c r="O172" i="47" s="1"/>
  <c r="S170" i="47"/>
  <c r="T170" i="47" s="1"/>
  <c r="O170" i="47"/>
  <c r="S168" i="47"/>
  <c r="L168" i="47" s="1"/>
  <c r="O168" i="47"/>
  <c r="S166" i="47"/>
  <c r="L166" i="47" s="1"/>
  <c r="O166" i="47"/>
  <c r="S163" i="47"/>
  <c r="T163" i="47" s="1"/>
  <c r="O163" i="47"/>
  <c r="S161" i="47"/>
  <c r="T161" i="47" s="1"/>
  <c r="O161" i="47"/>
  <c r="S159" i="47"/>
  <c r="L159" i="47" s="1"/>
  <c r="O159" i="47"/>
  <c r="S156" i="47"/>
  <c r="L156" i="47" s="1"/>
  <c r="O156" i="47"/>
  <c r="O155" i="47" s="1"/>
  <c r="S153" i="47"/>
  <c r="T153" i="47" s="1"/>
  <c r="T152" i="47" s="1"/>
  <c r="O153" i="47"/>
  <c r="O152" i="47" s="1"/>
  <c r="S150" i="47"/>
  <c r="T150" i="47" s="1"/>
  <c r="O150" i="47"/>
  <c r="S148" i="47"/>
  <c r="L148" i="47" s="1"/>
  <c r="O148" i="47"/>
  <c r="S145" i="47"/>
  <c r="L145" i="47" s="1"/>
  <c r="O145" i="47"/>
  <c r="S143" i="47"/>
  <c r="T143" i="47" s="1"/>
  <c r="O143" i="47"/>
  <c r="S140" i="47"/>
  <c r="U140" i="47" s="1"/>
  <c r="V140" i="47" s="1"/>
  <c r="V139" i="47" s="1"/>
  <c r="O140" i="47"/>
  <c r="O139" i="47" s="1"/>
  <c r="O137" i="47"/>
  <c r="O136" i="47" s="1"/>
  <c r="S137" i="47"/>
  <c r="T137" i="47" s="1"/>
  <c r="T136" i="47" s="1"/>
  <c r="O125" i="5" l="1"/>
  <c r="P205" i="5"/>
  <c r="Q205" i="5" s="1"/>
  <c r="P370" i="5"/>
  <c r="Q370" i="5" s="1"/>
  <c r="Q356" i="5" s="1"/>
  <c r="O356" i="5"/>
  <c r="P177" i="5"/>
  <c r="Q177" i="5" s="1"/>
  <c r="M356" i="5"/>
  <c r="O250" i="5"/>
  <c r="O244" i="5" s="1"/>
  <c r="P250" i="5"/>
  <c r="Q250" i="5" s="1"/>
  <c r="Q244" i="5" s="1"/>
  <c r="Q123" i="4"/>
  <c r="AS92" i="1" s="1"/>
  <c r="Q123" i="37"/>
  <c r="AS133" i="1" s="1"/>
  <c r="M123" i="37"/>
  <c r="AQ133" i="1" s="1"/>
  <c r="M244" i="5"/>
  <c r="M123" i="4"/>
  <c r="AQ92" i="1" s="1"/>
  <c r="M289" i="5"/>
  <c r="M270" i="5"/>
  <c r="Q345" i="5"/>
  <c r="T124" i="5"/>
  <c r="Q270" i="5"/>
  <c r="V124" i="5"/>
  <c r="Q289" i="5"/>
  <c r="P126" i="5"/>
  <c r="Q126" i="5" s="1"/>
  <c r="M126" i="5"/>
  <c r="M125" i="5" s="1"/>
  <c r="O186" i="47"/>
  <c r="O165" i="47"/>
  <c r="O142" i="47"/>
  <c r="O147" i="47"/>
  <c r="O158" i="47"/>
  <c r="T189" i="47"/>
  <c r="O195" i="47"/>
  <c r="L206" i="47"/>
  <c r="M206" i="47" s="1"/>
  <c r="M205" i="47" s="1"/>
  <c r="U196" i="47"/>
  <c r="V196" i="47" s="1"/>
  <c r="U150" i="47"/>
  <c r="V150" i="47" s="1"/>
  <c r="L150" i="47"/>
  <c r="P150" i="47" s="1"/>
  <c r="Q150" i="47" s="1"/>
  <c r="T206" i="47"/>
  <c r="T205" i="47" s="1"/>
  <c r="T187" i="47"/>
  <c r="T209" i="47"/>
  <c r="T208" i="47" s="1"/>
  <c r="U137" i="47"/>
  <c r="V137" i="47" s="1"/>
  <c r="V136" i="47" s="1"/>
  <c r="T156" i="47"/>
  <c r="T155" i="47" s="1"/>
  <c r="L170" i="47"/>
  <c r="P170" i="47" s="1"/>
  <c r="Q170" i="47" s="1"/>
  <c r="L187" i="47"/>
  <c r="M187" i="47" s="1"/>
  <c r="U153" i="47"/>
  <c r="V153" i="47" s="1"/>
  <c r="V152" i="47" s="1"/>
  <c r="T166" i="47"/>
  <c r="U173" i="47"/>
  <c r="V173" i="47" s="1"/>
  <c r="V172" i="47" s="1"/>
  <c r="L193" i="47"/>
  <c r="P193" i="47" s="1"/>
  <c r="Q193" i="47" s="1"/>
  <c r="L137" i="47"/>
  <c r="T140" i="47"/>
  <c r="T139" i="47" s="1"/>
  <c r="T145" i="47"/>
  <c r="T142" i="47" s="1"/>
  <c r="U161" i="47"/>
  <c r="V161" i="47" s="1"/>
  <c r="U163" i="47"/>
  <c r="V163" i="47" s="1"/>
  <c r="L184" i="47"/>
  <c r="P184" i="47" s="1"/>
  <c r="Q184" i="47" s="1"/>
  <c r="Q183" i="47" s="1"/>
  <c r="L203" i="47"/>
  <c r="P203" i="47" s="1"/>
  <c r="Q203" i="47" s="1"/>
  <c r="Q202" i="47" s="1"/>
  <c r="U209" i="47"/>
  <c r="V209" i="47" s="1"/>
  <c r="V208" i="47" s="1"/>
  <c r="L140" i="47"/>
  <c r="P140" i="47" s="1"/>
  <c r="Q140" i="47" s="1"/>
  <c r="Q139" i="47" s="1"/>
  <c r="U143" i="47"/>
  <c r="V143" i="47" s="1"/>
  <c r="L161" i="47"/>
  <c r="P161" i="47" s="1"/>
  <c r="Q161" i="47" s="1"/>
  <c r="U170" i="47"/>
  <c r="V170" i="47" s="1"/>
  <c r="T173" i="47"/>
  <c r="T172" i="47" s="1"/>
  <c r="T176" i="47"/>
  <c r="T175" i="47" s="1"/>
  <c r="L196" i="47"/>
  <c r="T198" i="47"/>
  <c r="M145" i="47"/>
  <c r="P145" i="47"/>
  <c r="Q145" i="47" s="1"/>
  <c r="M180" i="47"/>
  <c r="M179" i="47" s="1"/>
  <c r="P180" i="47"/>
  <c r="Q180" i="47" s="1"/>
  <c r="Q179" i="47" s="1"/>
  <c r="M200" i="47"/>
  <c r="P200" i="47"/>
  <c r="Q200" i="47" s="1"/>
  <c r="P159" i="47"/>
  <c r="Q159" i="47" s="1"/>
  <c r="M159" i="47"/>
  <c r="M156" i="47"/>
  <c r="M155" i="47" s="1"/>
  <c r="P156" i="47"/>
  <c r="Q156" i="47" s="1"/>
  <c r="Q155" i="47" s="1"/>
  <c r="M168" i="47"/>
  <c r="P168" i="47"/>
  <c r="Q168" i="47" s="1"/>
  <c r="M191" i="47"/>
  <c r="P191" i="47"/>
  <c r="Q191" i="47" s="1"/>
  <c r="P173" i="47"/>
  <c r="Q173" i="47" s="1"/>
  <c r="Q172" i="47" s="1"/>
  <c r="M173" i="47"/>
  <c r="M172" i="47" s="1"/>
  <c r="M176" i="47"/>
  <c r="M175" i="47" s="1"/>
  <c r="P176" i="47"/>
  <c r="Q176" i="47" s="1"/>
  <c r="Q175" i="47" s="1"/>
  <c r="M198" i="47"/>
  <c r="P198" i="47"/>
  <c r="Q198" i="47" s="1"/>
  <c r="P148" i="47"/>
  <c r="Q148" i="47" s="1"/>
  <c r="M148" i="47"/>
  <c r="M166" i="47"/>
  <c r="P166" i="47"/>
  <c r="Q166" i="47" s="1"/>
  <c r="M189" i="47"/>
  <c r="P189" i="47"/>
  <c r="Q189" i="47" s="1"/>
  <c r="M209" i="47"/>
  <c r="M208" i="47" s="1"/>
  <c r="P209" i="47"/>
  <c r="Q209" i="47" s="1"/>
  <c r="Q208" i="47" s="1"/>
  <c r="M212" i="47"/>
  <c r="M211" i="47" s="1"/>
  <c r="P212" i="47"/>
  <c r="Q212" i="47" s="1"/>
  <c r="Q211" i="47" s="1"/>
  <c r="L143" i="47"/>
  <c r="U145" i="47"/>
  <c r="V145" i="47" s="1"/>
  <c r="T148" i="47"/>
  <c r="T147" i="47" s="1"/>
  <c r="L153" i="47"/>
  <c r="U156" i="47"/>
  <c r="V156" i="47" s="1"/>
  <c r="V155" i="47" s="1"/>
  <c r="T159" i="47"/>
  <c r="T158" i="47" s="1"/>
  <c r="L163" i="47"/>
  <c r="U166" i="47"/>
  <c r="V166" i="47" s="1"/>
  <c r="T168" i="47"/>
  <c r="U176" i="47"/>
  <c r="V176" i="47" s="1"/>
  <c r="V175" i="47" s="1"/>
  <c r="T180" i="47"/>
  <c r="T179" i="47" s="1"/>
  <c r="U189" i="47"/>
  <c r="V189" i="47" s="1"/>
  <c r="T191" i="47"/>
  <c r="U198" i="47"/>
  <c r="V198" i="47" s="1"/>
  <c r="T200" i="47"/>
  <c r="T212" i="47"/>
  <c r="T211" i="47" s="1"/>
  <c r="U148" i="47"/>
  <c r="V148" i="47" s="1"/>
  <c r="U159" i="47"/>
  <c r="V159" i="47" s="1"/>
  <c r="U168" i="47"/>
  <c r="V168" i="47" s="1"/>
  <c r="U180" i="47"/>
  <c r="V180" i="47" s="1"/>
  <c r="V179" i="47" s="1"/>
  <c r="T184" i="47"/>
  <c r="T183" i="47" s="1"/>
  <c r="U191" i="47"/>
  <c r="V191" i="47" s="1"/>
  <c r="T193" i="47"/>
  <c r="U200" i="47"/>
  <c r="V200" i="47" s="1"/>
  <c r="T203" i="47"/>
  <c r="T202" i="47" s="1"/>
  <c r="U212" i="47"/>
  <c r="V212" i="47" s="1"/>
  <c r="V211" i="47" s="1"/>
  <c r="Q125" i="5" l="1"/>
  <c r="Q124" i="5" s="1"/>
  <c r="AS93" i="1" s="1"/>
  <c r="O124" i="5"/>
  <c r="AR93" i="1" s="1"/>
  <c r="M124" i="5"/>
  <c r="AQ93" i="1" s="1"/>
  <c r="T195" i="47"/>
  <c r="M150" i="47"/>
  <c r="M147" i="47" s="1"/>
  <c r="M140" i="47"/>
  <c r="M139" i="47" s="1"/>
  <c r="M170" i="47"/>
  <c r="V186" i="47"/>
  <c r="O135" i="47"/>
  <c r="AR150" i="1" s="1"/>
  <c r="P187" i="47"/>
  <c r="Q187" i="47" s="1"/>
  <c r="Q186" i="47" s="1"/>
  <c r="V158" i="47"/>
  <c r="V165" i="47"/>
  <c r="Q165" i="47"/>
  <c r="P206" i="47"/>
  <c r="Q206" i="47" s="1"/>
  <c r="Q205" i="47" s="1"/>
  <c r="V142" i="47"/>
  <c r="T165" i="47"/>
  <c r="V147" i="47"/>
  <c r="M193" i="47"/>
  <c r="M186" i="47" s="1"/>
  <c r="M165" i="47"/>
  <c r="Q147" i="47"/>
  <c r="T186" i="47"/>
  <c r="V195" i="47"/>
  <c r="M184" i="47"/>
  <c r="M183" i="47" s="1"/>
  <c r="M196" i="47"/>
  <c r="M195" i="47" s="1"/>
  <c r="P196" i="47"/>
  <c r="Q196" i="47" s="1"/>
  <c r="Q195" i="47" s="1"/>
  <c r="M203" i="47"/>
  <c r="M202" i="47" s="1"/>
  <c r="M161" i="47"/>
  <c r="P137" i="47"/>
  <c r="Q137" i="47" s="1"/>
  <c r="Q136" i="47" s="1"/>
  <c r="M137" i="47"/>
  <c r="M136" i="47" s="1"/>
  <c r="P163" i="47"/>
  <c r="Q163" i="47" s="1"/>
  <c r="Q158" i="47" s="1"/>
  <c r="M163" i="47"/>
  <c r="M153" i="47"/>
  <c r="M152" i="47" s="1"/>
  <c r="P153" i="47"/>
  <c r="Q153" i="47" s="1"/>
  <c r="Q152" i="47" s="1"/>
  <c r="P143" i="47"/>
  <c r="Q143" i="47" s="1"/>
  <c r="Q142" i="47" s="1"/>
  <c r="M143" i="47"/>
  <c r="M142" i="47" s="1"/>
  <c r="T135" i="47" l="1"/>
  <c r="V135" i="47"/>
  <c r="M158" i="47"/>
  <c r="M135" i="47" s="1"/>
  <c r="AQ150" i="1" s="1"/>
  <c r="Q135" i="47"/>
  <c r="AS150" i="1" s="1"/>
  <c r="AR147" i="1"/>
  <c r="AS147" i="1"/>
  <c r="AR139" i="1"/>
  <c r="AS139" i="1"/>
  <c r="AR137" i="1"/>
  <c r="AS137" i="1"/>
  <c r="AR134" i="1"/>
  <c r="AS134" i="1"/>
  <c r="AR125" i="1"/>
  <c r="AS125" i="1"/>
  <c r="AR121" i="1"/>
  <c r="AS121" i="1"/>
  <c r="AR117" i="1"/>
  <c r="AS117" i="1"/>
  <c r="AR113" i="1"/>
  <c r="AS113" i="1"/>
  <c r="AR109" i="1"/>
  <c r="AS109" i="1"/>
  <c r="AR97" i="1"/>
  <c r="AS97" i="1"/>
  <c r="AQ147" i="1"/>
  <c r="AQ139" i="1"/>
  <c r="AQ137" i="1"/>
  <c r="AQ134" i="1"/>
  <c r="AQ125" i="1"/>
  <c r="AQ121" i="1"/>
  <c r="AQ117" i="1"/>
  <c r="AQ113" i="1"/>
  <c r="AQ109" i="1"/>
  <c r="AQ97" i="1"/>
  <c r="O240" i="6" l="1"/>
  <c r="S422" i="6"/>
  <c r="O422" i="6"/>
  <c r="O421" i="6" s="1"/>
  <c r="S418" i="6"/>
  <c r="L418" i="6" s="1"/>
  <c r="M418" i="6" s="1"/>
  <c r="O418" i="6"/>
  <c r="S415" i="6"/>
  <c r="U415" i="6" s="1"/>
  <c r="V415" i="6" s="1"/>
  <c r="O415" i="6"/>
  <c r="S413" i="6"/>
  <c r="L413" i="6" s="1"/>
  <c r="P413" i="6" s="1"/>
  <c r="Q413" i="6" s="1"/>
  <c r="O413" i="6"/>
  <c r="S407" i="6"/>
  <c r="T407" i="6" s="1"/>
  <c r="O407" i="6"/>
  <c r="S402" i="6"/>
  <c r="L402" i="6" s="1"/>
  <c r="M402" i="6" s="1"/>
  <c r="O402" i="6"/>
  <c r="S396" i="6"/>
  <c r="T396" i="6" s="1"/>
  <c r="O396" i="6"/>
  <c r="S391" i="6"/>
  <c r="L391" i="6" s="1"/>
  <c r="O391" i="6"/>
  <c r="S387" i="6"/>
  <c r="O387" i="6"/>
  <c r="S384" i="6"/>
  <c r="L384" i="6" s="1"/>
  <c r="O384" i="6"/>
  <c r="S382" i="6"/>
  <c r="T382" i="6" s="1"/>
  <c r="O382" i="6"/>
  <c r="S378" i="6"/>
  <c r="L378" i="6" s="1"/>
  <c r="P378" i="6" s="1"/>
  <c r="Q378" i="6" s="1"/>
  <c r="O378" i="6"/>
  <c r="S374" i="6"/>
  <c r="T374" i="6" s="1"/>
  <c r="O374" i="6"/>
  <c r="S370" i="6"/>
  <c r="L370" i="6" s="1"/>
  <c r="M370" i="6" s="1"/>
  <c r="O370" i="6"/>
  <c r="S368" i="6"/>
  <c r="U368" i="6" s="1"/>
  <c r="V368" i="6" s="1"/>
  <c r="O368" i="6"/>
  <c r="S366" i="6"/>
  <c r="L366" i="6" s="1"/>
  <c r="P366" i="6" s="1"/>
  <c r="Q366" i="6" s="1"/>
  <c r="O366" i="6"/>
  <c r="S364" i="6"/>
  <c r="O364" i="6"/>
  <c r="S360" i="6"/>
  <c r="L360" i="6" s="1"/>
  <c r="M360" i="6" s="1"/>
  <c r="O360" i="6"/>
  <c r="S358" i="6"/>
  <c r="T358" i="6" s="1"/>
  <c r="O358" i="6"/>
  <c r="S356" i="6"/>
  <c r="L356" i="6" s="1"/>
  <c r="O356" i="6"/>
  <c r="S354" i="6"/>
  <c r="T354" i="6" s="1"/>
  <c r="O354" i="6"/>
  <c r="S350" i="6"/>
  <c r="L350" i="6" s="1"/>
  <c r="M350" i="6" s="1"/>
  <c r="O350" i="6"/>
  <c r="S348" i="6"/>
  <c r="T348" i="6" s="1"/>
  <c r="O348" i="6"/>
  <c r="S344" i="6"/>
  <c r="L344" i="6" s="1"/>
  <c r="O344" i="6"/>
  <c r="S342" i="6"/>
  <c r="O342" i="6"/>
  <c r="S340" i="6"/>
  <c r="L340" i="6" s="1"/>
  <c r="M340" i="6" s="1"/>
  <c r="O340" i="6"/>
  <c r="S338" i="6"/>
  <c r="T338" i="6" s="1"/>
  <c r="O338" i="6"/>
  <c r="S334" i="6"/>
  <c r="O334" i="6"/>
  <c r="S331" i="6"/>
  <c r="T331" i="6" s="1"/>
  <c r="O331" i="6"/>
  <c r="S326" i="6"/>
  <c r="L326" i="6" s="1"/>
  <c r="M326" i="6" s="1"/>
  <c r="O326" i="6"/>
  <c r="S323" i="6"/>
  <c r="T323" i="6" s="1"/>
  <c r="O323" i="6"/>
  <c r="S321" i="6"/>
  <c r="L321" i="6" s="1"/>
  <c r="P321" i="6" s="1"/>
  <c r="Q321" i="6" s="1"/>
  <c r="O321" i="6"/>
  <c r="S319" i="6"/>
  <c r="O319" i="6"/>
  <c r="S315" i="6"/>
  <c r="L315" i="6" s="1"/>
  <c r="M315" i="6" s="1"/>
  <c r="O315" i="6"/>
  <c r="S311" i="6"/>
  <c r="T311" i="6" s="1"/>
  <c r="O311" i="6"/>
  <c r="S305" i="6"/>
  <c r="O305" i="6"/>
  <c r="S303" i="6"/>
  <c r="T303" i="6" s="1"/>
  <c r="O303" i="6"/>
  <c r="S298" i="6"/>
  <c r="L298" i="6" s="1"/>
  <c r="M298" i="6" s="1"/>
  <c r="O298" i="6"/>
  <c r="S296" i="6"/>
  <c r="T296" i="6" s="1"/>
  <c r="O296" i="6"/>
  <c r="S294" i="6"/>
  <c r="L294" i="6" s="1"/>
  <c r="O294" i="6"/>
  <c r="S292" i="6"/>
  <c r="T292" i="6" s="1"/>
  <c r="O292" i="6"/>
  <c r="S283" i="6"/>
  <c r="L283" i="6" s="1"/>
  <c r="M283" i="6" s="1"/>
  <c r="O283" i="6"/>
  <c r="S281" i="6"/>
  <c r="T281" i="6" s="1"/>
  <c r="O281" i="6"/>
  <c r="S277" i="6"/>
  <c r="L277" i="6" s="1"/>
  <c r="P277" i="6" s="1"/>
  <c r="Q277" i="6" s="1"/>
  <c r="O277" i="6"/>
  <c r="S275" i="6"/>
  <c r="T275" i="6" s="1"/>
  <c r="O275" i="6"/>
  <c r="S273" i="6"/>
  <c r="L273" i="6" s="1"/>
  <c r="M273" i="6" s="1"/>
  <c r="O273" i="6"/>
  <c r="S271" i="6"/>
  <c r="T271" i="6" s="1"/>
  <c r="O271" i="6"/>
  <c r="S269" i="6"/>
  <c r="L269" i="6" s="1"/>
  <c r="P269" i="6" s="1"/>
  <c r="Q269" i="6" s="1"/>
  <c r="O269" i="6"/>
  <c r="S265" i="6"/>
  <c r="O265" i="6"/>
  <c r="S257" i="6"/>
  <c r="L257" i="6" s="1"/>
  <c r="P257" i="6" s="1"/>
  <c r="Q257" i="6" s="1"/>
  <c r="O257" i="6"/>
  <c r="S252" i="6"/>
  <c r="O252" i="6"/>
  <c r="S247" i="6"/>
  <c r="L247" i="6" s="1"/>
  <c r="M247" i="6" s="1"/>
  <c r="M246" i="6" s="1"/>
  <c r="O247" i="6"/>
  <c r="O246" i="6" s="1"/>
  <c r="S243" i="6"/>
  <c r="U243" i="6" s="1"/>
  <c r="V243" i="6" s="1"/>
  <c r="O243" i="6"/>
  <c r="S240" i="6"/>
  <c r="S235" i="6"/>
  <c r="T235" i="6" s="1"/>
  <c r="O235" i="6"/>
  <c r="S231" i="6"/>
  <c r="L231" i="6" s="1"/>
  <c r="M231" i="6" s="1"/>
  <c r="O231" i="6"/>
  <c r="S215" i="6"/>
  <c r="U215" i="6" s="1"/>
  <c r="V215" i="6" s="1"/>
  <c r="O215" i="6"/>
  <c r="S211" i="6"/>
  <c r="L211" i="6" s="1"/>
  <c r="O211" i="6"/>
  <c r="S203" i="6"/>
  <c r="O203" i="6"/>
  <c r="S199" i="6"/>
  <c r="L199" i="6" s="1"/>
  <c r="M199" i="6" s="1"/>
  <c r="O199" i="6"/>
  <c r="S194" i="6"/>
  <c r="U194" i="6" s="1"/>
  <c r="V194" i="6" s="1"/>
  <c r="O194" i="6"/>
  <c r="S192" i="6"/>
  <c r="L192" i="6" s="1"/>
  <c r="O192" i="6"/>
  <c r="S187" i="6"/>
  <c r="T187" i="6" s="1"/>
  <c r="O187" i="6"/>
  <c r="S182" i="6"/>
  <c r="L182" i="6" s="1"/>
  <c r="M182" i="6" s="1"/>
  <c r="O182" i="6"/>
  <c r="S179" i="6"/>
  <c r="T179" i="6" s="1"/>
  <c r="O179" i="6"/>
  <c r="S169" i="6"/>
  <c r="T169" i="6" s="1"/>
  <c r="O169" i="6"/>
  <c r="S165" i="6"/>
  <c r="U165" i="6" s="1"/>
  <c r="V165" i="6" s="1"/>
  <c r="O165" i="6"/>
  <c r="S161" i="6"/>
  <c r="L161" i="6" s="1"/>
  <c r="P161" i="6" s="1"/>
  <c r="Q161" i="6" s="1"/>
  <c r="O161" i="6"/>
  <c r="S159" i="6"/>
  <c r="U159" i="6" s="1"/>
  <c r="V159" i="6" s="1"/>
  <c r="O159" i="6"/>
  <c r="S156" i="6"/>
  <c r="T156" i="6" s="1"/>
  <c r="O156" i="6"/>
  <c r="S152" i="6"/>
  <c r="U152" i="6" s="1"/>
  <c r="V152" i="6" s="1"/>
  <c r="O152" i="6"/>
  <c r="S148" i="6"/>
  <c r="L148" i="6" s="1"/>
  <c r="P148" i="6" s="1"/>
  <c r="Q148" i="6" s="1"/>
  <c r="O148" i="6"/>
  <c r="S142" i="6"/>
  <c r="U142" i="6" s="1"/>
  <c r="V142" i="6" s="1"/>
  <c r="O142" i="6"/>
  <c r="S133" i="6"/>
  <c r="T133" i="6" s="1"/>
  <c r="O133" i="6"/>
  <c r="S131" i="6"/>
  <c r="U131" i="6" s="1"/>
  <c r="V131" i="6" s="1"/>
  <c r="O131" i="6"/>
  <c r="O129" i="6"/>
  <c r="S129" i="6"/>
  <c r="L129" i="6" s="1"/>
  <c r="L311" i="6" l="1"/>
  <c r="M311" i="6" s="1"/>
  <c r="U283" i="6"/>
  <c r="V283" i="6" s="1"/>
  <c r="U311" i="6"/>
  <c r="V311" i="6" s="1"/>
  <c r="L243" i="6"/>
  <c r="M243" i="6" s="1"/>
  <c r="L271" i="6"/>
  <c r="P271" i="6" s="1"/>
  <c r="Q271" i="6" s="1"/>
  <c r="L358" i="6"/>
  <c r="M358" i="6" s="1"/>
  <c r="P402" i="6"/>
  <c r="Q402" i="6" s="1"/>
  <c r="U326" i="6"/>
  <c r="V326" i="6" s="1"/>
  <c r="L323" i="6"/>
  <c r="P323" i="6" s="1"/>
  <c r="Q323" i="6" s="1"/>
  <c r="P326" i="6"/>
  <c r="Q326" i="6" s="1"/>
  <c r="O386" i="6"/>
  <c r="O401" i="6"/>
  <c r="O310" i="6"/>
  <c r="O291" i="6"/>
  <c r="O251" i="6"/>
  <c r="O128" i="6"/>
  <c r="T215" i="6"/>
  <c r="U273" i="6"/>
  <c r="V273" i="6" s="1"/>
  <c r="P370" i="6"/>
  <c r="Q370" i="6" s="1"/>
  <c r="U182" i="6"/>
  <c r="V182" i="6" s="1"/>
  <c r="T194" i="6"/>
  <c r="L215" i="6"/>
  <c r="M215" i="6" s="1"/>
  <c r="T315" i="6"/>
  <c r="M148" i="6"/>
  <c r="L194" i="6"/>
  <c r="M194" i="6" s="1"/>
  <c r="P273" i="6"/>
  <c r="Q273" i="6" s="1"/>
  <c r="U315" i="6"/>
  <c r="V315" i="6" s="1"/>
  <c r="U358" i="6"/>
  <c r="V358" i="6" s="1"/>
  <c r="U370" i="6"/>
  <c r="V370" i="6" s="1"/>
  <c r="P391" i="6"/>
  <c r="Q391" i="6" s="1"/>
  <c r="M391" i="6"/>
  <c r="P211" i="6"/>
  <c r="Q211" i="6" s="1"/>
  <c r="M211" i="6"/>
  <c r="P294" i="6"/>
  <c r="Q294" i="6" s="1"/>
  <c r="M294" i="6"/>
  <c r="P344" i="6"/>
  <c r="Q344" i="6" s="1"/>
  <c r="M344" i="6"/>
  <c r="L152" i="6"/>
  <c r="U179" i="6"/>
  <c r="V179" i="6" s="1"/>
  <c r="T199" i="6"/>
  <c r="M269" i="6"/>
  <c r="T415" i="6"/>
  <c r="U156" i="6"/>
  <c r="V156" i="6" s="1"/>
  <c r="T165" i="6"/>
  <c r="U169" i="6"/>
  <c r="V169" i="6" s="1"/>
  <c r="U199" i="6"/>
  <c r="V199" i="6" s="1"/>
  <c r="U296" i="6"/>
  <c r="V296" i="6" s="1"/>
  <c r="U298" i="6"/>
  <c r="V298" i="6" s="1"/>
  <c r="P311" i="6"/>
  <c r="Q311" i="6" s="1"/>
  <c r="U382" i="6"/>
  <c r="V382" i="6" s="1"/>
  <c r="U384" i="6"/>
  <c r="V384" i="6" s="1"/>
  <c r="T402" i="6"/>
  <c r="L415" i="6"/>
  <c r="M415" i="6" s="1"/>
  <c r="T152" i="6"/>
  <c r="T298" i="6"/>
  <c r="M321" i="6"/>
  <c r="T384" i="6"/>
  <c r="T418" i="6"/>
  <c r="L133" i="6"/>
  <c r="P133" i="6" s="1"/>
  <c r="Q133" i="6" s="1"/>
  <c r="U148" i="6"/>
  <c r="V148" i="6" s="1"/>
  <c r="L156" i="6"/>
  <c r="M156" i="6" s="1"/>
  <c r="L165" i="6"/>
  <c r="P165" i="6" s="1"/>
  <c r="Q165" i="6" s="1"/>
  <c r="T243" i="6"/>
  <c r="U271" i="6"/>
  <c r="V271" i="6" s="1"/>
  <c r="T273" i="6"/>
  <c r="L281" i="6"/>
  <c r="U281" i="6"/>
  <c r="V281" i="6" s="1"/>
  <c r="T283" i="6"/>
  <c r="L296" i="6"/>
  <c r="P296" i="6" s="1"/>
  <c r="Q296" i="6" s="1"/>
  <c r="U323" i="6"/>
  <c r="V323" i="6" s="1"/>
  <c r="T326" i="6"/>
  <c r="T360" i="6"/>
  <c r="T368" i="6"/>
  <c r="T370" i="6"/>
  <c r="L382" i="6"/>
  <c r="M382" i="6" s="1"/>
  <c r="U402" i="6"/>
  <c r="V402" i="6" s="1"/>
  <c r="P192" i="6"/>
  <c r="Q192" i="6" s="1"/>
  <c r="M192" i="6"/>
  <c r="P129" i="6"/>
  <c r="Q129" i="6" s="1"/>
  <c r="M129" i="6"/>
  <c r="T129" i="6"/>
  <c r="T142" i="6"/>
  <c r="T159" i="6"/>
  <c r="T231" i="6"/>
  <c r="T247" i="6"/>
  <c r="T246" i="6" s="1"/>
  <c r="P298" i="6"/>
  <c r="Q298" i="6" s="1"/>
  <c r="L338" i="6"/>
  <c r="U338" i="6"/>
  <c r="V338" i="6" s="1"/>
  <c r="T340" i="6"/>
  <c r="U348" i="6"/>
  <c r="V348" i="6" s="1"/>
  <c r="T350" i="6"/>
  <c r="U360" i="6"/>
  <c r="V360" i="6" s="1"/>
  <c r="M366" i="6"/>
  <c r="L368" i="6"/>
  <c r="M368" i="6" s="1"/>
  <c r="P382" i="6"/>
  <c r="Q382" i="6" s="1"/>
  <c r="U396" i="6"/>
  <c r="V396" i="6" s="1"/>
  <c r="U418" i="6"/>
  <c r="V418" i="6" s="1"/>
  <c r="U129" i="6"/>
  <c r="V129" i="6" s="1"/>
  <c r="L142" i="6"/>
  <c r="M142" i="6" s="1"/>
  <c r="P156" i="6"/>
  <c r="Q156" i="6" s="1"/>
  <c r="L159" i="6"/>
  <c r="M159" i="6" s="1"/>
  <c r="U231" i="6"/>
  <c r="V231" i="6" s="1"/>
  <c r="P243" i="6"/>
  <c r="Q243" i="6" s="1"/>
  <c r="U247" i="6"/>
  <c r="V247" i="6" s="1"/>
  <c r="V246" i="6" s="1"/>
  <c r="U340" i="6"/>
  <c r="V340" i="6" s="1"/>
  <c r="L348" i="6"/>
  <c r="M348" i="6" s="1"/>
  <c r="U350" i="6"/>
  <c r="V350" i="6" s="1"/>
  <c r="L396" i="6"/>
  <c r="M396" i="6" s="1"/>
  <c r="P418" i="6"/>
  <c r="Q418" i="6" s="1"/>
  <c r="T148" i="6"/>
  <c r="L179" i="6"/>
  <c r="T182" i="6"/>
  <c r="P231" i="6"/>
  <c r="Q231" i="6" s="1"/>
  <c r="P247" i="6"/>
  <c r="Q247" i="6" s="1"/>
  <c r="Q246" i="6" s="1"/>
  <c r="P350" i="6"/>
  <c r="Q350" i="6" s="1"/>
  <c r="P356" i="6"/>
  <c r="Q356" i="6" s="1"/>
  <c r="M356" i="6"/>
  <c r="L203" i="6"/>
  <c r="U203" i="6"/>
  <c r="V203" i="6" s="1"/>
  <c r="L265" i="6"/>
  <c r="U265" i="6"/>
  <c r="V265" i="6" s="1"/>
  <c r="M296" i="6"/>
  <c r="L364" i="6"/>
  <c r="U364" i="6"/>
  <c r="V364" i="6" s="1"/>
  <c r="T364" i="6"/>
  <c r="T161" i="6"/>
  <c r="U240" i="6"/>
  <c r="V240" i="6" s="1"/>
  <c r="T240" i="6"/>
  <c r="T265" i="6"/>
  <c r="M323" i="6"/>
  <c r="U334" i="6"/>
  <c r="V334" i="6" s="1"/>
  <c r="T334" i="6"/>
  <c r="T131" i="6"/>
  <c r="U133" i="6"/>
  <c r="V133" i="6" s="1"/>
  <c r="U161" i="6"/>
  <c r="V161" i="6" s="1"/>
  <c r="L169" i="6"/>
  <c r="P199" i="6"/>
  <c r="Q199" i="6" s="1"/>
  <c r="U211" i="6"/>
  <c r="V211" i="6" s="1"/>
  <c r="T211" i="6"/>
  <c r="L252" i="6"/>
  <c r="U252" i="6"/>
  <c r="L319" i="6"/>
  <c r="U319" i="6"/>
  <c r="V319" i="6" s="1"/>
  <c r="L334" i="6"/>
  <c r="M384" i="6"/>
  <c r="P384" i="6"/>
  <c r="Q384" i="6" s="1"/>
  <c r="U257" i="6"/>
  <c r="V257" i="6" s="1"/>
  <c r="T257" i="6"/>
  <c r="U305" i="6"/>
  <c r="V305" i="6" s="1"/>
  <c r="T305" i="6"/>
  <c r="U356" i="6"/>
  <c r="V356" i="6" s="1"/>
  <c r="T356" i="6"/>
  <c r="L131" i="6"/>
  <c r="M161" i="6"/>
  <c r="L187" i="6"/>
  <c r="U187" i="6"/>
  <c r="V187" i="6" s="1"/>
  <c r="T203" i="6"/>
  <c r="L240" i="6"/>
  <c r="M257" i="6"/>
  <c r="M277" i="6"/>
  <c r="L292" i="6"/>
  <c r="U292" i="6"/>
  <c r="V292" i="6" s="1"/>
  <c r="L305" i="6"/>
  <c r="P182" i="6"/>
  <c r="Q182" i="6" s="1"/>
  <c r="U192" i="6"/>
  <c r="V192" i="6" s="1"/>
  <c r="T192" i="6"/>
  <c r="P194" i="6"/>
  <c r="Q194" i="6" s="1"/>
  <c r="L235" i="6"/>
  <c r="U235" i="6"/>
  <c r="V235" i="6" s="1"/>
  <c r="T252" i="6"/>
  <c r="M271" i="6"/>
  <c r="U277" i="6"/>
  <c r="V277" i="6" s="1"/>
  <c r="T277" i="6"/>
  <c r="T319" i="6"/>
  <c r="L342" i="6"/>
  <c r="U342" i="6"/>
  <c r="V342" i="6" s="1"/>
  <c r="T342" i="6"/>
  <c r="U378" i="6"/>
  <c r="V378" i="6" s="1"/>
  <c r="T378" i="6"/>
  <c r="L387" i="6"/>
  <c r="U387" i="6"/>
  <c r="V387" i="6" s="1"/>
  <c r="U413" i="6"/>
  <c r="V413" i="6" s="1"/>
  <c r="T413" i="6"/>
  <c r="U269" i="6"/>
  <c r="V269" i="6" s="1"/>
  <c r="T269" i="6"/>
  <c r="L275" i="6"/>
  <c r="U275" i="6"/>
  <c r="V275" i="6" s="1"/>
  <c r="P283" i="6"/>
  <c r="Q283" i="6" s="1"/>
  <c r="U294" i="6"/>
  <c r="V294" i="6" s="1"/>
  <c r="T294" i="6"/>
  <c r="L303" i="6"/>
  <c r="U303" i="6"/>
  <c r="V303" i="6" s="1"/>
  <c r="P315" i="6"/>
  <c r="Q315" i="6" s="1"/>
  <c r="U321" i="6"/>
  <c r="V321" i="6" s="1"/>
  <c r="T321" i="6"/>
  <c r="L331" i="6"/>
  <c r="U331" i="6"/>
  <c r="V331" i="6" s="1"/>
  <c r="P340" i="6"/>
  <c r="Q340" i="6" s="1"/>
  <c r="U344" i="6"/>
  <c r="V344" i="6" s="1"/>
  <c r="T344" i="6"/>
  <c r="L354" i="6"/>
  <c r="U354" i="6"/>
  <c r="V354" i="6" s="1"/>
  <c r="P360" i="6"/>
  <c r="Q360" i="6" s="1"/>
  <c r="U366" i="6"/>
  <c r="V366" i="6" s="1"/>
  <c r="T366" i="6"/>
  <c r="M378" i="6"/>
  <c r="T387" i="6"/>
  <c r="M413" i="6"/>
  <c r="L422" i="6"/>
  <c r="U422" i="6"/>
  <c r="V422" i="6" s="1"/>
  <c r="V421" i="6" s="1"/>
  <c r="L374" i="6"/>
  <c r="U374" i="6"/>
  <c r="V374" i="6" s="1"/>
  <c r="U391" i="6"/>
  <c r="V391" i="6" s="1"/>
  <c r="T391" i="6"/>
  <c r="L407" i="6"/>
  <c r="U407" i="6"/>
  <c r="V407" i="6" s="1"/>
  <c r="T422" i="6"/>
  <c r="T421" i="6" s="1"/>
  <c r="X127" i="36"/>
  <c r="Z127" i="36"/>
  <c r="AB127" i="36"/>
  <c r="AD127" i="36"/>
  <c r="AF127" i="36"/>
  <c r="AH127" i="36"/>
  <c r="AJ127" i="36"/>
  <c r="AL127" i="36"/>
  <c r="AN127" i="36"/>
  <c r="AP127" i="36"/>
  <c r="AR127" i="36"/>
  <c r="AT127" i="36"/>
  <c r="AV127" i="36"/>
  <c r="AX127" i="36"/>
  <c r="S576" i="36"/>
  <c r="S602" i="36"/>
  <c r="S598" i="36"/>
  <c r="L598" i="36" s="1"/>
  <c r="O598" i="36" s="1"/>
  <c r="S595" i="36"/>
  <c r="U595" i="36" s="1"/>
  <c r="V595" i="36" s="1"/>
  <c r="S593" i="36"/>
  <c r="U593" i="36" s="1"/>
  <c r="V593" i="36" s="1"/>
  <c r="S587" i="36"/>
  <c r="S582" i="36"/>
  <c r="L582" i="36" s="1"/>
  <c r="O582" i="36" s="1"/>
  <c r="T576" i="36"/>
  <c r="T575" i="36" s="1"/>
  <c r="O576" i="36"/>
  <c r="O575" i="36" s="1"/>
  <c r="S571" i="36"/>
  <c r="U571" i="36" s="1"/>
  <c r="V571" i="36" s="1"/>
  <c r="S567" i="36"/>
  <c r="S565" i="36"/>
  <c r="L565" i="36" s="1"/>
  <c r="O565" i="36"/>
  <c r="S563" i="36"/>
  <c r="U563" i="36" s="1"/>
  <c r="V563" i="36" s="1"/>
  <c r="O563" i="36"/>
  <c r="S559" i="36"/>
  <c r="U559" i="36" s="1"/>
  <c r="V559" i="36" s="1"/>
  <c r="O559" i="36"/>
  <c r="S557" i="36"/>
  <c r="O557" i="36"/>
  <c r="S553" i="36"/>
  <c r="L553" i="36" s="1"/>
  <c r="O553" i="36"/>
  <c r="S549" i="36"/>
  <c r="U549" i="36" s="1"/>
  <c r="V549" i="36" s="1"/>
  <c r="O549" i="36"/>
  <c r="S545" i="36"/>
  <c r="U545" i="36" s="1"/>
  <c r="V545" i="36" s="1"/>
  <c r="O545" i="36"/>
  <c r="S543" i="36"/>
  <c r="O543" i="36"/>
  <c r="S541" i="36"/>
  <c r="L541" i="36" s="1"/>
  <c r="O541" i="36"/>
  <c r="S537" i="36"/>
  <c r="L537" i="36" s="1"/>
  <c r="M537" i="36" s="1"/>
  <c r="O537" i="36"/>
  <c r="S535" i="36"/>
  <c r="T535" i="36" s="1"/>
  <c r="O535" i="36"/>
  <c r="S533" i="36"/>
  <c r="O533" i="36"/>
  <c r="S529" i="36"/>
  <c r="L529" i="36" s="1"/>
  <c r="O529" i="36"/>
  <c r="S527" i="36"/>
  <c r="L527" i="36" s="1"/>
  <c r="M527" i="36" s="1"/>
  <c r="O527" i="36"/>
  <c r="S523" i="36"/>
  <c r="T523" i="36" s="1"/>
  <c r="O523" i="36"/>
  <c r="S520" i="36"/>
  <c r="O520" i="36"/>
  <c r="S515" i="36"/>
  <c r="L515" i="36" s="1"/>
  <c r="O515" i="36"/>
  <c r="S512" i="36"/>
  <c r="L512" i="36" s="1"/>
  <c r="O512" i="36"/>
  <c r="S509" i="36"/>
  <c r="T509" i="36" s="1"/>
  <c r="O509" i="36"/>
  <c r="S507" i="36"/>
  <c r="O507" i="36"/>
  <c r="S503" i="36"/>
  <c r="L503" i="36" s="1"/>
  <c r="O503" i="36"/>
  <c r="S501" i="36"/>
  <c r="L501" i="36" s="1"/>
  <c r="M501" i="36" s="1"/>
  <c r="O501" i="36"/>
  <c r="S497" i="36"/>
  <c r="T497" i="36" s="1"/>
  <c r="O497" i="36"/>
  <c r="S495" i="36"/>
  <c r="O495" i="36"/>
  <c r="S493" i="36"/>
  <c r="L493" i="36" s="1"/>
  <c r="O493" i="36"/>
  <c r="S491" i="36"/>
  <c r="L491" i="36" s="1"/>
  <c r="M491" i="36" s="1"/>
  <c r="O491" i="36"/>
  <c r="S489" i="36"/>
  <c r="T489" i="36" s="1"/>
  <c r="O489" i="36"/>
  <c r="S487" i="36"/>
  <c r="O487" i="36"/>
  <c r="S485" i="36"/>
  <c r="L485" i="36" s="1"/>
  <c r="O485" i="36"/>
  <c r="S483" i="36"/>
  <c r="L483" i="36" s="1"/>
  <c r="M483" i="36" s="1"/>
  <c r="O483" i="36"/>
  <c r="S479" i="36"/>
  <c r="T479" i="36" s="1"/>
  <c r="O479" i="36"/>
  <c r="S475" i="36"/>
  <c r="O475" i="36"/>
  <c r="S471" i="36"/>
  <c r="L471" i="36" s="1"/>
  <c r="O471" i="36" s="1"/>
  <c r="S465" i="36"/>
  <c r="U465" i="36" s="1"/>
  <c r="V465" i="36" s="1"/>
  <c r="S463" i="36"/>
  <c r="T463" i="36" s="1"/>
  <c r="O463" i="36"/>
  <c r="S459" i="36"/>
  <c r="O459" i="36"/>
  <c r="S457" i="36"/>
  <c r="L457" i="36" s="1"/>
  <c r="P457" i="36" s="1"/>
  <c r="Q457" i="36" s="1"/>
  <c r="O457" i="36"/>
  <c r="S455" i="36"/>
  <c r="L455" i="36" s="1"/>
  <c r="M455" i="36" s="1"/>
  <c r="O455" i="36"/>
  <c r="S451" i="36"/>
  <c r="T451" i="36" s="1"/>
  <c r="O451" i="36"/>
  <c r="S448" i="36"/>
  <c r="L448" i="36" s="1"/>
  <c r="M448" i="36" s="1"/>
  <c r="O448" i="36"/>
  <c r="S444" i="36"/>
  <c r="L444" i="36" s="1"/>
  <c r="P444" i="36" s="1"/>
  <c r="Q444" i="36" s="1"/>
  <c r="O444" i="36"/>
  <c r="S438" i="36"/>
  <c r="O438" i="36"/>
  <c r="S436" i="36"/>
  <c r="T436" i="36" s="1"/>
  <c r="O436" i="36"/>
  <c r="S431" i="36"/>
  <c r="T431" i="36" s="1"/>
  <c r="O431" i="36"/>
  <c r="S429" i="36"/>
  <c r="L429" i="36" s="1"/>
  <c r="P429" i="36" s="1"/>
  <c r="Q429" i="36" s="1"/>
  <c r="O429" i="36"/>
  <c r="S427" i="36"/>
  <c r="T427" i="36" s="1"/>
  <c r="S425" i="36"/>
  <c r="U425" i="36" s="1"/>
  <c r="V425" i="36" s="1"/>
  <c r="S420" i="36"/>
  <c r="T420" i="36" s="1"/>
  <c r="O420" i="36"/>
  <c r="S415" i="36"/>
  <c r="O415" i="36"/>
  <c r="S413" i="36"/>
  <c r="O413" i="36"/>
  <c r="S409" i="36"/>
  <c r="U409" i="36" s="1"/>
  <c r="V409" i="36" s="1"/>
  <c r="O409" i="36"/>
  <c r="S404" i="36"/>
  <c r="T404" i="36" s="1"/>
  <c r="S397" i="36"/>
  <c r="L397" i="36" s="1"/>
  <c r="O397" i="36" s="1"/>
  <c r="S394" i="36"/>
  <c r="T394" i="36" s="1"/>
  <c r="O394" i="36"/>
  <c r="S392" i="36"/>
  <c r="U392" i="36" s="1"/>
  <c r="V392" i="36" s="1"/>
  <c r="O392" i="36"/>
  <c r="S387" i="36"/>
  <c r="T387" i="36" s="1"/>
  <c r="O387" i="36"/>
  <c r="S385" i="36"/>
  <c r="L385" i="36" s="1"/>
  <c r="P385" i="36" s="1"/>
  <c r="Q385" i="36" s="1"/>
  <c r="O385" i="36"/>
  <c r="S380" i="36"/>
  <c r="O380" i="36"/>
  <c r="S378" i="36"/>
  <c r="U378" i="36" s="1"/>
  <c r="V378" i="36" s="1"/>
  <c r="O378" i="36"/>
  <c r="S373" i="36"/>
  <c r="T373" i="36" s="1"/>
  <c r="O373" i="36"/>
  <c r="S371" i="36"/>
  <c r="L371" i="36" s="1"/>
  <c r="P371" i="36" s="1"/>
  <c r="Q371" i="36" s="1"/>
  <c r="O371" i="36"/>
  <c r="S366" i="36"/>
  <c r="T366" i="36" s="1"/>
  <c r="O366" i="36"/>
  <c r="S361" i="36"/>
  <c r="U361" i="36" s="1"/>
  <c r="V361" i="36" s="1"/>
  <c r="O361" i="36"/>
  <c r="S356" i="36"/>
  <c r="T356" i="36" s="1"/>
  <c r="O356" i="36"/>
  <c r="S351" i="36"/>
  <c r="S348" i="36"/>
  <c r="O348" i="36"/>
  <c r="S344" i="36"/>
  <c r="U344" i="36" s="1"/>
  <c r="V344" i="36" s="1"/>
  <c r="S336" i="36"/>
  <c r="T336" i="36" s="1"/>
  <c r="S334" i="36"/>
  <c r="S331" i="36"/>
  <c r="T331" i="36" s="1"/>
  <c r="S324" i="36"/>
  <c r="U324" i="36" s="1"/>
  <c r="V324" i="36" s="1"/>
  <c r="S310" i="36"/>
  <c r="T310" i="36" s="1"/>
  <c r="S293" i="36"/>
  <c r="L293" i="36" s="1"/>
  <c r="S284" i="36"/>
  <c r="S276" i="36"/>
  <c r="U276" i="36" s="1"/>
  <c r="V276" i="36" s="1"/>
  <c r="S264" i="36"/>
  <c r="T264" i="36" s="1"/>
  <c r="S261" i="36"/>
  <c r="U261" i="36" s="1"/>
  <c r="V261" i="36" s="1"/>
  <c r="S257" i="36"/>
  <c r="L257" i="36" s="1"/>
  <c r="S255" i="36"/>
  <c r="U255" i="36" s="1"/>
  <c r="V255" i="36" s="1"/>
  <c r="S245" i="36"/>
  <c r="T245" i="36" s="1"/>
  <c r="S243" i="36"/>
  <c r="U243" i="36" s="1"/>
  <c r="V243" i="36" s="1"/>
  <c r="S236" i="36"/>
  <c r="U236" i="36" s="1"/>
  <c r="V236" i="36" s="1"/>
  <c r="S233" i="36"/>
  <c r="L233" i="36" s="1"/>
  <c r="O233" i="36"/>
  <c r="S229" i="36"/>
  <c r="U229" i="36" s="1"/>
  <c r="V229" i="36" s="1"/>
  <c r="O229" i="36"/>
  <c r="S226" i="36"/>
  <c r="T226" i="36" s="1"/>
  <c r="O226" i="36"/>
  <c r="S222" i="36"/>
  <c r="U222" i="36" s="1"/>
  <c r="V222" i="36" s="1"/>
  <c r="O222" i="36"/>
  <c r="S217" i="36"/>
  <c r="L217" i="36" s="1"/>
  <c r="O217" i="36" s="1"/>
  <c r="S214" i="36"/>
  <c r="U214" i="36" s="1"/>
  <c r="V214" i="36" s="1"/>
  <c r="S200" i="36"/>
  <c r="T200" i="36" s="1"/>
  <c r="S197" i="36"/>
  <c r="U197" i="36" s="1"/>
  <c r="V197" i="36" s="1"/>
  <c r="O197" i="36"/>
  <c r="S190" i="36"/>
  <c r="L190" i="36" s="1"/>
  <c r="O190" i="36"/>
  <c r="S182" i="36"/>
  <c r="U182" i="36" s="1"/>
  <c r="V182" i="36" s="1"/>
  <c r="S178" i="36"/>
  <c r="T178" i="36" s="1"/>
  <c r="O178" i="36"/>
  <c r="S174" i="36"/>
  <c r="U174" i="36" s="1"/>
  <c r="V174" i="36" s="1"/>
  <c r="O174" i="36"/>
  <c r="S172" i="36"/>
  <c r="L172" i="36" s="1"/>
  <c r="O172" i="36"/>
  <c r="S169" i="36"/>
  <c r="U169" i="36" s="1"/>
  <c r="V169" i="36" s="1"/>
  <c r="O169" i="36"/>
  <c r="S164" i="36"/>
  <c r="T164" i="36" s="1"/>
  <c r="O164" i="36"/>
  <c r="S160" i="36"/>
  <c r="U160" i="36" s="1"/>
  <c r="V160" i="36" s="1"/>
  <c r="O160" i="36"/>
  <c r="S156" i="36"/>
  <c r="L156" i="36" s="1"/>
  <c r="O156" i="36"/>
  <c r="S149" i="36"/>
  <c r="L149" i="36" s="1"/>
  <c r="O149" i="36"/>
  <c r="S141" i="36"/>
  <c r="T141" i="36" s="1"/>
  <c r="S139" i="36"/>
  <c r="U139" i="36" s="1"/>
  <c r="V139" i="36" s="1"/>
  <c r="S134" i="36"/>
  <c r="L134" i="36" s="1"/>
  <c r="O134" i="36"/>
  <c r="O129" i="36"/>
  <c r="S129" i="36"/>
  <c r="U129" i="36" s="1"/>
  <c r="V129" i="36" s="1"/>
  <c r="P415" i="6" l="1"/>
  <c r="Q415" i="6" s="1"/>
  <c r="O293" i="36"/>
  <c r="M257" i="36"/>
  <c r="O257" i="36"/>
  <c r="P215" i="6"/>
  <c r="Q215" i="6" s="1"/>
  <c r="P348" i="6"/>
  <c r="Q348" i="6" s="1"/>
  <c r="P396" i="6"/>
  <c r="Q396" i="6" s="1"/>
  <c r="T386" i="6"/>
  <c r="P491" i="36"/>
  <c r="Q491" i="36" s="1"/>
  <c r="L489" i="36"/>
  <c r="M489" i="36" s="1"/>
  <c r="P537" i="36"/>
  <c r="Q537" i="36" s="1"/>
  <c r="P159" i="6"/>
  <c r="Q159" i="6" s="1"/>
  <c r="P368" i="6"/>
  <c r="Q368" i="6" s="1"/>
  <c r="L178" i="36"/>
  <c r="M178" i="36" s="1"/>
  <c r="O127" i="6"/>
  <c r="AR94" i="1" s="1"/>
  <c r="V310" i="6"/>
  <c r="T310" i="6"/>
  <c r="T291" i="6"/>
  <c r="P358" i="6"/>
  <c r="Q358" i="6" s="1"/>
  <c r="V128" i="6"/>
  <c r="V386" i="6"/>
  <c r="T251" i="6"/>
  <c r="M133" i="6"/>
  <c r="M165" i="6"/>
  <c r="T128" i="6"/>
  <c r="V291" i="6"/>
  <c r="V401" i="6"/>
  <c r="T401" i="6"/>
  <c r="M281" i="6"/>
  <c r="P281" i="6"/>
  <c r="Q281" i="6" s="1"/>
  <c r="P152" i="6"/>
  <c r="Q152" i="6" s="1"/>
  <c r="M152" i="6"/>
  <c r="M338" i="6"/>
  <c r="P338" i="6"/>
  <c r="Q338" i="6" s="1"/>
  <c r="M179" i="6"/>
  <c r="P179" i="6"/>
  <c r="Q179" i="6" s="1"/>
  <c r="P142" i="6"/>
  <c r="Q142" i="6" s="1"/>
  <c r="P334" i="6"/>
  <c r="Q334" i="6" s="1"/>
  <c r="M334" i="6"/>
  <c r="P374" i="6"/>
  <c r="Q374" i="6" s="1"/>
  <c r="M374" i="6"/>
  <c r="P303" i="6"/>
  <c r="Q303" i="6" s="1"/>
  <c r="M303" i="6"/>
  <c r="P342" i="6"/>
  <c r="Q342" i="6" s="1"/>
  <c r="M342" i="6"/>
  <c r="P235" i="6"/>
  <c r="Q235" i="6" s="1"/>
  <c r="M235" i="6"/>
  <c r="P292" i="6"/>
  <c r="Q292" i="6" s="1"/>
  <c r="M292" i="6"/>
  <c r="P131" i="6"/>
  <c r="Q131" i="6" s="1"/>
  <c r="M131" i="6"/>
  <c r="M169" i="6"/>
  <c r="P169" i="6"/>
  <c r="Q169" i="6" s="1"/>
  <c r="P203" i="6"/>
  <c r="Q203" i="6" s="1"/>
  <c r="M203" i="6"/>
  <c r="P407" i="6"/>
  <c r="Q407" i="6" s="1"/>
  <c r="Q401" i="6" s="1"/>
  <c r="M407" i="6"/>
  <c r="M401" i="6" s="1"/>
  <c r="P331" i="6"/>
  <c r="Q331" i="6" s="1"/>
  <c r="M331" i="6"/>
  <c r="P240" i="6"/>
  <c r="Q240" i="6" s="1"/>
  <c r="M240" i="6"/>
  <c r="P252" i="6"/>
  <c r="Q252" i="6" s="1"/>
  <c r="M252" i="6"/>
  <c r="P275" i="6"/>
  <c r="Q275" i="6" s="1"/>
  <c r="M275" i="6"/>
  <c r="P319" i="6"/>
  <c r="Q319" i="6" s="1"/>
  <c r="M319" i="6"/>
  <c r="P387" i="6"/>
  <c r="Q387" i="6" s="1"/>
  <c r="M387" i="6"/>
  <c r="M386" i="6" s="1"/>
  <c r="P422" i="6"/>
  <c r="Q422" i="6" s="1"/>
  <c r="Q421" i="6" s="1"/>
  <c r="M422" i="6"/>
  <c r="M421" i="6" s="1"/>
  <c r="P354" i="6"/>
  <c r="Q354" i="6" s="1"/>
  <c r="M354" i="6"/>
  <c r="P305" i="6"/>
  <c r="Q305" i="6" s="1"/>
  <c r="M305" i="6"/>
  <c r="P187" i="6"/>
  <c r="Q187" i="6" s="1"/>
  <c r="M187" i="6"/>
  <c r="V252" i="6"/>
  <c r="V251" i="6" s="1"/>
  <c r="P364" i="6"/>
  <c r="Q364" i="6" s="1"/>
  <c r="M364" i="6"/>
  <c r="P265" i="6"/>
  <c r="Q265" i="6" s="1"/>
  <c r="M265" i="6"/>
  <c r="L141" i="36"/>
  <c r="L226" i="36"/>
  <c r="M226" i="36" s="1"/>
  <c r="T457" i="36"/>
  <c r="T515" i="36"/>
  <c r="T563" i="36"/>
  <c r="U141" i="36"/>
  <c r="V141" i="36" s="1"/>
  <c r="U226" i="36"/>
  <c r="V226" i="36" s="1"/>
  <c r="U527" i="36"/>
  <c r="V527" i="36" s="1"/>
  <c r="L139" i="36"/>
  <c r="U178" i="36"/>
  <c r="V178" i="36" s="1"/>
  <c r="M457" i="36"/>
  <c r="U491" i="36"/>
  <c r="V491" i="36" s="1"/>
  <c r="L559" i="36"/>
  <c r="P559" i="36" s="1"/>
  <c r="Q559" i="36" s="1"/>
  <c r="L563" i="36"/>
  <c r="M563" i="36" s="1"/>
  <c r="L593" i="36"/>
  <c r="U257" i="36"/>
  <c r="V257" i="36" s="1"/>
  <c r="U336" i="36"/>
  <c r="V336" i="36" s="1"/>
  <c r="U463" i="36"/>
  <c r="V463" i="36" s="1"/>
  <c r="T503" i="36"/>
  <c r="T512" i="36"/>
  <c r="U523" i="36"/>
  <c r="V523" i="36" s="1"/>
  <c r="T598" i="36"/>
  <c r="U164" i="36"/>
  <c r="V164" i="36" s="1"/>
  <c r="U200" i="36"/>
  <c r="V200" i="36" s="1"/>
  <c r="U264" i="36"/>
  <c r="V264" i="36" s="1"/>
  <c r="L336" i="36"/>
  <c r="L392" i="36"/>
  <c r="T392" i="36"/>
  <c r="L409" i="36"/>
  <c r="T409" i="36"/>
  <c r="U420" i="36"/>
  <c r="V420" i="36" s="1"/>
  <c r="U436" i="36"/>
  <c r="V436" i="36" s="1"/>
  <c r="L465" i="36"/>
  <c r="O465" i="36" s="1"/>
  <c r="T465" i="36"/>
  <c r="U479" i="36"/>
  <c r="V479" i="36" s="1"/>
  <c r="T501" i="36"/>
  <c r="U509" i="36"/>
  <c r="V509" i="36" s="1"/>
  <c r="L571" i="36"/>
  <c r="T595" i="36"/>
  <c r="L378" i="36"/>
  <c r="T378" i="36"/>
  <c r="T471" i="36"/>
  <c r="L164" i="36"/>
  <c r="M164" i="36" s="1"/>
  <c r="L200" i="36"/>
  <c r="L243" i="36"/>
  <c r="U310" i="36"/>
  <c r="V310" i="36" s="1"/>
  <c r="M371" i="36"/>
  <c r="L420" i="36"/>
  <c r="M420" i="36" s="1"/>
  <c r="L425" i="36"/>
  <c r="O425" i="36" s="1"/>
  <c r="T425" i="36"/>
  <c r="U431" i="36"/>
  <c r="V431" i="36" s="1"/>
  <c r="T491" i="36"/>
  <c r="T493" i="36"/>
  <c r="T529" i="36"/>
  <c r="U537" i="36"/>
  <c r="V537" i="36" s="1"/>
  <c r="T565" i="36"/>
  <c r="U576" i="36"/>
  <c r="L595" i="36"/>
  <c r="L129" i="36"/>
  <c r="T129" i="36"/>
  <c r="T149" i="36"/>
  <c r="L160" i="36"/>
  <c r="P160" i="36" s="1"/>
  <c r="Q160" i="36" s="1"/>
  <c r="L169" i="36"/>
  <c r="T169" i="36"/>
  <c r="L174" i="36"/>
  <c r="P174" i="36" s="1"/>
  <c r="Q174" i="36" s="1"/>
  <c r="L182" i="36"/>
  <c r="O182" i="36" s="1"/>
  <c r="T182" i="36"/>
  <c r="L197" i="36"/>
  <c r="P197" i="36" s="1"/>
  <c r="Q197" i="36" s="1"/>
  <c r="L214" i="36"/>
  <c r="O214" i="36" s="1"/>
  <c r="T214" i="36"/>
  <c r="L222" i="36"/>
  <c r="P222" i="36" s="1"/>
  <c r="Q222" i="36" s="1"/>
  <c r="L229" i="36"/>
  <c r="T229" i="36"/>
  <c r="L236" i="36"/>
  <c r="L255" i="36"/>
  <c r="O255" i="36" s="1"/>
  <c r="T255" i="36"/>
  <c r="L264" i="36"/>
  <c r="L276" i="36"/>
  <c r="O276" i="36" s="1"/>
  <c r="T276" i="36"/>
  <c r="L310" i="36"/>
  <c r="L324" i="36"/>
  <c r="O324" i="36" s="1"/>
  <c r="T324" i="36"/>
  <c r="L344" i="36"/>
  <c r="O344" i="36" s="1"/>
  <c r="T344" i="36"/>
  <c r="L361" i="36"/>
  <c r="T361" i="36"/>
  <c r="U373" i="36"/>
  <c r="V373" i="36" s="1"/>
  <c r="U387" i="36"/>
  <c r="V387" i="36" s="1"/>
  <c r="L404" i="36"/>
  <c r="O404" i="36" s="1"/>
  <c r="O396" i="36" s="1"/>
  <c r="U404" i="36"/>
  <c r="V404" i="36" s="1"/>
  <c r="U451" i="36"/>
  <c r="V451" i="36" s="1"/>
  <c r="T455" i="36"/>
  <c r="L463" i="36"/>
  <c r="M463" i="36" s="1"/>
  <c r="L479" i="36"/>
  <c r="P479" i="36" s="1"/>
  <c r="Q479" i="36" s="1"/>
  <c r="T483" i="36"/>
  <c r="T485" i="36"/>
  <c r="L509" i="36"/>
  <c r="P509" i="36" s="1"/>
  <c r="Q509" i="36" s="1"/>
  <c r="U512" i="36"/>
  <c r="V512" i="36" s="1"/>
  <c r="P527" i="36"/>
  <c r="Q527" i="36" s="1"/>
  <c r="U535" i="36"/>
  <c r="V535" i="36" s="1"/>
  <c r="L545" i="36"/>
  <c r="P545" i="36" s="1"/>
  <c r="Q545" i="36" s="1"/>
  <c r="L549" i="36"/>
  <c r="T549" i="36"/>
  <c r="T553" i="36"/>
  <c r="U598" i="36"/>
  <c r="V598" i="36" s="1"/>
  <c r="U149" i="36"/>
  <c r="V149" i="36" s="1"/>
  <c r="P178" i="36"/>
  <c r="Q178" i="36" s="1"/>
  <c r="L373" i="36"/>
  <c r="M373" i="36" s="1"/>
  <c r="L387" i="36"/>
  <c r="M387" i="36" s="1"/>
  <c r="L451" i="36"/>
  <c r="P451" i="36" s="1"/>
  <c r="Q451" i="36" s="1"/>
  <c r="U455" i="36"/>
  <c r="V455" i="36" s="1"/>
  <c r="U483" i="36"/>
  <c r="V483" i="36" s="1"/>
  <c r="U497" i="36"/>
  <c r="V497" i="36" s="1"/>
  <c r="L535" i="36"/>
  <c r="M535" i="36" s="1"/>
  <c r="T537" i="36"/>
  <c r="T541" i="36"/>
  <c r="L576" i="36"/>
  <c r="T582" i="36"/>
  <c r="L356" i="36"/>
  <c r="U356" i="36"/>
  <c r="V356" i="36" s="1"/>
  <c r="M429" i="36"/>
  <c r="L431" i="36"/>
  <c r="M431" i="36" s="1"/>
  <c r="L436" i="36"/>
  <c r="P455" i="36"/>
  <c r="Q455" i="36" s="1"/>
  <c r="P483" i="36"/>
  <c r="Q483" i="36" s="1"/>
  <c r="U489" i="36"/>
  <c r="V489" i="36" s="1"/>
  <c r="L497" i="36"/>
  <c r="M497" i="36" s="1"/>
  <c r="U501" i="36"/>
  <c r="V501" i="36" s="1"/>
  <c r="L523" i="36"/>
  <c r="P523" i="36" s="1"/>
  <c r="Q523" i="36" s="1"/>
  <c r="T527" i="36"/>
  <c r="M156" i="36"/>
  <c r="P156" i="36"/>
  <c r="Q156" i="36" s="1"/>
  <c r="P217" i="36"/>
  <c r="Q217" i="36" s="1"/>
  <c r="M217" i="36"/>
  <c r="P233" i="36"/>
  <c r="Q233" i="36" s="1"/>
  <c r="M233" i="36"/>
  <c r="P397" i="36"/>
  <c r="Q397" i="36" s="1"/>
  <c r="M397" i="36"/>
  <c r="P134" i="36"/>
  <c r="Q134" i="36" s="1"/>
  <c r="M134" i="36"/>
  <c r="M149" i="36"/>
  <c r="P149" i="36"/>
  <c r="Q149" i="36" s="1"/>
  <c r="M172" i="36"/>
  <c r="P172" i="36"/>
  <c r="Q172" i="36" s="1"/>
  <c r="P190" i="36"/>
  <c r="Q190" i="36" s="1"/>
  <c r="M190" i="36"/>
  <c r="L284" i="36"/>
  <c r="O284" i="36" s="1"/>
  <c r="U284" i="36"/>
  <c r="V284" i="36" s="1"/>
  <c r="U351" i="36"/>
  <c r="V351" i="36" s="1"/>
  <c r="T351" i="36"/>
  <c r="U415" i="36"/>
  <c r="V415" i="36" s="1"/>
  <c r="T415" i="36"/>
  <c r="L438" i="36"/>
  <c r="U438" i="36"/>
  <c r="V438" i="36" s="1"/>
  <c r="L487" i="36"/>
  <c r="U487" i="36"/>
  <c r="V487" i="36" s="1"/>
  <c r="T487" i="36"/>
  <c r="M512" i="36"/>
  <c r="P512" i="36"/>
  <c r="Q512" i="36" s="1"/>
  <c r="M565" i="36"/>
  <c r="P565" i="36"/>
  <c r="Q565" i="36" s="1"/>
  <c r="T172" i="36"/>
  <c r="T217" i="36"/>
  <c r="T243" i="36"/>
  <c r="U245" i="36"/>
  <c r="V245" i="36" s="1"/>
  <c r="T284" i="36"/>
  <c r="U334" i="36"/>
  <c r="V334" i="36" s="1"/>
  <c r="T334" i="36"/>
  <c r="T438" i="36"/>
  <c r="L475" i="36"/>
  <c r="U475" i="36"/>
  <c r="V475" i="36" s="1"/>
  <c r="T475" i="36"/>
  <c r="M485" i="36"/>
  <c r="P485" i="36"/>
  <c r="Q485" i="36" s="1"/>
  <c r="U134" i="36"/>
  <c r="V134" i="36" s="1"/>
  <c r="T139" i="36"/>
  <c r="U156" i="36"/>
  <c r="V156" i="36" s="1"/>
  <c r="T160" i="36"/>
  <c r="U172" i="36"/>
  <c r="V172" i="36" s="1"/>
  <c r="T174" i="36"/>
  <c r="U190" i="36"/>
  <c r="V190" i="36" s="1"/>
  <c r="T197" i="36"/>
  <c r="U217" i="36"/>
  <c r="V217" i="36" s="1"/>
  <c r="T222" i="36"/>
  <c r="U233" i="36"/>
  <c r="V233" i="36" s="1"/>
  <c r="T236" i="36"/>
  <c r="T261" i="36"/>
  <c r="U293" i="36"/>
  <c r="V293" i="36" s="1"/>
  <c r="T293" i="36"/>
  <c r="L348" i="36"/>
  <c r="U348" i="36"/>
  <c r="V348" i="36" s="1"/>
  <c r="U385" i="36"/>
  <c r="T385" i="36"/>
  <c r="L413" i="36"/>
  <c r="U413" i="36"/>
  <c r="V413" i="36" s="1"/>
  <c r="U444" i="36"/>
  <c r="V444" i="36" s="1"/>
  <c r="T444" i="36"/>
  <c r="P448" i="36"/>
  <c r="Q448" i="36" s="1"/>
  <c r="M471" i="36"/>
  <c r="P471" i="36"/>
  <c r="Q471" i="36" s="1"/>
  <c r="L533" i="36"/>
  <c r="U533" i="36"/>
  <c r="V533" i="36" s="1"/>
  <c r="T533" i="36"/>
  <c r="L587" i="36"/>
  <c r="O587" i="36" s="1"/>
  <c r="U587" i="36"/>
  <c r="V587" i="36" s="1"/>
  <c r="T587" i="36"/>
  <c r="L351" i="36"/>
  <c r="O351" i="36" s="1"/>
  <c r="O347" i="36" s="1"/>
  <c r="L380" i="36"/>
  <c r="U380" i="36"/>
  <c r="V380" i="36" s="1"/>
  <c r="L415" i="36"/>
  <c r="M515" i="36"/>
  <c r="P515" i="36"/>
  <c r="Q515" i="36" s="1"/>
  <c r="T134" i="36"/>
  <c r="T156" i="36"/>
  <c r="T190" i="36"/>
  <c r="T233" i="36"/>
  <c r="L261" i="36"/>
  <c r="O261" i="36" s="1"/>
  <c r="L334" i="36"/>
  <c r="O334" i="36" s="1"/>
  <c r="L366" i="36"/>
  <c r="U366" i="36"/>
  <c r="V366" i="36" s="1"/>
  <c r="T380" i="36"/>
  <c r="U397" i="36"/>
  <c r="V397" i="36" s="1"/>
  <c r="T397" i="36"/>
  <c r="L427" i="36"/>
  <c r="O427" i="36" s="1"/>
  <c r="U427" i="36"/>
  <c r="V427" i="36" s="1"/>
  <c r="L245" i="36"/>
  <c r="O245" i="36" s="1"/>
  <c r="T257" i="36"/>
  <c r="M293" i="36"/>
  <c r="L331" i="36"/>
  <c r="O331" i="36" s="1"/>
  <c r="U331" i="36"/>
  <c r="V331" i="36" s="1"/>
  <c r="T348" i="36"/>
  <c r="U371" i="36"/>
  <c r="V371" i="36" s="1"/>
  <c r="T371" i="36"/>
  <c r="M385" i="36"/>
  <c r="L394" i="36"/>
  <c r="U394" i="36"/>
  <c r="V394" i="36" s="1"/>
  <c r="T413" i="36"/>
  <c r="U429" i="36"/>
  <c r="V429" i="36" s="1"/>
  <c r="T429" i="36"/>
  <c r="M444" i="36"/>
  <c r="L520" i="36"/>
  <c r="U520" i="36"/>
  <c r="V520" i="36" s="1"/>
  <c r="T520" i="36"/>
  <c r="M529" i="36"/>
  <c r="P529" i="36"/>
  <c r="Q529" i="36" s="1"/>
  <c r="L567" i="36"/>
  <c r="O567" i="36" s="1"/>
  <c r="U567" i="36"/>
  <c r="V567" i="36" s="1"/>
  <c r="T567" i="36"/>
  <c r="M582" i="36"/>
  <c r="P582" i="36"/>
  <c r="Q582" i="36" s="1"/>
  <c r="U448" i="36"/>
  <c r="V448" i="36" s="1"/>
  <c r="T448" i="36"/>
  <c r="L459" i="36"/>
  <c r="U459" i="36"/>
  <c r="V459" i="36" s="1"/>
  <c r="T459" i="36"/>
  <c r="M493" i="36"/>
  <c r="P493" i="36"/>
  <c r="Q493" i="36" s="1"/>
  <c r="L495" i="36"/>
  <c r="U495" i="36"/>
  <c r="V495" i="36" s="1"/>
  <c r="T495" i="36"/>
  <c r="P501" i="36"/>
  <c r="Q501" i="36" s="1"/>
  <c r="M541" i="36"/>
  <c r="P541" i="36"/>
  <c r="Q541" i="36" s="1"/>
  <c r="L543" i="36"/>
  <c r="U543" i="36"/>
  <c r="V543" i="36" s="1"/>
  <c r="T543" i="36"/>
  <c r="M598" i="36"/>
  <c r="P598" i="36"/>
  <c r="Q598" i="36" s="1"/>
  <c r="M503" i="36"/>
  <c r="P503" i="36"/>
  <c r="Q503" i="36" s="1"/>
  <c r="L507" i="36"/>
  <c r="U507" i="36"/>
  <c r="V507" i="36" s="1"/>
  <c r="T507" i="36"/>
  <c r="M553" i="36"/>
  <c r="P553" i="36"/>
  <c r="Q553" i="36" s="1"/>
  <c r="L557" i="36"/>
  <c r="U557" i="36"/>
  <c r="V557" i="36" s="1"/>
  <c r="T557" i="36"/>
  <c r="L602" i="36"/>
  <c r="O602" i="36" s="1"/>
  <c r="O601" i="36" s="1"/>
  <c r="U602" i="36"/>
  <c r="V602" i="36" s="1"/>
  <c r="V601" i="36" s="1"/>
  <c r="T602" i="36"/>
  <c r="T601" i="36" s="1"/>
  <c r="U457" i="36"/>
  <c r="V457" i="36" s="1"/>
  <c r="U471" i="36"/>
  <c r="V471" i="36" s="1"/>
  <c r="U485" i="36"/>
  <c r="V485" i="36" s="1"/>
  <c r="U493" i="36"/>
  <c r="V493" i="36" s="1"/>
  <c r="U503" i="36"/>
  <c r="V503" i="36" s="1"/>
  <c r="U515" i="36"/>
  <c r="V515" i="36" s="1"/>
  <c r="U529" i="36"/>
  <c r="V529" i="36" s="1"/>
  <c r="U541" i="36"/>
  <c r="V541" i="36" s="1"/>
  <c r="U553" i="36"/>
  <c r="V553" i="36" s="1"/>
  <c r="U565" i="36"/>
  <c r="V565" i="36" s="1"/>
  <c r="U582" i="36"/>
  <c r="V582" i="36" s="1"/>
  <c r="T545" i="36"/>
  <c r="T559" i="36"/>
  <c r="T571" i="36"/>
  <c r="T593" i="36"/>
  <c r="X127" i="16"/>
  <c r="Z127" i="16"/>
  <c r="AB127" i="16"/>
  <c r="AD127" i="16"/>
  <c r="AF127" i="16"/>
  <c r="AH127" i="16"/>
  <c r="AJ127" i="16"/>
  <c r="AL127" i="16"/>
  <c r="AN127" i="16"/>
  <c r="AP127" i="16"/>
  <c r="AR127" i="16"/>
  <c r="AT127" i="16"/>
  <c r="AV127" i="16"/>
  <c r="AX127" i="16"/>
  <c r="S522" i="16"/>
  <c r="S518" i="16"/>
  <c r="L518" i="16" s="1"/>
  <c r="S515" i="16"/>
  <c r="T515" i="16" s="1"/>
  <c r="S513" i="16"/>
  <c r="L513" i="16" s="1"/>
  <c r="S507" i="16"/>
  <c r="T507" i="16" s="1"/>
  <c r="S502" i="16"/>
  <c r="L502" i="16" s="1"/>
  <c r="S496" i="16"/>
  <c r="T496" i="16" s="1"/>
  <c r="O496" i="16"/>
  <c r="S491" i="16"/>
  <c r="L491" i="16" s="1"/>
  <c r="O491" i="16"/>
  <c r="S488" i="16"/>
  <c r="O488" i="16"/>
  <c r="S486" i="16"/>
  <c r="L486" i="16" s="1"/>
  <c r="O486" i="16"/>
  <c r="S482" i="16"/>
  <c r="T482" i="16" s="1"/>
  <c r="O482" i="16"/>
  <c r="S478" i="16"/>
  <c r="L478" i="16" s="1"/>
  <c r="P478" i="16" s="1"/>
  <c r="Q478" i="16" s="1"/>
  <c r="O478" i="16"/>
  <c r="S474" i="16"/>
  <c r="T474" i="16" s="1"/>
  <c r="O474" i="16"/>
  <c r="S469" i="16"/>
  <c r="L469" i="16" s="1"/>
  <c r="M469" i="16" s="1"/>
  <c r="O469" i="16"/>
  <c r="S465" i="16"/>
  <c r="T465" i="16" s="1"/>
  <c r="O465" i="16"/>
  <c r="S463" i="16"/>
  <c r="L463" i="16" s="1"/>
  <c r="O463" i="16"/>
  <c r="S461" i="16"/>
  <c r="O461" i="16"/>
  <c r="S459" i="16"/>
  <c r="L459" i="16" s="1"/>
  <c r="O459" i="16"/>
  <c r="S456" i="16"/>
  <c r="T456" i="16" s="1"/>
  <c r="O456" i="16"/>
  <c r="S452" i="16"/>
  <c r="L452" i="16" s="1"/>
  <c r="P452" i="16" s="1"/>
  <c r="Q452" i="16" s="1"/>
  <c r="O452" i="16"/>
  <c r="S450" i="16"/>
  <c r="T450" i="16" s="1"/>
  <c r="O450" i="16"/>
  <c r="S446" i="16"/>
  <c r="L446" i="16" s="1"/>
  <c r="M446" i="16" s="1"/>
  <c r="O446" i="16"/>
  <c r="S444" i="16"/>
  <c r="T444" i="16" s="1"/>
  <c r="O444" i="16"/>
  <c r="S442" i="16"/>
  <c r="L442" i="16" s="1"/>
  <c r="O442" i="16"/>
  <c r="S440" i="16"/>
  <c r="O440" i="16"/>
  <c r="S438" i="16"/>
  <c r="L438" i="16" s="1"/>
  <c r="O438" i="16"/>
  <c r="S436" i="16"/>
  <c r="T436" i="16" s="1"/>
  <c r="O436" i="16"/>
  <c r="S432" i="16"/>
  <c r="L432" i="16" s="1"/>
  <c r="P432" i="16" s="1"/>
  <c r="Q432" i="16" s="1"/>
  <c r="O432" i="16"/>
  <c r="S430" i="16"/>
  <c r="T430" i="16" s="1"/>
  <c r="O430" i="16"/>
  <c r="S426" i="16"/>
  <c r="L426" i="16" s="1"/>
  <c r="M426" i="16" s="1"/>
  <c r="O426" i="16"/>
  <c r="S424" i="16"/>
  <c r="T424" i="16" s="1"/>
  <c r="O424" i="16"/>
  <c r="S422" i="16"/>
  <c r="L422" i="16" s="1"/>
  <c r="O422" i="16"/>
  <c r="S420" i="16"/>
  <c r="O420" i="16"/>
  <c r="S416" i="16"/>
  <c r="L416" i="16" s="1"/>
  <c r="O416" i="16"/>
  <c r="S412" i="16"/>
  <c r="T412" i="16" s="1"/>
  <c r="O412" i="16"/>
  <c r="S407" i="16"/>
  <c r="L407" i="16" s="1"/>
  <c r="P407" i="16" s="1"/>
  <c r="Q407" i="16" s="1"/>
  <c r="O407" i="16"/>
  <c r="S403" i="16"/>
  <c r="T403" i="16" s="1"/>
  <c r="O403" i="16"/>
  <c r="S398" i="16"/>
  <c r="L398" i="16" s="1"/>
  <c r="M398" i="16" s="1"/>
  <c r="O398" i="16"/>
  <c r="S395" i="16"/>
  <c r="T395" i="16" s="1"/>
  <c r="O395" i="16"/>
  <c r="S392" i="16"/>
  <c r="L392" i="16" s="1"/>
  <c r="O392" i="16"/>
  <c r="S389" i="16"/>
  <c r="O389" i="16"/>
  <c r="S387" i="16"/>
  <c r="L387" i="16" s="1"/>
  <c r="O387" i="16"/>
  <c r="S385" i="16"/>
  <c r="T385" i="16" s="1"/>
  <c r="O385" i="16"/>
  <c r="S381" i="16"/>
  <c r="L381" i="16" s="1"/>
  <c r="P381" i="16" s="1"/>
  <c r="Q381" i="16" s="1"/>
  <c r="O381" i="16"/>
  <c r="S377" i="16"/>
  <c r="T377" i="16" s="1"/>
  <c r="O377" i="16"/>
  <c r="S373" i="16"/>
  <c r="L373" i="16" s="1"/>
  <c r="M373" i="16" s="1"/>
  <c r="O373" i="16"/>
  <c r="S369" i="16"/>
  <c r="T369" i="16" s="1"/>
  <c r="O369" i="16"/>
  <c r="S365" i="16"/>
  <c r="L365" i="16" s="1"/>
  <c r="O365" i="16" s="1"/>
  <c r="S361" i="16"/>
  <c r="U361" i="16" s="1"/>
  <c r="V361" i="16" s="1"/>
  <c r="O361" i="16"/>
  <c r="S357" i="16"/>
  <c r="U357" i="16" s="1"/>
  <c r="V357" i="16" s="1"/>
  <c r="O357" i="16"/>
  <c r="S353" i="16"/>
  <c r="O353" i="16"/>
  <c r="S347" i="16"/>
  <c r="L347" i="16" s="1"/>
  <c r="O347" i="16"/>
  <c r="S345" i="16"/>
  <c r="U345" i="16" s="1"/>
  <c r="V345" i="16" s="1"/>
  <c r="O345" i="16"/>
  <c r="S340" i="16"/>
  <c r="U340" i="16" s="1"/>
  <c r="V340" i="16" s="1"/>
  <c r="O340" i="16"/>
  <c r="S338" i="16"/>
  <c r="O338" i="16"/>
  <c r="S336" i="16"/>
  <c r="L336" i="16" s="1"/>
  <c r="O336" i="16" s="1"/>
  <c r="S334" i="16"/>
  <c r="U334" i="16" s="1"/>
  <c r="V334" i="16" s="1"/>
  <c r="S325" i="16"/>
  <c r="U325" i="16" s="1"/>
  <c r="V325" i="16" s="1"/>
  <c r="O325" i="16"/>
  <c r="S323" i="16"/>
  <c r="O323" i="16"/>
  <c r="S319" i="16"/>
  <c r="L319" i="16" s="1"/>
  <c r="O319" i="16"/>
  <c r="S317" i="16"/>
  <c r="U317" i="16" s="1"/>
  <c r="V317" i="16" s="1"/>
  <c r="O317" i="16"/>
  <c r="S315" i="16"/>
  <c r="U315" i="16" s="1"/>
  <c r="V315" i="16" s="1"/>
  <c r="O315" i="16"/>
  <c r="S313" i="16"/>
  <c r="O313" i="16"/>
  <c r="S311" i="16"/>
  <c r="L311" i="16" s="1"/>
  <c r="O311" i="16"/>
  <c r="S307" i="16"/>
  <c r="U307" i="16" s="1"/>
  <c r="V307" i="16" s="1"/>
  <c r="O307" i="16"/>
  <c r="S299" i="16"/>
  <c r="U299" i="16" s="1"/>
  <c r="V299" i="16" s="1"/>
  <c r="S289" i="16"/>
  <c r="S284" i="16"/>
  <c r="L284" i="16" s="1"/>
  <c r="O284" i="16" s="1"/>
  <c r="O283" i="16" s="1"/>
  <c r="S280" i="16"/>
  <c r="U280" i="16" s="1"/>
  <c r="V280" i="16" s="1"/>
  <c r="S277" i="16"/>
  <c r="U277" i="16" s="1"/>
  <c r="V277" i="16" s="1"/>
  <c r="S267" i="16"/>
  <c r="S263" i="16"/>
  <c r="L263" i="16" s="1"/>
  <c r="O263" i="16" s="1"/>
  <c r="S247" i="16"/>
  <c r="U247" i="16" s="1"/>
  <c r="V247" i="16" s="1"/>
  <c r="S243" i="16"/>
  <c r="U243" i="16" s="1"/>
  <c r="V243" i="16" s="1"/>
  <c r="S230" i="16"/>
  <c r="S226" i="16"/>
  <c r="L226" i="16" s="1"/>
  <c r="O226" i="16" s="1"/>
  <c r="S221" i="16"/>
  <c r="U221" i="16" s="1"/>
  <c r="V221" i="16" s="1"/>
  <c r="S219" i="16"/>
  <c r="U219" i="16" s="1"/>
  <c r="V219" i="16" s="1"/>
  <c r="S209" i="16"/>
  <c r="S204" i="16"/>
  <c r="L204" i="16" s="1"/>
  <c r="O204" i="16" s="1"/>
  <c r="S201" i="16"/>
  <c r="T201" i="16" s="1"/>
  <c r="S186" i="16"/>
  <c r="U186" i="16" s="1"/>
  <c r="V186" i="16" s="1"/>
  <c r="S180" i="16"/>
  <c r="O180" i="16"/>
  <c r="S174" i="16"/>
  <c r="L174" i="16" s="1"/>
  <c r="O174" i="16"/>
  <c r="S172" i="16"/>
  <c r="T172" i="16" s="1"/>
  <c r="S169" i="16"/>
  <c r="U169" i="16" s="1"/>
  <c r="V169" i="16" s="1"/>
  <c r="S165" i="16"/>
  <c r="S162" i="16"/>
  <c r="U162" i="16" s="1"/>
  <c r="V162" i="16" s="1"/>
  <c r="O162" i="16"/>
  <c r="S158" i="16"/>
  <c r="T158" i="16" s="1"/>
  <c r="O158" i="16"/>
  <c r="S147" i="16"/>
  <c r="U147" i="16" s="1"/>
  <c r="V147" i="16" s="1"/>
  <c r="S133" i="16"/>
  <c r="T133" i="16" s="1"/>
  <c r="S131" i="16"/>
  <c r="U131" i="16" s="1"/>
  <c r="V131" i="16" s="1"/>
  <c r="O129" i="16"/>
  <c r="S129" i="16"/>
  <c r="T129" i="16" s="1"/>
  <c r="M502" i="16" l="1"/>
  <c r="O502" i="16"/>
  <c r="O513" i="16"/>
  <c r="M518" i="16"/>
  <c r="O518" i="16"/>
  <c r="O424" i="36"/>
  <c r="M200" i="36"/>
  <c r="O200" i="36"/>
  <c r="O236" i="36"/>
  <c r="M595" i="36"/>
  <c r="O595" i="36"/>
  <c r="O593" i="36"/>
  <c r="M479" i="36"/>
  <c r="O264" i="36"/>
  <c r="P257" i="36"/>
  <c r="Q257" i="36" s="1"/>
  <c r="M571" i="36"/>
  <c r="O571" i="36"/>
  <c r="O443" i="36" s="1"/>
  <c r="M336" i="36"/>
  <c r="O336" i="36"/>
  <c r="M310" i="36"/>
  <c r="O310" i="36"/>
  <c r="P243" i="36"/>
  <c r="Q243" i="36" s="1"/>
  <c r="O243" i="36"/>
  <c r="O139" i="36"/>
  <c r="M141" i="36"/>
  <c r="O141" i="36"/>
  <c r="P293" i="36"/>
  <c r="Q293" i="36" s="1"/>
  <c r="P226" i="36"/>
  <c r="Q226" i="36" s="1"/>
  <c r="M197" i="36"/>
  <c r="M236" i="36"/>
  <c r="M160" i="36"/>
  <c r="P489" i="36"/>
  <c r="Q489" i="36" s="1"/>
  <c r="Q386" i="6"/>
  <c r="M251" i="6"/>
  <c r="P535" i="36"/>
  <c r="Q535" i="36" s="1"/>
  <c r="V581" i="36"/>
  <c r="M451" i="36"/>
  <c r="V424" i="36"/>
  <c r="T424" i="36"/>
  <c r="P502" i="16"/>
  <c r="Q502" i="16" s="1"/>
  <c r="T127" i="6"/>
  <c r="V127" i="6"/>
  <c r="L186" i="16"/>
  <c r="M593" i="36"/>
  <c r="M559" i="36"/>
  <c r="P563" i="36"/>
  <c r="Q563" i="36" s="1"/>
  <c r="P164" i="36"/>
  <c r="Q164" i="36" s="1"/>
  <c r="P426" i="16"/>
  <c r="Q426" i="16" s="1"/>
  <c r="O490" i="16"/>
  <c r="O352" i="16"/>
  <c r="M128" i="6"/>
  <c r="Q291" i="6"/>
  <c r="Q310" i="6"/>
  <c r="Q128" i="6"/>
  <c r="M310" i="6"/>
  <c r="Q251" i="6"/>
  <c r="M291" i="6"/>
  <c r="T396" i="36"/>
  <c r="M222" i="36"/>
  <c r="T581" i="36"/>
  <c r="V396" i="36"/>
  <c r="M139" i="36"/>
  <c r="V443" i="36"/>
  <c r="M523" i="36"/>
  <c r="P200" i="36"/>
  <c r="Q200" i="36" s="1"/>
  <c r="P141" i="36"/>
  <c r="Q141" i="36" s="1"/>
  <c r="T443" i="36"/>
  <c r="T347" i="36"/>
  <c r="V128" i="36"/>
  <c r="T128" i="36"/>
  <c r="V576" i="36"/>
  <c r="V575" i="36" s="1"/>
  <c r="P373" i="36"/>
  <c r="Q373" i="36" s="1"/>
  <c r="M243" i="36"/>
  <c r="P310" i="36"/>
  <c r="Q310" i="36" s="1"/>
  <c r="P336" i="36"/>
  <c r="Q336" i="36" s="1"/>
  <c r="M465" i="36"/>
  <c r="P465" i="36"/>
  <c r="Q465" i="36" s="1"/>
  <c r="M409" i="36"/>
  <c r="P409" i="36"/>
  <c r="Q409" i="36" s="1"/>
  <c r="M425" i="36"/>
  <c r="P425" i="36"/>
  <c r="Q425" i="36" s="1"/>
  <c r="M392" i="36"/>
  <c r="P392" i="36"/>
  <c r="Q392" i="36" s="1"/>
  <c r="P387" i="36"/>
  <c r="Q387" i="36" s="1"/>
  <c r="M264" i="36"/>
  <c r="P463" i="36"/>
  <c r="Q463" i="36" s="1"/>
  <c r="P431" i="36"/>
  <c r="Q431" i="36" s="1"/>
  <c r="P420" i="36"/>
  <c r="Q420" i="36" s="1"/>
  <c r="M378" i="36"/>
  <c r="P378" i="36"/>
  <c r="Q378" i="36" s="1"/>
  <c r="M549" i="36"/>
  <c r="P549" i="36"/>
  <c r="Q549" i="36" s="1"/>
  <c r="M404" i="36"/>
  <c r="P404" i="36"/>
  <c r="Q404" i="36" s="1"/>
  <c r="M324" i="36"/>
  <c r="P324" i="36"/>
  <c r="Q324" i="36" s="1"/>
  <c r="M214" i="36"/>
  <c r="P214" i="36"/>
  <c r="Q214" i="36" s="1"/>
  <c r="M545" i="36"/>
  <c r="P497" i="36"/>
  <c r="Q497" i="36" s="1"/>
  <c r="M509" i="36"/>
  <c r="M174" i="36"/>
  <c r="M229" i="36"/>
  <c r="P229" i="36"/>
  <c r="Q229" i="36" s="1"/>
  <c r="M436" i="36"/>
  <c r="P436" i="36"/>
  <c r="Q436" i="36" s="1"/>
  <c r="M356" i="36"/>
  <c r="P356" i="36"/>
  <c r="Q356" i="36" s="1"/>
  <c r="M276" i="36"/>
  <c r="P276" i="36"/>
  <c r="Q276" i="36" s="1"/>
  <c r="M182" i="36"/>
  <c r="P182" i="36"/>
  <c r="Q182" i="36" s="1"/>
  <c r="M361" i="36"/>
  <c r="P361" i="36"/>
  <c r="Q361" i="36" s="1"/>
  <c r="M576" i="36"/>
  <c r="M575" i="36" s="1"/>
  <c r="P576" i="36"/>
  <c r="Q576" i="36" s="1"/>
  <c r="Q575" i="36" s="1"/>
  <c r="M344" i="36"/>
  <c r="P344" i="36"/>
  <c r="Q344" i="36" s="1"/>
  <c r="M255" i="36"/>
  <c r="P255" i="36"/>
  <c r="Q255" i="36" s="1"/>
  <c r="M169" i="36"/>
  <c r="P169" i="36"/>
  <c r="Q169" i="36" s="1"/>
  <c r="P129" i="36"/>
  <c r="Q129" i="36" s="1"/>
  <c r="M129" i="36"/>
  <c r="P394" i="36"/>
  <c r="Q394" i="36" s="1"/>
  <c r="M394" i="36"/>
  <c r="P334" i="36"/>
  <c r="Q334" i="36" s="1"/>
  <c r="M334" i="36"/>
  <c r="P348" i="36"/>
  <c r="Q348" i="36" s="1"/>
  <c r="M348" i="36"/>
  <c r="P507" i="36"/>
  <c r="Q507" i="36" s="1"/>
  <c r="M507" i="36"/>
  <c r="P520" i="36"/>
  <c r="Q520" i="36" s="1"/>
  <c r="M520" i="36"/>
  <c r="P261" i="36"/>
  <c r="Q261" i="36" s="1"/>
  <c r="M261" i="36"/>
  <c r="P438" i="36"/>
  <c r="Q438" i="36" s="1"/>
  <c r="M438" i="36"/>
  <c r="P557" i="36"/>
  <c r="Q557" i="36" s="1"/>
  <c r="M557" i="36"/>
  <c r="P543" i="36"/>
  <c r="Q543" i="36" s="1"/>
  <c r="M543" i="36"/>
  <c r="P495" i="36"/>
  <c r="Q495" i="36" s="1"/>
  <c r="M495" i="36"/>
  <c r="P245" i="36"/>
  <c r="Q245" i="36" s="1"/>
  <c r="M245" i="36"/>
  <c r="P427" i="36"/>
  <c r="Q427" i="36" s="1"/>
  <c r="M427" i="36"/>
  <c r="P351" i="36"/>
  <c r="Q351" i="36" s="1"/>
  <c r="M351" i="36"/>
  <c r="V385" i="36"/>
  <c r="V347" i="36" s="1"/>
  <c r="P567" i="36"/>
  <c r="Q567" i="36" s="1"/>
  <c r="M567" i="36"/>
  <c r="P533" i="36"/>
  <c r="Q533" i="36" s="1"/>
  <c r="M533" i="36"/>
  <c r="P459" i="36"/>
  <c r="Q459" i="36" s="1"/>
  <c r="M459" i="36"/>
  <c r="P380" i="36"/>
  <c r="Q380" i="36" s="1"/>
  <c r="M380" i="36"/>
  <c r="P587" i="36"/>
  <c r="Q587" i="36" s="1"/>
  <c r="M587" i="36"/>
  <c r="P602" i="36"/>
  <c r="Q602" i="36" s="1"/>
  <c r="Q601" i="36" s="1"/>
  <c r="M602" i="36"/>
  <c r="M601" i="36" s="1"/>
  <c r="P331" i="36"/>
  <c r="Q331" i="36" s="1"/>
  <c r="M331" i="36"/>
  <c r="P366" i="36"/>
  <c r="Q366" i="36" s="1"/>
  <c r="M366" i="36"/>
  <c r="P415" i="36"/>
  <c r="Q415" i="36" s="1"/>
  <c r="M415" i="36"/>
  <c r="P413" i="36"/>
  <c r="Q413" i="36" s="1"/>
  <c r="M413" i="36"/>
  <c r="P475" i="36"/>
  <c r="Q475" i="36" s="1"/>
  <c r="M475" i="36"/>
  <c r="P487" i="36"/>
  <c r="Q487" i="36" s="1"/>
  <c r="M487" i="36"/>
  <c r="P284" i="36"/>
  <c r="Q284" i="36" s="1"/>
  <c r="M284" i="36"/>
  <c r="P398" i="16"/>
  <c r="Q398" i="16" s="1"/>
  <c r="U129" i="16"/>
  <c r="V129" i="16" s="1"/>
  <c r="U201" i="16"/>
  <c r="V201" i="16" s="1"/>
  <c r="P446" i="16"/>
  <c r="Q446" i="16" s="1"/>
  <c r="T502" i="16"/>
  <c r="U515" i="16"/>
  <c r="V515" i="16" s="1"/>
  <c r="T518" i="16"/>
  <c r="L169" i="16"/>
  <c r="P373" i="16"/>
  <c r="Q373" i="16" s="1"/>
  <c r="P469" i="16"/>
  <c r="Q469" i="16" s="1"/>
  <c r="P422" i="16"/>
  <c r="Q422" i="16" s="1"/>
  <c r="M422" i="16"/>
  <c r="P442" i="16"/>
  <c r="Q442" i="16" s="1"/>
  <c r="M442" i="16"/>
  <c r="P392" i="16"/>
  <c r="Q392" i="16" s="1"/>
  <c r="M392" i="16"/>
  <c r="P491" i="16"/>
  <c r="Q491" i="16" s="1"/>
  <c r="M491" i="16"/>
  <c r="P365" i="16"/>
  <c r="Q365" i="16" s="1"/>
  <c r="M365" i="16"/>
  <c r="P463" i="16"/>
  <c r="Q463" i="16" s="1"/>
  <c r="M463" i="16"/>
  <c r="U133" i="16"/>
  <c r="V133" i="16" s="1"/>
  <c r="U158" i="16"/>
  <c r="V158" i="16" s="1"/>
  <c r="U369" i="16"/>
  <c r="V369" i="16" s="1"/>
  <c r="U395" i="16"/>
  <c r="V395" i="16" s="1"/>
  <c r="U424" i="16"/>
  <c r="V424" i="16" s="1"/>
  <c r="U444" i="16"/>
  <c r="V444" i="16" s="1"/>
  <c r="U465" i="16"/>
  <c r="V465" i="16" s="1"/>
  <c r="U496" i="16"/>
  <c r="V496" i="16" s="1"/>
  <c r="U518" i="16"/>
  <c r="V518" i="16" s="1"/>
  <c r="T147" i="16"/>
  <c r="T162" i="16"/>
  <c r="T174" i="16"/>
  <c r="L129" i="16"/>
  <c r="T131" i="16"/>
  <c r="L147" i="16"/>
  <c r="L162" i="16"/>
  <c r="M162" i="16" s="1"/>
  <c r="U172" i="16"/>
  <c r="V172" i="16" s="1"/>
  <c r="L219" i="16"/>
  <c r="L221" i="16"/>
  <c r="O221" i="16" s="1"/>
  <c r="T221" i="16"/>
  <c r="T226" i="16"/>
  <c r="L243" i="16"/>
  <c r="L247" i="16"/>
  <c r="O247" i="16" s="1"/>
  <c r="T247" i="16"/>
  <c r="T263" i="16"/>
  <c r="L277" i="16"/>
  <c r="L280" i="16"/>
  <c r="O280" i="16" s="1"/>
  <c r="T280" i="16"/>
  <c r="T284" i="16"/>
  <c r="T283" i="16" s="1"/>
  <c r="L299" i="16"/>
  <c r="L307" i="16"/>
  <c r="T307" i="16"/>
  <c r="T311" i="16"/>
  <c r="L315" i="16"/>
  <c r="P315" i="16" s="1"/>
  <c r="Q315" i="16" s="1"/>
  <c r="L317" i="16"/>
  <c r="T317" i="16"/>
  <c r="T319" i="16"/>
  <c r="L325" i="16"/>
  <c r="M325" i="16" s="1"/>
  <c r="L334" i="16"/>
  <c r="O334" i="16" s="1"/>
  <c r="O333" i="16" s="1"/>
  <c r="T334" i="16"/>
  <c r="T336" i="16"/>
  <c r="L340" i="16"/>
  <c r="M340" i="16" s="1"/>
  <c r="L345" i="16"/>
  <c r="T345" i="16"/>
  <c r="T347" i="16"/>
  <c r="L357" i="16"/>
  <c r="P357" i="16" s="1"/>
  <c r="Q357" i="16" s="1"/>
  <c r="L361" i="16"/>
  <c r="L369" i="16"/>
  <c r="M369" i="16" s="1"/>
  <c r="T373" i="16"/>
  <c r="T387" i="16"/>
  <c r="L395" i="16"/>
  <c r="M395" i="16" s="1"/>
  <c r="T398" i="16"/>
  <c r="T416" i="16"/>
  <c r="L424" i="16"/>
  <c r="M424" i="16" s="1"/>
  <c r="T426" i="16"/>
  <c r="T438" i="16"/>
  <c r="L444" i="16"/>
  <c r="M444" i="16" s="1"/>
  <c r="T446" i="16"/>
  <c r="T459" i="16"/>
  <c r="L465" i="16"/>
  <c r="M465" i="16" s="1"/>
  <c r="T469" i="16"/>
  <c r="T486" i="16"/>
  <c r="L496" i="16"/>
  <c r="M496" i="16" s="1"/>
  <c r="P518" i="16"/>
  <c r="Q518" i="16" s="1"/>
  <c r="L131" i="16"/>
  <c r="T169" i="16"/>
  <c r="L201" i="16"/>
  <c r="O201" i="16" s="1"/>
  <c r="T204" i="16"/>
  <c r="U226" i="16"/>
  <c r="V226" i="16" s="1"/>
  <c r="U263" i="16"/>
  <c r="V263" i="16" s="1"/>
  <c r="U284" i="16"/>
  <c r="V284" i="16" s="1"/>
  <c r="V283" i="16" s="1"/>
  <c r="U311" i="16"/>
  <c r="V311" i="16" s="1"/>
  <c r="U319" i="16"/>
  <c r="V319" i="16" s="1"/>
  <c r="U336" i="16"/>
  <c r="V336" i="16" s="1"/>
  <c r="U347" i="16"/>
  <c r="V347" i="16" s="1"/>
  <c r="U373" i="16"/>
  <c r="V373" i="16" s="1"/>
  <c r="L385" i="16"/>
  <c r="U385" i="16"/>
  <c r="V385" i="16" s="1"/>
  <c r="U387" i="16"/>
  <c r="V387" i="16" s="1"/>
  <c r="U398" i="16"/>
  <c r="V398" i="16" s="1"/>
  <c r="L412" i="16"/>
  <c r="U412" i="16"/>
  <c r="V412" i="16" s="1"/>
  <c r="U416" i="16"/>
  <c r="V416" i="16" s="1"/>
  <c r="U426" i="16"/>
  <c r="V426" i="16" s="1"/>
  <c r="L436" i="16"/>
  <c r="U436" i="16"/>
  <c r="V436" i="16" s="1"/>
  <c r="U438" i="16"/>
  <c r="V438" i="16" s="1"/>
  <c r="U446" i="16"/>
  <c r="V446" i="16" s="1"/>
  <c r="L456" i="16"/>
  <c r="U456" i="16"/>
  <c r="V456" i="16" s="1"/>
  <c r="U459" i="16"/>
  <c r="V459" i="16" s="1"/>
  <c r="U469" i="16"/>
  <c r="V469" i="16" s="1"/>
  <c r="L482" i="16"/>
  <c r="U482" i="16"/>
  <c r="V482" i="16" s="1"/>
  <c r="U486" i="16"/>
  <c r="V486" i="16" s="1"/>
  <c r="U502" i="16"/>
  <c r="V502" i="16" s="1"/>
  <c r="L515" i="16"/>
  <c r="O515" i="16" s="1"/>
  <c r="L165" i="16"/>
  <c r="O165" i="16" s="1"/>
  <c r="U165" i="16"/>
  <c r="V165" i="16" s="1"/>
  <c r="T165" i="16"/>
  <c r="M174" i="16"/>
  <c r="P174" i="16"/>
  <c r="Q174" i="16" s="1"/>
  <c r="M336" i="16"/>
  <c r="P336" i="16"/>
  <c r="Q336" i="16" s="1"/>
  <c r="M416" i="16"/>
  <c r="P416" i="16"/>
  <c r="Q416" i="16" s="1"/>
  <c r="L133" i="16"/>
  <c r="M204" i="16"/>
  <c r="P204" i="16"/>
  <c r="Q204" i="16" s="1"/>
  <c r="L209" i="16"/>
  <c r="O209" i="16" s="1"/>
  <c r="U209" i="16"/>
  <c r="V209" i="16" s="1"/>
  <c r="T209" i="16"/>
  <c r="L267" i="16"/>
  <c r="O267" i="16" s="1"/>
  <c r="U267" i="16"/>
  <c r="V267" i="16" s="1"/>
  <c r="T267" i="16"/>
  <c r="L313" i="16"/>
  <c r="U313" i="16"/>
  <c r="V313" i="16" s="1"/>
  <c r="T313" i="16"/>
  <c r="L338" i="16"/>
  <c r="U338" i="16"/>
  <c r="V338" i="16" s="1"/>
  <c r="T338" i="16"/>
  <c r="L180" i="16"/>
  <c r="U180" i="16"/>
  <c r="V180" i="16" s="1"/>
  <c r="T180" i="16"/>
  <c r="M311" i="16"/>
  <c r="P311" i="16"/>
  <c r="Q311" i="16" s="1"/>
  <c r="M226" i="16"/>
  <c r="P226" i="16"/>
  <c r="Q226" i="16" s="1"/>
  <c r="M284" i="16"/>
  <c r="M283" i="16" s="1"/>
  <c r="P284" i="16"/>
  <c r="Q284" i="16" s="1"/>
  <c r="Q283" i="16" s="1"/>
  <c r="M319" i="16"/>
  <c r="P319" i="16"/>
  <c r="Q319" i="16" s="1"/>
  <c r="M347" i="16"/>
  <c r="P347" i="16"/>
  <c r="Q347" i="16" s="1"/>
  <c r="M387" i="16"/>
  <c r="P387" i="16"/>
  <c r="Q387" i="16" s="1"/>
  <c r="M438" i="16"/>
  <c r="P438" i="16"/>
  <c r="Q438" i="16" s="1"/>
  <c r="M486" i="16"/>
  <c r="P486" i="16"/>
  <c r="Q486" i="16" s="1"/>
  <c r="M263" i="16"/>
  <c r="P263" i="16"/>
  <c r="Q263" i="16" s="1"/>
  <c r="M459" i="16"/>
  <c r="P459" i="16"/>
  <c r="Q459" i="16" s="1"/>
  <c r="L230" i="16"/>
  <c r="O230" i="16" s="1"/>
  <c r="U230" i="16"/>
  <c r="V230" i="16" s="1"/>
  <c r="T230" i="16"/>
  <c r="L289" i="16"/>
  <c r="O289" i="16" s="1"/>
  <c r="U289" i="16"/>
  <c r="V289" i="16" s="1"/>
  <c r="T289" i="16"/>
  <c r="L323" i="16"/>
  <c r="U323" i="16"/>
  <c r="V323" i="16" s="1"/>
  <c r="T323" i="16"/>
  <c r="L353" i="16"/>
  <c r="U353" i="16"/>
  <c r="V353" i="16" s="1"/>
  <c r="T353" i="16"/>
  <c r="L158" i="16"/>
  <c r="L172" i="16"/>
  <c r="O172" i="16" s="1"/>
  <c r="U174" i="16"/>
  <c r="V174" i="16" s="1"/>
  <c r="U204" i="16"/>
  <c r="V204" i="16" s="1"/>
  <c r="U381" i="16"/>
  <c r="V381" i="16" s="1"/>
  <c r="T381" i="16"/>
  <c r="L389" i="16"/>
  <c r="U389" i="16"/>
  <c r="V389" i="16" s="1"/>
  <c r="U407" i="16"/>
  <c r="V407" i="16" s="1"/>
  <c r="T407" i="16"/>
  <c r="L420" i="16"/>
  <c r="U420" i="16"/>
  <c r="V420" i="16" s="1"/>
  <c r="U432" i="16"/>
  <c r="V432" i="16" s="1"/>
  <c r="T432" i="16"/>
  <c r="L440" i="16"/>
  <c r="U440" i="16"/>
  <c r="V440" i="16" s="1"/>
  <c r="U452" i="16"/>
  <c r="V452" i="16" s="1"/>
  <c r="T452" i="16"/>
  <c r="L461" i="16"/>
  <c r="U461" i="16"/>
  <c r="V461" i="16" s="1"/>
  <c r="U478" i="16"/>
  <c r="V478" i="16" s="1"/>
  <c r="T478" i="16"/>
  <c r="L488" i="16"/>
  <c r="U488" i="16"/>
  <c r="V488" i="16" s="1"/>
  <c r="U513" i="16"/>
  <c r="V513" i="16" s="1"/>
  <c r="T513" i="16"/>
  <c r="T186" i="16"/>
  <c r="T219" i="16"/>
  <c r="T243" i="16"/>
  <c r="T277" i="16"/>
  <c r="T299" i="16"/>
  <c r="T315" i="16"/>
  <c r="T325" i="16"/>
  <c r="T340" i="16"/>
  <c r="T357" i="16"/>
  <c r="T361" i="16"/>
  <c r="M381" i="16"/>
  <c r="T389" i="16"/>
  <c r="M407" i="16"/>
  <c r="T420" i="16"/>
  <c r="M432" i="16"/>
  <c r="T440" i="16"/>
  <c r="M452" i="16"/>
  <c r="T461" i="16"/>
  <c r="M478" i="16"/>
  <c r="T488" i="16"/>
  <c r="M513" i="16"/>
  <c r="L522" i="16"/>
  <c r="O522" i="16" s="1"/>
  <c r="O521" i="16" s="1"/>
  <c r="U522" i="16"/>
  <c r="V522" i="16" s="1"/>
  <c r="V521" i="16" s="1"/>
  <c r="U365" i="16"/>
  <c r="V365" i="16" s="1"/>
  <c r="T365" i="16"/>
  <c r="L377" i="16"/>
  <c r="U377" i="16"/>
  <c r="V377" i="16" s="1"/>
  <c r="U392" i="16"/>
  <c r="V392" i="16" s="1"/>
  <c r="T392" i="16"/>
  <c r="L403" i="16"/>
  <c r="U403" i="16"/>
  <c r="V403" i="16" s="1"/>
  <c r="U422" i="16"/>
  <c r="V422" i="16" s="1"/>
  <c r="T422" i="16"/>
  <c r="L430" i="16"/>
  <c r="U430" i="16"/>
  <c r="V430" i="16" s="1"/>
  <c r="U442" i="16"/>
  <c r="V442" i="16" s="1"/>
  <c r="T442" i="16"/>
  <c r="L450" i="16"/>
  <c r="U450" i="16"/>
  <c r="V450" i="16" s="1"/>
  <c r="U463" i="16"/>
  <c r="V463" i="16" s="1"/>
  <c r="T463" i="16"/>
  <c r="L474" i="16"/>
  <c r="U474" i="16"/>
  <c r="V474" i="16" s="1"/>
  <c r="U491" i="16"/>
  <c r="V491" i="16" s="1"/>
  <c r="T491" i="16"/>
  <c r="T490" i="16" s="1"/>
  <c r="L507" i="16"/>
  <c r="O507" i="16" s="1"/>
  <c r="U507" i="16"/>
  <c r="V507" i="16" s="1"/>
  <c r="T522" i="16"/>
  <c r="T521" i="16" s="1"/>
  <c r="O501" i="16" l="1"/>
  <c r="P513" i="16"/>
  <c r="Q513" i="16" s="1"/>
  <c r="O186" i="16"/>
  <c r="O133" i="16"/>
  <c r="O147" i="16"/>
  <c r="O299" i="16"/>
  <c r="O288" i="16" s="1"/>
  <c r="M277" i="16"/>
  <c r="O277" i="16"/>
  <c r="O243" i="16"/>
  <c r="O219" i="16"/>
  <c r="M169" i="16"/>
  <c r="O169" i="16"/>
  <c r="O131" i="16"/>
  <c r="P593" i="36"/>
  <c r="Q593" i="36" s="1"/>
  <c r="P236" i="36"/>
  <c r="Q236" i="36" s="1"/>
  <c r="O128" i="36"/>
  <c r="P264" i="36"/>
  <c r="Q264" i="36" s="1"/>
  <c r="P139" i="36"/>
  <c r="Q139" i="36" s="1"/>
  <c r="P571" i="36"/>
  <c r="Q571" i="36" s="1"/>
  <c r="Q443" i="36" s="1"/>
  <c r="P595" i="36"/>
  <c r="Q595" i="36" s="1"/>
  <c r="O581" i="36"/>
  <c r="M581" i="36"/>
  <c r="M186" i="16"/>
  <c r="P424" i="16"/>
  <c r="Q424" i="16" s="1"/>
  <c r="M127" i="6"/>
  <c r="AQ94" i="1" s="1"/>
  <c r="V288" i="16"/>
  <c r="Q127" i="6"/>
  <c r="AS94" i="1" s="1"/>
  <c r="M443" i="36"/>
  <c r="M396" i="36"/>
  <c r="Q396" i="36"/>
  <c r="V490" i="16"/>
  <c r="V333" i="16"/>
  <c r="T128" i="16"/>
  <c r="P162" i="16"/>
  <c r="Q162" i="16" s="1"/>
  <c r="T127" i="36"/>
  <c r="Q347" i="36"/>
  <c r="V127" i="36"/>
  <c r="M128" i="36"/>
  <c r="M424" i="36"/>
  <c r="M347" i="36"/>
  <c r="Q424" i="36"/>
  <c r="T352" i="16"/>
  <c r="M315" i="16"/>
  <c r="M219" i="16"/>
  <c r="V352" i="16"/>
  <c r="P340" i="16"/>
  <c r="Q340" i="16" s="1"/>
  <c r="M131" i="16"/>
  <c r="V501" i="16"/>
  <c r="T333" i="16"/>
  <c r="M490" i="16"/>
  <c r="V128" i="16"/>
  <c r="P444" i="16"/>
  <c r="Q444" i="16" s="1"/>
  <c r="T288" i="16"/>
  <c r="P325" i="16"/>
  <c r="Q325" i="16" s="1"/>
  <c r="T501" i="16"/>
  <c r="P496" i="16"/>
  <c r="Q496" i="16" s="1"/>
  <c r="Q490" i="16" s="1"/>
  <c r="M243" i="16"/>
  <c r="M357" i="16"/>
  <c r="M299" i="16"/>
  <c r="P395" i="16"/>
  <c r="Q395" i="16" s="1"/>
  <c r="P465" i="16"/>
  <c r="Q465" i="16" s="1"/>
  <c r="P369" i="16"/>
  <c r="Q369" i="16" s="1"/>
  <c r="M201" i="16"/>
  <c r="P201" i="16"/>
  <c r="Q201" i="16" s="1"/>
  <c r="M345" i="16"/>
  <c r="P345" i="16"/>
  <c r="Q345" i="16" s="1"/>
  <c r="M147" i="16"/>
  <c r="M361" i="16"/>
  <c r="P361" i="16"/>
  <c r="Q361" i="16" s="1"/>
  <c r="M334" i="16"/>
  <c r="P334" i="16"/>
  <c r="Q334" i="16" s="1"/>
  <c r="M317" i="16"/>
  <c r="P317" i="16"/>
  <c r="Q317" i="16" s="1"/>
  <c r="M307" i="16"/>
  <c r="P307" i="16"/>
  <c r="Q307" i="16" s="1"/>
  <c r="M280" i="16"/>
  <c r="P280" i="16"/>
  <c r="Q280" i="16" s="1"/>
  <c r="M247" i="16"/>
  <c r="P247" i="16"/>
  <c r="Q247" i="16" s="1"/>
  <c r="M221" i="16"/>
  <c r="P221" i="16"/>
  <c r="Q221" i="16" s="1"/>
  <c r="M515" i="16"/>
  <c r="P515" i="16"/>
  <c r="Q515" i="16" s="1"/>
  <c r="M482" i="16"/>
  <c r="P482" i="16"/>
  <c r="Q482" i="16" s="1"/>
  <c r="M456" i="16"/>
  <c r="P456" i="16"/>
  <c r="Q456" i="16" s="1"/>
  <c r="M436" i="16"/>
  <c r="P436" i="16"/>
  <c r="Q436" i="16" s="1"/>
  <c r="M412" i="16"/>
  <c r="P412" i="16"/>
  <c r="Q412" i="16" s="1"/>
  <c r="M385" i="16"/>
  <c r="P385" i="16"/>
  <c r="Q385" i="16" s="1"/>
  <c r="M129" i="16"/>
  <c r="P129" i="16"/>
  <c r="Q129" i="16" s="1"/>
  <c r="P377" i="16"/>
  <c r="Q377" i="16" s="1"/>
  <c r="M377" i="16"/>
  <c r="P353" i="16"/>
  <c r="Q353" i="16" s="1"/>
  <c r="M353" i="16"/>
  <c r="P450" i="16"/>
  <c r="Q450" i="16" s="1"/>
  <c r="M450" i="16"/>
  <c r="P522" i="16"/>
  <c r="Q522" i="16" s="1"/>
  <c r="Q521" i="16" s="1"/>
  <c r="M522" i="16"/>
  <c r="M521" i="16" s="1"/>
  <c r="P158" i="16"/>
  <c r="Q158" i="16" s="1"/>
  <c r="M158" i="16"/>
  <c r="P230" i="16"/>
  <c r="Q230" i="16" s="1"/>
  <c r="M230" i="16"/>
  <c r="P267" i="16"/>
  <c r="Q267" i="16" s="1"/>
  <c r="M267" i="16"/>
  <c r="P474" i="16"/>
  <c r="Q474" i="16" s="1"/>
  <c r="M474" i="16"/>
  <c r="P430" i="16"/>
  <c r="Q430" i="16" s="1"/>
  <c r="M430" i="16"/>
  <c r="P488" i="16"/>
  <c r="Q488" i="16" s="1"/>
  <c r="M488" i="16"/>
  <c r="P461" i="16"/>
  <c r="Q461" i="16" s="1"/>
  <c r="M461" i="16"/>
  <c r="P440" i="16"/>
  <c r="Q440" i="16" s="1"/>
  <c r="M440" i="16"/>
  <c r="P420" i="16"/>
  <c r="Q420" i="16" s="1"/>
  <c r="M420" i="16"/>
  <c r="P389" i="16"/>
  <c r="Q389" i="16" s="1"/>
  <c r="M389" i="16"/>
  <c r="P289" i="16"/>
  <c r="Q289" i="16" s="1"/>
  <c r="M289" i="16"/>
  <c r="P313" i="16"/>
  <c r="Q313" i="16" s="1"/>
  <c r="M313" i="16"/>
  <c r="P180" i="16"/>
  <c r="Q180" i="16" s="1"/>
  <c r="M180" i="16"/>
  <c r="P209" i="16"/>
  <c r="Q209" i="16" s="1"/>
  <c r="M209" i="16"/>
  <c r="P507" i="16"/>
  <c r="Q507" i="16" s="1"/>
  <c r="M507" i="16"/>
  <c r="P403" i="16"/>
  <c r="Q403" i="16" s="1"/>
  <c r="M403" i="16"/>
  <c r="M172" i="16"/>
  <c r="P172" i="16"/>
  <c r="Q172" i="16" s="1"/>
  <c r="P323" i="16"/>
  <c r="Q323" i="16" s="1"/>
  <c r="M323" i="16"/>
  <c r="P338" i="16"/>
  <c r="Q338" i="16" s="1"/>
  <c r="M338" i="16"/>
  <c r="M133" i="16"/>
  <c r="P133" i="16"/>
  <c r="Q133" i="16" s="1"/>
  <c r="P165" i="16"/>
  <c r="Q165" i="16" s="1"/>
  <c r="M165" i="16"/>
  <c r="O127" i="36" l="1"/>
  <c r="AR132" i="1" s="1"/>
  <c r="AR129" i="1" s="1"/>
  <c r="Q581" i="36"/>
  <c r="Q128" i="36"/>
  <c r="Q127" i="36" s="1"/>
  <c r="AS132" i="1" s="1"/>
  <c r="AS129" i="1" s="1"/>
  <c r="P277" i="16"/>
  <c r="Q277" i="16" s="1"/>
  <c r="P169" i="16"/>
  <c r="Q169" i="16" s="1"/>
  <c r="O128" i="16"/>
  <c r="O127" i="16" s="1"/>
  <c r="AR106" i="1" s="1"/>
  <c r="AR105" i="1" s="1"/>
  <c r="P219" i="16"/>
  <c r="Q219" i="16" s="1"/>
  <c r="P147" i="16"/>
  <c r="Q147" i="16" s="1"/>
  <c r="P186" i="16"/>
  <c r="Q186" i="16" s="1"/>
  <c r="P243" i="16"/>
  <c r="Q243" i="16" s="1"/>
  <c r="P299" i="16"/>
  <c r="Q299" i="16" s="1"/>
  <c r="Q288" i="16" s="1"/>
  <c r="P131" i="16"/>
  <c r="Q131" i="16" s="1"/>
  <c r="T127" i="16"/>
  <c r="M127" i="36"/>
  <c r="AQ132" i="1" s="1"/>
  <c r="AQ129" i="1" s="1"/>
  <c r="M333" i="16"/>
  <c r="V127" i="16"/>
  <c r="Q501" i="16"/>
  <c r="M501" i="16"/>
  <c r="M288" i="16"/>
  <c r="M128" i="16"/>
  <c r="Q352" i="16"/>
  <c r="M352" i="16"/>
  <c r="Q333" i="16"/>
  <c r="Q128" i="16" l="1"/>
  <c r="Q127" i="16" s="1"/>
  <c r="AS106" i="1" s="1"/>
  <c r="AS105" i="1" s="1"/>
  <c r="M127" i="16"/>
  <c r="AQ106" i="1" s="1"/>
  <c r="AQ105" i="1" s="1"/>
  <c r="U127" i="2"/>
  <c r="X127" i="2"/>
  <c r="Z127" i="2"/>
  <c r="AD127" i="2"/>
  <c r="AF127" i="2"/>
  <c r="AH127" i="2"/>
  <c r="AJ127" i="2"/>
  <c r="AL127" i="2"/>
  <c r="AN127" i="2"/>
  <c r="AP127" i="2"/>
  <c r="AR127" i="2"/>
  <c r="AT127" i="2"/>
  <c r="AV127" i="2"/>
  <c r="AX127" i="2"/>
  <c r="S425" i="2"/>
  <c r="O425" i="2"/>
  <c r="O424" i="2" s="1"/>
  <c r="S420" i="2"/>
  <c r="O420" i="2"/>
  <c r="S416" i="2"/>
  <c r="O416" i="2"/>
  <c r="S414" i="2"/>
  <c r="O414" i="2"/>
  <c r="S408" i="2"/>
  <c r="O408" i="2"/>
  <c r="S403" i="2"/>
  <c r="O403" i="2"/>
  <c r="S397" i="2"/>
  <c r="O397" i="2"/>
  <c r="S392" i="2"/>
  <c r="O392" i="2"/>
  <c r="S388" i="2"/>
  <c r="O388" i="2"/>
  <c r="S385" i="2"/>
  <c r="O385" i="2"/>
  <c r="S383" i="2"/>
  <c r="O383" i="2"/>
  <c r="S379" i="2"/>
  <c r="O379" i="2"/>
  <c r="S375" i="2"/>
  <c r="O375" i="2"/>
  <c r="S371" i="2"/>
  <c r="O371" i="2"/>
  <c r="S366" i="2"/>
  <c r="O366" i="2"/>
  <c r="S364" i="2"/>
  <c r="O364" i="2"/>
  <c r="S362" i="2"/>
  <c r="O362" i="2"/>
  <c r="S360" i="2"/>
  <c r="O360" i="2"/>
  <c r="S358" i="2"/>
  <c r="O358" i="2"/>
  <c r="S354" i="2"/>
  <c r="O354" i="2"/>
  <c r="S352" i="2"/>
  <c r="O352" i="2"/>
  <c r="S348" i="2"/>
  <c r="O348" i="2"/>
  <c r="S346" i="2"/>
  <c r="O346" i="2"/>
  <c r="S344" i="2"/>
  <c r="O344" i="2"/>
  <c r="S342" i="2"/>
  <c r="O342" i="2"/>
  <c r="S338" i="2"/>
  <c r="O338" i="2"/>
  <c r="S335" i="2"/>
  <c r="O335" i="2"/>
  <c r="S330" i="2"/>
  <c r="O330" i="2"/>
  <c r="S327" i="2"/>
  <c r="O327" i="2"/>
  <c r="S325" i="2"/>
  <c r="O325" i="2"/>
  <c r="S323" i="2"/>
  <c r="S319" i="2"/>
  <c r="S315" i="2"/>
  <c r="S309" i="2"/>
  <c r="O309" i="2"/>
  <c r="S307" i="2"/>
  <c r="O307" i="2"/>
  <c r="S302" i="2"/>
  <c r="O302" i="2"/>
  <c r="S300" i="2"/>
  <c r="O300" i="2"/>
  <c r="S298" i="2"/>
  <c r="S296" i="2"/>
  <c r="S290" i="2"/>
  <c r="O290" i="2"/>
  <c r="S288" i="2"/>
  <c r="O288" i="2"/>
  <c r="S284" i="2"/>
  <c r="O284" i="2"/>
  <c r="S282" i="2"/>
  <c r="O282" i="2"/>
  <c r="S280" i="2"/>
  <c r="O280" i="2"/>
  <c r="S278" i="2"/>
  <c r="O278" i="2"/>
  <c r="S276" i="2"/>
  <c r="O276" i="2"/>
  <c r="S272" i="2"/>
  <c r="O272" i="2"/>
  <c r="S267" i="2"/>
  <c r="S262" i="2"/>
  <c r="S256" i="2"/>
  <c r="S252" i="2"/>
  <c r="O252" i="2"/>
  <c r="S248" i="2"/>
  <c r="S243" i="2"/>
  <c r="S239" i="2"/>
  <c r="O239" i="2"/>
  <c r="S221" i="2"/>
  <c r="O221" i="2"/>
  <c r="S217" i="2"/>
  <c r="O217" i="2"/>
  <c r="S210" i="2"/>
  <c r="S206" i="2"/>
  <c r="O206" i="2"/>
  <c r="S201" i="2"/>
  <c r="O201" i="2"/>
  <c r="S199" i="2"/>
  <c r="O199" i="2"/>
  <c r="S194" i="2"/>
  <c r="O194" i="2"/>
  <c r="S189" i="2"/>
  <c r="O189" i="2"/>
  <c r="S186" i="2"/>
  <c r="O186" i="2"/>
  <c r="S177" i="2"/>
  <c r="O177" i="2"/>
  <c r="S175" i="2"/>
  <c r="O175" i="2"/>
  <c r="S171" i="2"/>
  <c r="O171" i="2"/>
  <c r="S167" i="2"/>
  <c r="S163" i="2"/>
  <c r="S161" i="2"/>
  <c r="O161" i="2"/>
  <c r="S158" i="2"/>
  <c r="S154" i="2"/>
  <c r="O154" i="2"/>
  <c r="S151" i="2"/>
  <c r="O151" i="2"/>
  <c r="S147" i="2"/>
  <c r="O147" i="2"/>
  <c r="S141" i="2"/>
  <c r="O141" i="2"/>
  <c r="S133" i="2"/>
  <c r="S131" i="2"/>
  <c r="O129" i="2"/>
  <c r="S129" i="2"/>
  <c r="U141" i="2" l="1"/>
  <c r="V141" i="2" s="1"/>
  <c r="U158" i="2"/>
  <c r="V158" i="2" s="1"/>
  <c r="U171" i="2"/>
  <c r="V171" i="2" s="1"/>
  <c r="U189" i="2"/>
  <c r="V189" i="2" s="1"/>
  <c r="U206" i="2"/>
  <c r="V206" i="2" s="1"/>
  <c r="U239" i="2"/>
  <c r="V239" i="2" s="1"/>
  <c r="U256" i="2"/>
  <c r="V256" i="2" s="1"/>
  <c r="U276" i="2"/>
  <c r="V276" i="2" s="1"/>
  <c r="U284" i="2"/>
  <c r="V284" i="2" s="1"/>
  <c r="U298" i="2"/>
  <c r="V298" i="2" s="1"/>
  <c r="U309" i="2"/>
  <c r="V309" i="2" s="1"/>
  <c r="U325" i="2"/>
  <c r="V325" i="2" s="1"/>
  <c r="U338" i="2"/>
  <c r="V338" i="2" s="1"/>
  <c r="L348" i="2"/>
  <c r="M348" i="2" s="1"/>
  <c r="L360" i="2"/>
  <c r="M360" i="2" s="1"/>
  <c r="U364" i="2"/>
  <c r="V364" i="2" s="1"/>
  <c r="L385" i="2"/>
  <c r="M385" i="2" s="1"/>
  <c r="L403" i="2"/>
  <c r="P403" i="2" s="1"/>
  <c r="Q403" i="2" s="1"/>
  <c r="L420" i="2"/>
  <c r="M420" i="2" s="1"/>
  <c r="L129" i="2"/>
  <c r="P129" i="2" s="1"/>
  <c r="Q129" i="2" s="1"/>
  <c r="L131" i="2"/>
  <c r="L151" i="2"/>
  <c r="P151" i="2" s="1"/>
  <c r="Q151" i="2" s="1"/>
  <c r="L163" i="2"/>
  <c r="L177" i="2"/>
  <c r="L199" i="2"/>
  <c r="M199" i="2" s="1"/>
  <c r="L217" i="2"/>
  <c r="P217" i="2" s="1"/>
  <c r="Q217" i="2" s="1"/>
  <c r="L248" i="2"/>
  <c r="U267" i="2"/>
  <c r="V267" i="2" s="1"/>
  <c r="U280" i="2"/>
  <c r="V280" i="2" s="1"/>
  <c r="U290" i="2"/>
  <c r="V290" i="2" s="1"/>
  <c r="U302" i="2"/>
  <c r="V302" i="2" s="1"/>
  <c r="U319" i="2"/>
  <c r="V319" i="2" s="1"/>
  <c r="U330" i="2"/>
  <c r="V330" i="2" s="1"/>
  <c r="U344" i="2"/>
  <c r="V344" i="2" s="1"/>
  <c r="U354" i="2"/>
  <c r="V354" i="2" s="1"/>
  <c r="L371" i="2"/>
  <c r="M371" i="2" s="1"/>
  <c r="U379" i="2"/>
  <c r="V379" i="2" s="1"/>
  <c r="U392" i="2"/>
  <c r="V392" i="2" s="1"/>
  <c r="U414" i="2"/>
  <c r="V414" i="2" s="1"/>
  <c r="L133" i="2"/>
  <c r="T147" i="2"/>
  <c r="L154" i="2"/>
  <c r="M154" i="2" s="1"/>
  <c r="T161" i="2"/>
  <c r="L167" i="2"/>
  <c r="T175" i="2"/>
  <c r="L186" i="2"/>
  <c r="P186" i="2" s="1"/>
  <c r="T194" i="2"/>
  <c r="L201" i="2"/>
  <c r="P201" i="2" s="1"/>
  <c r="Q201" i="2" s="1"/>
  <c r="U210" i="2"/>
  <c r="V210" i="2" s="1"/>
  <c r="L221" i="2"/>
  <c r="P221" i="2" s="1"/>
  <c r="Q221" i="2" s="1"/>
  <c r="T243" i="2"/>
  <c r="T252" i="2"/>
  <c r="T272" i="2"/>
  <c r="T282" i="2"/>
  <c r="T296" i="2"/>
  <c r="T307" i="2"/>
  <c r="T323" i="2"/>
  <c r="T335" i="2"/>
  <c r="T346" i="2"/>
  <c r="T358" i="2"/>
  <c r="U366" i="2"/>
  <c r="V366" i="2" s="1"/>
  <c r="L383" i="2"/>
  <c r="M383" i="2" s="1"/>
  <c r="L397" i="2"/>
  <c r="M397" i="2" s="1"/>
  <c r="U416" i="2"/>
  <c r="V416" i="2" s="1"/>
  <c r="O402" i="2"/>
  <c r="L239" i="2"/>
  <c r="P239" i="2" s="1"/>
  <c r="Q239" i="2" s="1"/>
  <c r="O387" i="2"/>
  <c r="T210" i="2"/>
  <c r="T217" i="2"/>
  <c r="L319" i="2"/>
  <c r="T420" i="2"/>
  <c r="U177" i="2"/>
  <c r="V177" i="2" s="1"/>
  <c r="U248" i="2"/>
  <c r="V248" i="2" s="1"/>
  <c r="T416" i="2"/>
  <c r="U151" i="2"/>
  <c r="V151" i="2" s="1"/>
  <c r="U175" i="2"/>
  <c r="V175" i="2" s="1"/>
  <c r="L210" i="2"/>
  <c r="U217" i="2"/>
  <c r="V217" i="2" s="1"/>
  <c r="T280" i="2"/>
  <c r="U282" i="2"/>
  <c r="V282" i="2" s="1"/>
  <c r="T284" i="2"/>
  <c r="L330" i="2"/>
  <c r="P330" i="2" s="1"/>
  <c r="Q330" i="2" s="1"/>
  <c r="L416" i="2"/>
  <c r="M416" i="2" s="1"/>
  <c r="U420" i="2"/>
  <c r="V420" i="2" s="1"/>
  <c r="U147" i="2"/>
  <c r="V147" i="2" s="1"/>
  <c r="L175" i="2"/>
  <c r="M175" i="2" s="1"/>
  <c r="L280" i="2"/>
  <c r="M280" i="2" s="1"/>
  <c r="L284" i="2"/>
  <c r="M284" i="2" s="1"/>
  <c r="L392" i="2"/>
  <c r="P392" i="2" s="1"/>
  <c r="Q392" i="2" s="1"/>
  <c r="T129" i="2"/>
  <c r="U129" i="2"/>
  <c r="V129" i="2" s="1"/>
  <c r="L147" i="2"/>
  <c r="M147" i="2" s="1"/>
  <c r="U243" i="2"/>
  <c r="V243" i="2" s="1"/>
  <c r="T360" i="2"/>
  <c r="L141" i="2"/>
  <c r="P141" i="2" s="1"/>
  <c r="Q141" i="2" s="1"/>
  <c r="L171" i="2"/>
  <c r="P171" i="2" s="1"/>
  <c r="Q171" i="2" s="1"/>
  <c r="L206" i="2"/>
  <c r="P206" i="2" s="1"/>
  <c r="Q206" i="2" s="1"/>
  <c r="T267" i="2"/>
  <c r="L344" i="2"/>
  <c r="P344" i="2" s="1"/>
  <c r="Q344" i="2" s="1"/>
  <c r="U358" i="2"/>
  <c r="V358" i="2" s="1"/>
  <c r="L414" i="2"/>
  <c r="M414" i="2" s="1"/>
  <c r="L267" i="2"/>
  <c r="L302" i="2"/>
  <c r="P302" i="2" s="1"/>
  <c r="Q302" i="2" s="1"/>
  <c r="L354" i="2"/>
  <c r="M354" i="2" s="1"/>
  <c r="L358" i="2"/>
  <c r="M358" i="2" s="1"/>
  <c r="P383" i="2"/>
  <c r="Q383" i="2" s="1"/>
  <c r="T131" i="2"/>
  <c r="T199" i="2"/>
  <c r="U252" i="2"/>
  <c r="V252" i="2" s="1"/>
  <c r="T383" i="2"/>
  <c r="T397" i="2"/>
  <c r="T403" i="2"/>
  <c r="U131" i="2"/>
  <c r="V131" i="2" s="1"/>
  <c r="L161" i="2"/>
  <c r="U161" i="2"/>
  <c r="V161" i="2" s="1"/>
  <c r="U163" i="2"/>
  <c r="V163" i="2" s="1"/>
  <c r="L194" i="2"/>
  <c r="U194" i="2"/>
  <c r="V194" i="2" s="1"/>
  <c r="U199" i="2"/>
  <c r="V199" i="2" s="1"/>
  <c r="L256" i="2"/>
  <c r="U272" i="2"/>
  <c r="V272" i="2" s="1"/>
  <c r="T276" i="2"/>
  <c r="T290" i="2"/>
  <c r="U296" i="2"/>
  <c r="V296" i="2" s="1"/>
  <c r="T298" i="2"/>
  <c r="U307" i="2"/>
  <c r="V307" i="2" s="1"/>
  <c r="T309" i="2"/>
  <c r="U323" i="2"/>
  <c r="V323" i="2" s="1"/>
  <c r="T325" i="2"/>
  <c r="U335" i="2"/>
  <c r="V335" i="2" s="1"/>
  <c r="T338" i="2"/>
  <c r="U346" i="2"/>
  <c r="V346" i="2" s="1"/>
  <c r="L364" i="2"/>
  <c r="M364" i="2" s="1"/>
  <c r="L366" i="2"/>
  <c r="T366" i="2"/>
  <c r="T371" i="2"/>
  <c r="L379" i="2"/>
  <c r="P379" i="2" s="1"/>
  <c r="Q379" i="2" s="1"/>
  <c r="U383" i="2"/>
  <c r="V383" i="2" s="1"/>
  <c r="U385" i="2"/>
  <c r="V385" i="2" s="1"/>
  <c r="U397" i="2"/>
  <c r="V397" i="2" s="1"/>
  <c r="U403" i="2"/>
  <c r="V403" i="2" s="1"/>
  <c r="T163" i="2"/>
  <c r="L252" i="2"/>
  <c r="T256" i="2"/>
  <c r="T255" i="2" s="1"/>
  <c r="T348" i="2"/>
  <c r="T385" i="2"/>
  <c r="T151" i="2"/>
  <c r="L158" i="2"/>
  <c r="T177" i="2"/>
  <c r="L189" i="2"/>
  <c r="P189" i="2" s="1"/>
  <c r="Q189" i="2" s="1"/>
  <c r="L243" i="2"/>
  <c r="O243" i="2" s="1"/>
  <c r="T248" i="2"/>
  <c r="L276" i="2"/>
  <c r="M276" i="2" s="1"/>
  <c r="L290" i="2"/>
  <c r="P290" i="2" s="1"/>
  <c r="Q290" i="2" s="1"/>
  <c r="L298" i="2"/>
  <c r="L309" i="2"/>
  <c r="M309" i="2" s="1"/>
  <c r="L325" i="2"/>
  <c r="M325" i="2" s="1"/>
  <c r="L338" i="2"/>
  <c r="M338" i="2" s="1"/>
  <c r="U371" i="2"/>
  <c r="V371" i="2" s="1"/>
  <c r="M131" i="2"/>
  <c r="P199" i="2"/>
  <c r="Q199" i="2" s="1"/>
  <c r="M217" i="2"/>
  <c r="L300" i="2"/>
  <c r="U300" i="2"/>
  <c r="V300" i="2" s="1"/>
  <c r="T300" i="2"/>
  <c r="L315" i="2"/>
  <c r="O315" i="2" s="1"/>
  <c r="U315" i="2"/>
  <c r="V315" i="2" s="1"/>
  <c r="T315" i="2"/>
  <c r="T154" i="2"/>
  <c r="T167" i="2"/>
  <c r="T186" i="2"/>
  <c r="T201" i="2"/>
  <c r="T221" i="2"/>
  <c r="L262" i="2"/>
  <c r="O262" i="2" s="1"/>
  <c r="U262" i="2"/>
  <c r="V262" i="2" s="1"/>
  <c r="T262" i="2"/>
  <c r="L375" i="2"/>
  <c r="U375" i="2"/>
  <c r="V375" i="2" s="1"/>
  <c r="T375" i="2"/>
  <c r="L408" i="2"/>
  <c r="U408" i="2"/>
  <c r="V408" i="2" s="1"/>
  <c r="T408" i="2"/>
  <c r="L342" i="2"/>
  <c r="U342" i="2"/>
  <c r="V342" i="2" s="1"/>
  <c r="T342" i="2"/>
  <c r="U133" i="2"/>
  <c r="V133" i="2" s="1"/>
  <c r="T141" i="2"/>
  <c r="U154" i="2"/>
  <c r="V154" i="2" s="1"/>
  <c r="T158" i="2"/>
  <c r="U167" i="2"/>
  <c r="V167" i="2" s="1"/>
  <c r="T171" i="2"/>
  <c r="U186" i="2"/>
  <c r="V186" i="2" s="1"/>
  <c r="T189" i="2"/>
  <c r="U201" i="2"/>
  <c r="V201" i="2" s="1"/>
  <c r="T206" i="2"/>
  <c r="U221" i="2"/>
  <c r="V221" i="2" s="1"/>
  <c r="T239" i="2"/>
  <c r="L278" i="2"/>
  <c r="U278" i="2"/>
  <c r="V278" i="2" s="1"/>
  <c r="T278" i="2"/>
  <c r="P385" i="2"/>
  <c r="Q385" i="2" s="1"/>
  <c r="L327" i="2"/>
  <c r="U327" i="2"/>
  <c r="V327" i="2" s="1"/>
  <c r="T327" i="2"/>
  <c r="T133" i="2"/>
  <c r="L288" i="2"/>
  <c r="U288" i="2"/>
  <c r="V288" i="2" s="1"/>
  <c r="T288" i="2"/>
  <c r="L352" i="2"/>
  <c r="U352" i="2"/>
  <c r="V352" i="2" s="1"/>
  <c r="T352" i="2"/>
  <c r="L362" i="2"/>
  <c r="U362" i="2"/>
  <c r="V362" i="2" s="1"/>
  <c r="T362" i="2"/>
  <c r="L388" i="2"/>
  <c r="U388" i="2"/>
  <c r="V388" i="2" s="1"/>
  <c r="T388" i="2"/>
  <c r="L425" i="2"/>
  <c r="U425" i="2"/>
  <c r="V425" i="2" s="1"/>
  <c r="T425" i="2"/>
  <c r="T424" i="2" s="1"/>
  <c r="L272" i="2"/>
  <c r="L282" i="2"/>
  <c r="L296" i="2"/>
  <c r="O296" i="2" s="1"/>
  <c r="L307" i="2"/>
  <c r="L323" i="2"/>
  <c r="O323" i="2" s="1"/>
  <c r="L335" i="2"/>
  <c r="L346" i="2"/>
  <c r="U348" i="2"/>
  <c r="V348" i="2" s="1"/>
  <c r="U360" i="2"/>
  <c r="V360" i="2" s="1"/>
  <c r="T302" i="2"/>
  <c r="T319" i="2"/>
  <c r="T330" i="2"/>
  <c r="T344" i="2"/>
  <c r="T354" i="2"/>
  <c r="T364" i="2"/>
  <c r="T379" i="2"/>
  <c r="T392" i="2"/>
  <c r="T414" i="2"/>
  <c r="J39" i="47"/>
  <c r="J38" i="47"/>
  <c r="BF150" i="1" s="1"/>
  <c r="J37" i="47"/>
  <c r="BE150" i="1" s="1"/>
  <c r="EB212" i="47"/>
  <c r="EA212" i="47"/>
  <c r="DZ212" i="47"/>
  <c r="DY212" i="47"/>
  <c r="CM212" i="47"/>
  <c r="CM211" i="47"/>
  <c r="CK212" i="47"/>
  <c r="CK211" i="47" s="1"/>
  <c r="CI212" i="47"/>
  <c r="CI211" i="47"/>
  <c r="EB209" i="47"/>
  <c r="EA209" i="47"/>
  <c r="DZ209" i="47"/>
  <c r="DY209" i="47"/>
  <c r="CM209" i="47"/>
  <c r="CM208" i="47" s="1"/>
  <c r="CK209" i="47"/>
  <c r="CK208" i="47" s="1"/>
  <c r="CI209" i="47"/>
  <c r="CI208" i="47" s="1"/>
  <c r="EB206" i="47"/>
  <c r="EA206" i="47"/>
  <c r="DZ206" i="47"/>
  <c r="DY206" i="47"/>
  <c r="CM206" i="47"/>
  <c r="CM205" i="47" s="1"/>
  <c r="CK206" i="47"/>
  <c r="CK205" i="47" s="1"/>
  <c r="CI206" i="47"/>
  <c r="CI205" i="47" s="1"/>
  <c r="EB203" i="47"/>
  <c r="EA203" i="47"/>
  <c r="DZ203" i="47"/>
  <c r="DY203" i="47"/>
  <c r="CM203" i="47"/>
  <c r="CM202" i="47" s="1"/>
  <c r="CK203" i="47"/>
  <c r="CK202" i="47" s="1"/>
  <c r="CI203" i="47"/>
  <c r="CI202" i="47" s="1"/>
  <c r="EB200" i="47"/>
  <c r="EA200" i="47"/>
  <c r="DZ200" i="47"/>
  <c r="DY200" i="47"/>
  <c r="CM200" i="47"/>
  <c r="CK200" i="47"/>
  <c r="CI200" i="47"/>
  <c r="EB198" i="47"/>
  <c r="EA198" i="47"/>
  <c r="DZ198" i="47"/>
  <c r="DY198" i="47"/>
  <c r="CM198" i="47"/>
  <c r="CK198" i="47"/>
  <c r="CI198" i="47"/>
  <c r="EB196" i="47"/>
  <c r="EA196" i="47"/>
  <c r="DZ196" i="47"/>
  <c r="DY196" i="47"/>
  <c r="CM196" i="47"/>
  <c r="CK196" i="47"/>
  <c r="CI196" i="47"/>
  <c r="EB193" i="47"/>
  <c r="EA193" i="47"/>
  <c r="DZ193" i="47"/>
  <c r="DY193" i="47"/>
  <c r="CM193" i="47"/>
  <c r="CK193" i="47"/>
  <c r="CI193" i="47"/>
  <c r="EB191" i="47"/>
  <c r="EA191" i="47"/>
  <c r="DZ191" i="47"/>
  <c r="DY191" i="47"/>
  <c r="CM191" i="47"/>
  <c r="CK191" i="47"/>
  <c r="CI191" i="47"/>
  <c r="EB189" i="47"/>
  <c r="EA189" i="47"/>
  <c r="DZ189" i="47"/>
  <c r="DY189" i="47"/>
  <c r="CM189" i="47"/>
  <c r="CK189" i="47"/>
  <c r="CI189" i="47"/>
  <c r="EB187" i="47"/>
  <c r="EA187" i="47"/>
  <c r="DZ187" i="47"/>
  <c r="DY187" i="47"/>
  <c r="CM187" i="47"/>
  <c r="CK187" i="47"/>
  <c r="CI187" i="47"/>
  <c r="EB184" i="47"/>
  <c r="EA184" i="47"/>
  <c r="DZ184" i="47"/>
  <c r="DY184" i="47"/>
  <c r="CM184" i="47"/>
  <c r="CM183" i="47" s="1"/>
  <c r="CK184" i="47"/>
  <c r="CK183" i="47" s="1"/>
  <c r="CI184" i="47"/>
  <c r="CI183" i="47" s="1"/>
  <c r="EB180" i="47"/>
  <c r="EA180" i="47"/>
  <c r="DZ180" i="47"/>
  <c r="DY180" i="47"/>
  <c r="CM180" i="47"/>
  <c r="CM179" i="47" s="1"/>
  <c r="CM178" i="47" s="1"/>
  <c r="CK180" i="47"/>
  <c r="CK179" i="47" s="1"/>
  <c r="CK178" i="47" s="1"/>
  <c r="CI180" i="47"/>
  <c r="CI179" i="47" s="1"/>
  <c r="CI178" i="47" s="1"/>
  <c r="EB176" i="47"/>
  <c r="EA176" i="47"/>
  <c r="DZ176" i="47"/>
  <c r="DY176" i="47"/>
  <c r="CM176" i="47"/>
  <c r="CM175" i="47" s="1"/>
  <c r="CK176" i="47"/>
  <c r="CK175" i="47" s="1"/>
  <c r="CI176" i="47"/>
  <c r="CI175" i="47" s="1"/>
  <c r="EB173" i="47"/>
  <c r="EA173" i="47"/>
  <c r="DZ173" i="47"/>
  <c r="DY173" i="47"/>
  <c r="CM173" i="47"/>
  <c r="CM172" i="47" s="1"/>
  <c r="CK173" i="47"/>
  <c r="CK172" i="47" s="1"/>
  <c r="CI173" i="47"/>
  <c r="CI172" i="47" s="1"/>
  <c r="EB170" i="47"/>
  <c r="EA170" i="47"/>
  <c r="DZ170" i="47"/>
  <c r="DY170" i="47"/>
  <c r="CM170" i="47"/>
  <c r="CK170" i="47"/>
  <c r="CI170" i="47"/>
  <c r="EB168" i="47"/>
  <c r="EA168" i="47"/>
  <c r="DZ168" i="47"/>
  <c r="DY168" i="47"/>
  <c r="CM168" i="47"/>
  <c r="CK168" i="47"/>
  <c r="CI168" i="47"/>
  <c r="EB166" i="47"/>
  <c r="EA166" i="47"/>
  <c r="DZ166" i="47"/>
  <c r="DY166" i="47"/>
  <c r="CM166" i="47"/>
  <c r="CK166" i="47"/>
  <c r="CI166" i="47"/>
  <c r="EB163" i="47"/>
  <c r="EA163" i="47"/>
  <c r="DZ163" i="47"/>
  <c r="DY163" i="47"/>
  <c r="CM163" i="47"/>
  <c r="CK163" i="47"/>
  <c r="CI163" i="47"/>
  <c r="EB161" i="47"/>
  <c r="EA161" i="47"/>
  <c r="DZ161" i="47"/>
  <c r="DY161" i="47"/>
  <c r="CM161" i="47"/>
  <c r="CK161" i="47"/>
  <c r="CI161" i="47"/>
  <c r="EB159" i="47"/>
  <c r="EA159" i="47"/>
  <c r="DZ159" i="47"/>
  <c r="DY159" i="47"/>
  <c r="CM159" i="47"/>
  <c r="CK159" i="47"/>
  <c r="CI159" i="47"/>
  <c r="EB156" i="47"/>
  <c r="EA156" i="47"/>
  <c r="DZ156" i="47"/>
  <c r="DY156" i="47"/>
  <c r="CM156" i="47"/>
  <c r="CM155" i="47" s="1"/>
  <c r="CK156" i="47"/>
  <c r="CK155" i="47" s="1"/>
  <c r="CI156" i="47"/>
  <c r="CI155" i="47" s="1"/>
  <c r="EB153" i="47"/>
  <c r="EA153" i="47"/>
  <c r="DZ153" i="47"/>
  <c r="DY153" i="47"/>
  <c r="CM153" i="47"/>
  <c r="CM152" i="47" s="1"/>
  <c r="CK153" i="47"/>
  <c r="CK152" i="47" s="1"/>
  <c r="CI153" i="47"/>
  <c r="CI152" i="47" s="1"/>
  <c r="EB150" i="47"/>
  <c r="EA150" i="47"/>
  <c r="DZ150" i="47"/>
  <c r="DY150" i="47"/>
  <c r="CM150" i="47"/>
  <c r="CK150" i="47"/>
  <c r="CI150" i="47"/>
  <c r="EB148" i="47"/>
  <c r="EA148" i="47"/>
  <c r="DZ148" i="47"/>
  <c r="DY148" i="47"/>
  <c r="CM148" i="47"/>
  <c r="CK148" i="47"/>
  <c r="CI148" i="47"/>
  <c r="EB145" i="47"/>
  <c r="EA145" i="47"/>
  <c r="DZ145" i="47"/>
  <c r="DY145" i="47"/>
  <c r="CM145" i="47"/>
  <c r="CK145" i="47"/>
  <c r="CI145" i="47"/>
  <c r="EB143" i="47"/>
  <c r="EA143" i="47"/>
  <c r="DZ143" i="47"/>
  <c r="DY143" i="47"/>
  <c r="CM143" i="47"/>
  <c r="CK143" i="47"/>
  <c r="CI143" i="47"/>
  <c r="EB140" i="47"/>
  <c r="EA140" i="47"/>
  <c r="DZ140" i="47"/>
  <c r="DY140" i="47"/>
  <c r="CM140" i="47"/>
  <c r="CM139" i="47" s="1"/>
  <c r="CK140" i="47"/>
  <c r="CK139" i="47" s="1"/>
  <c r="CI140" i="47"/>
  <c r="CI139" i="47" s="1"/>
  <c r="EB137" i="47"/>
  <c r="EA137" i="47"/>
  <c r="DZ137" i="47"/>
  <c r="DY137" i="47"/>
  <c r="CM137" i="47"/>
  <c r="CM136" i="47" s="1"/>
  <c r="CK137" i="47"/>
  <c r="CK136" i="47" s="1"/>
  <c r="CI137" i="47"/>
  <c r="CI136" i="47" s="1"/>
  <c r="E129" i="47"/>
  <c r="F91" i="47"/>
  <c r="E89" i="47"/>
  <c r="J26" i="47"/>
  <c r="E26" i="47"/>
  <c r="J25" i="47"/>
  <c r="J23" i="47"/>
  <c r="E23" i="47"/>
  <c r="J93" i="47" s="1"/>
  <c r="J22" i="47"/>
  <c r="J20" i="47"/>
  <c r="E20" i="47"/>
  <c r="F94" i="47" s="1"/>
  <c r="J19" i="47"/>
  <c r="J17" i="47"/>
  <c r="E17" i="47"/>
  <c r="J16" i="47"/>
  <c r="J14" i="47"/>
  <c r="E7" i="47"/>
  <c r="J39" i="46"/>
  <c r="J38" i="46"/>
  <c r="BF149" i="1" s="1"/>
  <c r="J37" i="46"/>
  <c r="BE149" i="1"/>
  <c r="DT122" i="46"/>
  <c r="DS122" i="46"/>
  <c r="DR122" i="46"/>
  <c r="DQ122" i="46"/>
  <c r="CE122" i="46"/>
  <c r="CC122" i="46"/>
  <c r="CA122" i="46"/>
  <c r="DT118" i="46"/>
  <c r="DS118" i="46"/>
  <c r="DR118" i="46"/>
  <c r="DQ118" i="46"/>
  <c r="CE118" i="46"/>
  <c r="CC118" i="46"/>
  <c r="CA118" i="46"/>
  <c r="E109" i="46"/>
  <c r="F91" i="46"/>
  <c r="E89" i="46"/>
  <c r="J26" i="46"/>
  <c r="E26" i="46"/>
  <c r="J25" i="46"/>
  <c r="J23" i="46"/>
  <c r="E23" i="46"/>
  <c r="J22" i="46"/>
  <c r="J20" i="46"/>
  <c r="E20" i="46"/>
  <c r="J19" i="46"/>
  <c r="J17" i="46"/>
  <c r="E17" i="46"/>
  <c r="F93" i="46" s="1"/>
  <c r="J16" i="46"/>
  <c r="J14" i="46"/>
  <c r="E7" i="46"/>
  <c r="J41" i="45"/>
  <c r="J40" i="45"/>
  <c r="BF148" i="1" s="1"/>
  <c r="J39" i="45"/>
  <c r="BE148" i="1" s="1"/>
  <c r="BI129" i="45"/>
  <c r="BH129" i="45"/>
  <c r="BG129" i="45"/>
  <c r="BF129" i="45"/>
  <c r="T129" i="45"/>
  <c r="T128" i="45" s="1"/>
  <c r="T127" i="45" s="1"/>
  <c r="T126" i="45" s="1"/>
  <c r="R129" i="45"/>
  <c r="R128" i="45" s="1"/>
  <c r="R127" i="45" s="1"/>
  <c r="R126" i="45" s="1"/>
  <c r="P129" i="45"/>
  <c r="P128" i="45"/>
  <c r="P127" i="45" s="1"/>
  <c r="P126" i="45" s="1"/>
  <c r="BB148" i="1" s="1"/>
  <c r="F120" i="45"/>
  <c r="E118" i="45"/>
  <c r="F93" i="45"/>
  <c r="E91" i="45"/>
  <c r="J28" i="45"/>
  <c r="E28" i="45"/>
  <c r="J123" i="45" s="1"/>
  <c r="J27" i="45"/>
  <c r="J25" i="45"/>
  <c r="E25" i="45"/>
  <c r="J122" i="45" s="1"/>
  <c r="J24" i="45"/>
  <c r="J22" i="45"/>
  <c r="E22" i="45"/>
  <c r="F123" i="45" s="1"/>
  <c r="J21" i="45"/>
  <c r="J19" i="45"/>
  <c r="E19" i="45"/>
  <c r="F95" i="45" s="1"/>
  <c r="J18" i="45"/>
  <c r="J16" i="45"/>
  <c r="J120" i="45" s="1"/>
  <c r="E7" i="45"/>
  <c r="E112" i="45" s="1"/>
  <c r="J41" i="44"/>
  <c r="J40" i="44"/>
  <c r="BF146" i="1" s="1"/>
  <c r="J39" i="44"/>
  <c r="BE146" i="1"/>
  <c r="DD320" i="44"/>
  <c r="DC320" i="44"/>
  <c r="DB320" i="44"/>
  <c r="DA320" i="44"/>
  <c r="BO320" i="44"/>
  <c r="BM320" i="44"/>
  <c r="BK320" i="44"/>
  <c r="DD318" i="44"/>
  <c r="DC318" i="44"/>
  <c r="DB318" i="44"/>
  <c r="DA318" i="44"/>
  <c r="BO318" i="44"/>
  <c r="BM318" i="44"/>
  <c r="BK318" i="44"/>
  <c r="DD316" i="44"/>
  <c r="DC316" i="44"/>
  <c r="DB316" i="44"/>
  <c r="DA316" i="44"/>
  <c r="BO316" i="44"/>
  <c r="BM316" i="44"/>
  <c r="BK316" i="44"/>
  <c r="DD313" i="44"/>
  <c r="DC313" i="44"/>
  <c r="DB313" i="44"/>
  <c r="DA313" i="44"/>
  <c r="BO313" i="44"/>
  <c r="BM313" i="44"/>
  <c r="BK313" i="44"/>
  <c r="DD311" i="44"/>
  <c r="DC311" i="44"/>
  <c r="DB311" i="44"/>
  <c r="DA311" i="44"/>
  <c r="BO311" i="44"/>
  <c r="BM311" i="44"/>
  <c r="BK311" i="44"/>
  <c r="DD309" i="44"/>
  <c r="DC309" i="44"/>
  <c r="DB309" i="44"/>
  <c r="DA309" i="44"/>
  <c r="BO309" i="44"/>
  <c r="BM309" i="44"/>
  <c r="BK309" i="44"/>
  <c r="DD307" i="44"/>
  <c r="DC307" i="44"/>
  <c r="DB307" i="44"/>
  <c r="DA307" i="44"/>
  <c r="BO307" i="44"/>
  <c r="BM307" i="44"/>
  <c r="BK307" i="44"/>
  <c r="DD305" i="44"/>
  <c r="DC305" i="44"/>
  <c r="DB305" i="44"/>
  <c r="DA305" i="44"/>
  <c r="BO305" i="44"/>
  <c r="BM305" i="44"/>
  <c r="BK305" i="44"/>
  <c r="DD302" i="44"/>
  <c r="DC302" i="44"/>
  <c r="DB302" i="44"/>
  <c r="DA302" i="44"/>
  <c r="BO302" i="44"/>
  <c r="BM302" i="44"/>
  <c r="BK302" i="44"/>
  <c r="DD300" i="44"/>
  <c r="DC300" i="44"/>
  <c r="DB300" i="44"/>
  <c r="DA300" i="44"/>
  <c r="BO300" i="44"/>
  <c r="BM300" i="44"/>
  <c r="BK300" i="44"/>
  <c r="DD298" i="44"/>
  <c r="DC298" i="44"/>
  <c r="DB298" i="44"/>
  <c r="DA298" i="44"/>
  <c r="BO298" i="44"/>
  <c r="BM298" i="44"/>
  <c r="BK298" i="44"/>
  <c r="DD296" i="44"/>
  <c r="DC296" i="44"/>
  <c r="DB296" i="44"/>
  <c r="DA296" i="44"/>
  <c r="BO296" i="44"/>
  <c r="BM296" i="44"/>
  <c r="BK296" i="44"/>
  <c r="DD293" i="44"/>
  <c r="DC293" i="44"/>
  <c r="DB293" i="44"/>
  <c r="DA293" i="44"/>
  <c r="BO293" i="44"/>
  <c r="BM293" i="44"/>
  <c r="BK293" i="44"/>
  <c r="DD291" i="44"/>
  <c r="DC291" i="44"/>
  <c r="DB291" i="44"/>
  <c r="DA291" i="44"/>
  <c r="BO291" i="44"/>
  <c r="BM291" i="44"/>
  <c r="BK291" i="44"/>
  <c r="DD289" i="44"/>
  <c r="DC289" i="44"/>
  <c r="DB289" i="44"/>
  <c r="DA289" i="44"/>
  <c r="BO289" i="44"/>
  <c r="BM289" i="44"/>
  <c r="BK289" i="44"/>
  <c r="DD287" i="44"/>
  <c r="DC287" i="44"/>
  <c r="DB287" i="44"/>
  <c r="DA287" i="44"/>
  <c r="BO287" i="44"/>
  <c r="BM287" i="44"/>
  <c r="BK287" i="44"/>
  <c r="DD285" i="44"/>
  <c r="DC285" i="44"/>
  <c r="DB285" i="44"/>
  <c r="DA285" i="44"/>
  <c r="BO285" i="44"/>
  <c r="BM285" i="44"/>
  <c r="BK285" i="44"/>
  <c r="DD283" i="44"/>
  <c r="DC283" i="44"/>
  <c r="DB283" i="44"/>
  <c r="DA283" i="44"/>
  <c r="BO283" i="44"/>
  <c r="BM283" i="44"/>
  <c r="BK283" i="44"/>
  <c r="DD281" i="44"/>
  <c r="DC281" i="44"/>
  <c r="DB281" i="44"/>
  <c r="DA281" i="44"/>
  <c r="BO281" i="44"/>
  <c r="BM281" i="44"/>
  <c r="BK281" i="44"/>
  <c r="DD279" i="44"/>
  <c r="DC279" i="44"/>
  <c r="DB279" i="44"/>
  <c r="DA279" i="44"/>
  <c r="BO279" i="44"/>
  <c r="BM279" i="44"/>
  <c r="BK279" i="44"/>
  <c r="DD277" i="44"/>
  <c r="DC277" i="44"/>
  <c r="DB277" i="44"/>
  <c r="DA277" i="44"/>
  <c r="BO277" i="44"/>
  <c r="BM277" i="44"/>
  <c r="BK277" i="44"/>
  <c r="DD275" i="44"/>
  <c r="DC275" i="44"/>
  <c r="DB275" i="44"/>
  <c r="DA275" i="44"/>
  <c r="BO275" i="44"/>
  <c r="BM275" i="44"/>
  <c r="BK275" i="44"/>
  <c r="DD272" i="44"/>
  <c r="DC272" i="44"/>
  <c r="DB272" i="44"/>
  <c r="DA272" i="44"/>
  <c r="BO272" i="44"/>
  <c r="BM272" i="44"/>
  <c r="BK272" i="44"/>
  <c r="DD270" i="44"/>
  <c r="DC270" i="44"/>
  <c r="DB270" i="44"/>
  <c r="DA270" i="44"/>
  <c r="BO270" i="44"/>
  <c r="BM270" i="44"/>
  <c r="BK270" i="44"/>
  <c r="DD268" i="44"/>
  <c r="DC268" i="44"/>
  <c r="DB268" i="44"/>
  <c r="DA268" i="44"/>
  <c r="BO268" i="44"/>
  <c r="BM268" i="44"/>
  <c r="BK268" i="44"/>
  <c r="DD266" i="44"/>
  <c r="DC266" i="44"/>
  <c r="DB266" i="44"/>
  <c r="DA266" i="44"/>
  <c r="BO266" i="44"/>
  <c r="BM266" i="44"/>
  <c r="BK266" i="44"/>
  <c r="DD264" i="44"/>
  <c r="DC264" i="44"/>
  <c r="DB264" i="44"/>
  <c r="DA264" i="44"/>
  <c r="BO264" i="44"/>
  <c r="BM264" i="44"/>
  <c r="BK264" i="44"/>
  <c r="DD262" i="44"/>
  <c r="DC262" i="44"/>
  <c r="DB262" i="44"/>
  <c r="DA262" i="44"/>
  <c r="BO262" i="44"/>
  <c r="BM262" i="44"/>
  <c r="BK262" i="44"/>
  <c r="DD260" i="44"/>
  <c r="DC260" i="44"/>
  <c r="DB260" i="44"/>
  <c r="DA260" i="44"/>
  <c r="BO260" i="44"/>
  <c r="BM260" i="44"/>
  <c r="BK260" i="44"/>
  <c r="DD258" i="44"/>
  <c r="DC258" i="44"/>
  <c r="DB258" i="44"/>
  <c r="DA258" i="44"/>
  <c r="BO258" i="44"/>
  <c r="BM258" i="44"/>
  <c r="BK258" i="44"/>
  <c r="DD256" i="44"/>
  <c r="DC256" i="44"/>
  <c r="DB256" i="44"/>
  <c r="DA256" i="44"/>
  <c r="BO256" i="44"/>
  <c r="BM256" i="44"/>
  <c r="BK256" i="44"/>
  <c r="DD254" i="44"/>
  <c r="DC254" i="44"/>
  <c r="DB254" i="44"/>
  <c r="DA254" i="44"/>
  <c r="BO254" i="44"/>
  <c r="BM254" i="44"/>
  <c r="BK254" i="44"/>
  <c r="DD252" i="44"/>
  <c r="DC252" i="44"/>
  <c r="DB252" i="44"/>
  <c r="DA252" i="44"/>
  <c r="BO252" i="44"/>
  <c r="BM252" i="44"/>
  <c r="BK252" i="44"/>
  <c r="DD250" i="44"/>
  <c r="DC250" i="44"/>
  <c r="DB250" i="44"/>
  <c r="DA250" i="44"/>
  <c r="BO250" i="44"/>
  <c r="BM250" i="44"/>
  <c r="BK250" i="44"/>
  <c r="DD248" i="44"/>
  <c r="DC248" i="44"/>
  <c r="DB248" i="44"/>
  <c r="DA248" i="44"/>
  <c r="BO248" i="44"/>
  <c r="BM248" i="44"/>
  <c r="BK248" i="44"/>
  <c r="DD246" i="44"/>
  <c r="DC246" i="44"/>
  <c r="DB246" i="44"/>
  <c r="DA246" i="44"/>
  <c r="BO246" i="44"/>
  <c r="BM246" i="44"/>
  <c r="BK246" i="44"/>
  <c r="DD244" i="44"/>
  <c r="DC244" i="44"/>
  <c r="DB244" i="44"/>
  <c r="DA244" i="44"/>
  <c r="BO244" i="44"/>
  <c r="BM244" i="44"/>
  <c r="BK244" i="44"/>
  <c r="DD241" i="44"/>
  <c r="DC241" i="44"/>
  <c r="DB241" i="44"/>
  <c r="DA241" i="44"/>
  <c r="BO241" i="44"/>
  <c r="BM241" i="44"/>
  <c r="BK241" i="44"/>
  <c r="DD239" i="44"/>
  <c r="DC239" i="44"/>
  <c r="DB239" i="44"/>
  <c r="DA239" i="44"/>
  <c r="BO239" i="44"/>
  <c r="BM239" i="44"/>
  <c r="BK239" i="44"/>
  <c r="DD237" i="44"/>
  <c r="DC237" i="44"/>
  <c r="DB237" i="44"/>
  <c r="DA237" i="44"/>
  <c r="BO237" i="44"/>
  <c r="BM237" i="44"/>
  <c r="BK237" i="44"/>
  <c r="DD235" i="44"/>
  <c r="DC235" i="44"/>
  <c r="DB235" i="44"/>
  <c r="DA235" i="44"/>
  <c r="BO235" i="44"/>
  <c r="BM235" i="44"/>
  <c r="BK235" i="44"/>
  <c r="DD233" i="44"/>
  <c r="DC233" i="44"/>
  <c r="DB233" i="44"/>
  <c r="DA233" i="44"/>
  <c r="BO233" i="44"/>
  <c r="BM233" i="44"/>
  <c r="BK233" i="44"/>
  <c r="DD229" i="44"/>
  <c r="DC229" i="44"/>
  <c r="DB229" i="44"/>
  <c r="DA229" i="44"/>
  <c r="BO229" i="44"/>
  <c r="BM229" i="44"/>
  <c r="BK229" i="44"/>
  <c r="DD227" i="44"/>
  <c r="DC227" i="44"/>
  <c r="DB227" i="44"/>
  <c r="DA227" i="44"/>
  <c r="BO227" i="44"/>
  <c r="BM227" i="44"/>
  <c r="BK227" i="44"/>
  <c r="DD225" i="44"/>
  <c r="DC225" i="44"/>
  <c r="DB225" i="44"/>
  <c r="DA225" i="44"/>
  <c r="BO225" i="44"/>
  <c r="BM225" i="44"/>
  <c r="BK225" i="44"/>
  <c r="DD223" i="44"/>
  <c r="DC223" i="44"/>
  <c r="DB223" i="44"/>
  <c r="DA223" i="44"/>
  <c r="BO223" i="44"/>
  <c r="BM223" i="44"/>
  <c r="BK223" i="44"/>
  <c r="DD221" i="44"/>
  <c r="DC221" i="44"/>
  <c r="DB221" i="44"/>
  <c r="DA221" i="44"/>
  <c r="BO221" i="44"/>
  <c r="BM221" i="44"/>
  <c r="BK221" i="44"/>
  <c r="DD219" i="44"/>
  <c r="DC219" i="44"/>
  <c r="DB219" i="44"/>
  <c r="DA219" i="44"/>
  <c r="BO219" i="44"/>
  <c r="BM219" i="44"/>
  <c r="BK219" i="44"/>
  <c r="DD217" i="44"/>
  <c r="DC217" i="44"/>
  <c r="DB217" i="44"/>
  <c r="DA217" i="44"/>
  <c r="BO217" i="44"/>
  <c r="BM217" i="44"/>
  <c r="BK217" i="44"/>
  <c r="DD215" i="44"/>
  <c r="DC215" i="44"/>
  <c r="DB215" i="44"/>
  <c r="DA215" i="44"/>
  <c r="BO215" i="44"/>
  <c r="BM215" i="44"/>
  <c r="BK215" i="44"/>
  <c r="DD213" i="44"/>
  <c r="DC213" i="44"/>
  <c r="DB213" i="44"/>
  <c r="DA213" i="44"/>
  <c r="BO213" i="44"/>
  <c r="BM213" i="44"/>
  <c r="BK213" i="44"/>
  <c r="DD211" i="44"/>
  <c r="DC211" i="44"/>
  <c r="DB211" i="44"/>
  <c r="DA211" i="44"/>
  <c r="BO211" i="44"/>
  <c r="BM211" i="44"/>
  <c r="BK211" i="44"/>
  <c r="DD209" i="44"/>
  <c r="DC209" i="44"/>
  <c r="DB209" i="44"/>
  <c r="DA209" i="44"/>
  <c r="BO209" i="44"/>
  <c r="BM209" i="44"/>
  <c r="BK209" i="44"/>
  <c r="DD207" i="44"/>
  <c r="DC207" i="44"/>
  <c r="DB207" i="44"/>
  <c r="DA207" i="44"/>
  <c r="BO207" i="44"/>
  <c r="BM207" i="44"/>
  <c r="BK207" i="44"/>
  <c r="DD205" i="44"/>
  <c r="DC205" i="44"/>
  <c r="DB205" i="44"/>
  <c r="DA205" i="44"/>
  <c r="BO205" i="44"/>
  <c r="BM205" i="44"/>
  <c r="BK205" i="44"/>
  <c r="DD203" i="44"/>
  <c r="DC203" i="44"/>
  <c r="DB203" i="44"/>
  <c r="DA203" i="44"/>
  <c r="BO203" i="44"/>
  <c r="BM203" i="44"/>
  <c r="BK203" i="44"/>
  <c r="DD201" i="44"/>
  <c r="DC201" i="44"/>
  <c r="DB201" i="44"/>
  <c r="DA201" i="44"/>
  <c r="BO201" i="44"/>
  <c r="BM201" i="44"/>
  <c r="BK201" i="44"/>
  <c r="DD199" i="44"/>
  <c r="DC199" i="44"/>
  <c r="DB199" i="44"/>
  <c r="DA199" i="44"/>
  <c r="BO199" i="44"/>
  <c r="BM199" i="44"/>
  <c r="BK199" i="44"/>
  <c r="DD197" i="44"/>
  <c r="DC197" i="44"/>
  <c r="DB197" i="44"/>
  <c r="DA197" i="44"/>
  <c r="BO197" i="44"/>
  <c r="BM197" i="44"/>
  <c r="BK197" i="44"/>
  <c r="DD195" i="44"/>
  <c r="DC195" i="44"/>
  <c r="DB195" i="44"/>
  <c r="DA195" i="44"/>
  <c r="BO195" i="44"/>
  <c r="BM195" i="44"/>
  <c r="BK195" i="44"/>
  <c r="DD193" i="44"/>
  <c r="DC193" i="44"/>
  <c r="DB193" i="44"/>
  <c r="DA193" i="44"/>
  <c r="BO193" i="44"/>
  <c r="BM193" i="44"/>
  <c r="BK193" i="44"/>
  <c r="DD191" i="44"/>
  <c r="DC191" i="44"/>
  <c r="DB191" i="44"/>
  <c r="DA191" i="44"/>
  <c r="BO191" i="44"/>
  <c r="BM191" i="44"/>
  <c r="BK191" i="44"/>
  <c r="DD189" i="44"/>
  <c r="DC189" i="44"/>
  <c r="DB189" i="44"/>
  <c r="DA189" i="44"/>
  <c r="BO189" i="44"/>
  <c r="BM189" i="44"/>
  <c r="BK189" i="44"/>
  <c r="DD187" i="44"/>
  <c r="DC187" i="44"/>
  <c r="DB187" i="44"/>
  <c r="DA187" i="44"/>
  <c r="BO187" i="44"/>
  <c r="BM187" i="44"/>
  <c r="BK187" i="44"/>
  <c r="DD185" i="44"/>
  <c r="DC185" i="44"/>
  <c r="DB185" i="44"/>
  <c r="DA185" i="44"/>
  <c r="BO185" i="44"/>
  <c r="BM185" i="44"/>
  <c r="BK185" i="44"/>
  <c r="DD183" i="44"/>
  <c r="DC183" i="44"/>
  <c r="DB183" i="44"/>
  <c r="DA183" i="44"/>
  <c r="BO183" i="44"/>
  <c r="BM183" i="44"/>
  <c r="BK183" i="44"/>
  <c r="DD181" i="44"/>
  <c r="DC181" i="44"/>
  <c r="DB181" i="44"/>
  <c r="DA181" i="44"/>
  <c r="BO181" i="44"/>
  <c r="BM181" i="44"/>
  <c r="BK181" i="44"/>
  <c r="DD179" i="44"/>
  <c r="DC179" i="44"/>
  <c r="DB179" i="44"/>
  <c r="DA179" i="44"/>
  <c r="BO179" i="44"/>
  <c r="BM179" i="44"/>
  <c r="BK179" i="44"/>
  <c r="DD177" i="44"/>
  <c r="DC177" i="44"/>
  <c r="DB177" i="44"/>
  <c r="DA177" i="44"/>
  <c r="BO177" i="44"/>
  <c r="BM177" i="44"/>
  <c r="BK177" i="44"/>
  <c r="DD175" i="44"/>
  <c r="DC175" i="44"/>
  <c r="DB175" i="44"/>
  <c r="DA175" i="44"/>
  <c r="BO175" i="44"/>
  <c r="BM175" i="44"/>
  <c r="BK175" i="44"/>
  <c r="DD173" i="44"/>
  <c r="DC173" i="44"/>
  <c r="DB173" i="44"/>
  <c r="DA173" i="44"/>
  <c r="BO173" i="44"/>
  <c r="BM173" i="44"/>
  <c r="BK173" i="44"/>
  <c r="DD171" i="44"/>
  <c r="DC171" i="44"/>
  <c r="DB171" i="44"/>
  <c r="DA171" i="44"/>
  <c r="BO171" i="44"/>
  <c r="BM171" i="44"/>
  <c r="BK171" i="44"/>
  <c r="DD169" i="44"/>
  <c r="DC169" i="44"/>
  <c r="DB169" i="44"/>
  <c r="DA169" i="44"/>
  <c r="BO169" i="44"/>
  <c r="BM169" i="44"/>
  <c r="BK169" i="44"/>
  <c r="DD167" i="44"/>
  <c r="DC167" i="44"/>
  <c r="DB167" i="44"/>
  <c r="DA167" i="44"/>
  <c r="BO167" i="44"/>
  <c r="BM167" i="44"/>
  <c r="BK167" i="44"/>
  <c r="DD165" i="44"/>
  <c r="DC165" i="44"/>
  <c r="DB165" i="44"/>
  <c r="DA165" i="44"/>
  <c r="BO165" i="44"/>
  <c r="BM165" i="44"/>
  <c r="BK165" i="44"/>
  <c r="DD163" i="44"/>
  <c r="DC163" i="44"/>
  <c r="DB163" i="44"/>
  <c r="DA163" i="44"/>
  <c r="BO163" i="44"/>
  <c r="BM163" i="44"/>
  <c r="BK163" i="44"/>
  <c r="DD161" i="44"/>
  <c r="DC161" i="44"/>
  <c r="DB161" i="44"/>
  <c r="DA161" i="44"/>
  <c r="BO161" i="44"/>
  <c r="BM161" i="44"/>
  <c r="BK161" i="44"/>
  <c r="DD159" i="44"/>
  <c r="DC159" i="44"/>
  <c r="DB159" i="44"/>
  <c r="DA159" i="44"/>
  <c r="BO159" i="44"/>
  <c r="BM159" i="44"/>
  <c r="BK159" i="44"/>
  <c r="DD157" i="44"/>
  <c r="DC157" i="44"/>
  <c r="DB157" i="44"/>
  <c r="DA157" i="44"/>
  <c r="BO157" i="44"/>
  <c r="BM157" i="44"/>
  <c r="BK157" i="44"/>
  <c r="DD155" i="44"/>
  <c r="DC155" i="44"/>
  <c r="DB155" i="44"/>
  <c r="DA155" i="44"/>
  <c r="BO155" i="44"/>
  <c r="BM155" i="44"/>
  <c r="BK155" i="44"/>
  <c r="DD153" i="44"/>
  <c r="DC153" i="44"/>
  <c r="DB153" i="44"/>
  <c r="DA153" i="44"/>
  <c r="BO153" i="44"/>
  <c r="BM153" i="44"/>
  <c r="BK153" i="44"/>
  <c r="DD151" i="44"/>
  <c r="DC151" i="44"/>
  <c r="DB151" i="44"/>
  <c r="DA151" i="44"/>
  <c r="BO151" i="44"/>
  <c r="BM151" i="44"/>
  <c r="BK151" i="44"/>
  <c r="DD149" i="44"/>
  <c r="DC149" i="44"/>
  <c r="DB149" i="44"/>
  <c r="DA149" i="44"/>
  <c r="BO149" i="44"/>
  <c r="BM149" i="44"/>
  <c r="BK149" i="44"/>
  <c r="DD147" i="44"/>
  <c r="DC147" i="44"/>
  <c r="DB147" i="44"/>
  <c r="DA147" i="44"/>
  <c r="BO147" i="44"/>
  <c r="BM147" i="44"/>
  <c r="BK147" i="44"/>
  <c r="DD145" i="44"/>
  <c r="DC145" i="44"/>
  <c r="DB145" i="44"/>
  <c r="DA145" i="44"/>
  <c r="BO145" i="44"/>
  <c r="BM145" i="44"/>
  <c r="BK145" i="44"/>
  <c r="DD143" i="44"/>
  <c r="DC143" i="44"/>
  <c r="DB143" i="44"/>
  <c r="DA143" i="44"/>
  <c r="BO143" i="44"/>
  <c r="BM143" i="44"/>
  <c r="BK143" i="44"/>
  <c r="DD141" i="44"/>
  <c r="DC141" i="44"/>
  <c r="DB141" i="44"/>
  <c r="DA141" i="44"/>
  <c r="BO141" i="44"/>
  <c r="BM141" i="44"/>
  <c r="BK141" i="44"/>
  <c r="DD139" i="44"/>
  <c r="DC139" i="44"/>
  <c r="DB139" i="44"/>
  <c r="DA139" i="44"/>
  <c r="BO139" i="44"/>
  <c r="BM139" i="44"/>
  <c r="BK139" i="44"/>
  <c r="DD137" i="44"/>
  <c r="DC137" i="44"/>
  <c r="DB137" i="44"/>
  <c r="DA137" i="44"/>
  <c r="BO137" i="44"/>
  <c r="BM137" i="44"/>
  <c r="BK137" i="44"/>
  <c r="DD135" i="44"/>
  <c r="DC135" i="44"/>
  <c r="DB135" i="44"/>
  <c r="DA135" i="44"/>
  <c r="BO135" i="44"/>
  <c r="BM135" i="44"/>
  <c r="BK135" i="44"/>
  <c r="DD133" i="44"/>
  <c r="DC133" i="44"/>
  <c r="DB133" i="44"/>
  <c r="DA133" i="44"/>
  <c r="BO133" i="44"/>
  <c r="BM133" i="44"/>
  <c r="BK133" i="44"/>
  <c r="DD131" i="44"/>
  <c r="DC131" i="44"/>
  <c r="DB131" i="44"/>
  <c r="DA131" i="44"/>
  <c r="BO131" i="44"/>
  <c r="BM131" i="44"/>
  <c r="BK131" i="44"/>
  <c r="DD129" i="44"/>
  <c r="DC129" i="44"/>
  <c r="DB129" i="44"/>
  <c r="DA129" i="44"/>
  <c r="BO129" i="44"/>
  <c r="BM129" i="44"/>
  <c r="BK129" i="44"/>
  <c r="DD127" i="44"/>
  <c r="DC127" i="44"/>
  <c r="DB127" i="44"/>
  <c r="DA127" i="44"/>
  <c r="BO127" i="44"/>
  <c r="BM127" i="44"/>
  <c r="BK127" i="44"/>
  <c r="E118" i="44"/>
  <c r="F93" i="44"/>
  <c r="E91" i="44"/>
  <c r="J28" i="44"/>
  <c r="E28" i="44"/>
  <c r="J27" i="44"/>
  <c r="J25" i="44"/>
  <c r="E25" i="44"/>
  <c r="J24" i="44"/>
  <c r="J22" i="44"/>
  <c r="E22" i="44"/>
  <c r="F96" i="44" s="1"/>
  <c r="J21" i="44"/>
  <c r="J19" i="44"/>
  <c r="E19" i="44"/>
  <c r="F95" i="44" s="1"/>
  <c r="J18" i="44"/>
  <c r="J16" i="44"/>
  <c r="E7" i="44"/>
  <c r="E85" i="44" s="1"/>
  <c r="J41" i="43"/>
  <c r="J40" i="43"/>
  <c r="BF144" i="1" s="1"/>
  <c r="J39" i="43"/>
  <c r="BE144" i="1"/>
  <c r="CN323" i="43"/>
  <c r="CM323" i="43"/>
  <c r="CL323" i="43"/>
  <c r="CK323" i="43"/>
  <c r="AY323" i="43"/>
  <c r="AW323" i="43"/>
  <c r="AU323" i="43"/>
  <c r="CN321" i="43"/>
  <c r="CM321" i="43"/>
  <c r="CL321" i="43"/>
  <c r="CK321" i="43"/>
  <c r="AY321" i="43"/>
  <c r="AW321" i="43"/>
  <c r="AU321" i="43"/>
  <c r="CN319" i="43"/>
  <c r="CM319" i="43"/>
  <c r="CL319" i="43"/>
  <c r="CK319" i="43"/>
  <c r="AY319" i="43"/>
  <c r="AW319" i="43"/>
  <c r="AU319" i="43"/>
  <c r="CN316" i="43"/>
  <c r="CM316" i="43"/>
  <c r="CL316" i="43"/>
  <c r="CK316" i="43"/>
  <c r="AY316" i="43"/>
  <c r="AW316" i="43"/>
  <c r="AU316" i="43"/>
  <c r="CN314" i="43"/>
  <c r="CM314" i="43"/>
  <c r="CL314" i="43"/>
  <c r="CK314" i="43"/>
  <c r="AY314" i="43"/>
  <c r="AW314" i="43"/>
  <c r="AU314" i="43"/>
  <c r="CN312" i="43"/>
  <c r="CM312" i="43"/>
  <c r="CL312" i="43"/>
  <c r="CK312" i="43"/>
  <c r="AY312" i="43"/>
  <c r="AW312" i="43"/>
  <c r="AU312" i="43"/>
  <c r="CN310" i="43"/>
  <c r="CM310" i="43"/>
  <c r="CL310" i="43"/>
  <c r="CK310" i="43"/>
  <c r="AY310" i="43"/>
  <c r="AW310" i="43"/>
  <c r="AU310" i="43"/>
  <c r="CN308" i="43"/>
  <c r="CM308" i="43"/>
  <c r="CL308" i="43"/>
  <c r="CK308" i="43"/>
  <c r="AY308" i="43"/>
  <c r="AW308" i="43"/>
  <c r="AU308" i="43"/>
  <c r="CN305" i="43"/>
  <c r="CM305" i="43"/>
  <c r="CL305" i="43"/>
  <c r="CK305" i="43"/>
  <c r="AY305" i="43"/>
  <c r="AW305" i="43"/>
  <c r="AU305" i="43"/>
  <c r="CN303" i="43"/>
  <c r="CM303" i="43"/>
  <c r="CL303" i="43"/>
  <c r="CK303" i="43"/>
  <c r="AY303" i="43"/>
  <c r="AW303" i="43"/>
  <c r="AU303" i="43"/>
  <c r="CN301" i="43"/>
  <c r="CM301" i="43"/>
  <c r="CL301" i="43"/>
  <c r="CK301" i="43"/>
  <c r="AY301" i="43"/>
  <c r="AW301" i="43"/>
  <c r="AU301" i="43"/>
  <c r="CN299" i="43"/>
  <c r="CM299" i="43"/>
  <c r="CL299" i="43"/>
  <c r="CK299" i="43"/>
  <c r="AY299" i="43"/>
  <c r="AW299" i="43"/>
  <c r="AU299" i="43"/>
  <c r="CN297" i="43"/>
  <c r="CM297" i="43"/>
  <c r="CL297" i="43"/>
  <c r="CK297" i="43"/>
  <c r="AY297" i="43"/>
  <c r="AW297" i="43"/>
  <c r="AU297" i="43"/>
  <c r="CN294" i="43"/>
  <c r="CM294" i="43"/>
  <c r="CL294" i="43"/>
  <c r="CK294" i="43"/>
  <c r="AY294" i="43"/>
  <c r="AW294" i="43"/>
  <c r="AU294" i="43"/>
  <c r="CN292" i="43"/>
  <c r="CM292" i="43"/>
  <c r="CL292" i="43"/>
  <c r="CK292" i="43"/>
  <c r="AY292" i="43"/>
  <c r="AW292" i="43"/>
  <c r="AU292" i="43"/>
  <c r="CN290" i="43"/>
  <c r="CM290" i="43"/>
  <c r="CL290" i="43"/>
  <c r="CK290" i="43"/>
  <c r="AY290" i="43"/>
  <c r="AW290" i="43"/>
  <c r="AU290" i="43"/>
  <c r="CN288" i="43"/>
  <c r="CM288" i="43"/>
  <c r="CL288" i="43"/>
  <c r="CK288" i="43"/>
  <c r="AY288" i="43"/>
  <c r="AW288" i="43"/>
  <c r="AU288" i="43"/>
  <c r="CN286" i="43"/>
  <c r="CM286" i="43"/>
  <c r="CL286" i="43"/>
  <c r="CK286" i="43"/>
  <c r="AY286" i="43"/>
  <c r="AW286" i="43"/>
  <c r="AU286" i="43"/>
  <c r="CN284" i="43"/>
  <c r="CM284" i="43"/>
  <c r="CL284" i="43"/>
  <c r="CK284" i="43"/>
  <c r="AY284" i="43"/>
  <c r="AW284" i="43"/>
  <c r="AU284" i="43"/>
  <c r="CN282" i="43"/>
  <c r="CM282" i="43"/>
  <c r="CL282" i="43"/>
  <c r="CK282" i="43"/>
  <c r="AY282" i="43"/>
  <c r="AW282" i="43"/>
  <c r="AU282" i="43"/>
  <c r="CN280" i="43"/>
  <c r="CM280" i="43"/>
  <c r="CL280" i="43"/>
  <c r="CK280" i="43"/>
  <c r="AY280" i="43"/>
  <c r="AW280" i="43"/>
  <c r="AU280" i="43"/>
  <c r="CN278" i="43"/>
  <c r="CM278" i="43"/>
  <c r="CL278" i="43"/>
  <c r="CK278" i="43"/>
  <c r="AY278" i="43"/>
  <c r="AW278" i="43"/>
  <c r="AU278" i="43"/>
  <c r="CN276" i="43"/>
  <c r="CM276" i="43"/>
  <c r="CL276" i="43"/>
  <c r="CK276" i="43"/>
  <c r="AY276" i="43"/>
  <c r="AW276" i="43"/>
  <c r="AU276" i="43"/>
  <c r="CN273" i="43"/>
  <c r="CM273" i="43"/>
  <c r="CL273" i="43"/>
  <c r="CK273" i="43"/>
  <c r="AY273" i="43"/>
  <c r="AW273" i="43"/>
  <c r="AU273" i="43"/>
  <c r="CN271" i="43"/>
  <c r="CM271" i="43"/>
  <c r="CL271" i="43"/>
  <c r="CK271" i="43"/>
  <c r="AY271" i="43"/>
  <c r="AW271" i="43"/>
  <c r="AU271" i="43"/>
  <c r="CN269" i="43"/>
  <c r="CM269" i="43"/>
  <c r="CL269" i="43"/>
  <c r="CK269" i="43"/>
  <c r="AY269" i="43"/>
  <c r="AW269" i="43"/>
  <c r="AU269" i="43"/>
  <c r="CN267" i="43"/>
  <c r="CM267" i="43"/>
  <c r="CL267" i="43"/>
  <c r="CK267" i="43"/>
  <c r="AY267" i="43"/>
  <c r="AW267" i="43"/>
  <c r="AU267" i="43"/>
  <c r="CN265" i="43"/>
  <c r="CM265" i="43"/>
  <c r="CL265" i="43"/>
  <c r="CK265" i="43"/>
  <c r="AY265" i="43"/>
  <c r="AW265" i="43"/>
  <c r="AU265" i="43"/>
  <c r="CN263" i="43"/>
  <c r="CM263" i="43"/>
  <c r="CL263" i="43"/>
  <c r="CK263" i="43"/>
  <c r="AY263" i="43"/>
  <c r="AW263" i="43"/>
  <c r="AU263" i="43"/>
  <c r="CN261" i="43"/>
  <c r="CM261" i="43"/>
  <c r="CL261" i="43"/>
  <c r="CK261" i="43"/>
  <c r="AY261" i="43"/>
  <c r="AW261" i="43"/>
  <c r="AU261" i="43"/>
  <c r="CN259" i="43"/>
  <c r="CM259" i="43"/>
  <c r="CL259" i="43"/>
  <c r="CK259" i="43"/>
  <c r="AY259" i="43"/>
  <c r="AW259" i="43"/>
  <c r="AU259" i="43"/>
  <c r="CN257" i="43"/>
  <c r="CM257" i="43"/>
  <c r="CL257" i="43"/>
  <c r="CK257" i="43"/>
  <c r="AY257" i="43"/>
  <c r="AW257" i="43"/>
  <c r="AU257" i="43"/>
  <c r="CN255" i="43"/>
  <c r="CM255" i="43"/>
  <c r="CL255" i="43"/>
  <c r="CK255" i="43"/>
  <c r="AY255" i="43"/>
  <c r="AW255" i="43"/>
  <c r="AU255" i="43"/>
  <c r="CN253" i="43"/>
  <c r="CM253" i="43"/>
  <c r="CL253" i="43"/>
  <c r="CK253" i="43"/>
  <c r="AY253" i="43"/>
  <c r="AW253" i="43"/>
  <c r="AU253" i="43"/>
  <c r="CN251" i="43"/>
  <c r="CM251" i="43"/>
  <c r="CL251" i="43"/>
  <c r="CK251" i="43"/>
  <c r="AY251" i="43"/>
  <c r="AW251" i="43"/>
  <c r="AU251" i="43"/>
  <c r="CN249" i="43"/>
  <c r="CM249" i="43"/>
  <c r="CL249" i="43"/>
  <c r="CK249" i="43"/>
  <c r="AY249" i="43"/>
  <c r="AW249" i="43"/>
  <c r="AU249" i="43"/>
  <c r="CN247" i="43"/>
  <c r="CM247" i="43"/>
  <c r="CL247" i="43"/>
  <c r="CK247" i="43"/>
  <c r="AY247" i="43"/>
  <c r="AW247" i="43"/>
  <c r="AU247" i="43"/>
  <c r="CN245" i="43"/>
  <c r="CM245" i="43"/>
  <c r="CL245" i="43"/>
  <c r="CK245" i="43"/>
  <c r="AY245" i="43"/>
  <c r="AW245" i="43"/>
  <c r="AU245" i="43"/>
  <c r="CN242" i="43"/>
  <c r="CM242" i="43"/>
  <c r="CL242" i="43"/>
  <c r="CK242" i="43"/>
  <c r="AY242" i="43"/>
  <c r="AW242" i="43"/>
  <c r="AU242" i="43"/>
  <c r="CN240" i="43"/>
  <c r="CM240" i="43"/>
  <c r="CL240" i="43"/>
  <c r="CK240" i="43"/>
  <c r="AY240" i="43"/>
  <c r="AW240" i="43"/>
  <c r="AU240" i="43"/>
  <c r="CN238" i="43"/>
  <c r="CM238" i="43"/>
  <c r="CL238" i="43"/>
  <c r="CK238" i="43"/>
  <c r="AY238" i="43"/>
  <c r="AW238" i="43"/>
  <c r="AU238" i="43"/>
  <c r="CN236" i="43"/>
  <c r="CM236" i="43"/>
  <c r="CL236" i="43"/>
  <c r="CK236" i="43"/>
  <c r="AY236" i="43"/>
  <c r="AW236" i="43"/>
  <c r="AU236" i="43"/>
  <c r="CN234" i="43"/>
  <c r="CM234" i="43"/>
  <c r="CL234" i="43"/>
  <c r="CK234" i="43"/>
  <c r="AY234" i="43"/>
  <c r="AW234" i="43"/>
  <c r="AU234" i="43"/>
  <c r="CN230" i="43"/>
  <c r="CM230" i="43"/>
  <c r="CL230" i="43"/>
  <c r="CK230" i="43"/>
  <c r="AY230" i="43"/>
  <c r="AW230" i="43"/>
  <c r="AU230" i="43"/>
  <c r="CN228" i="43"/>
  <c r="CM228" i="43"/>
  <c r="CL228" i="43"/>
  <c r="CK228" i="43"/>
  <c r="AY228" i="43"/>
  <c r="AW228" i="43"/>
  <c r="AU228" i="43"/>
  <c r="CN226" i="43"/>
  <c r="CM226" i="43"/>
  <c r="CL226" i="43"/>
  <c r="CK226" i="43"/>
  <c r="AY226" i="43"/>
  <c r="AW226" i="43"/>
  <c r="AU226" i="43"/>
  <c r="CN224" i="43"/>
  <c r="CM224" i="43"/>
  <c r="CL224" i="43"/>
  <c r="CK224" i="43"/>
  <c r="AY224" i="43"/>
  <c r="AW224" i="43"/>
  <c r="AU224" i="43"/>
  <c r="CN222" i="43"/>
  <c r="CM222" i="43"/>
  <c r="CL222" i="43"/>
  <c r="CK222" i="43"/>
  <c r="AY222" i="43"/>
  <c r="AW222" i="43"/>
  <c r="AU222" i="43"/>
  <c r="CN220" i="43"/>
  <c r="CM220" i="43"/>
  <c r="CL220" i="43"/>
  <c r="CK220" i="43"/>
  <c r="AY220" i="43"/>
  <c r="AW220" i="43"/>
  <c r="AU220" i="43"/>
  <c r="CN218" i="43"/>
  <c r="CM218" i="43"/>
  <c r="CL218" i="43"/>
  <c r="CK218" i="43"/>
  <c r="AY218" i="43"/>
  <c r="AW218" i="43"/>
  <c r="AU218" i="43"/>
  <c r="CN216" i="43"/>
  <c r="CM216" i="43"/>
  <c r="CL216" i="43"/>
  <c r="CK216" i="43"/>
  <c r="AY216" i="43"/>
  <c r="AW216" i="43"/>
  <c r="AU216" i="43"/>
  <c r="CN214" i="43"/>
  <c r="CM214" i="43"/>
  <c r="CL214" i="43"/>
  <c r="CK214" i="43"/>
  <c r="AY214" i="43"/>
  <c r="AW214" i="43"/>
  <c r="AU214" i="43"/>
  <c r="CN212" i="43"/>
  <c r="CM212" i="43"/>
  <c r="CL212" i="43"/>
  <c r="CK212" i="43"/>
  <c r="AY212" i="43"/>
  <c r="AW212" i="43"/>
  <c r="AU212" i="43"/>
  <c r="CN210" i="43"/>
  <c r="CM210" i="43"/>
  <c r="CL210" i="43"/>
  <c r="CK210" i="43"/>
  <c r="AY210" i="43"/>
  <c r="AW210" i="43"/>
  <c r="AU210" i="43"/>
  <c r="CN208" i="43"/>
  <c r="CM208" i="43"/>
  <c r="CL208" i="43"/>
  <c r="CK208" i="43"/>
  <c r="AY208" i="43"/>
  <c r="AW208" i="43"/>
  <c r="AU208" i="43"/>
  <c r="CN206" i="43"/>
  <c r="CM206" i="43"/>
  <c r="CL206" i="43"/>
  <c r="CK206" i="43"/>
  <c r="AY206" i="43"/>
  <c r="AW206" i="43"/>
  <c r="AU206" i="43"/>
  <c r="CN204" i="43"/>
  <c r="CM204" i="43"/>
  <c r="CL204" i="43"/>
  <c r="CK204" i="43"/>
  <c r="AY204" i="43"/>
  <c r="AW204" i="43"/>
  <c r="AU204" i="43"/>
  <c r="CN202" i="43"/>
  <c r="CM202" i="43"/>
  <c r="CL202" i="43"/>
  <c r="CK202" i="43"/>
  <c r="AY202" i="43"/>
  <c r="AW202" i="43"/>
  <c r="AU202" i="43"/>
  <c r="CN200" i="43"/>
  <c r="CM200" i="43"/>
  <c r="CL200" i="43"/>
  <c r="CK200" i="43"/>
  <c r="AY200" i="43"/>
  <c r="AW200" i="43"/>
  <c r="AU200" i="43"/>
  <c r="CN198" i="43"/>
  <c r="CM198" i="43"/>
  <c r="CL198" i="43"/>
  <c r="CK198" i="43"/>
  <c r="AY198" i="43"/>
  <c r="AW198" i="43"/>
  <c r="AU198" i="43"/>
  <c r="CN196" i="43"/>
  <c r="CM196" i="43"/>
  <c r="CL196" i="43"/>
  <c r="CK196" i="43"/>
  <c r="AY196" i="43"/>
  <c r="AW196" i="43"/>
  <c r="AU196" i="43"/>
  <c r="CN194" i="43"/>
  <c r="CM194" i="43"/>
  <c r="CL194" i="43"/>
  <c r="CK194" i="43"/>
  <c r="AY194" i="43"/>
  <c r="AW194" i="43"/>
  <c r="AU194" i="43"/>
  <c r="CN192" i="43"/>
  <c r="CM192" i="43"/>
  <c r="CL192" i="43"/>
  <c r="CK192" i="43"/>
  <c r="AY192" i="43"/>
  <c r="AW192" i="43"/>
  <c r="AU192" i="43"/>
  <c r="CN190" i="43"/>
  <c r="CM190" i="43"/>
  <c r="CL190" i="43"/>
  <c r="CK190" i="43"/>
  <c r="AY190" i="43"/>
  <c r="AW190" i="43"/>
  <c r="AU190" i="43"/>
  <c r="CN188" i="43"/>
  <c r="CM188" i="43"/>
  <c r="CL188" i="43"/>
  <c r="CK188" i="43"/>
  <c r="AY188" i="43"/>
  <c r="AW188" i="43"/>
  <c r="AU188" i="43"/>
  <c r="CN186" i="43"/>
  <c r="CM186" i="43"/>
  <c r="CL186" i="43"/>
  <c r="CK186" i="43"/>
  <c r="AY186" i="43"/>
  <c r="AW186" i="43"/>
  <c r="AU186" i="43"/>
  <c r="CN184" i="43"/>
  <c r="CM184" i="43"/>
  <c r="CL184" i="43"/>
  <c r="CK184" i="43"/>
  <c r="AY184" i="43"/>
  <c r="AW184" i="43"/>
  <c r="AU184" i="43"/>
  <c r="CN182" i="43"/>
  <c r="CM182" i="43"/>
  <c r="CL182" i="43"/>
  <c r="CK182" i="43"/>
  <c r="AY182" i="43"/>
  <c r="AW182" i="43"/>
  <c r="AU182" i="43"/>
  <c r="CN180" i="43"/>
  <c r="CM180" i="43"/>
  <c r="CL180" i="43"/>
  <c r="CK180" i="43"/>
  <c r="AY180" i="43"/>
  <c r="AW180" i="43"/>
  <c r="AU180" i="43"/>
  <c r="CN178" i="43"/>
  <c r="CM178" i="43"/>
  <c r="CL178" i="43"/>
  <c r="CK178" i="43"/>
  <c r="AY178" i="43"/>
  <c r="AW178" i="43"/>
  <c r="AU178" i="43"/>
  <c r="CN176" i="43"/>
  <c r="CM176" i="43"/>
  <c r="CL176" i="43"/>
  <c r="CK176" i="43"/>
  <c r="AY176" i="43"/>
  <c r="AW176" i="43"/>
  <c r="AU176" i="43"/>
  <c r="CN174" i="43"/>
  <c r="CM174" i="43"/>
  <c r="CL174" i="43"/>
  <c r="CK174" i="43"/>
  <c r="AY174" i="43"/>
  <c r="AW174" i="43"/>
  <c r="AU174" i="43"/>
  <c r="CN172" i="43"/>
  <c r="CM172" i="43"/>
  <c r="CL172" i="43"/>
  <c r="CK172" i="43"/>
  <c r="AY172" i="43"/>
  <c r="AW172" i="43"/>
  <c r="AU172" i="43"/>
  <c r="CN170" i="43"/>
  <c r="CM170" i="43"/>
  <c r="CL170" i="43"/>
  <c r="CK170" i="43"/>
  <c r="AY170" i="43"/>
  <c r="AW170" i="43"/>
  <c r="AU170" i="43"/>
  <c r="CN168" i="43"/>
  <c r="CM168" i="43"/>
  <c r="CL168" i="43"/>
  <c r="CK168" i="43"/>
  <c r="AY168" i="43"/>
  <c r="AW168" i="43"/>
  <c r="AU168" i="43"/>
  <c r="CN166" i="43"/>
  <c r="CM166" i="43"/>
  <c r="CL166" i="43"/>
  <c r="CK166" i="43"/>
  <c r="AY166" i="43"/>
  <c r="AW166" i="43"/>
  <c r="AU166" i="43"/>
  <c r="CN164" i="43"/>
  <c r="CM164" i="43"/>
  <c r="CL164" i="43"/>
  <c r="CK164" i="43"/>
  <c r="AY164" i="43"/>
  <c r="AW164" i="43"/>
  <c r="AU164" i="43"/>
  <c r="CN162" i="43"/>
  <c r="CM162" i="43"/>
  <c r="CL162" i="43"/>
  <c r="CK162" i="43"/>
  <c r="AY162" i="43"/>
  <c r="AW162" i="43"/>
  <c r="AU162" i="43"/>
  <c r="CN160" i="43"/>
  <c r="CM160" i="43"/>
  <c r="CL160" i="43"/>
  <c r="CK160" i="43"/>
  <c r="AY160" i="43"/>
  <c r="AW160" i="43"/>
  <c r="AU160" i="43"/>
  <c r="CN158" i="43"/>
  <c r="CM158" i="43"/>
  <c r="CL158" i="43"/>
  <c r="CK158" i="43"/>
  <c r="AY158" i="43"/>
  <c r="AW158" i="43"/>
  <c r="AU158" i="43"/>
  <c r="CN156" i="43"/>
  <c r="CM156" i="43"/>
  <c r="CL156" i="43"/>
  <c r="CK156" i="43"/>
  <c r="AY156" i="43"/>
  <c r="AW156" i="43"/>
  <c r="AU156" i="43"/>
  <c r="CN154" i="43"/>
  <c r="CM154" i="43"/>
  <c r="CL154" i="43"/>
  <c r="CK154" i="43"/>
  <c r="AY154" i="43"/>
  <c r="AW154" i="43"/>
  <c r="AU154" i="43"/>
  <c r="CN152" i="43"/>
  <c r="CM152" i="43"/>
  <c r="CL152" i="43"/>
  <c r="CK152" i="43"/>
  <c r="AY152" i="43"/>
  <c r="AW152" i="43"/>
  <c r="AU152" i="43"/>
  <c r="CN150" i="43"/>
  <c r="CM150" i="43"/>
  <c r="CL150" i="43"/>
  <c r="CK150" i="43"/>
  <c r="AY150" i="43"/>
  <c r="AW150" i="43"/>
  <c r="AU150" i="43"/>
  <c r="CN148" i="43"/>
  <c r="CM148" i="43"/>
  <c r="CL148" i="43"/>
  <c r="CK148" i="43"/>
  <c r="AY148" i="43"/>
  <c r="AW148" i="43"/>
  <c r="AU148" i="43"/>
  <c r="CN146" i="43"/>
  <c r="CM146" i="43"/>
  <c r="CL146" i="43"/>
  <c r="CK146" i="43"/>
  <c r="AY146" i="43"/>
  <c r="AW146" i="43"/>
  <c r="AU146" i="43"/>
  <c r="CN144" i="43"/>
  <c r="CM144" i="43"/>
  <c r="CL144" i="43"/>
  <c r="CK144" i="43"/>
  <c r="AY144" i="43"/>
  <c r="AW144" i="43"/>
  <c r="AU144" i="43"/>
  <c r="CN142" i="43"/>
  <c r="CM142" i="43"/>
  <c r="CL142" i="43"/>
  <c r="CK142" i="43"/>
  <c r="AY142" i="43"/>
  <c r="AW142" i="43"/>
  <c r="AU142" i="43"/>
  <c r="CN140" i="43"/>
  <c r="CM140" i="43"/>
  <c r="CL140" i="43"/>
  <c r="CK140" i="43"/>
  <c r="AY140" i="43"/>
  <c r="AW140" i="43"/>
  <c r="AU140" i="43"/>
  <c r="CN138" i="43"/>
  <c r="CM138" i="43"/>
  <c r="CL138" i="43"/>
  <c r="CK138" i="43"/>
  <c r="AY138" i="43"/>
  <c r="AW138" i="43"/>
  <c r="AU138" i="43"/>
  <c r="CN136" i="43"/>
  <c r="CM136" i="43"/>
  <c r="CL136" i="43"/>
  <c r="CK136" i="43"/>
  <c r="AY136" i="43"/>
  <c r="AW136" i="43"/>
  <c r="AU136" i="43"/>
  <c r="CN134" i="43"/>
  <c r="CM134" i="43"/>
  <c r="CL134" i="43"/>
  <c r="CK134" i="43"/>
  <c r="AY134" i="43"/>
  <c r="AW134" i="43"/>
  <c r="AU134" i="43"/>
  <c r="CN132" i="43"/>
  <c r="CM132" i="43"/>
  <c r="CL132" i="43"/>
  <c r="CK132" i="43"/>
  <c r="AY132" i="43"/>
  <c r="AW132" i="43"/>
  <c r="AU132" i="43"/>
  <c r="CN130" i="43"/>
  <c r="CM130" i="43"/>
  <c r="CL130" i="43"/>
  <c r="CK130" i="43"/>
  <c r="AY130" i="43"/>
  <c r="AW130" i="43"/>
  <c r="AU130" i="43"/>
  <c r="CN128" i="43"/>
  <c r="CM128" i="43"/>
  <c r="CL128" i="43"/>
  <c r="CK128" i="43"/>
  <c r="AY128" i="43"/>
  <c r="AW128" i="43"/>
  <c r="AU128" i="43"/>
  <c r="E119" i="43"/>
  <c r="F93" i="43"/>
  <c r="E91" i="43"/>
  <c r="J28" i="43"/>
  <c r="E28" i="43"/>
  <c r="J27" i="43"/>
  <c r="J25" i="43"/>
  <c r="E25" i="43"/>
  <c r="J24" i="43"/>
  <c r="J22" i="43"/>
  <c r="E22" i="43"/>
  <c r="F96" i="43" s="1"/>
  <c r="J21" i="43"/>
  <c r="J19" i="43"/>
  <c r="E19" i="43"/>
  <c r="J18" i="43"/>
  <c r="J16" i="43"/>
  <c r="E7" i="43"/>
  <c r="E85" i="43" s="1"/>
  <c r="J41" i="42"/>
  <c r="J40" i="42"/>
  <c r="BF142" i="1" s="1"/>
  <c r="J39" i="42"/>
  <c r="BE142" i="1" s="1"/>
  <c r="DT320" i="42"/>
  <c r="DS320" i="42"/>
  <c r="DR320" i="42"/>
  <c r="DQ320" i="42"/>
  <c r="CE320" i="42"/>
  <c r="CC320" i="42"/>
  <c r="CA320" i="42"/>
  <c r="DT318" i="42"/>
  <c r="DS318" i="42"/>
  <c r="DR318" i="42"/>
  <c r="DQ318" i="42"/>
  <c r="CE318" i="42"/>
  <c r="CC318" i="42"/>
  <c r="CA318" i="42"/>
  <c r="DT316" i="42"/>
  <c r="DS316" i="42"/>
  <c r="DR316" i="42"/>
  <c r="DQ316" i="42"/>
  <c r="CE316" i="42"/>
  <c r="CC316" i="42"/>
  <c r="CA316" i="42"/>
  <c r="DT313" i="42"/>
  <c r="DS313" i="42"/>
  <c r="DR313" i="42"/>
  <c r="DQ313" i="42"/>
  <c r="CE313" i="42"/>
  <c r="CC313" i="42"/>
  <c r="CA313" i="42"/>
  <c r="DT311" i="42"/>
  <c r="DS311" i="42"/>
  <c r="DR311" i="42"/>
  <c r="DQ311" i="42"/>
  <c r="CE311" i="42"/>
  <c r="CC311" i="42"/>
  <c r="CA311" i="42"/>
  <c r="DT309" i="42"/>
  <c r="DS309" i="42"/>
  <c r="DR309" i="42"/>
  <c r="DQ309" i="42"/>
  <c r="CE309" i="42"/>
  <c r="CC309" i="42"/>
  <c r="CA309" i="42"/>
  <c r="DT307" i="42"/>
  <c r="DS307" i="42"/>
  <c r="DR307" i="42"/>
  <c r="DQ307" i="42"/>
  <c r="CE307" i="42"/>
  <c r="CC307" i="42"/>
  <c r="CA307" i="42"/>
  <c r="DT305" i="42"/>
  <c r="DS305" i="42"/>
  <c r="DR305" i="42"/>
  <c r="DQ305" i="42"/>
  <c r="CE305" i="42"/>
  <c r="CC305" i="42"/>
  <c r="CA305" i="42"/>
  <c r="DT302" i="42"/>
  <c r="DS302" i="42"/>
  <c r="DR302" i="42"/>
  <c r="DQ302" i="42"/>
  <c r="CE302" i="42"/>
  <c r="CC302" i="42"/>
  <c r="CA302" i="42"/>
  <c r="DT300" i="42"/>
  <c r="DS300" i="42"/>
  <c r="DR300" i="42"/>
  <c r="DQ300" i="42"/>
  <c r="CE300" i="42"/>
  <c r="CC300" i="42"/>
  <c r="CA300" i="42"/>
  <c r="DT298" i="42"/>
  <c r="DS298" i="42"/>
  <c r="DR298" i="42"/>
  <c r="DQ298" i="42"/>
  <c r="CE298" i="42"/>
  <c r="CC298" i="42"/>
  <c r="CA298" i="42"/>
  <c r="DT296" i="42"/>
  <c r="DS296" i="42"/>
  <c r="DR296" i="42"/>
  <c r="DQ296" i="42"/>
  <c r="CE296" i="42"/>
  <c r="CC296" i="42"/>
  <c r="CA296" i="42"/>
  <c r="DT293" i="42"/>
  <c r="DS293" i="42"/>
  <c r="DR293" i="42"/>
  <c r="DQ293" i="42"/>
  <c r="CE293" i="42"/>
  <c r="CC293" i="42"/>
  <c r="CA293" i="42"/>
  <c r="DT291" i="42"/>
  <c r="DS291" i="42"/>
  <c r="DR291" i="42"/>
  <c r="DQ291" i="42"/>
  <c r="CE291" i="42"/>
  <c r="CC291" i="42"/>
  <c r="CA291" i="42"/>
  <c r="DT289" i="42"/>
  <c r="DS289" i="42"/>
  <c r="DR289" i="42"/>
  <c r="DQ289" i="42"/>
  <c r="CE289" i="42"/>
  <c r="CC289" i="42"/>
  <c r="CA289" i="42"/>
  <c r="DT287" i="42"/>
  <c r="DS287" i="42"/>
  <c r="DR287" i="42"/>
  <c r="DQ287" i="42"/>
  <c r="CE287" i="42"/>
  <c r="CC287" i="42"/>
  <c r="CA287" i="42"/>
  <c r="DT285" i="42"/>
  <c r="DS285" i="42"/>
  <c r="DR285" i="42"/>
  <c r="DQ285" i="42"/>
  <c r="CE285" i="42"/>
  <c r="CC285" i="42"/>
  <c r="CA285" i="42"/>
  <c r="DT283" i="42"/>
  <c r="DS283" i="42"/>
  <c r="DR283" i="42"/>
  <c r="DQ283" i="42"/>
  <c r="CE283" i="42"/>
  <c r="CC283" i="42"/>
  <c r="CA283" i="42"/>
  <c r="DT281" i="42"/>
  <c r="DS281" i="42"/>
  <c r="DR281" i="42"/>
  <c r="DQ281" i="42"/>
  <c r="CE281" i="42"/>
  <c r="CC281" i="42"/>
  <c r="CA281" i="42"/>
  <c r="DT279" i="42"/>
  <c r="DS279" i="42"/>
  <c r="DR279" i="42"/>
  <c r="DQ279" i="42"/>
  <c r="CE279" i="42"/>
  <c r="CC279" i="42"/>
  <c r="CA279" i="42"/>
  <c r="DT277" i="42"/>
  <c r="DS277" i="42"/>
  <c r="DR277" i="42"/>
  <c r="DQ277" i="42"/>
  <c r="CE277" i="42"/>
  <c r="CC277" i="42"/>
  <c r="CA277" i="42"/>
  <c r="DT275" i="42"/>
  <c r="DS275" i="42"/>
  <c r="DR275" i="42"/>
  <c r="DQ275" i="42"/>
  <c r="CE275" i="42"/>
  <c r="CC275" i="42"/>
  <c r="CA275" i="42"/>
  <c r="DT272" i="42"/>
  <c r="DS272" i="42"/>
  <c r="DR272" i="42"/>
  <c r="DQ272" i="42"/>
  <c r="CE272" i="42"/>
  <c r="CC272" i="42"/>
  <c r="CA272" i="42"/>
  <c r="DT270" i="42"/>
  <c r="DS270" i="42"/>
  <c r="DR270" i="42"/>
  <c r="DQ270" i="42"/>
  <c r="CE270" i="42"/>
  <c r="CC270" i="42"/>
  <c r="CA270" i="42"/>
  <c r="DT268" i="42"/>
  <c r="DS268" i="42"/>
  <c r="DR268" i="42"/>
  <c r="DQ268" i="42"/>
  <c r="CE268" i="42"/>
  <c r="CC268" i="42"/>
  <c r="CA268" i="42"/>
  <c r="DT266" i="42"/>
  <c r="DS266" i="42"/>
  <c r="DR266" i="42"/>
  <c r="DQ266" i="42"/>
  <c r="CE266" i="42"/>
  <c r="CC266" i="42"/>
  <c r="CA266" i="42"/>
  <c r="DT264" i="42"/>
  <c r="DS264" i="42"/>
  <c r="DR264" i="42"/>
  <c r="DQ264" i="42"/>
  <c r="CE264" i="42"/>
  <c r="CC264" i="42"/>
  <c r="CA264" i="42"/>
  <c r="DT262" i="42"/>
  <c r="DS262" i="42"/>
  <c r="DR262" i="42"/>
  <c r="DQ262" i="42"/>
  <c r="CE262" i="42"/>
  <c r="CC262" i="42"/>
  <c r="CA262" i="42"/>
  <c r="DT260" i="42"/>
  <c r="DS260" i="42"/>
  <c r="DR260" i="42"/>
  <c r="DQ260" i="42"/>
  <c r="CE260" i="42"/>
  <c r="CC260" i="42"/>
  <c r="CA260" i="42"/>
  <c r="DT258" i="42"/>
  <c r="DS258" i="42"/>
  <c r="DR258" i="42"/>
  <c r="DQ258" i="42"/>
  <c r="CE258" i="42"/>
  <c r="CC258" i="42"/>
  <c r="CA258" i="42"/>
  <c r="DT256" i="42"/>
  <c r="DS256" i="42"/>
  <c r="DR256" i="42"/>
  <c r="DQ256" i="42"/>
  <c r="CE256" i="42"/>
  <c r="CC256" i="42"/>
  <c r="CA256" i="42"/>
  <c r="DT254" i="42"/>
  <c r="DS254" i="42"/>
  <c r="DR254" i="42"/>
  <c r="DQ254" i="42"/>
  <c r="CE254" i="42"/>
  <c r="CC254" i="42"/>
  <c r="CA254" i="42"/>
  <c r="DT252" i="42"/>
  <c r="DS252" i="42"/>
  <c r="DR252" i="42"/>
  <c r="DQ252" i="42"/>
  <c r="CE252" i="42"/>
  <c r="CC252" i="42"/>
  <c r="CA252" i="42"/>
  <c r="DT250" i="42"/>
  <c r="DS250" i="42"/>
  <c r="DR250" i="42"/>
  <c r="DQ250" i="42"/>
  <c r="CE250" i="42"/>
  <c r="CC250" i="42"/>
  <c r="CA250" i="42"/>
  <c r="DT248" i="42"/>
  <c r="DS248" i="42"/>
  <c r="DR248" i="42"/>
  <c r="DQ248" i="42"/>
  <c r="CE248" i="42"/>
  <c r="CC248" i="42"/>
  <c r="CA248" i="42"/>
  <c r="DT246" i="42"/>
  <c r="DS246" i="42"/>
  <c r="DR246" i="42"/>
  <c r="DQ246" i="42"/>
  <c r="CE246" i="42"/>
  <c r="CC246" i="42"/>
  <c r="CA246" i="42"/>
  <c r="DT244" i="42"/>
  <c r="DS244" i="42"/>
  <c r="DR244" i="42"/>
  <c r="DQ244" i="42"/>
  <c r="CE244" i="42"/>
  <c r="CC244" i="42"/>
  <c r="CA244" i="42"/>
  <c r="DT241" i="42"/>
  <c r="DS241" i="42"/>
  <c r="DR241" i="42"/>
  <c r="DQ241" i="42"/>
  <c r="CE241" i="42"/>
  <c r="CC241" i="42"/>
  <c r="CA241" i="42"/>
  <c r="DT239" i="42"/>
  <c r="DS239" i="42"/>
  <c r="DR239" i="42"/>
  <c r="DQ239" i="42"/>
  <c r="CE239" i="42"/>
  <c r="CC239" i="42"/>
  <c r="CA239" i="42"/>
  <c r="DT237" i="42"/>
  <c r="DS237" i="42"/>
  <c r="DR237" i="42"/>
  <c r="DQ237" i="42"/>
  <c r="CE237" i="42"/>
  <c r="CC237" i="42"/>
  <c r="CA237" i="42"/>
  <c r="DT235" i="42"/>
  <c r="DS235" i="42"/>
  <c r="DR235" i="42"/>
  <c r="DQ235" i="42"/>
  <c r="CE235" i="42"/>
  <c r="CC235" i="42"/>
  <c r="CA235" i="42"/>
  <c r="DT233" i="42"/>
  <c r="DS233" i="42"/>
  <c r="DR233" i="42"/>
  <c r="DQ233" i="42"/>
  <c r="CE233" i="42"/>
  <c r="CC233" i="42"/>
  <c r="CA233" i="42"/>
  <c r="DT229" i="42"/>
  <c r="DS229" i="42"/>
  <c r="DR229" i="42"/>
  <c r="DQ229" i="42"/>
  <c r="CE229" i="42"/>
  <c r="CC229" i="42"/>
  <c r="CA229" i="42"/>
  <c r="DT227" i="42"/>
  <c r="DS227" i="42"/>
  <c r="DR227" i="42"/>
  <c r="DQ227" i="42"/>
  <c r="CE227" i="42"/>
  <c r="CC227" i="42"/>
  <c r="CA227" i="42"/>
  <c r="DT225" i="42"/>
  <c r="DS225" i="42"/>
  <c r="DR225" i="42"/>
  <c r="DQ225" i="42"/>
  <c r="CE225" i="42"/>
  <c r="CC225" i="42"/>
  <c r="CA225" i="42"/>
  <c r="DT223" i="42"/>
  <c r="DS223" i="42"/>
  <c r="DR223" i="42"/>
  <c r="DQ223" i="42"/>
  <c r="CE223" i="42"/>
  <c r="CC223" i="42"/>
  <c r="CA223" i="42"/>
  <c r="DT221" i="42"/>
  <c r="DS221" i="42"/>
  <c r="DR221" i="42"/>
  <c r="DQ221" i="42"/>
  <c r="CE221" i="42"/>
  <c r="CC221" i="42"/>
  <c r="CA221" i="42"/>
  <c r="DT219" i="42"/>
  <c r="DS219" i="42"/>
  <c r="DR219" i="42"/>
  <c r="DQ219" i="42"/>
  <c r="CE219" i="42"/>
  <c r="CC219" i="42"/>
  <c r="CA219" i="42"/>
  <c r="DT217" i="42"/>
  <c r="DS217" i="42"/>
  <c r="DR217" i="42"/>
  <c r="DQ217" i="42"/>
  <c r="CE217" i="42"/>
  <c r="CC217" i="42"/>
  <c r="CA217" i="42"/>
  <c r="DT215" i="42"/>
  <c r="DS215" i="42"/>
  <c r="DR215" i="42"/>
  <c r="DQ215" i="42"/>
  <c r="CE215" i="42"/>
  <c r="CC215" i="42"/>
  <c r="CA215" i="42"/>
  <c r="DT213" i="42"/>
  <c r="DS213" i="42"/>
  <c r="DR213" i="42"/>
  <c r="DQ213" i="42"/>
  <c r="CE213" i="42"/>
  <c r="CC213" i="42"/>
  <c r="CA213" i="42"/>
  <c r="DT211" i="42"/>
  <c r="DS211" i="42"/>
  <c r="DR211" i="42"/>
  <c r="DQ211" i="42"/>
  <c r="CE211" i="42"/>
  <c r="CC211" i="42"/>
  <c r="CA211" i="42"/>
  <c r="DT209" i="42"/>
  <c r="DS209" i="42"/>
  <c r="DR209" i="42"/>
  <c r="DQ209" i="42"/>
  <c r="CE209" i="42"/>
  <c r="CC209" i="42"/>
  <c r="CA209" i="42"/>
  <c r="DT207" i="42"/>
  <c r="DS207" i="42"/>
  <c r="DR207" i="42"/>
  <c r="DQ207" i="42"/>
  <c r="CE207" i="42"/>
  <c r="CC207" i="42"/>
  <c r="CA207" i="42"/>
  <c r="DT205" i="42"/>
  <c r="DS205" i="42"/>
  <c r="DR205" i="42"/>
  <c r="DQ205" i="42"/>
  <c r="CE205" i="42"/>
  <c r="CC205" i="42"/>
  <c r="CA205" i="42"/>
  <c r="DT203" i="42"/>
  <c r="DS203" i="42"/>
  <c r="DR203" i="42"/>
  <c r="DQ203" i="42"/>
  <c r="CE203" i="42"/>
  <c r="CC203" i="42"/>
  <c r="CA203" i="42"/>
  <c r="DT201" i="42"/>
  <c r="DS201" i="42"/>
  <c r="DR201" i="42"/>
  <c r="DQ201" i="42"/>
  <c r="CE201" i="42"/>
  <c r="CC201" i="42"/>
  <c r="CA201" i="42"/>
  <c r="DT199" i="42"/>
  <c r="DS199" i="42"/>
  <c r="DR199" i="42"/>
  <c r="DQ199" i="42"/>
  <c r="CE199" i="42"/>
  <c r="CC199" i="42"/>
  <c r="CA199" i="42"/>
  <c r="DT197" i="42"/>
  <c r="DS197" i="42"/>
  <c r="DR197" i="42"/>
  <c r="DQ197" i="42"/>
  <c r="CE197" i="42"/>
  <c r="CC197" i="42"/>
  <c r="CA197" i="42"/>
  <c r="DT195" i="42"/>
  <c r="DS195" i="42"/>
  <c r="DR195" i="42"/>
  <c r="DQ195" i="42"/>
  <c r="CE195" i="42"/>
  <c r="CC195" i="42"/>
  <c r="CA195" i="42"/>
  <c r="DT193" i="42"/>
  <c r="DS193" i="42"/>
  <c r="DR193" i="42"/>
  <c r="DQ193" i="42"/>
  <c r="CE193" i="42"/>
  <c r="CC193" i="42"/>
  <c r="CA193" i="42"/>
  <c r="DT191" i="42"/>
  <c r="DS191" i="42"/>
  <c r="DR191" i="42"/>
  <c r="DQ191" i="42"/>
  <c r="CE191" i="42"/>
  <c r="CC191" i="42"/>
  <c r="CA191" i="42"/>
  <c r="DT189" i="42"/>
  <c r="DS189" i="42"/>
  <c r="DR189" i="42"/>
  <c r="DQ189" i="42"/>
  <c r="CE189" i="42"/>
  <c r="CC189" i="42"/>
  <c r="CA189" i="42"/>
  <c r="DT187" i="42"/>
  <c r="DS187" i="42"/>
  <c r="DR187" i="42"/>
  <c r="DQ187" i="42"/>
  <c r="CE187" i="42"/>
  <c r="CC187" i="42"/>
  <c r="CA187" i="42"/>
  <c r="DT185" i="42"/>
  <c r="DS185" i="42"/>
  <c r="DR185" i="42"/>
  <c r="DQ185" i="42"/>
  <c r="CE185" i="42"/>
  <c r="CC185" i="42"/>
  <c r="CA185" i="42"/>
  <c r="DT183" i="42"/>
  <c r="DS183" i="42"/>
  <c r="DR183" i="42"/>
  <c r="DQ183" i="42"/>
  <c r="CE183" i="42"/>
  <c r="CC183" i="42"/>
  <c r="CA183" i="42"/>
  <c r="DT181" i="42"/>
  <c r="DS181" i="42"/>
  <c r="DR181" i="42"/>
  <c r="DQ181" i="42"/>
  <c r="CE181" i="42"/>
  <c r="CC181" i="42"/>
  <c r="CA181" i="42"/>
  <c r="DT179" i="42"/>
  <c r="DS179" i="42"/>
  <c r="DR179" i="42"/>
  <c r="DQ179" i="42"/>
  <c r="CE179" i="42"/>
  <c r="CC179" i="42"/>
  <c r="CA179" i="42"/>
  <c r="DT177" i="42"/>
  <c r="DS177" i="42"/>
  <c r="DR177" i="42"/>
  <c r="DQ177" i="42"/>
  <c r="CE177" i="42"/>
  <c r="CC177" i="42"/>
  <c r="CA177" i="42"/>
  <c r="DT175" i="42"/>
  <c r="DS175" i="42"/>
  <c r="DR175" i="42"/>
  <c r="DQ175" i="42"/>
  <c r="CE175" i="42"/>
  <c r="CC175" i="42"/>
  <c r="CA175" i="42"/>
  <c r="DT173" i="42"/>
  <c r="DS173" i="42"/>
  <c r="DR173" i="42"/>
  <c r="DQ173" i="42"/>
  <c r="CE173" i="42"/>
  <c r="CC173" i="42"/>
  <c r="CA173" i="42"/>
  <c r="DT171" i="42"/>
  <c r="DS171" i="42"/>
  <c r="DR171" i="42"/>
  <c r="DQ171" i="42"/>
  <c r="CE171" i="42"/>
  <c r="CC171" i="42"/>
  <c r="CA171" i="42"/>
  <c r="DT169" i="42"/>
  <c r="DS169" i="42"/>
  <c r="DR169" i="42"/>
  <c r="DQ169" i="42"/>
  <c r="CE169" i="42"/>
  <c r="CC169" i="42"/>
  <c r="CA169" i="42"/>
  <c r="DT167" i="42"/>
  <c r="DS167" i="42"/>
  <c r="DR167" i="42"/>
  <c r="DQ167" i="42"/>
  <c r="CE167" i="42"/>
  <c r="CC167" i="42"/>
  <c r="CA167" i="42"/>
  <c r="DT165" i="42"/>
  <c r="DS165" i="42"/>
  <c r="DR165" i="42"/>
  <c r="DQ165" i="42"/>
  <c r="CE165" i="42"/>
  <c r="CC165" i="42"/>
  <c r="CA165" i="42"/>
  <c r="DT163" i="42"/>
  <c r="DS163" i="42"/>
  <c r="DR163" i="42"/>
  <c r="DQ163" i="42"/>
  <c r="CE163" i="42"/>
  <c r="CC163" i="42"/>
  <c r="CA163" i="42"/>
  <c r="DT161" i="42"/>
  <c r="DS161" i="42"/>
  <c r="DR161" i="42"/>
  <c r="DQ161" i="42"/>
  <c r="CE161" i="42"/>
  <c r="CC161" i="42"/>
  <c r="CA161" i="42"/>
  <c r="DT159" i="42"/>
  <c r="DS159" i="42"/>
  <c r="DR159" i="42"/>
  <c r="DQ159" i="42"/>
  <c r="CE159" i="42"/>
  <c r="CC159" i="42"/>
  <c r="CA159" i="42"/>
  <c r="DT157" i="42"/>
  <c r="DS157" i="42"/>
  <c r="DR157" i="42"/>
  <c r="DQ157" i="42"/>
  <c r="CE157" i="42"/>
  <c r="CC157" i="42"/>
  <c r="CA157" i="42"/>
  <c r="DT155" i="42"/>
  <c r="DS155" i="42"/>
  <c r="DR155" i="42"/>
  <c r="DQ155" i="42"/>
  <c r="CE155" i="42"/>
  <c r="CC155" i="42"/>
  <c r="CA155" i="42"/>
  <c r="DT153" i="42"/>
  <c r="DS153" i="42"/>
  <c r="DR153" i="42"/>
  <c r="DQ153" i="42"/>
  <c r="CE153" i="42"/>
  <c r="CC153" i="42"/>
  <c r="CA153" i="42"/>
  <c r="DT151" i="42"/>
  <c r="DS151" i="42"/>
  <c r="DR151" i="42"/>
  <c r="DQ151" i="42"/>
  <c r="CE151" i="42"/>
  <c r="CC151" i="42"/>
  <c r="CA151" i="42"/>
  <c r="DT149" i="42"/>
  <c r="DS149" i="42"/>
  <c r="DR149" i="42"/>
  <c r="DQ149" i="42"/>
  <c r="CE149" i="42"/>
  <c r="CC149" i="42"/>
  <c r="CA149" i="42"/>
  <c r="DT147" i="42"/>
  <c r="DS147" i="42"/>
  <c r="DR147" i="42"/>
  <c r="DQ147" i="42"/>
  <c r="CE147" i="42"/>
  <c r="CC147" i="42"/>
  <c r="CA147" i="42"/>
  <c r="DT145" i="42"/>
  <c r="DS145" i="42"/>
  <c r="DR145" i="42"/>
  <c r="DQ145" i="42"/>
  <c r="CE145" i="42"/>
  <c r="CC145" i="42"/>
  <c r="CA145" i="42"/>
  <c r="DT143" i="42"/>
  <c r="DS143" i="42"/>
  <c r="DR143" i="42"/>
  <c r="DQ143" i="42"/>
  <c r="CE143" i="42"/>
  <c r="CC143" i="42"/>
  <c r="CA143" i="42"/>
  <c r="DT141" i="42"/>
  <c r="DS141" i="42"/>
  <c r="DR141" i="42"/>
  <c r="DQ141" i="42"/>
  <c r="CE141" i="42"/>
  <c r="CC141" i="42"/>
  <c r="CA141" i="42"/>
  <c r="DT139" i="42"/>
  <c r="DS139" i="42"/>
  <c r="DR139" i="42"/>
  <c r="DQ139" i="42"/>
  <c r="CE139" i="42"/>
  <c r="CC139" i="42"/>
  <c r="CA139" i="42"/>
  <c r="DT137" i="42"/>
  <c r="DS137" i="42"/>
  <c r="DR137" i="42"/>
  <c r="DQ137" i="42"/>
  <c r="CE137" i="42"/>
  <c r="CC137" i="42"/>
  <c r="CA137" i="42"/>
  <c r="DT135" i="42"/>
  <c r="DS135" i="42"/>
  <c r="DR135" i="42"/>
  <c r="DQ135" i="42"/>
  <c r="CE135" i="42"/>
  <c r="CC135" i="42"/>
  <c r="CA135" i="42"/>
  <c r="DT133" i="42"/>
  <c r="DS133" i="42"/>
  <c r="DR133" i="42"/>
  <c r="DQ133" i="42"/>
  <c r="CE133" i="42"/>
  <c r="CC133" i="42"/>
  <c r="CA133" i="42"/>
  <c r="DT131" i="42"/>
  <c r="DS131" i="42"/>
  <c r="DR131" i="42"/>
  <c r="DQ131" i="42"/>
  <c r="CE131" i="42"/>
  <c r="CC131" i="42"/>
  <c r="CA131" i="42"/>
  <c r="DT129" i="42"/>
  <c r="DS129" i="42"/>
  <c r="DR129" i="42"/>
  <c r="DQ129" i="42"/>
  <c r="CE129" i="42"/>
  <c r="CC129" i="42"/>
  <c r="CA129" i="42"/>
  <c r="DT127" i="42"/>
  <c r="DS127" i="42"/>
  <c r="DR127" i="42"/>
  <c r="DQ127" i="42"/>
  <c r="CE127" i="42"/>
  <c r="CC127" i="42"/>
  <c r="CA127" i="42"/>
  <c r="E118" i="42"/>
  <c r="F93" i="42"/>
  <c r="E91" i="42"/>
  <c r="J28" i="42"/>
  <c r="E28" i="42"/>
  <c r="J27" i="42"/>
  <c r="J25" i="42"/>
  <c r="E25" i="42"/>
  <c r="J95" i="42" s="1"/>
  <c r="J24" i="42"/>
  <c r="J22" i="42"/>
  <c r="E22" i="42"/>
  <c r="J21" i="42"/>
  <c r="J19" i="42"/>
  <c r="E19" i="42"/>
  <c r="F95" i="42" s="1"/>
  <c r="J18" i="42"/>
  <c r="J16" i="42"/>
  <c r="E7" i="42"/>
  <c r="E85" i="42" s="1"/>
  <c r="J41" i="41"/>
  <c r="J40" i="41"/>
  <c r="BF140" i="1" s="1"/>
  <c r="J39" i="41"/>
  <c r="BE140" i="1" s="1"/>
  <c r="BI329" i="41"/>
  <c r="BH329" i="41"/>
  <c r="BG329" i="41"/>
  <c r="BF329" i="41"/>
  <c r="T329" i="41"/>
  <c r="R329" i="41"/>
  <c r="P329" i="41"/>
  <c r="BI327" i="41"/>
  <c r="BH327" i="41"/>
  <c r="BG327" i="41"/>
  <c r="BF327" i="41"/>
  <c r="T327" i="41"/>
  <c r="R327" i="41"/>
  <c r="P327" i="41"/>
  <c r="BI325" i="41"/>
  <c r="BH325" i="41"/>
  <c r="BG325" i="41"/>
  <c r="BF325" i="41"/>
  <c r="T325" i="41"/>
  <c r="R325" i="41"/>
  <c r="P325" i="41"/>
  <c r="BI322" i="41"/>
  <c r="BH322" i="41"/>
  <c r="BG322" i="41"/>
  <c r="BF322" i="41"/>
  <c r="T322" i="41"/>
  <c r="R322" i="41"/>
  <c r="P322" i="41"/>
  <c r="BI320" i="41"/>
  <c r="BH320" i="41"/>
  <c r="BG320" i="41"/>
  <c r="BF320" i="41"/>
  <c r="T320" i="41"/>
  <c r="R320" i="41"/>
  <c r="P320" i="41"/>
  <c r="BI318" i="41"/>
  <c r="BH318" i="41"/>
  <c r="BG318" i="41"/>
  <c r="BF318" i="41"/>
  <c r="T318" i="41"/>
  <c r="R318" i="41"/>
  <c r="P318" i="41"/>
  <c r="BI316" i="41"/>
  <c r="BH316" i="41"/>
  <c r="BG316" i="41"/>
  <c r="BF316" i="41"/>
  <c r="T316" i="41"/>
  <c r="R316" i="41"/>
  <c r="P316" i="41"/>
  <c r="BI314" i="41"/>
  <c r="BH314" i="41"/>
  <c r="BG314" i="41"/>
  <c r="BF314" i="41"/>
  <c r="T314" i="41"/>
  <c r="R314" i="41"/>
  <c r="P314" i="41"/>
  <c r="BI311" i="41"/>
  <c r="BH311" i="41"/>
  <c r="BG311" i="41"/>
  <c r="BF311" i="41"/>
  <c r="T311" i="41"/>
  <c r="R311" i="41"/>
  <c r="P311" i="41"/>
  <c r="BI309" i="41"/>
  <c r="BH309" i="41"/>
  <c r="BG309" i="41"/>
  <c r="BF309" i="41"/>
  <c r="T309" i="41"/>
  <c r="R309" i="41"/>
  <c r="P309" i="41"/>
  <c r="BI307" i="41"/>
  <c r="BH307" i="41"/>
  <c r="BG307" i="41"/>
  <c r="BF307" i="41"/>
  <c r="T307" i="41"/>
  <c r="R307" i="41"/>
  <c r="P307" i="41"/>
  <c r="BI305" i="41"/>
  <c r="BH305" i="41"/>
  <c r="BG305" i="41"/>
  <c r="BF305" i="41"/>
  <c r="T305" i="41"/>
  <c r="R305" i="41"/>
  <c r="P305" i="41"/>
  <c r="BI302" i="41"/>
  <c r="BH302" i="41"/>
  <c r="BG302" i="41"/>
  <c r="BF302" i="41"/>
  <c r="T302" i="41"/>
  <c r="R302" i="41"/>
  <c r="P302" i="41"/>
  <c r="BI300" i="41"/>
  <c r="BH300" i="41"/>
  <c r="BG300" i="41"/>
  <c r="BF300" i="41"/>
  <c r="T300" i="41"/>
  <c r="R300" i="41"/>
  <c r="P300" i="41"/>
  <c r="BI298" i="41"/>
  <c r="BH298" i="41"/>
  <c r="BG298" i="41"/>
  <c r="BF298" i="41"/>
  <c r="T298" i="41"/>
  <c r="R298" i="41"/>
  <c r="P298" i="41"/>
  <c r="BI296" i="41"/>
  <c r="BH296" i="41"/>
  <c r="BG296" i="41"/>
  <c r="BF296" i="41"/>
  <c r="T296" i="41"/>
  <c r="R296" i="41"/>
  <c r="P296" i="41"/>
  <c r="BI294" i="41"/>
  <c r="BH294" i="41"/>
  <c r="BG294" i="41"/>
  <c r="BF294" i="41"/>
  <c r="T294" i="41"/>
  <c r="R294" i="41"/>
  <c r="P294" i="41"/>
  <c r="BI292" i="41"/>
  <c r="BH292" i="41"/>
  <c r="BG292" i="41"/>
  <c r="BF292" i="41"/>
  <c r="T292" i="41"/>
  <c r="R292" i="41"/>
  <c r="P292" i="41"/>
  <c r="BI290" i="41"/>
  <c r="BH290" i="41"/>
  <c r="BG290" i="41"/>
  <c r="BF290" i="41"/>
  <c r="T290" i="41"/>
  <c r="R290" i="41"/>
  <c r="P290" i="41"/>
  <c r="BI288" i="41"/>
  <c r="BH288" i="41"/>
  <c r="BG288" i="41"/>
  <c r="BF288" i="41"/>
  <c r="T288" i="41"/>
  <c r="R288" i="41"/>
  <c r="P288" i="41"/>
  <c r="BI286" i="41"/>
  <c r="BH286" i="41"/>
  <c r="BG286" i="41"/>
  <c r="BF286" i="41"/>
  <c r="T286" i="41"/>
  <c r="R286" i="41"/>
  <c r="P286" i="41"/>
  <c r="BI284" i="41"/>
  <c r="BH284" i="41"/>
  <c r="BG284" i="41"/>
  <c r="BF284" i="41"/>
  <c r="T284" i="41"/>
  <c r="R284" i="41"/>
  <c r="P284" i="41"/>
  <c r="BI281" i="41"/>
  <c r="BH281" i="41"/>
  <c r="BG281" i="41"/>
  <c r="BF281" i="41"/>
  <c r="T281" i="41"/>
  <c r="R281" i="41"/>
  <c r="P281" i="41"/>
  <c r="BI279" i="41"/>
  <c r="BH279" i="41"/>
  <c r="BG279" i="41"/>
  <c r="BF279" i="41"/>
  <c r="T279" i="41"/>
  <c r="R279" i="41"/>
  <c r="P279" i="41"/>
  <c r="BI277" i="41"/>
  <c r="BH277" i="41"/>
  <c r="BG277" i="41"/>
  <c r="BF277" i="41"/>
  <c r="T277" i="41"/>
  <c r="R277" i="41"/>
  <c r="P277" i="41"/>
  <c r="BI275" i="41"/>
  <c r="BH275" i="41"/>
  <c r="BG275" i="41"/>
  <c r="BF275" i="41"/>
  <c r="T275" i="41"/>
  <c r="R275" i="41"/>
  <c r="P275" i="41"/>
  <c r="BI273" i="41"/>
  <c r="BH273" i="41"/>
  <c r="BG273" i="41"/>
  <c r="BF273" i="41"/>
  <c r="T273" i="41"/>
  <c r="R273" i="41"/>
  <c r="P273" i="41"/>
  <c r="BI271" i="41"/>
  <c r="BH271" i="41"/>
  <c r="BG271" i="41"/>
  <c r="BF271" i="41"/>
  <c r="T271" i="41"/>
  <c r="R271" i="41"/>
  <c r="P271" i="41"/>
  <c r="BI269" i="41"/>
  <c r="BH269" i="41"/>
  <c r="BG269" i="41"/>
  <c r="BF269" i="41"/>
  <c r="T269" i="41"/>
  <c r="R269" i="41"/>
  <c r="P269" i="41"/>
  <c r="BI267" i="41"/>
  <c r="BH267" i="41"/>
  <c r="BG267" i="41"/>
  <c r="BF267" i="41"/>
  <c r="T267" i="41"/>
  <c r="R267" i="41"/>
  <c r="P267" i="41"/>
  <c r="BI265" i="41"/>
  <c r="BH265" i="41"/>
  <c r="BG265" i="41"/>
  <c r="BF265" i="41"/>
  <c r="T265" i="41"/>
  <c r="R265" i="41"/>
  <c r="P265" i="41"/>
  <c r="BI263" i="41"/>
  <c r="BH263" i="41"/>
  <c r="BG263" i="41"/>
  <c r="BF263" i="41"/>
  <c r="T263" i="41"/>
  <c r="R263" i="41"/>
  <c r="P263" i="41"/>
  <c r="BI261" i="41"/>
  <c r="BH261" i="41"/>
  <c r="BG261" i="41"/>
  <c r="BF261" i="41"/>
  <c r="T261" i="41"/>
  <c r="R261" i="41"/>
  <c r="P261" i="41"/>
  <c r="BI259" i="41"/>
  <c r="BH259" i="41"/>
  <c r="BG259" i="41"/>
  <c r="BF259" i="41"/>
  <c r="T259" i="41"/>
  <c r="R259" i="41"/>
  <c r="P259" i="41"/>
  <c r="BI257" i="41"/>
  <c r="BH257" i="41"/>
  <c r="BG257" i="41"/>
  <c r="BF257" i="41"/>
  <c r="T257" i="41"/>
  <c r="R257" i="41"/>
  <c r="P257" i="41"/>
  <c r="BI255" i="41"/>
  <c r="BH255" i="41"/>
  <c r="BG255" i="41"/>
  <c r="BF255" i="41"/>
  <c r="T255" i="41"/>
  <c r="R255" i="41"/>
  <c r="P255" i="41"/>
  <c r="BI253" i="41"/>
  <c r="BH253" i="41"/>
  <c r="BG253" i="41"/>
  <c r="BF253" i="41"/>
  <c r="T253" i="41"/>
  <c r="R253" i="41"/>
  <c r="P253" i="41"/>
  <c r="BI250" i="41"/>
  <c r="BH250" i="41"/>
  <c r="BG250" i="41"/>
  <c r="BF250" i="41"/>
  <c r="T250" i="41"/>
  <c r="R250" i="41"/>
  <c r="P250" i="41"/>
  <c r="BI248" i="41"/>
  <c r="BH248" i="41"/>
  <c r="BG248" i="41"/>
  <c r="BF248" i="41"/>
  <c r="T248" i="41"/>
  <c r="R248" i="41"/>
  <c r="P248" i="41"/>
  <c r="BI246" i="41"/>
  <c r="BH246" i="41"/>
  <c r="BG246" i="41"/>
  <c r="BF246" i="41"/>
  <c r="T246" i="41"/>
  <c r="R246" i="41"/>
  <c r="P246" i="41"/>
  <c r="BI244" i="41"/>
  <c r="BH244" i="41"/>
  <c r="BG244" i="41"/>
  <c r="BF244" i="41"/>
  <c r="T244" i="41"/>
  <c r="R244" i="41"/>
  <c r="P244" i="41"/>
  <c r="BI242" i="41"/>
  <c r="BH242" i="41"/>
  <c r="BG242" i="41"/>
  <c r="BF242" i="41"/>
  <c r="T242" i="41"/>
  <c r="R242" i="41"/>
  <c r="P242" i="41"/>
  <c r="BI238" i="41"/>
  <c r="BH238" i="41"/>
  <c r="BG238" i="41"/>
  <c r="BF238" i="41"/>
  <c r="T238" i="41"/>
  <c r="R238" i="41"/>
  <c r="P238" i="41"/>
  <c r="BI236" i="41"/>
  <c r="BH236" i="41"/>
  <c r="BG236" i="41"/>
  <c r="BF236" i="41"/>
  <c r="T236" i="41"/>
  <c r="R236" i="41"/>
  <c r="P236" i="41"/>
  <c r="BI234" i="41"/>
  <c r="BH234" i="41"/>
  <c r="BG234" i="41"/>
  <c r="BF234" i="41"/>
  <c r="T234" i="41"/>
  <c r="R234" i="41"/>
  <c r="P234" i="41"/>
  <c r="BI232" i="41"/>
  <c r="BH232" i="41"/>
  <c r="BG232" i="41"/>
  <c r="BF232" i="41"/>
  <c r="T232" i="41"/>
  <c r="R232" i="41"/>
  <c r="P232" i="41"/>
  <c r="BI230" i="41"/>
  <c r="BH230" i="41"/>
  <c r="BG230" i="41"/>
  <c r="BF230" i="41"/>
  <c r="T230" i="41"/>
  <c r="R230" i="41"/>
  <c r="P230" i="41"/>
  <c r="BI228" i="41"/>
  <c r="BH228" i="41"/>
  <c r="BG228" i="41"/>
  <c r="BF228" i="41"/>
  <c r="T228" i="41"/>
  <c r="R228" i="41"/>
  <c r="P228" i="41"/>
  <c r="BI226" i="41"/>
  <c r="BH226" i="41"/>
  <c r="BG226" i="41"/>
  <c r="BF226" i="41"/>
  <c r="T226" i="41"/>
  <c r="R226" i="41"/>
  <c r="P226" i="41"/>
  <c r="BI224" i="41"/>
  <c r="BH224" i="41"/>
  <c r="BG224" i="41"/>
  <c r="BF224" i="41"/>
  <c r="T224" i="41"/>
  <c r="R224" i="41"/>
  <c r="P224" i="41"/>
  <c r="BI222" i="41"/>
  <c r="BH222" i="41"/>
  <c r="BG222" i="41"/>
  <c r="BF222" i="41"/>
  <c r="T222" i="41"/>
  <c r="R222" i="41"/>
  <c r="P222" i="41"/>
  <c r="BI220" i="41"/>
  <c r="BH220" i="41"/>
  <c r="BG220" i="41"/>
  <c r="BF220" i="41"/>
  <c r="T220" i="41"/>
  <c r="R220" i="41"/>
  <c r="P220" i="41"/>
  <c r="BI218" i="41"/>
  <c r="BH218" i="41"/>
  <c r="BG218" i="41"/>
  <c r="BF218" i="41"/>
  <c r="T218" i="41"/>
  <c r="R218" i="41"/>
  <c r="P218" i="41"/>
  <c r="BI216" i="41"/>
  <c r="BH216" i="41"/>
  <c r="BG216" i="41"/>
  <c r="BF216" i="41"/>
  <c r="T216" i="41"/>
  <c r="R216" i="41"/>
  <c r="P216" i="41"/>
  <c r="BI214" i="41"/>
  <c r="BH214" i="41"/>
  <c r="BG214" i="41"/>
  <c r="BF214" i="41"/>
  <c r="T214" i="41"/>
  <c r="R214" i="41"/>
  <c r="P214" i="41"/>
  <c r="BI212" i="41"/>
  <c r="BH212" i="41"/>
  <c r="BG212" i="41"/>
  <c r="BF212" i="41"/>
  <c r="T212" i="41"/>
  <c r="R212" i="41"/>
  <c r="P212" i="41"/>
  <c r="BI210" i="41"/>
  <c r="BH210" i="41"/>
  <c r="BG210" i="41"/>
  <c r="BF210" i="41"/>
  <c r="T210" i="41"/>
  <c r="R210" i="41"/>
  <c r="P210" i="41"/>
  <c r="BI208" i="41"/>
  <c r="BH208" i="41"/>
  <c r="BG208" i="41"/>
  <c r="BF208" i="41"/>
  <c r="T208" i="41"/>
  <c r="R208" i="41"/>
  <c r="P208" i="41"/>
  <c r="BI206" i="41"/>
  <c r="BH206" i="41"/>
  <c r="BG206" i="41"/>
  <c r="BF206" i="41"/>
  <c r="T206" i="41"/>
  <c r="R206" i="41"/>
  <c r="P206" i="41"/>
  <c r="BI204" i="41"/>
  <c r="BH204" i="41"/>
  <c r="BG204" i="41"/>
  <c r="BF204" i="41"/>
  <c r="T204" i="41"/>
  <c r="R204" i="41"/>
  <c r="P204" i="41"/>
  <c r="BI202" i="41"/>
  <c r="BH202" i="41"/>
  <c r="BG202" i="41"/>
  <c r="BF202" i="41"/>
  <c r="T202" i="41"/>
  <c r="R202" i="41"/>
  <c r="P202" i="41"/>
  <c r="BI200" i="41"/>
  <c r="BH200" i="41"/>
  <c r="BG200" i="41"/>
  <c r="BF200" i="41"/>
  <c r="T200" i="41"/>
  <c r="R200" i="41"/>
  <c r="P200" i="41"/>
  <c r="BI198" i="41"/>
  <c r="BH198" i="41"/>
  <c r="BG198" i="41"/>
  <c r="BF198" i="41"/>
  <c r="T198" i="41"/>
  <c r="R198" i="41"/>
  <c r="P198" i="41"/>
  <c r="BI196" i="41"/>
  <c r="BH196" i="41"/>
  <c r="BG196" i="41"/>
  <c r="BF196" i="41"/>
  <c r="T196" i="41"/>
  <c r="R196" i="41"/>
  <c r="P196" i="41"/>
  <c r="BI194" i="41"/>
  <c r="BH194" i="41"/>
  <c r="BG194" i="41"/>
  <c r="BF194" i="41"/>
  <c r="T194" i="41"/>
  <c r="R194" i="41"/>
  <c r="P194" i="41"/>
  <c r="BI192" i="41"/>
  <c r="BH192" i="41"/>
  <c r="BG192" i="41"/>
  <c r="BF192" i="41"/>
  <c r="T192" i="41"/>
  <c r="R192" i="41"/>
  <c r="P192" i="41"/>
  <c r="BI190" i="41"/>
  <c r="BH190" i="41"/>
  <c r="BG190" i="41"/>
  <c r="BF190" i="41"/>
  <c r="T190" i="41"/>
  <c r="R190" i="41"/>
  <c r="P190" i="41"/>
  <c r="BI188" i="41"/>
  <c r="BH188" i="41"/>
  <c r="BG188" i="41"/>
  <c r="BF188" i="41"/>
  <c r="T188" i="41"/>
  <c r="R188" i="41"/>
  <c r="P188" i="41"/>
  <c r="BI186" i="41"/>
  <c r="BH186" i="41"/>
  <c r="BG186" i="41"/>
  <c r="BF186" i="41"/>
  <c r="T186" i="41"/>
  <c r="R186" i="41"/>
  <c r="P186" i="41"/>
  <c r="BI184" i="41"/>
  <c r="BH184" i="41"/>
  <c r="BG184" i="41"/>
  <c r="BF184" i="41"/>
  <c r="T184" i="41"/>
  <c r="R184" i="41"/>
  <c r="P184" i="41"/>
  <c r="BI182" i="41"/>
  <c r="BH182" i="41"/>
  <c r="BG182" i="41"/>
  <c r="BF182" i="41"/>
  <c r="T182" i="41"/>
  <c r="R182" i="41"/>
  <c r="P182" i="41"/>
  <c r="BI180" i="41"/>
  <c r="BH180" i="41"/>
  <c r="BG180" i="41"/>
  <c r="BF180" i="41"/>
  <c r="T180" i="41"/>
  <c r="R180" i="41"/>
  <c r="P180" i="41"/>
  <c r="BI178" i="41"/>
  <c r="BH178" i="41"/>
  <c r="BG178" i="41"/>
  <c r="BF178" i="41"/>
  <c r="T178" i="41"/>
  <c r="R178" i="41"/>
  <c r="P178" i="41"/>
  <c r="BI176" i="41"/>
  <c r="BH176" i="41"/>
  <c r="BG176" i="41"/>
  <c r="BF176" i="41"/>
  <c r="T176" i="41"/>
  <c r="R176" i="41"/>
  <c r="P176" i="41"/>
  <c r="BI174" i="41"/>
  <c r="BH174" i="41"/>
  <c r="BG174" i="41"/>
  <c r="BF174" i="41"/>
  <c r="T174" i="41"/>
  <c r="R174" i="41"/>
  <c r="P174" i="41"/>
  <c r="BI172" i="41"/>
  <c r="BH172" i="41"/>
  <c r="BG172" i="41"/>
  <c r="BF172" i="41"/>
  <c r="T172" i="41"/>
  <c r="R172" i="41"/>
  <c r="P172" i="41"/>
  <c r="BI170" i="41"/>
  <c r="BH170" i="41"/>
  <c r="BG170" i="41"/>
  <c r="BF170" i="41"/>
  <c r="T170" i="41"/>
  <c r="R170" i="41"/>
  <c r="P170" i="41"/>
  <c r="BI168" i="41"/>
  <c r="BH168" i="41"/>
  <c r="BG168" i="41"/>
  <c r="BF168" i="41"/>
  <c r="T168" i="41"/>
  <c r="R168" i="41"/>
  <c r="P168" i="41"/>
  <c r="BI166" i="41"/>
  <c r="BH166" i="41"/>
  <c r="BG166" i="41"/>
  <c r="BF166" i="41"/>
  <c r="T166" i="41"/>
  <c r="R166" i="41"/>
  <c r="P166" i="41"/>
  <c r="BI164" i="41"/>
  <c r="BH164" i="41"/>
  <c r="BG164" i="41"/>
  <c r="BF164" i="41"/>
  <c r="T164" i="41"/>
  <c r="R164" i="41"/>
  <c r="P164" i="41"/>
  <c r="BI162" i="41"/>
  <c r="BH162" i="41"/>
  <c r="BG162" i="41"/>
  <c r="BF162" i="41"/>
  <c r="T162" i="41"/>
  <c r="R162" i="41"/>
  <c r="P162" i="41"/>
  <c r="BI160" i="41"/>
  <c r="BH160" i="41"/>
  <c r="BG160" i="41"/>
  <c r="BF160" i="41"/>
  <c r="T160" i="41"/>
  <c r="R160" i="41"/>
  <c r="P160" i="41"/>
  <c r="BI158" i="41"/>
  <c r="BH158" i="41"/>
  <c r="BG158" i="41"/>
  <c r="BF158" i="41"/>
  <c r="T158" i="41"/>
  <c r="R158" i="41"/>
  <c r="P158" i="41"/>
  <c r="BI156" i="41"/>
  <c r="BH156" i="41"/>
  <c r="BG156" i="41"/>
  <c r="BF156" i="41"/>
  <c r="T156" i="41"/>
  <c r="R156" i="41"/>
  <c r="P156" i="41"/>
  <c r="BI154" i="41"/>
  <c r="BH154" i="41"/>
  <c r="BG154" i="41"/>
  <c r="BF154" i="41"/>
  <c r="T154" i="41"/>
  <c r="R154" i="41"/>
  <c r="P154" i="41"/>
  <c r="BI152" i="41"/>
  <c r="BH152" i="41"/>
  <c r="BG152" i="41"/>
  <c r="BF152" i="41"/>
  <c r="T152" i="41"/>
  <c r="R152" i="41"/>
  <c r="P152" i="41"/>
  <c r="BI150" i="41"/>
  <c r="BH150" i="41"/>
  <c r="BG150" i="41"/>
  <c r="BF150" i="41"/>
  <c r="T150" i="41"/>
  <c r="R150" i="41"/>
  <c r="P150" i="41"/>
  <c r="BI148" i="41"/>
  <c r="BH148" i="41"/>
  <c r="BG148" i="41"/>
  <c r="BF148" i="41"/>
  <c r="T148" i="41"/>
  <c r="R148" i="41"/>
  <c r="P148" i="41"/>
  <c r="BI146" i="41"/>
  <c r="BH146" i="41"/>
  <c r="BG146" i="41"/>
  <c r="BF146" i="41"/>
  <c r="T146" i="41"/>
  <c r="R146" i="41"/>
  <c r="P146" i="41"/>
  <c r="BI144" i="41"/>
  <c r="BH144" i="41"/>
  <c r="BG144" i="41"/>
  <c r="BF144" i="41"/>
  <c r="T144" i="41"/>
  <c r="R144" i="41"/>
  <c r="P144" i="41"/>
  <c r="BI142" i="41"/>
  <c r="BH142" i="41"/>
  <c r="BG142" i="41"/>
  <c r="BF142" i="41"/>
  <c r="T142" i="41"/>
  <c r="R142" i="41"/>
  <c r="P142" i="41"/>
  <c r="BI140" i="41"/>
  <c r="BH140" i="41"/>
  <c r="BG140" i="41"/>
  <c r="BF140" i="41"/>
  <c r="T140" i="41"/>
  <c r="R140" i="41"/>
  <c r="P140" i="41"/>
  <c r="BI138" i="41"/>
  <c r="BH138" i="41"/>
  <c r="BG138" i="41"/>
  <c r="BF138" i="41"/>
  <c r="T138" i="41"/>
  <c r="R138" i="41"/>
  <c r="P138" i="41"/>
  <c r="BI136" i="41"/>
  <c r="BH136" i="41"/>
  <c r="BG136" i="41"/>
  <c r="BF136" i="41"/>
  <c r="T136" i="41"/>
  <c r="R136" i="41"/>
  <c r="P136" i="41"/>
  <c r="F127" i="41"/>
  <c r="E125" i="41"/>
  <c r="F93" i="41"/>
  <c r="E91" i="41"/>
  <c r="J28" i="41"/>
  <c r="E28" i="41"/>
  <c r="J130" i="41" s="1"/>
  <c r="J27" i="41"/>
  <c r="J25" i="41"/>
  <c r="E25" i="41"/>
  <c r="J95" i="41" s="1"/>
  <c r="J24" i="41"/>
  <c r="J22" i="41"/>
  <c r="E22" i="41"/>
  <c r="F130" i="41" s="1"/>
  <c r="J21" i="41"/>
  <c r="J19" i="41"/>
  <c r="E19" i="41"/>
  <c r="F95" i="41" s="1"/>
  <c r="J18" i="41"/>
  <c r="J16" i="41"/>
  <c r="J127" i="41" s="1"/>
  <c r="E7" i="41"/>
  <c r="E85" i="41" s="1"/>
  <c r="J41" i="40"/>
  <c r="J40" i="40"/>
  <c r="BF138" i="1" s="1"/>
  <c r="J39" i="40"/>
  <c r="BE138" i="1"/>
  <c r="BI129" i="40"/>
  <c r="BH129" i="40"/>
  <c r="BG129" i="40"/>
  <c r="BF129" i="40"/>
  <c r="T129" i="40"/>
  <c r="T128" i="40" s="1"/>
  <c r="T127" i="40" s="1"/>
  <c r="T126" i="40" s="1"/>
  <c r="R129" i="40"/>
  <c r="R128" i="40" s="1"/>
  <c r="R127" i="40" s="1"/>
  <c r="R126" i="40" s="1"/>
  <c r="P129" i="40"/>
  <c r="P128" i="40" s="1"/>
  <c r="P127" i="40" s="1"/>
  <c r="P126" i="40" s="1"/>
  <c r="BB138" i="1" s="1"/>
  <c r="BB137" i="1" s="1"/>
  <c r="J122" i="40"/>
  <c r="F122" i="40"/>
  <c r="F120" i="40"/>
  <c r="E118" i="40"/>
  <c r="J95" i="40"/>
  <c r="F95" i="40"/>
  <c r="F93" i="40"/>
  <c r="E91" i="40"/>
  <c r="J28" i="40"/>
  <c r="E28" i="40"/>
  <c r="J123" i="40" s="1"/>
  <c r="J27" i="40"/>
  <c r="J22" i="40"/>
  <c r="E22" i="40"/>
  <c r="F123" i="40" s="1"/>
  <c r="J21" i="40"/>
  <c r="J16" i="40"/>
  <c r="J93" i="40" s="1"/>
  <c r="E7" i="40"/>
  <c r="E112" i="40" s="1"/>
  <c r="J41" i="39"/>
  <c r="J40" i="39"/>
  <c r="BF136" i="1" s="1"/>
  <c r="J39" i="39"/>
  <c r="BE136" i="1" s="1"/>
  <c r="BI159" i="39"/>
  <c r="BH159" i="39"/>
  <c r="BG159" i="39"/>
  <c r="BF159" i="39"/>
  <c r="T159" i="39"/>
  <c r="R159" i="39"/>
  <c r="P159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3" i="39"/>
  <c r="BH153" i="39"/>
  <c r="BG153" i="39"/>
  <c r="BF153" i="39"/>
  <c r="T153" i="39"/>
  <c r="R153" i="39"/>
  <c r="P153" i="39"/>
  <c r="BI150" i="39"/>
  <c r="BH150" i="39"/>
  <c r="BG150" i="39"/>
  <c r="BF150" i="39"/>
  <c r="T150" i="39"/>
  <c r="R150" i="39"/>
  <c r="P150" i="39"/>
  <c r="BI148" i="39"/>
  <c r="BH148" i="39"/>
  <c r="BG148" i="39"/>
  <c r="BF148" i="39"/>
  <c r="T148" i="39"/>
  <c r="R148" i="39"/>
  <c r="P148" i="39"/>
  <c r="BI146" i="39"/>
  <c r="BH146" i="39"/>
  <c r="BG146" i="39"/>
  <c r="BF146" i="39"/>
  <c r="T146" i="39"/>
  <c r="R146" i="39"/>
  <c r="P146" i="39"/>
  <c r="BI144" i="39"/>
  <c r="BH144" i="39"/>
  <c r="BG144" i="39"/>
  <c r="BF144" i="39"/>
  <c r="T144" i="39"/>
  <c r="R144" i="39"/>
  <c r="P144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5" i="39"/>
  <c r="BH135" i="39"/>
  <c r="BG135" i="39"/>
  <c r="BF135" i="39"/>
  <c r="T135" i="39"/>
  <c r="R135" i="39"/>
  <c r="P135" i="39"/>
  <c r="BI133" i="39"/>
  <c r="BH133" i="39"/>
  <c r="BG133" i="39"/>
  <c r="BF133" i="39"/>
  <c r="T133" i="39"/>
  <c r="R133" i="39"/>
  <c r="P133" i="39"/>
  <c r="BI131" i="39"/>
  <c r="BH131" i="39"/>
  <c r="BG131" i="39"/>
  <c r="BF131" i="39"/>
  <c r="T131" i="39"/>
  <c r="R131" i="39"/>
  <c r="P131" i="39"/>
  <c r="F122" i="39"/>
  <c r="E120" i="39"/>
  <c r="F93" i="39"/>
  <c r="E91" i="39"/>
  <c r="J28" i="39"/>
  <c r="E28" i="39"/>
  <c r="J125" i="39" s="1"/>
  <c r="J27" i="39"/>
  <c r="J25" i="39"/>
  <c r="E25" i="39"/>
  <c r="J124" i="39" s="1"/>
  <c r="J24" i="39"/>
  <c r="J22" i="39"/>
  <c r="E22" i="39"/>
  <c r="F96" i="39" s="1"/>
  <c r="J21" i="39"/>
  <c r="J19" i="39"/>
  <c r="E19" i="39"/>
  <c r="F95" i="39" s="1"/>
  <c r="J18" i="39"/>
  <c r="J16" i="39"/>
  <c r="J93" i="39" s="1"/>
  <c r="E7" i="39"/>
  <c r="E85" i="39" s="1"/>
  <c r="J41" i="38"/>
  <c r="J40" i="38"/>
  <c r="BF135" i="1" s="1"/>
  <c r="J39" i="38"/>
  <c r="BE135" i="1" s="1"/>
  <c r="EP404" i="38"/>
  <c r="EO404" i="38"/>
  <c r="EN404" i="38"/>
  <c r="EM404" i="38"/>
  <c r="DA404" i="38"/>
  <c r="DA403" i="38" s="1"/>
  <c r="CY404" i="38"/>
  <c r="CY403" i="38" s="1"/>
  <c r="CW404" i="38"/>
  <c r="CW403" i="38" s="1"/>
  <c r="EP400" i="38"/>
  <c r="EO400" i="38"/>
  <c r="EN400" i="38"/>
  <c r="EM400" i="38"/>
  <c r="DA400" i="38"/>
  <c r="CY400" i="38"/>
  <c r="CW400" i="38"/>
  <c r="EP397" i="38"/>
  <c r="EO397" i="38"/>
  <c r="EN397" i="38"/>
  <c r="EM397" i="38"/>
  <c r="DA397" i="38"/>
  <c r="CY397" i="38"/>
  <c r="CW397" i="38"/>
  <c r="EP395" i="38"/>
  <c r="EO395" i="38"/>
  <c r="EN395" i="38"/>
  <c r="EM395" i="38"/>
  <c r="DA395" i="38"/>
  <c r="CY395" i="38"/>
  <c r="CW395" i="38"/>
  <c r="EP389" i="38"/>
  <c r="EO389" i="38"/>
  <c r="EN389" i="38"/>
  <c r="EM389" i="38"/>
  <c r="DA389" i="38"/>
  <c r="CY389" i="38"/>
  <c r="CW389" i="38"/>
  <c r="EP384" i="38"/>
  <c r="EO384" i="38"/>
  <c r="EN384" i="38"/>
  <c r="EM384" i="38"/>
  <c r="DA384" i="38"/>
  <c r="CY384" i="38"/>
  <c r="CW384" i="38"/>
  <c r="EP379" i="38"/>
  <c r="EO379" i="38"/>
  <c r="EN379" i="38"/>
  <c r="EM379" i="38"/>
  <c r="DA379" i="38"/>
  <c r="CY379" i="38"/>
  <c r="CW379" i="38"/>
  <c r="EP374" i="38"/>
  <c r="EO374" i="38"/>
  <c r="EN374" i="38"/>
  <c r="EM374" i="38"/>
  <c r="DA374" i="38"/>
  <c r="CY374" i="38"/>
  <c r="CW374" i="38"/>
  <c r="EP369" i="38"/>
  <c r="EO369" i="38"/>
  <c r="EN369" i="38"/>
  <c r="EM369" i="38"/>
  <c r="DA369" i="38"/>
  <c r="CY369" i="38"/>
  <c r="CW369" i="38"/>
  <c r="EP364" i="38"/>
  <c r="EO364" i="38"/>
  <c r="EN364" i="38"/>
  <c r="EM364" i="38"/>
  <c r="DA364" i="38"/>
  <c r="CY364" i="38"/>
  <c r="CW364" i="38"/>
  <c r="EP360" i="38"/>
  <c r="EO360" i="38"/>
  <c r="EN360" i="38"/>
  <c r="EM360" i="38"/>
  <c r="DA360" i="38"/>
  <c r="CY360" i="38"/>
  <c r="CW360" i="38"/>
  <c r="EP358" i="38"/>
  <c r="EO358" i="38"/>
  <c r="EN358" i="38"/>
  <c r="EM358" i="38"/>
  <c r="DA358" i="38"/>
  <c r="CY358" i="38"/>
  <c r="CW358" i="38"/>
  <c r="EP355" i="38"/>
  <c r="EO355" i="38"/>
  <c r="EN355" i="38"/>
  <c r="EM355" i="38"/>
  <c r="DA355" i="38"/>
  <c r="CY355" i="38"/>
  <c r="CW355" i="38"/>
  <c r="EP353" i="38"/>
  <c r="EO353" i="38"/>
  <c r="EN353" i="38"/>
  <c r="EM353" i="38"/>
  <c r="DA353" i="38"/>
  <c r="CY353" i="38"/>
  <c r="CW353" i="38"/>
  <c r="EP349" i="38"/>
  <c r="EO349" i="38"/>
  <c r="EN349" i="38"/>
  <c r="EM349" i="38"/>
  <c r="DA349" i="38"/>
  <c r="CY349" i="38"/>
  <c r="CW349" i="38"/>
  <c r="EP346" i="38"/>
  <c r="EO346" i="38"/>
  <c r="EN346" i="38"/>
  <c r="EM346" i="38"/>
  <c r="DA346" i="38"/>
  <c r="CY346" i="38"/>
  <c r="CW346" i="38"/>
  <c r="EP342" i="38"/>
  <c r="EO342" i="38"/>
  <c r="EN342" i="38"/>
  <c r="EM342" i="38"/>
  <c r="DA342" i="38"/>
  <c r="CY342" i="38"/>
  <c r="CW342" i="38"/>
  <c r="EP335" i="38"/>
  <c r="EO335" i="38"/>
  <c r="EN335" i="38"/>
  <c r="EM335" i="38"/>
  <c r="DA335" i="38"/>
  <c r="CY335" i="38"/>
  <c r="CW335" i="38"/>
  <c r="EP333" i="38"/>
  <c r="EO333" i="38"/>
  <c r="EN333" i="38"/>
  <c r="EM333" i="38"/>
  <c r="DA333" i="38"/>
  <c r="CY333" i="38"/>
  <c r="CW333" i="38"/>
  <c r="EP331" i="38"/>
  <c r="EO331" i="38"/>
  <c r="EN331" i="38"/>
  <c r="EM331" i="38"/>
  <c r="DA331" i="38"/>
  <c r="CY331" i="38"/>
  <c r="CW331" i="38"/>
  <c r="EP329" i="38"/>
  <c r="EO329" i="38"/>
  <c r="EN329" i="38"/>
  <c r="EM329" i="38"/>
  <c r="DA329" i="38"/>
  <c r="CY329" i="38"/>
  <c r="CW329" i="38"/>
  <c r="EP323" i="38"/>
  <c r="EO323" i="38"/>
  <c r="EN323" i="38"/>
  <c r="EM323" i="38"/>
  <c r="DA323" i="38"/>
  <c r="DA322" i="38" s="1"/>
  <c r="CY323" i="38"/>
  <c r="CY322" i="38" s="1"/>
  <c r="CW323" i="38"/>
  <c r="CW322" i="38" s="1"/>
  <c r="EP318" i="38"/>
  <c r="EO318" i="38"/>
  <c r="EN318" i="38"/>
  <c r="EM318" i="38"/>
  <c r="DA318" i="38"/>
  <c r="CY318" i="38"/>
  <c r="CW318" i="38"/>
  <c r="EP316" i="38"/>
  <c r="EO316" i="38"/>
  <c r="EN316" i="38"/>
  <c r="EM316" i="38"/>
  <c r="DA316" i="38"/>
  <c r="CY316" i="38"/>
  <c r="CW316" i="38"/>
  <c r="EP312" i="38"/>
  <c r="EO312" i="38"/>
  <c r="EN312" i="38"/>
  <c r="EM312" i="38"/>
  <c r="DA312" i="38"/>
  <c r="CY312" i="38"/>
  <c r="CW312" i="38"/>
  <c r="EP307" i="38"/>
  <c r="EO307" i="38"/>
  <c r="EN307" i="38"/>
  <c r="EM307" i="38"/>
  <c r="DA307" i="38"/>
  <c r="CY307" i="38"/>
  <c r="CW307" i="38"/>
  <c r="EP302" i="38"/>
  <c r="EO302" i="38"/>
  <c r="EN302" i="38"/>
  <c r="EM302" i="38"/>
  <c r="DA302" i="38"/>
  <c r="CY302" i="38"/>
  <c r="CW302" i="38"/>
  <c r="EP298" i="38"/>
  <c r="EO298" i="38"/>
  <c r="EN298" i="38"/>
  <c r="EM298" i="38"/>
  <c r="DA298" i="38"/>
  <c r="CY298" i="38"/>
  <c r="CW298" i="38"/>
  <c r="EP294" i="38"/>
  <c r="EO294" i="38"/>
  <c r="EN294" i="38"/>
  <c r="EM294" i="38"/>
  <c r="DA294" i="38"/>
  <c r="CY294" i="38"/>
  <c r="CW294" i="38"/>
  <c r="EP286" i="38"/>
  <c r="EO286" i="38"/>
  <c r="EN286" i="38"/>
  <c r="EM286" i="38"/>
  <c r="DA286" i="38"/>
  <c r="CY286" i="38"/>
  <c r="CW286" i="38"/>
  <c r="EP284" i="38"/>
  <c r="EO284" i="38"/>
  <c r="EN284" i="38"/>
  <c r="EM284" i="38"/>
  <c r="DA284" i="38"/>
  <c r="CY284" i="38"/>
  <c r="CW284" i="38"/>
  <c r="EP281" i="38"/>
  <c r="EO281" i="38"/>
  <c r="EN281" i="38"/>
  <c r="EM281" i="38"/>
  <c r="DA281" i="38"/>
  <c r="CY281" i="38"/>
  <c r="CW281" i="38"/>
  <c r="EP276" i="38"/>
  <c r="EO276" i="38"/>
  <c r="EN276" i="38"/>
  <c r="EM276" i="38"/>
  <c r="DA276" i="38"/>
  <c r="CY276" i="38"/>
  <c r="CW276" i="38"/>
  <c r="EP264" i="38"/>
  <c r="EO264" i="38"/>
  <c r="EN264" i="38"/>
  <c r="EM264" i="38"/>
  <c r="DA264" i="38"/>
  <c r="CY264" i="38"/>
  <c r="CW264" i="38"/>
  <c r="EP245" i="38"/>
  <c r="EO245" i="38"/>
  <c r="EN245" i="38"/>
  <c r="EM245" i="38"/>
  <c r="DA245" i="38"/>
  <c r="CY245" i="38"/>
  <c r="CW245" i="38"/>
  <c r="EP236" i="38"/>
  <c r="EO236" i="38"/>
  <c r="EN236" i="38"/>
  <c r="EM236" i="38"/>
  <c r="DA236" i="38"/>
  <c r="CY236" i="38"/>
  <c r="CW236" i="38"/>
  <c r="EP229" i="38"/>
  <c r="EO229" i="38"/>
  <c r="EN229" i="38"/>
  <c r="EM229" i="38"/>
  <c r="DA229" i="38"/>
  <c r="CY229" i="38"/>
  <c r="CW229" i="38"/>
  <c r="EP219" i="38"/>
  <c r="EO219" i="38"/>
  <c r="EN219" i="38"/>
  <c r="EM219" i="38"/>
  <c r="DA219" i="38"/>
  <c r="CY219" i="38"/>
  <c r="CW219" i="38"/>
  <c r="EP216" i="38"/>
  <c r="EO216" i="38"/>
  <c r="EN216" i="38"/>
  <c r="EM216" i="38"/>
  <c r="DA216" i="38"/>
  <c r="CY216" i="38"/>
  <c r="CW216" i="38"/>
  <c r="EP212" i="38"/>
  <c r="EO212" i="38"/>
  <c r="EN212" i="38"/>
  <c r="EM212" i="38"/>
  <c r="DA212" i="38"/>
  <c r="CY212" i="38"/>
  <c r="CW212" i="38"/>
  <c r="EP210" i="38"/>
  <c r="EO210" i="38"/>
  <c r="EN210" i="38"/>
  <c r="EM210" i="38"/>
  <c r="DA210" i="38"/>
  <c r="CY210" i="38"/>
  <c r="CW210" i="38"/>
  <c r="EP200" i="38"/>
  <c r="EO200" i="38"/>
  <c r="EN200" i="38"/>
  <c r="EM200" i="38"/>
  <c r="DA200" i="38"/>
  <c r="CY200" i="38"/>
  <c r="CW200" i="38"/>
  <c r="EP198" i="38"/>
  <c r="EO198" i="38"/>
  <c r="EN198" i="38"/>
  <c r="EM198" i="38"/>
  <c r="DA198" i="38"/>
  <c r="CY198" i="38"/>
  <c r="CW198" i="38"/>
  <c r="EP193" i="38"/>
  <c r="EO193" i="38"/>
  <c r="EN193" i="38"/>
  <c r="EM193" i="38"/>
  <c r="DA193" i="38"/>
  <c r="CY193" i="38"/>
  <c r="CW193" i="38"/>
  <c r="EP188" i="38"/>
  <c r="EO188" i="38"/>
  <c r="EN188" i="38"/>
  <c r="EM188" i="38"/>
  <c r="DA188" i="38"/>
  <c r="CY188" i="38"/>
  <c r="CW188" i="38"/>
  <c r="EP185" i="38"/>
  <c r="EO185" i="38"/>
  <c r="EN185" i="38"/>
  <c r="EM185" i="38"/>
  <c r="DA185" i="38"/>
  <c r="CY185" i="38"/>
  <c r="CW185" i="38"/>
  <c r="EP175" i="38"/>
  <c r="EO175" i="38"/>
  <c r="EN175" i="38"/>
  <c r="EM175" i="38"/>
  <c r="DA175" i="38"/>
  <c r="CY175" i="38"/>
  <c r="CW175" i="38"/>
  <c r="EP172" i="38"/>
  <c r="EO172" i="38"/>
  <c r="EN172" i="38"/>
  <c r="EM172" i="38"/>
  <c r="DA172" i="38"/>
  <c r="CY172" i="38"/>
  <c r="CW172" i="38"/>
  <c r="EP165" i="38"/>
  <c r="EO165" i="38"/>
  <c r="EN165" i="38"/>
  <c r="EM165" i="38"/>
  <c r="DA165" i="38"/>
  <c r="CY165" i="38"/>
  <c r="CW165" i="38"/>
  <c r="EP157" i="38"/>
  <c r="EO157" i="38"/>
  <c r="EN157" i="38"/>
  <c r="EM157" i="38"/>
  <c r="DA157" i="38"/>
  <c r="CY157" i="38"/>
  <c r="CW157" i="38"/>
  <c r="EP153" i="38"/>
  <c r="EO153" i="38"/>
  <c r="EN153" i="38"/>
  <c r="EM153" i="38"/>
  <c r="DA153" i="38"/>
  <c r="CY153" i="38"/>
  <c r="CW153" i="38"/>
  <c r="EP151" i="38"/>
  <c r="EO151" i="38"/>
  <c r="EN151" i="38"/>
  <c r="EM151" i="38"/>
  <c r="DA151" i="38"/>
  <c r="CY151" i="38"/>
  <c r="CW151" i="38"/>
  <c r="EP148" i="38"/>
  <c r="EO148" i="38"/>
  <c r="EN148" i="38"/>
  <c r="EM148" i="38"/>
  <c r="DA148" i="38"/>
  <c r="CY148" i="38"/>
  <c r="CW148" i="38"/>
  <c r="EP144" i="38"/>
  <c r="EO144" i="38"/>
  <c r="EN144" i="38"/>
  <c r="EM144" i="38"/>
  <c r="DA144" i="38"/>
  <c r="CY144" i="38"/>
  <c r="CW144" i="38"/>
  <c r="EP138" i="38"/>
  <c r="EO138" i="38"/>
  <c r="EN138" i="38"/>
  <c r="EM138" i="38"/>
  <c r="DA138" i="38"/>
  <c r="CY138" i="38"/>
  <c r="CW138" i="38"/>
  <c r="EP136" i="38"/>
  <c r="EO136" i="38"/>
  <c r="EN136" i="38"/>
  <c r="EM136" i="38"/>
  <c r="DA136" i="38"/>
  <c r="CY136" i="38"/>
  <c r="CW136" i="38"/>
  <c r="EP131" i="38"/>
  <c r="EO131" i="38"/>
  <c r="EN131" i="38"/>
  <c r="EM131" i="38"/>
  <c r="DA131" i="38"/>
  <c r="CY131" i="38"/>
  <c r="CW131" i="38"/>
  <c r="EP126" i="38"/>
  <c r="EO126" i="38"/>
  <c r="EN126" i="38"/>
  <c r="EM126" i="38"/>
  <c r="DA126" i="38"/>
  <c r="CY126" i="38"/>
  <c r="CW126" i="38"/>
  <c r="E117" i="38"/>
  <c r="J95" i="38"/>
  <c r="F95" i="38"/>
  <c r="F93" i="38"/>
  <c r="E91" i="38"/>
  <c r="J28" i="38"/>
  <c r="E28" i="38"/>
  <c r="J119" i="38" s="1"/>
  <c r="J27" i="38"/>
  <c r="J22" i="38"/>
  <c r="E22" i="38"/>
  <c r="F96" i="38" s="1"/>
  <c r="J21" i="38"/>
  <c r="J16" i="38"/>
  <c r="E7" i="38"/>
  <c r="J41" i="37"/>
  <c r="J40" i="37"/>
  <c r="BF133" i="1" s="1"/>
  <c r="J39" i="37"/>
  <c r="BE133" i="1" s="1"/>
  <c r="FQ353" i="37"/>
  <c r="FP353" i="37"/>
  <c r="FO353" i="37"/>
  <c r="FN353" i="37"/>
  <c r="EB353" i="37"/>
  <c r="EB352" i="37" s="1"/>
  <c r="DZ353" i="37"/>
  <c r="DZ352" i="37" s="1"/>
  <c r="DX353" i="37"/>
  <c r="DX352" i="37" s="1"/>
  <c r="FQ349" i="37"/>
  <c r="FP349" i="37"/>
  <c r="FO349" i="37"/>
  <c r="FN349" i="37"/>
  <c r="EB349" i="37"/>
  <c r="DZ349" i="37"/>
  <c r="DX349" i="37"/>
  <c r="FQ346" i="37"/>
  <c r="FP346" i="37"/>
  <c r="FO346" i="37"/>
  <c r="FN346" i="37"/>
  <c r="EB346" i="37"/>
  <c r="DZ346" i="37"/>
  <c r="DX346" i="37"/>
  <c r="FQ344" i="37"/>
  <c r="FP344" i="37"/>
  <c r="FO344" i="37"/>
  <c r="FN344" i="37"/>
  <c r="EB344" i="37"/>
  <c r="DZ344" i="37"/>
  <c r="DX344" i="37"/>
  <c r="FQ338" i="37"/>
  <c r="FP338" i="37"/>
  <c r="FO338" i="37"/>
  <c r="FN338" i="37"/>
  <c r="EB338" i="37"/>
  <c r="DZ338" i="37"/>
  <c r="DX338" i="37"/>
  <c r="FQ333" i="37"/>
  <c r="FP333" i="37"/>
  <c r="FO333" i="37"/>
  <c r="FN333" i="37"/>
  <c r="EB333" i="37"/>
  <c r="DZ333" i="37"/>
  <c r="DX333" i="37"/>
  <c r="FQ327" i="37"/>
  <c r="FP327" i="37"/>
  <c r="FO327" i="37"/>
  <c r="FN327" i="37"/>
  <c r="EB327" i="37"/>
  <c r="EB326" i="37" s="1"/>
  <c r="DZ327" i="37"/>
  <c r="DZ326" i="37" s="1"/>
  <c r="DX327" i="37"/>
  <c r="DX326" i="37" s="1"/>
  <c r="FQ322" i="37"/>
  <c r="FP322" i="37"/>
  <c r="FO322" i="37"/>
  <c r="FN322" i="37"/>
  <c r="EB322" i="37"/>
  <c r="DZ322" i="37"/>
  <c r="DX322" i="37"/>
  <c r="FQ318" i="37"/>
  <c r="FP318" i="37"/>
  <c r="FO318" i="37"/>
  <c r="FN318" i="37"/>
  <c r="EB318" i="37"/>
  <c r="DZ318" i="37"/>
  <c r="DX318" i="37"/>
  <c r="FQ314" i="37"/>
  <c r="FP314" i="37"/>
  <c r="FO314" i="37"/>
  <c r="FN314" i="37"/>
  <c r="EB314" i="37"/>
  <c r="DZ314" i="37"/>
  <c r="DX314" i="37"/>
  <c r="FQ312" i="37"/>
  <c r="FP312" i="37"/>
  <c r="FO312" i="37"/>
  <c r="FN312" i="37"/>
  <c r="EB312" i="37"/>
  <c r="DZ312" i="37"/>
  <c r="DX312" i="37"/>
  <c r="FQ309" i="37"/>
  <c r="FP309" i="37"/>
  <c r="FO309" i="37"/>
  <c r="FN309" i="37"/>
  <c r="EB309" i="37"/>
  <c r="DZ309" i="37"/>
  <c r="DX309" i="37"/>
  <c r="FQ307" i="37"/>
  <c r="FP307" i="37"/>
  <c r="FO307" i="37"/>
  <c r="FN307" i="37"/>
  <c r="EB307" i="37"/>
  <c r="DZ307" i="37"/>
  <c r="DX307" i="37"/>
  <c r="FQ303" i="37"/>
  <c r="FP303" i="37"/>
  <c r="FO303" i="37"/>
  <c r="FN303" i="37"/>
  <c r="EB303" i="37"/>
  <c r="DZ303" i="37"/>
  <c r="DX303" i="37"/>
  <c r="FQ301" i="37"/>
  <c r="FP301" i="37"/>
  <c r="FO301" i="37"/>
  <c r="FN301" i="37"/>
  <c r="EB301" i="37"/>
  <c r="DZ301" i="37"/>
  <c r="DX301" i="37"/>
  <c r="FQ299" i="37"/>
  <c r="FP299" i="37"/>
  <c r="FO299" i="37"/>
  <c r="FN299" i="37"/>
  <c r="EB299" i="37"/>
  <c r="DZ299" i="37"/>
  <c r="DX299" i="37"/>
  <c r="FQ297" i="37"/>
  <c r="FP297" i="37"/>
  <c r="FO297" i="37"/>
  <c r="FN297" i="37"/>
  <c r="EB297" i="37"/>
  <c r="DZ297" i="37"/>
  <c r="DX297" i="37"/>
  <c r="FQ295" i="37"/>
  <c r="FP295" i="37"/>
  <c r="FO295" i="37"/>
  <c r="FN295" i="37"/>
  <c r="EB295" i="37"/>
  <c r="DZ295" i="37"/>
  <c r="DX295" i="37"/>
  <c r="FQ293" i="37"/>
  <c r="FP293" i="37"/>
  <c r="FO293" i="37"/>
  <c r="FN293" i="37"/>
  <c r="EB293" i="37"/>
  <c r="DZ293" i="37"/>
  <c r="DX293" i="37"/>
  <c r="FQ291" i="37"/>
  <c r="FP291" i="37"/>
  <c r="FO291" i="37"/>
  <c r="FN291" i="37"/>
  <c r="EB291" i="37"/>
  <c r="DZ291" i="37"/>
  <c r="DX291" i="37"/>
  <c r="FQ287" i="37"/>
  <c r="FP287" i="37"/>
  <c r="FO287" i="37"/>
  <c r="FN287" i="37"/>
  <c r="EB287" i="37"/>
  <c r="DZ287" i="37"/>
  <c r="DX287" i="37"/>
  <c r="FQ283" i="37"/>
  <c r="FP283" i="37"/>
  <c r="FO283" i="37"/>
  <c r="FN283" i="37"/>
  <c r="EB283" i="37"/>
  <c r="DZ283" i="37"/>
  <c r="DX283" i="37"/>
  <c r="FQ279" i="37"/>
  <c r="FP279" i="37"/>
  <c r="FO279" i="37"/>
  <c r="FN279" i="37"/>
  <c r="EB279" i="37"/>
  <c r="DZ279" i="37"/>
  <c r="DX279" i="37"/>
  <c r="FQ273" i="37"/>
  <c r="FP273" i="37"/>
  <c r="FO273" i="37"/>
  <c r="FN273" i="37"/>
  <c r="EB273" i="37"/>
  <c r="DZ273" i="37"/>
  <c r="DX273" i="37"/>
  <c r="FQ271" i="37"/>
  <c r="FP271" i="37"/>
  <c r="FO271" i="37"/>
  <c r="FN271" i="37"/>
  <c r="EB271" i="37"/>
  <c r="DZ271" i="37"/>
  <c r="DX271" i="37"/>
  <c r="FQ266" i="37"/>
  <c r="FP266" i="37"/>
  <c r="FO266" i="37"/>
  <c r="FN266" i="37"/>
  <c r="EB266" i="37"/>
  <c r="DZ266" i="37"/>
  <c r="DX266" i="37"/>
  <c r="FQ264" i="37"/>
  <c r="FP264" i="37"/>
  <c r="FO264" i="37"/>
  <c r="FN264" i="37"/>
  <c r="EB264" i="37"/>
  <c r="DZ264" i="37"/>
  <c r="DX264" i="37"/>
  <c r="FQ262" i="37"/>
  <c r="FP262" i="37"/>
  <c r="FO262" i="37"/>
  <c r="FN262" i="37"/>
  <c r="EB262" i="37"/>
  <c r="DZ262" i="37"/>
  <c r="DX262" i="37"/>
  <c r="FQ260" i="37"/>
  <c r="FP260" i="37"/>
  <c r="FO260" i="37"/>
  <c r="FN260" i="37"/>
  <c r="EB260" i="37"/>
  <c r="DZ260" i="37"/>
  <c r="DX260" i="37"/>
  <c r="FQ255" i="37"/>
  <c r="FP255" i="37"/>
  <c r="FO255" i="37"/>
  <c r="FN255" i="37"/>
  <c r="EB255" i="37"/>
  <c r="DZ255" i="37"/>
  <c r="DX255" i="37"/>
  <c r="FQ250" i="37"/>
  <c r="FP250" i="37"/>
  <c r="FO250" i="37"/>
  <c r="FN250" i="37"/>
  <c r="EB250" i="37"/>
  <c r="DZ250" i="37"/>
  <c r="DX250" i="37"/>
  <c r="FQ245" i="37"/>
  <c r="FP245" i="37"/>
  <c r="FO245" i="37"/>
  <c r="FN245" i="37"/>
  <c r="EB245" i="37"/>
  <c r="EB244" i="37" s="1"/>
  <c r="DZ245" i="37"/>
  <c r="DZ244" i="37" s="1"/>
  <c r="DX245" i="37"/>
  <c r="DX244" i="37" s="1"/>
  <c r="FQ241" i="37"/>
  <c r="FP241" i="37"/>
  <c r="FO241" i="37"/>
  <c r="FN241" i="37"/>
  <c r="EB241" i="37"/>
  <c r="DZ241" i="37"/>
  <c r="DX241" i="37"/>
  <c r="FQ238" i="37"/>
  <c r="FP238" i="37"/>
  <c r="FO238" i="37"/>
  <c r="FN238" i="37"/>
  <c r="EB238" i="37"/>
  <c r="DZ238" i="37"/>
  <c r="DX238" i="37"/>
  <c r="FQ233" i="37"/>
  <c r="FP233" i="37"/>
  <c r="FO233" i="37"/>
  <c r="FN233" i="37"/>
  <c r="EB233" i="37"/>
  <c r="DZ233" i="37"/>
  <c r="DX233" i="37"/>
  <c r="FQ229" i="37"/>
  <c r="FP229" i="37"/>
  <c r="FO229" i="37"/>
  <c r="FN229" i="37"/>
  <c r="EB229" i="37"/>
  <c r="DZ229" i="37"/>
  <c r="DX229" i="37"/>
  <c r="FQ215" i="37"/>
  <c r="FP215" i="37"/>
  <c r="FO215" i="37"/>
  <c r="FN215" i="37"/>
  <c r="EB215" i="37"/>
  <c r="DZ215" i="37"/>
  <c r="DX215" i="37"/>
  <c r="FQ211" i="37"/>
  <c r="FP211" i="37"/>
  <c r="FO211" i="37"/>
  <c r="FN211" i="37"/>
  <c r="EB211" i="37"/>
  <c r="DZ211" i="37"/>
  <c r="DX211" i="37"/>
  <c r="FQ206" i="37"/>
  <c r="FP206" i="37"/>
  <c r="FO206" i="37"/>
  <c r="FN206" i="37"/>
  <c r="EB206" i="37"/>
  <c r="DZ206" i="37"/>
  <c r="DX206" i="37"/>
  <c r="FQ202" i="37"/>
  <c r="FP202" i="37"/>
  <c r="FO202" i="37"/>
  <c r="FN202" i="37"/>
  <c r="EB202" i="37"/>
  <c r="DZ202" i="37"/>
  <c r="DX202" i="37"/>
  <c r="FQ197" i="37"/>
  <c r="FP197" i="37"/>
  <c r="FO197" i="37"/>
  <c r="FN197" i="37"/>
  <c r="EB197" i="37"/>
  <c r="DZ197" i="37"/>
  <c r="DX197" i="37"/>
  <c r="FQ195" i="37"/>
  <c r="FP195" i="37"/>
  <c r="FO195" i="37"/>
  <c r="FN195" i="37"/>
  <c r="EB195" i="37"/>
  <c r="DZ195" i="37"/>
  <c r="DX195" i="37"/>
  <c r="FQ190" i="37"/>
  <c r="FP190" i="37"/>
  <c r="FO190" i="37"/>
  <c r="FN190" i="37"/>
  <c r="EB190" i="37"/>
  <c r="DZ190" i="37"/>
  <c r="DX190" i="37"/>
  <c r="FQ185" i="37"/>
  <c r="FP185" i="37"/>
  <c r="FO185" i="37"/>
  <c r="FN185" i="37"/>
  <c r="EB185" i="37"/>
  <c r="DZ185" i="37"/>
  <c r="DX185" i="37"/>
  <c r="FQ182" i="37"/>
  <c r="FP182" i="37"/>
  <c r="FO182" i="37"/>
  <c r="FN182" i="37"/>
  <c r="EB182" i="37"/>
  <c r="DZ182" i="37"/>
  <c r="DX182" i="37"/>
  <c r="FQ173" i="37"/>
  <c r="FP173" i="37"/>
  <c r="FO173" i="37"/>
  <c r="FN173" i="37"/>
  <c r="EB173" i="37"/>
  <c r="DZ173" i="37"/>
  <c r="DX173" i="37"/>
  <c r="FQ169" i="37"/>
  <c r="FP169" i="37"/>
  <c r="FO169" i="37"/>
  <c r="FN169" i="37"/>
  <c r="EB169" i="37"/>
  <c r="DZ169" i="37"/>
  <c r="DX169" i="37"/>
  <c r="FQ165" i="37"/>
  <c r="FP165" i="37"/>
  <c r="FO165" i="37"/>
  <c r="FN165" i="37"/>
  <c r="EB165" i="37"/>
  <c r="DZ165" i="37"/>
  <c r="DX165" i="37"/>
  <c r="FQ163" i="37"/>
  <c r="FP163" i="37"/>
  <c r="FO163" i="37"/>
  <c r="FN163" i="37"/>
  <c r="EB163" i="37"/>
  <c r="DZ163" i="37"/>
  <c r="DX163" i="37"/>
  <c r="FQ160" i="37"/>
  <c r="FP160" i="37"/>
  <c r="FO160" i="37"/>
  <c r="FN160" i="37"/>
  <c r="EB160" i="37"/>
  <c r="DZ160" i="37"/>
  <c r="DX160" i="37"/>
  <c r="FQ156" i="37"/>
  <c r="FP156" i="37"/>
  <c r="FO156" i="37"/>
  <c r="FN156" i="37"/>
  <c r="EB156" i="37"/>
  <c r="DZ156" i="37"/>
  <c r="DX156" i="37"/>
  <c r="FQ152" i="37"/>
  <c r="FP152" i="37"/>
  <c r="FO152" i="37"/>
  <c r="FN152" i="37"/>
  <c r="EB152" i="37"/>
  <c r="DZ152" i="37"/>
  <c r="DX152" i="37"/>
  <c r="FQ145" i="37"/>
  <c r="FP145" i="37"/>
  <c r="FO145" i="37"/>
  <c r="FN145" i="37"/>
  <c r="EB145" i="37"/>
  <c r="DZ145" i="37"/>
  <c r="DX145" i="37"/>
  <c r="FQ137" i="37"/>
  <c r="FP137" i="37"/>
  <c r="FO137" i="37"/>
  <c r="FN137" i="37"/>
  <c r="EB137" i="37"/>
  <c r="DZ137" i="37"/>
  <c r="DX137" i="37"/>
  <c r="FQ135" i="37"/>
  <c r="FP135" i="37"/>
  <c r="FO135" i="37"/>
  <c r="FN135" i="37"/>
  <c r="EB135" i="37"/>
  <c r="DZ135" i="37"/>
  <c r="DX135" i="37"/>
  <c r="FQ130" i="37"/>
  <c r="FP130" i="37"/>
  <c r="FO130" i="37"/>
  <c r="FN130" i="37"/>
  <c r="EB130" i="37"/>
  <c r="DZ130" i="37"/>
  <c r="DX130" i="37"/>
  <c r="FQ125" i="37"/>
  <c r="FP125" i="37"/>
  <c r="FO125" i="37"/>
  <c r="FN125" i="37"/>
  <c r="EB125" i="37"/>
  <c r="DZ125" i="37"/>
  <c r="DX125" i="37"/>
  <c r="E117" i="37"/>
  <c r="J94" i="37"/>
  <c r="F94" i="37"/>
  <c r="F92" i="37"/>
  <c r="E90" i="37"/>
  <c r="J28" i="37"/>
  <c r="E28" i="37"/>
  <c r="J27" i="37"/>
  <c r="J22" i="37"/>
  <c r="E22" i="37"/>
  <c r="F95" i="37" s="1"/>
  <c r="J21" i="37"/>
  <c r="J16" i="37"/>
  <c r="J92" i="37" s="1"/>
  <c r="E7" i="37"/>
  <c r="J41" i="36"/>
  <c r="J40" i="36"/>
  <c r="BF132" i="1" s="1"/>
  <c r="J39" i="36"/>
  <c r="BE132" i="1" s="1"/>
  <c r="DU602" i="36"/>
  <c r="DT602" i="36"/>
  <c r="DS602" i="36"/>
  <c r="DR602" i="36"/>
  <c r="CF602" i="36"/>
  <c r="CF601" i="36" s="1"/>
  <c r="CD602" i="36"/>
  <c r="CD601" i="36" s="1"/>
  <c r="CB602" i="36"/>
  <c r="CB601" i="36" s="1"/>
  <c r="DU598" i="36"/>
  <c r="DT598" i="36"/>
  <c r="DS598" i="36"/>
  <c r="DR598" i="36"/>
  <c r="CF598" i="36"/>
  <c r="CD598" i="36"/>
  <c r="CB598" i="36"/>
  <c r="DU595" i="36"/>
  <c r="DT595" i="36"/>
  <c r="DS595" i="36"/>
  <c r="DR595" i="36"/>
  <c r="CF595" i="36"/>
  <c r="CD595" i="36"/>
  <c r="CB595" i="36"/>
  <c r="DU593" i="36"/>
  <c r="DT593" i="36"/>
  <c r="DS593" i="36"/>
  <c r="DR593" i="36"/>
  <c r="CF593" i="36"/>
  <c r="CD593" i="36"/>
  <c r="CB593" i="36"/>
  <c r="DU587" i="36"/>
  <c r="DT587" i="36"/>
  <c r="DS587" i="36"/>
  <c r="DR587" i="36"/>
  <c r="CF587" i="36"/>
  <c r="CD587" i="36"/>
  <c r="CB587" i="36"/>
  <c r="DU582" i="36"/>
  <c r="DT582" i="36"/>
  <c r="DS582" i="36"/>
  <c r="DR582" i="36"/>
  <c r="CF582" i="36"/>
  <c r="CD582" i="36"/>
  <c r="CB582" i="36"/>
  <c r="DU576" i="36"/>
  <c r="DT576" i="36"/>
  <c r="DS576" i="36"/>
  <c r="DR576" i="36"/>
  <c r="CF576" i="36"/>
  <c r="CF575" i="36" s="1"/>
  <c r="CD576" i="36"/>
  <c r="CD575" i="36" s="1"/>
  <c r="CB576" i="36"/>
  <c r="CB575" i="36" s="1"/>
  <c r="DU571" i="36"/>
  <c r="DT571" i="36"/>
  <c r="DS571" i="36"/>
  <c r="DR571" i="36"/>
  <c r="CF571" i="36"/>
  <c r="CD571" i="36"/>
  <c r="CB571" i="36"/>
  <c r="DU567" i="36"/>
  <c r="DT567" i="36"/>
  <c r="DS567" i="36"/>
  <c r="DR567" i="36"/>
  <c r="CF567" i="36"/>
  <c r="CD567" i="36"/>
  <c r="CB567" i="36"/>
  <c r="DU565" i="36"/>
  <c r="DT565" i="36"/>
  <c r="DS565" i="36"/>
  <c r="DR565" i="36"/>
  <c r="CF565" i="36"/>
  <c r="CD565" i="36"/>
  <c r="CB565" i="36"/>
  <c r="DU563" i="36"/>
  <c r="DT563" i="36"/>
  <c r="DS563" i="36"/>
  <c r="DR563" i="36"/>
  <c r="CF563" i="36"/>
  <c r="CD563" i="36"/>
  <c r="CB563" i="36"/>
  <c r="DU559" i="36"/>
  <c r="DT559" i="36"/>
  <c r="DS559" i="36"/>
  <c r="DR559" i="36"/>
  <c r="CF559" i="36"/>
  <c r="CD559" i="36"/>
  <c r="CB559" i="36"/>
  <c r="DU557" i="36"/>
  <c r="DT557" i="36"/>
  <c r="DS557" i="36"/>
  <c r="DR557" i="36"/>
  <c r="CF557" i="36"/>
  <c r="CD557" i="36"/>
  <c r="CB557" i="36"/>
  <c r="DU553" i="36"/>
  <c r="DT553" i="36"/>
  <c r="DS553" i="36"/>
  <c r="DR553" i="36"/>
  <c r="CF553" i="36"/>
  <c r="CD553" i="36"/>
  <c r="CB553" i="36"/>
  <c r="DU549" i="36"/>
  <c r="DT549" i="36"/>
  <c r="DS549" i="36"/>
  <c r="DR549" i="36"/>
  <c r="CF549" i="36"/>
  <c r="CD549" i="36"/>
  <c r="CB549" i="36"/>
  <c r="DU545" i="36"/>
  <c r="DT545" i="36"/>
  <c r="DS545" i="36"/>
  <c r="DR545" i="36"/>
  <c r="CF545" i="36"/>
  <c r="CD545" i="36"/>
  <c r="CB545" i="36"/>
  <c r="DU543" i="36"/>
  <c r="DT543" i="36"/>
  <c r="DS543" i="36"/>
  <c r="DR543" i="36"/>
  <c r="CF543" i="36"/>
  <c r="CD543" i="36"/>
  <c r="CB543" i="36"/>
  <c r="DU541" i="36"/>
  <c r="DT541" i="36"/>
  <c r="DS541" i="36"/>
  <c r="DR541" i="36"/>
  <c r="CF541" i="36"/>
  <c r="CD541" i="36"/>
  <c r="CB541" i="36"/>
  <c r="DU537" i="36"/>
  <c r="DT537" i="36"/>
  <c r="DS537" i="36"/>
  <c r="DR537" i="36"/>
  <c r="CF537" i="36"/>
  <c r="CD537" i="36"/>
  <c r="CB537" i="36"/>
  <c r="DU535" i="36"/>
  <c r="DT535" i="36"/>
  <c r="DS535" i="36"/>
  <c r="DR535" i="36"/>
  <c r="CF535" i="36"/>
  <c r="CD535" i="36"/>
  <c r="CB535" i="36"/>
  <c r="DU533" i="36"/>
  <c r="DT533" i="36"/>
  <c r="DS533" i="36"/>
  <c r="DR533" i="36"/>
  <c r="CF533" i="36"/>
  <c r="CD533" i="36"/>
  <c r="CB533" i="36"/>
  <c r="DU529" i="36"/>
  <c r="DT529" i="36"/>
  <c r="DS529" i="36"/>
  <c r="DR529" i="36"/>
  <c r="CF529" i="36"/>
  <c r="CD529" i="36"/>
  <c r="CB529" i="36"/>
  <c r="DU527" i="36"/>
  <c r="DT527" i="36"/>
  <c r="DS527" i="36"/>
  <c r="DR527" i="36"/>
  <c r="CF527" i="36"/>
  <c r="CD527" i="36"/>
  <c r="CB527" i="36"/>
  <c r="DU523" i="36"/>
  <c r="DT523" i="36"/>
  <c r="DS523" i="36"/>
  <c r="DR523" i="36"/>
  <c r="CF523" i="36"/>
  <c r="CD523" i="36"/>
  <c r="CB523" i="36"/>
  <c r="DU520" i="36"/>
  <c r="DT520" i="36"/>
  <c r="DS520" i="36"/>
  <c r="DR520" i="36"/>
  <c r="CF520" i="36"/>
  <c r="CD520" i="36"/>
  <c r="CB520" i="36"/>
  <c r="DU515" i="36"/>
  <c r="DT515" i="36"/>
  <c r="DS515" i="36"/>
  <c r="DR515" i="36"/>
  <c r="CF515" i="36"/>
  <c r="CD515" i="36"/>
  <c r="CB515" i="36"/>
  <c r="DU512" i="36"/>
  <c r="DT512" i="36"/>
  <c r="DS512" i="36"/>
  <c r="DR512" i="36"/>
  <c r="CF512" i="36"/>
  <c r="CD512" i="36"/>
  <c r="CB512" i="36"/>
  <c r="DU509" i="36"/>
  <c r="DT509" i="36"/>
  <c r="DS509" i="36"/>
  <c r="DR509" i="36"/>
  <c r="CF509" i="36"/>
  <c r="CD509" i="36"/>
  <c r="CB509" i="36"/>
  <c r="DU507" i="36"/>
  <c r="DT507" i="36"/>
  <c r="DS507" i="36"/>
  <c r="DR507" i="36"/>
  <c r="CF507" i="36"/>
  <c r="CD507" i="36"/>
  <c r="CB507" i="36"/>
  <c r="DU503" i="36"/>
  <c r="DT503" i="36"/>
  <c r="DS503" i="36"/>
  <c r="DR503" i="36"/>
  <c r="CF503" i="36"/>
  <c r="CD503" i="36"/>
  <c r="CB503" i="36"/>
  <c r="DU501" i="36"/>
  <c r="DT501" i="36"/>
  <c r="DS501" i="36"/>
  <c r="DR501" i="36"/>
  <c r="CF501" i="36"/>
  <c r="CD501" i="36"/>
  <c r="CB501" i="36"/>
  <c r="DU497" i="36"/>
  <c r="DT497" i="36"/>
  <c r="DS497" i="36"/>
  <c r="DR497" i="36"/>
  <c r="CF497" i="36"/>
  <c r="CD497" i="36"/>
  <c r="CB497" i="36"/>
  <c r="DU495" i="36"/>
  <c r="DT495" i="36"/>
  <c r="DS495" i="36"/>
  <c r="DR495" i="36"/>
  <c r="CF495" i="36"/>
  <c r="CD495" i="36"/>
  <c r="CB495" i="36"/>
  <c r="DU493" i="36"/>
  <c r="DT493" i="36"/>
  <c r="DS493" i="36"/>
  <c r="DR493" i="36"/>
  <c r="CF493" i="36"/>
  <c r="CD493" i="36"/>
  <c r="CB493" i="36"/>
  <c r="DU491" i="36"/>
  <c r="DT491" i="36"/>
  <c r="DS491" i="36"/>
  <c r="DR491" i="36"/>
  <c r="CF491" i="36"/>
  <c r="CD491" i="36"/>
  <c r="CB491" i="36"/>
  <c r="DU489" i="36"/>
  <c r="DT489" i="36"/>
  <c r="DS489" i="36"/>
  <c r="DR489" i="36"/>
  <c r="CF489" i="36"/>
  <c r="CD489" i="36"/>
  <c r="CB489" i="36"/>
  <c r="DU487" i="36"/>
  <c r="DT487" i="36"/>
  <c r="DS487" i="36"/>
  <c r="DR487" i="36"/>
  <c r="CF487" i="36"/>
  <c r="CD487" i="36"/>
  <c r="CB487" i="36"/>
  <c r="DU485" i="36"/>
  <c r="DT485" i="36"/>
  <c r="DS485" i="36"/>
  <c r="DR485" i="36"/>
  <c r="CF485" i="36"/>
  <c r="CD485" i="36"/>
  <c r="CB485" i="36"/>
  <c r="DU483" i="36"/>
  <c r="DT483" i="36"/>
  <c r="DS483" i="36"/>
  <c r="DR483" i="36"/>
  <c r="CF483" i="36"/>
  <c r="CD483" i="36"/>
  <c r="CB483" i="36"/>
  <c r="DU479" i="36"/>
  <c r="DT479" i="36"/>
  <c r="DS479" i="36"/>
  <c r="DR479" i="36"/>
  <c r="CF479" i="36"/>
  <c r="CD479" i="36"/>
  <c r="CB479" i="36"/>
  <c r="DU475" i="36"/>
  <c r="DT475" i="36"/>
  <c r="DS475" i="36"/>
  <c r="DR475" i="36"/>
  <c r="CF475" i="36"/>
  <c r="CD475" i="36"/>
  <c r="CB475" i="36"/>
  <c r="DU471" i="36"/>
  <c r="DT471" i="36"/>
  <c r="DS471" i="36"/>
  <c r="DR471" i="36"/>
  <c r="CF471" i="36"/>
  <c r="CD471" i="36"/>
  <c r="CB471" i="36"/>
  <c r="DU465" i="36"/>
  <c r="DT465" i="36"/>
  <c r="DS465" i="36"/>
  <c r="DR465" i="36"/>
  <c r="CF465" i="36"/>
  <c r="CD465" i="36"/>
  <c r="CB465" i="36"/>
  <c r="DU463" i="36"/>
  <c r="DT463" i="36"/>
  <c r="DS463" i="36"/>
  <c r="DR463" i="36"/>
  <c r="CF463" i="36"/>
  <c r="CD463" i="36"/>
  <c r="CB463" i="36"/>
  <c r="DU459" i="36"/>
  <c r="DT459" i="36"/>
  <c r="DS459" i="36"/>
  <c r="DR459" i="36"/>
  <c r="CF459" i="36"/>
  <c r="CD459" i="36"/>
  <c r="CB459" i="36"/>
  <c r="DU457" i="36"/>
  <c r="DT457" i="36"/>
  <c r="DS457" i="36"/>
  <c r="DR457" i="36"/>
  <c r="CF457" i="36"/>
  <c r="CD457" i="36"/>
  <c r="CB457" i="36"/>
  <c r="DU455" i="36"/>
  <c r="DT455" i="36"/>
  <c r="DS455" i="36"/>
  <c r="DR455" i="36"/>
  <c r="CF455" i="36"/>
  <c r="CD455" i="36"/>
  <c r="CB455" i="36"/>
  <c r="DU451" i="36"/>
  <c r="DT451" i="36"/>
  <c r="DS451" i="36"/>
  <c r="DR451" i="36"/>
  <c r="CF451" i="36"/>
  <c r="CD451" i="36"/>
  <c r="CB451" i="36"/>
  <c r="DU448" i="36"/>
  <c r="DT448" i="36"/>
  <c r="DS448" i="36"/>
  <c r="DR448" i="36"/>
  <c r="CF448" i="36"/>
  <c r="CD448" i="36"/>
  <c r="CB448" i="36"/>
  <c r="DU444" i="36"/>
  <c r="DT444" i="36"/>
  <c r="DS444" i="36"/>
  <c r="DR444" i="36"/>
  <c r="CF444" i="36"/>
  <c r="CD444" i="36"/>
  <c r="CB444" i="36"/>
  <c r="DU438" i="36"/>
  <c r="DT438" i="36"/>
  <c r="DS438" i="36"/>
  <c r="DR438" i="36"/>
  <c r="CF438" i="36"/>
  <c r="CD438" i="36"/>
  <c r="CB438" i="36"/>
  <c r="DU436" i="36"/>
  <c r="DT436" i="36"/>
  <c r="DS436" i="36"/>
  <c r="DR436" i="36"/>
  <c r="CF436" i="36"/>
  <c r="CD436" i="36"/>
  <c r="CB436" i="36"/>
  <c r="DU431" i="36"/>
  <c r="DT431" i="36"/>
  <c r="DS431" i="36"/>
  <c r="DR431" i="36"/>
  <c r="CF431" i="36"/>
  <c r="CD431" i="36"/>
  <c r="CB431" i="36"/>
  <c r="DU429" i="36"/>
  <c r="DT429" i="36"/>
  <c r="DS429" i="36"/>
  <c r="DR429" i="36"/>
  <c r="CF429" i="36"/>
  <c r="CD429" i="36"/>
  <c r="CB429" i="36"/>
  <c r="DU427" i="36"/>
  <c r="DT427" i="36"/>
  <c r="DS427" i="36"/>
  <c r="DR427" i="36"/>
  <c r="CF427" i="36"/>
  <c r="CD427" i="36"/>
  <c r="CB427" i="36"/>
  <c r="DU425" i="36"/>
  <c r="DT425" i="36"/>
  <c r="DS425" i="36"/>
  <c r="DR425" i="36"/>
  <c r="CF425" i="36"/>
  <c r="CD425" i="36"/>
  <c r="CB425" i="36"/>
  <c r="DU420" i="36"/>
  <c r="DT420" i="36"/>
  <c r="DS420" i="36"/>
  <c r="DR420" i="36"/>
  <c r="CF420" i="36"/>
  <c r="CD420" i="36"/>
  <c r="CB420" i="36"/>
  <c r="DU415" i="36"/>
  <c r="DT415" i="36"/>
  <c r="DS415" i="36"/>
  <c r="DR415" i="36"/>
  <c r="CF415" i="36"/>
  <c r="CD415" i="36"/>
  <c r="CB415" i="36"/>
  <c r="DU413" i="36"/>
  <c r="DT413" i="36"/>
  <c r="DS413" i="36"/>
  <c r="DR413" i="36"/>
  <c r="CF413" i="36"/>
  <c r="CD413" i="36"/>
  <c r="CB413" i="36"/>
  <c r="DU409" i="36"/>
  <c r="DT409" i="36"/>
  <c r="DS409" i="36"/>
  <c r="DR409" i="36"/>
  <c r="CF409" i="36"/>
  <c r="CD409" i="36"/>
  <c r="CB409" i="36"/>
  <c r="DU404" i="36"/>
  <c r="DT404" i="36"/>
  <c r="DS404" i="36"/>
  <c r="DR404" i="36"/>
  <c r="CF404" i="36"/>
  <c r="CD404" i="36"/>
  <c r="CB404" i="36"/>
  <c r="DU397" i="36"/>
  <c r="DT397" i="36"/>
  <c r="DS397" i="36"/>
  <c r="DR397" i="36"/>
  <c r="CF397" i="36"/>
  <c r="CD397" i="36"/>
  <c r="CB397" i="36"/>
  <c r="DU394" i="36"/>
  <c r="DT394" i="36"/>
  <c r="DS394" i="36"/>
  <c r="DR394" i="36"/>
  <c r="CF394" i="36"/>
  <c r="CD394" i="36"/>
  <c r="CB394" i="36"/>
  <c r="DU392" i="36"/>
  <c r="DT392" i="36"/>
  <c r="DS392" i="36"/>
  <c r="DR392" i="36"/>
  <c r="CF392" i="36"/>
  <c r="CD392" i="36"/>
  <c r="CB392" i="36"/>
  <c r="DU387" i="36"/>
  <c r="DT387" i="36"/>
  <c r="DS387" i="36"/>
  <c r="DR387" i="36"/>
  <c r="CF387" i="36"/>
  <c r="CD387" i="36"/>
  <c r="CB387" i="36"/>
  <c r="DU385" i="36"/>
  <c r="DT385" i="36"/>
  <c r="DS385" i="36"/>
  <c r="DR385" i="36"/>
  <c r="CF385" i="36"/>
  <c r="CD385" i="36"/>
  <c r="CB385" i="36"/>
  <c r="DU380" i="36"/>
  <c r="DT380" i="36"/>
  <c r="DS380" i="36"/>
  <c r="DR380" i="36"/>
  <c r="CF380" i="36"/>
  <c r="CD380" i="36"/>
  <c r="CB380" i="36"/>
  <c r="DU378" i="36"/>
  <c r="DT378" i="36"/>
  <c r="DS378" i="36"/>
  <c r="DR378" i="36"/>
  <c r="CF378" i="36"/>
  <c r="CD378" i="36"/>
  <c r="CB378" i="36"/>
  <c r="DU373" i="36"/>
  <c r="DT373" i="36"/>
  <c r="DS373" i="36"/>
  <c r="DR373" i="36"/>
  <c r="CF373" i="36"/>
  <c r="CD373" i="36"/>
  <c r="CB373" i="36"/>
  <c r="DU371" i="36"/>
  <c r="DT371" i="36"/>
  <c r="DS371" i="36"/>
  <c r="DR371" i="36"/>
  <c r="CF371" i="36"/>
  <c r="CD371" i="36"/>
  <c r="CB371" i="36"/>
  <c r="DU366" i="36"/>
  <c r="DT366" i="36"/>
  <c r="DS366" i="36"/>
  <c r="DR366" i="36"/>
  <c r="CF366" i="36"/>
  <c r="CD366" i="36"/>
  <c r="CB366" i="36"/>
  <c r="DU361" i="36"/>
  <c r="DT361" i="36"/>
  <c r="DS361" i="36"/>
  <c r="DR361" i="36"/>
  <c r="CF361" i="36"/>
  <c r="CD361" i="36"/>
  <c r="CB361" i="36"/>
  <c r="DU356" i="36"/>
  <c r="DT356" i="36"/>
  <c r="DS356" i="36"/>
  <c r="DR356" i="36"/>
  <c r="CF356" i="36"/>
  <c r="CD356" i="36"/>
  <c r="CB356" i="36"/>
  <c r="DU351" i="36"/>
  <c r="DT351" i="36"/>
  <c r="DS351" i="36"/>
  <c r="DR351" i="36"/>
  <c r="CF351" i="36"/>
  <c r="CD351" i="36"/>
  <c r="CB351" i="36"/>
  <c r="DU348" i="36"/>
  <c r="DT348" i="36"/>
  <c r="DS348" i="36"/>
  <c r="DR348" i="36"/>
  <c r="CF348" i="36"/>
  <c r="CD348" i="36"/>
  <c r="CB348" i="36"/>
  <c r="DU344" i="36"/>
  <c r="DT344" i="36"/>
  <c r="DS344" i="36"/>
  <c r="DR344" i="36"/>
  <c r="CF344" i="36"/>
  <c r="CD344" i="36"/>
  <c r="CB344" i="36"/>
  <c r="DU336" i="36"/>
  <c r="DT336" i="36"/>
  <c r="DS336" i="36"/>
  <c r="DR336" i="36"/>
  <c r="CF336" i="36"/>
  <c r="CD336" i="36"/>
  <c r="CB336" i="36"/>
  <c r="DU334" i="36"/>
  <c r="DT334" i="36"/>
  <c r="DS334" i="36"/>
  <c r="DR334" i="36"/>
  <c r="CF334" i="36"/>
  <c r="CD334" i="36"/>
  <c r="CB334" i="36"/>
  <c r="DU331" i="36"/>
  <c r="DT331" i="36"/>
  <c r="DS331" i="36"/>
  <c r="DR331" i="36"/>
  <c r="CF331" i="36"/>
  <c r="CD331" i="36"/>
  <c r="CB331" i="36"/>
  <c r="DU324" i="36"/>
  <c r="DT324" i="36"/>
  <c r="DS324" i="36"/>
  <c r="DR324" i="36"/>
  <c r="CF324" i="36"/>
  <c r="CD324" i="36"/>
  <c r="CB324" i="36"/>
  <c r="DU310" i="36"/>
  <c r="DT310" i="36"/>
  <c r="DS310" i="36"/>
  <c r="DR310" i="36"/>
  <c r="CF310" i="36"/>
  <c r="CD310" i="36"/>
  <c r="CB310" i="36"/>
  <c r="DU293" i="36"/>
  <c r="DT293" i="36"/>
  <c r="DS293" i="36"/>
  <c r="DR293" i="36"/>
  <c r="CF293" i="36"/>
  <c r="CD293" i="36"/>
  <c r="CB293" i="36"/>
  <c r="DU284" i="36"/>
  <c r="DT284" i="36"/>
  <c r="DS284" i="36"/>
  <c r="DR284" i="36"/>
  <c r="CF284" i="36"/>
  <c r="CD284" i="36"/>
  <c r="CB284" i="36"/>
  <c r="DU276" i="36"/>
  <c r="DT276" i="36"/>
  <c r="DS276" i="36"/>
  <c r="DR276" i="36"/>
  <c r="CF276" i="36"/>
  <c r="CD276" i="36"/>
  <c r="CB276" i="36"/>
  <c r="DU264" i="36"/>
  <c r="DT264" i="36"/>
  <c r="DS264" i="36"/>
  <c r="DR264" i="36"/>
  <c r="CF264" i="36"/>
  <c r="CD264" i="36"/>
  <c r="CB264" i="36"/>
  <c r="DU261" i="36"/>
  <c r="DT261" i="36"/>
  <c r="DS261" i="36"/>
  <c r="DR261" i="36"/>
  <c r="CF261" i="36"/>
  <c r="CD261" i="36"/>
  <c r="CB261" i="36"/>
  <c r="DU257" i="36"/>
  <c r="DT257" i="36"/>
  <c r="DS257" i="36"/>
  <c r="DR257" i="36"/>
  <c r="CF257" i="36"/>
  <c r="CD257" i="36"/>
  <c r="CB257" i="36"/>
  <c r="DU255" i="36"/>
  <c r="DT255" i="36"/>
  <c r="DS255" i="36"/>
  <c r="DR255" i="36"/>
  <c r="CF255" i="36"/>
  <c r="CD255" i="36"/>
  <c r="CB255" i="36"/>
  <c r="DU245" i="36"/>
  <c r="DT245" i="36"/>
  <c r="DS245" i="36"/>
  <c r="DR245" i="36"/>
  <c r="CF245" i="36"/>
  <c r="CD245" i="36"/>
  <c r="CB245" i="36"/>
  <c r="DU243" i="36"/>
  <c r="DT243" i="36"/>
  <c r="DS243" i="36"/>
  <c r="DR243" i="36"/>
  <c r="CF243" i="36"/>
  <c r="CD243" i="36"/>
  <c r="CB243" i="36"/>
  <c r="DU236" i="36"/>
  <c r="DT236" i="36"/>
  <c r="DS236" i="36"/>
  <c r="DR236" i="36"/>
  <c r="CF236" i="36"/>
  <c r="CD236" i="36"/>
  <c r="CB236" i="36"/>
  <c r="DU233" i="36"/>
  <c r="DT233" i="36"/>
  <c r="DS233" i="36"/>
  <c r="DR233" i="36"/>
  <c r="CF233" i="36"/>
  <c r="CD233" i="36"/>
  <c r="CB233" i="36"/>
  <c r="DU229" i="36"/>
  <c r="DT229" i="36"/>
  <c r="DS229" i="36"/>
  <c r="DR229" i="36"/>
  <c r="CF229" i="36"/>
  <c r="CD229" i="36"/>
  <c r="CB229" i="36"/>
  <c r="DU226" i="36"/>
  <c r="DT226" i="36"/>
  <c r="DS226" i="36"/>
  <c r="DR226" i="36"/>
  <c r="CF226" i="36"/>
  <c r="CD226" i="36"/>
  <c r="CB226" i="36"/>
  <c r="DU222" i="36"/>
  <c r="DT222" i="36"/>
  <c r="DS222" i="36"/>
  <c r="DR222" i="36"/>
  <c r="CF222" i="36"/>
  <c r="CD222" i="36"/>
  <c r="CB222" i="36"/>
  <c r="DU217" i="36"/>
  <c r="DT217" i="36"/>
  <c r="DS217" i="36"/>
  <c r="DR217" i="36"/>
  <c r="CF217" i="36"/>
  <c r="CD217" i="36"/>
  <c r="CB217" i="36"/>
  <c r="DU214" i="36"/>
  <c r="DT214" i="36"/>
  <c r="DS214" i="36"/>
  <c r="DR214" i="36"/>
  <c r="CF214" i="36"/>
  <c r="CD214" i="36"/>
  <c r="CB214" i="36"/>
  <c r="DU200" i="36"/>
  <c r="DT200" i="36"/>
  <c r="DS200" i="36"/>
  <c r="DR200" i="36"/>
  <c r="CF200" i="36"/>
  <c r="CD200" i="36"/>
  <c r="CB200" i="36"/>
  <c r="DU197" i="36"/>
  <c r="DT197" i="36"/>
  <c r="DS197" i="36"/>
  <c r="DR197" i="36"/>
  <c r="CF197" i="36"/>
  <c r="CD197" i="36"/>
  <c r="CB197" i="36"/>
  <c r="DU190" i="36"/>
  <c r="DT190" i="36"/>
  <c r="DS190" i="36"/>
  <c r="DR190" i="36"/>
  <c r="CF190" i="36"/>
  <c r="CD190" i="36"/>
  <c r="CB190" i="36"/>
  <c r="DU182" i="36"/>
  <c r="DT182" i="36"/>
  <c r="DS182" i="36"/>
  <c r="DR182" i="36"/>
  <c r="CF182" i="36"/>
  <c r="CD182" i="36"/>
  <c r="CB182" i="36"/>
  <c r="DU178" i="36"/>
  <c r="DT178" i="36"/>
  <c r="DS178" i="36"/>
  <c r="DR178" i="36"/>
  <c r="CF178" i="36"/>
  <c r="CD178" i="36"/>
  <c r="CB178" i="36"/>
  <c r="DU174" i="36"/>
  <c r="DT174" i="36"/>
  <c r="DS174" i="36"/>
  <c r="DR174" i="36"/>
  <c r="CF174" i="36"/>
  <c r="CD174" i="36"/>
  <c r="CB174" i="36"/>
  <c r="DU172" i="36"/>
  <c r="DT172" i="36"/>
  <c r="DS172" i="36"/>
  <c r="DR172" i="36"/>
  <c r="CF172" i="36"/>
  <c r="CD172" i="36"/>
  <c r="CB172" i="36"/>
  <c r="DU169" i="36"/>
  <c r="DT169" i="36"/>
  <c r="DS169" i="36"/>
  <c r="DR169" i="36"/>
  <c r="CF169" i="36"/>
  <c r="CD169" i="36"/>
  <c r="CB169" i="36"/>
  <c r="DU164" i="36"/>
  <c r="DT164" i="36"/>
  <c r="DS164" i="36"/>
  <c r="DR164" i="36"/>
  <c r="CF164" i="36"/>
  <c r="CD164" i="36"/>
  <c r="CB164" i="36"/>
  <c r="DU160" i="36"/>
  <c r="DT160" i="36"/>
  <c r="DS160" i="36"/>
  <c r="DR160" i="36"/>
  <c r="CF160" i="36"/>
  <c r="CD160" i="36"/>
  <c r="CB160" i="36"/>
  <c r="DU156" i="36"/>
  <c r="DT156" i="36"/>
  <c r="DS156" i="36"/>
  <c r="DR156" i="36"/>
  <c r="CF156" i="36"/>
  <c r="CD156" i="36"/>
  <c r="CB156" i="36"/>
  <c r="DU149" i="36"/>
  <c r="DT149" i="36"/>
  <c r="DS149" i="36"/>
  <c r="DR149" i="36"/>
  <c r="CF149" i="36"/>
  <c r="CD149" i="36"/>
  <c r="CB149" i="36"/>
  <c r="DU141" i="36"/>
  <c r="DT141" i="36"/>
  <c r="DS141" i="36"/>
  <c r="DR141" i="36"/>
  <c r="CF141" i="36"/>
  <c r="CD141" i="36"/>
  <c r="CB141" i="36"/>
  <c r="DU139" i="36"/>
  <c r="DT139" i="36"/>
  <c r="DS139" i="36"/>
  <c r="DR139" i="36"/>
  <c r="CF139" i="36"/>
  <c r="CD139" i="36"/>
  <c r="CB139" i="36"/>
  <c r="DU134" i="36"/>
  <c r="DT134" i="36"/>
  <c r="DS134" i="36"/>
  <c r="DR134" i="36"/>
  <c r="CF134" i="36"/>
  <c r="CD134" i="36"/>
  <c r="CB134" i="36"/>
  <c r="DU129" i="36"/>
  <c r="DT129" i="36"/>
  <c r="DS129" i="36"/>
  <c r="DR129" i="36"/>
  <c r="CF129" i="36"/>
  <c r="CD129" i="36"/>
  <c r="CB129" i="36"/>
  <c r="E117" i="36"/>
  <c r="J94" i="36"/>
  <c r="F94" i="36"/>
  <c r="F92" i="36"/>
  <c r="E90" i="36"/>
  <c r="J28" i="36"/>
  <c r="E28" i="36"/>
  <c r="J95" i="36" s="1"/>
  <c r="J27" i="36"/>
  <c r="J22" i="36"/>
  <c r="E22" i="36"/>
  <c r="J21" i="36"/>
  <c r="J16" i="36"/>
  <c r="E7" i="36"/>
  <c r="E84" i="36" s="1"/>
  <c r="J41" i="35"/>
  <c r="J40" i="35"/>
  <c r="BF131" i="1" s="1"/>
  <c r="J39" i="35"/>
  <c r="BE131" i="1" s="1"/>
  <c r="CZ349" i="35"/>
  <c r="CY349" i="35"/>
  <c r="CX349" i="35"/>
  <c r="CW349" i="35"/>
  <c r="BK349" i="35"/>
  <c r="BK348" i="35" s="1"/>
  <c r="BI349" i="35"/>
  <c r="BI348" i="35" s="1"/>
  <c r="BG349" i="35"/>
  <c r="BG348" i="35" s="1"/>
  <c r="CZ345" i="35"/>
  <c r="CY345" i="35"/>
  <c r="CX345" i="35"/>
  <c r="CW345" i="35"/>
  <c r="BK345" i="35"/>
  <c r="BI345" i="35"/>
  <c r="BG345" i="35"/>
  <c r="CZ342" i="35"/>
  <c r="CY342" i="35"/>
  <c r="CX342" i="35"/>
  <c r="CW342" i="35"/>
  <c r="BK342" i="35"/>
  <c r="BI342" i="35"/>
  <c r="BG342" i="35"/>
  <c r="CZ340" i="35"/>
  <c r="CY340" i="35"/>
  <c r="CX340" i="35"/>
  <c r="CW340" i="35"/>
  <c r="BK340" i="35"/>
  <c r="BI340" i="35"/>
  <c r="BG340" i="35"/>
  <c r="CZ334" i="35"/>
  <c r="CY334" i="35"/>
  <c r="CX334" i="35"/>
  <c r="CW334" i="35"/>
  <c r="BK334" i="35"/>
  <c r="BI334" i="35"/>
  <c r="BG334" i="35"/>
  <c r="CZ329" i="35"/>
  <c r="CY329" i="35"/>
  <c r="CX329" i="35"/>
  <c r="CW329" i="35"/>
  <c r="BK329" i="35"/>
  <c r="BI329" i="35"/>
  <c r="BG329" i="35"/>
  <c r="CZ323" i="35"/>
  <c r="CY323" i="35"/>
  <c r="CX323" i="35"/>
  <c r="CW323" i="35"/>
  <c r="BK323" i="35"/>
  <c r="BK322" i="35" s="1"/>
  <c r="BI323" i="35"/>
  <c r="BI322" i="35" s="1"/>
  <c r="BG323" i="35"/>
  <c r="BG322" i="35" s="1"/>
  <c r="CZ318" i="35"/>
  <c r="CY318" i="35"/>
  <c r="CX318" i="35"/>
  <c r="CW318" i="35"/>
  <c r="BK318" i="35"/>
  <c r="BI318" i="35"/>
  <c r="BG318" i="35"/>
  <c r="CZ314" i="35"/>
  <c r="CY314" i="35"/>
  <c r="CX314" i="35"/>
  <c r="CW314" i="35"/>
  <c r="BK314" i="35"/>
  <c r="BI314" i="35"/>
  <c r="BG314" i="35"/>
  <c r="CZ310" i="35"/>
  <c r="CY310" i="35"/>
  <c r="CX310" i="35"/>
  <c r="CW310" i="35"/>
  <c r="BK310" i="35"/>
  <c r="BI310" i="35"/>
  <c r="BG310" i="35"/>
  <c r="CZ308" i="35"/>
  <c r="CY308" i="35"/>
  <c r="CX308" i="35"/>
  <c r="CW308" i="35"/>
  <c r="BK308" i="35"/>
  <c r="BI308" i="35"/>
  <c r="BG308" i="35"/>
  <c r="CZ305" i="35"/>
  <c r="CY305" i="35"/>
  <c r="CX305" i="35"/>
  <c r="CW305" i="35"/>
  <c r="BK305" i="35"/>
  <c r="BI305" i="35"/>
  <c r="BG305" i="35"/>
  <c r="CZ303" i="35"/>
  <c r="CY303" i="35"/>
  <c r="CX303" i="35"/>
  <c r="CW303" i="35"/>
  <c r="BK303" i="35"/>
  <c r="BI303" i="35"/>
  <c r="BG303" i="35"/>
  <c r="CZ299" i="35"/>
  <c r="CY299" i="35"/>
  <c r="CX299" i="35"/>
  <c r="CW299" i="35"/>
  <c r="BK299" i="35"/>
  <c r="BI299" i="35"/>
  <c r="BG299" i="35"/>
  <c r="CZ297" i="35"/>
  <c r="CY297" i="35"/>
  <c r="CX297" i="35"/>
  <c r="CW297" i="35"/>
  <c r="BK297" i="35"/>
  <c r="BI297" i="35"/>
  <c r="BG297" i="35"/>
  <c r="CZ295" i="35"/>
  <c r="CY295" i="35"/>
  <c r="CX295" i="35"/>
  <c r="CW295" i="35"/>
  <c r="BK295" i="35"/>
  <c r="BI295" i="35"/>
  <c r="BG295" i="35"/>
  <c r="CZ293" i="35"/>
  <c r="CY293" i="35"/>
  <c r="CX293" i="35"/>
  <c r="CW293" i="35"/>
  <c r="BK293" i="35"/>
  <c r="BI293" i="35"/>
  <c r="BG293" i="35"/>
  <c r="CZ291" i="35"/>
  <c r="CY291" i="35"/>
  <c r="CX291" i="35"/>
  <c r="CW291" i="35"/>
  <c r="BK291" i="35"/>
  <c r="BI291" i="35"/>
  <c r="BG291" i="35"/>
  <c r="CZ287" i="35"/>
  <c r="CY287" i="35"/>
  <c r="CX287" i="35"/>
  <c r="CW287" i="35"/>
  <c r="BK287" i="35"/>
  <c r="BI287" i="35"/>
  <c r="BG287" i="35"/>
  <c r="CZ283" i="35"/>
  <c r="CY283" i="35"/>
  <c r="CX283" i="35"/>
  <c r="CW283" i="35"/>
  <c r="BK283" i="35"/>
  <c r="BI283" i="35"/>
  <c r="BG283" i="35"/>
  <c r="CZ279" i="35"/>
  <c r="CY279" i="35"/>
  <c r="CX279" i="35"/>
  <c r="CW279" i="35"/>
  <c r="BK279" i="35"/>
  <c r="BI279" i="35"/>
  <c r="BG279" i="35"/>
  <c r="CZ273" i="35"/>
  <c r="CY273" i="35"/>
  <c r="CX273" i="35"/>
  <c r="CW273" i="35"/>
  <c r="BK273" i="35"/>
  <c r="BI273" i="35"/>
  <c r="BG273" i="35"/>
  <c r="CZ271" i="35"/>
  <c r="CY271" i="35"/>
  <c r="CX271" i="35"/>
  <c r="CW271" i="35"/>
  <c r="BK271" i="35"/>
  <c r="BI271" i="35"/>
  <c r="BG271" i="35"/>
  <c r="CZ266" i="35"/>
  <c r="CY266" i="35"/>
  <c r="CX266" i="35"/>
  <c r="CW266" i="35"/>
  <c r="BK266" i="35"/>
  <c r="BI266" i="35"/>
  <c r="BG266" i="35"/>
  <c r="CZ264" i="35"/>
  <c r="CY264" i="35"/>
  <c r="CX264" i="35"/>
  <c r="CW264" i="35"/>
  <c r="BK264" i="35"/>
  <c r="BI264" i="35"/>
  <c r="BG264" i="35"/>
  <c r="CZ262" i="35"/>
  <c r="CY262" i="35"/>
  <c r="CX262" i="35"/>
  <c r="CW262" i="35"/>
  <c r="BK262" i="35"/>
  <c r="BI262" i="35"/>
  <c r="BG262" i="35"/>
  <c r="CZ260" i="35"/>
  <c r="CY260" i="35"/>
  <c r="CX260" i="35"/>
  <c r="CW260" i="35"/>
  <c r="BK260" i="35"/>
  <c r="BI260" i="35"/>
  <c r="BG260" i="35"/>
  <c r="CZ255" i="35"/>
  <c r="CY255" i="35"/>
  <c r="CX255" i="35"/>
  <c r="CW255" i="35"/>
  <c r="BK255" i="35"/>
  <c r="BI255" i="35"/>
  <c r="BG255" i="35"/>
  <c r="CZ250" i="35"/>
  <c r="CY250" i="35"/>
  <c r="CX250" i="35"/>
  <c r="CW250" i="35"/>
  <c r="BK250" i="35"/>
  <c r="BI250" i="35"/>
  <c r="BG250" i="35"/>
  <c r="CZ245" i="35"/>
  <c r="CY245" i="35"/>
  <c r="CX245" i="35"/>
  <c r="CW245" i="35"/>
  <c r="BK245" i="35"/>
  <c r="BK244" i="35" s="1"/>
  <c r="BI245" i="35"/>
  <c r="BI244" i="35" s="1"/>
  <c r="BG245" i="35"/>
  <c r="BG244" i="35" s="1"/>
  <c r="CZ241" i="35"/>
  <c r="CY241" i="35"/>
  <c r="CX241" i="35"/>
  <c r="CW241" i="35"/>
  <c r="BK241" i="35"/>
  <c r="BI241" i="35"/>
  <c r="BG241" i="35"/>
  <c r="CZ238" i="35"/>
  <c r="CY238" i="35"/>
  <c r="CX238" i="35"/>
  <c r="CW238" i="35"/>
  <c r="BK238" i="35"/>
  <c r="BI238" i="35"/>
  <c r="BG238" i="35"/>
  <c r="CZ233" i="35"/>
  <c r="CY233" i="35"/>
  <c r="CX233" i="35"/>
  <c r="CW233" i="35"/>
  <c r="BK233" i="35"/>
  <c r="BI233" i="35"/>
  <c r="BG233" i="35"/>
  <c r="CZ229" i="35"/>
  <c r="CY229" i="35"/>
  <c r="CX229" i="35"/>
  <c r="CW229" i="35"/>
  <c r="BK229" i="35"/>
  <c r="BI229" i="35"/>
  <c r="BG229" i="35"/>
  <c r="CZ215" i="35"/>
  <c r="CY215" i="35"/>
  <c r="CX215" i="35"/>
  <c r="CW215" i="35"/>
  <c r="BK215" i="35"/>
  <c r="BI215" i="35"/>
  <c r="BG215" i="35"/>
  <c r="CZ211" i="35"/>
  <c r="CY211" i="35"/>
  <c r="CX211" i="35"/>
  <c r="CW211" i="35"/>
  <c r="BK211" i="35"/>
  <c r="BI211" i="35"/>
  <c r="BG211" i="35"/>
  <c r="CZ206" i="35"/>
  <c r="CY206" i="35"/>
  <c r="CX206" i="35"/>
  <c r="CW206" i="35"/>
  <c r="BK206" i="35"/>
  <c r="BI206" i="35"/>
  <c r="BG206" i="35"/>
  <c r="CZ202" i="35"/>
  <c r="CY202" i="35"/>
  <c r="CX202" i="35"/>
  <c r="CW202" i="35"/>
  <c r="BK202" i="35"/>
  <c r="BI202" i="35"/>
  <c r="BG202" i="35"/>
  <c r="CZ197" i="35"/>
  <c r="CY197" i="35"/>
  <c r="CX197" i="35"/>
  <c r="CW197" i="35"/>
  <c r="BK197" i="35"/>
  <c r="BI197" i="35"/>
  <c r="BG197" i="35"/>
  <c r="CZ195" i="35"/>
  <c r="CY195" i="35"/>
  <c r="CX195" i="35"/>
  <c r="CW195" i="35"/>
  <c r="BK195" i="35"/>
  <c r="BI195" i="35"/>
  <c r="BG195" i="35"/>
  <c r="CZ190" i="35"/>
  <c r="CY190" i="35"/>
  <c r="CX190" i="35"/>
  <c r="CW190" i="35"/>
  <c r="BK190" i="35"/>
  <c r="BI190" i="35"/>
  <c r="BG190" i="35"/>
  <c r="CZ185" i="35"/>
  <c r="CY185" i="35"/>
  <c r="CX185" i="35"/>
  <c r="CW185" i="35"/>
  <c r="BK185" i="35"/>
  <c r="BI185" i="35"/>
  <c r="BG185" i="35"/>
  <c r="CZ182" i="35"/>
  <c r="CY182" i="35"/>
  <c r="CX182" i="35"/>
  <c r="CW182" i="35"/>
  <c r="BK182" i="35"/>
  <c r="BI182" i="35"/>
  <c r="BG182" i="35"/>
  <c r="CZ173" i="35"/>
  <c r="CY173" i="35"/>
  <c r="CX173" i="35"/>
  <c r="CW173" i="35"/>
  <c r="BK173" i="35"/>
  <c r="BI173" i="35"/>
  <c r="BG173" i="35"/>
  <c r="CZ169" i="35"/>
  <c r="CY169" i="35"/>
  <c r="CX169" i="35"/>
  <c r="CW169" i="35"/>
  <c r="BK169" i="35"/>
  <c r="BI169" i="35"/>
  <c r="BG169" i="35"/>
  <c r="CZ165" i="35"/>
  <c r="CY165" i="35"/>
  <c r="CX165" i="35"/>
  <c r="CW165" i="35"/>
  <c r="BK165" i="35"/>
  <c r="BI165" i="35"/>
  <c r="BG165" i="35"/>
  <c r="CZ163" i="35"/>
  <c r="CY163" i="35"/>
  <c r="CX163" i="35"/>
  <c r="CW163" i="35"/>
  <c r="BK163" i="35"/>
  <c r="BI163" i="35"/>
  <c r="BG163" i="35"/>
  <c r="CZ160" i="35"/>
  <c r="CY160" i="35"/>
  <c r="CX160" i="35"/>
  <c r="CW160" i="35"/>
  <c r="BK160" i="35"/>
  <c r="BI160" i="35"/>
  <c r="BG160" i="35"/>
  <c r="CZ156" i="35"/>
  <c r="CY156" i="35"/>
  <c r="CX156" i="35"/>
  <c r="CW156" i="35"/>
  <c r="BK156" i="35"/>
  <c r="BI156" i="35"/>
  <c r="BG156" i="35"/>
  <c r="CZ152" i="35"/>
  <c r="CY152" i="35"/>
  <c r="CX152" i="35"/>
  <c r="CW152" i="35"/>
  <c r="BK152" i="35"/>
  <c r="BI152" i="35"/>
  <c r="BG152" i="35"/>
  <c r="CZ145" i="35"/>
  <c r="CY145" i="35"/>
  <c r="CX145" i="35"/>
  <c r="CW145" i="35"/>
  <c r="BK145" i="35"/>
  <c r="BI145" i="35"/>
  <c r="BG145" i="35"/>
  <c r="CZ137" i="35"/>
  <c r="CY137" i="35"/>
  <c r="CX137" i="35"/>
  <c r="CW137" i="35"/>
  <c r="BK137" i="35"/>
  <c r="BI137" i="35"/>
  <c r="BG137" i="35"/>
  <c r="CZ135" i="35"/>
  <c r="CY135" i="35"/>
  <c r="CX135" i="35"/>
  <c r="CW135" i="35"/>
  <c r="BK135" i="35"/>
  <c r="BI135" i="35"/>
  <c r="BG135" i="35"/>
  <c r="CZ130" i="35"/>
  <c r="CY130" i="35"/>
  <c r="CX130" i="35"/>
  <c r="CW130" i="35"/>
  <c r="BK130" i="35"/>
  <c r="BI130" i="35"/>
  <c r="BG130" i="35"/>
  <c r="CZ125" i="35"/>
  <c r="CY125" i="35"/>
  <c r="CX125" i="35"/>
  <c r="CW125" i="35"/>
  <c r="BK125" i="35"/>
  <c r="BI125" i="35"/>
  <c r="BG125" i="35"/>
  <c r="E116" i="35"/>
  <c r="J94" i="35"/>
  <c r="F94" i="35"/>
  <c r="F92" i="35"/>
  <c r="E90" i="35"/>
  <c r="J28" i="35"/>
  <c r="E28" i="35"/>
  <c r="J27" i="35"/>
  <c r="J22" i="35"/>
  <c r="E22" i="35"/>
  <c r="J21" i="35"/>
  <c r="J16" i="35"/>
  <c r="J92" i="35" s="1"/>
  <c r="E7" i="35"/>
  <c r="J41" i="34"/>
  <c r="J40" i="34"/>
  <c r="BF130" i="1" s="1"/>
  <c r="J39" i="34"/>
  <c r="BE130" i="1"/>
  <c r="GO355" i="34"/>
  <c r="GN355" i="34"/>
  <c r="GM355" i="34"/>
  <c r="GL355" i="34"/>
  <c r="EZ355" i="34"/>
  <c r="EZ354" i="34" s="1"/>
  <c r="EX355" i="34"/>
  <c r="EX354" i="34" s="1"/>
  <c r="EV355" i="34"/>
  <c r="EV354" i="34" s="1"/>
  <c r="GO351" i="34"/>
  <c r="GN351" i="34"/>
  <c r="GM351" i="34"/>
  <c r="GL351" i="34"/>
  <c r="EZ351" i="34"/>
  <c r="EX351" i="34"/>
  <c r="EV351" i="34"/>
  <c r="GO348" i="34"/>
  <c r="GN348" i="34"/>
  <c r="GM348" i="34"/>
  <c r="GL348" i="34"/>
  <c r="EZ348" i="34"/>
  <c r="EX348" i="34"/>
  <c r="EV348" i="34"/>
  <c r="GO346" i="34"/>
  <c r="GN346" i="34"/>
  <c r="GM346" i="34"/>
  <c r="GL346" i="34"/>
  <c r="EZ346" i="34"/>
  <c r="EX346" i="34"/>
  <c r="EV346" i="34"/>
  <c r="GO340" i="34"/>
  <c r="GN340" i="34"/>
  <c r="GM340" i="34"/>
  <c r="GL340" i="34"/>
  <c r="EZ340" i="34"/>
  <c r="EX340" i="34"/>
  <c r="EV340" i="34"/>
  <c r="GO335" i="34"/>
  <c r="GN335" i="34"/>
  <c r="GM335" i="34"/>
  <c r="GL335" i="34"/>
  <c r="EZ335" i="34"/>
  <c r="EX335" i="34"/>
  <c r="EV335" i="34"/>
  <c r="GO329" i="34"/>
  <c r="GN329" i="34"/>
  <c r="GM329" i="34"/>
  <c r="GL329" i="34"/>
  <c r="EZ329" i="34"/>
  <c r="EZ328" i="34" s="1"/>
  <c r="EX329" i="34"/>
  <c r="EX328" i="34" s="1"/>
  <c r="EV329" i="34"/>
  <c r="EV328" i="34" s="1"/>
  <c r="GO324" i="34"/>
  <c r="GN324" i="34"/>
  <c r="GM324" i="34"/>
  <c r="GL324" i="34"/>
  <c r="EZ324" i="34"/>
  <c r="EX324" i="34"/>
  <c r="EV324" i="34"/>
  <c r="GO320" i="34"/>
  <c r="GN320" i="34"/>
  <c r="GM320" i="34"/>
  <c r="GL320" i="34"/>
  <c r="EZ320" i="34"/>
  <c r="EX320" i="34"/>
  <c r="EV320" i="34"/>
  <c r="GO316" i="34"/>
  <c r="GN316" i="34"/>
  <c r="GM316" i="34"/>
  <c r="GL316" i="34"/>
  <c r="EZ316" i="34"/>
  <c r="EX316" i="34"/>
  <c r="EV316" i="34"/>
  <c r="GO314" i="34"/>
  <c r="GN314" i="34"/>
  <c r="GM314" i="34"/>
  <c r="GL314" i="34"/>
  <c r="EZ314" i="34"/>
  <c r="EX314" i="34"/>
  <c r="EV314" i="34"/>
  <c r="GO311" i="34"/>
  <c r="GN311" i="34"/>
  <c r="GM311" i="34"/>
  <c r="GL311" i="34"/>
  <c r="EZ311" i="34"/>
  <c r="EX311" i="34"/>
  <c r="EV311" i="34"/>
  <c r="GO309" i="34"/>
  <c r="GN309" i="34"/>
  <c r="GM309" i="34"/>
  <c r="GL309" i="34"/>
  <c r="EZ309" i="34"/>
  <c r="EX309" i="34"/>
  <c r="EV309" i="34"/>
  <c r="GO305" i="34"/>
  <c r="GN305" i="34"/>
  <c r="GM305" i="34"/>
  <c r="GL305" i="34"/>
  <c r="EZ305" i="34"/>
  <c r="EX305" i="34"/>
  <c r="EV305" i="34"/>
  <c r="GO303" i="34"/>
  <c r="GN303" i="34"/>
  <c r="GM303" i="34"/>
  <c r="GL303" i="34"/>
  <c r="EZ303" i="34"/>
  <c r="EX303" i="34"/>
  <c r="EV303" i="34"/>
  <c r="GO301" i="34"/>
  <c r="GN301" i="34"/>
  <c r="GM301" i="34"/>
  <c r="GL301" i="34"/>
  <c r="EZ301" i="34"/>
  <c r="EX301" i="34"/>
  <c r="EV301" i="34"/>
  <c r="GO299" i="34"/>
  <c r="GN299" i="34"/>
  <c r="GM299" i="34"/>
  <c r="GL299" i="34"/>
  <c r="EZ299" i="34"/>
  <c r="EX299" i="34"/>
  <c r="EV299" i="34"/>
  <c r="GO297" i="34"/>
  <c r="GN297" i="34"/>
  <c r="GM297" i="34"/>
  <c r="GL297" i="34"/>
  <c r="EZ297" i="34"/>
  <c r="EX297" i="34"/>
  <c r="EV297" i="34"/>
  <c r="GO295" i="34"/>
  <c r="GN295" i="34"/>
  <c r="GM295" i="34"/>
  <c r="GL295" i="34"/>
  <c r="EZ295" i="34"/>
  <c r="EX295" i="34"/>
  <c r="EV295" i="34"/>
  <c r="GO291" i="34"/>
  <c r="GN291" i="34"/>
  <c r="GM291" i="34"/>
  <c r="GL291" i="34"/>
  <c r="EZ291" i="34"/>
  <c r="EX291" i="34"/>
  <c r="EV291" i="34"/>
  <c r="GO287" i="34"/>
  <c r="GN287" i="34"/>
  <c r="GM287" i="34"/>
  <c r="GL287" i="34"/>
  <c r="EZ287" i="34"/>
  <c r="EX287" i="34"/>
  <c r="EV287" i="34"/>
  <c r="GO283" i="34"/>
  <c r="GN283" i="34"/>
  <c r="GM283" i="34"/>
  <c r="GL283" i="34"/>
  <c r="EZ283" i="34"/>
  <c r="EX283" i="34"/>
  <c r="EV283" i="34"/>
  <c r="GO277" i="34"/>
  <c r="GN277" i="34"/>
  <c r="GM277" i="34"/>
  <c r="GL277" i="34"/>
  <c r="EZ277" i="34"/>
  <c r="EX277" i="34"/>
  <c r="EV277" i="34"/>
  <c r="GO275" i="34"/>
  <c r="GN275" i="34"/>
  <c r="GM275" i="34"/>
  <c r="GL275" i="34"/>
  <c r="EZ275" i="34"/>
  <c r="EX275" i="34"/>
  <c r="EV275" i="34"/>
  <c r="GO270" i="34"/>
  <c r="GN270" i="34"/>
  <c r="GM270" i="34"/>
  <c r="GL270" i="34"/>
  <c r="EZ270" i="34"/>
  <c r="EX270" i="34"/>
  <c r="EV270" i="34"/>
  <c r="GO268" i="34"/>
  <c r="GN268" i="34"/>
  <c r="GM268" i="34"/>
  <c r="GL268" i="34"/>
  <c r="EZ268" i="34"/>
  <c r="EX268" i="34"/>
  <c r="EV268" i="34"/>
  <c r="GO266" i="34"/>
  <c r="GN266" i="34"/>
  <c r="GM266" i="34"/>
  <c r="GL266" i="34"/>
  <c r="EZ266" i="34"/>
  <c r="EX266" i="34"/>
  <c r="EV266" i="34"/>
  <c r="GO264" i="34"/>
  <c r="GN264" i="34"/>
  <c r="GM264" i="34"/>
  <c r="GL264" i="34"/>
  <c r="EZ264" i="34"/>
  <c r="EX264" i="34"/>
  <c r="EV264" i="34"/>
  <c r="GO259" i="34"/>
  <c r="GN259" i="34"/>
  <c r="GM259" i="34"/>
  <c r="GL259" i="34"/>
  <c r="EZ259" i="34"/>
  <c r="EX259" i="34"/>
  <c r="EV259" i="34"/>
  <c r="GO254" i="34"/>
  <c r="GN254" i="34"/>
  <c r="GM254" i="34"/>
  <c r="GL254" i="34"/>
  <c r="EZ254" i="34"/>
  <c r="EX254" i="34"/>
  <c r="EV254" i="34"/>
  <c r="GO249" i="34"/>
  <c r="GN249" i="34"/>
  <c r="GM249" i="34"/>
  <c r="GL249" i="34"/>
  <c r="EZ249" i="34"/>
  <c r="EZ248" i="34" s="1"/>
  <c r="EX249" i="34"/>
  <c r="EX248" i="34" s="1"/>
  <c r="EV249" i="34"/>
  <c r="EV248" i="34" s="1"/>
  <c r="GO245" i="34"/>
  <c r="GN245" i="34"/>
  <c r="GM245" i="34"/>
  <c r="GL245" i="34"/>
  <c r="EZ245" i="34"/>
  <c r="EX245" i="34"/>
  <c r="EV245" i="34"/>
  <c r="GO242" i="34"/>
  <c r="GN242" i="34"/>
  <c r="GM242" i="34"/>
  <c r="GL242" i="34"/>
  <c r="EZ242" i="34"/>
  <c r="EX242" i="34"/>
  <c r="EV242" i="34"/>
  <c r="GO237" i="34"/>
  <c r="GN237" i="34"/>
  <c r="GM237" i="34"/>
  <c r="GL237" i="34"/>
  <c r="EZ237" i="34"/>
  <c r="EX237" i="34"/>
  <c r="EV237" i="34"/>
  <c r="GO233" i="34"/>
  <c r="GN233" i="34"/>
  <c r="GM233" i="34"/>
  <c r="GL233" i="34"/>
  <c r="EZ233" i="34"/>
  <c r="EX233" i="34"/>
  <c r="EV233" i="34"/>
  <c r="GO219" i="34"/>
  <c r="GN219" i="34"/>
  <c r="GM219" i="34"/>
  <c r="GL219" i="34"/>
  <c r="EZ219" i="34"/>
  <c r="EX219" i="34"/>
  <c r="EV219" i="34"/>
  <c r="GO215" i="34"/>
  <c r="GN215" i="34"/>
  <c r="GM215" i="34"/>
  <c r="GL215" i="34"/>
  <c r="EZ215" i="34"/>
  <c r="EX215" i="34"/>
  <c r="EV215" i="34"/>
  <c r="GO210" i="34"/>
  <c r="GN210" i="34"/>
  <c r="GM210" i="34"/>
  <c r="GL210" i="34"/>
  <c r="EZ210" i="34"/>
  <c r="EX210" i="34"/>
  <c r="EV210" i="34"/>
  <c r="GO206" i="34"/>
  <c r="GN206" i="34"/>
  <c r="GM206" i="34"/>
  <c r="GL206" i="34"/>
  <c r="EZ206" i="34"/>
  <c r="EX206" i="34"/>
  <c r="EV206" i="34"/>
  <c r="GO201" i="34"/>
  <c r="GN201" i="34"/>
  <c r="GM201" i="34"/>
  <c r="GL201" i="34"/>
  <c r="EZ201" i="34"/>
  <c r="EX201" i="34"/>
  <c r="EV201" i="34"/>
  <c r="GO199" i="34"/>
  <c r="GN199" i="34"/>
  <c r="GM199" i="34"/>
  <c r="GL199" i="34"/>
  <c r="EZ199" i="34"/>
  <c r="EX199" i="34"/>
  <c r="EV199" i="34"/>
  <c r="GO194" i="34"/>
  <c r="GN194" i="34"/>
  <c r="GM194" i="34"/>
  <c r="GL194" i="34"/>
  <c r="EZ194" i="34"/>
  <c r="EX194" i="34"/>
  <c r="EV194" i="34"/>
  <c r="GO189" i="34"/>
  <c r="GN189" i="34"/>
  <c r="GM189" i="34"/>
  <c r="GL189" i="34"/>
  <c r="EZ189" i="34"/>
  <c r="EX189" i="34"/>
  <c r="EV189" i="34"/>
  <c r="GO186" i="34"/>
  <c r="GN186" i="34"/>
  <c r="GM186" i="34"/>
  <c r="GL186" i="34"/>
  <c r="EZ186" i="34"/>
  <c r="EX186" i="34"/>
  <c r="EV186" i="34"/>
  <c r="GO177" i="34"/>
  <c r="GN177" i="34"/>
  <c r="GM177" i="34"/>
  <c r="GL177" i="34"/>
  <c r="EZ177" i="34"/>
  <c r="EX177" i="34"/>
  <c r="EV177" i="34"/>
  <c r="GO173" i="34"/>
  <c r="GN173" i="34"/>
  <c r="GM173" i="34"/>
  <c r="GL173" i="34"/>
  <c r="EZ173" i="34"/>
  <c r="EX173" i="34"/>
  <c r="EV173" i="34"/>
  <c r="GO169" i="34"/>
  <c r="GN169" i="34"/>
  <c r="GM169" i="34"/>
  <c r="GL169" i="34"/>
  <c r="EZ169" i="34"/>
  <c r="EX169" i="34"/>
  <c r="EV169" i="34"/>
  <c r="GO167" i="34"/>
  <c r="GN167" i="34"/>
  <c r="GM167" i="34"/>
  <c r="GL167" i="34"/>
  <c r="EZ167" i="34"/>
  <c r="EX167" i="34"/>
  <c r="EV167" i="34"/>
  <c r="GO164" i="34"/>
  <c r="GN164" i="34"/>
  <c r="GM164" i="34"/>
  <c r="GL164" i="34"/>
  <c r="EZ164" i="34"/>
  <c r="EX164" i="34"/>
  <c r="EV164" i="34"/>
  <c r="GO160" i="34"/>
  <c r="GN160" i="34"/>
  <c r="GM160" i="34"/>
  <c r="GL160" i="34"/>
  <c r="EZ160" i="34"/>
  <c r="EX160" i="34"/>
  <c r="EV160" i="34"/>
  <c r="GO156" i="34"/>
  <c r="GN156" i="34"/>
  <c r="GM156" i="34"/>
  <c r="GL156" i="34"/>
  <c r="EZ156" i="34"/>
  <c r="EX156" i="34"/>
  <c r="EV156" i="34"/>
  <c r="GO149" i="34"/>
  <c r="GN149" i="34"/>
  <c r="GM149" i="34"/>
  <c r="GL149" i="34"/>
  <c r="EZ149" i="34"/>
  <c r="EX149" i="34"/>
  <c r="EV149" i="34"/>
  <c r="GO141" i="34"/>
  <c r="GN141" i="34"/>
  <c r="GM141" i="34"/>
  <c r="GL141" i="34"/>
  <c r="EZ141" i="34"/>
  <c r="EX141" i="34"/>
  <c r="EV141" i="34"/>
  <c r="GO139" i="34"/>
  <c r="GN139" i="34"/>
  <c r="GM139" i="34"/>
  <c r="GL139" i="34"/>
  <c r="EZ139" i="34"/>
  <c r="EX139" i="34"/>
  <c r="EV139" i="34"/>
  <c r="GO134" i="34"/>
  <c r="GN134" i="34"/>
  <c r="GM134" i="34"/>
  <c r="GL134" i="34"/>
  <c r="EZ134" i="34"/>
  <c r="EX134" i="34"/>
  <c r="EV134" i="34"/>
  <c r="GO129" i="34"/>
  <c r="GN129" i="34"/>
  <c r="GM129" i="34"/>
  <c r="GL129" i="34"/>
  <c r="EZ129" i="34"/>
  <c r="EX129" i="34"/>
  <c r="EV129" i="34"/>
  <c r="E117" i="34"/>
  <c r="J94" i="34"/>
  <c r="F94" i="34"/>
  <c r="F92" i="34"/>
  <c r="E90" i="34"/>
  <c r="J28" i="34"/>
  <c r="E28" i="34"/>
  <c r="J27" i="34"/>
  <c r="J22" i="34"/>
  <c r="E22" i="34"/>
  <c r="J21" i="34"/>
  <c r="J16" i="34"/>
  <c r="E7" i="34"/>
  <c r="J41" i="33"/>
  <c r="J40" i="33"/>
  <c r="BF128" i="1" s="1"/>
  <c r="J39" i="33"/>
  <c r="BE128" i="1" s="1"/>
  <c r="DD160" i="33"/>
  <c r="DC160" i="33"/>
  <c r="DB160" i="33"/>
  <c r="DA160" i="33"/>
  <c r="BO160" i="33"/>
  <c r="BM160" i="33"/>
  <c r="BK160" i="33"/>
  <c r="DD158" i="33"/>
  <c r="DC158" i="33"/>
  <c r="DB158" i="33"/>
  <c r="DA158" i="33"/>
  <c r="BO158" i="33"/>
  <c r="BM158" i="33"/>
  <c r="BK158" i="33"/>
  <c r="DD156" i="33"/>
  <c r="DC156" i="33"/>
  <c r="DB156" i="33"/>
  <c r="DA156" i="33"/>
  <c r="BO156" i="33"/>
  <c r="BM156" i="33"/>
  <c r="BK156" i="33"/>
  <c r="DD154" i="33"/>
  <c r="DC154" i="33"/>
  <c r="DB154" i="33"/>
  <c r="DA154" i="33"/>
  <c r="BO154" i="33"/>
  <c r="BM154" i="33"/>
  <c r="BK154" i="33"/>
  <c r="DD151" i="33"/>
  <c r="DC151" i="33"/>
  <c r="DB151" i="33"/>
  <c r="DA151" i="33"/>
  <c r="BO151" i="33"/>
  <c r="BM151" i="33"/>
  <c r="BK151" i="33"/>
  <c r="DD149" i="33"/>
  <c r="DC149" i="33"/>
  <c r="DB149" i="33"/>
  <c r="DA149" i="33"/>
  <c r="BO149" i="33"/>
  <c r="BM149" i="33"/>
  <c r="BK149" i="33"/>
  <c r="DD147" i="33"/>
  <c r="DC147" i="33"/>
  <c r="DB147" i="33"/>
  <c r="DA147" i="33"/>
  <c r="BO147" i="33"/>
  <c r="BM147" i="33"/>
  <c r="BK147" i="33"/>
  <c r="DD145" i="33"/>
  <c r="DC145" i="33"/>
  <c r="DB145" i="33"/>
  <c r="DA145" i="33"/>
  <c r="BO145" i="33"/>
  <c r="BM145" i="33"/>
  <c r="BK145" i="33"/>
  <c r="DD142" i="33"/>
  <c r="DC142" i="33"/>
  <c r="DB142" i="33"/>
  <c r="DA142" i="33"/>
  <c r="BO142" i="33"/>
  <c r="BM142" i="33"/>
  <c r="BK142" i="33"/>
  <c r="DD140" i="33"/>
  <c r="DC140" i="33"/>
  <c r="DB140" i="33"/>
  <c r="DA140" i="33"/>
  <c r="BO140" i="33"/>
  <c r="BM140" i="33"/>
  <c r="BK140" i="33"/>
  <c r="DD138" i="33"/>
  <c r="DC138" i="33"/>
  <c r="DB138" i="33"/>
  <c r="DA138" i="33"/>
  <c r="BO138" i="33"/>
  <c r="BM138" i="33"/>
  <c r="BK138" i="33"/>
  <c r="DD136" i="33"/>
  <c r="DC136" i="33"/>
  <c r="DB136" i="33"/>
  <c r="DA136" i="33"/>
  <c r="BO136" i="33"/>
  <c r="BM136" i="33"/>
  <c r="BK136" i="33"/>
  <c r="DD134" i="33"/>
  <c r="DC134" i="33"/>
  <c r="DB134" i="33"/>
  <c r="DA134" i="33"/>
  <c r="BO134" i="33"/>
  <c r="BM134" i="33"/>
  <c r="BK134" i="33"/>
  <c r="DD132" i="33"/>
  <c r="DC132" i="33"/>
  <c r="DB132" i="33"/>
  <c r="DA132" i="33"/>
  <c r="BO132" i="33"/>
  <c r="BM132" i="33"/>
  <c r="BK132" i="33"/>
  <c r="DD130" i="33"/>
  <c r="DC130" i="33"/>
  <c r="DB130" i="33"/>
  <c r="DA130" i="33"/>
  <c r="BO130" i="33"/>
  <c r="BM130" i="33"/>
  <c r="BK130" i="33"/>
  <c r="DD128" i="33"/>
  <c r="DC128" i="33"/>
  <c r="DB128" i="33"/>
  <c r="DA128" i="33"/>
  <c r="BO128" i="33"/>
  <c r="BM128" i="33"/>
  <c r="BK128" i="33"/>
  <c r="DD126" i="33"/>
  <c r="DC126" i="33"/>
  <c r="DB126" i="33"/>
  <c r="DA126" i="33"/>
  <c r="BO126" i="33"/>
  <c r="BM126" i="33"/>
  <c r="BK126" i="33"/>
  <c r="DD123" i="33"/>
  <c r="DC123" i="33"/>
  <c r="DB123" i="33"/>
  <c r="DA123" i="33"/>
  <c r="BO123" i="33"/>
  <c r="BO122" i="33" s="1"/>
  <c r="BM123" i="33"/>
  <c r="BM122" i="33" s="1"/>
  <c r="BK123" i="33"/>
  <c r="BK122" i="33" s="1"/>
  <c r="E114" i="33"/>
  <c r="F93" i="33"/>
  <c r="E91" i="33"/>
  <c r="J28" i="33"/>
  <c r="E28" i="33"/>
  <c r="J27" i="33"/>
  <c r="J25" i="33"/>
  <c r="E25" i="33"/>
  <c r="J24" i="33"/>
  <c r="J22" i="33"/>
  <c r="E22" i="33"/>
  <c r="J21" i="33"/>
  <c r="J19" i="33"/>
  <c r="E19" i="33"/>
  <c r="J18" i="33"/>
  <c r="J16" i="33"/>
  <c r="E7" i="33"/>
  <c r="E85" i="33" s="1"/>
  <c r="J41" i="32"/>
  <c r="J40" i="32"/>
  <c r="BF127" i="1" s="1"/>
  <c r="J39" i="32"/>
  <c r="BE127" i="1"/>
  <c r="BI129" i="32"/>
  <c r="BH129" i="32"/>
  <c r="BG129" i="32"/>
  <c r="BF129" i="32"/>
  <c r="T129" i="32"/>
  <c r="T128" i="32" s="1"/>
  <c r="T127" i="32" s="1"/>
  <c r="T126" i="32" s="1"/>
  <c r="R129" i="32"/>
  <c r="R128" i="32" s="1"/>
  <c r="R127" i="32" s="1"/>
  <c r="R126" i="32" s="1"/>
  <c r="P129" i="32"/>
  <c r="P128" i="32" s="1"/>
  <c r="P127" i="32" s="1"/>
  <c r="P126" i="32" s="1"/>
  <c r="BB127" i="1" s="1"/>
  <c r="J122" i="32"/>
  <c r="F122" i="32"/>
  <c r="F120" i="32"/>
  <c r="E118" i="32"/>
  <c r="J95" i="32"/>
  <c r="F95" i="32"/>
  <c r="F93" i="32"/>
  <c r="E91" i="32"/>
  <c r="J28" i="32"/>
  <c r="E28" i="32"/>
  <c r="J96" i="32" s="1"/>
  <c r="J27" i="32"/>
  <c r="J22" i="32"/>
  <c r="E22" i="32"/>
  <c r="F96" i="32" s="1"/>
  <c r="J21" i="32"/>
  <c r="J16" i="32"/>
  <c r="J120" i="32" s="1"/>
  <c r="E7" i="32"/>
  <c r="E85" i="32" s="1"/>
  <c r="J41" i="31"/>
  <c r="J40" i="31"/>
  <c r="BF126" i="1" s="1"/>
  <c r="J39" i="31"/>
  <c r="BE126" i="1" s="1"/>
  <c r="EZ316" i="31"/>
  <c r="EY316" i="31"/>
  <c r="EX316" i="31"/>
  <c r="EW316" i="31"/>
  <c r="DK316" i="31"/>
  <c r="DK315" i="31" s="1"/>
  <c r="DI316" i="31"/>
  <c r="DI315" i="31" s="1"/>
  <c r="DG316" i="31"/>
  <c r="DG315" i="31" s="1"/>
  <c r="EZ312" i="31"/>
  <c r="EY312" i="31"/>
  <c r="EX312" i="31"/>
  <c r="EW312" i="31"/>
  <c r="DK312" i="31"/>
  <c r="DI312" i="31"/>
  <c r="DG312" i="31"/>
  <c r="EZ309" i="31"/>
  <c r="EY309" i="31"/>
  <c r="EX309" i="31"/>
  <c r="EW309" i="31"/>
  <c r="DK309" i="31"/>
  <c r="DI309" i="31"/>
  <c r="DG309" i="31"/>
  <c r="EZ307" i="31"/>
  <c r="EY307" i="31"/>
  <c r="EX307" i="31"/>
  <c r="EW307" i="31"/>
  <c r="DK307" i="31"/>
  <c r="DI307" i="31"/>
  <c r="DG307" i="31"/>
  <c r="EZ301" i="31"/>
  <c r="EY301" i="31"/>
  <c r="EX301" i="31"/>
  <c r="EW301" i="31"/>
  <c r="DK301" i="31"/>
  <c r="DI301" i="31"/>
  <c r="DG301" i="31"/>
  <c r="EZ296" i="31"/>
  <c r="EY296" i="31"/>
  <c r="EX296" i="31"/>
  <c r="EW296" i="31"/>
  <c r="DK296" i="31"/>
  <c r="DI296" i="31"/>
  <c r="DG296" i="31"/>
  <c r="EZ291" i="31"/>
  <c r="EY291" i="31"/>
  <c r="EX291" i="31"/>
  <c r="EW291" i="31"/>
  <c r="DK291" i="31"/>
  <c r="DI291" i="31"/>
  <c r="DG291" i="31"/>
  <c r="EZ286" i="31"/>
  <c r="EY286" i="31"/>
  <c r="EX286" i="31"/>
  <c r="EW286" i="31"/>
  <c r="DK286" i="31"/>
  <c r="DI286" i="31"/>
  <c r="DG286" i="31"/>
  <c r="EZ280" i="31"/>
  <c r="EY280" i="31"/>
  <c r="EX280" i="31"/>
  <c r="EW280" i="31"/>
  <c r="DK280" i="31"/>
  <c r="DI280" i="31"/>
  <c r="DG280" i="31"/>
  <c r="EZ278" i="31"/>
  <c r="EY278" i="31"/>
  <c r="EX278" i="31"/>
  <c r="EW278" i="31"/>
  <c r="DK278" i="31"/>
  <c r="DI278" i="31"/>
  <c r="DG278" i="31"/>
  <c r="EZ273" i="31"/>
  <c r="EY273" i="31"/>
  <c r="EX273" i="31"/>
  <c r="EW273" i="31"/>
  <c r="DK273" i="31"/>
  <c r="DI273" i="31"/>
  <c r="DG273" i="31"/>
  <c r="EZ271" i="31"/>
  <c r="EY271" i="31"/>
  <c r="EX271" i="31"/>
  <c r="EW271" i="31"/>
  <c r="DK271" i="31"/>
  <c r="DI271" i="31"/>
  <c r="DG271" i="31"/>
  <c r="EZ269" i="31"/>
  <c r="EY269" i="31"/>
  <c r="EX269" i="31"/>
  <c r="EW269" i="31"/>
  <c r="DK269" i="31"/>
  <c r="DI269" i="31"/>
  <c r="DG269" i="31"/>
  <c r="EZ267" i="31"/>
  <c r="EY267" i="31"/>
  <c r="EX267" i="31"/>
  <c r="EW267" i="31"/>
  <c r="DK267" i="31"/>
  <c r="DI267" i="31"/>
  <c r="DG267" i="31"/>
  <c r="EZ262" i="31"/>
  <c r="EY262" i="31"/>
  <c r="EX262" i="31"/>
  <c r="EW262" i="31"/>
  <c r="DK262" i="31"/>
  <c r="DI262" i="31"/>
  <c r="DG262" i="31"/>
  <c r="EZ257" i="31"/>
  <c r="EY257" i="31"/>
  <c r="EX257" i="31"/>
  <c r="EW257" i="31"/>
  <c r="DK257" i="31"/>
  <c r="DI257" i="31"/>
  <c r="DG257" i="31"/>
  <c r="DG256" i="31" s="1"/>
  <c r="EZ254" i="31"/>
  <c r="EY254" i="31"/>
  <c r="EX254" i="31"/>
  <c r="EW254" i="31"/>
  <c r="DK254" i="31"/>
  <c r="DI254" i="31"/>
  <c r="DG254" i="31"/>
  <c r="EZ252" i="31"/>
  <c r="EY252" i="31"/>
  <c r="EX252" i="31"/>
  <c r="EW252" i="31"/>
  <c r="DK252" i="31"/>
  <c r="DI252" i="31"/>
  <c r="DG252" i="31"/>
  <c r="EZ248" i="31"/>
  <c r="EY248" i="31"/>
  <c r="EX248" i="31"/>
  <c r="EW248" i="31"/>
  <c r="DK248" i="31"/>
  <c r="DI248" i="31"/>
  <c r="DG248" i="31"/>
  <c r="EZ244" i="31"/>
  <c r="EY244" i="31"/>
  <c r="EX244" i="31"/>
  <c r="EW244" i="31"/>
  <c r="DK244" i="31"/>
  <c r="DI244" i="31"/>
  <c r="DG244" i="31"/>
  <c r="EZ240" i="31"/>
  <c r="EY240" i="31"/>
  <c r="EX240" i="31"/>
  <c r="EW240" i="31"/>
  <c r="DK240" i="31"/>
  <c r="DI240" i="31"/>
  <c r="DG240" i="31"/>
  <c r="EZ236" i="31"/>
  <c r="EY236" i="31"/>
  <c r="EX236" i="31"/>
  <c r="EW236" i="31"/>
  <c r="DK236" i="31"/>
  <c r="DI236" i="31"/>
  <c r="DG236" i="31"/>
  <c r="EZ234" i="31"/>
  <c r="EY234" i="31"/>
  <c r="EX234" i="31"/>
  <c r="EW234" i="31"/>
  <c r="DK234" i="31"/>
  <c r="DI234" i="31"/>
  <c r="DG234" i="31"/>
  <c r="EZ230" i="31"/>
  <c r="EY230" i="31"/>
  <c r="EX230" i="31"/>
  <c r="EW230" i="31"/>
  <c r="DK230" i="31"/>
  <c r="DI230" i="31"/>
  <c r="DG230" i="31"/>
  <c r="EZ226" i="31"/>
  <c r="EY226" i="31"/>
  <c r="EX226" i="31"/>
  <c r="EW226" i="31"/>
  <c r="DK226" i="31"/>
  <c r="DI226" i="31"/>
  <c r="DG226" i="31"/>
  <c r="EZ222" i="31"/>
  <c r="EY222" i="31"/>
  <c r="EX222" i="31"/>
  <c r="EW222" i="31"/>
  <c r="DK222" i="31"/>
  <c r="DI222" i="31"/>
  <c r="DG222" i="31"/>
  <c r="EZ218" i="31"/>
  <c r="EY218" i="31"/>
  <c r="EX218" i="31"/>
  <c r="EW218" i="31"/>
  <c r="DK218" i="31"/>
  <c r="DI218" i="31"/>
  <c r="DG218" i="31"/>
  <c r="EZ214" i="31"/>
  <c r="EY214" i="31"/>
  <c r="EX214" i="31"/>
  <c r="EW214" i="31"/>
  <c r="DK214" i="31"/>
  <c r="DI214" i="31"/>
  <c r="DG214" i="31"/>
  <c r="EZ210" i="31"/>
  <c r="EY210" i="31"/>
  <c r="EX210" i="31"/>
  <c r="EW210" i="31"/>
  <c r="DK210" i="31"/>
  <c r="DI210" i="31"/>
  <c r="DG210" i="31"/>
  <c r="EZ200" i="31"/>
  <c r="EY200" i="31"/>
  <c r="EX200" i="31"/>
  <c r="EW200" i="31"/>
  <c r="DK200" i="31"/>
  <c r="DI200" i="31"/>
  <c r="DG200" i="31"/>
  <c r="EZ197" i="31"/>
  <c r="EY197" i="31"/>
  <c r="EX197" i="31"/>
  <c r="EW197" i="31"/>
  <c r="DK197" i="31"/>
  <c r="DI197" i="31"/>
  <c r="DG197" i="31"/>
  <c r="EZ193" i="31"/>
  <c r="EY193" i="31"/>
  <c r="EX193" i="31"/>
  <c r="EW193" i="31"/>
  <c r="DK193" i="31"/>
  <c r="DI193" i="31"/>
  <c r="DG193" i="31"/>
  <c r="EZ190" i="31"/>
  <c r="EY190" i="31"/>
  <c r="EX190" i="31"/>
  <c r="EW190" i="31"/>
  <c r="DK190" i="31"/>
  <c r="DI190" i="31"/>
  <c r="DG190" i="31"/>
  <c r="EZ186" i="31"/>
  <c r="EY186" i="31"/>
  <c r="EX186" i="31"/>
  <c r="EW186" i="31"/>
  <c r="DK186" i="31"/>
  <c r="DI186" i="31"/>
  <c r="DG186" i="31"/>
  <c r="EZ183" i="31"/>
  <c r="EY183" i="31"/>
  <c r="EX183" i="31"/>
  <c r="EW183" i="31"/>
  <c r="DK183" i="31"/>
  <c r="DI183" i="31"/>
  <c r="DG183" i="31"/>
  <c r="EZ179" i="31"/>
  <c r="EY179" i="31"/>
  <c r="EX179" i="31"/>
  <c r="EW179" i="31"/>
  <c r="DK179" i="31"/>
  <c r="DI179" i="31"/>
  <c r="DG179" i="31"/>
  <c r="EZ176" i="31"/>
  <c r="EY176" i="31"/>
  <c r="EX176" i="31"/>
  <c r="EW176" i="31"/>
  <c r="DK176" i="31"/>
  <c r="DI176" i="31"/>
  <c r="DG176" i="31"/>
  <c r="EZ169" i="31"/>
  <c r="EY169" i="31"/>
  <c r="EX169" i="31"/>
  <c r="EW169" i="31"/>
  <c r="DK169" i="31"/>
  <c r="DI169" i="31"/>
  <c r="DG169" i="31"/>
  <c r="EZ167" i="31"/>
  <c r="EY167" i="31"/>
  <c r="EX167" i="31"/>
  <c r="EW167" i="31"/>
  <c r="DK167" i="31"/>
  <c r="DI167" i="31"/>
  <c r="DG167" i="31"/>
  <c r="EZ163" i="31"/>
  <c r="EY163" i="31"/>
  <c r="EX163" i="31"/>
  <c r="EW163" i="31"/>
  <c r="DK163" i="31"/>
  <c r="DI163" i="31"/>
  <c r="DG163" i="31"/>
  <c r="EZ161" i="31"/>
  <c r="EY161" i="31"/>
  <c r="EX161" i="31"/>
  <c r="EW161" i="31"/>
  <c r="DK161" i="31"/>
  <c r="DI161" i="31"/>
  <c r="DG161" i="31"/>
  <c r="EZ157" i="31"/>
  <c r="EY157" i="31"/>
  <c r="EX157" i="31"/>
  <c r="EW157" i="31"/>
  <c r="DK157" i="31"/>
  <c r="DI157" i="31"/>
  <c r="DG157" i="31"/>
  <c r="EZ154" i="31"/>
  <c r="EY154" i="31"/>
  <c r="EX154" i="31"/>
  <c r="EW154" i="31"/>
  <c r="DK154" i="31"/>
  <c r="DI154" i="31"/>
  <c r="DG154" i="31"/>
  <c r="EZ150" i="31"/>
  <c r="EY150" i="31"/>
  <c r="EX150" i="31"/>
  <c r="EW150" i="31"/>
  <c r="DK150" i="31"/>
  <c r="DI150" i="31"/>
  <c r="DG150" i="31"/>
  <c r="EZ146" i="31"/>
  <c r="EY146" i="31"/>
  <c r="EX146" i="31"/>
  <c r="EW146" i="31"/>
  <c r="DK146" i="31"/>
  <c r="DI146" i="31"/>
  <c r="DG146" i="31"/>
  <c r="EZ142" i="31"/>
  <c r="EY142" i="31"/>
  <c r="EX142" i="31"/>
  <c r="EW142" i="31"/>
  <c r="DK142" i="31"/>
  <c r="DI142" i="31"/>
  <c r="DG142" i="31"/>
  <c r="EZ137" i="31"/>
  <c r="EY137" i="31"/>
  <c r="EX137" i="31"/>
  <c r="EW137" i="31"/>
  <c r="DK137" i="31"/>
  <c r="DI137" i="31"/>
  <c r="DG137" i="31"/>
  <c r="EZ132" i="31"/>
  <c r="EY132" i="31"/>
  <c r="EX132" i="31"/>
  <c r="EW132" i="31"/>
  <c r="DK132" i="31"/>
  <c r="DI132" i="31"/>
  <c r="DG132" i="31"/>
  <c r="EZ130" i="31"/>
  <c r="EY130" i="31"/>
  <c r="EX130" i="31"/>
  <c r="EW130" i="31"/>
  <c r="DK130" i="31"/>
  <c r="DI130" i="31"/>
  <c r="DG130" i="31"/>
  <c r="EZ128" i="31"/>
  <c r="EY128" i="31"/>
  <c r="EX128" i="31"/>
  <c r="EW128" i="31"/>
  <c r="DK128" i="31"/>
  <c r="DI128" i="31"/>
  <c r="DG128" i="31"/>
  <c r="E117" i="31"/>
  <c r="J95" i="31"/>
  <c r="F95" i="31"/>
  <c r="F93" i="31"/>
  <c r="E91" i="31"/>
  <c r="J28" i="31"/>
  <c r="E28" i="31"/>
  <c r="J27" i="31"/>
  <c r="J22" i="31"/>
  <c r="E22" i="31"/>
  <c r="J21" i="31"/>
  <c r="J16" i="31"/>
  <c r="E7" i="31"/>
  <c r="E85" i="31" s="1"/>
  <c r="J41" i="30"/>
  <c r="J40" i="30"/>
  <c r="BF124" i="1" s="1"/>
  <c r="J39" i="30"/>
  <c r="BE124" i="1"/>
  <c r="CX172" i="30"/>
  <c r="CW172" i="30"/>
  <c r="CV172" i="30"/>
  <c r="CU172" i="30"/>
  <c r="BI172" i="30"/>
  <c r="BG172" i="30"/>
  <c r="BE172" i="30"/>
  <c r="CX170" i="30"/>
  <c r="CW170" i="30"/>
  <c r="CV170" i="30"/>
  <c r="CU170" i="30"/>
  <c r="BI170" i="30"/>
  <c r="BG170" i="30"/>
  <c r="BE170" i="30"/>
  <c r="CX168" i="30"/>
  <c r="CW168" i="30"/>
  <c r="CV168" i="30"/>
  <c r="CU168" i="30"/>
  <c r="BI168" i="30"/>
  <c r="BG168" i="30"/>
  <c r="BE168" i="30"/>
  <c r="CX166" i="30"/>
  <c r="CW166" i="30"/>
  <c r="CV166" i="30"/>
  <c r="CU166" i="30"/>
  <c r="BI166" i="30"/>
  <c r="BG166" i="30"/>
  <c r="BE166" i="30"/>
  <c r="CX163" i="30"/>
  <c r="CW163" i="30"/>
  <c r="CV163" i="30"/>
  <c r="CU163" i="30"/>
  <c r="BI163" i="30"/>
  <c r="BG163" i="30"/>
  <c r="BE163" i="30"/>
  <c r="CX161" i="30"/>
  <c r="CW161" i="30"/>
  <c r="CV161" i="30"/>
  <c r="CU161" i="30"/>
  <c r="BI161" i="30"/>
  <c r="BG161" i="30"/>
  <c r="BE161" i="30"/>
  <c r="CX159" i="30"/>
  <c r="CW159" i="30"/>
  <c r="CV159" i="30"/>
  <c r="CU159" i="30"/>
  <c r="BI159" i="30"/>
  <c r="BG159" i="30"/>
  <c r="BE159" i="30"/>
  <c r="CX157" i="30"/>
  <c r="CW157" i="30"/>
  <c r="CV157" i="30"/>
  <c r="CU157" i="30"/>
  <c r="BI157" i="30"/>
  <c r="BG157" i="30"/>
  <c r="BE157" i="30"/>
  <c r="CX155" i="30"/>
  <c r="CW155" i="30"/>
  <c r="CV155" i="30"/>
  <c r="CU155" i="30"/>
  <c r="BI155" i="30"/>
  <c r="BG155" i="30"/>
  <c r="BE155" i="30"/>
  <c r="CX153" i="30"/>
  <c r="CW153" i="30"/>
  <c r="CV153" i="30"/>
  <c r="CU153" i="30"/>
  <c r="BI153" i="30"/>
  <c r="BG153" i="30"/>
  <c r="BE153" i="30"/>
  <c r="CX151" i="30"/>
  <c r="CW151" i="30"/>
  <c r="CV151" i="30"/>
  <c r="CU151" i="30"/>
  <c r="BI151" i="30"/>
  <c r="BG151" i="30"/>
  <c r="BE151" i="30"/>
  <c r="CX149" i="30"/>
  <c r="CW149" i="30"/>
  <c r="CV149" i="30"/>
  <c r="CU149" i="30"/>
  <c r="BI149" i="30"/>
  <c r="BG149" i="30"/>
  <c r="BE149" i="30"/>
  <c r="CX147" i="30"/>
  <c r="CW147" i="30"/>
  <c r="CV147" i="30"/>
  <c r="CU147" i="30"/>
  <c r="BI147" i="30"/>
  <c r="BG147" i="30"/>
  <c r="BE147" i="30"/>
  <c r="CX145" i="30"/>
  <c r="CW145" i="30"/>
  <c r="CV145" i="30"/>
  <c r="CU145" i="30"/>
  <c r="BI145" i="30"/>
  <c r="BG145" i="30"/>
  <c r="BE145" i="30"/>
  <c r="CX142" i="30"/>
  <c r="CW142" i="30"/>
  <c r="CV142" i="30"/>
  <c r="CU142" i="30"/>
  <c r="BI142" i="30"/>
  <c r="BG142" i="30"/>
  <c r="BE142" i="30"/>
  <c r="CX140" i="30"/>
  <c r="CW140" i="30"/>
  <c r="CV140" i="30"/>
  <c r="CU140" i="30"/>
  <c r="BI140" i="30"/>
  <c r="BG140" i="30"/>
  <c r="BE140" i="30"/>
  <c r="CX138" i="30"/>
  <c r="CW138" i="30"/>
  <c r="CV138" i="30"/>
  <c r="CU138" i="30"/>
  <c r="BI138" i="30"/>
  <c r="BG138" i="30"/>
  <c r="BE138" i="30"/>
  <c r="CX136" i="30"/>
  <c r="CW136" i="30"/>
  <c r="CV136" i="30"/>
  <c r="CU136" i="30"/>
  <c r="BI136" i="30"/>
  <c r="BG136" i="30"/>
  <c r="BE136" i="30"/>
  <c r="CX134" i="30"/>
  <c r="CW134" i="30"/>
  <c r="CV134" i="30"/>
  <c r="CU134" i="30"/>
  <c r="BI134" i="30"/>
  <c r="BG134" i="30"/>
  <c r="BE134" i="30"/>
  <c r="CX132" i="30"/>
  <c r="CW132" i="30"/>
  <c r="CV132" i="30"/>
  <c r="CU132" i="30"/>
  <c r="BI132" i="30"/>
  <c r="BG132" i="30"/>
  <c r="BE132" i="30"/>
  <c r="CX130" i="30"/>
  <c r="CW130" i="30"/>
  <c r="CV130" i="30"/>
  <c r="CU130" i="30"/>
  <c r="BI130" i="30"/>
  <c r="BG130" i="30"/>
  <c r="BE130" i="30"/>
  <c r="CX128" i="30"/>
  <c r="CW128" i="30"/>
  <c r="CV128" i="30"/>
  <c r="CU128" i="30"/>
  <c r="BI128" i="30"/>
  <c r="BG128" i="30"/>
  <c r="BE128" i="30"/>
  <c r="CX126" i="30"/>
  <c r="CW126" i="30"/>
  <c r="CV126" i="30"/>
  <c r="CU126" i="30"/>
  <c r="BI126" i="30"/>
  <c r="BG126" i="30"/>
  <c r="BE126" i="30"/>
  <c r="CX123" i="30"/>
  <c r="CW123" i="30"/>
  <c r="CV123" i="30"/>
  <c r="CU123" i="30"/>
  <c r="BI123" i="30"/>
  <c r="BI122" i="30" s="1"/>
  <c r="BG123" i="30"/>
  <c r="BG122" i="30" s="1"/>
  <c r="BE123" i="30"/>
  <c r="BE122" i="30" s="1"/>
  <c r="E114" i="30"/>
  <c r="F93" i="30"/>
  <c r="E91" i="30"/>
  <c r="J28" i="30"/>
  <c r="E28" i="30"/>
  <c r="J96" i="30" s="1"/>
  <c r="J27" i="30"/>
  <c r="J25" i="30"/>
  <c r="E25" i="30"/>
  <c r="J24" i="30"/>
  <c r="J22" i="30"/>
  <c r="E22" i="30"/>
  <c r="J21" i="30"/>
  <c r="J19" i="30"/>
  <c r="E19" i="30"/>
  <c r="J18" i="30"/>
  <c r="J16" i="30"/>
  <c r="E7" i="30"/>
  <c r="J41" i="29"/>
  <c r="J40" i="29"/>
  <c r="BF123" i="1"/>
  <c r="J39" i="29"/>
  <c r="BE123" i="1" s="1"/>
  <c r="BI129" i="29"/>
  <c r="BH129" i="29"/>
  <c r="BG129" i="29"/>
  <c r="BF129" i="29"/>
  <c r="T129" i="29"/>
  <c r="T128" i="29"/>
  <c r="T127" i="29" s="1"/>
  <c r="T126" i="29" s="1"/>
  <c r="R129" i="29"/>
  <c r="R128" i="29" s="1"/>
  <c r="R127" i="29" s="1"/>
  <c r="R126" i="29" s="1"/>
  <c r="P129" i="29"/>
  <c r="P128" i="29" s="1"/>
  <c r="P127" i="29" s="1"/>
  <c r="P126" i="29" s="1"/>
  <c r="BB123" i="1" s="1"/>
  <c r="J122" i="29"/>
  <c r="F122" i="29"/>
  <c r="F120" i="29"/>
  <c r="E118" i="29"/>
  <c r="J95" i="29"/>
  <c r="F95" i="29"/>
  <c r="F93" i="29"/>
  <c r="E91" i="29"/>
  <c r="J28" i="29"/>
  <c r="E28" i="29"/>
  <c r="J123" i="29" s="1"/>
  <c r="J27" i="29"/>
  <c r="J22" i="29"/>
  <c r="E22" i="29"/>
  <c r="F96" i="29" s="1"/>
  <c r="J21" i="29"/>
  <c r="J16" i="29"/>
  <c r="J93" i="29" s="1"/>
  <c r="E7" i="29"/>
  <c r="E85" i="29" s="1"/>
  <c r="J41" i="28"/>
  <c r="J40" i="28"/>
  <c r="BF122" i="1" s="1"/>
  <c r="J39" i="28"/>
  <c r="BE122" i="1" s="1"/>
  <c r="EJ310" i="28"/>
  <c r="EI310" i="28"/>
  <c r="EH310" i="28"/>
  <c r="EG310" i="28"/>
  <c r="CU310" i="28"/>
  <c r="CU309" i="28" s="1"/>
  <c r="CS310" i="28"/>
  <c r="CS309" i="28" s="1"/>
  <c r="CQ310" i="28"/>
  <c r="CQ309" i="28" s="1"/>
  <c r="EJ306" i="28"/>
  <c r="EI306" i="28"/>
  <c r="EH306" i="28"/>
  <c r="EG306" i="28"/>
  <c r="CU306" i="28"/>
  <c r="CS306" i="28"/>
  <c r="CQ306" i="28"/>
  <c r="EJ303" i="28"/>
  <c r="EI303" i="28"/>
  <c r="EH303" i="28"/>
  <c r="EG303" i="28"/>
  <c r="CU303" i="28"/>
  <c r="CS303" i="28"/>
  <c r="CQ303" i="28"/>
  <c r="EJ301" i="28"/>
  <c r="EI301" i="28"/>
  <c r="EH301" i="28"/>
  <c r="EG301" i="28"/>
  <c r="CU301" i="28"/>
  <c r="CS301" i="28"/>
  <c r="CQ301" i="28"/>
  <c r="EJ295" i="28"/>
  <c r="EI295" i="28"/>
  <c r="EH295" i="28"/>
  <c r="EG295" i="28"/>
  <c r="CU295" i="28"/>
  <c r="CS295" i="28"/>
  <c r="CQ295" i="28"/>
  <c r="EJ290" i="28"/>
  <c r="EI290" i="28"/>
  <c r="EH290" i="28"/>
  <c r="EG290" i="28"/>
  <c r="CU290" i="28"/>
  <c r="CS290" i="28"/>
  <c r="CQ290" i="28"/>
  <c r="EJ285" i="28"/>
  <c r="EI285" i="28"/>
  <c r="EH285" i="28"/>
  <c r="EG285" i="28"/>
  <c r="CU285" i="28"/>
  <c r="CS285" i="28"/>
  <c r="CQ285" i="28"/>
  <c r="EJ280" i="28"/>
  <c r="EI280" i="28"/>
  <c r="EH280" i="28"/>
  <c r="EG280" i="28"/>
  <c r="CU280" i="28"/>
  <c r="CS280" i="28"/>
  <c r="CQ280" i="28"/>
  <c r="EJ274" i="28"/>
  <c r="EI274" i="28"/>
  <c r="EH274" i="28"/>
  <c r="EG274" i="28"/>
  <c r="CU274" i="28"/>
  <c r="CS274" i="28"/>
  <c r="CQ274" i="28"/>
  <c r="EJ272" i="28"/>
  <c r="EI272" i="28"/>
  <c r="EH272" i="28"/>
  <c r="EG272" i="28"/>
  <c r="CU272" i="28"/>
  <c r="CS272" i="28"/>
  <c r="CQ272" i="28"/>
  <c r="EJ267" i="28"/>
  <c r="EI267" i="28"/>
  <c r="EH267" i="28"/>
  <c r="EG267" i="28"/>
  <c r="CU267" i="28"/>
  <c r="CS267" i="28"/>
  <c r="CQ267" i="28"/>
  <c r="EJ265" i="28"/>
  <c r="EI265" i="28"/>
  <c r="EH265" i="28"/>
  <c r="EG265" i="28"/>
  <c r="CU265" i="28"/>
  <c r="CS265" i="28"/>
  <c r="CQ265" i="28"/>
  <c r="EJ263" i="28"/>
  <c r="EI263" i="28"/>
  <c r="EH263" i="28"/>
  <c r="EG263" i="28"/>
  <c r="CU263" i="28"/>
  <c r="CS263" i="28"/>
  <c r="CQ263" i="28"/>
  <c r="EJ261" i="28"/>
  <c r="EI261" i="28"/>
  <c r="EH261" i="28"/>
  <c r="EG261" i="28"/>
  <c r="CU261" i="28"/>
  <c r="CS261" i="28"/>
  <c r="CQ261" i="28"/>
  <c r="EJ256" i="28"/>
  <c r="EI256" i="28"/>
  <c r="EH256" i="28"/>
  <c r="EG256" i="28"/>
  <c r="CU256" i="28"/>
  <c r="CS256" i="28"/>
  <c r="CQ256" i="28"/>
  <c r="EJ251" i="28"/>
  <c r="EI251" i="28"/>
  <c r="EH251" i="28"/>
  <c r="EG251" i="28"/>
  <c r="CU251" i="28"/>
  <c r="CS251" i="28"/>
  <c r="CQ251" i="28"/>
  <c r="EJ248" i="28"/>
  <c r="EI248" i="28"/>
  <c r="EH248" i="28"/>
  <c r="EG248" i="28"/>
  <c r="CU248" i="28"/>
  <c r="CS248" i="28"/>
  <c r="CQ248" i="28"/>
  <c r="EJ246" i="28"/>
  <c r="EI246" i="28"/>
  <c r="EH246" i="28"/>
  <c r="EG246" i="28"/>
  <c r="CU246" i="28"/>
  <c r="CS246" i="28"/>
  <c r="CQ246" i="28"/>
  <c r="EJ242" i="28"/>
  <c r="EI242" i="28"/>
  <c r="EH242" i="28"/>
  <c r="EG242" i="28"/>
  <c r="CU242" i="28"/>
  <c r="CS242" i="28"/>
  <c r="CQ242" i="28"/>
  <c r="EJ238" i="28"/>
  <c r="EI238" i="28"/>
  <c r="EH238" i="28"/>
  <c r="EG238" i="28"/>
  <c r="CU238" i="28"/>
  <c r="CS238" i="28"/>
  <c r="CQ238" i="28"/>
  <c r="EJ234" i="28"/>
  <c r="EI234" i="28"/>
  <c r="EH234" i="28"/>
  <c r="EG234" i="28"/>
  <c r="CU234" i="28"/>
  <c r="CS234" i="28"/>
  <c r="CQ234" i="28"/>
  <c r="EJ230" i="28"/>
  <c r="EI230" i="28"/>
  <c r="EH230" i="28"/>
  <c r="EG230" i="28"/>
  <c r="CU230" i="28"/>
  <c r="CS230" i="28"/>
  <c r="CQ230" i="28"/>
  <c r="EJ228" i="28"/>
  <c r="EI228" i="28"/>
  <c r="EH228" i="28"/>
  <c r="EG228" i="28"/>
  <c r="CU228" i="28"/>
  <c r="CS228" i="28"/>
  <c r="CQ228" i="28"/>
  <c r="EJ224" i="28"/>
  <c r="EI224" i="28"/>
  <c r="EH224" i="28"/>
  <c r="EG224" i="28"/>
  <c r="CU224" i="28"/>
  <c r="CS224" i="28"/>
  <c r="CQ224" i="28"/>
  <c r="EJ220" i="28"/>
  <c r="EI220" i="28"/>
  <c r="EH220" i="28"/>
  <c r="EG220" i="28"/>
  <c r="CU220" i="28"/>
  <c r="CS220" i="28"/>
  <c r="CQ220" i="28"/>
  <c r="EJ216" i="28"/>
  <c r="EI216" i="28"/>
  <c r="EH216" i="28"/>
  <c r="EG216" i="28"/>
  <c r="CU216" i="28"/>
  <c r="CS216" i="28"/>
  <c r="CQ216" i="28"/>
  <c r="EJ212" i="28"/>
  <c r="EI212" i="28"/>
  <c r="EH212" i="28"/>
  <c r="EG212" i="28"/>
  <c r="CU212" i="28"/>
  <c r="CS212" i="28"/>
  <c r="CQ212" i="28"/>
  <c r="EJ208" i="28"/>
  <c r="EI208" i="28"/>
  <c r="EH208" i="28"/>
  <c r="EG208" i="28"/>
  <c r="CU208" i="28"/>
  <c r="CS208" i="28"/>
  <c r="CQ208" i="28"/>
  <c r="EJ204" i="28"/>
  <c r="EI204" i="28"/>
  <c r="EH204" i="28"/>
  <c r="EG204" i="28"/>
  <c r="CU204" i="28"/>
  <c r="CS204" i="28"/>
  <c r="CQ204" i="28"/>
  <c r="EJ194" i="28"/>
  <c r="EI194" i="28"/>
  <c r="EH194" i="28"/>
  <c r="EG194" i="28"/>
  <c r="CU194" i="28"/>
  <c r="CS194" i="28"/>
  <c r="CQ194" i="28"/>
  <c r="EJ191" i="28"/>
  <c r="EI191" i="28"/>
  <c r="EH191" i="28"/>
  <c r="EG191" i="28"/>
  <c r="CU191" i="28"/>
  <c r="CS191" i="28"/>
  <c r="CQ191" i="28"/>
  <c r="EJ187" i="28"/>
  <c r="EI187" i="28"/>
  <c r="EH187" i="28"/>
  <c r="EG187" i="28"/>
  <c r="CU187" i="28"/>
  <c r="CS187" i="28"/>
  <c r="CQ187" i="28"/>
  <c r="EJ184" i="28"/>
  <c r="EI184" i="28"/>
  <c r="EH184" i="28"/>
  <c r="EG184" i="28"/>
  <c r="CU184" i="28"/>
  <c r="CS184" i="28"/>
  <c r="CQ184" i="28"/>
  <c r="EJ180" i="28"/>
  <c r="EI180" i="28"/>
  <c r="EH180" i="28"/>
  <c r="EG180" i="28"/>
  <c r="CU180" i="28"/>
  <c r="CS180" i="28"/>
  <c r="CQ180" i="28"/>
  <c r="EJ177" i="28"/>
  <c r="EI177" i="28"/>
  <c r="EH177" i="28"/>
  <c r="EG177" i="28"/>
  <c r="CU177" i="28"/>
  <c r="CS177" i="28"/>
  <c r="CQ177" i="28"/>
  <c r="EJ173" i="28"/>
  <c r="EI173" i="28"/>
  <c r="EH173" i="28"/>
  <c r="EG173" i="28"/>
  <c r="CU173" i="28"/>
  <c r="CS173" i="28"/>
  <c r="CQ173" i="28"/>
  <c r="EJ170" i="28"/>
  <c r="EI170" i="28"/>
  <c r="EH170" i="28"/>
  <c r="EG170" i="28"/>
  <c r="CU170" i="28"/>
  <c r="CS170" i="28"/>
  <c r="CQ170" i="28"/>
  <c r="EJ163" i="28"/>
  <c r="EI163" i="28"/>
  <c r="EH163" i="28"/>
  <c r="EG163" i="28"/>
  <c r="CU163" i="28"/>
  <c r="CS163" i="28"/>
  <c r="CQ163" i="28"/>
  <c r="EJ161" i="28"/>
  <c r="EI161" i="28"/>
  <c r="EH161" i="28"/>
  <c r="EG161" i="28"/>
  <c r="CU161" i="28"/>
  <c r="CS161" i="28"/>
  <c r="CQ161" i="28"/>
  <c r="EJ157" i="28"/>
  <c r="EI157" i="28"/>
  <c r="EH157" i="28"/>
  <c r="EG157" i="28"/>
  <c r="CU157" i="28"/>
  <c r="CS157" i="28"/>
  <c r="CQ157" i="28"/>
  <c r="EJ155" i="28"/>
  <c r="EI155" i="28"/>
  <c r="EH155" i="28"/>
  <c r="EG155" i="28"/>
  <c r="CU155" i="28"/>
  <c r="CS155" i="28"/>
  <c r="CQ155" i="28"/>
  <c r="EJ151" i="28"/>
  <c r="EI151" i="28"/>
  <c r="EH151" i="28"/>
  <c r="EG151" i="28"/>
  <c r="CU151" i="28"/>
  <c r="CS151" i="28"/>
  <c r="CQ151" i="28"/>
  <c r="EJ149" i="28"/>
  <c r="EI149" i="28"/>
  <c r="EH149" i="28"/>
  <c r="EG149" i="28"/>
  <c r="CU149" i="28"/>
  <c r="CS149" i="28"/>
  <c r="CQ149" i="28"/>
  <c r="EJ146" i="28"/>
  <c r="EI146" i="28"/>
  <c r="EH146" i="28"/>
  <c r="EG146" i="28"/>
  <c r="CU146" i="28"/>
  <c r="CS146" i="28"/>
  <c r="CQ146" i="28"/>
  <c r="EJ142" i="28"/>
  <c r="EI142" i="28"/>
  <c r="EH142" i="28"/>
  <c r="EG142" i="28"/>
  <c r="CU142" i="28"/>
  <c r="CS142" i="28"/>
  <c r="CQ142" i="28"/>
  <c r="EJ137" i="28"/>
  <c r="EI137" i="28"/>
  <c r="EH137" i="28"/>
  <c r="EG137" i="28"/>
  <c r="CU137" i="28"/>
  <c r="CS137" i="28"/>
  <c r="CQ137" i="28"/>
  <c r="EJ132" i="28"/>
  <c r="EI132" i="28"/>
  <c r="EH132" i="28"/>
  <c r="EG132" i="28"/>
  <c r="CU132" i="28"/>
  <c r="CS132" i="28"/>
  <c r="CQ132" i="28"/>
  <c r="EJ130" i="28"/>
  <c r="EI130" i="28"/>
  <c r="EH130" i="28"/>
  <c r="EG130" i="28"/>
  <c r="CU130" i="28"/>
  <c r="CS130" i="28"/>
  <c r="CQ130" i="28"/>
  <c r="EJ128" i="28"/>
  <c r="EI128" i="28"/>
  <c r="EH128" i="28"/>
  <c r="EG128" i="28"/>
  <c r="CU128" i="28"/>
  <c r="CS128" i="28"/>
  <c r="CQ128" i="28"/>
  <c r="E117" i="28"/>
  <c r="J95" i="28"/>
  <c r="F95" i="28"/>
  <c r="F93" i="28"/>
  <c r="E91" i="28"/>
  <c r="J28" i="28"/>
  <c r="E28" i="28"/>
  <c r="J27" i="28"/>
  <c r="J22" i="28"/>
  <c r="E22" i="28"/>
  <c r="J21" i="28"/>
  <c r="J16" i="28"/>
  <c r="E7" i="28"/>
  <c r="J41" i="27"/>
  <c r="J40" i="27"/>
  <c r="BF120" i="1" s="1"/>
  <c r="J39" i="27"/>
  <c r="BE120" i="1"/>
  <c r="DT160" i="27"/>
  <c r="DS160" i="27"/>
  <c r="DR160" i="27"/>
  <c r="DQ160" i="27"/>
  <c r="CE160" i="27"/>
  <c r="CC160" i="27"/>
  <c r="CA160" i="27"/>
  <c r="DT158" i="27"/>
  <c r="DS158" i="27"/>
  <c r="DR158" i="27"/>
  <c r="DQ158" i="27"/>
  <c r="CE158" i="27"/>
  <c r="CC158" i="27"/>
  <c r="CA158" i="27"/>
  <c r="DT156" i="27"/>
  <c r="DS156" i="27"/>
  <c r="DR156" i="27"/>
  <c r="DQ156" i="27"/>
  <c r="CE156" i="27"/>
  <c r="CC156" i="27"/>
  <c r="CA156" i="27"/>
  <c r="DT154" i="27"/>
  <c r="DS154" i="27"/>
  <c r="DR154" i="27"/>
  <c r="DQ154" i="27"/>
  <c r="CE154" i="27"/>
  <c r="CC154" i="27"/>
  <c r="CA154" i="27"/>
  <c r="DT151" i="27"/>
  <c r="DS151" i="27"/>
  <c r="DR151" i="27"/>
  <c r="DQ151" i="27"/>
  <c r="CE151" i="27"/>
  <c r="CC151" i="27"/>
  <c r="CA151" i="27"/>
  <c r="DT149" i="27"/>
  <c r="DS149" i="27"/>
  <c r="DR149" i="27"/>
  <c r="DQ149" i="27"/>
  <c r="CE149" i="27"/>
  <c r="CC149" i="27"/>
  <c r="CA149" i="27"/>
  <c r="DT147" i="27"/>
  <c r="DS147" i="27"/>
  <c r="DR147" i="27"/>
  <c r="DQ147" i="27"/>
  <c r="CE147" i="27"/>
  <c r="CC147" i="27"/>
  <c r="CA147" i="27"/>
  <c r="DT145" i="27"/>
  <c r="DS145" i="27"/>
  <c r="DR145" i="27"/>
  <c r="DQ145" i="27"/>
  <c r="CE145" i="27"/>
  <c r="CC145" i="27"/>
  <c r="CA145" i="27"/>
  <c r="DT142" i="27"/>
  <c r="DS142" i="27"/>
  <c r="DR142" i="27"/>
  <c r="DQ142" i="27"/>
  <c r="CE142" i="27"/>
  <c r="CC142" i="27"/>
  <c r="CA142" i="27"/>
  <c r="DT140" i="27"/>
  <c r="DS140" i="27"/>
  <c r="DR140" i="27"/>
  <c r="DQ140" i="27"/>
  <c r="CE140" i="27"/>
  <c r="CC140" i="27"/>
  <c r="CA140" i="27"/>
  <c r="DT138" i="27"/>
  <c r="DS138" i="27"/>
  <c r="DR138" i="27"/>
  <c r="DQ138" i="27"/>
  <c r="CE138" i="27"/>
  <c r="CC138" i="27"/>
  <c r="CA138" i="27"/>
  <c r="DT136" i="27"/>
  <c r="DS136" i="27"/>
  <c r="DR136" i="27"/>
  <c r="DQ136" i="27"/>
  <c r="CE136" i="27"/>
  <c r="CC136" i="27"/>
  <c r="CA136" i="27"/>
  <c r="DT134" i="27"/>
  <c r="DS134" i="27"/>
  <c r="DR134" i="27"/>
  <c r="DQ134" i="27"/>
  <c r="CE134" i="27"/>
  <c r="CC134" i="27"/>
  <c r="CA134" i="27"/>
  <c r="DT132" i="27"/>
  <c r="DS132" i="27"/>
  <c r="DR132" i="27"/>
  <c r="DQ132" i="27"/>
  <c r="CE132" i="27"/>
  <c r="CC132" i="27"/>
  <c r="CA132" i="27"/>
  <c r="DT130" i="27"/>
  <c r="DS130" i="27"/>
  <c r="DR130" i="27"/>
  <c r="DQ130" i="27"/>
  <c r="CE130" i="27"/>
  <c r="CC130" i="27"/>
  <c r="CA130" i="27"/>
  <c r="DT128" i="27"/>
  <c r="DS128" i="27"/>
  <c r="DR128" i="27"/>
  <c r="DQ128" i="27"/>
  <c r="CE128" i="27"/>
  <c r="CC128" i="27"/>
  <c r="CA128" i="27"/>
  <c r="DT126" i="27"/>
  <c r="DS126" i="27"/>
  <c r="DR126" i="27"/>
  <c r="DQ126" i="27"/>
  <c r="CE126" i="27"/>
  <c r="CC126" i="27"/>
  <c r="CA126" i="27"/>
  <c r="DT123" i="27"/>
  <c r="DS123" i="27"/>
  <c r="DR123" i="27"/>
  <c r="DQ123" i="27"/>
  <c r="CE123" i="27"/>
  <c r="CE122" i="27" s="1"/>
  <c r="CC123" i="27"/>
  <c r="CC122" i="27" s="1"/>
  <c r="CA123" i="27"/>
  <c r="CA122" i="27"/>
  <c r="E114" i="27"/>
  <c r="F93" i="27"/>
  <c r="E91" i="27"/>
  <c r="J28" i="27"/>
  <c r="E28" i="27"/>
  <c r="J27" i="27"/>
  <c r="J25" i="27"/>
  <c r="E25" i="27"/>
  <c r="J24" i="27"/>
  <c r="J22" i="27"/>
  <c r="E22" i="27"/>
  <c r="J21" i="27"/>
  <c r="J19" i="27"/>
  <c r="E19" i="27"/>
  <c r="J18" i="27"/>
  <c r="J16" i="27"/>
  <c r="J93" i="27" s="1"/>
  <c r="E7" i="27"/>
  <c r="J41" i="26"/>
  <c r="J40" i="26"/>
  <c r="BF119" i="1" s="1"/>
  <c r="J39" i="26"/>
  <c r="BE119" i="1" s="1"/>
  <c r="BI129" i="26"/>
  <c r="BH129" i="26"/>
  <c r="BG129" i="26"/>
  <c r="BF129" i="26"/>
  <c r="T129" i="26"/>
  <c r="T128" i="26" s="1"/>
  <c r="T127" i="26" s="1"/>
  <c r="T126" i="26" s="1"/>
  <c r="R129" i="26"/>
  <c r="R128" i="26" s="1"/>
  <c r="R127" i="26"/>
  <c r="R126" i="26" s="1"/>
  <c r="P129" i="26"/>
  <c r="P128" i="26" s="1"/>
  <c r="P127" i="26" s="1"/>
  <c r="P126" i="26" s="1"/>
  <c r="BB119" i="1" s="1"/>
  <c r="J122" i="26"/>
  <c r="F122" i="26"/>
  <c r="F120" i="26"/>
  <c r="E118" i="26"/>
  <c r="J95" i="26"/>
  <c r="F95" i="26"/>
  <c r="F93" i="26"/>
  <c r="E91" i="26"/>
  <c r="J28" i="26"/>
  <c r="E28" i="26"/>
  <c r="J96" i="26" s="1"/>
  <c r="J27" i="26"/>
  <c r="J22" i="26"/>
  <c r="E22" i="26"/>
  <c r="F123" i="26" s="1"/>
  <c r="J21" i="26"/>
  <c r="J16" i="26"/>
  <c r="J93" i="26" s="1"/>
  <c r="E7" i="26"/>
  <c r="E112" i="26" s="1"/>
  <c r="J41" i="25"/>
  <c r="J40" i="25"/>
  <c r="BF118" i="1" s="1"/>
  <c r="J39" i="25"/>
  <c r="BE118" i="1" s="1"/>
  <c r="EJ308" i="25"/>
  <c r="EI308" i="25"/>
  <c r="EH308" i="25"/>
  <c r="EG308" i="25"/>
  <c r="CU308" i="25"/>
  <c r="CU307" i="25" s="1"/>
  <c r="CS308" i="25"/>
  <c r="CS307" i="25" s="1"/>
  <c r="CQ308" i="25"/>
  <c r="CQ307" i="25" s="1"/>
  <c r="EJ304" i="25"/>
  <c r="EI304" i="25"/>
  <c r="EH304" i="25"/>
  <c r="EG304" i="25"/>
  <c r="CU304" i="25"/>
  <c r="CS304" i="25"/>
  <c r="CQ304" i="25"/>
  <c r="EJ301" i="25"/>
  <c r="EI301" i="25"/>
  <c r="EH301" i="25"/>
  <c r="EG301" i="25"/>
  <c r="CU301" i="25"/>
  <c r="CS301" i="25"/>
  <c r="CQ301" i="25"/>
  <c r="EJ299" i="25"/>
  <c r="EI299" i="25"/>
  <c r="EH299" i="25"/>
  <c r="EG299" i="25"/>
  <c r="CU299" i="25"/>
  <c r="CS299" i="25"/>
  <c r="CQ299" i="25"/>
  <c r="EJ293" i="25"/>
  <c r="EI293" i="25"/>
  <c r="EH293" i="25"/>
  <c r="EG293" i="25"/>
  <c r="CU293" i="25"/>
  <c r="CS293" i="25"/>
  <c r="CQ293" i="25"/>
  <c r="EJ288" i="25"/>
  <c r="EI288" i="25"/>
  <c r="EH288" i="25"/>
  <c r="EG288" i="25"/>
  <c r="CU288" i="25"/>
  <c r="CS288" i="25"/>
  <c r="CQ288" i="25"/>
  <c r="EJ283" i="25"/>
  <c r="EI283" i="25"/>
  <c r="EH283" i="25"/>
  <c r="EG283" i="25"/>
  <c r="CU283" i="25"/>
  <c r="CS283" i="25"/>
  <c r="CQ283" i="25"/>
  <c r="EJ278" i="25"/>
  <c r="EI278" i="25"/>
  <c r="EH278" i="25"/>
  <c r="EG278" i="25"/>
  <c r="CU278" i="25"/>
  <c r="CS278" i="25"/>
  <c r="CQ278" i="25"/>
  <c r="EJ272" i="25"/>
  <c r="EI272" i="25"/>
  <c r="EH272" i="25"/>
  <c r="EG272" i="25"/>
  <c r="CU272" i="25"/>
  <c r="CS272" i="25"/>
  <c r="CQ272" i="25"/>
  <c r="EJ270" i="25"/>
  <c r="EI270" i="25"/>
  <c r="EH270" i="25"/>
  <c r="EG270" i="25"/>
  <c r="CU270" i="25"/>
  <c r="CS270" i="25"/>
  <c r="CQ270" i="25"/>
  <c r="EJ265" i="25"/>
  <c r="EI265" i="25"/>
  <c r="EH265" i="25"/>
  <c r="EG265" i="25"/>
  <c r="CU265" i="25"/>
  <c r="CS265" i="25"/>
  <c r="CQ265" i="25"/>
  <c r="EJ263" i="25"/>
  <c r="EI263" i="25"/>
  <c r="EH263" i="25"/>
  <c r="EG263" i="25"/>
  <c r="CU263" i="25"/>
  <c r="CS263" i="25"/>
  <c r="CQ263" i="25"/>
  <c r="EJ261" i="25"/>
  <c r="EI261" i="25"/>
  <c r="EH261" i="25"/>
  <c r="EG261" i="25"/>
  <c r="CU261" i="25"/>
  <c r="CS261" i="25"/>
  <c r="CQ261" i="25"/>
  <c r="EJ259" i="25"/>
  <c r="EI259" i="25"/>
  <c r="EH259" i="25"/>
  <c r="EG259" i="25"/>
  <c r="CU259" i="25"/>
  <c r="CS259" i="25"/>
  <c r="CQ259" i="25"/>
  <c r="EJ254" i="25"/>
  <c r="EI254" i="25"/>
  <c r="EH254" i="25"/>
  <c r="EG254" i="25"/>
  <c r="CU254" i="25"/>
  <c r="CS254" i="25"/>
  <c r="CQ254" i="25"/>
  <c r="EJ249" i="25"/>
  <c r="EI249" i="25"/>
  <c r="EH249" i="25"/>
  <c r="EG249" i="25"/>
  <c r="CU249" i="25"/>
  <c r="CS249" i="25"/>
  <c r="CQ249" i="25"/>
  <c r="EJ246" i="25"/>
  <c r="EI246" i="25"/>
  <c r="EH246" i="25"/>
  <c r="EG246" i="25"/>
  <c r="CU246" i="25"/>
  <c r="CS246" i="25"/>
  <c r="CQ246" i="25"/>
  <c r="EJ244" i="25"/>
  <c r="EI244" i="25"/>
  <c r="EH244" i="25"/>
  <c r="EG244" i="25"/>
  <c r="CU244" i="25"/>
  <c r="CS244" i="25"/>
  <c r="CQ244" i="25"/>
  <c r="EJ240" i="25"/>
  <c r="EI240" i="25"/>
  <c r="EH240" i="25"/>
  <c r="EG240" i="25"/>
  <c r="CU240" i="25"/>
  <c r="CS240" i="25"/>
  <c r="CQ240" i="25"/>
  <c r="EJ236" i="25"/>
  <c r="EI236" i="25"/>
  <c r="EH236" i="25"/>
  <c r="EG236" i="25"/>
  <c r="CU236" i="25"/>
  <c r="CS236" i="25"/>
  <c r="CQ236" i="25"/>
  <c r="EJ232" i="25"/>
  <c r="EI232" i="25"/>
  <c r="EH232" i="25"/>
  <c r="EG232" i="25"/>
  <c r="CU232" i="25"/>
  <c r="CS232" i="25"/>
  <c r="CQ232" i="25"/>
  <c r="EJ228" i="25"/>
  <c r="EI228" i="25"/>
  <c r="EH228" i="25"/>
  <c r="EG228" i="25"/>
  <c r="CU228" i="25"/>
  <c r="CS228" i="25"/>
  <c r="CQ228" i="25"/>
  <c r="EJ226" i="25"/>
  <c r="EI226" i="25"/>
  <c r="EH226" i="25"/>
  <c r="EG226" i="25"/>
  <c r="CU226" i="25"/>
  <c r="CS226" i="25"/>
  <c r="CQ226" i="25"/>
  <c r="EJ222" i="25"/>
  <c r="EI222" i="25"/>
  <c r="EH222" i="25"/>
  <c r="EG222" i="25"/>
  <c r="CU222" i="25"/>
  <c r="CS222" i="25"/>
  <c r="CQ222" i="25"/>
  <c r="EJ218" i="25"/>
  <c r="EI218" i="25"/>
  <c r="EH218" i="25"/>
  <c r="EG218" i="25"/>
  <c r="CU218" i="25"/>
  <c r="CS218" i="25"/>
  <c r="CQ218" i="25"/>
  <c r="EJ214" i="25"/>
  <c r="EI214" i="25"/>
  <c r="EH214" i="25"/>
  <c r="EG214" i="25"/>
  <c r="CU214" i="25"/>
  <c r="CS214" i="25"/>
  <c r="CQ214" i="25"/>
  <c r="EJ210" i="25"/>
  <c r="EI210" i="25"/>
  <c r="EH210" i="25"/>
  <c r="EG210" i="25"/>
  <c r="CU210" i="25"/>
  <c r="CS210" i="25"/>
  <c r="CQ210" i="25"/>
  <c r="EJ206" i="25"/>
  <c r="EI206" i="25"/>
  <c r="EH206" i="25"/>
  <c r="EG206" i="25"/>
  <c r="CU206" i="25"/>
  <c r="CS206" i="25"/>
  <c r="CQ206" i="25"/>
  <c r="EJ202" i="25"/>
  <c r="EI202" i="25"/>
  <c r="EH202" i="25"/>
  <c r="EG202" i="25"/>
  <c r="CU202" i="25"/>
  <c r="CS202" i="25"/>
  <c r="CQ202" i="25"/>
  <c r="EJ192" i="25"/>
  <c r="EI192" i="25"/>
  <c r="EH192" i="25"/>
  <c r="EG192" i="25"/>
  <c r="CU192" i="25"/>
  <c r="CS192" i="25"/>
  <c r="CQ192" i="25"/>
  <c r="EJ189" i="25"/>
  <c r="EI189" i="25"/>
  <c r="EH189" i="25"/>
  <c r="EG189" i="25"/>
  <c r="CU189" i="25"/>
  <c r="CS189" i="25"/>
  <c r="CQ189" i="25"/>
  <c r="EJ185" i="25"/>
  <c r="EI185" i="25"/>
  <c r="EH185" i="25"/>
  <c r="EG185" i="25"/>
  <c r="CU185" i="25"/>
  <c r="CS185" i="25"/>
  <c r="CQ185" i="25"/>
  <c r="EJ182" i="25"/>
  <c r="EI182" i="25"/>
  <c r="EH182" i="25"/>
  <c r="EG182" i="25"/>
  <c r="CU182" i="25"/>
  <c r="CS182" i="25"/>
  <c r="CQ182" i="25"/>
  <c r="EJ178" i="25"/>
  <c r="EI178" i="25"/>
  <c r="EH178" i="25"/>
  <c r="EG178" i="25"/>
  <c r="CU178" i="25"/>
  <c r="CS178" i="25"/>
  <c r="CQ178" i="25"/>
  <c r="EJ175" i="25"/>
  <c r="EI175" i="25"/>
  <c r="EH175" i="25"/>
  <c r="EG175" i="25"/>
  <c r="CU175" i="25"/>
  <c r="CS175" i="25"/>
  <c r="CQ175" i="25"/>
  <c r="EJ171" i="25"/>
  <c r="EI171" i="25"/>
  <c r="EH171" i="25"/>
  <c r="EG171" i="25"/>
  <c r="CU171" i="25"/>
  <c r="CS171" i="25"/>
  <c r="CQ171" i="25"/>
  <c r="EJ168" i="25"/>
  <c r="EI168" i="25"/>
  <c r="EH168" i="25"/>
  <c r="EG168" i="25"/>
  <c r="CU168" i="25"/>
  <c r="CS168" i="25"/>
  <c r="CQ168" i="25"/>
  <c r="EJ161" i="25"/>
  <c r="EI161" i="25"/>
  <c r="EH161" i="25"/>
  <c r="EG161" i="25"/>
  <c r="CU161" i="25"/>
  <c r="CS161" i="25"/>
  <c r="CQ161" i="25"/>
  <c r="EJ159" i="25"/>
  <c r="EI159" i="25"/>
  <c r="EH159" i="25"/>
  <c r="EG159" i="25"/>
  <c r="CU159" i="25"/>
  <c r="CS159" i="25"/>
  <c r="CQ159" i="25"/>
  <c r="EJ155" i="25"/>
  <c r="EI155" i="25"/>
  <c r="EH155" i="25"/>
  <c r="EG155" i="25"/>
  <c r="CU155" i="25"/>
  <c r="CS155" i="25"/>
  <c r="CQ155" i="25"/>
  <c r="EJ153" i="25"/>
  <c r="EI153" i="25"/>
  <c r="EH153" i="25"/>
  <c r="EG153" i="25"/>
  <c r="CU153" i="25"/>
  <c r="CS153" i="25"/>
  <c r="CQ153" i="25"/>
  <c r="EJ149" i="25"/>
  <c r="EI149" i="25"/>
  <c r="EH149" i="25"/>
  <c r="EG149" i="25"/>
  <c r="CU149" i="25"/>
  <c r="CS149" i="25"/>
  <c r="CQ149" i="25"/>
  <c r="EJ147" i="25"/>
  <c r="EI147" i="25"/>
  <c r="EH147" i="25"/>
  <c r="EG147" i="25"/>
  <c r="CU147" i="25"/>
  <c r="CS147" i="25"/>
  <c r="CQ147" i="25"/>
  <c r="EJ144" i="25"/>
  <c r="EI144" i="25"/>
  <c r="EH144" i="25"/>
  <c r="EG144" i="25"/>
  <c r="CU144" i="25"/>
  <c r="CS144" i="25"/>
  <c r="CQ144" i="25"/>
  <c r="EJ140" i="25"/>
  <c r="EI140" i="25"/>
  <c r="EH140" i="25"/>
  <c r="EG140" i="25"/>
  <c r="CU140" i="25"/>
  <c r="CS140" i="25"/>
  <c r="CQ140" i="25"/>
  <c r="EJ135" i="25"/>
  <c r="EI135" i="25"/>
  <c r="EH135" i="25"/>
  <c r="EG135" i="25"/>
  <c r="CU135" i="25"/>
  <c r="CS135" i="25"/>
  <c r="CQ135" i="25"/>
  <c r="EJ130" i="25"/>
  <c r="EI130" i="25"/>
  <c r="EH130" i="25"/>
  <c r="EG130" i="25"/>
  <c r="CU130" i="25"/>
  <c r="CS130" i="25"/>
  <c r="CQ130" i="25"/>
  <c r="EJ128" i="25"/>
  <c r="EI128" i="25"/>
  <c r="EH128" i="25"/>
  <c r="EG128" i="25"/>
  <c r="CU128" i="25"/>
  <c r="CS128" i="25"/>
  <c r="CQ128" i="25"/>
  <c r="EJ126" i="25"/>
  <c r="EI126" i="25"/>
  <c r="EH126" i="25"/>
  <c r="EG126" i="25"/>
  <c r="CU126" i="25"/>
  <c r="CS126" i="25"/>
  <c r="CQ126" i="25"/>
  <c r="E117" i="25"/>
  <c r="J95" i="25"/>
  <c r="F95" i="25"/>
  <c r="F93" i="25"/>
  <c r="E91" i="25"/>
  <c r="J28" i="25"/>
  <c r="E28" i="25"/>
  <c r="J27" i="25"/>
  <c r="J22" i="25"/>
  <c r="E22" i="25"/>
  <c r="J21" i="25"/>
  <c r="J16" i="25"/>
  <c r="E7" i="25"/>
  <c r="E85" i="25" s="1"/>
  <c r="J41" i="24"/>
  <c r="J40" i="24"/>
  <c r="BF116" i="1"/>
  <c r="J39" i="24"/>
  <c r="BE116" i="1"/>
  <c r="BI181" i="24"/>
  <c r="BH181" i="24"/>
  <c r="BG181" i="24"/>
  <c r="BF181" i="24"/>
  <c r="T181" i="24"/>
  <c r="R181" i="24"/>
  <c r="P181" i="24"/>
  <c r="BI179" i="24"/>
  <c r="BH179" i="24"/>
  <c r="BG179" i="24"/>
  <c r="BF179" i="24"/>
  <c r="T179" i="24"/>
  <c r="R179" i="24"/>
  <c r="P179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2" i="24"/>
  <c r="BH172" i="24"/>
  <c r="BG172" i="24"/>
  <c r="BF172" i="24"/>
  <c r="T172" i="24"/>
  <c r="R172" i="24"/>
  <c r="P172" i="24"/>
  <c r="BI170" i="24"/>
  <c r="BH170" i="24"/>
  <c r="BG170" i="24"/>
  <c r="BF170" i="24"/>
  <c r="T170" i="24"/>
  <c r="R170" i="24"/>
  <c r="P170" i="24"/>
  <c r="BI168" i="24"/>
  <c r="BH168" i="24"/>
  <c r="BG168" i="24"/>
  <c r="BF168" i="24"/>
  <c r="T168" i="24"/>
  <c r="R168" i="24"/>
  <c r="P168" i="24"/>
  <c r="BI166" i="24"/>
  <c r="BH166" i="24"/>
  <c r="BG166" i="24"/>
  <c r="BF166" i="24"/>
  <c r="T166" i="24"/>
  <c r="R166" i="24"/>
  <c r="P166" i="24"/>
  <c r="BI164" i="24"/>
  <c r="BH164" i="24"/>
  <c r="BG164" i="24"/>
  <c r="BF164" i="24"/>
  <c r="T164" i="24"/>
  <c r="R164" i="24"/>
  <c r="P164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8" i="24"/>
  <c r="BH158" i="24"/>
  <c r="BG158" i="24"/>
  <c r="BF158" i="24"/>
  <c r="T158" i="24"/>
  <c r="R158" i="24"/>
  <c r="P158" i="24"/>
  <c r="BI156" i="24"/>
  <c r="BH156" i="24"/>
  <c r="BG156" i="24"/>
  <c r="BF156" i="24"/>
  <c r="T156" i="24"/>
  <c r="R156" i="24"/>
  <c r="P156" i="24"/>
  <c r="BI154" i="24"/>
  <c r="BH154" i="24"/>
  <c r="BG154" i="24"/>
  <c r="BF154" i="24"/>
  <c r="T154" i="24"/>
  <c r="R154" i="24"/>
  <c r="P154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9" i="24"/>
  <c r="BH139" i="24"/>
  <c r="BG139" i="24"/>
  <c r="BF139" i="24"/>
  <c r="T139" i="24"/>
  <c r="R139" i="24"/>
  <c r="P139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2" i="24"/>
  <c r="BH132" i="24"/>
  <c r="BG132" i="24"/>
  <c r="BF132" i="24"/>
  <c r="T132" i="24"/>
  <c r="T131" i="24" s="1"/>
  <c r="R132" i="24"/>
  <c r="R131" i="24" s="1"/>
  <c r="P132" i="24"/>
  <c r="P131" i="24" s="1"/>
  <c r="F123" i="24"/>
  <c r="E121" i="24"/>
  <c r="F93" i="24"/>
  <c r="E91" i="24"/>
  <c r="J28" i="24"/>
  <c r="E28" i="24"/>
  <c r="J96" i="24" s="1"/>
  <c r="J27" i="24"/>
  <c r="J25" i="24"/>
  <c r="E25" i="24"/>
  <c r="J95" i="24" s="1"/>
  <c r="J24" i="24"/>
  <c r="J22" i="24"/>
  <c r="E22" i="24"/>
  <c r="F126" i="24" s="1"/>
  <c r="J21" i="24"/>
  <c r="J19" i="24"/>
  <c r="E19" i="24"/>
  <c r="F125" i="24" s="1"/>
  <c r="J18" i="24"/>
  <c r="J16" i="24"/>
  <c r="J123" i="24" s="1"/>
  <c r="E7" i="24"/>
  <c r="E115" i="24" s="1"/>
  <c r="J41" i="23"/>
  <c r="J40" i="23"/>
  <c r="BF115" i="1" s="1"/>
  <c r="J39" i="23"/>
  <c r="BE115" i="1" s="1"/>
  <c r="BI129" i="23"/>
  <c r="BH129" i="23"/>
  <c r="BG129" i="23"/>
  <c r="BF129" i="23"/>
  <c r="T129" i="23"/>
  <c r="T128" i="23" s="1"/>
  <c r="T127" i="23" s="1"/>
  <c r="T126" i="23" s="1"/>
  <c r="R129" i="23"/>
  <c r="R128" i="23"/>
  <c r="R127" i="23" s="1"/>
  <c r="R126" i="23" s="1"/>
  <c r="P129" i="23"/>
  <c r="P128" i="23"/>
  <c r="P127" i="23" s="1"/>
  <c r="P126" i="23" s="1"/>
  <c r="BB115" i="1" s="1"/>
  <c r="J122" i="23"/>
  <c r="F122" i="23"/>
  <c r="F120" i="23"/>
  <c r="E118" i="23"/>
  <c r="J95" i="23"/>
  <c r="F95" i="23"/>
  <c r="F93" i="23"/>
  <c r="E91" i="23"/>
  <c r="J28" i="23"/>
  <c r="E28" i="23"/>
  <c r="J123" i="23" s="1"/>
  <c r="J27" i="23"/>
  <c r="J22" i="23"/>
  <c r="E22" i="23"/>
  <c r="F96" i="23" s="1"/>
  <c r="J21" i="23"/>
  <c r="J16" i="23"/>
  <c r="J120" i="23" s="1"/>
  <c r="E7" i="23"/>
  <c r="E112" i="23" s="1"/>
  <c r="J41" i="22"/>
  <c r="J40" i="22"/>
  <c r="BF114" i="1" s="1"/>
  <c r="J39" i="22"/>
  <c r="BE114" i="1"/>
  <c r="FB322" i="22"/>
  <c r="FA322" i="22"/>
  <c r="EZ322" i="22"/>
  <c r="EY322" i="22"/>
  <c r="DM322" i="22"/>
  <c r="DM321" i="22" s="1"/>
  <c r="DK322" i="22"/>
  <c r="DK321" i="22" s="1"/>
  <c r="DI322" i="22"/>
  <c r="DI321" i="22" s="1"/>
  <c r="FB318" i="22"/>
  <c r="FA318" i="22"/>
  <c r="EZ318" i="22"/>
  <c r="EY318" i="22"/>
  <c r="DM318" i="22"/>
  <c r="DK318" i="22"/>
  <c r="DI318" i="22"/>
  <c r="FB315" i="22"/>
  <c r="FA315" i="22"/>
  <c r="EZ315" i="22"/>
  <c r="EY315" i="22"/>
  <c r="DM315" i="22"/>
  <c r="DK315" i="22"/>
  <c r="DI315" i="22"/>
  <c r="FB313" i="22"/>
  <c r="FA313" i="22"/>
  <c r="EZ313" i="22"/>
  <c r="EY313" i="22"/>
  <c r="DM313" i="22"/>
  <c r="DK313" i="22"/>
  <c r="DI313" i="22"/>
  <c r="FB307" i="22"/>
  <c r="FA307" i="22"/>
  <c r="EZ307" i="22"/>
  <c r="EY307" i="22"/>
  <c r="DM307" i="22"/>
  <c r="DK307" i="22"/>
  <c r="DI307" i="22"/>
  <c r="FB302" i="22"/>
  <c r="FA302" i="22"/>
  <c r="EZ302" i="22"/>
  <c r="EY302" i="22"/>
  <c r="DM302" i="22"/>
  <c r="DK302" i="22"/>
  <c r="DI302" i="22"/>
  <c r="FB297" i="22"/>
  <c r="FA297" i="22"/>
  <c r="EZ297" i="22"/>
  <c r="EY297" i="22"/>
  <c r="DM297" i="22"/>
  <c r="DK297" i="22"/>
  <c r="DI297" i="22"/>
  <c r="FB292" i="22"/>
  <c r="FA292" i="22"/>
  <c r="EZ292" i="22"/>
  <c r="EY292" i="22"/>
  <c r="DM292" i="22"/>
  <c r="DK292" i="22"/>
  <c r="DI292" i="22"/>
  <c r="FB286" i="22"/>
  <c r="FA286" i="22"/>
  <c r="EZ286" i="22"/>
  <c r="EY286" i="22"/>
  <c r="DM286" i="22"/>
  <c r="DK286" i="22"/>
  <c r="DI286" i="22"/>
  <c r="FB284" i="22"/>
  <c r="FA284" i="22"/>
  <c r="EZ284" i="22"/>
  <c r="EY284" i="22"/>
  <c r="DM284" i="22"/>
  <c r="DK284" i="22"/>
  <c r="DI284" i="22"/>
  <c r="FB279" i="22"/>
  <c r="FA279" i="22"/>
  <c r="EZ279" i="22"/>
  <c r="EY279" i="22"/>
  <c r="DM279" i="22"/>
  <c r="DK279" i="22"/>
  <c r="DI279" i="22"/>
  <c r="FB277" i="22"/>
  <c r="FA277" i="22"/>
  <c r="EZ277" i="22"/>
  <c r="EY277" i="22"/>
  <c r="DM277" i="22"/>
  <c r="DK277" i="22"/>
  <c r="DI277" i="22"/>
  <c r="FB275" i="22"/>
  <c r="FA275" i="22"/>
  <c r="EZ275" i="22"/>
  <c r="EY275" i="22"/>
  <c r="DM275" i="22"/>
  <c r="DK275" i="22"/>
  <c r="DI275" i="22"/>
  <c r="FB273" i="22"/>
  <c r="FA273" i="22"/>
  <c r="EZ273" i="22"/>
  <c r="EY273" i="22"/>
  <c r="DM273" i="22"/>
  <c r="DK273" i="22"/>
  <c r="DI273" i="22"/>
  <c r="FB268" i="22"/>
  <c r="FA268" i="22"/>
  <c r="EZ268" i="22"/>
  <c r="EY268" i="22"/>
  <c r="DM268" i="22"/>
  <c r="DK268" i="22"/>
  <c r="DI268" i="22"/>
  <c r="FB263" i="22"/>
  <c r="FA263" i="22"/>
  <c r="EZ263" i="22"/>
  <c r="EY263" i="22"/>
  <c r="DM263" i="22"/>
  <c r="DK263" i="22"/>
  <c r="DI263" i="22"/>
  <c r="FB260" i="22"/>
  <c r="FA260" i="22"/>
  <c r="EZ260" i="22"/>
  <c r="EY260" i="22"/>
  <c r="DM260" i="22"/>
  <c r="DK260" i="22"/>
  <c r="DI260" i="22"/>
  <c r="FB258" i="22"/>
  <c r="FA258" i="22"/>
  <c r="EZ258" i="22"/>
  <c r="EY258" i="22"/>
  <c r="DM258" i="22"/>
  <c r="DK258" i="22"/>
  <c r="DI258" i="22"/>
  <c r="FB254" i="22"/>
  <c r="FA254" i="22"/>
  <c r="EZ254" i="22"/>
  <c r="EY254" i="22"/>
  <c r="DM254" i="22"/>
  <c r="DK254" i="22"/>
  <c r="DI254" i="22"/>
  <c r="FB250" i="22"/>
  <c r="FA250" i="22"/>
  <c r="EZ250" i="22"/>
  <c r="EY250" i="22"/>
  <c r="DM250" i="22"/>
  <c r="DK250" i="22"/>
  <c r="DI250" i="22"/>
  <c r="FB246" i="22"/>
  <c r="FA246" i="22"/>
  <c r="EZ246" i="22"/>
  <c r="EY246" i="22"/>
  <c r="DM246" i="22"/>
  <c r="DK246" i="22"/>
  <c r="DI246" i="22"/>
  <c r="FB242" i="22"/>
  <c r="FA242" i="22"/>
  <c r="EZ242" i="22"/>
  <c r="EY242" i="22"/>
  <c r="DM242" i="22"/>
  <c r="DK242" i="22"/>
  <c r="DI242" i="22"/>
  <c r="FB240" i="22"/>
  <c r="FA240" i="22"/>
  <c r="EZ240" i="22"/>
  <c r="EY240" i="22"/>
  <c r="DM240" i="22"/>
  <c r="DK240" i="22"/>
  <c r="DI240" i="22"/>
  <c r="FB234" i="22"/>
  <c r="FA234" i="22"/>
  <c r="EZ234" i="22"/>
  <c r="EY234" i="22"/>
  <c r="DM234" i="22"/>
  <c r="DK234" i="22"/>
  <c r="DI234" i="22"/>
  <c r="FB230" i="22"/>
  <c r="FA230" i="22"/>
  <c r="EZ230" i="22"/>
  <c r="EY230" i="22"/>
  <c r="DM230" i="22"/>
  <c r="DK230" i="22"/>
  <c r="DI230" i="22"/>
  <c r="FB226" i="22"/>
  <c r="FA226" i="22"/>
  <c r="EZ226" i="22"/>
  <c r="EY226" i="22"/>
  <c r="DM226" i="22"/>
  <c r="DK226" i="22"/>
  <c r="DI226" i="22"/>
  <c r="FB222" i="22"/>
  <c r="FA222" i="22"/>
  <c r="EZ222" i="22"/>
  <c r="EY222" i="22"/>
  <c r="DM222" i="22"/>
  <c r="DK222" i="22"/>
  <c r="DI222" i="22"/>
  <c r="FB218" i="22"/>
  <c r="FA218" i="22"/>
  <c r="EZ218" i="22"/>
  <c r="EY218" i="22"/>
  <c r="DM218" i="22"/>
  <c r="DK218" i="22"/>
  <c r="DI218" i="22"/>
  <c r="FB214" i="22"/>
  <c r="FA214" i="22"/>
  <c r="EZ214" i="22"/>
  <c r="EY214" i="22"/>
  <c r="DM214" i="22"/>
  <c r="DK214" i="22"/>
  <c r="DI214" i="22"/>
  <c r="FB210" i="22"/>
  <c r="FA210" i="22"/>
  <c r="EZ210" i="22"/>
  <c r="EY210" i="22"/>
  <c r="DM210" i="22"/>
  <c r="DK210" i="22"/>
  <c r="DI210" i="22"/>
  <c r="FB198" i="22"/>
  <c r="FA198" i="22"/>
  <c r="EZ198" i="22"/>
  <c r="EY198" i="22"/>
  <c r="DM198" i="22"/>
  <c r="DK198" i="22"/>
  <c r="DI198" i="22"/>
  <c r="FB195" i="22"/>
  <c r="FA195" i="22"/>
  <c r="EZ195" i="22"/>
  <c r="EY195" i="22"/>
  <c r="DM195" i="22"/>
  <c r="DK195" i="22"/>
  <c r="DI195" i="22"/>
  <c r="FB191" i="22"/>
  <c r="FA191" i="22"/>
  <c r="EZ191" i="22"/>
  <c r="EY191" i="22"/>
  <c r="DM191" i="22"/>
  <c r="DK191" i="22"/>
  <c r="DI191" i="22"/>
  <c r="FB188" i="22"/>
  <c r="FA188" i="22"/>
  <c r="EZ188" i="22"/>
  <c r="EY188" i="22"/>
  <c r="DM188" i="22"/>
  <c r="DK188" i="22"/>
  <c r="DI188" i="22"/>
  <c r="FB184" i="22"/>
  <c r="FA184" i="22"/>
  <c r="EZ184" i="22"/>
  <c r="EY184" i="22"/>
  <c r="DM184" i="22"/>
  <c r="DK184" i="22"/>
  <c r="DI184" i="22"/>
  <c r="FB181" i="22"/>
  <c r="FA181" i="22"/>
  <c r="EZ181" i="22"/>
  <c r="EY181" i="22"/>
  <c r="DM181" i="22"/>
  <c r="DK181" i="22"/>
  <c r="DI181" i="22"/>
  <c r="FB177" i="22"/>
  <c r="FA177" i="22"/>
  <c r="EZ177" i="22"/>
  <c r="EY177" i="22"/>
  <c r="DM177" i="22"/>
  <c r="DK177" i="22"/>
  <c r="DI177" i="22"/>
  <c r="FB174" i="22"/>
  <c r="FA174" i="22"/>
  <c r="EZ174" i="22"/>
  <c r="EY174" i="22"/>
  <c r="DM174" i="22"/>
  <c r="DK174" i="22"/>
  <c r="DI174" i="22"/>
  <c r="FB167" i="22"/>
  <c r="FA167" i="22"/>
  <c r="EZ167" i="22"/>
  <c r="EY167" i="22"/>
  <c r="DM167" i="22"/>
  <c r="DK167" i="22"/>
  <c r="DI167" i="22"/>
  <c r="FB165" i="22"/>
  <c r="FA165" i="22"/>
  <c r="EZ165" i="22"/>
  <c r="EY165" i="22"/>
  <c r="DM165" i="22"/>
  <c r="DK165" i="22"/>
  <c r="DI165" i="22"/>
  <c r="FB161" i="22"/>
  <c r="FA161" i="22"/>
  <c r="EZ161" i="22"/>
  <c r="EY161" i="22"/>
  <c r="DM161" i="22"/>
  <c r="DK161" i="22"/>
  <c r="DI161" i="22"/>
  <c r="FB159" i="22"/>
  <c r="FA159" i="22"/>
  <c r="EZ159" i="22"/>
  <c r="EY159" i="22"/>
  <c r="DM159" i="22"/>
  <c r="DK159" i="22"/>
  <c r="DI159" i="22"/>
  <c r="FB155" i="22"/>
  <c r="FA155" i="22"/>
  <c r="EZ155" i="22"/>
  <c r="EY155" i="22"/>
  <c r="DM155" i="22"/>
  <c r="DK155" i="22"/>
  <c r="DI155" i="22"/>
  <c r="FB152" i="22"/>
  <c r="FA152" i="22"/>
  <c r="EZ152" i="22"/>
  <c r="EY152" i="22"/>
  <c r="DM152" i="22"/>
  <c r="DK152" i="22"/>
  <c r="DI152" i="22"/>
  <c r="FB148" i="22"/>
  <c r="FA148" i="22"/>
  <c r="EZ148" i="22"/>
  <c r="EY148" i="22"/>
  <c r="DM148" i="22"/>
  <c r="DK148" i="22"/>
  <c r="DI148" i="22"/>
  <c r="FB144" i="22"/>
  <c r="FA144" i="22"/>
  <c r="EZ144" i="22"/>
  <c r="EY144" i="22"/>
  <c r="DM144" i="22"/>
  <c r="DK144" i="22"/>
  <c r="DI144" i="22"/>
  <c r="FB140" i="22"/>
  <c r="FA140" i="22"/>
  <c r="EZ140" i="22"/>
  <c r="EY140" i="22"/>
  <c r="DM140" i="22"/>
  <c r="DK140" i="22"/>
  <c r="DI140" i="22"/>
  <c r="FB135" i="22"/>
  <c r="FA135" i="22"/>
  <c r="EZ135" i="22"/>
  <c r="EY135" i="22"/>
  <c r="DM135" i="22"/>
  <c r="DK135" i="22"/>
  <c r="DI135" i="22"/>
  <c r="FB130" i="22"/>
  <c r="FA130" i="22"/>
  <c r="EZ130" i="22"/>
  <c r="EY130" i="22"/>
  <c r="DM130" i="22"/>
  <c r="DK130" i="22"/>
  <c r="DI130" i="22"/>
  <c r="FB128" i="22"/>
  <c r="FA128" i="22"/>
  <c r="EZ128" i="22"/>
  <c r="EY128" i="22"/>
  <c r="DM128" i="22"/>
  <c r="DK128" i="22"/>
  <c r="DI128" i="22"/>
  <c r="FB126" i="22"/>
  <c r="FA126" i="22"/>
  <c r="EZ126" i="22"/>
  <c r="EY126" i="22"/>
  <c r="DM126" i="22"/>
  <c r="DK126" i="22"/>
  <c r="DI126" i="22"/>
  <c r="E117" i="22"/>
  <c r="J95" i="22"/>
  <c r="F95" i="22"/>
  <c r="F93" i="22"/>
  <c r="E91" i="22"/>
  <c r="J28" i="22"/>
  <c r="E28" i="22"/>
  <c r="J96" i="22" s="1"/>
  <c r="J27" i="22"/>
  <c r="J22" i="22"/>
  <c r="E22" i="22"/>
  <c r="F96" i="22" s="1"/>
  <c r="J21" i="22"/>
  <c r="J16" i="22"/>
  <c r="J93" i="22" s="1"/>
  <c r="E7" i="22"/>
  <c r="E85" i="22" s="1"/>
  <c r="J41" i="21"/>
  <c r="J40" i="21"/>
  <c r="BF112" i="1"/>
  <c r="J39" i="21"/>
  <c r="BE112" i="1"/>
  <c r="DT383" i="21"/>
  <c r="DS383" i="21"/>
  <c r="DR383" i="21"/>
  <c r="DQ383" i="21"/>
  <c r="CE383" i="21"/>
  <c r="CE382" i="21" s="1"/>
  <c r="CC383" i="21"/>
  <c r="CC382" i="21" s="1"/>
  <c r="CA383" i="21"/>
  <c r="CA382" i="21" s="1"/>
  <c r="DT379" i="21"/>
  <c r="DS379" i="21"/>
  <c r="DR379" i="21"/>
  <c r="DQ379" i="21"/>
  <c r="CE379" i="21"/>
  <c r="CC379" i="21"/>
  <c r="CA379" i="21"/>
  <c r="DT376" i="21"/>
  <c r="DS376" i="21"/>
  <c r="DR376" i="21"/>
  <c r="DQ376" i="21"/>
  <c r="CE376" i="21"/>
  <c r="CC376" i="21"/>
  <c r="CA376" i="21"/>
  <c r="DT374" i="21"/>
  <c r="DS374" i="21"/>
  <c r="DR374" i="21"/>
  <c r="DQ374" i="21"/>
  <c r="CE374" i="21"/>
  <c r="CC374" i="21"/>
  <c r="CA374" i="21"/>
  <c r="DT368" i="21"/>
  <c r="DS368" i="21"/>
  <c r="DR368" i="21"/>
  <c r="DQ368" i="21"/>
  <c r="CE368" i="21"/>
  <c r="CC368" i="21"/>
  <c r="CA368" i="21"/>
  <c r="DT363" i="21"/>
  <c r="DS363" i="21"/>
  <c r="DR363" i="21"/>
  <c r="DQ363" i="21"/>
  <c r="CE363" i="21"/>
  <c r="CC363" i="21"/>
  <c r="CA363" i="21"/>
  <c r="DT358" i="21"/>
  <c r="DS358" i="21"/>
  <c r="DR358" i="21"/>
  <c r="DQ358" i="21"/>
  <c r="CE358" i="21"/>
  <c r="CC358" i="21"/>
  <c r="CA358" i="21"/>
  <c r="DT354" i="21"/>
  <c r="DS354" i="21"/>
  <c r="DR354" i="21"/>
  <c r="DQ354" i="21"/>
  <c r="CE354" i="21"/>
  <c r="CC354" i="21"/>
  <c r="CA354" i="21"/>
  <c r="DT351" i="21"/>
  <c r="DS351" i="21"/>
  <c r="DR351" i="21"/>
  <c r="DQ351" i="21"/>
  <c r="CE351" i="21"/>
  <c r="CC351" i="21"/>
  <c r="CA351" i="21"/>
  <c r="DT349" i="21"/>
  <c r="DS349" i="21"/>
  <c r="DR349" i="21"/>
  <c r="DQ349" i="21"/>
  <c r="CE349" i="21"/>
  <c r="CC349" i="21"/>
  <c r="CA349" i="21"/>
  <c r="DT347" i="21"/>
  <c r="DS347" i="21"/>
  <c r="DR347" i="21"/>
  <c r="DQ347" i="21"/>
  <c r="CE347" i="21"/>
  <c r="CC347" i="21"/>
  <c r="CA347" i="21"/>
  <c r="DT343" i="21"/>
  <c r="DS343" i="21"/>
  <c r="DR343" i="21"/>
  <c r="DQ343" i="21"/>
  <c r="CE343" i="21"/>
  <c r="CC343" i="21"/>
  <c r="CA343" i="21"/>
  <c r="DT341" i="21"/>
  <c r="DS341" i="21"/>
  <c r="DR341" i="21"/>
  <c r="DQ341" i="21"/>
  <c r="CE341" i="21"/>
  <c r="CC341" i="21"/>
  <c r="CA341" i="21"/>
  <c r="DT339" i="21"/>
  <c r="DS339" i="21"/>
  <c r="DR339" i="21"/>
  <c r="DQ339" i="21"/>
  <c r="CE339" i="21"/>
  <c r="CC339" i="21"/>
  <c r="CA339" i="21"/>
  <c r="DT337" i="21"/>
  <c r="DS337" i="21"/>
  <c r="DR337" i="21"/>
  <c r="DQ337" i="21"/>
  <c r="CE337" i="21"/>
  <c r="CC337" i="21"/>
  <c r="CA337" i="21"/>
  <c r="DT335" i="21"/>
  <c r="DS335" i="21"/>
  <c r="DR335" i="21"/>
  <c r="DQ335" i="21"/>
  <c r="CE335" i="21"/>
  <c r="CC335" i="21"/>
  <c r="CA335" i="21"/>
  <c r="DT331" i="21"/>
  <c r="DS331" i="21"/>
  <c r="DR331" i="21"/>
  <c r="DQ331" i="21"/>
  <c r="CE331" i="21"/>
  <c r="CC331" i="21"/>
  <c r="CA331" i="21"/>
  <c r="DT328" i="21"/>
  <c r="DS328" i="21"/>
  <c r="DR328" i="21"/>
  <c r="DQ328" i="21"/>
  <c r="CE328" i="21"/>
  <c r="CC328" i="21"/>
  <c r="CA328" i="21"/>
  <c r="DT326" i="21"/>
  <c r="DS326" i="21"/>
  <c r="DR326" i="21"/>
  <c r="DQ326" i="21"/>
  <c r="CE326" i="21"/>
  <c r="CC326" i="21"/>
  <c r="CA326" i="21"/>
  <c r="DT321" i="21"/>
  <c r="DS321" i="21"/>
  <c r="DR321" i="21"/>
  <c r="DQ321" i="21"/>
  <c r="CE321" i="21"/>
  <c r="CC321" i="21"/>
  <c r="CA321" i="21"/>
  <c r="DT319" i="21"/>
  <c r="DS319" i="21"/>
  <c r="DR319" i="21"/>
  <c r="DQ319" i="21"/>
  <c r="CE319" i="21"/>
  <c r="CC319" i="21"/>
  <c r="CA319" i="21"/>
  <c r="DT317" i="21"/>
  <c r="DS317" i="21"/>
  <c r="DR317" i="21"/>
  <c r="DQ317" i="21"/>
  <c r="CE317" i="21"/>
  <c r="CC317" i="21"/>
  <c r="CA317" i="21"/>
  <c r="DT308" i="21"/>
  <c r="DS308" i="21"/>
  <c r="DR308" i="21"/>
  <c r="DQ308" i="21"/>
  <c r="CE308" i="21"/>
  <c r="CC308" i="21"/>
  <c r="CA308" i="21"/>
  <c r="DT304" i="21"/>
  <c r="DS304" i="21"/>
  <c r="DR304" i="21"/>
  <c r="DQ304" i="21"/>
  <c r="CE304" i="21"/>
  <c r="CC304" i="21"/>
  <c r="CA304" i="21"/>
  <c r="DT298" i="21"/>
  <c r="DS298" i="21"/>
  <c r="DR298" i="21"/>
  <c r="DQ298" i="21"/>
  <c r="CE298" i="21"/>
  <c r="CC298" i="21"/>
  <c r="CA298" i="21"/>
  <c r="DT296" i="21"/>
  <c r="DS296" i="21"/>
  <c r="DR296" i="21"/>
  <c r="DQ296" i="21"/>
  <c r="CE296" i="21"/>
  <c r="CC296" i="21"/>
  <c r="CA296" i="21"/>
  <c r="DT294" i="21"/>
  <c r="DS294" i="21"/>
  <c r="DR294" i="21"/>
  <c r="DQ294" i="21"/>
  <c r="CE294" i="21"/>
  <c r="CC294" i="21"/>
  <c r="CA294" i="21"/>
  <c r="DT292" i="21"/>
  <c r="DS292" i="21"/>
  <c r="DR292" i="21"/>
  <c r="DQ292" i="21"/>
  <c r="CE292" i="21"/>
  <c r="CC292" i="21"/>
  <c r="CA292" i="21"/>
  <c r="DT282" i="21"/>
  <c r="DS282" i="21"/>
  <c r="DR282" i="21"/>
  <c r="DQ282" i="21"/>
  <c r="CE282" i="21"/>
  <c r="CC282" i="21"/>
  <c r="CA282" i="21"/>
  <c r="DT273" i="21"/>
  <c r="DS273" i="21"/>
  <c r="DR273" i="21"/>
  <c r="DQ273" i="21"/>
  <c r="CE273" i="21"/>
  <c r="CC273" i="21"/>
  <c r="CA273" i="21"/>
  <c r="DT268" i="21"/>
  <c r="DS268" i="21"/>
  <c r="DR268" i="21"/>
  <c r="DQ268" i="21"/>
  <c r="CE268" i="21"/>
  <c r="CC268" i="21"/>
  <c r="CA268" i="21"/>
  <c r="DT263" i="21"/>
  <c r="DS263" i="21"/>
  <c r="DR263" i="21"/>
  <c r="DQ263" i="21"/>
  <c r="CE263" i="21"/>
  <c r="CE262" i="21" s="1"/>
  <c r="CC263" i="21"/>
  <c r="CC262" i="21" s="1"/>
  <c r="CA263" i="21"/>
  <c r="CA262" i="21" s="1"/>
  <c r="DT259" i="21"/>
  <c r="DS259" i="21"/>
  <c r="DR259" i="21"/>
  <c r="DQ259" i="21"/>
  <c r="CE259" i="21"/>
  <c r="CC259" i="21"/>
  <c r="CA259" i="21"/>
  <c r="DT253" i="21"/>
  <c r="DS253" i="21"/>
  <c r="DR253" i="21"/>
  <c r="DQ253" i="21"/>
  <c r="CE253" i="21"/>
  <c r="CC253" i="21"/>
  <c r="CA253" i="21"/>
  <c r="DT251" i="21"/>
  <c r="DS251" i="21"/>
  <c r="DR251" i="21"/>
  <c r="DQ251" i="21"/>
  <c r="CE251" i="21"/>
  <c r="CC251" i="21"/>
  <c r="CA251" i="21"/>
  <c r="DT248" i="21"/>
  <c r="DS248" i="21"/>
  <c r="DR248" i="21"/>
  <c r="DQ248" i="21"/>
  <c r="CE248" i="21"/>
  <c r="CC248" i="21"/>
  <c r="CA248" i="21"/>
  <c r="DT243" i="21"/>
  <c r="DS243" i="21"/>
  <c r="DR243" i="21"/>
  <c r="DQ243" i="21"/>
  <c r="CE243" i="21"/>
  <c r="CC243" i="21"/>
  <c r="CA243" i="21"/>
  <c r="DT231" i="21"/>
  <c r="DS231" i="21"/>
  <c r="DR231" i="21"/>
  <c r="DQ231" i="21"/>
  <c r="CE231" i="21"/>
  <c r="CC231" i="21"/>
  <c r="CA231" i="21"/>
  <c r="DT215" i="21"/>
  <c r="DS215" i="21"/>
  <c r="DR215" i="21"/>
  <c r="DQ215" i="21"/>
  <c r="CE215" i="21"/>
  <c r="CC215" i="21"/>
  <c r="CA215" i="21"/>
  <c r="DT206" i="21"/>
  <c r="DS206" i="21"/>
  <c r="DR206" i="21"/>
  <c r="DQ206" i="21"/>
  <c r="CE206" i="21"/>
  <c r="CC206" i="21"/>
  <c r="CA206" i="21"/>
  <c r="DT199" i="21"/>
  <c r="DS199" i="21"/>
  <c r="DR199" i="21"/>
  <c r="DQ199" i="21"/>
  <c r="CE199" i="21"/>
  <c r="CC199" i="21"/>
  <c r="CA199" i="21"/>
  <c r="DT190" i="21"/>
  <c r="DS190" i="21"/>
  <c r="DR190" i="21"/>
  <c r="DQ190" i="21"/>
  <c r="CE190" i="21"/>
  <c r="CC190" i="21"/>
  <c r="CA190" i="21"/>
  <c r="DT186" i="21"/>
  <c r="DS186" i="21"/>
  <c r="DR186" i="21"/>
  <c r="DQ186" i="21"/>
  <c r="CE186" i="21"/>
  <c r="CC186" i="21"/>
  <c r="CA186" i="21"/>
  <c r="DT182" i="21"/>
  <c r="DS182" i="21"/>
  <c r="DR182" i="21"/>
  <c r="DQ182" i="21"/>
  <c r="CE182" i="21"/>
  <c r="CC182" i="21"/>
  <c r="CA182" i="21"/>
  <c r="DT180" i="21"/>
  <c r="DS180" i="21"/>
  <c r="DR180" i="21"/>
  <c r="DQ180" i="21"/>
  <c r="CE180" i="21"/>
  <c r="CC180" i="21"/>
  <c r="CA180" i="21"/>
  <c r="DT172" i="21"/>
  <c r="DS172" i="21"/>
  <c r="DR172" i="21"/>
  <c r="DQ172" i="21"/>
  <c r="CE172" i="21"/>
  <c r="CC172" i="21"/>
  <c r="CA172" i="21"/>
  <c r="DT170" i="21"/>
  <c r="DS170" i="21"/>
  <c r="DR170" i="21"/>
  <c r="DQ170" i="21"/>
  <c r="CE170" i="21"/>
  <c r="CC170" i="21"/>
  <c r="CA170" i="21"/>
  <c r="DT165" i="21"/>
  <c r="DS165" i="21"/>
  <c r="DR165" i="21"/>
  <c r="DQ165" i="21"/>
  <c r="CE165" i="21"/>
  <c r="CC165" i="21"/>
  <c r="CA165" i="21"/>
  <c r="DT160" i="21"/>
  <c r="DS160" i="21"/>
  <c r="DR160" i="21"/>
  <c r="DQ160" i="21"/>
  <c r="CE160" i="21"/>
  <c r="CC160" i="21"/>
  <c r="CA160" i="21"/>
  <c r="DT157" i="21"/>
  <c r="DS157" i="21"/>
  <c r="DR157" i="21"/>
  <c r="DQ157" i="21"/>
  <c r="CE157" i="21"/>
  <c r="CC157" i="21"/>
  <c r="CA157" i="21"/>
  <c r="DT146" i="21"/>
  <c r="DS146" i="21"/>
  <c r="DR146" i="21"/>
  <c r="DQ146" i="21"/>
  <c r="CE146" i="21"/>
  <c r="CC146" i="21"/>
  <c r="CA146" i="21"/>
  <c r="DT140" i="21"/>
  <c r="DS140" i="21"/>
  <c r="DR140" i="21"/>
  <c r="DQ140" i="21"/>
  <c r="CE140" i="21"/>
  <c r="CC140" i="21"/>
  <c r="CA140" i="21"/>
  <c r="DT130" i="21"/>
  <c r="DS130" i="21"/>
  <c r="DR130" i="21"/>
  <c r="DQ130" i="21"/>
  <c r="CE130" i="21"/>
  <c r="CC130" i="21"/>
  <c r="CA130" i="21"/>
  <c r="DT128" i="21"/>
  <c r="DS128" i="21"/>
  <c r="DR128" i="21"/>
  <c r="DQ128" i="21"/>
  <c r="CE128" i="21"/>
  <c r="CC128" i="21"/>
  <c r="CA128" i="21"/>
  <c r="DT126" i="21"/>
  <c r="DS126" i="21"/>
  <c r="DR126" i="21"/>
  <c r="DQ126" i="21"/>
  <c r="CE126" i="21"/>
  <c r="CC126" i="21"/>
  <c r="CA126" i="21"/>
  <c r="E117" i="21"/>
  <c r="J94" i="21"/>
  <c r="F94" i="21"/>
  <c r="F92" i="21"/>
  <c r="E90" i="21"/>
  <c r="J28" i="21"/>
  <c r="E28" i="21"/>
  <c r="J27" i="21"/>
  <c r="J22" i="21"/>
  <c r="E22" i="21"/>
  <c r="F95" i="21" s="1"/>
  <c r="J21" i="21"/>
  <c r="J16" i="21"/>
  <c r="E7" i="21"/>
  <c r="J41" i="20"/>
  <c r="J40" i="20"/>
  <c r="BF111" i="1" s="1"/>
  <c r="J39" i="20"/>
  <c r="BE111" i="1" s="1"/>
  <c r="DD350" i="20"/>
  <c r="DC350" i="20"/>
  <c r="DB350" i="20"/>
  <c r="DA350" i="20"/>
  <c r="BO350" i="20"/>
  <c r="BO349" i="20" s="1"/>
  <c r="BM350" i="20"/>
  <c r="BM349" i="20" s="1"/>
  <c r="BK350" i="20"/>
  <c r="BK349" i="20" s="1"/>
  <c r="DD346" i="20"/>
  <c r="DC346" i="20"/>
  <c r="DB346" i="20"/>
  <c r="DA346" i="20"/>
  <c r="BO346" i="20"/>
  <c r="BM346" i="20"/>
  <c r="BK346" i="20"/>
  <c r="DD343" i="20"/>
  <c r="DC343" i="20"/>
  <c r="DB343" i="20"/>
  <c r="DA343" i="20"/>
  <c r="BO343" i="20"/>
  <c r="BM343" i="20"/>
  <c r="BK343" i="20"/>
  <c r="DD341" i="20"/>
  <c r="DC341" i="20"/>
  <c r="DB341" i="20"/>
  <c r="DA341" i="20"/>
  <c r="BO341" i="20"/>
  <c r="BM341" i="20"/>
  <c r="BK341" i="20"/>
  <c r="DD335" i="20"/>
  <c r="DC335" i="20"/>
  <c r="DB335" i="20"/>
  <c r="DA335" i="20"/>
  <c r="BO335" i="20"/>
  <c r="BM335" i="20"/>
  <c r="BK335" i="20"/>
  <c r="DD330" i="20"/>
  <c r="DC330" i="20"/>
  <c r="DB330" i="20"/>
  <c r="DA330" i="20"/>
  <c r="BO330" i="20"/>
  <c r="BM330" i="20"/>
  <c r="BK330" i="20"/>
  <c r="DD327" i="20"/>
  <c r="DC327" i="20"/>
  <c r="DB327" i="20"/>
  <c r="DA327" i="20"/>
  <c r="BO327" i="20"/>
  <c r="BM327" i="20"/>
  <c r="BK327" i="20"/>
  <c r="DD325" i="20"/>
  <c r="DC325" i="20"/>
  <c r="DB325" i="20"/>
  <c r="DA325" i="20"/>
  <c r="BO325" i="20"/>
  <c r="BM325" i="20"/>
  <c r="BK325" i="20"/>
  <c r="DD323" i="20"/>
  <c r="DC323" i="20"/>
  <c r="DB323" i="20"/>
  <c r="DA323" i="20"/>
  <c r="BO323" i="20"/>
  <c r="BM323" i="20"/>
  <c r="BK323" i="20"/>
  <c r="DD321" i="20"/>
  <c r="DC321" i="20"/>
  <c r="DB321" i="20"/>
  <c r="DA321" i="20"/>
  <c r="BO321" i="20"/>
  <c r="BM321" i="20"/>
  <c r="BK321" i="20"/>
  <c r="DD317" i="20"/>
  <c r="DC317" i="20"/>
  <c r="DB317" i="20"/>
  <c r="DA317" i="20"/>
  <c r="BO317" i="20"/>
  <c r="BM317" i="20"/>
  <c r="BK317" i="20"/>
  <c r="DD314" i="20"/>
  <c r="DC314" i="20"/>
  <c r="DB314" i="20"/>
  <c r="DA314" i="20"/>
  <c r="BO314" i="20"/>
  <c r="BM314" i="20"/>
  <c r="BK314" i="20"/>
  <c r="DD312" i="20"/>
  <c r="DC312" i="20"/>
  <c r="DB312" i="20"/>
  <c r="DA312" i="20"/>
  <c r="BO312" i="20"/>
  <c r="BM312" i="20"/>
  <c r="BK312" i="20"/>
  <c r="DD307" i="20"/>
  <c r="DC307" i="20"/>
  <c r="DB307" i="20"/>
  <c r="DA307" i="20"/>
  <c r="BO307" i="20"/>
  <c r="BM307" i="20"/>
  <c r="BK307" i="20"/>
  <c r="DD305" i="20"/>
  <c r="DC305" i="20"/>
  <c r="DB305" i="20"/>
  <c r="DA305" i="20"/>
  <c r="BO305" i="20"/>
  <c r="BM305" i="20"/>
  <c r="BK305" i="20"/>
  <c r="DD303" i="20"/>
  <c r="DC303" i="20"/>
  <c r="DB303" i="20"/>
  <c r="DA303" i="20"/>
  <c r="BO303" i="20"/>
  <c r="BM303" i="20"/>
  <c r="BK303" i="20"/>
  <c r="DD292" i="20"/>
  <c r="DC292" i="20"/>
  <c r="DB292" i="20"/>
  <c r="DA292" i="20"/>
  <c r="BO292" i="20"/>
  <c r="BM292" i="20"/>
  <c r="BK292" i="20"/>
  <c r="DD288" i="20"/>
  <c r="DC288" i="20"/>
  <c r="DB288" i="20"/>
  <c r="DA288" i="20"/>
  <c r="BO288" i="20"/>
  <c r="BM288" i="20"/>
  <c r="BK288" i="20"/>
  <c r="DD282" i="20"/>
  <c r="DC282" i="20"/>
  <c r="DB282" i="20"/>
  <c r="DA282" i="20"/>
  <c r="BO282" i="20"/>
  <c r="BM282" i="20"/>
  <c r="BK282" i="20"/>
  <c r="DD280" i="20"/>
  <c r="DC280" i="20"/>
  <c r="DB280" i="20"/>
  <c r="DA280" i="20"/>
  <c r="BO280" i="20"/>
  <c r="BM280" i="20"/>
  <c r="BK280" i="20"/>
  <c r="DD278" i="20"/>
  <c r="DC278" i="20"/>
  <c r="DB278" i="20"/>
  <c r="DA278" i="20"/>
  <c r="BO278" i="20"/>
  <c r="BM278" i="20"/>
  <c r="BK278" i="20"/>
  <c r="DD276" i="20"/>
  <c r="DC276" i="20"/>
  <c r="DB276" i="20"/>
  <c r="DA276" i="20"/>
  <c r="BO276" i="20"/>
  <c r="BM276" i="20"/>
  <c r="BK276" i="20"/>
  <c r="DD270" i="20"/>
  <c r="DC270" i="20"/>
  <c r="DB270" i="20"/>
  <c r="DA270" i="20"/>
  <c r="BO270" i="20"/>
  <c r="BM270" i="20"/>
  <c r="BK270" i="20"/>
  <c r="DD265" i="20"/>
  <c r="DC265" i="20"/>
  <c r="DB265" i="20"/>
  <c r="DA265" i="20"/>
  <c r="BO265" i="20"/>
  <c r="BM265" i="20"/>
  <c r="BK265" i="20"/>
  <c r="DD260" i="20"/>
  <c r="DC260" i="20"/>
  <c r="DB260" i="20"/>
  <c r="DA260" i="20"/>
  <c r="BO260" i="20"/>
  <c r="BM260" i="20"/>
  <c r="BK260" i="20"/>
  <c r="DD255" i="20"/>
  <c r="DC255" i="20"/>
  <c r="DB255" i="20"/>
  <c r="DA255" i="20"/>
  <c r="BO255" i="20"/>
  <c r="BO254" i="20" s="1"/>
  <c r="BM255" i="20"/>
  <c r="BM254" i="20" s="1"/>
  <c r="BK255" i="20"/>
  <c r="BK254" i="20" s="1"/>
  <c r="DD251" i="20"/>
  <c r="DC251" i="20"/>
  <c r="DB251" i="20"/>
  <c r="DA251" i="20"/>
  <c r="BO251" i="20"/>
  <c r="BM251" i="20"/>
  <c r="BK251" i="20"/>
  <c r="DD245" i="20"/>
  <c r="DC245" i="20"/>
  <c r="DB245" i="20"/>
  <c r="DA245" i="20"/>
  <c r="BO245" i="20"/>
  <c r="BM245" i="20"/>
  <c r="BK245" i="20"/>
  <c r="DD243" i="20"/>
  <c r="DC243" i="20"/>
  <c r="DB243" i="20"/>
  <c r="DA243" i="20"/>
  <c r="BO243" i="20"/>
  <c r="BM243" i="20"/>
  <c r="BK243" i="20"/>
  <c r="DD240" i="20"/>
  <c r="DC240" i="20"/>
  <c r="DB240" i="20"/>
  <c r="DA240" i="20"/>
  <c r="BO240" i="20"/>
  <c r="BM240" i="20"/>
  <c r="BK240" i="20"/>
  <c r="DD235" i="20"/>
  <c r="DC235" i="20"/>
  <c r="DB235" i="20"/>
  <c r="DA235" i="20"/>
  <c r="BO235" i="20"/>
  <c r="BM235" i="20"/>
  <c r="BK235" i="20"/>
  <c r="DD223" i="20"/>
  <c r="DC223" i="20"/>
  <c r="DB223" i="20"/>
  <c r="DA223" i="20"/>
  <c r="BO223" i="20"/>
  <c r="BM223" i="20"/>
  <c r="BK223" i="20"/>
  <c r="DD209" i="20"/>
  <c r="DC209" i="20"/>
  <c r="DB209" i="20"/>
  <c r="DA209" i="20"/>
  <c r="BO209" i="20"/>
  <c r="BM209" i="20"/>
  <c r="BK209" i="20"/>
  <c r="DD200" i="20"/>
  <c r="DC200" i="20"/>
  <c r="DB200" i="20"/>
  <c r="DA200" i="20"/>
  <c r="BO200" i="20"/>
  <c r="BM200" i="20"/>
  <c r="BK200" i="20"/>
  <c r="DD195" i="20"/>
  <c r="DC195" i="20"/>
  <c r="DB195" i="20"/>
  <c r="DA195" i="20"/>
  <c r="BO195" i="20"/>
  <c r="BM195" i="20"/>
  <c r="BK195" i="20"/>
  <c r="DD185" i="20"/>
  <c r="DC185" i="20"/>
  <c r="DB185" i="20"/>
  <c r="DA185" i="20"/>
  <c r="BO185" i="20"/>
  <c r="BM185" i="20"/>
  <c r="BK185" i="20"/>
  <c r="DD182" i="20"/>
  <c r="DC182" i="20"/>
  <c r="DB182" i="20"/>
  <c r="DA182" i="20"/>
  <c r="BO182" i="20"/>
  <c r="BM182" i="20"/>
  <c r="BK182" i="20"/>
  <c r="DD178" i="20"/>
  <c r="DC178" i="20"/>
  <c r="DB178" i="20"/>
  <c r="DA178" i="20"/>
  <c r="BO178" i="20"/>
  <c r="BM178" i="20"/>
  <c r="BK178" i="20"/>
  <c r="DD176" i="20"/>
  <c r="DC176" i="20"/>
  <c r="DB176" i="20"/>
  <c r="DA176" i="20"/>
  <c r="BO176" i="20"/>
  <c r="BM176" i="20"/>
  <c r="BK176" i="20"/>
  <c r="DD168" i="20"/>
  <c r="DC168" i="20"/>
  <c r="DB168" i="20"/>
  <c r="DA168" i="20"/>
  <c r="BO168" i="20"/>
  <c r="BM168" i="20"/>
  <c r="BK168" i="20"/>
  <c r="DD166" i="20"/>
  <c r="DC166" i="20"/>
  <c r="DB166" i="20"/>
  <c r="DA166" i="20"/>
  <c r="BO166" i="20"/>
  <c r="BM166" i="20"/>
  <c r="BK166" i="20"/>
  <c r="DD161" i="20"/>
  <c r="DC161" i="20"/>
  <c r="DB161" i="20"/>
  <c r="DA161" i="20"/>
  <c r="BO161" i="20"/>
  <c r="BM161" i="20"/>
  <c r="BK161" i="20"/>
  <c r="DD156" i="20"/>
  <c r="DC156" i="20"/>
  <c r="DB156" i="20"/>
  <c r="DA156" i="20"/>
  <c r="BO156" i="20"/>
  <c r="BM156" i="20"/>
  <c r="BK156" i="20"/>
  <c r="DD153" i="20"/>
  <c r="DC153" i="20"/>
  <c r="DB153" i="20"/>
  <c r="DA153" i="20"/>
  <c r="BO153" i="20"/>
  <c r="BM153" i="20"/>
  <c r="BK153" i="20"/>
  <c r="DD143" i="20"/>
  <c r="DC143" i="20"/>
  <c r="DB143" i="20"/>
  <c r="DA143" i="20"/>
  <c r="BO143" i="20"/>
  <c r="BM143" i="20"/>
  <c r="BK143" i="20"/>
  <c r="DD137" i="20"/>
  <c r="DC137" i="20"/>
  <c r="DB137" i="20"/>
  <c r="DA137" i="20"/>
  <c r="BO137" i="20"/>
  <c r="BM137" i="20"/>
  <c r="BK137" i="20"/>
  <c r="DD130" i="20"/>
  <c r="DC130" i="20"/>
  <c r="DB130" i="20"/>
  <c r="DA130" i="20"/>
  <c r="BO130" i="20"/>
  <c r="BM130" i="20"/>
  <c r="BK130" i="20"/>
  <c r="DD128" i="20"/>
  <c r="DC128" i="20"/>
  <c r="DB128" i="20"/>
  <c r="DA128" i="20"/>
  <c r="BO128" i="20"/>
  <c r="BM128" i="20"/>
  <c r="BK128" i="20"/>
  <c r="DD126" i="20"/>
  <c r="DC126" i="20"/>
  <c r="DB126" i="20"/>
  <c r="DA126" i="20"/>
  <c r="BO126" i="20"/>
  <c r="BM126" i="20"/>
  <c r="BK126" i="20"/>
  <c r="E117" i="20"/>
  <c r="J94" i="20"/>
  <c r="F94" i="20"/>
  <c r="F92" i="20"/>
  <c r="E90" i="20"/>
  <c r="J28" i="20"/>
  <c r="E28" i="20"/>
  <c r="J27" i="20"/>
  <c r="J22" i="20"/>
  <c r="E22" i="20"/>
  <c r="J21" i="20"/>
  <c r="J16" i="20"/>
  <c r="E7" i="20"/>
  <c r="J41" i="19"/>
  <c r="J40" i="19"/>
  <c r="BF110" i="1" s="1"/>
  <c r="J39" i="19"/>
  <c r="BE110" i="1"/>
  <c r="DD391" i="19"/>
  <c r="DC391" i="19"/>
  <c r="DB391" i="19"/>
  <c r="DA391" i="19"/>
  <c r="BO391" i="19"/>
  <c r="BO390" i="19" s="1"/>
  <c r="BM391" i="19"/>
  <c r="BM390" i="19" s="1"/>
  <c r="BK391" i="19"/>
  <c r="BK390" i="19" s="1"/>
  <c r="DD387" i="19"/>
  <c r="DC387" i="19"/>
  <c r="DB387" i="19"/>
  <c r="DA387" i="19"/>
  <c r="BO387" i="19"/>
  <c r="BM387" i="19"/>
  <c r="BK387" i="19"/>
  <c r="DD384" i="19"/>
  <c r="DC384" i="19"/>
  <c r="DB384" i="19"/>
  <c r="DA384" i="19"/>
  <c r="BO384" i="19"/>
  <c r="BM384" i="19"/>
  <c r="BK384" i="19"/>
  <c r="DD382" i="19"/>
  <c r="DC382" i="19"/>
  <c r="DB382" i="19"/>
  <c r="DA382" i="19"/>
  <c r="BO382" i="19"/>
  <c r="BM382" i="19"/>
  <c r="BK382" i="19"/>
  <c r="DD376" i="19"/>
  <c r="DC376" i="19"/>
  <c r="DB376" i="19"/>
  <c r="DA376" i="19"/>
  <c r="BO376" i="19"/>
  <c r="BM376" i="19"/>
  <c r="BK376" i="19"/>
  <c r="DD371" i="19"/>
  <c r="DC371" i="19"/>
  <c r="DB371" i="19"/>
  <c r="DA371" i="19"/>
  <c r="BO371" i="19"/>
  <c r="BM371" i="19"/>
  <c r="BK371" i="19"/>
  <c r="DD366" i="19"/>
  <c r="DC366" i="19"/>
  <c r="DB366" i="19"/>
  <c r="DA366" i="19"/>
  <c r="BO366" i="19"/>
  <c r="BM366" i="19"/>
  <c r="BK366" i="19"/>
  <c r="DD362" i="19"/>
  <c r="DC362" i="19"/>
  <c r="DB362" i="19"/>
  <c r="DA362" i="19"/>
  <c r="BO362" i="19"/>
  <c r="BM362" i="19"/>
  <c r="BK362" i="19"/>
  <c r="DD358" i="19"/>
  <c r="DC358" i="19"/>
  <c r="DB358" i="19"/>
  <c r="DA358" i="19"/>
  <c r="BO358" i="19"/>
  <c r="BM358" i="19"/>
  <c r="BK358" i="19"/>
  <c r="DD355" i="19"/>
  <c r="DC355" i="19"/>
  <c r="DB355" i="19"/>
  <c r="DA355" i="19"/>
  <c r="BO355" i="19"/>
  <c r="BM355" i="19"/>
  <c r="BK355" i="19"/>
  <c r="DD353" i="19"/>
  <c r="DC353" i="19"/>
  <c r="DB353" i="19"/>
  <c r="DA353" i="19"/>
  <c r="BO353" i="19"/>
  <c r="BM353" i="19"/>
  <c r="BK353" i="19"/>
  <c r="DD351" i="19"/>
  <c r="DC351" i="19"/>
  <c r="DB351" i="19"/>
  <c r="DA351" i="19"/>
  <c r="BO351" i="19"/>
  <c r="BM351" i="19"/>
  <c r="BK351" i="19"/>
  <c r="DD347" i="19"/>
  <c r="DC347" i="19"/>
  <c r="DB347" i="19"/>
  <c r="DA347" i="19"/>
  <c r="BO347" i="19"/>
  <c r="BM347" i="19"/>
  <c r="BK347" i="19"/>
  <c r="DD345" i="19"/>
  <c r="DC345" i="19"/>
  <c r="DB345" i="19"/>
  <c r="DA345" i="19"/>
  <c r="BO345" i="19"/>
  <c r="BM345" i="19"/>
  <c r="BK345" i="19"/>
  <c r="DD343" i="19"/>
  <c r="DC343" i="19"/>
  <c r="DB343" i="19"/>
  <c r="DA343" i="19"/>
  <c r="BO343" i="19"/>
  <c r="BM343" i="19"/>
  <c r="BK343" i="19"/>
  <c r="DD341" i="19"/>
  <c r="DC341" i="19"/>
  <c r="DB341" i="19"/>
  <c r="DA341" i="19"/>
  <c r="BO341" i="19"/>
  <c r="BM341" i="19"/>
  <c r="BK341" i="19"/>
  <c r="DD339" i="19"/>
  <c r="DC339" i="19"/>
  <c r="DB339" i="19"/>
  <c r="DA339" i="19"/>
  <c r="BO339" i="19"/>
  <c r="BM339" i="19"/>
  <c r="BK339" i="19"/>
  <c r="DD335" i="19"/>
  <c r="DC335" i="19"/>
  <c r="DB335" i="19"/>
  <c r="DA335" i="19"/>
  <c r="BO335" i="19"/>
  <c r="BM335" i="19"/>
  <c r="BK335" i="19"/>
  <c r="DD332" i="19"/>
  <c r="DC332" i="19"/>
  <c r="DB332" i="19"/>
  <c r="DA332" i="19"/>
  <c r="BO332" i="19"/>
  <c r="BM332" i="19"/>
  <c r="BK332" i="19"/>
  <c r="DD330" i="19"/>
  <c r="DC330" i="19"/>
  <c r="DB330" i="19"/>
  <c r="DA330" i="19"/>
  <c r="BO330" i="19"/>
  <c r="BM330" i="19"/>
  <c r="BK330" i="19"/>
  <c r="DD325" i="19"/>
  <c r="DC325" i="19"/>
  <c r="DB325" i="19"/>
  <c r="DA325" i="19"/>
  <c r="BO325" i="19"/>
  <c r="BM325" i="19"/>
  <c r="BK325" i="19"/>
  <c r="DD323" i="19"/>
  <c r="DC323" i="19"/>
  <c r="DB323" i="19"/>
  <c r="DA323" i="19"/>
  <c r="BO323" i="19"/>
  <c r="BM323" i="19"/>
  <c r="BK323" i="19"/>
  <c r="DD321" i="19"/>
  <c r="DC321" i="19"/>
  <c r="DB321" i="19"/>
  <c r="DA321" i="19"/>
  <c r="BO321" i="19"/>
  <c r="BM321" i="19"/>
  <c r="BK321" i="19"/>
  <c r="DD309" i="19"/>
  <c r="DC309" i="19"/>
  <c r="DB309" i="19"/>
  <c r="DA309" i="19"/>
  <c r="BO309" i="19"/>
  <c r="BM309" i="19"/>
  <c r="BK309" i="19"/>
  <c r="DD305" i="19"/>
  <c r="DC305" i="19"/>
  <c r="DB305" i="19"/>
  <c r="DA305" i="19"/>
  <c r="BO305" i="19"/>
  <c r="BM305" i="19"/>
  <c r="BK305" i="19"/>
  <c r="DD299" i="19"/>
  <c r="DC299" i="19"/>
  <c r="DB299" i="19"/>
  <c r="DA299" i="19"/>
  <c r="BO299" i="19"/>
  <c r="BM299" i="19"/>
  <c r="BK299" i="19"/>
  <c r="DD297" i="19"/>
  <c r="DC297" i="19"/>
  <c r="DB297" i="19"/>
  <c r="DA297" i="19"/>
  <c r="BO297" i="19"/>
  <c r="BM297" i="19"/>
  <c r="BK297" i="19"/>
  <c r="DD295" i="19"/>
  <c r="DC295" i="19"/>
  <c r="DB295" i="19"/>
  <c r="DA295" i="19"/>
  <c r="BO295" i="19"/>
  <c r="BM295" i="19"/>
  <c r="BK295" i="19"/>
  <c r="DD293" i="19"/>
  <c r="DC293" i="19"/>
  <c r="DB293" i="19"/>
  <c r="DA293" i="19"/>
  <c r="BO293" i="19"/>
  <c r="BM293" i="19"/>
  <c r="BK293" i="19"/>
  <c r="DD283" i="19"/>
  <c r="DC283" i="19"/>
  <c r="DB283" i="19"/>
  <c r="DA283" i="19"/>
  <c r="BO283" i="19"/>
  <c r="BM283" i="19"/>
  <c r="BK283" i="19"/>
  <c r="DD274" i="19"/>
  <c r="DC274" i="19"/>
  <c r="DB274" i="19"/>
  <c r="DA274" i="19"/>
  <c r="BO274" i="19"/>
  <c r="BM274" i="19"/>
  <c r="BK274" i="19"/>
  <c r="DD269" i="19"/>
  <c r="DC269" i="19"/>
  <c r="DB269" i="19"/>
  <c r="DA269" i="19"/>
  <c r="BO269" i="19"/>
  <c r="BM269" i="19"/>
  <c r="BK269" i="19"/>
  <c r="DD264" i="19"/>
  <c r="DC264" i="19"/>
  <c r="DB264" i="19"/>
  <c r="DA264" i="19"/>
  <c r="BO264" i="19"/>
  <c r="BO263" i="19" s="1"/>
  <c r="BM264" i="19"/>
  <c r="BM263" i="19" s="1"/>
  <c r="BK264" i="19"/>
  <c r="BK263" i="19" s="1"/>
  <c r="DD260" i="19"/>
  <c r="DC260" i="19"/>
  <c r="DB260" i="19"/>
  <c r="DA260" i="19"/>
  <c r="BO260" i="19"/>
  <c r="BM260" i="19"/>
  <c r="BK260" i="19"/>
  <c r="DD254" i="19"/>
  <c r="DC254" i="19"/>
  <c r="DB254" i="19"/>
  <c r="DA254" i="19"/>
  <c r="BO254" i="19"/>
  <c r="BM254" i="19"/>
  <c r="BK254" i="19"/>
  <c r="DD252" i="19"/>
  <c r="DC252" i="19"/>
  <c r="DB252" i="19"/>
  <c r="DA252" i="19"/>
  <c r="BO252" i="19"/>
  <c r="BM252" i="19"/>
  <c r="BK252" i="19"/>
  <c r="DD249" i="19"/>
  <c r="DC249" i="19"/>
  <c r="DB249" i="19"/>
  <c r="DA249" i="19"/>
  <c r="BO249" i="19"/>
  <c r="BM249" i="19"/>
  <c r="BK249" i="19"/>
  <c r="DD244" i="19"/>
  <c r="DC244" i="19"/>
  <c r="DB244" i="19"/>
  <c r="DA244" i="19"/>
  <c r="BO244" i="19"/>
  <c r="BM244" i="19"/>
  <c r="BK244" i="19"/>
  <c r="DD232" i="19"/>
  <c r="DC232" i="19"/>
  <c r="DB232" i="19"/>
  <c r="DA232" i="19"/>
  <c r="BO232" i="19"/>
  <c r="BM232" i="19"/>
  <c r="BK232" i="19"/>
  <c r="DD216" i="19"/>
  <c r="DC216" i="19"/>
  <c r="DB216" i="19"/>
  <c r="DA216" i="19"/>
  <c r="BO216" i="19"/>
  <c r="BM216" i="19"/>
  <c r="BK216" i="19"/>
  <c r="DD207" i="19"/>
  <c r="DC207" i="19"/>
  <c r="DB207" i="19"/>
  <c r="DA207" i="19"/>
  <c r="BO207" i="19"/>
  <c r="BM207" i="19"/>
  <c r="BK207" i="19"/>
  <c r="DD200" i="19"/>
  <c r="DC200" i="19"/>
  <c r="DB200" i="19"/>
  <c r="DA200" i="19"/>
  <c r="BO200" i="19"/>
  <c r="BM200" i="19"/>
  <c r="BK200" i="19"/>
  <c r="DD190" i="19"/>
  <c r="DC190" i="19"/>
  <c r="DB190" i="19"/>
  <c r="DA190" i="19"/>
  <c r="BO190" i="19"/>
  <c r="BM190" i="19"/>
  <c r="BK190" i="19"/>
  <c r="DD187" i="19"/>
  <c r="DC187" i="19"/>
  <c r="DB187" i="19"/>
  <c r="DA187" i="19"/>
  <c r="BO187" i="19"/>
  <c r="BM187" i="19"/>
  <c r="BK187" i="19"/>
  <c r="DD183" i="19"/>
  <c r="DC183" i="19"/>
  <c r="DB183" i="19"/>
  <c r="DA183" i="19"/>
  <c r="BO183" i="19"/>
  <c r="BM183" i="19"/>
  <c r="BK183" i="19"/>
  <c r="DD181" i="19"/>
  <c r="DC181" i="19"/>
  <c r="DB181" i="19"/>
  <c r="DA181" i="19"/>
  <c r="BO181" i="19"/>
  <c r="BM181" i="19"/>
  <c r="BK181" i="19"/>
  <c r="DD173" i="19"/>
  <c r="DC173" i="19"/>
  <c r="DB173" i="19"/>
  <c r="DA173" i="19"/>
  <c r="BO173" i="19"/>
  <c r="BM173" i="19"/>
  <c r="BK173" i="19"/>
  <c r="DD171" i="19"/>
  <c r="DC171" i="19"/>
  <c r="DB171" i="19"/>
  <c r="DA171" i="19"/>
  <c r="BO171" i="19"/>
  <c r="BM171" i="19"/>
  <c r="BK171" i="19"/>
  <c r="DD166" i="19"/>
  <c r="DC166" i="19"/>
  <c r="DB166" i="19"/>
  <c r="DA166" i="19"/>
  <c r="BO166" i="19"/>
  <c r="BM166" i="19"/>
  <c r="BK166" i="19"/>
  <c r="DD161" i="19"/>
  <c r="DC161" i="19"/>
  <c r="DB161" i="19"/>
  <c r="DA161" i="19"/>
  <c r="BO161" i="19"/>
  <c r="BM161" i="19"/>
  <c r="BK161" i="19"/>
  <c r="DD158" i="19"/>
  <c r="DC158" i="19"/>
  <c r="DB158" i="19"/>
  <c r="DA158" i="19"/>
  <c r="BO158" i="19"/>
  <c r="BM158" i="19"/>
  <c r="BK158" i="19"/>
  <c r="DD147" i="19"/>
  <c r="DC147" i="19"/>
  <c r="DB147" i="19"/>
  <c r="DA147" i="19"/>
  <c r="BO147" i="19"/>
  <c r="BM147" i="19"/>
  <c r="BK147" i="19"/>
  <c r="DD141" i="19"/>
  <c r="DC141" i="19"/>
  <c r="DB141" i="19"/>
  <c r="DA141" i="19"/>
  <c r="BO141" i="19"/>
  <c r="BM141" i="19"/>
  <c r="BK141" i="19"/>
  <c r="DD131" i="19"/>
  <c r="DC131" i="19"/>
  <c r="DB131" i="19"/>
  <c r="DA131" i="19"/>
  <c r="BO131" i="19"/>
  <c r="BM131" i="19"/>
  <c r="BK131" i="19"/>
  <c r="DD129" i="19"/>
  <c r="DC129" i="19"/>
  <c r="DB129" i="19"/>
  <c r="DA129" i="19"/>
  <c r="BO129" i="19"/>
  <c r="BM129" i="19"/>
  <c r="BK129" i="19"/>
  <c r="DD127" i="19"/>
  <c r="DC127" i="19"/>
  <c r="DB127" i="19"/>
  <c r="DA127" i="19"/>
  <c r="BO127" i="19"/>
  <c r="BM127" i="19"/>
  <c r="BK127" i="19"/>
  <c r="E118" i="19"/>
  <c r="J94" i="19"/>
  <c r="F94" i="19"/>
  <c r="F92" i="19"/>
  <c r="E90" i="19"/>
  <c r="J28" i="19"/>
  <c r="E28" i="19"/>
  <c r="J95" i="19" s="1"/>
  <c r="J27" i="19"/>
  <c r="J22" i="19"/>
  <c r="E22" i="19"/>
  <c r="J21" i="19"/>
  <c r="J16" i="19"/>
  <c r="E7" i="19"/>
  <c r="J41" i="18"/>
  <c r="J40" i="18"/>
  <c r="BF108" i="1" s="1"/>
  <c r="J39" i="18"/>
  <c r="BE108" i="1"/>
  <c r="ED432" i="18"/>
  <c r="EC432" i="18"/>
  <c r="EB432" i="18"/>
  <c r="EA432" i="18"/>
  <c r="CO432" i="18"/>
  <c r="CO431" i="18" s="1"/>
  <c r="CM432" i="18"/>
  <c r="CM431" i="18" s="1"/>
  <c r="CK432" i="18"/>
  <c r="CK431" i="18" s="1"/>
  <c r="ED428" i="18"/>
  <c r="EC428" i="18"/>
  <c r="EB428" i="18"/>
  <c r="EA428" i="18"/>
  <c r="CO428" i="18"/>
  <c r="CM428" i="18"/>
  <c r="CK428" i="18"/>
  <c r="ED425" i="18"/>
  <c r="EC425" i="18"/>
  <c r="EB425" i="18"/>
  <c r="EA425" i="18"/>
  <c r="CO425" i="18"/>
  <c r="CM425" i="18"/>
  <c r="CK425" i="18"/>
  <c r="ED423" i="18"/>
  <c r="EC423" i="18"/>
  <c r="EB423" i="18"/>
  <c r="EA423" i="18"/>
  <c r="CO423" i="18"/>
  <c r="CM423" i="18"/>
  <c r="CK423" i="18"/>
  <c r="ED417" i="18"/>
  <c r="EC417" i="18"/>
  <c r="EB417" i="18"/>
  <c r="EA417" i="18"/>
  <c r="CO417" i="18"/>
  <c r="CM417" i="18"/>
  <c r="CK417" i="18"/>
  <c r="ED412" i="18"/>
  <c r="EC412" i="18"/>
  <c r="EB412" i="18"/>
  <c r="EA412" i="18"/>
  <c r="CO412" i="18"/>
  <c r="CM412" i="18"/>
  <c r="CK412" i="18"/>
  <c r="ED406" i="18"/>
  <c r="EC406" i="18"/>
  <c r="EB406" i="18"/>
  <c r="EA406" i="18"/>
  <c r="CO406" i="18"/>
  <c r="CM406" i="18"/>
  <c r="CK406" i="18"/>
  <c r="ED401" i="18"/>
  <c r="EC401" i="18"/>
  <c r="EB401" i="18"/>
  <c r="EA401" i="18"/>
  <c r="CO401" i="18"/>
  <c r="CM401" i="18"/>
  <c r="CK401" i="18"/>
  <c r="ED398" i="18"/>
  <c r="EC398" i="18"/>
  <c r="EB398" i="18"/>
  <c r="EA398" i="18"/>
  <c r="CO398" i="18"/>
  <c r="CM398" i="18"/>
  <c r="CK398" i="18"/>
  <c r="ED396" i="18"/>
  <c r="EC396" i="18"/>
  <c r="EB396" i="18"/>
  <c r="EA396" i="18"/>
  <c r="CO396" i="18"/>
  <c r="CM396" i="18"/>
  <c r="CK396" i="18"/>
  <c r="ED392" i="18"/>
  <c r="EC392" i="18"/>
  <c r="EB392" i="18"/>
  <c r="EA392" i="18"/>
  <c r="CO392" i="18"/>
  <c r="CM392" i="18"/>
  <c r="CK392" i="18"/>
  <c r="ED388" i="18"/>
  <c r="EC388" i="18"/>
  <c r="EB388" i="18"/>
  <c r="EA388" i="18"/>
  <c r="CO388" i="18"/>
  <c r="CM388" i="18"/>
  <c r="CK388" i="18"/>
  <c r="ED384" i="18"/>
  <c r="EC384" i="18"/>
  <c r="EB384" i="18"/>
  <c r="EA384" i="18"/>
  <c r="CO384" i="18"/>
  <c r="CM384" i="18"/>
  <c r="CK384" i="18"/>
  <c r="ED382" i="18"/>
  <c r="EC382" i="18"/>
  <c r="EB382" i="18"/>
  <c r="EA382" i="18"/>
  <c r="CO382" i="18"/>
  <c r="CM382" i="18"/>
  <c r="CK382" i="18"/>
  <c r="ED380" i="18"/>
  <c r="EC380" i="18"/>
  <c r="EB380" i="18"/>
  <c r="EA380" i="18"/>
  <c r="CO380" i="18"/>
  <c r="CM380" i="18"/>
  <c r="CK380" i="18"/>
  <c r="ED378" i="18"/>
  <c r="EC378" i="18"/>
  <c r="EB378" i="18"/>
  <c r="EA378" i="18"/>
  <c r="CO378" i="18"/>
  <c r="CM378" i="18"/>
  <c r="CK378" i="18"/>
  <c r="ED376" i="18"/>
  <c r="EC376" i="18"/>
  <c r="EB376" i="18"/>
  <c r="EA376" i="18"/>
  <c r="CO376" i="18"/>
  <c r="CM376" i="18"/>
  <c r="CK376" i="18"/>
  <c r="ED373" i="18"/>
  <c r="EC373" i="18"/>
  <c r="EB373" i="18"/>
  <c r="EA373" i="18"/>
  <c r="CO373" i="18"/>
  <c r="CM373" i="18"/>
  <c r="CK373" i="18"/>
  <c r="ED369" i="18"/>
  <c r="EC369" i="18"/>
  <c r="EB369" i="18"/>
  <c r="EA369" i="18"/>
  <c r="CO369" i="18"/>
  <c r="CM369" i="18"/>
  <c r="CK369" i="18"/>
  <c r="ED367" i="18"/>
  <c r="EC367" i="18"/>
  <c r="EB367" i="18"/>
  <c r="EA367" i="18"/>
  <c r="CO367" i="18"/>
  <c r="CM367" i="18"/>
  <c r="CK367" i="18"/>
  <c r="ED363" i="18"/>
  <c r="EC363" i="18"/>
  <c r="EB363" i="18"/>
  <c r="EA363" i="18"/>
  <c r="CO363" i="18"/>
  <c r="CM363" i="18"/>
  <c r="CK363" i="18"/>
  <c r="ED361" i="18"/>
  <c r="EC361" i="18"/>
  <c r="EB361" i="18"/>
  <c r="EA361" i="18"/>
  <c r="CO361" i="18"/>
  <c r="CM361" i="18"/>
  <c r="CK361" i="18"/>
  <c r="ED359" i="18"/>
  <c r="EC359" i="18"/>
  <c r="EB359" i="18"/>
  <c r="EA359" i="18"/>
  <c r="CO359" i="18"/>
  <c r="CM359" i="18"/>
  <c r="CK359" i="18"/>
  <c r="ED357" i="18"/>
  <c r="EC357" i="18"/>
  <c r="EB357" i="18"/>
  <c r="EA357" i="18"/>
  <c r="CO357" i="18"/>
  <c r="CM357" i="18"/>
  <c r="CK357" i="18"/>
  <c r="ED353" i="18"/>
  <c r="EC353" i="18"/>
  <c r="EB353" i="18"/>
  <c r="EA353" i="18"/>
  <c r="CO353" i="18"/>
  <c r="CM353" i="18"/>
  <c r="CK353" i="18"/>
  <c r="ED351" i="18"/>
  <c r="EC351" i="18"/>
  <c r="EB351" i="18"/>
  <c r="EA351" i="18"/>
  <c r="CO351" i="18"/>
  <c r="CM351" i="18"/>
  <c r="CK351" i="18"/>
  <c r="ED347" i="18"/>
  <c r="EC347" i="18"/>
  <c r="EB347" i="18"/>
  <c r="EA347" i="18"/>
  <c r="CO347" i="18"/>
  <c r="CM347" i="18"/>
  <c r="CK347" i="18"/>
  <c r="ED345" i="18"/>
  <c r="EC345" i="18"/>
  <c r="EB345" i="18"/>
  <c r="EA345" i="18"/>
  <c r="CO345" i="18"/>
  <c r="CM345" i="18"/>
  <c r="CK345" i="18"/>
  <c r="ED343" i="18"/>
  <c r="EC343" i="18"/>
  <c r="EB343" i="18"/>
  <c r="EA343" i="18"/>
  <c r="CO343" i="18"/>
  <c r="CM343" i="18"/>
  <c r="CK343" i="18"/>
  <c r="ED339" i="18"/>
  <c r="EC339" i="18"/>
  <c r="EB339" i="18"/>
  <c r="EA339" i="18"/>
  <c r="CO339" i="18"/>
  <c r="CM339" i="18"/>
  <c r="CK339" i="18"/>
  <c r="ED336" i="18"/>
  <c r="EC336" i="18"/>
  <c r="EB336" i="18"/>
  <c r="EA336" i="18"/>
  <c r="CO336" i="18"/>
  <c r="CM336" i="18"/>
  <c r="CK336" i="18"/>
  <c r="ED331" i="18"/>
  <c r="EC331" i="18"/>
  <c r="EB331" i="18"/>
  <c r="EA331" i="18"/>
  <c r="CO331" i="18"/>
  <c r="CM331" i="18"/>
  <c r="CK331" i="18"/>
  <c r="ED328" i="18"/>
  <c r="EC328" i="18"/>
  <c r="EB328" i="18"/>
  <c r="EA328" i="18"/>
  <c r="CO328" i="18"/>
  <c r="CM328" i="18"/>
  <c r="CK328" i="18"/>
  <c r="ED325" i="18"/>
  <c r="EC325" i="18"/>
  <c r="EB325" i="18"/>
  <c r="EA325" i="18"/>
  <c r="CO325" i="18"/>
  <c r="CM325" i="18"/>
  <c r="CK325" i="18"/>
  <c r="ED322" i="18"/>
  <c r="EC322" i="18"/>
  <c r="EB322" i="18"/>
  <c r="EA322" i="18"/>
  <c r="CO322" i="18"/>
  <c r="CM322" i="18"/>
  <c r="CK322" i="18"/>
  <c r="ED320" i="18"/>
  <c r="EC320" i="18"/>
  <c r="EB320" i="18"/>
  <c r="EA320" i="18"/>
  <c r="CO320" i="18"/>
  <c r="CM320" i="18"/>
  <c r="CK320" i="18"/>
  <c r="ED316" i="18"/>
  <c r="EC316" i="18"/>
  <c r="EB316" i="18"/>
  <c r="EA316" i="18"/>
  <c r="CO316" i="18"/>
  <c r="CM316" i="18"/>
  <c r="CK316" i="18"/>
  <c r="ED312" i="18"/>
  <c r="EC312" i="18"/>
  <c r="EB312" i="18"/>
  <c r="EA312" i="18"/>
  <c r="CO312" i="18"/>
  <c r="CM312" i="18"/>
  <c r="CK312" i="18"/>
  <c r="ED308" i="18"/>
  <c r="EC308" i="18"/>
  <c r="EB308" i="18"/>
  <c r="EA308" i="18"/>
  <c r="CO308" i="18"/>
  <c r="CM308" i="18"/>
  <c r="CK308" i="18"/>
  <c r="ED302" i="18"/>
  <c r="EC302" i="18"/>
  <c r="EB302" i="18"/>
  <c r="EA302" i="18"/>
  <c r="CO302" i="18"/>
  <c r="CM302" i="18"/>
  <c r="CK302" i="18"/>
  <c r="ED300" i="18"/>
  <c r="EC300" i="18"/>
  <c r="EB300" i="18"/>
  <c r="EA300" i="18"/>
  <c r="CO300" i="18"/>
  <c r="CM300" i="18"/>
  <c r="CK300" i="18"/>
  <c r="ED295" i="18"/>
  <c r="EC295" i="18"/>
  <c r="EB295" i="18"/>
  <c r="EA295" i="18"/>
  <c r="CO295" i="18"/>
  <c r="CM295" i="18"/>
  <c r="CK295" i="18"/>
  <c r="ED293" i="18"/>
  <c r="EC293" i="18"/>
  <c r="EB293" i="18"/>
  <c r="EA293" i="18"/>
  <c r="CO293" i="18"/>
  <c r="CM293" i="18"/>
  <c r="CK293" i="18"/>
  <c r="ED291" i="18"/>
  <c r="EC291" i="18"/>
  <c r="EB291" i="18"/>
  <c r="EA291" i="18"/>
  <c r="CO291" i="18"/>
  <c r="CM291" i="18"/>
  <c r="CK291" i="18"/>
  <c r="ED289" i="18"/>
  <c r="EC289" i="18"/>
  <c r="EB289" i="18"/>
  <c r="EA289" i="18"/>
  <c r="CO289" i="18"/>
  <c r="CM289" i="18"/>
  <c r="CK289" i="18"/>
  <c r="ED280" i="18"/>
  <c r="EC280" i="18"/>
  <c r="EB280" i="18"/>
  <c r="EA280" i="18"/>
  <c r="CO280" i="18"/>
  <c r="CM280" i="18"/>
  <c r="CK280" i="18"/>
  <c r="ED278" i="18"/>
  <c r="EC278" i="18"/>
  <c r="EB278" i="18"/>
  <c r="EA278" i="18"/>
  <c r="CO278" i="18"/>
  <c r="CM278" i="18"/>
  <c r="CK278" i="18"/>
  <c r="ED274" i="18"/>
  <c r="EC274" i="18"/>
  <c r="EB274" i="18"/>
  <c r="EA274" i="18"/>
  <c r="CO274" i="18"/>
  <c r="CM274" i="18"/>
  <c r="CK274" i="18"/>
  <c r="ED272" i="18"/>
  <c r="EC272" i="18"/>
  <c r="EB272" i="18"/>
  <c r="EA272" i="18"/>
  <c r="CO272" i="18"/>
  <c r="CM272" i="18"/>
  <c r="CK272" i="18"/>
  <c r="ED268" i="18"/>
  <c r="EC268" i="18"/>
  <c r="EB268" i="18"/>
  <c r="EA268" i="18"/>
  <c r="CO268" i="18"/>
  <c r="CM268" i="18"/>
  <c r="CK268" i="18"/>
  <c r="ED260" i="18"/>
  <c r="EC260" i="18"/>
  <c r="EB260" i="18"/>
  <c r="EA260" i="18"/>
  <c r="CO260" i="18"/>
  <c r="CM260" i="18"/>
  <c r="CK260" i="18"/>
  <c r="ED253" i="18"/>
  <c r="EC253" i="18"/>
  <c r="EB253" i="18"/>
  <c r="EA253" i="18"/>
  <c r="CO253" i="18"/>
  <c r="CM253" i="18"/>
  <c r="CK253" i="18"/>
  <c r="ED248" i="18"/>
  <c r="EC248" i="18"/>
  <c r="EB248" i="18"/>
  <c r="EA248" i="18"/>
  <c r="CO248" i="18"/>
  <c r="CO247" i="18" s="1"/>
  <c r="CM248" i="18"/>
  <c r="CM247" i="18" s="1"/>
  <c r="CK248" i="18"/>
  <c r="CK247" i="18" s="1"/>
  <c r="ED244" i="18"/>
  <c r="EC244" i="18"/>
  <c r="EB244" i="18"/>
  <c r="EA244" i="18"/>
  <c r="CO244" i="18"/>
  <c r="CM244" i="18"/>
  <c r="CK244" i="18"/>
  <c r="ED241" i="18"/>
  <c r="EC241" i="18"/>
  <c r="EB241" i="18"/>
  <c r="EA241" i="18"/>
  <c r="CO241" i="18"/>
  <c r="CM241" i="18"/>
  <c r="CK241" i="18"/>
  <c r="ED234" i="18"/>
  <c r="EC234" i="18"/>
  <c r="EB234" i="18"/>
  <c r="EA234" i="18"/>
  <c r="CO234" i="18"/>
  <c r="CM234" i="18"/>
  <c r="CK234" i="18"/>
  <c r="ED230" i="18"/>
  <c r="EC230" i="18"/>
  <c r="EB230" i="18"/>
  <c r="EA230" i="18"/>
  <c r="CO230" i="18"/>
  <c r="CM230" i="18"/>
  <c r="CK230" i="18"/>
  <c r="ED214" i="18"/>
  <c r="EC214" i="18"/>
  <c r="EB214" i="18"/>
  <c r="EA214" i="18"/>
  <c r="CO214" i="18"/>
  <c r="CM214" i="18"/>
  <c r="CK214" i="18"/>
  <c r="ED210" i="18"/>
  <c r="EC210" i="18"/>
  <c r="EB210" i="18"/>
  <c r="EA210" i="18"/>
  <c r="CO210" i="18"/>
  <c r="CM210" i="18"/>
  <c r="CK210" i="18"/>
  <c r="ED201" i="18"/>
  <c r="EC201" i="18"/>
  <c r="EB201" i="18"/>
  <c r="EA201" i="18"/>
  <c r="CO201" i="18"/>
  <c r="CM201" i="18"/>
  <c r="CK201" i="18"/>
  <c r="ED198" i="18"/>
  <c r="EC198" i="18"/>
  <c r="EB198" i="18"/>
  <c r="EA198" i="18"/>
  <c r="CO198" i="18"/>
  <c r="CM198" i="18"/>
  <c r="CK198" i="18"/>
  <c r="ED193" i="18"/>
  <c r="EC193" i="18"/>
  <c r="EB193" i="18"/>
  <c r="EA193" i="18"/>
  <c r="CO193" i="18"/>
  <c r="CM193" i="18"/>
  <c r="CK193" i="18"/>
  <c r="ED191" i="18"/>
  <c r="EC191" i="18"/>
  <c r="EB191" i="18"/>
  <c r="EA191" i="18"/>
  <c r="CO191" i="18"/>
  <c r="CM191" i="18"/>
  <c r="CK191" i="18"/>
  <c r="ED184" i="18"/>
  <c r="EC184" i="18"/>
  <c r="EB184" i="18"/>
  <c r="EA184" i="18"/>
  <c r="CO184" i="18"/>
  <c r="CM184" i="18"/>
  <c r="CK184" i="18"/>
  <c r="ED179" i="18"/>
  <c r="EC179" i="18"/>
  <c r="EB179" i="18"/>
  <c r="EA179" i="18"/>
  <c r="CO179" i="18"/>
  <c r="CM179" i="18"/>
  <c r="CK179" i="18"/>
  <c r="ED176" i="18"/>
  <c r="EC176" i="18"/>
  <c r="EB176" i="18"/>
  <c r="EA176" i="18"/>
  <c r="CO176" i="18"/>
  <c r="CM176" i="18"/>
  <c r="CK176" i="18"/>
  <c r="ED165" i="18"/>
  <c r="EC165" i="18"/>
  <c r="EB165" i="18"/>
  <c r="EA165" i="18"/>
  <c r="CO165" i="18"/>
  <c r="CM165" i="18"/>
  <c r="CK165" i="18"/>
  <c r="ED161" i="18"/>
  <c r="EC161" i="18"/>
  <c r="EB161" i="18"/>
  <c r="EA161" i="18"/>
  <c r="CO161" i="18"/>
  <c r="CM161" i="18"/>
  <c r="CK161" i="18"/>
  <c r="ED159" i="18"/>
  <c r="EC159" i="18"/>
  <c r="EB159" i="18"/>
  <c r="EA159" i="18"/>
  <c r="CO159" i="18"/>
  <c r="CM159" i="18"/>
  <c r="CK159" i="18"/>
  <c r="ED156" i="18"/>
  <c r="EC156" i="18"/>
  <c r="EB156" i="18"/>
  <c r="EA156" i="18"/>
  <c r="CO156" i="18"/>
  <c r="CM156" i="18"/>
  <c r="CK156" i="18"/>
  <c r="ED152" i="18"/>
  <c r="EC152" i="18"/>
  <c r="EB152" i="18"/>
  <c r="EA152" i="18"/>
  <c r="CO152" i="18"/>
  <c r="CM152" i="18"/>
  <c r="CK152" i="18"/>
  <c r="ED148" i="18"/>
  <c r="EC148" i="18"/>
  <c r="EB148" i="18"/>
  <c r="EA148" i="18"/>
  <c r="CO148" i="18"/>
  <c r="CM148" i="18"/>
  <c r="CK148" i="18"/>
  <c r="ED140" i="18"/>
  <c r="EC140" i="18"/>
  <c r="EB140" i="18"/>
  <c r="EA140" i="18"/>
  <c r="CO140" i="18"/>
  <c r="CM140" i="18"/>
  <c r="CK140" i="18"/>
  <c r="ED130" i="18"/>
  <c r="EC130" i="18"/>
  <c r="EB130" i="18"/>
  <c r="EA130" i="18"/>
  <c r="CO130" i="18"/>
  <c r="CM130" i="18"/>
  <c r="CK130" i="18"/>
  <c r="ED128" i="18"/>
  <c r="EC128" i="18"/>
  <c r="EB128" i="18"/>
  <c r="EA128" i="18"/>
  <c r="CO128" i="18"/>
  <c r="CM128" i="18"/>
  <c r="CK128" i="18"/>
  <c r="ED126" i="18"/>
  <c r="EC126" i="18"/>
  <c r="EB126" i="18"/>
  <c r="EA126" i="18"/>
  <c r="CO126" i="18"/>
  <c r="CM126" i="18"/>
  <c r="CK126" i="18"/>
  <c r="E117" i="18"/>
  <c r="J94" i="18"/>
  <c r="F94" i="18"/>
  <c r="F92" i="18"/>
  <c r="E90" i="18"/>
  <c r="J28" i="18"/>
  <c r="E28" i="18"/>
  <c r="J119" i="18" s="1"/>
  <c r="J27" i="18"/>
  <c r="J22" i="18"/>
  <c r="E22" i="18"/>
  <c r="F95" i="18" s="1"/>
  <c r="J21" i="18"/>
  <c r="J16" i="18"/>
  <c r="E7" i="18"/>
  <c r="J41" i="17"/>
  <c r="J40" i="17"/>
  <c r="BF107" i="1" s="1"/>
  <c r="J39" i="17"/>
  <c r="BE107" i="1" s="1"/>
  <c r="EX378" i="17"/>
  <c r="EW378" i="17"/>
  <c r="EV378" i="17"/>
  <c r="EU378" i="17"/>
  <c r="DI378" i="17"/>
  <c r="DI377" i="17" s="1"/>
  <c r="DG378" i="17"/>
  <c r="DG377" i="17" s="1"/>
  <c r="DE378" i="17"/>
  <c r="DE377" i="17" s="1"/>
  <c r="EX374" i="17"/>
  <c r="EW374" i="17"/>
  <c r="EV374" i="17"/>
  <c r="EU374" i="17"/>
  <c r="DI374" i="17"/>
  <c r="DG374" i="17"/>
  <c r="DE374" i="17"/>
  <c r="EX371" i="17"/>
  <c r="EW371" i="17"/>
  <c r="EV371" i="17"/>
  <c r="EU371" i="17"/>
  <c r="DI371" i="17"/>
  <c r="DG371" i="17"/>
  <c r="DE371" i="17"/>
  <c r="EX369" i="17"/>
  <c r="EW369" i="17"/>
  <c r="EV369" i="17"/>
  <c r="EU369" i="17"/>
  <c r="DI369" i="17"/>
  <c r="DG369" i="17"/>
  <c r="DE369" i="17"/>
  <c r="EX363" i="17"/>
  <c r="EW363" i="17"/>
  <c r="EV363" i="17"/>
  <c r="EU363" i="17"/>
  <c r="DI363" i="17"/>
  <c r="DG363" i="17"/>
  <c r="DE363" i="17"/>
  <c r="EX358" i="17"/>
  <c r="EW358" i="17"/>
  <c r="EV358" i="17"/>
  <c r="EU358" i="17"/>
  <c r="DI358" i="17"/>
  <c r="DG358" i="17"/>
  <c r="DE358" i="17"/>
  <c r="EX352" i="17"/>
  <c r="EW352" i="17"/>
  <c r="EV352" i="17"/>
  <c r="EU352" i="17"/>
  <c r="DI352" i="17"/>
  <c r="DG352" i="17"/>
  <c r="DE352" i="17"/>
  <c r="EX347" i="17"/>
  <c r="EW347" i="17"/>
  <c r="EV347" i="17"/>
  <c r="EU347" i="17"/>
  <c r="DI347" i="17"/>
  <c r="DG347" i="17"/>
  <c r="DE347" i="17"/>
  <c r="EX344" i="17"/>
  <c r="EW344" i="17"/>
  <c r="EV344" i="17"/>
  <c r="EU344" i="17"/>
  <c r="DI344" i="17"/>
  <c r="DG344" i="17"/>
  <c r="DE344" i="17"/>
  <c r="EX342" i="17"/>
  <c r="EW342" i="17"/>
  <c r="EV342" i="17"/>
  <c r="EU342" i="17"/>
  <c r="DI342" i="17"/>
  <c r="DG342" i="17"/>
  <c r="DE342" i="17"/>
  <c r="EX338" i="17"/>
  <c r="EW338" i="17"/>
  <c r="EV338" i="17"/>
  <c r="EU338" i="17"/>
  <c r="DI338" i="17"/>
  <c r="DG338" i="17"/>
  <c r="DE338" i="17"/>
  <c r="EX333" i="17"/>
  <c r="EW333" i="17"/>
  <c r="EV333" i="17"/>
  <c r="EU333" i="17"/>
  <c r="DI333" i="17"/>
  <c r="DG333" i="17"/>
  <c r="DE333" i="17"/>
  <c r="EX331" i="17"/>
  <c r="EW331" i="17"/>
  <c r="EV331" i="17"/>
  <c r="EU331" i="17"/>
  <c r="DI331" i="17"/>
  <c r="DG331" i="17"/>
  <c r="DE331" i="17"/>
  <c r="EX329" i="17"/>
  <c r="EW329" i="17"/>
  <c r="EV329" i="17"/>
  <c r="EU329" i="17"/>
  <c r="DI329" i="17"/>
  <c r="DG329" i="17"/>
  <c r="DE329" i="17"/>
  <c r="EX327" i="17"/>
  <c r="EW327" i="17"/>
  <c r="EV327" i="17"/>
  <c r="EU327" i="17"/>
  <c r="DI327" i="17"/>
  <c r="DG327" i="17"/>
  <c r="DE327" i="17"/>
  <c r="EX323" i="17"/>
  <c r="EW323" i="17"/>
  <c r="EV323" i="17"/>
  <c r="EU323" i="17"/>
  <c r="DI323" i="17"/>
  <c r="DG323" i="17"/>
  <c r="DE323" i="17"/>
  <c r="EX321" i="17"/>
  <c r="EW321" i="17"/>
  <c r="EV321" i="17"/>
  <c r="EU321" i="17"/>
  <c r="DI321" i="17"/>
  <c r="DG321" i="17"/>
  <c r="DE321" i="17"/>
  <c r="EX317" i="17"/>
  <c r="EW317" i="17"/>
  <c r="EV317" i="17"/>
  <c r="EU317" i="17"/>
  <c r="DI317" i="17"/>
  <c r="DG317" i="17"/>
  <c r="DE317" i="17"/>
  <c r="EX315" i="17"/>
  <c r="EW315" i="17"/>
  <c r="EV315" i="17"/>
  <c r="EU315" i="17"/>
  <c r="DI315" i="17"/>
  <c r="DG315" i="17"/>
  <c r="DE315" i="17"/>
  <c r="EX313" i="17"/>
  <c r="EW313" i="17"/>
  <c r="EV313" i="17"/>
  <c r="EU313" i="17"/>
  <c r="DI313" i="17"/>
  <c r="DG313" i="17"/>
  <c r="DE313" i="17"/>
  <c r="EX309" i="17"/>
  <c r="EW309" i="17"/>
  <c r="EV309" i="17"/>
  <c r="EU309" i="17"/>
  <c r="DI309" i="17"/>
  <c r="DG309" i="17"/>
  <c r="DE309" i="17"/>
  <c r="EX306" i="17"/>
  <c r="EW306" i="17"/>
  <c r="EV306" i="17"/>
  <c r="EU306" i="17"/>
  <c r="DI306" i="17"/>
  <c r="DG306" i="17"/>
  <c r="DE306" i="17"/>
  <c r="EX301" i="17"/>
  <c r="EW301" i="17"/>
  <c r="EV301" i="17"/>
  <c r="EU301" i="17"/>
  <c r="DI301" i="17"/>
  <c r="DG301" i="17"/>
  <c r="DE301" i="17"/>
  <c r="EX298" i="17"/>
  <c r="EW298" i="17"/>
  <c r="EV298" i="17"/>
  <c r="EU298" i="17"/>
  <c r="DI298" i="17"/>
  <c r="DG298" i="17"/>
  <c r="DE298" i="17"/>
  <c r="EX296" i="17"/>
  <c r="EW296" i="17"/>
  <c r="EV296" i="17"/>
  <c r="EU296" i="17"/>
  <c r="DI296" i="17"/>
  <c r="DG296" i="17"/>
  <c r="DE296" i="17"/>
  <c r="EX294" i="17"/>
  <c r="EW294" i="17"/>
  <c r="EV294" i="17"/>
  <c r="EU294" i="17"/>
  <c r="DI294" i="17"/>
  <c r="DG294" i="17"/>
  <c r="DE294" i="17"/>
  <c r="EX290" i="17"/>
  <c r="EW290" i="17"/>
  <c r="EV290" i="17"/>
  <c r="EU290" i="17"/>
  <c r="DI290" i="17"/>
  <c r="DG290" i="17"/>
  <c r="DE290" i="17"/>
  <c r="EX286" i="17"/>
  <c r="EW286" i="17"/>
  <c r="EV286" i="17"/>
  <c r="EU286" i="17"/>
  <c r="DI286" i="17"/>
  <c r="DG286" i="17"/>
  <c r="DE286" i="17"/>
  <c r="EX280" i="17"/>
  <c r="EW280" i="17"/>
  <c r="EV280" i="17"/>
  <c r="EU280" i="17"/>
  <c r="DI280" i="17"/>
  <c r="DG280" i="17"/>
  <c r="DE280" i="17"/>
  <c r="EX278" i="17"/>
  <c r="EW278" i="17"/>
  <c r="EV278" i="17"/>
  <c r="EU278" i="17"/>
  <c r="DI278" i="17"/>
  <c r="DG278" i="17"/>
  <c r="DE278" i="17"/>
  <c r="EX273" i="17"/>
  <c r="EW273" i="17"/>
  <c r="EV273" i="17"/>
  <c r="EU273" i="17"/>
  <c r="DI273" i="17"/>
  <c r="DG273" i="17"/>
  <c r="DE273" i="17"/>
  <c r="EX271" i="17"/>
  <c r="EW271" i="17"/>
  <c r="EV271" i="17"/>
  <c r="EU271" i="17"/>
  <c r="DI271" i="17"/>
  <c r="DG271" i="17"/>
  <c r="DE271" i="17"/>
  <c r="EX269" i="17"/>
  <c r="EW269" i="17"/>
  <c r="EV269" i="17"/>
  <c r="EU269" i="17"/>
  <c r="DI269" i="17"/>
  <c r="DG269" i="17"/>
  <c r="DE269" i="17"/>
  <c r="EX267" i="17"/>
  <c r="EW267" i="17"/>
  <c r="EV267" i="17"/>
  <c r="EU267" i="17"/>
  <c r="DI267" i="17"/>
  <c r="DG267" i="17"/>
  <c r="DE267" i="17"/>
  <c r="EX261" i="17"/>
  <c r="EW261" i="17"/>
  <c r="EV261" i="17"/>
  <c r="EU261" i="17"/>
  <c r="DI261" i="17"/>
  <c r="DG261" i="17"/>
  <c r="DE261" i="17"/>
  <c r="EX259" i="17"/>
  <c r="EW259" i="17"/>
  <c r="EV259" i="17"/>
  <c r="EU259" i="17"/>
  <c r="DI259" i="17"/>
  <c r="DG259" i="17"/>
  <c r="DE259" i="17"/>
  <c r="EX255" i="17"/>
  <c r="EW255" i="17"/>
  <c r="EV255" i="17"/>
  <c r="EU255" i="17"/>
  <c r="DI255" i="17"/>
  <c r="DG255" i="17"/>
  <c r="DE255" i="17"/>
  <c r="EX253" i="17"/>
  <c r="EW253" i="17"/>
  <c r="EV253" i="17"/>
  <c r="EU253" i="17"/>
  <c r="DI253" i="17"/>
  <c r="DG253" i="17"/>
  <c r="DE253" i="17"/>
  <c r="EX249" i="17"/>
  <c r="EW249" i="17"/>
  <c r="EV249" i="17"/>
  <c r="EU249" i="17"/>
  <c r="DI249" i="17"/>
  <c r="DG249" i="17"/>
  <c r="DE249" i="17"/>
  <c r="EX244" i="17"/>
  <c r="EW244" i="17"/>
  <c r="EV244" i="17"/>
  <c r="EU244" i="17"/>
  <c r="DI244" i="17"/>
  <c r="DG244" i="17"/>
  <c r="DE244" i="17"/>
  <c r="EX239" i="17"/>
  <c r="EW239" i="17"/>
  <c r="EV239" i="17"/>
  <c r="EU239" i="17"/>
  <c r="DI239" i="17"/>
  <c r="DG239" i="17"/>
  <c r="DE239" i="17"/>
  <c r="EX234" i="17"/>
  <c r="EW234" i="17"/>
  <c r="EV234" i="17"/>
  <c r="EU234" i="17"/>
  <c r="DI234" i="17"/>
  <c r="DI233" i="17" s="1"/>
  <c r="DG234" i="17"/>
  <c r="DG233" i="17" s="1"/>
  <c r="DE234" i="17"/>
  <c r="DE233" i="17" s="1"/>
  <c r="EX230" i="17"/>
  <c r="EW230" i="17"/>
  <c r="EV230" i="17"/>
  <c r="EU230" i="17"/>
  <c r="DI230" i="17"/>
  <c r="DG230" i="17"/>
  <c r="DE230" i="17"/>
  <c r="EX227" i="17"/>
  <c r="EW227" i="17"/>
  <c r="EV227" i="17"/>
  <c r="EU227" i="17"/>
  <c r="DI227" i="17"/>
  <c r="DG227" i="17"/>
  <c r="DE227" i="17"/>
  <c r="EX222" i="17"/>
  <c r="EW222" i="17"/>
  <c r="EV222" i="17"/>
  <c r="EU222" i="17"/>
  <c r="DI222" i="17"/>
  <c r="DG222" i="17"/>
  <c r="DE222" i="17"/>
  <c r="EX218" i="17"/>
  <c r="EW218" i="17"/>
  <c r="EV218" i="17"/>
  <c r="EU218" i="17"/>
  <c r="DI218" i="17"/>
  <c r="DG218" i="17"/>
  <c r="DE218" i="17"/>
  <c r="EX203" i="17"/>
  <c r="EW203" i="17"/>
  <c r="EV203" i="17"/>
  <c r="EU203" i="17"/>
  <c r="DI203" i="17"/>
  <c r="DG203" i="17"/>
  <c r="DE203" i="17"/>
  <c r="EX199" i="17"/>
  <c r="EW199" i="17"/>
  <c r="EV199" i="17"/>
  <c r="EU199" i="17"/>
  <c r="DI199" i="17"/>
  <c r="DG199" i="17"/>
  <c r="DE199" i="17"/>
  <c r="EX192" i="17"/>
  <c r="EW192" i="17"/>
  <c r="EV192" i="17"/>
  <c r="EU192" i="17"/>
  <c r="DI192" i="17"/>
  <c r="DG192" i="17"/>
  <c r="DE192" i="17"/>
  <c r="EX189" i="17"/>
  <c r="EW189" i="17"/>
  <c r="EV189" i="17"/>
  <c r="EU189" i="17"/>
  <c r="DI189" i="17"/>
  <c r="DG189" i="17"/>
  <c r="DE189" i="17"/>
  <c r="EX184" i="17"/>
  <c r="EW184" i="17"/>
  <c r="EV184" i="17"/>
  <c r="EU184" i="17"/>
  <c r="DI184" i="17"/>
  <c r="DG184" i="17"/>
  <c r="DE184" i="17"/>
  <c r="EX182" i="17"/>
  <c r="EW182" i="17"/>
  <c r="EV182" i="17"/>
  <c r="EU182" i="17"/>
  <c r="DI182" i="17"/>
  <c r="DG182" i="17"/>
  <c r="DE182" i="17"/>
  <c r="EX177" i="17"/>
  <c r="EW177" i="17"/>
  <c r="EV177" i="17"/>
  <c r="EU177" i="17"/>
  <c r="DI177" i="17"/>
  <c r="DG177" i="17"/>
  <c r="DE177" i="17"/>
  <c r="EX172" i="17"/>
  <c r="EW172" i="17"/>
  <c r="EV172" i="17"/>
  <c r="EU172" i="17"/>
  <c r="DI172" i="17"/>
  <c r="DG172" i="17"/>
  <c r="DE172" i="17"/>
  <c r="EX169" i="17"/>
  <c r="EW169" i="17"/>
  <c r="EV169" i="17"/>
  <c r="EU169" i="17"/>
  <c r="DI169" i="17"/>
  <c r="DG169" i="17"/>
  <c r="DE169" i="17"/>
  <c r="EX160" i="17"/>
  <c r="EW160" i="17"/>
  <c r="EV160" i="17"/>
  <c r="EU160" i="17"/>
  <c r="DI160" i="17"/>
  <c r="DG160" i="17"/>
  <c r="DE160" i="17"/>
  <c r="EX156" i="17"/>
  <c r="EW156" i="17"/>
  <c r="EV156" i="17"/>
  <c r="EU156" i="17"/>
  <c r="DI156" i="17"/>
  <c r="DG156" i="17"/>
  <c r="DE156" i="17"/>
  <c r="EX154" i="17"/>
  <c r="EW154" i="17"/>
  <c r="EV154" i="17"/>
  <c r="EU154" i="17"/>
  <c r="DI154" i="17"/>
  <c r="DG154" i="17"/>
  <c r="DE154" i="17"/>
  <c r="EX151" i="17"/>
  <c r="EW151" i="17"/>
  <c r="EV151" i="17"/>
  <c r="EU151" i="17"/>
  <c r="DI151" i="17"/>
  <c r="DG151" i="17"/>
  <c r="DE151" i="17"/>
  <c r="EX147" i="17"/>
  <c r="EW147" i="17"/>
  <c r="EV147" i="17"/>
  <c r="EU147" i="17"/>
  <c r="DI147" i="17"/>
  <c r="DG147" i="17"/>
  <c r="DE147" i="17"/>
  <c r="EX143" i="17"/>
  <c r="EW143" i="17"/>
  <c r="EV143" i="17"/>
  <c r="EU143" i="17"/>
  <c r="DI143" i="17"/>
  <c r="DG143" i="17"/>
  <c r="DE143" i="17"/>
  <c r="EX137" i="17"/>
  <c r="EW137" i="17"/>
  <c r="EV137" i="17"/>
  <c r="EU137" i="17"/>
  <c r="DI137" i="17"/>
  <c r="DG137" i="17"/>
  <c r="DE137" i="17"/>
  <c r="EX129" i="17"/>
  <c r="EW129" i="17"/>
  <c r="EV129" i="17"/>
  <c r="EU129" i="17"/>
  <c r="DI129" i="17"/>
  <c r="DG129" i="17"/>
  <c r="DE129" i="17"/>
  <c r="EX127" i="17"/>
  <c r="EW127" i="17"/>
  <c r="EV127" i="17"/>
  <c r="EU127" i="17"/>
  <c r="DI127" i="17"/>
  <c r="DG127" i="17"/>
  <c r="DE127" i="17"/>
  <c r="EX125" i="17"/>
  <c r="EW125" i="17"/>
  <c r="EV125" i="17"/>
  <c r="EU125" i="17"/>
  <c r="DI125" i="17"/>
  <c r="DG125" i="17"/>
  <c r="DE125" i="17"/>
  <c r="J94" i="17"/>
  <c r="F94" i="17"/>
  <c r="F92" i="17"/>
  <c r="E90" i="17"/>
  <c r="J28" i="17"/>
  <c r="E28" i="17"/>
  <c r="J27" i="17"/>
  <c r="J22" i="17"/>
  <c r="E22" i="17"/>
  <c r="F95" i="17" s="1"/>
  <c r="J21" i="17"/>
  <c r="J16" i="17"/>
  <c r="J92" i="17" s="1"/>
  <c r="E7" i="17"/>
  <c r="J41" i="16"/>
  <c r="J40" i="16"/>
  <c r="BF106" i="1" s="1"/>
  <c r="J39" i="16"/>
  <c r="BE106" i="1"/>
  <c r="EC522" i="16"/>
  <c r="EB522" i="16"/>
  <c r="EA522" i="16"/>
  <c r="DZ522" i="16"/>
  <c r="CN522" i="16"/>
  <c r="CN521" i="16" s="1"/>
  <c r="CL522" i="16"/>
  <c r="CL521" i="16" s="1"/>
  <c r="CJ522" i="16"/>
  <c r="CJ521" i="16" s="1"/>
  <c r="EC518" i="16"/>
  <c r="EB518" i="16"/>
  <c r="EA518" i="16"/>
  <c r="DZ518" i="16"/>
  <c r="CN518" i="16"/>
  <c r="CL518" i="16"/>
  <c r="CJ518" i="16"/>
  <c r="EC515" i="16"/>
  <c r="EB515" i="16"/>
  <c r="EA515" i="16"/>
  <c r="DZ515" i="16"/>
  <c r="CN515" i="16"/>
  <c r="CL515" i="16"/>
  <c r="CJ515" i="16"/>
  <c r="EC513" i="16"/>
  <c r="EB513" i="16"/>
  <c r="EA513" i="16"/>
  <c r="DZ513" i="16"/>
  <c r="CN513" i="16"/>
  <c r="CL513" i="16"/>
  <c r="CJ513" i="16"/>
  <c r="EC507" i="16"/>
  <c r="EB507" i="16"/>
  <c r="EA507" i="16"/>
  <c r="DZ507" i="16"/>
  <c r="CN507" i="16"/>
  <c r="CL507" i="16"/>
  <c r="CJ507" i="16"/>
  <c r="EC502" i="16"/>
  <c r="EB502" i="16"/>
  <c r="EA502" i="16"/>
  <c r="DZ502" i="16"/>
  <c r="CN502" i="16"/>
  <c r="CL502" i="16"/>
  <c r="CJ502" i="16"/>
  <c r="EC496" i="16"/>
  <c r="EB496" i="16"/>
  <c r="EA496" i="16"/>
  <c r="DZ496" i="16"/>
  <c r="CN496" i="16"/>
  <c r="CL496" i="16"/>
  <c r="CJ496" i="16"/>
  <c r="EC491" i="16"/>
  <c r="EB491" i="16"/>
  <c r="EA491" i="16"/>
  <c r="DZ491" i="16"/>
  <c r="CN491" i="16"/>
  <c r="CL491" i="16"/>
  <c r="CJ491" i="16"/>
  <c r="EC488" i="16"/>
  <c r="EB488" i="16"/>
  <c r="EA488" i="16"/>
  <c r="DZ488" i="16"/>
  <c r="CN488" i="16"/>
  <c r="CL488" i="16"/>
  <c r="CJ488" i="16"/>
  <c r="EC486" i="16"/>
  <c r="EB486" i="16"/>
  <c r="EA486" i="16"/>
  <c r="DZ486" i="16"/>
  <c r="CN486" i="16"/>
  <c r="CL486" i="16"/>
  <c r="CJ486" i="16"/>
  <c r="EC482" i="16"/>
  <c r="EB482" i="16"/>
  <c r="EA482" i="16"/>
  <c r="DZ482" i="16"/>
  <c r="CN482" i="16"/>
  <c r="CL482" i="16"/>
  <c r="CJ482" i="16"/>
  <c r="EC478" i="16"/>
  <c r="EB478" i="16"/>
  <c r="EA478" i="16"/>
  <c r="DZ478" i="16"/>
  <c r="CN478" i="16"/>
  <c r="CL478" i="16"/>
  <c r="CJ478" i="16"/>
  <c r="EC474" i="16"/>
  <c r="EB474" i="16"/>
  <c r="EA474" i="16"/>
  <c r="DZ474" i="16"/>
  <c r="CN474" i="16"/>
  <c r="CL474" i="16"/>
  <c r="CJ474" i="16"/>
  <c r="EC469" i="16"/>
  <c r="EB469" i="16"/>
  <c r="EA469" i="16"/>
  <c r="DZ469" i="16"/>
  <c r="CN469" i="16"/>
  <c r="CL469" i="16"/>
  <c r="CJ469" i="16"/>
  <c r="EC465" i="16"/>
  <c r="EB465" i="16"/>
  <c r="EA465" i="16"/>
  <c r="DZ465" i="16"/>
  <c r="CN465" i="16"/>
  <c r="CL465" i="16"/>
  <c r="CJ465" i="16"/>
  <c r="EC463" i="16"/>
  <c r="EB463" i="16"/>
  <c r="EA463" i="16"/>
  <c r="DZ463" i="16"/>
  <c r="CN463" i="16"/>
  <c r="CL463" i="16"/>
  <c r="CJ463" i="16"/>
  <c r="EC461" i="16"/>
  <c r="EB461" i="16"/>
  <c r="EA461" i="16"/>
  <c r="DZ461" i="16"/>
  <c r="CN461" i="16"/>
  <c r="CL461" i="16"/>
  <c r="CJ461" i="16"/>
  <c r="EC459" i="16"/>
  <c r="EB459" i="16"/>
  <c r="EA459" i="16"/>
  <c r="DZ459" i="16"/>
  <c r="CN459" i="16"/>
  <c r="CL459" i="16"/>
  <c r="CJ459" i="16"/>
  <c r="EC456" i="16"/>
  <c r="EB456" i="16"/>
  <c r="EA456" i="16"/>
  <c r="DZ456" i="16"/>
  <c r="CN456" i="16"/>
  <c r="CL456" i="16"/>
  <c r="CJ456" i="16"/>
  <c r="EC452" i="16"/>
  <c r="EB452" i="16"/>
  <c r="EA452" i="16"/>
  <c r="DZ452" i="16"/>
  <c r="CN452" i="16"/>
  <c r="CL452" i="16"/>
  <c r="CJ452" i="16"/>
  <c r="EC450" i="16"/>
  <c r="EB450" i="16"/>
  <c r="EA450" i="16"/>
  <c r="DZ450" i="16"/>
  <c r="CN450" i="16"/>
  <c r="CL450" i="16"/>
  <c r="CJ450" i="16"/>
  <c r="EC446" i="16"/>
  <c r="EB446" i="16"/>
  <c r="EA446" i="16"/>
  <c r="DZ446" i="16"/>
  <c r="CN446" i="16"/>
  <c r="CL446" i="16"/>
  <c r="CJ446" i="16"/>
  <c r="EC444" i="16"/>
  <c r="EB444" i="16"/>
  <c r="EA444" i="16"/>
  <c r="DZ444" i="16"/>
  <c r="CN444" i="16"/>
  <c r="CL444" i="16"/>
  <c r="CJ444" i="16"/>
  <c r="EC442" i="16"/>
  <c r="EB442" i="16"/>
  <c r="EA442" i="16"/>
  <c r="DZ442" i="16"/>
  <c r="CN442" i="16"/>
  <c r="CL442" i="16"/>
  <c r="CJ442" i="16"/>
  <c r="EC440" i="16"/>
  <c r="EB440" i="16"/>
  <c r="EA440" i="16"/>
  <c r="DZ440" i="16"/>
  <c r="CN440" i="16"/>
  <c r="CL440" i="16"/>
  <c r="CJ440" i="16"/>
  <c r="EC438" i="16"/>
  <c r="EB438" i="16"/>
  <c r="EA438" i="16"/>
  <c r="DZ438" i="16"/>
  <c r="CN438" i="16"/>
  <c r="CL438" i="16"/>
  <c r="CJ438" i="16"/>
  <c r="EC436" i="16"/>
  <c r="EB436" i="16"/>
  <c r="EA436" i="16"/>
  <c r="DZ436" i="16"/>
  <c r="CN436" i="16"/>
  <c r="CL436" i="16"/>
  <c r="CJ436" i="16"/>
  <c r="EC432" i="16"/>
  <c r="EB432" i="16"/>
  <c r="EA432" i="16"/>
  <c r="DZ432" i="16"/>
  <c r="CN432" i="16"/>
  <c r="CL432" i="16"/>
  <c r="CJ432" i="16"/>
  <c r="EC430" i="16"/>
  <c r="EB430" i="16"/>
  <c r="EA430" i="16"/>
  <c r="DZ430" i="16"/>
  <c r="CN430" i="16"/>
  <c r="CL430" i="16"/>
  <c r="CJ430" i="16"/>
  <c r="EC426" i="16"/>
  <c r="EB426" i="16"/>
  <c r="EA426" i="16"/>
  <c r="DZ426" i="16"/>
  <c r="CN426" i="16"/>
  <c r="CL426" i="16"/>
  <c r="CJ426" i="16"/>
  <c r="EC424" i="16"/>
  <c r="EB424" i="16"/>
  <c r="EA424" i="16"/>
  <c r="DZ424" i="16"/>
  <c r="CN424" i="16"/>
  <c r="CL424" i="16"/>
  <c r="CJ424" i="16"/>
  <c r="EC422" i="16"/>
  <c r="EB422" i="16"/>
  <c r="EA422" i="16"/>
  <c r="DZ422" i="16"/>
  <c r="CN422" i="16"/>
  <c r="CL422" i="16"/>
  <c r="CJ422" i="16"/>
  <c r="EC420" i="16"/>
  <c r="EB420" i="16"/>
  <c r="EA420" i="16"/>
  <c r="DZ420" i="16"/>
  <c r="CN420" i="16"/>
  <c r="CL420" i="16"/>
  <c r="CJ420" i="16"/>
  <c r="EC416" i="16"/>
  <c r="EB416" i="16"/>
  <c r="EA416" i="16"/>
  <c r="DZ416" i="16"/>
  <c r="CN416" i="16"/>
  <c r="CL416" i="16"/>
  <c r="CJ416" i="16"/>
  <c r="EC412" i="16"/>
  <c r="EB412" i="16"/>
  <c r="EA412" i="16"/>
  <c r="DZ412" i="16"/>
  <c r="CN412" i="16"/>
  <c r="CL412" i="16"/>
  <c r="CJ412" i="16"/>
  <c r="EC407" i="16"/>
  <c r="EB407" i="16"/>
  <c r="EA407" i="16"/>
  <c r="DZ407" i="16"/>
  <c r="CN407" i="16"/>
  <c r="CL407" i="16"/>
  <c r="CJ407" i="16"/>
  <c r="EC403" i="16"/>
  <c r="EB403" i="16"/>
  <c r="EA403" i="16"/>
  <c r="DZ403" i="16"/>
  <c r="CN403" i="16"/>
  <c r="CL403" i="16"/>
  <c r="CJ403" i="16"/>
  <c r="EC398" i="16"/>
  <c r="EB398" i="16"/>
  <c r="EA398" i="16"/>
  <c r="DZ398" i="16"/>
  <c r="CN398" i="16"/>
  <c r="CL398" i="16"/>
  <c r="CJ398" i="16"/>
  <c r="EC395" i="16"/>
  <c r="EB395" i="16"/>
  <c r="EA395" i="16"/>
  <c r="DZ395" i="16"/>
  <c r="CN395" i="16"/>
  <c r="CL395" i="16"/>
  <c r="CJ395" i="16"/>
  <c r="EC392" i="16"/>
  <c r="EB392" i="16"/>
  <c r="EA392" i="16"/>
  <c r="DZ392" i="16"/>
  <c r="CN392" i="16"/>
  <c r="CL392" i="16"/>
  <c r="CJ392" i="16"/>
  <c r="EC389" i="16"/>
  <c r="EB389" i="16"/>
  <c r="EA389" i="16"/>
  <c r="DZ389" i="16"/>
  <c r="CN389" i="16"/>
  <c r="CL389" i="16"/>
  <c r="CJ389" i="16"/>
  <c r="EC387" i="16"/>
  <c r="EB387" i="16"/>
  <c r="EA387" i="16"/>
  <c r="DZ387" i="16"/>
  <c r="CN387" i="16"/>
  <c r="CL387" i="16"/>
  <c r="CJ387" i="16"/>
  <c r="EC385" i="16"/>
  <c r="EB385" i="16"/>
  <c r="EA385" i="16"/>
  <c r="DZ385" i="16"/>
  <c r="CN385" i="16"/>
  <c r="CL385" i="16"/>
  <c r="CJ385" i="16"/>
  <c r="EC381" i="16"/>
  <c r="EB381" i="16"/>
  <c r="EA381" i="16"/>
  <c r="DZ381" i="16"/>
  <c r="CN381" i="16"/>
  <c r="CL381" i="16"/>
  <c r="CJ381" i="16"/>
  <c r="EC377" i="16"/>
  <c r="EB377" i="16"/>
  <c r="EA377" i="16"/>
  <c r="DZ377" i="16"/>
  <c r="CN377" i="16"/>
  <c r="CL377" i="16"/>
  <c r="CJ377" i="16"/>
  <c r="EC373" i="16"/>
  <c r="EB373" i="16"/>
  <c r="EA373" i="16"/>
  <c r="DZ373" i="16"/>
  <c r="CN373" i="16"/>
  <c r="CL373" i="16"/>
  <c r="CJ373" i="16"/>
  <c r="EC369" i="16"/>
  <c r="EB369" i="16"/>
  <c r="EA369" i="16"/>
  <c r="DZ369" i="16"/>
  <c r="CN369" i="16"/>
  <c r="CL369" i="16"/>
  <c r="CJ369" i="16"/>
  <c r="EC365" i="16"/>
  <c r="EB365" i="16"/>
  <c r="EA365" i="16"/>
  <c r="DZ365" i="16"/>
  <c r="CN365" i="16"/>
  <c r="CL365" i="16"/>
  <c r="CJ365" i="16"/>
  <c r="EC361" i="16"/>
  <c r="EB361" i="16"/>
  <c r="EA361" i="16"/>
  <c r="DZ361" i="16"/>
  <c r="CN361" i="16"/>
  <c r="CL361" i="16"/>
  <c r="CJ361" i="16"/>
  <c r="EC357" i="16"/>
  <c r="EB357" i="16"/>
  <c r="EA357" i="16"/>
  <c r="DZ357" i="16"/>
  <c r="CN357" i="16"/>
  <c r="CL357" i="16"/>
  <c r="CJ357" i="16"/>
  <c r="EC353" i="16"/>
  <c r="EB353" i="16"/>
  <c r="EA353" i="16"/>
  <c r="DZ353" i="16"/>
  <c r="CN353" i="16"/>
  <c r="CL353" i="16"/>
  <c r="CJ353" i="16"/>
  <c r="EC347" i="16"/>
  <c r="EB347" i="16"/>
  <c r="EA347" i="16"/>
  <c r="DZ347" i="16"/>
  <c r="CN347" i="16"/>
  <c r="CL347" i="16"/>
  <c r="CJ347" i="16"/>
  <c r="EC345" i="16"/>
  <c r="EB345" i="16"/>
  <c r="EA345" i="16"/>
  <c r="DZ345" i="16"/>
  <c r="CN345" i="16"/>
  <c r="CL345" i="16"/>
  <c r="CJ345" i="16"/>
  <c r="EC340" i="16"/>
  <c r="EB340" i="16"/>
  <c r="EA340" i="16"/>
  <c r="DZ340" i="16"/>
  <c r="CN340" i="16"/>
  <c r="CL340" i="16"/>
  <c r="CJ340" i="16"/>
  <c r="EC338" i="16"/>
  <c r="EB338" i="16"/>
  <c r="EA338" i="16"/>
  <c r="DZ338" i="16"/>
  <c r="CN338" i="16"/>
  <c r="CL338" i="16"/>
  <c r="CJ338" i="16"/>
  <c r="EC336" i="16"/>
  <c r="EB336" i="16"/>
  <c r="EA336" i="16"/>
  <c r="DZ336" i="16"/>
  <c r="CN336" i="16"/>
  <c r="CL336" i="16"/>
  <c r="CJ336" i="16"/>
  <c r="EC334" i="16"/>
  <c r="EB334" i="16"/>
  <c r="EA334" i="16"/>
  <c r="DZ334" i="16"/>
  <c r="CN334" i="16"/>
  <c r="CL334" i="16"/>
  <c r="CJ334" i="16"/>
  <c r="EC325" i="16"/>
  <c r="EB325" i="16"/>
  <c r="EA325" i="16"/>
  <c r="DZ325" i="16"/>
  <c r="CN325" i="16"/>
  <c r="CL325" i="16"/>
  <c r="CJ325" i="16"/>
  <c r="EC323" i="16"/>
  <c r="EB323" i="16"/>
  <c r="EA323" i="16"/>
  <c r="DZ323" i="16"/>
  <c r="CN323" i="16"/>
  <c r="CL323" i="16"/>
  <c r="CJ323" i="16"/>
  <c r="EC319" i="16"/>
  <c r="EB319" i="16"/>
  <c r="EA319" i="16"/>
  <c r="DZ319" i="16"/>
  <c r="CN319" i="16"/>
  <c r="CL319" i="16"/>
  <c r="CJ319" i="16"/>
  <c r="EC317" i="16"/>
  <c r="EB317" i="16"/>
  <c r="EA317" i="16"/>
  <c r="DZ317" i="16"/>
  <c r="CN317" i="16"/>
  <c r="CL317" i="16"/>
  <c r="CJ317" i="16"/>
  <c r="EC315" i="16"/>
  <c r="EB315" i="16"/>
  <c r="EA315" i="16"/>
  <c r="DZ315" i="16"/>
  <c r="CN315" i="16"/>
  <c r="CL315" i="16"/>
  <c r="CJ315" i="16"/>
  <c r="EC313" i="16"/>
  <c r="EB313" i="16"/>
  <c r="EA313" i="16"/>
  <c r="DZ313" i="16"/>
  <c r="CN313" i="16"/>
  <c r="CL313" i="16"/>
  <c r="CJ313" i="16"/>
  <c r="EC311" i="16"/>
  <c r="EB311" i="16"/>
  <c r="EA311" i="16"/>
  <c r="DZ311" i="16"/>
  <c r="CN311" i="16"/>
  <c r="CL311" i="16"/>
  <c r="CJ311" i="16"/>
  <c r="EC307" i="16"/>
  <c r="EB307" i="16"/>
  <c r="EA307" i="16"/>
  <c r="DZ307" i="16"/>
  <c r="CN307" i="16"/>
  <c r="CL307" i="16"/>
  <c r="CJ307" i="16"/>
  <c r="EC299" i="16"/>
  <c r="EB299" i="16"/>
  <c r="EA299" i="16"/>
  <c r="DZ299" i="16"/>
  <c r="CN299" i="16"/>
  <c r="CL299" i="16"/>
  <c r="CJ299" i="16"/>
  <c r="EC289" i="16"/>
  <c r="EB289" i="16"/>
  <c r="EA289" i="16"/>
  <c r="DZ289" i="16"/>
  <c r="CN289" i="16"/>
  <c r="CL289" i="16"/>
  <c r="CJ289" i="16"/>
  <c r="EC284" i="16"/>
  <c r="EB284" i="16"/>
  <c r="EA284" i="16"/>
  <c r="DZ284" i="16"/>
  <c r="CN284" i="16"/>
  <c r="CN283" i="16" s="1"/>
  <c r="CL284" i="16"/>
  <c r="CL283" i="16" s="1"/>
  <c r="CJ284" i="16"/>
  <c r="CJ283" i="16" s="1"/>
  <c r="EC280" i="16"/>
  <c r="EB280" i="16"/>
  <c r="EA280" i="16"/>
  <c r="DZ280" i="16"/>
  <c r="CN280" i="16"/>
  <c r="CL280" i="16"/>
  <c r="CJ280" i="16"/>
  <c r="EC277" i="16"/>
  <c r="EB277" i="16"/>
  <c r="EA277" i="16"/>
  <c r="DZ277" i="16"/>
  <c r="CN277" i="16"/>
  <c r="CL277" i="16"/>
  <c r="CJ277" i="16"/>
  <c r="EC267" i="16"/>
  <c r="EB267" i="16"/>
  <c r="EA267" i="16"/>
  <c r="DZ267" i="16"/>
  <c r="CN267" i="16"/>
  <c r="CL267" i="16"/>
  <c r="CJ267" i="16"/>
  <c r="EC263" i="16"/>
  <c r="EB263" i="16"/>
  <c r="EA263" i="16"/>
  <c r="DZ263" i="16"/>
  <c r="CN263" i="16"/>
  <c r="CL263" i="16"/>
  <c r="CJ263" i="16"/>
  <c r="EC247" i="16"/>
  <c r="EB247" i="16"/>
  <c r="EA247" i="16"/>
  <c r="DZ247" i="16"/>
  <c r="CN247" i="16"/>
  <c r="CL247" i="16"/>
  <c r="CJ247" i="16"/>
  <c r="EC243" i="16"/>
  <c r="EB243" i="16"/>
  <c r="EA243" i="16"/>
  <c r="DZ243" i="16"/>
  <c r="CN243" i="16"/>
  <c r="CL243" i="16"/>
  <c r="CJ243" i="16"/>
  <c r="EC230" i="16"/>
  <c r="EB230" i="16"/>
  <c r="EA230" i="16"/>
  <c r="DZ230" i="16"/>
  <c r="CN230" i="16"/>
  <c r="CL230" i="16"/>
  <c r="CJ230" i="16"/>
  <c r="EC226" i="16"/>
  <c r="EB226" i="16"/>
  <c r="EA226" i="16"/>
  <c r="DZ226" i="16"/>
  <c r="CN226" i="16"/>
  <c r="CL226" i="16"/>
  <c r="CJ226" i="16"/>
  <c r="EC221" i="16"/>
  <c r="EB221" i="16"/>
  <c r="EA221" i="16"/>
  <c r="DZ221" i="16"/>
  <c r="CN221" i="16"/>
  <c r="CL221" i="16"/>
  <c r="CJ221" i="16"/>
  <c r="EC219" i="16"/>
  <c r="EB219" i="16"/>
  <c r="EA219" i="16"/>
  <c r="DZ219" i="16"/>
  <c r="CN219" i="16"/>
  <c r="CL219" i="16"/>
  <c r="CJ219" i="16"/>
  <c r="EC209" i="16"/>
  <c r="EB209" i="16"/>
  <c r="EA209" i="16"/>
  <c r="DZ209" i="16"/>
  <c r="CN209" i="16"/>
  <c r="CL209" i="16"/>
  <c r="CJ209" i="16"/>
  <c r="EC204" i="16"/>
  <c r="EB204" i="16"/>
  <c r="EA204" i="16"/>
  <c r="DZ204" i="16"/>
  <c r="CN204" i="16"/>
  <c r="CL204" i="16"/>
  <c r="CJ204" i="16"/>
  <c r="EC201" i="16"/>
  <c r="EB201" i="16"/>
  <c r="EA201" i="16"/>
  <c r="DZ201" i="16"/>
  <c r="CN201" i="16"/>
  <c r="CL201" i="16"/>
  <c r="CJ201" i="16"/>
  <c r="EC186" i="16"/>
  <c r="EB186" i="16"/>
  <c r="EA186" i="16"/>
  <c r="DZ186" i="16"/>
  <c r="CN186" i="16"/>
  <c r="CL186" i="16"/>
  <c r="CJ186" i="16"/>
  <c r="EC180" i="16"/>
  <c r="EB180" i="16"/>
  <c r="EA180" i="16"/>
  <c r="DZ180" i="16"/>
  <c r="CN180" i="16"/>
  <c r="CL180" i="16"/>
  <c r="CJ180" i="16"/>
  <c r="EC174" i="16"/>
  <c r="EB174" i="16"/>
  <c r="EA174" i="16"/>
  <c r="DZ174" i="16"/>
  <c r="CN174" i="16"/>
  <c r="CL174" i="16"/>
  <c r="CJ174" i="16"/>
  <c r="EC172" i="16"/>
  <c r="EB172" i="16"/>
  <c r="EA172" i="16"/>
  <c r="DZ172" i="16"/>
  <c r="CN172" i="16"/>
  <c r="CL172" i="16"/>
  <c r="CJ172" i="16"/>
  <c r="EC169" i="16"/>
  <c r="EB169" i="16"/>
  <c r="EA169" i="16"/>
  <c r="DZ169" i="16"/>
  <c r="CN169" i="16"/>
  <c r="CL169" i="16"/>
  <c r="CJ169" i="16"/>
  <c r="EC165" i="16"/>
  <c r="EB165" i="16"/>
  <c r="EA165" i="16"/>
  <c r="DZ165" i="16"/>
  <c r="CN165" i="16"/>
  <c r="CL165" i="16"/>
  <c r="CJ165" i="16"/>
  <c r="EC162" i="16"/>
  <c r="EB162" i="16"/>
  <c r="EA162" i="16"/>
  <c r="DZ162" i="16"/>
  <c r="CN162" i="16"/>
  <c r="CL162" i="16"/>
  <c r="CJ162" i="16"/>
  <c r="EC158" i="16"/>
  <c r="EB158" i="16"/>
  <c r="EA158" i="16"/>
  <c r="DZ158" i="16"/>
  <c r="CN158" i="16"/>
  <c r="CL158" i="16"/>
  <c r="CJ158" i="16"/>
  <c r="EC147" i="16"/>
  <c r="EB147" i="16"/>
  <c r="EA147" i="16"/>
  <c r="DZ147" i="16"/>
  <c r="CN147" i="16"/>
  <c r="CL147" i="16"/>
  <c r="CJ147" i="16"/>
  <c r="EC133" i="16"/>
  <c r="EB133" i="16"/>
  <c r="EA133" i="16"/>
  <c r="DZ133" i="16"/>
  <c r="CN133" i="16"/>
  <c r="CL133" i="16"/>
  <c r="CJ133" i="16"/>
  <c r="EC131" i="16"/>
  <c r="EB131" i="16"/>
  <c r="EA131" i="16"/>
  <c r="DZ131" i="16"/>
  <c r="CN131" i="16"/>
  <c r="CL131" i="16"/>
  <c r="CJ131" i="16"/>
  <c r="EC129" i="16"/>
  <c r="EB129" i="16"/>
  <c r="EA129" i="16"/>
  <c r="DZ129" i="16"/>
  <c r="CN129" i="16"/>
  <c r="CL129" i="16"/>
  <c r="CJ129" i="16"/>
  <c r="E117" i="16"/>
  <c r="J94" i="16"/>
  <c r="F94" i="16"/>
  <c r="F92" i="16"/>
  <c r="E90" i="16"/>
  <c r="J28" i="16"/>
  <c r="E28" i="16"/>
  <c r="J27" i="16"/>
  <c r="J22" i="16"/>
  <c r="E22" i="16"/>
  <c r="F95" i="16" s="1"/>
  <c r="J21" i="16"/>
  <c r="J16" i="16"/>
  <c r="E7" i="16"/>
  <c r="J41" i="15"/>
  <c r="J40" i="15"/>
  <c r="BF104" i="1" s="1"/>
  <c r="J39" i="15"/>
  <c r="BE104" i="1" s="1"/>
  <c r="DT350" i="15"/>
  <c r="DS350" i="15"/>
  <c r="DR350" i="15"/>
  <c r="DQ350" i="15"/>
  <c r="CE350" i="15"/>
  <c r="CE349" i="15" s="1"/>
  <c r="CC350" i="15"/>
  <c r="CC349" i="15" s="1"/>
  <c r="CA350" i="15"/>
  <c r="CA349" i="15" s="1"/>
  <c r="DT346" i="15"/>
  <c r="DS346" i="15"/>
  <c r="DR346" i="15"/>
  <c r="DQ346" i="15"/>
  <c r="CE346" i="15"/>
  <c r="CC346" i="15"/>
  <c r="CA346" i="15"/>
  <c r="DT343" i="15"/>
  <c r="DS343" i="15"/>
  <c r="DR343" i="15"/>
  <c r="DQ343" i="15"/>
  <c r="CE343" i="15"/>
  <c r="CC343" i="15"/>
  <c r="CA343" i="15"/>
  <c r="DT341" i="15"/>
  <c r="DS341" i="15"/>
  <c r="DR341" i="15"/>
  <c r="DQ341" i="15"/>
  <c r="CE341" i="15"/>
  <c r="CC341" i="15"/>
  <c r="CA341" i="15"/>
  <c r="DT335" i="15"/>
  <c r="DS335" i="15"/>
  <c r="DR335" i="15"/>
  <c r="DQ335" i="15"/>
  <c r="CE335" i="15"/>
  <c r="CC335" i="15"/>
  <c r="CA335" i="15"/>
  <c r="DT330" i="15"/>
  <c r="DS330" i="15"/>
  <c r="DR330" i="15"/>
  <c r="DQ330" i="15"/>
  <c r="CE330" i="15"/>
  <c r="CC330" i="15"/>
  <c r="CA330" i="15"/>
  <c r="DT327" i="15"/>
  <c r="DS327" i="15"/>
  <c r="DR327" i="15"/>
  <c r="DQ327" i="15"/>
  <c r="CE327" i="15"/>
  <c r="CC327" i="15"/>
  <c r="CA327" i="15"/>
  <c r="DT325" i="15"/>
  <c r="DS325" i="15"/>
  <c r="DR325" i="15"/>
  <c r="DQ325" i="15"/>
  <c r="CE325" i="15"/>
  <c r="CC325" i="15"/>
  <c r="CA325" i="15"/>
  <c r="DT323" i="15"/>
  <c r="DS323" i="15"/>
  <c r="DR323" i="15"/>
  <c r="DQ323" i="15"/>
  <c r="CE323" i="15"/>
  <c r="CC323" i="15"/>
  <c r="CA323" i="15"/>
  <c r="DT321" i="15"/>
  <c r="DS321" i="15"/>
  <c r="DR321" i="15"/>
  <c r="DQ321" i="15"/>
  <c r="CE321" i="15"/>
  <c r="CC321" i="15"/>
  <c r="CA321" i="15"/>
  <c r="DT317" i="15"/>
  <c r="DS317" i="15"/>
  <c r="DR317" i="15"/>
  <c r="DQ317" i="15"/>
  <c r="CE317" i="15"/>
  <c r="CC317" i="15"/>
  <c r="CA317" i="15"/>
  <c r="DT314" i="15"/>
  <c r="DS314" i="15"/>
  <c r="DR314" i="15"/>
  <c r="DQ314" i="15"/>
  <c r="CE314" i="15"/>
  <c r="CC314" i="15"/>
  <c r="CA314" i="15"/>
  <c r="DT312" i="15"/>
  <c r="DS312" i="15"/>
  <c r="DR312" i="15"/>
  <c r="DQ312" i="15"/>
  <c r="CE312" i="15"/>
  <c r="CC312" i="15"/>
  <c r="CA312" i="15"/>
  <c r="DT307" i="15"/>
  <c r="DS307" i="15"/>
  <c r="DR307" i="15"/>
  <c r="DQ307" i="15"/>
  <c r="CE307" i="15"/>
  <c r="CC307" i="15"/>
  <c r="CA307" i="15"/>
  <c r="DT305" i="15"/>
  <c r="DS305" i="15"/>
  <c r="DR305" i="15"/>
  <c r="DQ305" i="15"/>
  <c r="CE305" i="15"/>
  <c r="CC305" i="15"/>
  <c r="CA305" i="15"/>
  <c r="DT303" i="15"/>
  <c r="DS303" i="15"/>
  <c r="DR303" i="15"/>
  <c r="DQ303" i="15"/>
  <c r="CE303" i="15"/>
  <c r="CC303" i="15"/>
  <c r="CA303" i="15"/>
  <c r="DT294" i="15"/>
  <c r="DS294" i="15"/>
  <c r="DR294" i="15"/>
  <c r="DQ294" i="15"/>
  <c r="CE294" i="15"/>
  <c r="CC294" i="15"/>
  <c r="CA294" i="15"/>
  <c r="DT290" i="15"/>
  <c r="DS290" i="15"/>
  <c r="DR290" i="15"/>
  <c r="DQ290" i="15"/>
  <c r="CE290" i="15"/>
  <c r="CC290" i="15"/>
  <c r="CA290" i="15"/>
  <c r="DT284" i="15"/>
  <c r="DS284" i="15"/>
  <c r="DR284" i="15"/>
  <c r="DQ284" i="15"/>
  <c r="CE284" i="15"/>
  <c r="CC284" i="15"/>
  <c r="CA284" i="15"/>
  <c r="DT282" i="15"/>
  <c r="DS282" i="15"/>
  <c r="DR282" i="15"/>
  <c r="DQ282" i="15"/>
  <c r="CE282" i="15"/>
  <c r="CC282" i="15"/>
  <c r="CA282" i="15"/>
  <c r="DT280" i="15"/>
  <c r="DS280" i="15"/>
  <c r="DR280" i="15"/>
  <c r="DQ280" i="15"/>
  <c r="CE280" i="15"/>
  <c r="CC280" i="15"/>
  <c r="CA280" i="15"/>
  <c r="DT278" i="15"/>
  <c r="DS278" i="15"/>
  <c r="DR278" i="15"/>
  <c r="DQ278" i="15"/>
  <c r="CE278" i="15"/>
  <c r="CC278" i="15"/>
  <c r="CA278" i="15"/>
  <c r="DT271" i="15"/>
  <c r="DS271" i="15"/>
  <c r="DR271" i="15"/>
  <c r="DQ271" i="15"/>
  <c r="CE271" i="15"/>
  <c r="CC271" i="15"/>
  <c r="CA271" i="15"/>
  <c r="DT265" i="15"/>
  <c r="DS265" i="15"/>
  <c r="DR265" i="15"/>
  <c r="DQ265" i="15"/>
  <c r="CE265" i="15"/>
  <c r="CC265" i="15"/>
  <c r="CA265" i="15"/>
  <c r="DT260" i="15"/>
  <c r="DS260" i="15"/>
  <c r="DR260" i="15"/>
  <c r="DQ260" i="15"/>
  <c r="CE260" i="15"/>
  <c r="CC260" i="15"/>
  <c r="CA260" i="15"/>
  <c r="DT255" i="15"/>
  <c r="DS255" i="15"/>
  <c r="DR255" i="15"/>
  <c r="DQ255" i="15"/>
  <c r="CE255" i="15"/>
  <c r="CE254" i="15" s="1"/>
  <c r="CC255" i="15"/>
  <c r="CC254" i="15" s="1"/>
  <c r="CA255" i="15"/>
  <c r="CA254" i="15" s="1"/>
  <c r="DT251" i="15"/>
  <c r="DS251" i="15"/>
  <c r="DR251" i="15"/>
  <c r="DQ251" i="15"/>
  <c r="CE251" i="15"/>
  <c r="CC251" i="15"/>
  <c r="CA251" i="15"/>
  <c r="DT245" i="15"/>
  <c r="DS245" i="15"/>
  <c r="DR245" i="15"/>
  <c r="DQ245" i="15"/>
  <c r="CE245" i="15"/>
  <c r="CC245" i="15"/>
  <c r="CA245" i="15"/>
  <c r="DT243" i="15"/>
  <c r="DS243" i="15"/>
  <c r="DR243" i="15"/>
  <c r="DQ243" i="15"/>
  <c r="CE243" i="15"/>
  <c r="CC243" i="15"/>
  <c r="CA243" i="15"/>
  <c r="DT240" i="15"/>
  <c r="DS240" i="15"/>
  <c r="DR240" i="15"/>
  <c r="DQ240" i="15"/>
  <c r="CE240" i="15"/>
  <c r="CC240" i="15"/>
  <c r="CA240" i="15"/>
  <c r="DT235" i="15"/>
  <c r="DS235" i="15"/>
  <c r="DR235" i="15"/>
  <c r="DQ235" i="15"/>
  <c r="CE235" i="15"/>
  <c r="CC235" i="15"/>
  <c r="CA235" i="15"/>
  <c r="DT223" i="15"/>
  <c r="DS223" i="15"/>
  <c r="DR223" i="15"/>
  <c r="DQ223" i="15"/>
  <c r="CE223" i="15"/>
  <c r="CC223" i="15"/>
  <c r="CA223" i="15"/>
  <c r="DT208" i="15"/>
  <c r="DS208" i="15"/>
  <c r="DR208" i="15"/>
  <c r="DQ208" i="15"/>
  <c r="CE208" i="15"/>
  <c r="CC208" i="15"/>
  <c r="CA208" i="15"/>
  <c r="DT199" i="15"/>
  <c r="DS199" i="15"/>
  <c r="DR199" i="15"/>
  <c r="DQ199" i="15"/>
  <c r="CE199" i="15"/>
  <c r="CC199" i="15"/>
  <c r="CA199" i="15"/>
  <c r="DT194" i="15"/>
  <c r="DS194" i="15"/>
  <c r="DR194" i="15"/>
  <c r="DQ194" i="15"/>
  <c r="CE194" i="15"/>
  <c r="CC194" i="15"/>
  <c r="CA194" i="15"/>
  <c r="DT184" i="15"/>
  <c r="DS184" i="15"/>
  <c r="DR184" i="15"/>
  <c r="DQ184" i="15"/>
  <c r="CE184" i="15"/>
  <c r="CC184" i="15"/>
  <c r="CA184" i="15"/>
  <c r="DT181" i="15"/>
  <c r="DS181" i="15"/>
  <c r="DR181" i="15"/>
  <c r="DQ181" i="15"/>
  <c r="CE181" i="15"/>
  <c r="CC181" i="15"/>
  <c r="CA181" i="15"/>
  <c r="DT177" i="15"/>
  <c r="DS177" i="15"/>
  <c r="DR177" i="15"/>
  <c r="DQ177" i="15"/>
  <c r="CE177" i="15"/>
  <c r="CC177" i="15"/>
  <c r="CA177" i="15"/>
  <c r="DT175" i="15"/>
  <c r="DS175" i="15"/>
  <c r="DR175" i="15"/>
  <c r="DQ175" i="15"/>
  <c r="CE175" i="15"/>
  <c r="CC175" i="15"/>
  <c r="CA175" i="15"/>
  <c r="DT167" i="15"/>
  <c r="DS167" i="15"/>
  <c r="DR167" i="15"/>
  <c r="DQ167" i="15"/>
  <c r="CE167" i="15"/>
  <c r="CC167" i="15"/>
  <c r="CA167" i="15"/>
  <c r="DT165" i="15"/>
  <c r="DS165" i="15"/>
  <c r="DR165" i="15"/>
  <c r="DQ165" i="15"/>
  <c r="CE165" i="15"/>
  <c r="CC165" i="15"/>
  <c r="CA165" i="15"/>
  <c r="DT160" i="15"/>
  <c r="DS160" i="15"/>
  <c r="DR160" i="15"/>
  <c r="DQ160" i="15"/>
  <c r="CE160" i="15"/>
  <c r="CC160" i="15"/>
  <c r="CA160" i="15"/>
  <c r="DT155" i="15"/>
  <c r="DS155" i="15"/>
  <c r="DR155" i="15"/>
  <c r="DQ155" i="15"/>
  <c r="CE155" i="15"/>
  <c r="CC155" i="15"/>
  <c r="CA155" i="15"/>
  <c r="DT152" i="15"/>
  <c r="DS152" i="15"/>
  <c r="DR152" i="15"/>
  <c r="DQ152" i="15"/>
  <c r="CE152" i="15"/>
  <c r="CC152" i="15"/>
  <c r="CA152" i="15"/>
  <c r="DT142" i="15"/>
  <c r="DS142" i="15"/>
  <c r="DR142" i="15"/>
  <c r="DQ142" i="15"/>
  <c r="CE142" i="15"/>
  <c r="CC142" i="15"/>
  <c r="CA142" i="15"/>
  <c r="DT136" i="15"/>
  <c r="DS136" i="15"/>
  <c r="DR136" i="15"/>
  <c r="DQ136" i="15"/>
  <c r="CE136" i="15"/>
  <c r="CC136" i="15"/>
  <c r="CA136" i="15"/>
  <c r="DT129" i="15"/>
  <c r="DS129" i="15"/>
  <c r="DR129" i="15"/>
  <c r="DQ129" i="15"/>
  <c r="CE129" i="15"/>
  <c r="CC129" i="15"/>
  <c r="CA129" i="15"/>
  <c r="DT127" i="15"/>
  <c r="DS127" i="15"/>
  <c r="DR127" i="15"/>
  <c r="DQ127" i="15"/>
  <c r="CE127" i="15"/>
  <c r="CC127" i="15"/>
  <c r="CA127" i="15"/>
  <c r="DT125" i="15"/>
  <c r="DS125" i="15"/>
  <c r="DR125" i="15"/>
  <c r="DQ125" i="15"/>
  <c r="CE125" i="15"/>
  <c r="CC125" i="15"/>
  <c r="CA125" i="15"/>
  <c r="E116" i="15"/>
  <c r="J94" i="15"/>
  <c r="F94" i="15"/>
  <c r="F92" i="15"/>
  <c r="E90" i="15"/>
  <c r="J28" i="15"/>
  <c r="E28" i="15"/>
  <c r="J27" i="15"/>
  <c r="J22" i="15"/>
  <c r="E22" i="15"/>
  <c r="J21" i="15"/>
  <c r="J16" i="15"/>
  <c r="E7" i="15"/>
  <c r="J41" i="14"/>
  <c r="J40" i="14"/>
  <c r="BF103" i="1" s="1"/>
  <c r="J39" i="14"/>
  <c r="BE103" i="1" s="1"/>
  <c r="DB348" i="14"/>
  <c r="DA348" i="14"/>
  <c r="CZ348" i="14"/>
  <c r="CY348" i="14"/>
  <c r="BM348" i="14"/>
  <c r="BM347" i="14" s="1"/>
  <c r="BK348" i="14"/>
  <c r="BK347" i="14" s="1"/>
  <c r="BI348" i="14"/>
  <c r="BI347" i="14" s="1"/>
  <c r="DB344" i="14"/>
  <c r="DA344" i="14"/>
  <c r="CZ344" i="14"/>
  <c r="CY344" i="14"/>
  <c r="BM344" i="14"/>
  <c r="BK344" i="14"/>
  <c r="BI344" i="14"/>
  <c r="DB341" i="14"/>
  <c r="DA341" i="14"/>
  <c r="CZ341" i="14"/>
  <c r="CY341" i="14"/>
  <c r="BM341" i="14"/>
  <c r="BK341" i="14"/>
  <c r="BI341" i="14"/>
  <c r="DB339" i="14"/>
  <c r="DA339" i="14"/>
  <c r="CZ339" i="14"/>
  <c r="CY339" i="14"/>
  <c r="BM339" i="14"/>
  <c r="BK339" i="14"/>
  <c r="BI339" i="14"/>
  <c r="DB333" i="14"/>
  <c r="DA333" i="14"/>
  <c r="CZ333" i="14"/>
  <c r="CY333" i="14"/>
  <c r="BM333" i="14"/>
  <c r="BK333" i="14"/>
  <c r="BI333" i="14"/>
  <c r="DB328" i="14"/>
  <c r="DA328" i="14"/>
  <c r="CZ328" i="14"/>
  <c r="CY328" i="14"/>
  <c r="BM328" i="14"/>
  <c r="BK328" i="14"/>
  <c r="BI328" i="14"/>
  <c r="DB325" i="14"/>
  <c r="DA325" i="14"/>
  <c r="CZ325" i="14"/>
  <c r="CY325" i="14"/>
  <c r="BM325" i="14"/>
  <c r="BK325" i="14"/>
  <c r="BI325" i="14"/>
  <c r="DB323" i="14"/>
  <c r="DA323" i="14"/>
  <c r="CZ323" i="14"/>
  <c r="CY323" i="14"/>
  <c r="BM323" i="14"/>
  <c r="BK323" i="14"/>
  <c r="BI323" i="14"/>
  <c r="DB321" i="14"/>
  <c r="DA321" i="14"/>
  <c r="CZ321" i="14"/>
  <c r="CY321" i="14"/>
  <c r="BM321" i="14"/>
  <c r="BK321" i="14"/>
  <c r="BI321" i="14"/>
  <c r="DB319" i="14"/>
  <c r="DA319" i="14"/>
  <c r="CZ319" i="14"/>
  <c r="CY319" i="14"/>
  <c r="BM319" i="14"/>
  <c r="BK319" i="14"/>
  <c r="BI319" i="14"/>
  <c r="DB315" i="14"/>
  <c r="DA315" i="14"/>
  <c r="CZ315" i="14"/>
  <c r="CY315" i="14"/>
  <c r="BM315" i="14"/>
  <c r="BK315" i="14"/>
  <c r="BI315" i="14"/>
  <c r="DB312" i="14"/>
  <c r="DA312" i="14"/>
  <c r="CZ312" i="14"/>
  <c r="CY312" i="14"/>
  <c r="BM312" i="14"/>
  <c r="BK312" i="14"/>
  <c r="BI312" i="14"/>
  <c r="DB310" i="14"/>
  <c r="DA310" i="14"/>
  <c r="CZ310" i="14"/>
  <c r="CY310" i="14"/>
  <c r="BM310" i="14"/>
  <c r="BK310" i="14"/>
  <c r="BI310" i="14"/>
  <c r="DB305" i="14"/>
  <c r="DA305" i="14"/>
  <c r="CZ305" i="14"/>
  <c r="CY305" i="14"/>
  <c r="BM305" i="14"/>
  <c r="BK305" i="14"/>
  <c r="BI305" i="14"/>
  <c r="DB303" i="14"/>
  <c r="DA303" i="14"/>
  <c r="CZ303" i="14"/>
  <c r="CY303" i="14"/>
  <c r="BM303" i="14"/>
  <c r="BK303" i="14"/>
  <c r="BI303" i="14"/>
  <c r="DB301" i="14"/>
  <c r="DA301" i="14"/>
  <c r="CZ301" i="14"/>
  <c r="CY301" i="14"/>
  <c r="BM301" i="14"/>
  <c r="BK301" i="14"/>
  <c r="BI301" i="14"/>
  <c r="DB292" i="14"/>
  <c r="DA292" i="14"/>
  <c r="CZ292" i="14"/>
  <c r="CY292" i="14"/>
  <c r="BM292" i="14"/>
  <c r="BK292" i="14"/>
  <c r="BI292" i="14"/>
  <c r="DB288" i="14"/>
  <c r="DA288" i="14"/>
  <c r="CZ288" i="14"/>
  <c r="CY288" i="14"/>
  <c r="BM288" i="14"/>
  <c r="BK288" i="14"/>
  <c r="BI288" i="14"/>
  <c r="DB282" i="14"/>
  <c r="DA282" i="14"/>
  <c r="CZ282" i="14"/>
  <c r="CY282" i="14"/>
  <c r="BM282" i="14"/>
  <c r="BK282" i="14"/>
  <c r="BI282" i="14"/>
  <c r="DB280" i="14"/>
  <c r="DA280" i="14"/>
  <c r="CZ280" i="14"/>
  <c r="CY280" i="14"/>
  <c r="BM280" i="14"/>
  <c r="BK280" i="14"/>
  <c r="BI280" i="14"/>
  <c r="DB278" i="14"/>
  <c r="DA278" i="14"/>
  <c r="CZ278" i="14"/>
  <c r="CY278" i="14"/>
  <c r="BM278" i="14"/>
  <c r="BK278" i="14"/>
  <c r="BI278" i="14"/>
  <c r="DB276" i="14"/>
  <c r="DA276" i="14"/>
  <c r="CZ276" i="14"/>
  <c r="CY276" i="14"/>
  <c r="BM276" i="14"/>
  <c r="BK276" i="14"/>
  <c r="BI276" i="14"/>
  <c r="DB270" i="14"/>
  <c r="DA270" i="14"/>
  <c r="CZ270" i="14"/>
  <c r="CY270" i="14"/>
  <c r="BM270" i="14"/>
  <c r="BK270" i="14"/>
  <c r="BI270" i="14"/>
  <c r="DB265" i="14"/>
  <c r="DA265" i="14"/>
  <c r="CZ265" i="14"/>
  <c r="CY265" i="14"/>
  <c r="BM265" i="14"/>
  <c r="BK265" i="14"/>
  <c r="BI265" i="14"/>
  <c r="DB260" i="14"/>
  <c r="DA260" i="14"/>
  <c r="CZ260" i="14"/>
  <c r="CY260" i="14"/>
  <c r="BM260" i="14"/>
  <c r="BK260" i="14"/>
  <c r="BI260" i="14"/>
  <c r="DB255" i="14"/>
  <c r="DA255" i="14"/>
  <c r="CZ255" i="14"/>
  <c r="CY255" i="14"/>
  <c r="BM255" i="14"/>
  <c r="BM254" i="14" s="1"/>
  <c r="BK255" i="14"/>
  <c r="BK254" i="14" s="1"/>
  <c r="BI255" i="14"/>
  <c r="BI254" i="14" s="1"/>
  <c r="DB251" i="14"/>
  <c r="DA251" i="14"/>
  <c r="CZ251" i="14"/>
  <c r="CY251" i="14"/>
  <c r="BM251" i="14"/>
  <c r="BK251" i="14"/>
  <c r="BI251" i="14"/>
  <c r="DB245" i="14"/>
  <c r="DA245" i="14"/>
  <c r="CZ245" i="14"/>
  <c r="CY245" i="14"/>
  <c r="BM245" i="14"/>
  <c r="BK245" i="14"/>
  <c r="BI245" i="14"/>
  <c r="DB243" i="14"/>
  <c r="DA243" i="14"/>
  <c r="CZ243" i="14"/>
  <c r="CY243" i="14"/>
  <c r="BM243" i="14"/>
  <c r="BK243" i="14"/>
  <c r="BI243" i="14"/>
  <c r="DB240" i="14"/>
  <c r="DA240" i="14"/>
  <c r="CZ240" i="14"/>
  <c r="CY240" i="14"/>
  <c r="BM240" i="14"/>
  <c r="BK240" i="14"/>
  <c r="BI240" i="14"/>
  <c r="DB235" i="14"/>
  <c r="DA235" i="14"/>
  <c r="CZ235" i="14"/>
  <c r="CY235" i="14"/>
  <c r="BM235" i="14"/>
  <c r="BK235" i="14"/>
  <c r="BI235" i="14"/>
  <c r="DB223" i="14"/>
  <c r="DA223" i="14"/>
  <c r="CZ223" i="14"/>
  <c r="CY223" i="14"/>
  <c r="BM223" i="14"/>
  <c r="BK223" i="14"/>
  <c r="BI223" i="14"/>
  <c r="DB208" i="14"/>
  <c r="DA208" i="14"/>
  <c r="CZ208" i="14"/>
  <c r="CY208" i="14"/>
  <c r="BM208" i="14"/>
  <c r="BK208" i="14"/>
  <c r="BI208" i="14"/>
  <c r="DB199" i="14"/>
  <c r="DA199" i="14"/>
  <c r="CZ199" i="14"/>
  <c r="CY199" i="14"/>
  <c r="BM199" i="14"/>
  <c r="BK199" i="14"/>
  <c r="BI199" i="14"/>
  <c r="DB194" i="14"/>
  <c r="DA194" i="14"/>
  <c r="CZ194" i="14"/>
  <c r="CY194" i="14"/>
  <c r="BM194" i="14"/>
  <c r="BK194" i="14"/>
  <c r="BI194" i="14"/>
  <c r="DB184" i="14"/>
  <c r="DA184" i="14"/>
  <c r="CZ184" i="14"/>
  <c r="CY184" i="14"/>
  <c r="BM184" i="14"/>
  <c r="BK184" i="14"/>
  <c r="BI184" i="14"/>
  <c r="DB181" i="14"/>
  <c r="DA181" i="14"/>
  <c r="CZ181" i="14"/>
  <c r="CY181" i="14"/>
  <c r="BM181" i="14"/>
  <c r="BK181" i="14"/>
  <c r="BI181" i="14"/>
  <c r="DB177" i="14"/>
  <c r="DA177" i="14"/>
  <c r="CZ177" i="14"/>
  <c r="CY177" i="14"/>
  <c r="BM177" i="14"/>
  <c r="BK177" i="14"/>
  <c r="BI177" i="14"/>
  <c r="DB175" i="14"/>
  <c r="DA175" i="14"/>
  <c r="CZ175" i="14"/>
  <c r="CY175" i="14"/>
  <c r="BM175" i="14"/>
  <c r="BK175" i="14"/>
  <c r="BI175" i="14"/>
  <c r="DB167" i="14"/>
  <c r="DA167" i="14"/>
  <c r="CZ167" i="14"/>
  <c r="CY167" i="14"/>
  <c r="BM167" i="14"/>
  <c r="BK167" i="14"/>
  <c r="BI167" i="14"/>
  <c r="DB165" i="14"/>
  <c r="DA165" i="14"/>
  <c r="CZ165" i="14"/>
  <c r="CY165" i="14"/>
  <c r="BM165" i="14"/>
  <c r="BK165" i="14"/>
  <c r="BI165" i="14"/>
  <c r="DB160" i="14"/>
  <c r="DA160" i="14"/>
  <c r="CZ160" i="14"/>
  <c r="CY160" i="14"/>
  <c r="BM160" i="14"/>
  <c r="BK160" i="14"/>
  <c r="BI160" i="14"/>
  <c r="DB155" i="14"/>
  <c r="DA155" i="14"/>
  <c r="CZ155" i="14"/>
  <c r="CY155" i="14"/>
  <c r="BM155" i="14"/>
  <c r="BK155" i="14"/>
  <c r="BI155" i="14"/>
  <c r="DB152" i="14"/>
  <c r="DA152" i="14"/>
  <c r="CZ152" i="14"/>
  <c r="CY152" i="14"/>
  <c r="BM152" i="14"/>
  <c r="BK152" i="14"/>
  <c r="BI152" i="14"/>
  <c r="DB142" i="14"/>
  <c r="DA142" i="14"/>
  <c r="CZ142" i="14"/>
  <c r="CY142" i="14"/>
  <c r="BM142" i="14"/>
  <c r="BK142" i="14"/>
  <c r="BI142" i="14"/>
  <c r="DB136" i="14"/>
  <c r="DA136" i="14"/>
  <c r="CZ136" i="14"/>
  <c r="CY136" i="14"/>
  <c r="BM136" i="14"/>
  <c r="BK136" i="14"/>
  <c r="BI136" i="14"/>
  <c r="DB129" i="14"/>
  <c r="DA129" i="14"/>
  <c r="CZ129" i="14"/>
  <c r="CY129" i="14"/>
  <c r="BM129" i="14"/>
  <c r="BK129" i="14"/>
  <c r="BI129" i="14"/>
  <c r="DB127" i="14"/>
  <c r="DA127" i="14"/>
  <c r="CZ127" i="14"/>
  <c r="CY127" i="14"/>
  <c r="BM127" i="14"/>
  <c r="BK127" i="14"/>
  <c r="BI127" i="14"/>
  <c r="DB125" i="14"/>
  <c r="DA125" i="14"/>
  <c r="CZ125" i="14"/>
  <c r="CY125" i="14"/>
  <c r="BM125" i="14"/>
  <c r="BK125" i="14"/>
  <c r="BI125" i="14"/>
  <c r="E116" i="14"/>
  <c r="J94" i="14"/>
  <c r="F94" i="14"/>
  <c r="F92" i="14"/>
  <c r="E90" i="14"/>
  <c r="J28" i="14"/>
  <c r="E28" i="14"/>
  <c r="J95" i="14" s="1"/>
  <c r="J27" i="14"/>
  <c r="J22" i="14"/>
  <c r="E22" i="14"/>
  <c r="F95" i="14" s="1"/>
  <c r="J21" i="14"/>
  <c r="J16" i="14"/>
  <c r="E7" i="14"/>
  <c r="J41" i="13"/>
  <c r="J40" i="13"/>
  <c r="BF102" i="1" s="1"/>
  <c r="J39" i="13"/>
  <c r="BE102" i="1" s="1"/>
  <c r="EQ350" i="13"/>
  <c r="EP350" i="13"/>
  <c r="EO350" i="13"/>
  <c r="EN350" i="13"/>
  <c r="DB350" i="13"/>
  <c r="DB349" i="13" s="1"/>
  <c r="CZ350" i="13"/>
  <c r="CZ349" i="13" s="1"/>
  <c r="CX350" i="13"/>
  <c r="CX349" i="13" s="1"/>
  <c r="EQ346" i="13"/>
  <c r="EP346" i="13"/>
  <c r="EO346" i="13"/>
  <c r="EN346" i="13"/>
  <c r="DB346" i="13"/>
  <c r="CZ346" i="13"/>
  <c r="CX346" i="13"/>
  <c r="EQ343" i="13"/>
  <c r="EP343" i="13"/>
  <c r="EO343" i="13"/>
  <c r="EN343" i="13"/>
  <c r="DB343" i="13"/>
  <c r="CZ343" i="13"/>
  <c r="CX343" i="13"/>
  <c r="EQ341" i="13"/>
  <c r="EP341" i="13"/>
  <c r="EO341" i="13"/>
  <c r="EN341" i="13"/>
  <c r="DB341" i="13"/>
  <c r="CZ341" i="13"/>
  <c r="CX341" i="13"/>
  <c r="EQ335" i="13"/>
  <c r="EP335" i="13"/>
  <c r="EO335" i="13"/>
  <c r="EN335" i="13"/>
  <c r="DB335" i="13"/>
  <c r="CZ335" i="13"/>
  <c r="CX335" i="13"/>
  <c r="EQ330" i="13"/>
  <c r="EP330" i="13"/>
  <c r="EO330" i="13"/>
  <c r="EN330" i="13"/>
  <c r="DB330" i="13"/>
  <c r="CZ330" i="13"/>
  <c r="CX330" i="13"/>
  <c r="EQ327" i="13"/>
  <c r="EP327" i="13"/>
  <c r="EO327" i="13"/>
  <c r="EN327" i="13"/>
  <c r="DB327" i="13"/>
  <c r="CZ327" i="13"/>
  <c r="CX327" i="13"/>
  <c r="EQ325" i="13"/>
  <c r="EP325" i="13"/>
  <c r="EO325" i="13"/>
  <c r="EN325" i="13"/>
  <c r="DB325" i="13"/>
  <c r="CZ325" i="13"/>
  <c r="CX325" i="13"/>
  <c r="EQ323" i="13"/>
  <c r="EP323" i="13"/>
  <c r="EO323" i="13"/>
  <c r="EN323" i="13"/>
  <c r="DB323" i="13"/>
  <c r="CZ323" i="13"/>
  <c r="CX323" i="13"/>
  <c r="EQ321" i="13"/>
  <c r="EP321" i="13"/>
  <c r="EO321" i="13"/>
  <c r="EN321" i="13"/>
  <c r="DB321" i="13"/>
  <c r="CZ321" i="13"/>
  <c r="CX321" i="13"/>
  <c r="EQ317" i="13"/>
  <c r="EP317" i="13"/>
  <c r="EO317" i="13"/>
  <c r="EN317" i="13"/>
  <c r="DB317" i="13"/>
  <c r="CZ317" i="13"/>
  <c r="CX317" i="13"/>
  <c r="EQ314" i="13"/>
  <c r="EP314" i="13"/>
  <c r="EO314" i="13"/>
  <c r="EN314" i="13"/>
  <c r="DB314" i="13"/>
  <c r="CZ314" i="13"/>
  <c r="CX314" i="13"/>
  <c r="EQ312" i="13"/>
  <c r="EP312" i="13"/>
  <c r="EO312" i="13"/>
  <c r="EN312" i="13"/>
  <c r="DB312" i="13"/>
  <c r="CZ312" i="13"/>
  <c r="CX312" i="13"/>
  <c r="EQ307" i="13"/>
  <c r="EP307" i="13"/>
  <c r="EO307" i="13"/>
  <c r="EN307" i="13"/>
  <c r="DB307" i="13"/>
  <c r="CZ307" i="13"/>
  <c r="CX307" i="13"/>
  <c r="EQ305" i="13"/>
  <c r="EP305" i="13"/>
  <c r="EO305" i="13"/>
  <c r="EN305" i="13"/>
  <c r="DB305" i="13"/>
  <c r="CZ305" i="13"/>
  <c r="CX305" i="13"/>
  <c r="EQ303" i="13"/>
  <c r="EP303" i="13"/>
  <c r="EO303" i="13"/>
  <c r="EN303" i="13"/>
  <c r="DB303" i="13"/>
  <c r="CZ303" i="13"/>
  <c r="CX303" i="13"/>
  <c r="EQ292" i="13"/>
  <c r="EP292" i="13"/>
  <c r="EO292" i="13"/>
  <c r="EN292" i="13"/>
  <c r="DB292" i="13"/>
  <c r="CZ292" i="13"/>
  <c r="CX292" i="13"/>
  <c r="EQ288" i="13"/>
  <c r="EP288" i="13"/>
  <c r="EO288" i="13"/>
  <c r="EN288" i="13"/>
  <c r="DB288" i="13"/>
  <c r="CZ288" i="13"/>
  <c r="CX288" i="13"/>
  <c r="EQ282" i="13"/>
  <c r="EP282" i="13"/>
  <c r="EO282" i="13"/>
  <c r="EN282" i="13"/>
  <c r="DB282" i="13"/>
  <c r="CZ282" i="13"/>
  <c r="CX282" i="13"/>
  <c r="EQ280" i="13"/>
  <c r="EP280" i="13"/>
  <c r="EO280" i="13"/>
  <c r="EN280" i="13"/>
  <c r="DB280" i="13"/>
  <c r="CZ280" i="13"/>
  <c r="CX280" i="13"/>
  <c r="EQ278" i="13"/>
  <c r="EP278" i="13"/>
  <c r="EO278" i="13"/>
  <c r="EN278" i="13"/>
  <c r="DB278" i="13"/>
  <c r="CZ278" i="13"/>
  <c r="CX278" i="13"/>
  <c r="EQ276" i="13"/>
  <c r="EP276" i="13"/>
  <c r="EO276" i="13"/>
  <c r="EN276" i="13"/>
  <c r="DB276" i="13"/>
  <c r="CZ276" i="13"/>
  <c r="CX276" i="13"/>
  <c r="EQ270" i="13"/>
  <c r="EP270" i="13"/>
  <c r="EO270" i="13"/>
  <c r="EN270" i="13"/>
  <c r="DB270" i="13"/>
  <c r="CZ270" i="13"/>
  <c r="CX270" i="13"/>
  <c r="EQ265" i="13"/>
  <c r="EP265" i="13"/>
  <c r="EO265" i="13"/>
  <c r="EN265" i="13"/>
  <c r="DB265" i="13"/>
  <c r="CZ265" i="13"/>
  <c r="CX265" i="13"/>
  <c r="EQ260" i="13"/>
  <c r="EP260" i="13"/>
  <c r="EO260" i="13"/>
  <c r="EN260" i="13"/>
  <c r="DB260" i="13"/>
  <c r="CZ260" i="13"/>
  <c r="CX260" i="13"/>
  <c r="EQ255" i="13"/>
  <c r="EP255" i="13"/>
  <c r="EO255" i="13"/>
  <c r="EN255" i="13"/>
  <c r="DB255" i="13"/>
  <c r="DB254" i="13" s="1"/>
  <c r="CZ255" i="13"/>
  <c r="CZ254" i="13" s="1"/>
  <c r="CX255" i="13"/>
  <c r="CX254" i="13" s="1"/>
  <c r="EQ251" i="13"/>
  <c r="EP251" i="13"/>
  <c r="EO251" i="13"/>
  <c r="EN251" i="13"/>
  <c r="DB251" i="13"/>
  <c r="CZ251" i="13"/>
  <c r="CX251" i="13"/>
  <c r="EQ245" i="13"/>
  <c r="EP245" i="13"/>
  <c r="EO245" i="13"/>
  <c r="EN245" i="13"/>
  <c r="DB245" i="13"/>
  <c r="CZ245" i="13"/>
  <c r="CX245" i="13"/>
  <c r="EQ243" i="13"/>
  <c r="EP243" i="13"/>
  <c r="EO243" i="13"/>
  <c r="EN243" i="13"/>
  <c r="DB243" i="13"/>
  <c r="CZ243" i="13"/>
  <c r="CX243" i="13"/>
  <c r="EQ240" i="13"/>
  <c r="EP240" i="13"/>
  <c r="EO240" i="13"/>
  <c r="EN240" i="13"/>
  <c r="DB240" i="13"/>
  <c r="CZ240" i="13"/>
  <c r="CX240" i="13"/>
  <c r="EQ235" i="13"/>
  <c r="EP235" i="13"/>
  <c r="EO235" i="13"/>
  <c r="EN235" i="13"/>
  <c r="DB235" i="13"/>
  <c r="CZ235" i="13"/>
  <c r="CX235" i="13"/>
  <c r="EQ223" i="13"/>
  <c r="EP223" i="13"/>
  <c r="EO223" i="13"/>
  <c r="EN223" i="13"/>
  <c r="DB223" i="13"/>
  <c r="CZ223" i="13"/>
  <c r="CX223" i="13"/>
  <c r="EQ208" i="13"/>
  <c r="EP208" i="13"/>
  <c r="EO208" i="13"/>
  <c r="EN208" i="13"/>
  <c r="DB208" i="13"/>
  <c r="CZ208" i="13"/>
  <c r="CX208" i="13"/>
  <c r="EQ199" i="13"/>
  <c r="EP199" i="13"/>
  <c r="EO199" i="13"/>
  <c r="EN199" i="13"/>
  <c r="DB199" i="13"/>
  <c r="CZ199" i="13"/>
  <c r="CX199" i="13"/>
  <c r="EQ194" i="13"/>
  <c r="EP194" i="13"/>
  <c r="EO194" i="13"/>
  <c r="EN194" i="13"/>
  <c r="DB194" i="13"/>
  <c r="CZ194" i="13"/>
  <c r="CX194" i="13"/>
  <c r="EQ184" i="13"/>
  <c r="EP184" i="13"/>
  <c r="EO184" i="13"/>
  <c r="EN184" i="13"/>
  <c r="DB184" i="13"/>
  <c r="CZ184" i="13"/>
  <c r="CX184" i="13"/>
  <c r="EQ181" i="13"/>
  <c r="EP181" i="13"/>
  <c r="EO181" i="13"/>
  <c r="EN181" i="13"/>
  <c r="DB181" i="13"/>
  <c r="CZ181" i="13"/>
  <c r="CX181" i="13"/>
  <c r="EQ177" i="13"/>
  <c r="EP177" i="13"/>
  <c r="EO177" i="13"/>
  <c r="EN177" i="13"/>
  <c r="DB177" i="13"/>
  <c r="CZ177" i="13"/>
  <c r="CX177" i="13"/>
  <c r="EQ175" i="13"/>
  <c r="EP175" i="13"/>
  <c r="EO175" i="13"/>
  <c r="EN175" i="13"/>
  <c r="DB175" i="13"/>
  <c r="CZ175" i="13"/>
  <c r="CX175" i="13"/>
  <c r="EQ167" i="13"/>
  <c r="EP167" i="13"/>
  <c r="EO167" i="13"/>
  <c r="EN167" i="13"/>
  <c r="DB167" i="13"/>
  <c r="CZ167" i="13"/>
  <c r="CX167" i="13"/>
  <c r="EQ165" i="13"/>
  <c r="EP165" i="13"/>
  <c r="EO165" i="13"/>
  <c r="EN165" i="13"/>
  <c r="DB165" i="13"/>
  <c r="CZ165" i="13"/>
  <c r="CX165" i="13"/>
  <c r="EQ160" i="13"/>
  <c r="EP160" i="13"/>
  <c r="EO160" i="13"/>
  <c r="EN160" i="13"/>
  <c r="DB160" i="13"/>
  <c r="CZ160" i="13"/>
  <c r="CX160" i="13"/>
  <c r="EQ155" i="13"/>
  <c r="EP155" i="13"/>
  <c r="EO155" i="13"/>
  <c r="EN155" i="13"/>
  <c r="DB155" i="13"/>
  <c r="CZ155" i="13"/>
  <c r="CX155" i="13"/>
  <c r="EQ152" i="13"/>
  <c r="EP152" i="13"/>
  <c r="EO152" i="13"/>
  <c r="EN152" i="13"/>
  <c r="DB152" i="13"/>
  <c r="CZ152" i="13"/>
  <c r="CX152" i="13"/>
  <c r="EQ142" i="13"/>
  <c r="EP142" i="13"/>
  <c r="EO142" i="13"/>
  <c r="EN142" i="13"/>
  <c r="DB142" i="13"/>
  <c r="CZ142" i="13"/>
  <c r="CX142" i="13"/>
  <c r="EQ136" i="13"/>
  <c r="EP136" i="13"/>
  <c r="EO136" i="13"/>
  <c r="EN136" i="13"/>
  <c r="DB136" i="13"/>
  <c r="CZ136" i="13"/>
  <c r="CX136" i="13"/>
  <c r="EQ129" i="13"/>
  <c r="EP129" i="13"/>
  <c r="EO129" i="13"/>
  <c r="EN129" i="13"/>
  <c r="DB129" i="13"/>
  <c r="CZ129" i="13"/>
  <c r="CX129" i="13"/>
  <c r="EQ127" i="13"/>
  <c r="EP127" i="13"/>
  <c r="EO127" i="13"/>
  <c r="EN127" i="13"/>
  <c r="DB127" i="13"/>
  <c r="CZ127" i="13"/>
  <c r="CX127" i="13"/>
  <c r="EQ125" i="13"/>
  <c r="EP125" i="13"/>
  <c r="EO125" i="13"/>
  <c r="EN125" i="13"/>
  <c r="DB125" i="13"/>
  <c r="CZ125" i="13"/>
  <c r="CX125" i="13"/>
  <c r="E116" i="13"/>
  <c r="J94" i="13"/>
  <c r="F94" i="13"/>
  <c r="F92" i="13"/>
  <c r="E90" i="13"/>
  <c r="J28" i="13"/>
  <c r="E28" i="13"/>
  <c r="J27" i="13"/>
  <c r="J22" i="13"/>
  <c r="E22" i="13"/>
  <c r="J21" i="13"/>
  <c r="J16" i="13"/>
  <c r="E7" i="13"/>
  <c r="E84" i="13" s="1"/>
  <c r="J41" i="12"/>
  <c r="J40" i="12"/>
  <c r="BF101" i="1" s="1"/>
  <c r="J39" i="12"/>
  <c r="BE101" i="1" s="1"/>
  <c r="CK374" i="12"/>
  <c r="CJ374" i="12"/>
  <c r="CI374" i="12"/>
  <c r="CH374" i="12"/>
  <c r="AV374" i="12"/>
  <c r="AV373" i="12" s="1"/>
  <c r="AT374" i="12"/>
  <c r="AT373" i="12" s="1"/>
  <c r="AR374" i="12"/>
  <c r="AR373" i="12" s="1"/>
  <c r="CK370" i="12"/>
  <c r="CJ370" i="12"/>
  <c r="CI370" i="12"/>
  <c r="CH370" i="12"/>
  <c r="AV370" i="12"/>
  <c r="AT370" i="12"/>
  <c r="AR370" i="12"/>
  <c r="CK367" i="12"/>
  <c r="CJ367" i="12"/>
  <c r="CI367" i="12"/>
  <c r="CH367" i="12"/>
  <c r="AV367" i="12"/>
  <c r="AT367" i="12"/>
  <c r="AR367" i="12"/>
  <c r="CK365" i="12"/>
  <c r="CJ365" i="12"/>
  <c r="CI365" i="12"/>
  <c r="CH365" i="12"/>
  <c r="AV365" i="12"/>
  <c r="AT365" i="12"/>
  <c r="AR365" i="12"/>
  <c r="CK359" i="12"/>
  <c r="CJ359" i="12"/>
  <c r="CI359" i="12"/>
  <c r="CH359" i="12"/>
  <c r="AV359" i="12"/>
  <c r="AT359" i="12"/>
  <c r="AR359" i="12"/>
  <c r="CK354" i="12"/>
  <c r="CJ354" i="12"/>
  <c r="CI354" i="12"/>
  <c r="CH354" i="12"/>
  <c r="AV354" i="12"/>
  <c r="AT354" i="12"/>
  <c r="AR354" i="12"/>
  <c r="CK351" i="12"/>
  <c r="CJ351" i="12"/>
  <c r="CI351" i="12"/>
  <c r="CH351" i="12"/>
  <c r="AV351" i="12"/>
  <c r="AT351" i="12"/>
  <c r="AR351" i="12"/>
  <c r="CK349" i="12"/>
  <c r="CJ349" i="12"/>
  <c r="CI349" i="12"/>
  <c r="CH349" i="12"/>
  <c r="AV349" i="12"/>
  <c r="AT349" i="12"/>
  <c r="AR349" i="12"/>
  <c r="CK347" i="12"/>
  <c r="CJ347" i="12"/>
  <c r="CI347" i="12"/>
  <c r="CH347" i="12"/>
  <c r="AV347" i="12"/>
  <c r="AT347" i="12"/>
  <c r="AR347" i="12"/>
  <c r="CK343" i="12"/>
  <c r="CJ343" i="12"/>
  <c r="CI343" i="12"/>
  <c r="CH343" i="12"/>
  <c r="AV343" i="12"/>
  <c r="AT343" i="12"/>
  <c r="AR343" i="12"/>
  <c r="CK341" i="12"/>
  <c r="CJ341" i="12"/>
  <c r="CI341" i="12"/>
  <c r="CH341" i="12"/>
  <c r="AV341" i="12"/>
  <c r="AT341" i="12"/>
  <c r="AR341" i="12"/>
  <c r="CK339" i="12"/>
  <c r="CJ339" i="12"/>
  <c r="CI339" i="12"/>
  <c r="CH339" i="12"/>
  <c r="AV339" i="12"/>
  <c r="AT339" i="12"/>
  <c r="AR339" i="12"/>
  <c r="CK337" i="12"/>
  <c r="CJ337" i="12"/>
  <c r="CI337" i="12"/>
  <c r="CH337" i="12"/>
  <c r="AV337" i="12"/>
  <c r="AT337" i="12"/>
  <c r="AR337" i="12"/>
  <c r="CK335" i="12"/>
  <c r="CJ335" i="12"/>
  <c r="CI335" i="12"/>
  <c r="CH335" i="12"/>
  <c r="AV335" i="12"/>
  <c r="AT335" i="12"/>
  <c r="AR335" i="12"/>
  <c r="CK331" i="12"/>
  <c r="CJ331" i="12"/>
  <c r="CI331" i="12"/>
  <c r="CH331" i="12"/>
  <c r="AV331" i="12"/>
  <c r="AT331" i="12"/>
  <c r="AR331" i="12"/>
  <c r="CK328" i="12"/>
  <c r="CJ328" i="12"/>
  <c r="CI328" i="12"/>
  <c r="CH328" i="12"/>
  <c r="AV328" i="12"/>
  <c r="AT328" i="12"/>
  <c r="AR328" i="12"/>
  <c r="CK326" i="12"/>
  <c r="CJ326" i="12"/>
  <c r="CI326" i="12"/>
  <c r="CH326" i="12"/>
  <c r="AV326" i="12"/>
  <c r="AT326" i="12"/>
  <c r="AR326" i="12"/>
  <c r="CK321" i="12"/>
  <c r="CJ321" i="12"/>
  <c r="CI321" i="12"/>
  <c r="CH321" i="12"/>
  <c r="AV321" i="12"/>
  <c r="AT321" i="12"/>
  <c r="AR321" i="12"/>
  <c r="CK319" i="12"/>
  <c r="CJ319" i="12"/>
  <c r="CI319" i="12"/>
  <c r="CH319" i="12"/>
  <c r="AV319" i="12"/>
  <c r="AT319" i="12"/>
  <c r="AR319" i="12"/>
  <c r="CK317" i="12"/>
  <c r="CJ317" i="12"/>
  <c r="CI317" i="12"/>
  <c r="CH317" i="12"/>
  <c r="AV317" i="12"/>
  <c r="AT317" i="12"/>
  <c r="AR317" i="12"/>
  <c r="CK306" i="12"/>
  <c r="CJ306" i="12"/>
  <c r="CI306" i="12"/>
  <c r="CH306" i="12"/>
  <c r="AV306" i="12"/>
  <c r="AT306" i="12"/>
  <c r="AR306" i="12"/>
  <c r="CK302" i="12"/>
  <c r="CJ302" i="12"/>
  <c r="CI302" i="12"/>
  <c r="CH302" i="12"/>
  <c r="AV302" i="12"/>
  <c r="AT302" i="12"/>
  <c r="AR302" i="12"/>
  <c r="CK296" i="12"/>
  <c r="CJ296" i="12"/>
  <c r="CI296" i="12"/>
  <c r="CH296" i="12"/>
  <c r="AV296" i="12"/>
  <c r="AT296" i="12"/>
  <c r="AR296" i="12"/>
  <c r="CK294" i="12"/>
  <c r="CJ294" i="12"/>
  <c r="CI294" i="12"/>
  <c r="CH294" i="12"/>
  <c r="AV294" i="12"/>
  <c r="AT294" i="12"/>
  <c r="AR294" i="12"/>
  <c r="CK292" i="12"/>
  <c r="CJ292" i="12"/>
  <c r="CI292" i="12"/>
  <c r="CH292" i="12"/>
  <c r="AV292" i="12"/>
  <c r="AT292" i="12"/>
  <c r="AR292" i="12"/>
  <c r="CK290" i="12"/>
  <c r="CJ290" i="12"/>
  <c r="CI290" i="12"/>
  <c r="CH290" i="12"/>
  <c r="AV290" i="12"/>
  <c r="AT290" i="12"/>
  <c r="AR290" i="12"/>
  <c r="CK280" i="12"/>
  <c r="CJ280" i="12"/>
  <c r="CI280" i="12"/>
  <c r="CH280" i="12"/>
  <c r="AV280" i="12"/>
  <c r="AT280" i="12"/>
  <c r="AR280" i="12"/>
  <c r="CK271" i="12"/>
  <c r="CJ271" i="12"/>
  <c r="CI271" i="12"/>
  <c r="CH271" i="12"/>
  <c r="AV271" i="12"/>
  <c r="AT271" i="12"/>
  <c r="AR271" i="12"/>
  <c r="CK266" i="12"/>
  <c r="CJ266" i="12"/>
  <c r="CI266" i="12"/>
  <c r="CH266" i="12"/>
  <c r="AV266" i="12"/>
  <c r="AT266" i="12"/>
  <c r="AR266" i="12"/>
  <c r="CK261" i="12"/>
  <c r="CJ261" i="12"/>
  <c r="CI261" i="12"/>
  <c r="CH261" i="12"/>
  <c r="AV261" i="12"/>
  <c r="AV260" i="12" s="1"/>
  <c r="AT261" i="12"/>
  <c r="AT260" i="12" s="1"/>
  <c r="AR261" i="12"/>
  <c r="AR260" i="12" s="1"/>
  <c r="CK257" i="12"/>
  <c r="CJ257" i="12"/>
  <c r="CI257" i="12"/>
  <c r="CH257" i="12"/>
  <c r="AV257" i="12"/>
  <c r="AT257" i="12"/>
  <c r="AR257" i="12"/>
  <c r="CK251" i="12"/>
  <c r="CJ251" i="12"/>
  <c r="CI251" i="12"/>
  <c r="CH251" i="12"/>
  <c r="AV251" i="12"/>
  <c r="AT251" i="12"/>
  <c r="AR251" i="12"/>
  <c r="CK249" i="12"/>
  <c r="CJ249" i="12"/>
  <c r="CI249" i="12"/>
  <c r="CH249" i="12"/>
  <c r="AV249" i="12"/>
  <c r="AT249" i="12"/>
  <c r="AR249" i="12"/>
  <c r="CK246" i="12"/>
  <c r="CJ246" i="12"/>
  <c r="CI246" i="12"/>
  <c r="CH246" i="12"/>
  <c r="AV246" i="12"/>
  <c r="AT246" i="12"/>
  <c r="AR246" i="12"/>
  <c r="CK241" i="12"/>
  <c r="CJ241" i="12"/>
  <c r="CI241" i="12"/>
  <c r="CH241" i="12"/>
  <c r="AV241" i="12"/>
  <c r="AT241" i="12"/>
  <c r="AR241" i="12"/>
  <c r="CK229" i="12"/>
  <c r="CJ229" i="12"/>
  <c r="CI229" i="12"/>
  <c r="CH229" i="12"/>
  <c r="AV229" i="12"/>
  <c r="AT229" i="12"/>
  <c r="AR229" i="12"/>
  <c r="CK213" i="12"/>
  <c r="CJ213" i="12"/>
  <c r="CI213" i="12"/>
  <c r="CH213" i="12"/>
  <c r="AV213" i="12"/>
  <c r="AT213" i="12"/>
  <c r="AR213" i="12"/>
  <c r="CK204" i="12"/>
  <c r="CJ204" i="12"/>
  <c r="CI204" i="12"/>
  <c r="CH204" i="12"/>
  <c r="AV204" i="12"/>
  <c r="AT204" i="12"/>
  <c r="AR204" i="12"/>
  <c r="CK197" i="12"/>
  <c r="CJ197" i="12"/>
  <c r="CI197" i="12"/>
  <c r="CH197" i="12"/>
  <c r="AV197" i="12"/>
  <c r="AT197" i="12"/>
  <c r="AR197" i="12"/>
  <c r="CK187" i="12"/>
  <c r="CJ187" i="12"/>
  <c r="CI187" i="12"/>
  <c r="CH187" i="12"/>
  <c r="AV187" i="12"/>
  <c r="AT187" i="12"/>
  <c r="AR187" i="12"/>
  <c r="CK184" i="12"/>
  <c r="CJ184" i="12"/>
  <c r="CI184" i="12"/>
  <c r="CH184" i="12"/>
  <c r="AV184" i="12"/>
  <c r="AT184" i="12"/>
  <c r="AR184" i="12"/>
  <c r="CK180" i="12"/>
  <c r="CJ180" i="12"/>
  <c r="CI180" i="12"/>
  <c r="CH180" i="12"/>
  <c r="AV180" i="12"/>
  <c r="AT180" i="12"/>
  <c r="AR180" i="12"/>
  <c r="CK178" i="12"/>
  <c r="CJ178" i="12"/>
  <c r="CI178" i="12"/>
  <c r="CH178" i="12"/>
  <c r="AV178" i="12"/>
  <c r="AT178" i="12"/>
  <c r="AR178" i="12"/>
  <c r="CK170" i="12"/>
  <c r="CJ170" i="12"/>
  <c r="CI170" i="12"/>
  <c r="CH170" i="12"/>
  <c r="AV170" i="12"/>
  <c r="AT170" i="12"/>
  <c r="AR170" i="12"/>
  <c r="CK168" i="12"/>
  <c r="CJ168" i="12"/>
  <c r="CI168" i="12"/>
  <c r="CH168" i="12"/>
  <c r="AV168" i="12"/>
  <c r="AT168" i="12"/>
  <c r="AR168" i="12"/>
  <c r="CK163" i="12"/>
  <c r="CJ163" i="12"/>
  <c r="CI163" i="12"/>
  <c r="CH163" i="12"/>
  <c r="AV163" i="12"/>
  <c r="AT163" i="12"/>
  <c r="AR163" i="12"/>
  <c r="CK158" i="12"/>
  <c r="CJ158" i="12"/>
  <c r="CI158" i="12"/>
  <c r="CH158" i="12"/>
  <c r="AV158" i="12"/>
  <c r="AT158" i="12"/>
  <c r="AR158" i="12"/>
  <c r="CK155" i="12"/>
  <c r="CJ155" i="12"/>
  <c r="CI155" i="12"/>
  <c r="CH155" i="12"/>
  <c r="AV155" i="12"/>
  <c r="AT155" i="12"/>
  <c r="AR155" i="12"/>
  <c r="CK144" i="12"/>
  <c r="CJ144" i="12"/>
  <c r="CI144" i="12"/>
  <c r="CH144" i="12"/>
  <c r="AV144" i="12"/>
  <c r="AT144" i="12"/>
  <c r="AR144" i="12"/>
  <c r="CK138" i="12"/>
  <c r="CJ138" i="12"/>
  <c r="CI138" i="12"/>
  <c r="CH138" i="12"/>
  <c r="AV138" i="12"/>
  <c r="AT138" i="12"/>
  <c r="AR138" i="12"/>
  <c r="CK128" i="12"/>
  <c r="CJ128" i="12"/>
  <c r="CI128" i="12"/>
  <c r="CH128" i="12"/>
  <c r="AV128" i="12"/>
  <c r="AT128" i="12"/>
  <c r="AR128" i="12"/>
  <c r="CK126" i="12"/>
  <c r="CJ126" i="12"/>
  <c r="CI126" i="12"/>
  <c r="CH126" i="12"/>
  <c r="AV126" i="12"/>
  <c r="AT126" i="12"/>
  <c r="AR126" i="12"/>
  <c r="CK124" i="12"/>
  <c r="CJ124" i="12"/>
  <c r="CI124" i="12"/>
  <c r="CH124" i="12"/>
  <c r="AV124" i="12"/>
  <c r="AT124" i="12"/>
  <c r="AR124" i="12"/>
  <c r="E116" i="12"/>
  <c r="J94" i="12"/>
  <c r="F94" i="12"/>
  <c r="F92" i="12"/>
  <c r="E90" i="12"/>
  <c r="J28" i="12"/>
  <c r="E28" i="12"/>
  <c r="J27" i="12"/>
  <c r="J22" i="12"/>
  <c r="E22" i="12"/>
  <c r="F95" i="12" s="1"/>
  <c r="J21" i="12"/>
  <c r="J16" i="12"/>
  <c r="E7" i="12"/>
  <c r="J41" i="11"/>
  <c r="J40" i="11"/>
  <c r="BF100" i="1"/>
  <c r="J39" i="11"/>
  <c r="BE100" i="1" s="1"/>
  <c r="EZ349" i="11"/>
  <c r="EY349" i="11"/>
  <c r="EX349" i="11"/>
  <c r="EW349" i="11"/>
  <c r="DK349" i="11"/>
  <c r="DK348" i="11" s="1"/>
  <c r="DI349" i="11"/>
  <c r="DI348" i="11" s="1"/>
  <c r="DG349" i="11"/>
  <c r="DG348" i="11" s="1"/>
  <c r="EZ345" i="11"/>
  <c r="EY345" i="11"/>
  <c r="EX345" i="11"/>
  <c r="EW345" i="11"/>
  <c r="DK345" i="11"/>
  <c r="DI345" i="11"/>
  <c r="DG345" i="11"/>
  <c r="EZ342" i="11"/>
  <c r="EY342" i="11"/>
  <c r="EX342" i="11"/>
  <c r="EW342" i="11"/>
  <c r="DK342" i="11"/>
  <c r="DI342" i="11"/>
  <c r="DG342" i="11"/>
  <c r="EZ340" i="11"/>
  <c r="EY340" i="11"/>
  <c r="EX340" i="11"/>
  <c r="EW340" i="11"/>
  <c r="DK340" i="11"/>
  <c r="DI340" i="11"/>
  <c r="DG340" i="11"/>
  <c r="EZ334" i="11"/>
  <c r="EY334" i="11"/>
  <c r="EX334" i="11"/>
  <c r="EW334" i="11"/>
  <c r="DK334" i="11"/>
  <c r="DI334" i="11"/>
  <c r="DG334" i="11"/>
  <c r="EZ329" i="11"/>
  <c r="EY329" i="11"/>
  <c r="EX329" i="11"/>
  <c r="EW329" i="11"/>
  <c r="DK329" i="11"/>
  <c r="DI329" i="11"/>
  <c r="DG329" i="11"/>
  <c r="EZ326" i="11"/>
  <c r="EY326" i="11"/>
  <c r="EX326" i="11"/>
  <c r="EW326" i="11"/>
  <c r="DK326" i="11"/>
  <c r="DI326" i="11"/>
  <c r="DG326" i="11"/>
  <c r="EZ324" i="11"/>
  <c r="EY324" i="11"/>
  <c r="EX324" i="11"/>
  <c r="EW324" i="11"/>
  <c r="DK324" i="11"/>
  <c r="DI324" i="11"/>
  <c r="DG324" i="11"/>
  <c r="EZ322" i="11"/>
  <c r="EY322" i="11"/>
  <c r="EX322" i="11"/>
  <c r="EW322" i="11"/>
  <c r="DK322" i="11"/>
  <c r="DI322" i="11"/>
  <c r="DG322" i="11"/>
  <c r="EZ320" i="11"/>
  <c r="EY320" i="11"/>
  <c r="EX320" i="11"/>
  <c r="EW320" i="11"/>
  <c r="DK320" i="11"/>
  <c r="DI320" i="11"/>
  <c r="DG320" i="11"/>
  <c r="EZ316" i="11"/>
  <c r="EY316" i="11"/>
  <c r="EX316" i="11"/>
  <c r="EW316" i="11"/>
  <c r="DK316" i="11"/>
  <c r="DI316" i="11"/>
  <c r="DG316" i="11"/>
  <c r="EZ313" i="11"/>
  <c r="EY313" i="11"/>
  <c r="EX313" i="11"/>
  <c r="EW313" i="11"/>
  <c r="DK313" i="11"/>
  <c r="DI313" i="11"/>
  <c r="DG313" i="11"/>
  <c r="EZ311" i="11"/>
  <c r="EY311" i="11"/>
  <c r="EX311" i="11"/>
  <c r="EW311" i="11"/>
  <c r="DK311" i="11"/>
  <c r="DI311" i="11"/>
  <c r="DG311" i="11"/>
  <c r="EZ306" i="11"/>
  <c r="EY306" i="11"/>
  <c r="EX306" i="11"/>
  <c r="EW306" i="11"/>
  <c r="DK306" i="11"/>
  <c r="DI306" i="11"/>
  <c r="DG306" i="11"/>
  <c r="EZ304" i="11"/>
  <c r="EY304" i="11"/>
  <c r="EX304" i="11"/>
  <c r="EW304" i="11"/>
  <c r="DK304" i="11"/>
  <c r="DI304" i="11"/>
  <c r="DG304" i="11"/>
  <c r="EZ302" i="11"/>
  <c r="EY302" i="11"/>
  <c r="EX302" i="11"/>
  <c r="EW302" i="11"/>
  <c r="DK302" i="11"/>
  <c r="DI302" i="11"/>
  <c r="DG302" i="11"/>
  <c r="EZ291" i="11"/>
  <c r="EY291" i="11"/>
  <c r="EX291" i="11"/>
  <c r="EW291" i="11"/>
  <c r="DK291" i="11"/>
  <c r="DI291" i="11"/>
  <c r="DG291" i="11"/>
  <c r="EZ287" i="11"/>
  <c r="EY287" i="11"/>
  <c r="EX287" i="11"/>
  <c r="EW287" i="11"/>
  <c r="DK287" i="11"/>
  <c r="DI287" i="11"/>
  <c r="DG287" i="11"/>
  <c r="EZ281" i="11"/>
  <c r="EY281" i="11"/>
  <c r="EX281" i="11"/>
  <c r="EW281" i="11"/>
  <c r="DK281" i="11"/>
  <c r="DI281" i="11"/>
  <c r="DG281" i="11"/>
  <c r="EZ279" i="11"/>
  <c r="EY279" i="11"/>
  <c r="EX279" i="11"/>
  <c r="EW279" i="11"/>
  <c r="DK279" i="11"/>
  <c r="DI279" i="11"/>
  <c r="DG279" i="11"/>
  <c r="EZ277" i="11"/>
  <c r="EY277" i="11"/>
  <c r="EX277" i="11"/>
  <c r="EW277" i="11"/>
  <c r="DK277" i="11"/>
  <c r="DI277" i="11"/>
  <c r="DG277" i="11"/>
  <c r="EZ275" i="11"/>
  <c r="EY275" i="11"/>
  <c r="EX275" i="11"/>
  <c r="EW275" i="11"/>
  <c r="DK275" i="11"/>
  <c r="DI275" i="11"/>
  <c r="DG275" i="11"/>
  <c r="EZ269" i="11"/>
  <c r="EY269" i="11"/>
  <c r="EX269" i="11"/>
  <c r="EW269" i="11"/>
  <c r="DK269" i="11"/>
  <c r="DI269" i="11"/>
  <c r="DG269" i="11"/>
  <c r="EZ264" i="11"/>
  <c r="EY264" i="11"/>
  <c r="EX264" i="11"/>
  <c r="EW264" i="11"/>
  <c r="DK264" i="11"/>
  <c r="DI264" i="11"/>
  <c r="DG264" i="11"/>
  <c r="EZ259" i="11"/>
  <c r="EY259" i="11"/>
  <c r="EX259" i="11"/>
  <c r="EW259" i="11"/>
  <c r="DK259" i="11"/>
  <c r="DI259" i="11"/>
  <c r="DG259" i="11"/>
  <c r="EZ254" i="11"/>
  <c r="EY254" i="11"/>
  <c r="EX254" i="11"/>
  <c r="EW254" i="11"/>
  <c r="DK254" i="11"/>
  <c r="DK253" i="11" s="1"/>
  <c r="DI254" i="11"/>
  <c r="DI253" i="11" s="1"/>
  <c r="DG254" i="11"/>
  <c r="DG253" i="11" s="1"/>
  <c r="EZ250" i="11"/>
  <c r="EY250" i="11"/>
  <c r="EX250" i="11"/>
  <c r="EW250" i="11"/>
  <c r="DK250" i="11"/>
  <c r="DI250" i="11"/>
  <c r="DG250" i="11"/>
  <c r="EZ244" i="11"/>
  <c r="EY244" i="11"/>
  <c r="EX244" i="11"/>
  <c r="EW244" i="11"/>
  <c r="DK244" i="11"/>
  <c r="DI244" i="11"/>
  <c r="DG244" i="11"/>
  <c r="EZ242" i="11"/>
  <c r="EY242" i="11"/>
  <c r="EX242" i="11"/>
  <c r="EW242" i="11"/>
  <c r="DK242" i="11"/>
  <c r="DI242" i="11"/>
  <c r="DG242" i="11"/>
  <c r="EZ239" i="11"/>
  <c r="EY239" i="11"/>
  <c r="EX239" i="11"/>
  <c r="EW239" i="11"/>
  <c r="DK239" i="11"/>
  <c r="DI239" i="11"/>
  <c r="DG239" i="11"/>
  <c r="EZ234" i="11"/>
  <c r="EY234" i="11"/>
  <c r="EX234" i="11"/>
  <c r="EW234" i="11"/>
  <c r="DK234" i="11"/>
  <c r="DI234" i="11"/>
  <c r="DG234" i="11"/>
  <c r="EZ222" i="11"/>
  <c r="EY222" i="11"/>
  <c r="EX222" i="11"/>
  <c r="EW222" i="11"/>
  <c r="DK222" i="11"/>
  <c r="DI222" i="11"/>
  <c r="DG222" i="11"/>
  <c r="EZ207" i="11"/>
  <c r="EY207" i="11"/>
  <c r="EX207" i="11"/>
  <c r="EW207" i="11"/>
  <c r="DK207" i="11"/>
  <c r="DI207" i="11"/>
  <c r="DG207" i="11"/>
  <c r="EZ198" i="11"/>
  <c r="EY198" i="11"/>
  <c r="EX198" i="11"/>
  <c r="EW198" i="11"/>
  <c r="DK198" i="11"/>
  <c r="DI198" i="11"/>
  <c r="DG198" i="11"/>
  <c r="EZ193" i="11"/>
  <c r="EY193" i="11"/>
  <c r="EX193" i="11"/>
  <c r="EW193" i="11"/>
  <c r="DK193" i="11"/>
  <c r="DI193" i="11"/>
  <c r="DG193" i="11"/>
  <c r="EZ183" i="11"/>
  <c r="EY183" i="11"/>
  <c r="EX183" i="11"/>
  <c r="EW183" i="11"/>
  <c r="DK183" i="11"/>
  <c r="DI183" i="11"/>
  <c r="DG183" i="11"/>
  <c r="EZ180" i="11"/>
  <c r="EY180" i="11"/>
  <c r="EX180" i="11"/>
  <c r="EW180" i="11"/>
  <c r="DK180" i="11"/>
  <c r="DI180" i="11"/>
  <c r="DG180" i="11"/>
  <c r="EZ176" i="11"/>
  <c r="EY176" i="11"/>
  <c r="EX176" i="11"/>
  <c r="EW176" i="11"/>
  <c r="DK176" i="11"/>
  <c r="DI176" i="11"/>
  <c r="DG176" i="11"/>
  <c r="EZ174" i="11"/>
  <c r="EY174" i="11"/>
  <c r="EX174" i="11"/>
  <c r="EW174" i="11"/>
  <c r="DK174" i="11"/>
  <c r="DI174" i="11"/>
  <c r="DG174" i="11"/>
  <c r="EZ166" i="11"/>
  <c r="EY166" i="11"/>
  <c r="EX166" i="11"/>
  <c r="EW166" i="11"/>
  <c r="DK166" i="11"/>
  <c r="DI166" i="11"/>
  <c r="DG166" i="11"/>
  <c r="EZ164" i="11"/>
  <c r="EY164" i="11"/>
  <c r="EX164" i="11"/>
  <c r="EW164" i="11"/>
  <c r="DK164" i="11"/>
  <c r="DI164" i="11"/>
  <c r="DG164" i="11"/>
  <c r="EZ159" i="11"/>
  <c r="EY159" i="11"/>
  <c r="EX159" i="11"/>
  <c r="EW159" i="11"/>
  <c r="DK159" i="11"/>
  <c r="DI159" i="11"/>
  <c r="DG159" i="11"/>
  <c r="EZ154" i="11"/>
  <c r="EY154" i="11"/>
  <c r="EX154" i="11"/>
  <c r="EW154" i="11"/>
  <c r="DK154" i="11"/>
  <c r="DI154" i="11"/>
  <c r="DG154" i="11"/>
  <c r="EZ151" i="11"/>
  <c r="EY151" i="11"/>
  <c r="EX151" i="11"/>
  <c r="EW151" i="11"/>
  <c r="DK151" i="11"/>
  <c r="DI151" i="11"/>
  <c r="DG151" i="11"/>
  <c r="EZ141" i="11"/>
  <c r="EY141" i="11"/>
  <c r="EX141" i="11"/>
  <c r="EW141" i="11"/>
  <c r="DK141" i="11"/>
  <c r="DI141" i="11"/>
  <c r="DG141" i="11"/>
  <c r="EZ135" i="11"/>
  <c r="EY135" i="11"/>
  <c r="EX135" i="11"/>
  <c r="EW135" i="11"/>
  <c r="DK135" i="11"/>
  <c r="DI135" i="11"/>
  <c r="DG135" i="11"/>
  <c r="EZ128" i="11"/>
  <c r="EY128" i="11"/>
  <c r="EX128" i="11"/>
  <c r="EW128" i="11"/>
  <c r="DK128" i="11"/>
  <c r="DI128" i="11"/>
  <c r="DG128" i="11"/>
  <c r="EZ126" i="11"/>
  <c r="EY126" i="11"/>
  <c r="EX126" i="11"/>
  <c r="EW126" i="11"/>
  <c r="DK126" i="11"/>
  <c r="DI126" i="11"/>
  <c r="DG126" i="11"/>
  <c r="EZ124" i="11"/>
  <c r="EY124" i="11"/>
  <c r="EX124" i="11"/>
  <c r="EW124" i="11"/>
  <c r="DK124" i="11"/>
  <c r="DI124" i="11"/>
  <c r="DG124" i="11"/>
  <c r="J94" i="11"/>
  <c r="F94" i="11"/>
  <c r="F92" i="11"/>
  <c r="E90" i="11"/>
  <c r="J28" i="11"/>
  <c r="E28" i="11"/>
  <c r="J95" i="11" s="1"/>
  <c r="J27" i="11"/>
  <c r="J22" i="11"/>
  <c r="E22" i="11"/>
  <c r="J21" i="11"/>
  <c r="J16" i="11"/>
  <c r="J92" i="11" s="1"/>
  <c r="E7" i="11"/>
  <c r="E84" i="11" s="1"/>
  <c r="J41" i="10"/>
  <c r="J40" i="10"/>
  <c r="BF99" i="1" s="1"/>
  <c r="J39" i="10"/>
  <c r="BE99" i="1"/>
  <c r="DT350" i="10"/>
  <c r="DS350" i="10"/>
  <c r="DR350" i="10"/>
  <c r="DQ350" i="10"/>
  <c r="CE350" i="10"/>
  <c r="CE349" i="10" s="1"/>
  <c r="CC350" i="10"/>
  <c r="CC349" i="10" s="1"/>
  <c r="CA350" i="10"/>
  <c r="CA349" i="10" s="1"/>
  <c r="DT346" i="10"/>
  <c r="DS346" i="10"/>
  <c r="DR346" i="10"/>
  <c r="DQ346" i="10"/>
  <c r="CE346" i="10"/>
  <c r="CC346" i="10"/>
  <c r="CA346" i="10"/>
  <c r="DT343" i="10"/>
  <c r="DS343" i="10"/>
  <c r="DR343" i="10"/>
  <c r="DQ343" i="10"/>
  <c r="CE343" i="10"/>
  <c r="CC343" i="10"/>
  <c r="CA343" i="10"/>
  <c r="DT341" i="10"/>
  <c r="DS341" i="10"/>
  <c r="DR341" i="10"/>
  <c r="DQ341" i="10"/>
  <c r="CE341" i="10"/>
  <c r="CC341" i="10"/>
  <c r="CA341" i="10"/>
  <c r="DT335" i="10"/>
  <c r="DS335" i="10"/>
  <c r="DR335" i="10"/>
  <c r="DQ335" i="10"/>
  <c r="CE335" i="10"/>
  <c r="CC335" i="10"/>
  <c r="CA335" i="10"/>
  <c r="DT330" i="10"/>
  <c r="DS330" i="10"/>
  <c r="DR330" i="10"/>
  <c r="DQ330" i="10"/>
  <c r="CE330" i="10"/>
  <c r="CC330" i="10"/>
  <c r="CA330" i="10"/>
  <c r="DT327" i="10"/>
  <c r="DS327" i="10"/>
  <c r="DR327" i="10"/>
  <c r="DQ327" i="10"/>
  <c r="CE327" i="10"/>
  <c r="CC327" i="10"/>
  <c r="CA327" i="10"/>
  <c r="DT325" i="10"/>
  <c r="DS325" i="10"/>
  <c r="DR325" i="10"/>
  <c r="DQ325" i="10"/>
  <c r="CE325" i="10"/>
  <c r="CC325" i="10"/>
  <c r="CA325" i="10"/>
  <c r="DT323" i="10"/>
  <c r="DS323" i="10"/>
  <c r="DR323" i="10"/>
  <c r="DQ323" i="10"/>
  <c r="CE323" i="10"/>
  <c r="CC323" i="10"/>
  <c r="CA323" i="10"/>
  <c r="DT321" i="10"/>
  <c r="DS321" i="10"/>
  <c r="DR321" i="10"/>
  <c r="DQ321" i="10"/>
  <c r="CE321" i="10"/>
  <c r="CC321" i="10"/>
  <c r="CA321" i="10"/>
  <c r="DT317" i="10"/>
  <c r="DS317" i="10"/>
  <c r="DR317" i="10"/>
  <c r="DQ317" i="10"/>
  <c r="CE317" i="10"/>
  <c r="CC317" i="10"/>
  <c r="CA317" i="10"/>
  <c r="DT314" i="10"/>
  <c r="DS314" i="10"/>
  <c r="DR314" i="10"/>
  <c r="DQ314" i="10"/>
  <c r="CE314" i="10"/>
  <c r="CC314" i="10"/>
  <c r="CA314" i="10"/>
  <c r="DT312" i="10"/>
  <c r="DS312" i="10"/>
  <c r="DR312" i="10"/>
  <c r="DQ312" i="10"/>
  <c r="CE312" i="10"/>
  <c r="CC312" i="10"/>
  <c r="CA312" i="10"/>
  <c r="DT307" i="10"/>
  <c r="DS307" i="10"/>
  <c r="DR307" i="10"/>
  <c r="DQ307" i="10"/>
  <c r="CE307" i="10"/>
  <c r="CC307" i="10"/>
  <c r="CA307" i="10"/>
  <c r="DT305" i="10"/>
  <c r="DS305" i="10"/>
  <c r="DR305" i="10"/>
  <c r="DQ305" i="10"/>
  <c r="CE305" i="10"/>
  <c r="CC305" i="10"/>
  <c r="CA305" i="10"/>
  <c r="DT303" i="10"/>
  <c r="DS303" i="10"/>
  <c r="DR303" i="10"/>
  <c r="DQ303" i="10"/>
  <c r="CE303" i="10"/>
  <c r="CC303" i="10"/>
  <c r="CA303" i="10"/>
  <c r="DT292" i="10"/>
  <c r="DS292" i="10"/>
  <c r="DR292" i="10"/>
  <c r="DQ292" i="10"/>
  <c r="CE292" i="10"/>
  <c r="CC292" i="10"/>
  <c r="CA292" i="10"/>
  <c r="DT288" i="10"/>
  <c r="DS288" i="10"/>
  <c r="DR288" i="10"/>
  <c r="DQ288" i="10"/>
  <c r="CE288" i="10"/>
  <c r="CC288" i="10"/>
  <c r="CA288" i="10"/>
  <c r="DT282" i="10"/>
  <c r="DS282" i="10"/>
  <c r="DR282" i="10"/>
  <c r="DQ282" i="10"/>
  <c r="CE282" i="10"/>
  <c r="CC282" i="10"/>
  <c r="CA282" i="10"/>
  <c r="DT280" i="10"/>
  <c r="DS280" i="10"/>
  <c r="DR280" i="10"/>
  <c r="DQ280" i="10"/>
  <c r="CE280" i="10"/>
  <c r="CC280" i="10"/>
  <c r="CA280" i="10"/>
  <c r="DT278" i="10"/>
  <c r="DS278" i="10"/>
  <c r="DR278" i="10"/>
  <c r="DQ278" i="10"/>
  <c r="CE278" i="10"/>
  <c r="CC278" i="10"/>
  <c r="CA278" i="10"/>
  <c r="DT276" i="10"/>
  <c r="DS276" i="10"/>
  <c r="DR276" i="10"/>
  <c r="DQ276" i="10"/>
  <c r="CE276" i="10"/>
  <c r="CC276" i="10"/>
  <c r="CA276" i="10"/>
  <c r="DT270" i="10"/>
  <c r="DS270" i="10"/>
  <c r="DR270" i="10"/>
  <c r="DQ270" i="10"/>
  <c r="CE270" i="10"/>
  <c r="CC270" i="10"/>
  <c r="CA270" i="10"/>
  <c r="DT265" i="10"/>
  <c r="DS265" i="10"/>
  <c r="DR265" i="10"/>
  <c r="DQ265" i="10"/>
  <c r="CE265" i="10"/>
  <c r="CC265" i="10"/>
  <c r="CA265" i="10"/>
  <c r="DT260" i="10"/>
  <c r="DS260" i="10"/>
  <c r="DR260" i="10"/>
  <c r="DQ260" i="10"/>
  <c r="CE260" i="10"/>
  <c r="CC260" i="10"/>
  <c r="CA260" i="10"/>
  <c r="DT255" i="10"/>
  <c r="DS255" i="10"/>
  <c r="DR255" i="10"/>
  <c r="DQ255" i="10"/>
  <c r="CE255" i="10"/>
  <c r="CE254" i="10" s="1"/>
  <c r="CC255" i="10"/>
  <c r="CC254" i="10" s="1"/>
  <c r="CA255" i="10"/>
  <c r="CA254" i="10" s="1"/>
  <c r="DT251" i="10"/>
  <c r="DS251" i="10"/>
  <c r="DR251" i="10"/>
  <c r="DQ251" i="10"/>
  <c r="CE251" i="10"/>
  <c r="CC251" i="10"/>
  <c r="CA251" i="10"/>
  <c r="DT245" i="10"/>
  <c r="DS245" i="10"/>
  <c r="DR245" i="10"/>
  <c r="DQ245" i="10"/>
  <c r="CE245" i="10"/>
  <c r="CC245" i="10"/>
  <c r="CA245" i="10"/>
  <c r="DT243" i="10"/>
  <c r="DS243" i="10"/>
  <c r="DR243" i="10"/>
  <c r="DQ243" i="10"/>
  <c r="CE243" i="10"/>
  <c r="CC243" i="10"/>
  <c r="CA243" i="10"/>
  <c r="DT240" i="10"/>
  <c r="DS240" i="10"/>
  <c r="DR240" i="10"/>
  <c r="DQ240" i="10"/>
  <c r="CE240" i="10"/>
  <c r="CC240" i="10"/>
  <c r="CA240" i="10"/>
  <c r="DT235" i="10"/>
  <c r="DS235" i="10"/>
  <c r="DR235" i="10"/>
  <c r="DQ235" i="10"/>
  <c r="CE235" i="10"/>
  <c r="CC235" i="10"/>
  <c r="CA235" i="10"/>
  <c r="DT223" i="10"/>
  <c r="DS223" i="10"/>
  <c r="DR223" i="10"/>
  <c r="DQ223" i="10"/>
  <c r="CE223" i="10"/>
  <c r="CC223" i="10"/>
  <c r="CA223" i="10"/>
  <c r="DT208" i="10"/>
  <c r="DS208" i="10"/>
  <c r="DR208" i="10"/>
  <c r="DQ208" i="10"/>
  <c r="CE208" i="10"/>
  <c r="CC208" i="10"/>
  <c r="CA208" i="10"/>
  <c r="DT199" i="10"/>
  <c r="DS199" i="10"/>
  <c r="DR199" i="10"/>
  <c r="DQ199" i="10"/>
  <c r="CE199" i="10"/>
  <c r="CC199" i="10"/>
  <c r="CA199" i="10"/>
  <c r="DT194" i="10"/>
  <c r="DS194" i="10"/>
  <c r="DR194" i="10"/>
  <c r="DQ194" i="10"/>
  <c r="CE194" i="10"/>
  <c r="CC194" i="10"/>
  <c r="CA194" i="10"/>
  <c r="DT184" i="10"/>
  <c r="DS184" i="10"/>
  <c r="DR184" i="10"/>
  <c r="DQ184" i="10"/>
  <c r="CE184" i="10"/>
  <c r="CC184" i="10"/>
  <c r="CA184" i="10"/>
  <c r="DT181" i="10"/>
  <c r="DS181" i="10"/>
  <c r="DR181" i="10"/>
  <c r="DQ181" i="10"/>
  <c r="CE181" i="10"/>
  <c r="CC181" i="10"/>
  <c r="CA181" i="10"/>
  <c r="DT177" i="10"/>
  <c r="DS177" i="10"/>
  <c r="DR177" i="10"/>
  <c r="DQ177" i="10"/>
  <c r="CE177" i="10"/>
  <c r="CC177" i="10"/>
  <c r="CA177" i="10"/>
  <c r="DT175" i="10"/>
  <c r="DS175" i="10"/>
  <c r="DR175" i="10"/>
  <c r="DQ175" i="10"/>
  <c r="CE175" i="10"/>
  <c r="CC175" i="10"/>
  <c r="CA175" i="10"/>
  <c r="DT167" i="10"/>
  <c r="DS167" i="10"/>
  <c r="DR167" i="10"/>
  <c r="DQ167" i="10"/>
  <c r="CE167" i="10"/>
  <c r="CC167" i="10"/>
  <c r="CA167" i="10"/>
  <c r="DT165" i="10"/>
  <c r="DS165" i="10"/>
  <c r="DR165" i="10"/>
  <c r="DQ165" i="10"/>
  <c r="CE165" i="10"/>
  <c r="CC165" i="10"/>
  <c r="CA165" i="10"/>
  <c r="DT160" i="10"/>
  <c r="DS160" i="10"/>
  <c r="DR160" i="10"/>
  <c r="DQ160" i="10"/>
  <c r="CE160" i="10"/>
  <c r="CC160" i="10"/>
  <c r="CA160" i="10"/>
  <c r="DT155" i="10"/>
  <c r="DS155" i="10"/>
  <c r="DR155" i="10"/>
  <c r="DQ155" i="10"/>
  <c r="CE155" i="10"/>
  <c r="CC155" i="10"/>
  <c r="CA155" i="10"/>
  <c r="DT152" i="10"/>
  <c r="DS152" i="10"/>
  <c r="DR152" i="10"/>
  <c r="DQ152" i="10"/>
  <c r="CE152" i="10"/>
  <c r="CC152" i="10"/>
  <c r="CA152" i="10"/>
  <c r="DT142" i="10"/>
  <c r="DS142" i="10"/>
  <c r="DR142" i="10"/>
  <c r="DQ142" i="10"/>
  <c r="CE142" i="10"/>
  <c r="CC142" i="10"/>
  <c r="CA142" i="10"/>
  <c r="DT136" i="10"/>
  <c r="DS136" i="10"/>
  <c r="DR136" i="10"/>
  <c r="DQ136" i="10"/>
  <c r="CE136" i="10"/>
  <c r="CC136" i="10"/>
  <c r="CA136" i="10"/>
  <c r="DT129" i="10"/>
  <c r="DS129" i="10"/>
  <c r="DR129" i="10"/>
  <c r="DQ129" i="10"/>
  <c r="CE129" i="10"/>
  <c r="CC129" i="10"/>
  <c r="CA129" i="10"/>
  <c r="DT127" i="10"/>
  <c r="DS127" i="10"/>
  <c r="DR127" i="10"/>
  <c r="DQ127" i="10"/>
  <c r="CE127" i="10"/>
  <c r="CC127" i="10"/>
  <c r="CA127" i="10"/>
  <c r="DT125" i="10"/>
  <c r="DS125" i="10"/>
  <c r="DR125" i="10"/>
  <c r="DQ125" i="10"/>
  <c r="CE125" i="10"/>
  <c r="CC125" i="10"/>
  <c r="CA125" i="10"/>
  <c r="J94" i="10"/>
  <c r="F94" i="10"/>
  <c r="F92" i="10"/>
  <c r="E90" i="10"/>
  <c r="J28" i="10"/>
  <c r="E28" i="10"/>
  <c r="J95" i="10" s="1"/>
  <c r="J27" i="10"/>
  <c r="J22" i="10"/>
  <c r="E22" i="10"/>
  <c r="J21" i="10"/>
  <c r="J16" i="10"/>
  <c r="J92" i="10" s="1"/>
  <c r="E7" i="10"/>
  <c r="E84" i="10" s="1"/>
  <c r="BF98" i="1"/>
  <c r="BE98" i="1"/>
  <c r="EB389" i="9"/>
  <c r="EA389" i="9"/>
  <c r="DZ389" i="9"/>
  <c r="DY389" i="9"/>
  <c r="CM389" i="9"/>
  <c r="CM388" i="9" s="1"/>
  <c r="CK389" i="9"/>
  <c r="CK388" i="9" s="1"/>
  <c r="CI389" i="9"/>
  <c r="CI388" i="9" s="1"/>
  <c r="EB385" i="9"/>
  <c r="EA385" i="9"/>
  <c r="DZ385" i="9"/>
  <c r="DY385" i="9"/>
  <c r="CM385" i="9"/>
  <c r="CK385" i="9"/>
  <c r="CI385" i="9"/>
  <c r="EB382" i="9"/>
  <c r="EA382" i="9"/>
  <c r="DZ382" i="9"/>
  <c r="DY382" i="9"/>
  <c r="CM382" i="9"/>
  <c r="CK382" i="9"/>
  <c r="CI382" i="9"/>
  <c r="EB380" i="9"/>
  <c r="EA380" i="9"/>
  <c r="DZ380" i="9"/>
  <c r="DY380" i="9"/>
  <c r="CM380" i="9"/>
  <c r="CK380" i="9"/>
  <c r="CI380" i="9"/>
  <c r="EB374" i="9"/>
  <c r="EA374" i="9"/>
  <c r="DZ374" i="9"/>
  <c r="DY374" i="9"/>
  <c r="CM374" i="9"/>
  <c r="CK374" i="9"/>
  <c r="CI374" i="9"/>
  <c r="EB369" i="9"/>
  <c r="EA369" i="9"/>
  <c r="DZ369" i="9"/>
  <c r="DY369" i="9"/>
  <c r="CM369" i="9"/>
  <c r="CK369" i="9"/>
  <c r="CI369" i="9"/>
  <c r="EB364" i="9"/>
  <c r="EA364" i="9"/>
  <c r="DZ364" i="9"/>
  <c r="DY364" i="9"/>
  <c r="CM364" i="9"/>
  <c r="CK364" i="9"/>
  <c r="CI364" i="9"/>
  <c r="EB360" i="9"/>
  <c r="EA360" i="9"/>
  <c r="DZ360" i="9"/>
  <c r="DY360" i="9"/>
  <c r="CM360" i="9"/>
  <c r="CK360" i="9"/>
  <c r="CI360" i="9"/>
  <c r="EB356" i="9"/>
  <c r="EA356" i="9"/>
  <c r="DZ356" i="9"/>
  <c r="DY356" i="9"/>
  <c r="CM356" i="9"/>
  <c r="CK356" i="9"/>
  <c r="CI356" i="9"/>
  <c r="EB353" i="9"/>
  <c r="EA353" i="9"/>
  <c r="DZ353" i="9"/>
  <c r="DY353" i="9"/>
  <c r="CM353" i="9"/>
  <c r="CK353" i="9"/>
  <c r="CI353" i="9"/>
  <c r="EB351" i="9"/>
  <c r="EA351" i="9"/>
  <c r="DZ351" i="9"/>
  <c r="DY351" i="9"/>
  <c r="CM351" i="9"/>
  <c r="CK351" i="9"/>
  <c r="CI351" i="9"/>
  <c r="EB349" i="9"/>
  <c r="EA349" i="9"/>
  <c r="DZ349" i="9"/>
  <c r="DY349" i="9"/>
  <c r="CM349" i="9"/>
  <c r="CK349" i="9"/>
  <c r="CI349" i="9"/>
  <c r="EB345" i="9"/>
  <c r="EA345" i="9"/>
  <c r="DZ345" i="9"/>
  <c r="DY345" i="9"/>
  <c r="CM345" i="9"/>
  <c r="CK345" i="9"/>
  <c r="CI345" i="9"/>
  <c r="EB343" i="9"/>
  <c r="EA343" i="9"/>
  <c r="DZ343" i="9"/>
  <c r="DY343" i="9"/>
  <c r="CM343" i="9"/>
  <c r="CK343" i="9"/>
  <c r="CI343" i="9"/>
  <c r="EB341" i="9"/>
  <c r="EA341" i="9"/>
  <c r="DZ341" i="9"/>
  <c r="DY341" i="9"/>
  <c r="CM341" i="9"/>
  <c r="CK341" i="9"/>
  <c r="CI341" i="9"/>
  <c r="EB339" i="9"/>
  <c r="EA339" i="9"/>
  <c r="DZ339" i="9"/>
  <c r="DY339" i="9"/>
  <c r="CM339" i="9"/>
  <c r="CK339" i="9"/>
  <c r="CI339" i="9"/>
  <c r="EB337" i="9"/>
  <c r="EA337" i="9"/>
  <c r="DZ337" i="9"/>
  <c r="DY337" i="9"/>
  <c r="CM337" i="9"/>
  <c r="CK337" i="9"/>
  <c r="CI337" i="9"/>
  <c r="EB333" i="9"/>
  <c r="EA333" i="9"/>
  <c r="DZ333" i="9"/>
  <c r="DY333" i="9"/>
  <c r="CM333" i="9"/>
  <c r="CK333" i="9"/>
  <c r="CI333" i="9"/>
  <c r="EB330" i="9"/>
  <c r="EA330" i="9"/>
  <c r="DZ330" i="9"/>
  <c r="DY330" i="9"/>
  <c r="CM330" i="9"/>
  <c r="CK330" i="9"/>
  <c r="CI330" i="9"/>
  <c r="EB328" i="9"/>
  <c r="EA328" i="9"/>
  <c r="DZ328" i="9"/>
  <c r="DY328" i="9"/>
  <c r="CM328" i="9"/>
  <c r="CK328" i="9"/>
  <c r="CI328" i="9"/>
  <c r="EB323" i="9"/>
  <c r="EA323" i="9"/>
  <c r="DZ323" i="9"/>
  <c r="DY323" i="9"/>
  <c r="CM323" i="9"/>
  <c r="CK323" i="9"/>
  <c r="CI323" i="9"/>
  <c r="EB321" i="9"/>
  <c r="EA321" i="9"/>
  <c r="DZ321" i="9"/>
  <c r="DY321" i="9"/>
  <c r="CM321" i="9"/>
  <c r="CK321" i="9"/>
  <c r="CI321" i="9"/>
  <c r="EB319" i="9"/>
  <c r="EA319" i="9"/>
  <c r="DZ319" i="9"/>
  <c r="DY319" i="9"/>
  <c r="CM319" i="9"/>
  <c r="CK319" i="9"/>
  <c r="CI319" i="9"/>
  <c r="EB308" i="9"/>
  <c r="EA308" i="9"/>
  <c r="DZ308" i="9"/>
  <c r="DY308" i="9"/>
  <c r="CM308" i="9"/>
  <c r="CK308" i="9"/>
  <c r="CI308" i="9"/>
  <c r="EB304" i="9"/>
  <c r="EA304" i="9"/>
  <c r="DZ304" i="9"/>
  <c r="DY304" i="9"/>
  <c r="CM304" i="9"/>
  <c r="CK304" i="9"/>
  <c r="CI304" i="9"/>
  <c r="EB298" i="9"/>
  <c r="EA298" i="9"/>
  <c r="DZ298" i="9"/>
  <c r="DY298" i="9"/>
  <c r="CM298" i="9"/>
  <c r="CK298" i="9"/>
  <c r="CI298" i="9"/>
  <c r="EB296" i="9"/>
  <c r="EA296" i="9"/>
  <c r="DZ296" i="9"/>
  <c r="DY296" i="9"/>
  <c r="CM296" i="9"/>
  <c r="CK296" i="9"/>
  <c r="CI296" i="9"/>
  <c r="EB294" i="9"/>
  <c r="EA294" i="9"/>
  <c r="DZ294" i="9"/>
  <c r="DY294" i="9"/>
  <c r="CM294" i="9"/>
  <c r="CK294" i="9"/>
  <c r="CI294" i="9"/>
  <c r="EB292" i="9"/>
  <c r="EA292" i="9"/>
  <c r="DZ292" i="9"/>
  <c r="DY292" i="9"/>
  <c r="CM292" i="9"/>
  <c r="CK292" i="9"/>
  <c r="CI292" i="9"/>
  <c r="EB282" i="9"/>
  <c r="EA282" i="9"/>
  <c r="DZ282" i="9"/>
  <c r="DY282" i="9"/>
  <c r="CM282" i="9"/>
  <c r="CK282" i="9"/>
  <c r="CI282" i="9"/>
  <c r="EB273" i="9"/>
  <c r="EA273" i="9"/>
  <c r="DZ273" i="9"/>
  <c r="DY273" i="9"/>
  <c r="CM273" i="9"/>
  <c r="CK273" i="9"/>
  <c r="CI273" i="9"/>
  <c r="EB268" i="9"/>
  <c r="EA268" i="9"/>
  <c r="DZ268" i="9"/>
  <c r="DY268" i="9"/>
  <c r="CM268" i="9"/>
  <c r="CK268" i="9"/>
  <c r="CI268" i="9"/>
  <c r="EB263" i="9"/>
  <c r="EA263" i="9"/>
  <c r="DZ263" i="9"/>
  <c r="DY263" i="9"/>
  <c r="CM263" i="9"/>
  <c r="CM262" i="9" s="1"/>
  <c r="CK263" i="9"/>
  <c r="CK262" i="9" s="1"/>
  <c r="CI263" i="9"/>
  <c r="CI262" i="9" s="1"/>
  <c r="EB259" i="9"/>
  <c r="EA259" i="9"/>
  <c r="DZ259" i="9"/>
  <c r="DY259" i="9"/>
  <c r="CM259" i="9"/>
  <c r="CK259" i="9"/>
  <c r="CI259" i="9"/>
  <c r="EB253" i="9"/>
  <c r="EA253" i="9"/>
  <c r="DZ253" i="9"/>
  <c r="DY253" i="9"/>
  <c r="CM253" i="9"/>
  <c r="CK253" i="9"/>
  <c r="CI253" i="9"/>
  <c r="EB251" i="9"/>
  <c r="EA251" i="9"/>
  <c r="DZ251" i="9"/>
  <c r="DY251" i="9"/>
  <c r="CM251" i="9"/>
  <c r="CK251" i="9"/>
  <c r="CI251" i="9"/>
  <c r="EB248" i="9"/>
  <c r="EA248" i="9"/>
  <c r="DZ248" i="9"/>
  <c r="DY248" i="9"/>
  <c r="CM248" i="9"/>
  <c r="CK248" i="9"/>
  <c r="CI248" i="9"/>
  <c r="EB243" i="9"/>
  <c r="EA243" i="9"/>
  <c r="DZ243" i="9"/>
  <c r="DY243" i="9"/>
  <c r="CM243" i="9"/>
  <c r="CK243" i="9"/>
  <c r="CI243" i="9"/>
  <c r="EB231" i="9"/>
  <c r="EA231" i="9"/>
  <c r="DZ231" i="9"/>
  <c r="DY231" i="9"/>
  <c r="CM231" i="9"/>
  <c r="CK231" i="9"/>
  <c r="CI231" i="9"/>
  <c r="EB215" i="9"/>
  <c r="EA215" i="9"/>
  <c r="DZ215" i="9"/>
  <c r="DY215" i="9"/>
  <c r="CM215" i="9"/>
  <c r="CK215" i="9"/>
  <c r="CI215" i="9"/>
  <c r="EB206" i="9"/>
  <c r="EA206" i="9"/>
  <c r="DZ206" i="9"/>
  <c r="DY206" i="9"/>
  <c r="CM206" i="9"/>
  <c r="CK206" i="9"/>
  <c r="CI206" i="9"/>
  <c r="EB199" i="9"/>
  <c r="EA199" i="9"/>
  <c r="DZ199" i="9"/>
  <c r="DY199" i="9"/>
  <c r="CM199" i="9"/>
  <c r="CK199" i="9"/>
  <c r="CI199" i="9"/>
  <c r="EB189" i="9"/>
  <c r="EA189" i="9"/>
  <c r="DZ189" i="9"/>
  <c r="DY189" i="9"/>
  <c r="CM189" i="9"/>
  <c r="CK189" i="9"/>
  <c r="CI189" i="9"/>
  <c r="EB186" i="9"/>
  <c r="EA186" i="9"/>
  <c r="DZ186" i="9"/>
  <c r="DY186" i="9"/>
  <c r="CM186" i="9"/>
  <c r="CK186" i="9"/>
  <c r="CI186" i="9"/>
  <c r="EB182" i="9"/>
  <c r="EA182" i="9"/>
  <c r="DZ182" i="9"/>
  <c r="DY182" i="9"/>
  <c r="CM182" i="9"/>
  <c r="CK182" i="9"/>
  <c r="CI182" i="9"/>
  <c r="EB180" i="9"/>
  <c r="EA180" i="9"/>
  <c r="DZ180" i="9"/>
  <c r="DY180" i="9"/>
  <c r="CM180" i="9"/>
  <c r="CK180" i="9"/>
  <c r="CI180" i="9"/>
  <c r="EB172" i="9"/>
  <c r="EA172" i="9"/>
  <c r="DZ172" i="9"/>
  <c r="DY172" i="9"/>
  <c r="CM172" i="9"/>
  <c r="CK172" i="9"/>
  <c r="CI172" i="9"/>
  <c r="EB170" i="9"/>
  <c r="EA170" i="9"/>
  <c r="DZ170" i="9"/>
  <c r="DY170" i="9"/>
  <c r="CM170" i="9"/>
  <c r="CK170" i="9"/>
  <c r="CI170" i="9"/>
  <c r="EB165" i="9"/>
  <c r="EA165" i="9"/>
  <c r="DZ165" i="9"/>
  <c r="DY165" i="9"/>
  <c r="CM165" i="9"/>
  <c r="CK165" i="9"/>
  <c r="CI165" i="9"/>
  <c r="EB160" i="9"/>
  <c r="EA160" i="9"/>
  <c r="DZ160" i="9"/>
  <c r="DY160" i="9"/>
  <c r="CM160" i="9"/>
  <c r="CK160" i="9"/>
  <c r="CI160" i="9"/>
  <c r="EB157" i="9"/>
  <c r="EA157" i="9"/>
  <c r="DZ157" i="9"/>
  <c r="DY157" i="9"/>
  <c r="CM157" i="9"/>
  <c r="CK157" i="9"/>
  <c r="CI157" i="9"/>
  <c r="EB146" i="9"/>
  <c r="EA146" i="9"/>
  <c r="DZ146" i="9"/>
  <c r="DY146" i="9"/>
  <c r="CM146" i="9"/>
  <c r="CK146" i="9"/>
  <c r="CI146" i="9"/>
  <c r="EB140" i="9"/>
  <c r="EA140" i="9"/>
  <c r="DZ140" i="9"/>
  <c r="DY140" i="9"/>
  <c r="CM140" i="9"/>
  <c r="CK140" i="9"/>
  <c r="CI140" i="9"/>
  <c r="EB130" i="9"/>
  <c r="EA130" i="9"/>
  <c r="DZ130" i="9"/>
  <c r="DY130" i="9"/>
  <c r="CM130" i="9"/>
  <c r="CK130" i="9"/>
  <c r="CI130" i="9"/>
  <c r="EB128" i="9"/>
  <c r="EA128" i="9"/>
  <c r="DZ128" i="9"/>
  <c r="DY128" i="9"/>
  <c r="CM128" i="9"/>
  <c r="CK128" i="9"/>
  <c r="CI128" i="9"/>
  <c r="EB126" i="9"/>
  <c r="EA126" i="9"/>
  <c r="DZ126" i="9"/>
  <c r="DY126" i="9"/>
  <c r="CM126" i="9"/>
  <c r="CK126" i="9"/>
  <c r="CI126" i="9"/>
  <c r="J41" i="8"/>
  <c r="J40" i="8"/>
  <c r="BF96" i="1"/>
  <c r="J39" i="8"/>
  <c r="BE96" i="1" s="1"/>
  <c r="EJ348" i="8"/>
  <c r="EI348" i="8"/>
  <c r="EH348" i="8"/>
  <c r="EG348" i="8"/>
  <c r="CU348" i="8"/>
  <c r="CU347" i="8" s="1"/>
  <c r="CS348" i="8"/>
  <c r="CS347" i="8" s="1"/>
  <c r="CQ348" i="8"/>
  <c r="CQ347" i="8" s="1"/>
  <c r="EJ344" i="8"/>
  <c r="EI344" i="8"/>
  <c r="EH344" i="8"/>
  <c r="EG344" i="8"/>
  <c r="CU344" i="8"/>
  <c r="CS344" i="8"/>
  <c r="CQ344" i="8"/>
  <c r="EJ341" i="8"/>
  <c r="EI341" i="8"/>
  <c r="EH341" i="8"/>
  <c r="EG341" i="8"/>
  <c r="CU341" i="8"/>
  <c r="CS341" i="8"/>
  <c r="CQ341" i="8"/>
  <c r="EJ339" i="8"/>
  <c r="EI339" i="8"/>
  <c r="EH339" i="8"/>
  <c r="EG339" i="8"/>
  <c r="CU339" i="8"/>
  <c r="CS339" i="8"/>
  <c r="CQ339" i="8"/>
  <c r="EJ333" i="8"/>
  <c r="EI333" i="8"/>
  <c r="EH333" i="8"/>
  <c r="EG333" i="8"/>
  <c r="CU333" i="8"/>
  <c r="CS333" i="8"/>
  <c r="CQ333" i="8"/>
  <c r="EJ328" i="8"/>
  <c r="EI328" i="8"/>
  <c r="EH328" i="8"/>
  <c r="EG328" i="8"/>
  <c r="CU328" i="8"/>
  <c r="CS328" i="8"/>
  <c r="CQ328" i="8"/>
  <c r="EJ322" i="8"/>
  <c r="EI322" i="8"/>
  <c r="EH322" i="8"/>
  <c r="EG322" i="8"/>
  <c r="CU322" i="8"/>
  <c r="CS322" i="8"/>
  <c r="CQ322" i="8"/>
  <c r="EJ317" i="8"/>
  <c r="EI317" i="8"/>
  <c r="EH317" i="8"/>
  <c r="EG317" i="8"/>
  <c r="CU317" i="8"/>
  <c r="CS317" i="8"/>
  <c r="CQ317" i="8"/>
  <c r="EJ314" i="8"/>
  <c r="EI314" i="8"/>
  <c r="EH314" i="8"/>
  <c r="EG314" i="8"/>
  <c r="CU314" i="8"/>
  <c r="CS314" i="8"/>
  <c r="CQ314" i="8"/>
  <c r="EJ312" i="8"/>
  <c r="EI312" i="8"/>
  <c r="EH312" i="8"/>
  <c r="EG312" i="8"/>
  <c r="CU312" i="8"/>
  <c r="CS312" i="8"/>
  <c r="CQ312" i="8"/>
  <c r="EJ310" i="8"/>
  <c r="EI310" i="8"/>
  <c r="EH310" i="8"/>
  <c r="EG310" i="8"/>
  <c r="CU310" i="8"/>
  <c r="CS310" i="8"/>
  <c r="CQ310" i="8"/>
  <c r="EJ306" i="8"/>
  <c r="EI306" i="8"/>
  <c r="EH306" i="8"/>
  <c r="EG306" i="8"/>
  <c r="CU306" i="8"/>
  <c r="CS306" i="8"/>
  <c r="CQ306" i="8"/>
  <c r="EJ302" i="8"/>
  <c r="EI302" i="8"/>
  <c r="EH302" i="8"/>
  <c r="EG302" i="8"/>
  <c r="CU302" i="8"/>
  <c r="CS302" i="8"/>
  <c r="CQ302" i="8"/>
  <c r="EJ299" i="8"/>
  <c r="EI299" i="8"/>
  <c r="EH299" i="8"/>
  <c r="EG299" i="8"/>
  <c r="CU299" i="8"/>
  <c r="CS299" i="8"/>
  <c r="CQ299" i="8"/>
  <c r="EJ294" i="8"/>
  <c r="EI294" i="8"/>
  <c r="EH294" i="8"/>
  <c r="EG294" i="8"/>
  <c r="CU294" i="8"/>
  <c r="CS294" i="8"/>
  <c r="CQ294" i="8"/>
  <c r="EJ291" i="8"/>
  <c r="EI291" i="8"/>
  <c r="EH291" i="8"/>
  <c r="EG291" i="8"/>
  <c r="CU291" i="8"/>
  <c r="CS291" i="8"/>
  <c r="CQ291" i="8"/>
  <c r="EJ289" i="8"/>
  <c r="EI289" i="8"/>
  <c r="EH289" i="8"/>
  <c r="EG289" i="8"/>
  <c r="CU289" i="8"/>
  <c r="CS289" i="8"/>
  <c r="CQ289" i="8"/>
  <c r="EJ287" i="8"/>
  <c r="EI287" i="8"/>
  <c r="EH287" i="8"/>
  <c r="EG287" i="8"/>
  <c r="CU287" i="8"/>
  <c r="CS287" i="8"/>
  <c r="CQ287" i="8"/>
  <c r="EJ283" i="8"/>
  <c r="EI283" i="8"/>
  <c r="EH283" i="8"/>
  <c r="EG283" i="8"/>
  <c r="CU283" i="8"/>
  <c r="CS283" i="8"/>
  <c r="CQ283" i="8"/>
  <c r="EJ279" i="8"/>
  <c r="EI279" i="8"/>
  <c r="EH279" i="8"/>
  <c r="EG279" i="8"/>
  <c r="CU279" i="8"/>
  <c r="CS279" i="8"/>
  <c r="CQ279" i="8"/>
  <c r="EJ273" i="8"/>
  <c r="EI273" i="8"/>
  <c r="EH273" i="8"/>
  <c r="EG273" i="8"/>
  <c r="CU273" i="8"/>
  <c r="CS273" i="8"/>
  <c r="CQ273" i="8"/>
  <c r="EJ271" i="8"/>
  <c r="EI271" i="8"/>
  <c r="EH271" i="8"/>
  <c r="EG271" i="8"/>
  <c r="CU271" i="8"/>
  <c r="CS271" i="8"/>
  <c r="CQ271" i="8"/>
  <c r="EJ266" i="8"/>
  <c r="EI266" i="8"/>
  <c r="EH266" i="8"/>
  <c r="EG266" i="8"/>
  <c r="CU266" i="8"/>
  <c r="CS266" i="8"/>
  <c r="CQ266" i="8"/>
  <c r="EJ264" i="8"/>
  <c r="EI264" i="8"/>
  <c r="EH264" i="8"/>
  <c r="EG264" i="8"/>
  <c r="CU264" i="8"/>
  <c r="CS264" i="8"/>
  <c r="CQ264" i="8"/>
  <c r="EJ262" i="8"/>
  <c r="EI262" i="8"/>
  <c r="EH262" i="8"/>
  <c r="EG262" i="8"/>
  <c r="CU262" i="8"/>
  <c r="CS262" i="8"/>
  <c r="CQ262" i="8"/>
  <c r="EJ260" i="8"/>
  <c r="EI260" i="8"/>
  <c r="EH260" i="8"/>
  <c r="EG260" i="8"/>
  <c r="CU260" i="8"/>
  <c r="CS260" i="8"/>
  <c r="CQ260" i="8"/>
  <c r="EJ254" i="8"/>
  <c r="EI254" i="8"/>
  <c r="EH254" i="8"/>
  <c r="EG254" i="8"/>
  <c r="CU254" i="8"/>
  <c r="CS254" i="8"/>
  <c r="CQ254" i="8"/>
  <c r="EJ249" i="8"/>
  <c r="EI249" i="8"/>
  <c r="EH249" i="8"/>
  <c r="EG249" i="8"/>
  <c r="CU249" i="8"/>
  <c r="CS249" i="8"/>
  <c r="CQ249" i="8"/>
  <c r="EJ244" i="8"/>
  <c r="EI244" i="8"/>
  <c r="EH244" i="8"/>
  <c r="EG244" i="8"/>
  <c r="CU244" i="8"/>
  <c r="CS244" i="8"/>
  <c r="CQ244" i="8"/>
  <c r="EJ239" i="8"/>
  <c r="EI239" i="8"/>
  <c r="EH239" i="8"/>
  <c r="EG239" i="8"/>
  <c r="CU239" i="8"/>
  <c r="CU238" i="8" s="1"/>
  <c r="CS239" i="8"/>
  <c r="CS238" i="8" s="1"/>
  <c r="CQ239" i="8"/>
  <c r="CQ238" i="8" s="1"/>
  <c r="EJ235" i="8"/>
  <c r="EI235" i="8"/>
  <c r="EH235" i="8"/>
  <c r="EG235" i="8"/>
  <c r="CU235" i="8"/>
  <c r="CS235" i="8"/>
  <c r="CQ235" i="8"/>
  <c r="EJ232" i="8"/>
  <c r="EI232" i="8"/>
  <c r="EH232" i="8"/>
  <c r="EG232" i="8"/>
  <c r="CU232" i="8"/>
  <c r="CS232" i="8"/>
  <c r="CQ232" i="8"/>
  <c r="EJ227" i="8"/>
  <c r="EI227" i="8"/>
  <c r="EH227" i="8"/>
  <c r="EG227" i="8"/>
  <c r="CU227" i="8"/>
  <c r="CS227" i="8"/>
  <c r="CQ227" i="8"/>
  <c r="EJ223" i="8"/>
  <c r="EI223" i="8"/>
  <c r="EH223" i="8"/>
  <c r="EG223" i="8"/>
  <c r="CU223" i="8"/>
  <c r="CS223" i="8"/>
  <c r="CQ223" i="8"/>
  <c r="EJ208" i="8"/>
  <c r="EI208" i="8"/>
  <c r="EH208" i="8"/>
  <c r="EG208" i="8"/>
  <c r="CU208" i="8"/>
  <c r="CS208" i="8"/>
  <c r="CQ208" i="8"/>
  <c r="EJ204" i="8"/>
  <c r="EI204" i="8"/>
  <c r="EH204" i="8"/>
  <c r="EG204" i="8"/>
  <c r="CU204" i="8"/>
  <c r="CS204" i="8"/>
  <c r="CQ204" i="8"/>
  <c r="EJ197" i="8"/>
  <c r="EI197" i="8"/>
  <c r="EH197" i="8"/>
  <c r="EG197" i="8"/>
  <c r="CU197" i="8"/>
  <c r="CS197" i="8"/>
  <c r="CQ197" i="8"/>
  <c r="EJ193" i="8"/>
  <c r="EI193" i="8"/>
  <c r="EH193" i="8"/>
  <c r="EG193" i="8"/>
  <c r="CU193" i="8"/>
  <c r="CS193" i="8"/>
  <c r="CQ193" i="8"/>
  <c r="EJ188" i="8"/>
  <c r="EI188" i="8"/>
  <c r="EH188" i="8"/>
  <c r="EG188" i="8"/>
  <c r="CU188" i="8"/>
  <c r="CS188" i="8"/>
  <c r="CQ188" i="8"/>
  <c r="EJ186" i="8"/>
  <c r="EI186" i="8"/>
  <c r="EH186" i="8"/>
  <c r="EG186" i="8"/>
  <c r="CU186" i="8"/>
  <c r="CS186" i="8"/>
  <c r="CQ186" i="8"/>
  <c r="EJ181" i="8"/>
  <c r="EI181" i="8"/>
  <c r="EH181" i="8"/>
  <c r="EG181" i="8"/>
  <c r="CU181" i="8"/>
  <c r="CS181" i="8"/>
  <c r="CQ181" i="8"/>
  <c r="EJ176" i="8"/>
  <c r="EI176" i="8"/>
  <c r="EH176" i="8"/>
  <c r="EG176" i="8"/>
  <c r="CU176" i="8"/>
  <c r="CS176" i="8"/>
  <c r="CQ176" i="8"/>
  <c r="EJ173" i="8"/>
  <c r="EI173" i="8"/>
  <c r="EH173" i="8"/>
  <c r="EG173" i="8"/>
  <c r="CU173" i="8"/>
  <c r="CS173" i="8"/>
  <c r="CQ173" i="8"/>
  <c r="EJ164" i="8"/>
  <c r="EI164" i="8"/>
  <c r="EH164" i="8"/>
  <c r="EG164" i="8"/>
  <c r="CU164" i="8"/>
  <c r="CS164" i="8"/>
  <c r="CQ164" i="8"/>
  <c r="EJ160" i="8"/>
  <c r="EI160" i="8"/>
  <c r="EH160" i="8"/>
  <c r="EG160" i="8"/>
  <c r="CU160" i="8"/>
  <c r="CS160" i="8"/>
  <c r="CQ160" i="8"/>
  <c r="EJ156" i="8"/>
  <c r="EI156" i="8"/>
  <c r="EH156" i="8"/>
  <c r="EG156" i="8"/>
  <c r="CU156" i="8"/>
  <c r="CS156" i="8"/>
  <c r="CQ156" i="8"/>
  <c r="EJ154" i="8"/>
  <c r="EI154" i="8"/>
  <c r="EH154" i="8"/>
  <c r="EG154" i="8"/>
  <c r="CU154" i="8"/>
  <c r="CS154" i="8"/>
  <c r="CQ154" i="8"/>
  <c r="EJ151" i="8"/>
  <c r="EI151" i="8"/>
  <c r="EH151" i="8"/>
  <c r="EG151" i="8"/>
  <c r="CU151" i="8"/>
  <c r="CS151" i="8"/>
  <c r="CQ151" i="8"/>
  <c r="EJ147" i="8"/>
  <c r="EI147" i="8"/>
  <c r="EH147" i="8"/>
  <c r="EG147" i="8"/>
  <c r="CU147" i="8"/>
  <c r="CS147" i="8"/>
  <c r="CQ147" i="8"/>
  <c r="EJ143" i="8"/>
  <c r="EI143" i="8"/>
  <c r="EH143" i="8"/>
  <c r="EG143" i="8"/>
  <c r="CU143" i="8"/>
  <c r="CS143" i="8"/>
  <c r="CQ143" i="8"/>
  <c r="EJ137" i="8"/>
  <c r="EI137" i="8"/>
  <c r="EH137" i="8"/>
  <c r="EG137" i="8"/>
  <c r="CU137" i="8"/>
  <c r="CS137" i="8"/>
  <c r="CQ137" i="8"/>
  <c r="EJ129" i="8"/>
  <c r="EI129" i="8"/>
  <c r="EH129" i="8"/>
  <c r="EG129" i="8"/>
  <c r="CU129" i="8"/>
  <c r="CS129" i="8"/>
  <c r="CQ129" i="8"/>
  <c r="EJ127" i="8"/>
  <c r="EI127" i="8"/>
  <c r="EH127" i="8"/>
  <c r="EG127" i="8"/>
  <c r="CU127" i="8"/>
  <c r="CS127" i="8"/>
  <c r="CQ127" i="8"/>
  <c r="EJ125" i="8"/>
  <c r="EI125" i="8"/>
  <c r="EH125" i="8"/>
  <c r="EG125" i="8"/>
  <c r="CU125" i="8"/>
  <c r="CS125" i="8"/>
  <c r="CQ125" i="8"/>
  <c r="J94" i="8"/>
  <c r="F94" i="8"/>
  <c r="F92" i="8"/>
  <c r="E90" i="8"/>
  <c r="J28" i="8"/>
  <c r="E28" i="8"/>
  <c r="J27" i="8"/>
  <c r="J22" i="8"/>
  <c r="E22" i="8"/>
  <c r="J21" i="8"/>
  <c r="J16" i="8"/>
  <c r="J92" i="8" s="1"/>
  <c r="E7" i="8"/>
  <c r="E84" i="8" s="1"/>
  <c r="J41" i="7"/>
  <c r="J40" i="7"/>
  <c r="BF95" i="1" s="1"/>
  <c r="J39" i="7"/>
  <c r="BE95" i="1" s="1"/>
  <c r="FM447" i="7"/>
  <c r="FL447" i="7"/>
  <c r="FK447" i="7"/>
  <c r="FJ447" i="7"/>
  <c r="DX447" i="7"/>
  <c r="DX446" i="7" s="1"/>
  <c r="DV447" i="7"/>
  <c r="DV446" i="7" s="1"/>
  <c r="DT447" i="7"/>
  <c r="DT446" i="7" s="1"/>
  <c r="FM443" i="7"/>
  <c r="FL443" i="7"/>
  <c r="FK443" i="7"/>
  <c r="FJ443" i="7"/>
  <c r="DX443" i="7"/>
  <c r="DV443" i="7"/>
  <c r="DT443" i="7"/>
  <c r="FM440" i="7"/>
  <c r="FL440" i="7"/>
  <c r="FK440" i="7"/>
  <c r="FJ440" i="7"/>
  <c r="DX440" i="7"/>
  <c r="DV440" i="7"/>
  <c r="DT440" i="7"/>
  <c r="FM438" i="7"/>
  <c r="FL438" i="7"/>
  <c r="FK438" i="7"/>
  <c r="FJ438" i="7"/>
  <c r="DX438" i="7"/>
  <c r="DV438" i="7"/>
  <c r="DT438" i="7"/>
  <c r="FM432" i="7"/>
  <c r="FL432" i="7"/>
  <c r="FK432" i="7"/>
  <c r="FJ432" i="7"/>
  <c r="DX432" i="7"/>
  <c r="DV432" i="7"/>
  <c r="DT432" i="7"/>
  <c r="FM427" i="7"/>
  <c r="FL427" i="7"/>
  <c r="FK427" i="7"/>
  <c r="FJ427" i="7"/>
  <c r="DX427" i="7"/>
  <c r="DV427" i="7"/>
  <c r="DT427" i="7"/>
  <c r="FM421" i="7"/>
  <c r="FL421" i="7"/>
  <c r="FK421" i="7"/>
  <c r="FJ421" i="7"/>
  <c r="DX421" i="7"/>
  <c r="DV421" i="7"/>
  <c r="DT421" i="7"/>
  <c r="FM416" i="7"/>
  <c r="FL416" i="7"/>
  <c r="FK416" i="7"/>
  <c r="FJ416" i="7"/>
  <c r="DX416" i="7"/>
  <c r="DV416" i="7"/>
  <c r="DT416" i="7"/>
  <c r="FM413" i="7"/>
  <c r="FL413" i="7"/>
  <c r="FK413" i="7"/>
  <c r="FJ413" i="7"/>
  <c r="DX413" i="7"/>
  <c r="DV413" i="7"/>
  <c r="DT413" i="7"/>
  <c r="FM409" i="7"/>
  <c r="FL409" i="7"/>
  <c r="FK409" i="7"/>
  <c r="FJ409" i="7"/>
  <c r="DX409" i="7"/>
  <c r="DV409" i="7"/>
  <c r="DT409" i="7"/>
  <c r="FM407" i="7"/>
  <c r="FL407" i="7"/>
  <c r="FK407" i="7"/>
  <c r="FJ407" i="7"/>
  <c r="DX407" i="7"/>
  <c r="DV407" i="7"/>
  <c r="DT407" i="7"/>
  <c r="FM405" i="7"/>
  <c r="FL405" i="7"/>
  <c r="FK405" i="7"/>
  <c r="FJ405" i="7"/>
  <c r="DX405" i="7"/>
  <c r="DV405" i="7"/>
  <c r="DT405" i="7"/>
  <c r="FM403" i="7"/>
  <c r="FL403" i="7"/>
  <c r="FK403" i="7"/>
  <c r="FJ403" i="7"/>
  <c r="DX403" i="7"/>
  <c r="DV403" i="7"/>
  <c r="DT403" i="7"/>
  <c r="FM401" i="7"/>
  <c r="FL401" i="7"/>
  <c r="FK401" i="7"/>
  <c r="FJ401" i="7"/>
  <c r="DX401" i="7"/>
  <c r="DV401" i="7"/>
  <c r="DT401" i="7"/>
  <c r="FM397" i="7"/>
  <c r="FL397" i="7"/>
  <c r="FK397" i="7"/>
  <c r="FJ397" i="7"/>
  <c r="DX397" i="7"/>
  <c r="DV397" i="7"/>
  <c r="DT397" i="7"/>
  <c r="FM393" i="7"/>
  <c r="FL393" i="7"/>
  <c r="FK393" i="7"/>
  <c r="FJ393" i="7"/>
  <c r="DX393" i="7"/>
  <c r="DV393" i="7"/>
  <c r="DT393" i="7"/>
  <c r="FM391" i="7"/>
  <c r="FL391" i="7"/>
  <c r="FK391" i="7"/>
  <c r="FJ391" i="7"/>
  <c r="DX391" i="7"/>
  <c r="DV391" i="7"/>
  <c r="DT391" i="7"/>
  <c r="FM389" i="7"/>
  <c r="FL389" i="7"/>
  <c r="FK389" i="7"/>
  <c r="FJ389" i="7"/>
  <c r="DX389" i="7"/>
  <c r="DV389" i="7"/>
  <c r="DT389" i="7"/>
  <c r="FM385" i="7"/>
  <c r="FL385" i="7"/>
  <c r="FK385" i="7"/>
  <c r="FJ385" i="7"/>
  <c r="DX385" i="7"/>
  <c r="DV385" i="7"/>
  <c r="DT385" i="7"/>
  <c r="FM383" i="7"/>
  <c r="FL383" i="7"/>
  <c r="FK383" i="7"/>
  <c r="FJ383" i="7"/>
  <c r="DX383" i="7"/>
  <c r="DV383" i="7"/>
  <c r="DT383" i="7"/>
  <c r="FM379" i="7"/>
  <c r="FL379" i="7"/>
  <c r="FK379" i="7"/>
  <c r="FJ379" i="7"/>
  <c r="DX379" i="7"/>
  <c r="DV379" i="7"/>
  <c r="DT379" i="7"/>
  <c r="FM377" i="7"/>
  <c r="FL377" i="7"/>
  <c r="FK377" i="7"/>
  <c r="FJ377" i="7"/>
  <c r="DX377" i="7"/>
  <c r="DV377" i="7"/>
  <c r="DT377" i="7"/>
  <c r="FM373" i="7"/>
  <c r="FL373" i="7"/>
  <c r="FK373" i="7"/>
  <c r="FJ373" i="7"/>
  <c r="DX373" i="7"/>
  <c r="DV373" i="7"/>
  <c r="DT373" i="7"/>
  <c r="FM370" i="7"/>
  <c r="FL370" i="7"/>
  <c r="FK370" i="7"/>
  <c r="FJ370" i="7"/>
  <c r="DX370" i="7"/>
  <c r="DV370" i="7"/>
  <c r="DT370" i="7"/>
  <c r="FM365" i="7"/>
  <c r="FL365" i="7"/>
  <c r="FK365" i="7"/>
  <c r="FJ365" i="7"/>
  <c r="DX365" i="7"/>
  <c r="DV365" i="7"/>
  <c r="DT365" i="7"/>
  <c r="FM362" i="7"/>
  <c r="FL362" i="7"/>
  <c r="FK362" i="7"/>
  <c r="FJ362" i="7"/>
  <c r="DX362" i="7"/>
  <c r="DV362" i="7"/>
  <c r="DT362" i="7"/>
  <c r="FM360" i="7"/>
  <c r="FL360" i="7"/>
  <c r="FK360" i="7"/>
  <c r="FJ360" i="7"/>
  <c r="DX360" i="7"/>
  <c r="DV360" i="7"/>
  <c r="DT360" i="7"/>
  <c r="FM358" i="7"/>
  <c r="FL358" i="7"/>
  <c r="FK358" i="7"/>
  <c r="FJ358" i="7"/>
  <c r="DX358" i="7"/>
  <c r="DV358" i="7"/>
  <c r="DT358" i="7"/>
  <c r="FM354" i="7"/>
  <c r="FL354" i="7"/>
  <c r="FK354" i="7"/>
  <c r="FJ354" i="7"/>
  <c r="DX354" i="7"/>
  <c r="DV354" i="7"/>
  <c r="DT354" i="7"/>
  <c r="FM350" i="7"/>
  <c r="FL350" i="7"/>
  <c r="FK350" i="7"/>
  <c r="FJ350" i="7"/>
  <c r="DX350" i="7"/>
  <c r="DV350" i="7"/>
  <c r="DT350" i="7"/>
  <c r="FM344" i="7"/>
  <c r="FL344" i="7"/>
  <c r="FK344" i="7"/>
  <c r="FJ344" i="7"/>
  <c r="DX344" i="7"/>
  <c r="DV344" i="7"/>
  <c r="DT344" i="7"/>
  <c r="FM342" i="7"/>
  <c r="FL342" i="7"/>
  <c r="FK342" i="7"/>
  <c r="FJ342" i="7"/>
  <c r="DX342" i="7"/>
  <c r="DV342" i="7"/>
  <c r="DT342" i="7"/>
  <c r="FM337" i="7"/>
  <c r="FL337" i="7"/>
  <c r="FK337" i="7"/>
  <c r="FJ337" i="7"/>
  <c r="DX337" i="7"/>
  <c r="DV337" i="7"/>
  <c r="DT337" i="7"/>
  <c r="FM335" i="7"/>
  <c r="FL335" i="7"/>
  <c r="FK335" i="7"/>
  <c r="FJ335" i="7"/>
  <c r="DX335" i="7"/>
  <c r="DV335" i="7"/>
  <c r="DT335" i="7"/>
  <c r="FM333" i="7"/>
  <c r="FL333" i="7"/>
  <c r="FK333" i="7"/>
  <c r="FJ333" i="7"/>
  <c r="DX333" i="7"/>
  <c r="DV333" i="7"/>
  <c r="DT333" i="7"/>
  <c r="FM331" i="7"/>
  <c r="FL331" i="7"/>
  <c r="FK331" i="7"/>
  <c r="FJ331" i="7"/>
  <c r="DX331" i="7"/>
  <c r="DV331" i="7"/>
  <c r="DT331" i="7"/>
  <c r="FM322" i="7"/>
  <c r="FL322" i="7"/>
  <c r="FK322" i="7"/>
  <c r="FJ322" i="7"/>
  <c r="DX322" i="7"/>
  <c r="DV322" i="7"/>
  <c r="DT322" i="7"/>
  <c r="FM320" i="7"/>
  <c r="FL320" i="7"/>
  <c r="FK320" i="7"/>
  <c r="FJ320" i="7"/>
  <c r="DX320" i="7"/>
  <c r="DV320" i="7"/>
  <c r="DT320" i="7"/>
  <c r="FM316" i="7"/>
  <c r="FL316" i="7"/>
  <c r="FK316" i="7"/>
  <c r="FJ316" i="7"/>
  <c r="DX316" i="7"/>
  <c r="DV316" i="7"/>
  <c r="DT316" i="7"/>
  <c r="FM314" i="7"/>
  <c r="FL314" i="7"/>
  <c r="FK314" i="7"/>
  <c r="FJ314" i="7"/>
  <c r="DX314" i="7"/>
  <c r="DV314" i="7"/>
  <c r="DT314" i="7"/>
  <c r="FM310" i="7"/>
  <c r="FL310" i="7"/>
  <c r="FK310" i="7"/>
  <c r="FJ310" i="7"/>
  <c r="DX310" i="7"/>
  <c r="DV310" i="7"/>
  <c r="DT310" i="7"/>
  <c r="FM302" i="7"/>
  <c r="FL302" i="7"/>
  <c r="FK302" i="7"/>
  <c r="FJ302" i="7"/>
  <c r="DX302" i="7"/>
  <c r="DV302" i="7"/>
  <c r="DT302" i="7"/>
  <c r="FM297" i="7"/>
  <c r="FL297" i="7"/>
  <c r="FK297" i="7"/>
  <c r="FJ297" i="7"/>
  <c r="DX297" i="7"/>
  <c r="DV297" i="7"/>
  <c r="DT297" i="7"/>
  <c r="FM292" i="7"/>
  <c r="FL292" i="7"/>
  <c r="FK292" i="7"/>
  <c r="FJ292" i="7"/>
  <c r="DX292" i="7"/>
  <c r="DX291" i="7" s="1"/>
  <c r="DV292" i="7"/>
  <c r="DV291" i="7" s="1"/>
  <c r="DT292" i="7"/>
  <c r="DT291" i="7" s="1"/>
  <c r="FM288" i="7"/>
  <c r="FL288" i="7"/>
  <c r="FK288" i="7"/>
  <c r="FJ288" i="7"/>
  <c r="DX288" i="7"/>
  <c r="DV288" i="7"/>
  <c r="DT288" i="7"/>
  <c r="FM283" i="7"/>
  <c r="FL283" i="7"/>
  <c r="FK283" i="7"/>
  <c r="FJ283" i="7"/>
  <c r="DX283" i="7"/>
  <c r="DV283" i="7"/>
  <c r="DT283" i="7"/>
  <c r="FM281" i="7"/>
  <c r="FL281" i="7"/>
  <c r="FK281" i="7"/>
  <c r="FJ281" i="7"/>
  <c r="DX281" i="7"/>
  <c r="DV281" i="7"/>
  <c r="DT281" i="7"/>
  <c r="FM278" i="7"/>
  <c r="FL278" i="7"/>
  <c r="FK278" i="7"/>
  <c r="FJ278" i="7"/>
  <c r="DX278" i="7"/>
  <c r="DV278" i="7"/>
  <c r="DT278" i="7"/>
  <c r="FM273" i="7"/>
  <c r="FL273" i="7"/>
  <c r="FK273" i="7"/>
  <c r="FJ273" i="7"/>
  <c r="DX273" i="7"/>
  <c r="DV273" i="7"/>
  <c r="DT273" i="7"/>
  <c r="FM260" i="7"/>
  <c r="FL260" i="7"/>
  <c r="FK260" i="7"/>
  <c r="FJ260" i="7"/>
  <c r="DX260" i="7"/>
  <c r="DV260" i="7"/>
  <c r="DT260" i="7"/>
  <c r="FM244" i="7"/>
  <c r="FL244" i="7"/>
  <c r="FK244" i="7"/>
  <c r="FJ244" i="7"/>
  <c r="DX244" i="7"/>
  <c r="DV244" i="7"/>
  <c r="DT244" i="7"/>
  <c r="FM235" i="7"/>
  <c r="FL235" i="7"/>
  <c r="FK235" i="7"/>
  <c r="FJ235" i="7"/>
  <c r="DX235" i="7"/>
  <c r="DV235" i="7"/>
  <c r="DT235" i="7"/>
  <c r="FM227" i="7"/>
  <c r="FL227" i="7"/>
  <c r="FK227" i="7"/>
  <c r="FJ227" i="7"/>
  <c r="DX227" i="7"/>
  <c r="DV227" i="7"/>
  <c r="DT227" i="7"/>
  <c r="FM216" i="7"/>
  <c r="FL216" i="7"/>
  <c r="FK216" i="7"/>
  <c r="FJ216" i="7"/>
  <c r="DX216" i="7"/>
  <c r="DV216" i="7"/>
  <c r="DT216" i="7"/>
  <c r="FM213" i="7"/>
  <c r="FL213" i="7"/>
  <c r="FK213" i="7"/>
  <c r="FJ213" i="7"/>
  <c r="DX213" i="7"/>
  <c r="DV213" i="7"/>
  <c r="DT213" i="7"/>
  <c r="FM209" i="7"/>
  <c r="FL209" i="7"/>
  <c r="FK209" i="7"/>
  <c r="FJ209" i="7"/>
  <c r="DX209" i="7"/>
  <c r="DV209" i="7"/>
  <c r="DT209" i="7"/>
  <c r="FM207" i="7"/>
  <c r="FL207" i="7"/>
  <c r="FK207" i="7"/>
  <c r="FJ207" i="7"/>
  <c r="DX207" i="7"/>
  <c r="DV207" i="7"/>
  <c r="DT207" i="7"/>
  <c r="FM199" i="7"/>
  <c r="FL199" i="7"/>
  <c r="FK199" i="7"/>
  <c r="FJ199" i="7"/>
  <c r="DX199" i="7"/>
  <c r="DV199" i="7"/>
  <c r="DT199" i="7"/>
  <c r="FM197" i="7"/>
  <c r="FL197" i="7"/>
  <c r="FK197" i="7"/>
  <c r="FJ197" i="7"/>
  <c r="DX197" i="7"/>
  <c r="DV197" i="7"/>
  <c r="DT197" i="7"/>
  <c r="FM192" i="7"/>
  <c r="FL192" i="7"/>
  <c r="FK192" i="7"/>
  <c r="FJ192" i="7"/>
  <c r="DX192" i="7"/>
  <c r="DV192" i="7"/>
  <c r="DT192" i="7"/>
  <c r="FM187" i="7"/>
  <c r="FL187" i="7"/>
  <c r="FK187" i="7"/>
  <c r="FJ187" i="7"/>
  <c r="DX187" i="7"/>
  <c r="DV187" i="7"/>
  <c r="DT187" i="7"/>
  <c r="FM184" i="7"/>
  <c r="FL184" i="7"/>
  <c r="FK184" i="7"/>
  <c r="FJ184" i="7"/>
  <c r="DX184" i="7"/>
  <c r="DV184" i="7"/>
  <c r="DT184" i="7"/>
  <c r="FM170" i="7"/>
  <c r="FL170" i="7"/>
  <c r="FK170" i="7"/>
  <c r="FJ170" i="7"/>
  <c r="DX170" i="7"/>
  <c r="DV170" i="7"/>
  <c r="DT170" i="7"/>
  <c r="FM165" i="7"/>
  <c r="FL165" i="7"/>
  <c r="FK165" i="7"/>
  <c r="FJ165" i="7"/>
  <c r="DX165" i="7"/>
  <c r="DV165" i="7"/>
  <c r="DT165" i="7"/>
  <c r="FM161" i="7"/>
  <c r="FL161" i="7"/>
  <c r="FK161" i="7"/>
  <c r="FJ161" i="7"/>
  <c r="DX161" i="7"/>
  <c r="DV161" i="7"/>
  <c r="DT161" i="7"/>
  <c r="FM157" i="7"/>
  <c r="FL157" i="7"/>
  <c r="FK157" i="7"/>
  <c r="FJ157" i="7"/>
  <c r="DX157" i="7"/>
  <c r="DV157" i="7"/>
  <c r="DT157" i="7"/>
  <c r="FM155" i="7"/>
  <c r="FL155" i="7"/>
  <c r="FK155" i="7"/>
  <c r="FJ155" i="7"/>
  <c r="DX155" i="7"/>
  <c r="DV155" i="7"/>
  <c r="DT155" i="7"/>
  <c r="FM152" i="7"/>
  <c r="FL152" i="7"/>
  <c r="FK152" i="7"/>
  <c r="FJ152" i="7"/>
  <c r="DX152" i="7"/>
  <c r="DV152" i="7"/>
  <c r="DT152" i="7"/>
  <c r="FM148" i="7"/>
  <c r="FL148" i="7"/>
  <c r="FK148" i="7"/>
  <c r="FJ148" i="7"/>
  <c r="DX148" i="7"/>
  <c r="DV148" i="7"/>
  <c r="DT148" i="7"/>
  <c r="FM144" i="7"/>
  <c r="FL144" i="7"/>
  <c r="FK144" i="7"/>
  <c r="FJ144" i="7"/>
  <c r="DX144" i="7"/>
  <c r="DV144" i="7"/>
  <c r="DT144" i="7"/>
  <c r="FM138" i="7"/>
  <c r="FL138" i="7"/>
  <c r="FK138" i="7"/>
  <c r="FJ138" i="7"/>
  <c r="DX138" i="7"/>
  <c r="DV138" i="7"/>
  <c r="DT138" i="7"/>
  <c r="FM129" i="7"/>
  <c r="FL129" i="7"/>
  <c r="FK129" i="7"/>
  <c r="FJ129" i="7"/>
  <c r="DX129" i="7"/>
  <c r="DV129" i="7"/>
  <c r="DT129" i="7"/>
  <c r="FM127" i="7"/>
  <c r="FL127" i="7"/>
  <c r="FK127" i="7"/>
  <c r="FJ127" i="7"/>
  <c r="DX127" i="7"/>
  <c r="DV127" i="7"/>
  <c r="DT127" i="7"/>
  <c r="FM125" i="7"/>
  <c r="FL125" i="7"/>
  <c r="FK125" i="7"/>
  <c r="FJ125" i="7"/>
  <c r="DX125" i="7"/>
  <c r="DV125" i="7"/>
  <c r="DT125" i="7"/>
  <c r="J94" i="7"/>
  <c r="F94" i="7"/>
  <c r="F92" i="7"/>
  <c r="E90" i="7"/>
  <c r="J28" i="7"/>
  <c r="E28" i="7"/>
  <c r="J95" i="7" s="1"/>
  <c r="J27" i="7"/>
  <c r="J22" i="7"/>
  <c r="E22" i="7"/>
  <c r="F95" i="7" s="1"/>
  <c r="J21" i="7"/>
  <c r="J16" i="7"/>
  <c r="E7" i="7"/>
  <c r="J41" i="6"/>
  <c r="J40" i="6"/>
  <c r="BF94" i="1" s="1"/>
  <c r="J39" i="6"/>
  <c r="BE94" i="1" s="1"/>
  <c r="DX422" i="6"/>
  <c r="DW422" i="6"/>
  <c r="DV422" i="6"/>
  <c r="DU422" i="6"/>
  <c r="CI422" i="6"/>
  <c r="CI421" i="6" s="1"/>
  <c r="CG422" i="6"/>
  <c r="CG421" i="6" s="1"/>
  <c r="CE422" i="6"/>
  <c r="CE421" i="6" s="1"/>
  <c r="DX418" i="6"/>
  <c r="DW418" i="6"/>
  <c r="DV418" i="6"/>
  <c r="DU418" i="6"/>
  <c r="CI418" i="6"/>
  <c r="CG418" i="6"/>
  <c r="CE418" i="6"/>
  <c r="DX415" i="6"/>
  <c r="DW415" i="6"/>
  <c r="DV415" i="6"/>
  <c r="DU415" i="6"/>
  <c r="CI415" i="6"/>
  <c r="CG415" i="6"/>
  <c r="CE415" i="6"/>
  <c r="DX413" i="6"/>
  <c r="DW413" i="6"/>
  <c r="DV413" i="6"/>
  <c r="DU413" i="6"/>
  <c r="CI413" i="6"/>
  <c r="CG413" i="6"/>
  <c r="CE413" i="6"/>
  <c r="DX407" i="6"/>
  <c r="DW407" i="6"/>
  <c r="DV407" i="6"/>
  <c r="DU407" i="6"/>
  <c r="CI407" i="6"/>
  <c r="CG407" i="6"/>
  <c r="CE407" i="6"/>
  <c r="DX402" i="6"/>
  <c r="DW402" i="6"/>
  <c r="DV402" i="6"/>
  <c r="DU402" i="6"/>
  <c r="CI402" i="6"/>
  <c r="CG402" i="6"/>
  <c r="CE402" i="6"/>
  <c r="DX396" i="6"/>
  <c r="DW396" i="6"/>
  <c r="DV396" i="6"/>
  <c r="DU396" i="6"/>
  <c r="CI396" i="6"/>
  <c r="CG396" i="6"/>
  <c r="CE396" i="6"/>
  <c r="DX391" i="6"/>
  <c r="DW391" i="6"/>
  <c r="DV391" i="6"/>
  <c r="DU391" i="6"/>
  <c r="CI391" i="6"/>
  <c r="CG391" i="6"/>
  <c r="CE391" i="6"/>
  <c r="DX387" i="6"/>
  <c r="DW387" i="6"/>
  <c r="DV387" i="6"/>
  <c r="DU387" i="6"/>
  <c r="CI387" i="6"/>
  <c r="CG387" i="6"/>
  <c r="CE387" i="6"/>
  <c r="DX384" i="6"/>
  <c r="DW384" i="6"/>
  <c r="DV384" i="6"/>
  <c r="DU384" i="6"/>
  <c r="CI384" i="6"/>
  <c r="CG384" i="6"/>
  <c r="CE384" i="6"/>
  <c r="DX382" i="6"/>
  <c r="DW382" i="6"/>
  <c r="DV382" i="6"/>
  <c r="DU382" i="6"/>
  <c r="CI382" i="6"/>
  <c r="CG382" i="6"/>
  <c r="CE382" i="6"/>
  <c r="DX378" i="6"/>
  <c r="DW378" i="6"/>
  <c r="DV378" i="6"/>
  <c r="DU378" i="6"/>
  <c r="CI378" i="6"/>
  <c r="CG378" i="6"/>
  <c r="CE378" i="6"/>
  <c r="DX374" i="6"/>
  <c r="DW374" i="6"/>
  <c r="DV374" i="6"/>
  <c r="DU374" i="6"/>
  <c r="CI374" i="6"/>
  <c r="CG374" i="6"/>
  <c r="CE374" i="6"/>
  <c r="DX370" i="6"/>
  <c r="DW370" i="6"/>
  <c r="DV370" i="6"/>
  <c r="DU370" i="6"/>
  <c r="CI370" i="6"/>
  <c r="CG370" i="6"/>
  <c r="CE370" i="6"/>
  <c r="DX368" i="6"/>
  <c r="DW368" i="6"/>
  <c r="DV368" i="6"/>
  <c r="DU368" i="6"/>
  <c r="CI368" i="6"/>
  <c r="CG368" i="6"/>
  <c r="CE368" i="6"/>
  <c r="DX366" i="6"/>
  <c r="DW366" i="6"/>
  <c r="DV366" i="6"/>
  <c r="DU366" i="6"/>
  <c r="CI366" i="6"/>
  <c r="CG366" i="6"/>
  <c r="CE366" i="6"/>
  <c r="DX364" i="6"/>
  <c r="DW364" i="6"/>
  <c r="DV364" i="6"/>
  <c r="DU364" i="6"/>
  <c r="CI364" i="6"/>
  <c r="CG364" i="6"/>
  <c r="CE364" i="6"/>
  <c r="DX360" i="6"/>
  <c r="DW360" i="6"/>
  <c r="DV360" i="6"/>
  <c r="DU360" i="6"/>
  <c r="CI360" i="6"/>
  <c r="CG360" i="6"/>
  <c r="CE360" i="6"/>
  <c r="DX358" i="6"/>
  <c r="DW358" i="6"/>
  <c r="DV358" i="6"/>
  <c r="DU358" i="6"/>
  <c r="CI358" i="6"/>
  <c r="CG358" i="6"/>
  <c r="CE358" i="6"/>
  <c r="DX356" i="6"/>
  <c r="DW356" i="6"/>
  <c r="DV356" i="6"/>
  <c r="DU356" i="6"/>
  <c r="CI356" i="6"/>
  <c r="CG356" i="6"/>
  <c r="CE356" i="6"/>
  <c r="DX354" i="6"/>
  <c r="DW354" i="6"/>
  <c r="DV354" i="6"/>
  <c r="DU354" i="6"/>
  <c r="CI354" i="6"/>
  <c r="CG354" i="6"/>
  <c r="CE354" i="6"/>
  <c r="DX350" i="6"/>
  <c r="DW350" i="6"/>
  <c r="DV350" i="6"/>
  <c r="DU350" i="6"/>
  <c r="CI350" i="6"/>
  <c r="CG350" i="6"/>
  <c r="CE350" i="6"/>
  <c r="DX348" i="6"/>
  <c r="DW348" i="6"/>
  <c r="DV348" i="6"/>
  <c r="DU348" i="6"/>
  <c r="CI348" i="6"/>
  <c r="CG348" i="6"/>
  <c r="CE348" i="6"/>
  <c r="DX344" i="6"/>
  <c r="DW344" i="6"/>
  <c r="DV344" i="6"/>
  <c r="DU344" i="6"/>
  <c r="CI344" i="6"/>
  <c r="CG344" i="6"/>
  <c r="CE344" i="6"/>
  <c r="DX342" i="6"/>
  <c r="DW342" i="6"/>
  <c r="DV342" i="6"/>
  <c r="DU342" i="6"/>
  <c r="CI342" i="6"/>
  <c r="CG342" i="6"/>
  <c r="CE342" i="6"/>
  <c r="DX340" i="6"/>
  <c r="DW340" i="6"/>
  <c r="DV340" i="6"/>
  <c r="DU340" i="6"/>
  <c r="CI340" i="6"/>
  <c r="CG340" i="6"/>
  <c r="CE340" i="6"/>
  <c r="DX338" i="6"/>
  <c r="DW338" i="6"/>
  <c r="DV338" i="6"/>
  <c r="DU338" i="6"/>
  <c r="CI338" i="6"/>
  <c r="CG338" i="6"/>
  <c r="CE338" i="6"/>
  <c r="DX334" i="6"/>
  <c r="DW334" i="6"/>
  <c r="DV334" i="6"/>
  <c r="DU334" i="6"/>
  <c r="CI334" i="6"/>
  <c r="CG334" i="6"/>
  <c r="CE334" i="6"/>
  <c r="DX331" i="6"/>
  <c r="DW331" i="6"/>
  <c r="DV331" i="6"/>
  <c r="DU331" i="6"/>
  <c r="CI331" i="6"/>
  <c r="CG331" i="6"/>
  <c r="CE331" i="6"/>
  <c r="DX326" i="6"/>
  <c r="DW326" i="6"/>
  <c r="DV326" i="6"/>
  <c r="DU326" i="6"/>
  <c r="CI326" i="6"/>
  <c r="CG326" i="6"/>
  <c r="CE326" i="6"/>
  <c r="DX323" i="6"/>
  <c r="DW323" i="6"/>
  <c r="DV323" i="6"/>
  <c r="DU323" i="6"/>
  <c r="CI323" i="6"/>
  <c r="CG323" i="6"/>
  <c r="CE323" i="6"/>
  <c r="DX321" i="6"/>
  <c r="DW321" i="6"/>
  <c r="DV321" i="6"/>
  <c r="DU321" i="6"/>
  <c r="CI321" i="6"/>
  <c r="CG321" i="6"/>
  <c r="CE321" i="6"/>
  <c r="DX319" i="6"/>
  <c r="DW319" i="6"/>
  <c r="DV319" i="6"/>
  <c r="DU319" i="6"/>
  <c r="CI319" i="6"/>
  <c r="CG319" i="6"/>
  <c r="CE319" i="6"/>
  <c r="DX315" i="6"/>
  <c r="DW315" i="6"/>
  <c r="DV315" i="6"/>
  <c r="DU315" i="6"/>
  <c r="CI315" i="6"/>
  <c r="CG315" i="6"/>
  <c r="CE315" i="6"/>
  <c r="DX311" i="6"/>
  <c r="DW311" i="6"/>
  <c r="DV311" i="6"/>
  <c r="DU311" i="6"/>
  <c r="CI311" i="6"/>
  <c r="CG311" i="6"/>
  <c r="CE311" i="6"/>
  <c r="DX305" i="6"/>
  <c r="DW305" i="6"/>
  <c r="DV305" i="6"/>
  <c r="DU305" i="6"/>
  <c r="CI305" i="6"/>
  <c r="CG305" i="6"/>
  <c r="CE305" i="6"/>
  <c r="DX303" i="6"/>
  <c r="DW303" i="6"/>
  <c r="DV303" i="6"/>
  <c r="DU303" i="6"/>
  <c r="CI303" i="6"/>
  <c r="CG303" i="6"/>
  <c r="CE303" i="6"/>
  <c r="DX298" i="6"/>
  <c r="DW298" i="6"/>
  <c r="DV298" i="6"/>
  <c r="DU298" i="6"/>
  <c r="CI298" i="6"/>
  <c r="CG298" i="6"/>
  <c r="CE298" i="6"/>
  <c r="DX296" i="6"/>
  <c r="DW296" i="6"/>
  <c r="DV296" i="6"/>
  <c r="DU296" i="6"/>
  <c r="CI296" i="6"/>
  <c r="CG296" i="6"/>
  <c r="CE296" i="6"/>
  <c r="DX294" i="6"/>
  <c r="DW294" i="6"/>
  <c r="DV294" i="6"/>
  <c r="DU294" i="6"/>
  <c r="CI294" i="6"/>
  <c r="CG294" i="6"/>
  <c r="CE294" i="6"/>
  <c r="DX292" i="6"/>
  <c r="DW292" i="6"/>
  <c r="DV292" i="6"/>
  <c r="DU292" i="6"/>
  <c r="CI292" i="6"/>
  <c r="CG292" i="6"/>
  <c r="CE292" i="6"/>
  <c r="DX283" i="6"/>
  <c r="DW283" i="6"/>
  <c r="DV283" i="6"/>
  <c r="DU283" i="6"/>
  <c r="CI283" i="6"/>
  <c r="CG283" i="6"/>
  <c r="CE283" i="6"/>
  <c r="DX281" i="6"/>
  <c r="DW281" i="6"/>
  <c r="DV281" i="6"/>
  <c r="DU281" i="6"/>
  <c r="CI281" i="6"/>
  <c r="CG281" i="6"/>
  <c r="CE281" i="6"/>
  <c r="DX277" i="6"/>
  <c r="DW277" i="6"/>
  <c r="DV277" i="6"/>
  <c r="DU277" i="6"/>
  <c r="CI277" i="6"/>
  <c r="CG277" i="6"/>
  <c r="CE277" i="6"/>
  <c r="DX275" i="6"/>
  <c r="DW275" i="6"/>
  <c r="DV275" i="6"/>
  <c r="DU275" i="6"/>
  <c r="CI275" i="6"/>
  <c r="CG275" i="6"/>
  <c r="CE275" i="6"/>
  <c r="DX273" i="6"/>
  <c r="DW273" i="6"/>
  <c r="DV273" i="6"/>
  <c r="DU273" i="6"/>
  <c r="CI273" i="6"/>
  <c r="CG273" i="6"/>
  <c r="CE273" i="6"/>
  <c r="DX271" i="6"/>
  <c r="DW271" i="6"/>
  <c r="DV271" i="6"/>
  <c r="DU271" i="6"/>
  <c r="CI271" i="6"/>
  <c r="CG271" i="6"/>
  <c r="CE271" i="6"/>
  <c r="DX269" i="6"/>
  <c r="DW269" i="6"/>
  <c r="DV269" i="6"/>
  <c r="DU269" i="6"/>
  <c r="CI269" i="6"/>
  <c r="CG269" i="6"/>
  <c r="CE269" i="6"/>
  <c r="DX265" i="6"/>
  <c r="DW265" i="6"/>
  <c r="DV265" i="6"/>
  <c r="DU265" i="6"/>
  <c r="CI265" i="6"/>
  <c r="CG265" i="6"/>
  <c r="CE265" i="6"/>
  <c r="DX257" i="6"/>
  <c r="DW257" i="6"/>
  <c r="DV257" i="6"/>
  <c r="DU257" i="6"/>
  <c r="CI257" i="6"/>
  <c r="CG257" i="6"/>
  <c r="CE257" i="6"/>
  <c r="DX252" i="6"/>
  <c r="DW252" i="6"/>
  <c r="DV252" i="6"/>
  <c r="DU252" i="6"/>
  <c r="CI252" i="6"/>
  <c r="CG252" i="6"/>
  <c r="CE252" i="6"/>
  <c r="DX247" i="6"/>
  <c r="DW247" i="6"/>
  <c r="DV247" i="6"/>
  <c r="DU247" i="6"/>
  <c r="CI247" i="6"/>
  <c r="CI246" i="6" s="1"/>
  <c r="CG247" i="6"/>
  <c r="CG246" i="6" s="1"/>
  <c r="CE247" i="6"/>
  <c r="CE246" i="6" s="1"/>
  <c r="DX243" i="6"/>
  <c r="DW243" i="6"/>
  <c r="DV243" i="6"/>
  <c r="DU243" i="6"/>
  <c r="CI243" i="6"/>
  <c r="CG243" i="6"/>
  <c r="CE243" i="6"/>
  <c r="DX240" i="6"/>
  <c r="DW240" i="6"/>
  <c r="DV240" i="6"/>
  <c r="DU240" i="6"/>
  <c r="CI240" i="6"/>
  <c r="CG240" i="6"/>
  <c r="CE240" i="6"/>
  <c r="DX235" i="6"/>
  <c r="DW235" i="6"/>
  <c r="DV235" i="6"/>
  <c r="DU235" i="6"/>
  <c r="CI235" i="6"/>
  <c r="CG235" i="6"/>
  <c r="CE235" i="6"/>
  <c r="DX231" i="6"/>
  <c r="DW231" i="6"/>
  <c r="DV231" i="6"/>
  <c r="DU231" i="6"/>
  <c r="CI231" i="6"/>
  <c r="CG231" i="6"/>
  <c r="CE231" i="6"/>
  <c r="DX215" i="6"/>
  <c r="DW215" i="6"/>
  <c r="DV215" i="6"/>
  <c r="DU215" i="6"/>
  <c r="CI215" i="6"/>
  <c r="CG215" i="6"/>
  <c r="CE215" i="6"/>
  <c r="DX211" i="6"/>
  <c r="DW211" i="6"/>
  <c r="DV211" i="6"/>
  <c r="DU211" i="6"/>
  <c r="CI211" i="6"/>
  <c r="CG211" i="6"/>
  <c r="CE211" i="6"/>
  <c r="DX203" i="6"/>
  <c r="DW203" i="6"/>
  <c r="DV203" i="6"/>
  <c r="DU203" i="6"/>
  <c r="CI203" i="6"/>
  <c r="CG203" i="6"/>
  <c r="CE203" i="6"/>
  <c r="DX199" i="6"/>
  <c r="DW199" i="6"/>
  <c r="DV199" i="6"/>
  <c r="DU199" i="6"/>
  <c r="CI199" i="6"/>
  <c r="CG199" i="6"/>
  <c r="CE199" i="6"/>
  <c r="DX194" i="6"/>
  <c r="DW194" i="6"/>
  <c r="DV194" i="6"/>
  <c r="DU194" i="6"/>
  <c r="CI194" i="6"/>
  <c r="CG194" i="6"/>
  <c r="CE194" i="6"/>
  <c r="DX192" i="6"/>
  <c r="DW192" i="6"/>
  <c r="DV192" i="6"/>
  <c r="DU192" i="6"/>
  <c r="CI192" i="6"/>
  <c r="CG192" i="6"/>
  <c r="CE192" i="6"/>
  <c r="DX187" i="6"/>
  <c r="DW187" i="6"/>
  <c r="DV187" i="6"/>
  <c r="DU187" i="6"/>
  <c r="CI187" i="6"/>
  <c r="CG187" i="6"/>
  <c r="CE187" i="6"/>
  <c r="DX182" i="6"/>
  <c r="DW182" i="6"/>
  <c r="DV182" i="6"/>
  <c r="DU182" i="6"/>
  <c r="CI182" i="6"/>
  <c r="CG182" i="6"/>
  <c r="CE182" i="6"/>
  <c r="DX179" i="6"/>
  <c r="DW179" i="6"/>
  <c r="DV179" i="6"/>
  <c r="DU179" i="6"/>
  <c r="CI179" i="6"/>
  <c r="CG179" i="6"/>
  <c r="CE179" i="6"/>
  <c r="DX169" i="6"/>
  <c r="DW169" i="6"/>
  <c r="DV169" i="6"/>
  <c r="DU169" i="6"/>
  <c r="CI169" i="6"/>
  <c r="CG169" i="6"/>
  <c r="CE169" i="6"/>
  <c r="DX165" i="6"/>
  <c r="DW165" i="6"/>
  <c r="DV165" i="6"/>
  <c r="DU165" i="6"/>
  <c r="CI165" i="6"/>
  <c r="CG165" i="6"/>
  <c r="CE165" i="6"/>
  <c r="DX161" i="6"/>
  <c r="DW161" i="6"/>
  <c r="DV161" i="6"/>
  <c r="DU161" i="6"/>
  <c r="CI161" i="6"/>
  <c r="CG161" i="6"/>
  <c r="CE161" i="6"/>
  <c r="DX159" i="6"/>
  <c r="DW159" i="6"/>
  <c r="DV159" i="6"/>
  <c r="DU159" i="6"/>
  <c r="CI159" i="6"/>
  <c r="CG159" i="6"/>
  <c r="CE159" i="6"/>
  <c r="DX156" i="6"/>
  <c r="DW156" i="6"/>
  <c r="DV156" i="6"/>
  <c r="DU156" i="6"/>
  <c r="CI156" i="6"/>
  <c r="CG156" i="6"/>
  <c r="CE156" i="6"/>
  <c r="DX152" i="6"/>
  <c r="DW152" i="6"/>
  <c r="DV152" i="6"/>
  <c r="DU152" i="6"/>
  <c r="CI152" i="6"/>
  <c r="CG152" i="6"/>
  <c r="CE152" i="6"/>
  <c r="DX148" i="6"/>
  <c r="DW148" i="6"/>
  <c r="DV148" i="6"/>
  <c r="DU148" i="6"/>
  <c r="CI148" i="6"/>
  <c r="CG148" i="6"/>
  <c r="CE148" i="6"/>
  <c r="DX142" i="6"/>
  <c r="DW142" i="6"/>
  <c r="DV142" i="6"/>
  <c r="DU142" i="6"/>
  <c r="CI142" i="6"/>
  <c r="CG142" i="6"/>
  <c r="CE142" i="6"/>
  <c r="DX133" i="6"/>
  <c r="DW133" i="6"/>
  <c r="DV133" i="6"/>
  <c r="DU133" i="6"/>
  <c r="CI133" i="6"/>
  <c r="CG133" i="6"/>
  <c r="CE133" i="6"/>
  <c r="DX131" i="6"/>
  <c r="DW131" i="6"/>
  <c r="DV131" i="6"/>
  <c r="DU131" i="6"/>
  <c r="CI131" i="6"/>
  <c r="CG131" i="6"/>
  <c r="CE131" i="6"/>
  <c r="DX129" i="6"/>
  <c r="DW129" i="6"/>
  <c r="DV129" i="6"/>
  <c r="DU129" i="6"/>
  <c r="CI129" i="6"/>
  <c r="CG129" i="6"/>
  <c r="CE129" i="6"/>
  <c r="E117" i="6"/>
  <c r="J94" i="6"/>
  <c r="F94" i="6"/>
  <c r="F92" i="6"/>
  <c r="E90" i="6"/>
  <c r="J28" i="6"/>
  <c r="E28" i="6"/>
  <c r="J27" i="6"/>
  <c r="J22" i="6"/>
  <c r="E22" i="6"/>
  <c r="F95" i="6" s="1"/>
  <c r="J21" i="6"/>
  <c r="J16" i="6"/>
  <c r="E7" i="6"/>
  <c r="J41" i="5"/>
  <c r="J40" i="5"/>
  <c r="BF93" i="1" s="1"/>
  <c r="J39" i="5"/>
  <c r="BE93" i="1" s="1"/>
  <c r="DY379" i="5"/>
  <c r="DX379" i="5"/>
  <c r="DW379" i="5"/>
  <c r="DV379" i="5"/>
  <c r="CJ379" i="5"/>
  <c r="CJ378" i="5" s="1"/>
  <c r="CH379" i="5"/>
  <c r="CH378" i="5" s="1"/>
  <c r="CF379" i="5"/>
  <c r="CF378" i="5" s="1"/>
  <c r="DY374" i="5"/>
  <c r="DX374" i="5"/>
  <c r="DW374" i="5"/>
  <c r="DV374" i="5"/>
  <c r="CJ374" i="5"/>
  <c r="CH374" i="5"/>
  <c r="CF374" i="5"/>
  <c r="DY370" i="5"/>
  <c r="DX370" i="5"/>
  <c r="DW370" i="5"/>
  <c r="DV370" i="5"/>
  <c r="CJ370" i="5"/>
  <c r="CH370" i="5"/>
  <c r="CF370" i="5"/>
  <c r="DY368" i="5"/>
  <c r="DX368" i="5"/>
  <c r="DW368" i="5"/>
  <c r="DV368" i="5"/>
  <c r="CJ368" i="5"/>
  <c r="CH368" i="5"/>
  <c r="CF368" i="5"/>
  <c r="DY362" i="5"/>
  <c r="DX362" i="5"/>
  <c r="DW362" i="5"/>
  <c r="DV362" i="5"/>
  <c r="CJ362" i="5"/>
  <c r="CH362" i="5"/>
  <c r="CF362" i="5"/>
  <c r="DY357" i="5"/>
  <c r="DX357" i="5"/>
  <c r="DW357" i="5"/>
  <c r="DV357" i="5"/>
  <c r="CJ357" i="5"/>
  <c r="CH357" i="5"/>
  <c r="CF357" i="5"/>
  <c r="DY351" i="5"/>
  <c r="DX351" i="5"/>
  <c r="DW351" i="5"/>
  <c r="DV351" i="5"/>
  <c r="CJ351" i="5"/>
  <c r="CH351" i="5"/>
  <c r="CF351" i="5"/>
  <c r="DY346" i="5"/>
  <c r="DX346" i="5"/>
  <c r="DW346" i="5"/>
  <c r="DV346" i="5"/>
  <c r="CJ346" i="5"/>
  <c r="CH346" i="5"/>
  <c r="CF346" i="5"/>
  <c r="DY343" i="5"/>
  <c r="DX343" i="5"/>
  <c r="DW343" i="5"/>
  <c r="DV343" i="5"/>
  <c r="CJ343" i="5"/>
  <c r="CH343" i="5"/>
  <c r="CF343" i="5"/>
  <c r="DY341" i="5"/>
  <c r="DX341" i="5"/>
  <c r="DW341" i="5"/>
  <c r="DV341" i="5"/>
  <c r="CJ341" i="5"/>
  <c r="CH341" i="5"/>
  <c r="CF341" i="5"/>
  <c r="DY337" i="5"/>
  <c r="DX337" i="5"/>
  <c r="DW337" i="5"/>
  <c r="DV337" i="5"/>
  <c r="CJ337" i="5"/>
  <c r="CH337" i="5"/>
  <c r="CF337" i="5"/>
  <c r="DY335" i="5"/>
  <c r="DX335" i="5"/>
  <c r="DW335" i="5"/>
  <c r="DV335" i="5"/>
  <c r="CJ335" i="5"/>
  <c r="CH335" i="5"/>
  <c r="CF335" i="5"/>
  <c r="DY333" i="5"/>
  <c r="DX333" i="5"/>
  <c r="DW333" i="5"/>
  <c r="DV333" i="5"/>
  <c r="CJ333" i="5"/>
  <c r="CH333" i="5"/>
  <c r="CF333" i="5"/>
  <c r="DY329" i="5"/>
  <c r="DX329" i="5"/>
  <c r="DW329" i="5"/>
  <c r="DV329" i="5"/>
  <c r="CJ329" i="5"/>
  <c r="CH329" i="5"/>
  <c r="CF329" i="5"/>
  <c r="DY327" i="5"/>
  <c r="DX327" i="5"/>
  <c r="DW327" i="5"/>
  <c r="DV327" i="5"/>
  <c r="CJ327" i="5"/>
  <c r="CH327" i="5"/>
  <c r="CF327" i="5"/>
  <c r="DY323" i="5"/>
  <c r="DX323" i="5"/>
  <c r="DW323" i="5"/>
  <c r="DV323" i="5"/>
  <c r="CJ323" i="5"/>
  <c r="CH323" i="5"/>
  <c r="CF323" i="5"/>
  <c r="DY321" i="5"/>
  <c r="DX321" i="5"/>
  <c r="DW321" i="5"/>
  <c r="DV321" i="5"/>
  <c r="CJ321" i="5"/>
  <c r="CH321" i="5"/>
  <c r="CF321" i="5"/>
  <c r="DY319" i="5"/>
  <c r="DX319" i="5"/>
  <c r="DW319" i="5"/>
  <c r="DV319" i="5"/>
  <c r="CJ319" i="5"/>
  <c r="CH319" i="5"/>
  <c r="CF319" i="5"/>
  <c r="DY317" i="5"/>
  <c r="DX317" i="5"/>
  <c r="DW317" i="5"/>
  <c r="DV317" i="5"/>
  <c r="CJ317" i="5"/>
  <c r="CH317" i="5"/>
  <c r="CF317" i="5"/>
  <c r="DY313" i="5"/>
  <c r="DX313" i="5"/>
  <c r="DW313" i="5"/>
  <c r="DV313" i="5"/>
  <c r="CJ313" i="5"/>
  <c r="CH313" i="5"/>
  <c r="CF313" i="5"/>
  <c r="DY310" i="5"/>
  <c r="DX310" i="5"/>
  <c r="DW310" i="5"/>
  <c r="DV310" i="5"/>
  <c r="CJ310" i="5"/>
  <c r="CH310" i="5"/>
  <c r="CF310" i="5"/>
  <c r="DY305" i="5"/>
  <c r="DX305" i="5"/>
  <c r="DW305" i="5"/>
  <c r="DV305" i="5"/>
  <c r="CJ305" i="5"/>
  <c r="CH305" i="5"/>
  <c r="CF305" i="5"/>
  <c r="DY302" i="5"/>
  <c r="DX302" i="5"/>
  <c r="DW302" i="5"/>
  <c r="DV302" i="5"/>
  <c r="CJ302" i="5"/>
  <c r="CH302" i="5"/>
  <c r="CF302" i="5"/>
  <c r="DY300" i="5"/>
  <c r="DX300" i="5"/>
  <c r="DW300" i="5"/>
  <c r="DV300" i="5"/>
  <c r="CJ300" i="5"/>
  <c r="CH300" i="5"/>
  <c r="CF300" i="5"/>
  <c r="DY298" i="5"/>
  <c r="DX298" i="5"/>
  <c r="DW298" i="5"/>
  <c r="DV298" i="5"/>
  <c r="CJ298" i="5"/>
  <c r="CH298" i="5"/>
  <c r="CF298" i="5"/>
  <c r="DY294" i="5"/>
  <c r="DX294" i="5"/>
  <c r="DW294" i="5"/>
  <c r="DV294" i="5"/>
  <c r="CJ294" i="5"/>
  <c r="CH294" i="5"/>
  <c r="CF294" i="5"/>
  <c r="DY290" i="5"/>
  <c r="DX290" i="5"/>
  <c r="DW290" i="5"/>
  <c r="DV290" i="5"/>
  <c r="CJ290" i="5"/>
  <c r="CH290" i="5"/>
  <c r="CF290" i="5"/>
  <c r="DY284" i="5"/>
  <c r="DX284" i="5"/>
  <c r="DW284" i="5"/>
  <c r="DV284" i="5"/>
  <c r="CJ284" i="5"/>
  <c r="CH284" i="5"/>
  <c r="CF284" i="5"/>
  <c r="DY282" i="5"/>
  <c r="DX282" i="5"/>
  <c r="DW282" i="5"/>
  <c r="DV282" i="5"/>
  <c r="CJ282" i="5"/>
  <c r="CH282" i="5"/>
  <c r="CF282" i="5"/>
  <c r="DY277" i="5"/>
  <c r="DX277" i="5"/>
  <c r="DW277" i="5"/>
  <c r="DV277" i="5"/>
  <c r="CJ277" i="5"/>
  <c r="CH277" i="5"/>
  <c r="CF277" i="5"/>
  <c r="DY275" i="5"/>
  <c r="DX275" i="5"/>
  <c r="DW275" i="5"/>
  <c r="DV275" i="5"/>
  <c r="CJ275" i="5"/>
  <c r="CH275" i="5"/>
  <c r="CF275" i="5"/>
  <c r="DY273" i="5"/>
  <c r="DX273" i="5"/>
  <c r="DW273" i="5"/>
  <c r="DV273" i="5"/>
  <c r="CJ273" i="5"/>
  <c r="CH273" i="5"/>
  <c r="CF273" i="5"/>
  <c r="DY271" i="5"/>
  <c r="DX271" i="5"/>
  <c r="DW271" i="5"/>
  <c r="DV271" i="5"/>
  <c r="CJ271" i="5"/>
  <c r="CH271" i="5"/>
  <c r="CF271" i="5"/>
  <c r="DY265" i="5"/>
  <c r="DX265" i="5"/>
  <c r="DW265" i="5"/>
  <c r="DV265" i="5"/>
  <c r="CJ265" i="5"/>
  <c r="CH265" i="5"/>
  <c r="CF265" i="5"/>
  <c r="DY263" i="5"/>
  <c r="DX263" i="5"/>
  <c r="DW263" i="5"/>
  <c r="DV263" i="5"/>
  <c r="CJ263" i="5"/>
  <c r="CH263" i="5"/>
  <c r="CF263" i="5"/>
  <c r="DY261" i="5"/>
  <c r="DX261" i="5"/>
  <c r="DW261" i="5"/>
  <c r="DV261" i="5"/>
  <c r="CJ261" i="5"/>
  <c r="CH261" i="5"/>
  <c r="CF261" i="5"/>
  <c r="DY259" i="5"/>
  <c r="DX259" i="5"/>
  <c r="DW259" i="5"/>
  <c r="DV259" i="5"/>
  <c r="CJ259" i="5"/>
  <c r="CH259" i="5"/>
  <c r="CF259" i="5"/>
  <c r="DY255" i="5"/>
  <c r="DX255" i="5"/>
  <c r="DW255" i="5"/>
  <c r="DV255" i="5"/>
  <c r="CJ255" i="5"/>
  <c r="CH255" i="5"/>
  <c r="CF255" i="5"/>
  <c r="DY250" i="5"/>
  <c r="DX250" i="5"/>
  <c r="DW250" i="5"/>
  <c r="DV250" i="5"/>
  <c r="CJ250" i="5"/>
  <c r="CH250" i="5"/>
  <c r="CF250" i="5"/>
  <c r="DY245" i="5"/>
  <c r="DX245" i="5"/>
  <c r="DW245" i="5"/>
  <c r="DV245" i="5"/>
  <c r="CJ245" i="5"/>
  <c r="CH245" i="5"/>
  <c r="CF245" i="5"/>
  <c r="DY240" i="5"/>
  <c r="DX240" i="5"/>
  <c r="DW240" i="5"/>
  <c r="DV240" i="5"/>
  <c r="CJ240" i="5"/>
  <c r="CJ239" i="5" s="1"/>
  <c r="CH240" i="5"/>
  <c r="CH239" i="5" s="1"/>
  <c r="CF240" i="5"/>
  <c r="CF239" i="5" s="1"/>
  <c r="DY236" i="5"/>
  <c r="DX236" i="5"/>
  <c r="DW236" i="5"/>
  <c r="DV236" i="5"/>
  <c r="CJ236" i="5"/>
  <c r="CH236" i="5"/>
  <c r="CF236" i="5"/>
  <c r="DY233" i="5"/>
  <c r="DX233" i="5"/>
  <c r="DW233" i="5"/>
  <c r="DV233" i="5"/>
  <c r="CJ233" i="5"/>
  <c r="CH233" i="5"/>
  <c r="CF233" i="5"/>
  <c r="DY228" i="5"/>
  <c r="DX228" i="5"/>
  <c r="DW228" i="5"/>
  <c r="DV228" i="5"/>
  <c r="CJ228" i="5"/>
  <c r="CH228" i="5"/>
  <c r="CF228" i="5"/>
  <c r="DY224" i="5"/>
  <c r="DX224" i="5"/>
  <c r="DW224" i="5"/>
  <c r="DV224" i="5"/>
  <c r="CJ224" i="5"/>
  <c r="CH224" i="5"/>
  <c r="CF224" i="5"/>
  <c r="DY209" i="5"/>
  <c r="DX209" i="5"/>
  <c r="DW209" i="5"/>
  <c r="DV209" i="5"/>
  <c r="CJ209" i="5"/>
  <c r="CH209" i="5"/>
  <c r="CF209" i="5"/>
  <c r="DY205" i="5"/>
  <c r="DX205" i="5"/>
  <c r="DW205" i="5"/>
  <c r="DV205" i="5"/>
  <c r="CJ205" i="5"/>
  <c r="CH205" i="5"/>
  <c r="CF205" i="5"/>
  <c r="DY198" i="5"/>
  <c r="DX198" i="5"/>
  <c r="DW198" i="5"/>
  <c r="DV198" i="5"/>
  <c r="CJ198" i="5"/>
  <c r="CH198" i="5"/>
  <c r="CF198" i="5"/>
  <c r="DY194" i="5"/>
  <c r="DX194" i="5"/>
  <c r="DW194" i="5"/>
  <c r="DV194" i="5"/>
  <c r="CJ194" i="5"/>
  <c r="CH194" i="5"/>
  <c r="CF194" i="5"/>
  <c r="DY189" i="5"/>
  <c r="DX189" i="5"/>
  <c r="DW189" i="5"/>
  <c r="DV189" i="5"/>
  <c r="CJ189" i="5"/>
  <c r="CH189" i="5"/>
  <c r="CF189" i="5"/>
  <c r="DY187" i="5"/>
  <c r="DX187" i="5"/>
  <c r="DW187" i="5"/>
  <c r="DV187" i="5"/>
  <c r="CJ187" i="5"/>
  <c r="CH187" i="5"/>
  <c r="CF187" i="5"/>
  <c r="DY182" i="5"/>
  <c r="DX182" i="5"/>
  <c r="DW182" i="5"/>
  <c r="DV182" i="5"/>
  <c r="CJ182" i="5"/>
  <c r="CH182" i="5"/>
  <c r="CF182" i="5"/>
  <c r="DY177" i="5"/>
  <c r="DX177" i="5"/>
  <c r="DW177" i="5"/>
  <c r="DV177" i="5"/>
  <c r="CJ177" i="5"/>
  <c r="CH177" i="5"/>
  <c r="CF177" i="5"/>
  <c r="DY174" i="5"/>
  <c r="DX174" i="5"/>
  <c r="DW174" i="5"/>
  <c r="DV174" i="5"/>
  <c r="CJ174" i="5"/>
  <c r="CH174" i="5"/>
  <c r="CF174" i="5"/>
  <c r="DY165" i="5"/>
  <c r="DX165" i="5"/>
  <c r="DW165" i="5"/>
  <c r="DV165" i="5"/>
  <c r="CJ165" i="5"/>
  <c r="CH165" i="5"/>
  <c r="CF165" i="5"/>
  <c r="DY161" i="5"/>
  <c r="DX161" i="5"/>
  <c r="DW161" i="5"/>
  <c r="DV161" i="5"/>
  <c r="CJ161" i="5"/>
  <c r="CH161" i="5"/>
  <c r="CF161" i="5"/>
  <c r="DY157" i="5"/>
  <c r="DX157" i="5"/>
  <c r="DW157" i="5"/>
  <c r="DV157" i="5"/>
  <c r="CJ157" i="5"/>
  <c r="CH157" i="5"/>
  <c r="CF157" i="5"/>
  <c r="DY155" i="5"/>
  <c r="DX155" i="5"/>
  <c r="DW155" i="5"/>
  <c r="DV155" i="5"/>
  <c r="CJ155" i="5"/>
  <c r="CH155" i="5"/>
  <c r="CF155" i="5"/>
  <c r="DY152" i="5"/>
  <c r="DX152" i="5"/>
  <c r="DW152" i="5"/>
  <c r="DV152" i="5"/>
  <c r="CJ152" i="5"/>
  <c r="CH152" i="5"/>
  <c r="CF152" i="5"/>
  <c r="DY148" i="5"/>
  <c r="DX148" i="5"/>
  <c r="DW148" i="5"/>
  <c r="DV148" i="5"/>
  <c r="CJ148" i="5"/>
  <c r="CH148" i="5"/>
  <c r="CF148" i="5"/>
  <c r="DY144" i="5"/>
  <c r="DX144" i="5"/>
  <c r="DW144" i="5"/>
  <c r="DV144" i="5"/>
  <c r="CJ144" i="5"/>
  <c r="CH144" i="5"/>
  <c r="CF144" i="5"/>
  <c r="DY130" i="5"/>
  <c r="DX130" i="5"/>
  <c r="DW130" i="5"/>
  <c r="DV130" i="5"/>
  <c r="CJ130" i="5"/>
  <c r="CH130" i="5"/>
  <c r="CF130" i="5"/>
  <c r="DY128" i="5"/>
  <c r="DX128" i="5"/>
  <c r="DW128" i="5"/>
  <c r="DV128" i="5"/>
  <c r="CJ128" i="5"/>
  <c r="CH128" i="5"/>
  <c r="CF128" i="5"/>
  <c r="DY126" i="5"/>
  <c r="DX126" i="5"/>
  <c r="DW126" i="5"/>
  <c r="DV126" i="5"/>
  <c r="CJ126" i="5"/>
  <c r="CH126" i="5"/>
  <c r="CF126" i="5"/>
  <c r="J94" i="5"/>
  <c r="F94" i="5"/>
  <c r="F92" i="5"/>
  <c r="E90" i="5"/>
  <c r="J28" i="5"/>
  <c r="E28" i="5"/>
  <c r="J27" i="5"/>
  <c r="J22" i="5"/>
  <c r="E22" i="5"/>
  <c r="J21" i="5"/>
  <c r="J16" i="5"/>
  <c r="J92" i="5" s="1"/>
  <c r="E7" i="5"/>
  <c r="J41" i="4"/>
  <c r="J40" i="4"/>
  <c r="BF92" i="1" s="1"/>
  <c r="J39" i="4"/>
  <c r="BE92" i="1" s="1"/>
  <c r="FB397" i="4"/>
  <c r="FA397" i="4"/>
  <c r="EZ397" i="4"/>
  <c r="EY397" i="4"/>
  <c r="DM397" i="4"/>
  <c r="DM396" i="4" s="1"/>
  <c r="DK397" i="4"/>
  <c r="DK396" i="4" s="1"/>
  <c r="DI397" i="4"/>
  <c r="DI396" i="4" s="1"/>
  <c r="FB392" i="4"/>
  <c r="FA392" i="4"/>
  <c r="EZ392" i="4"/>
  <c r="EY392" i="4"/>
  <c r="DM392" i="4"/>
  <c r="DK392" i="4"/>
  <c r="DI392" i="4"/>
  <c r="FB388" i="4"/>
  <c r="FA388" i="4"/>
  <c r="EZ388" i="4"/>
  <c r="EY388" i="4"/>
  <c r="DM388" i="4"/>
  <c r="DK388" i="4"/>
  <c r="DI388" i="4"/>
  <c r="FB386" i="4"/>
  <c r="FA386" i="4"/>
  <c r="EZ386" i="4"/>
  <c r="EY386" i="4"/>
  <c r="DM386" i="4"/>
  <c r="DK386" i="4"/>
  <c r="DI386" i="4"/>
  <c r="FB380" i="4"/>
  <c r="FA380" i="4"/>
  <c r="EZ380" i="4"/>
  <c r="EY380" i="4"/>
  <c r="DM380" i="4"/>
  <c r="DK380" i="4"/>
  <c r="DI380" i="4"/>
  <c r="FB375" i="4"/>
  <c r="FA375" i="4"/>
  <c r="EZ375" i="4"/>
  <c r="EY375" i="4"/>
  <c r="DM375" i="4"/>
  <c r="DK375" i="4"/>
  <c r="DI375" i="4"/>
  <c r="FB369" i="4"/>
  <c r="FA369" i="4"/>
  <c r="EZ369" i="4"/>
  <c r="EY369" i="4"/>
  <c r="DM369" i="4"/>
  <c r="DK369" i="4"/>
  <c r="DI369" i="4"/>
  <c r="FB364" i="4"/>
  <c r="FA364" i="4"/>
  <c r="EZ364" i="4"/>
  <c r="EY364" i="4"/>
  <c r="DM364" i="4"/>
  <c r="DK364" i="4"/>
  <c r="DI364" i="4"/>
  <c r="FB361" i="4"/>
  <c r="FA361" i="4"/>
  <c r="EZ361" i="4"/>
  <c r="EY361" i="4"/>
  <c r="DM361" i="4"/>
  <c r="DK361" i="4"/>
  <c r="DI361" i="4"/>
  <c r="FB359" i="4"/>
  <c r="FA359" i="4"/>
  <c r="EZ359" i="4"/>
  <c r="EY359" i="4"/>
  <c r="DM359" i="4"/>
  <c r="DK359" i="4"/>
  <c r="DI359" i="4"/>
  <c r="FB355" i="4"/>
  <c r="FA355" i="4"/>
  <c r="EZ355" i="4"/>
  <c r="EY355" i="4"/>
  <c r="DM355" i="4"/>
  <c r="DK355" i="4"/>
  <c r="DI355" i="4"/>
  <c r="FB351" i="4"/>
  <c r="FA351" i="4"/>
  <c r="EZ351" i="4"/>
  <c r="EY351" i="4"/>
  <c r="DM351" i="4"/>
  <c r="DK351" i="4"/>
  <c r="DI351" i="4"/>
  <c r="FB347" i="4"/>
  <c r="FA347" i="4"/>
  <c r="EZ347" i="4"/>
  <c r="EY347" i="4"/>
  <c r="DM347" i="4"/>
  <c r="DK347" i="4"/>
  <c r="DI347" i="4"/>
  <c r="FB345" i="4"/>
  <c r="FA345" i="4"/>
  <c r="EZ345" i="4"/>
  <c r="EY345" i="4"/>
  <c r="DM345" i="4"/>
  <c r="DK345" i="4"/>
  <c r="DI345" i="4"/>
  <c r="FB341" i="4"/>
  <c r="FA341" i="4"/>
  <c r="EZ341" i="4"/>
  <c r="EY341" i="4"/>
  <c r="DM341" i="4"/>
  <c r="DK341" i="4"/>
  <c r="DI341" i="4"/>
  <c r="FB339" i="4"/>
  <c r="FA339" i="4"/>
  <c r="EZ339" i="4"/>
  <c r="EY339" i="4"/>
  <c r="DM339" i="4"/>
  <c r="DK339" i="4"/>
  <c r="DI339" i="4"/>
  <c r="FB337" i="4"/>
  <c r="FA337" i="4"/>
  <c r="EZ337" i="4"/>
  <c r="EY337" i="4"/>
  <c r="DM337" i="4"/>
  <c r="DK337" i="4"/>
  <c r="DI337" i="4"/>
  <c r="FB335" i="4"/>
  <c r="FA335" i="4"/>
  <c r="EZ335" i="4"/>
  <c r="EY335" i="4"/>
  <c r="DM335" i="4"/>
  <c r="DK335" i="4"/>
  <c r="DI335" i="4"/>
  <c r="FB331" i="4"/>
  <c r="FA331" i="4"/>
  <c r="EZ331" i="4"/>
  <c r="EY331" i="4"/>
  <c r="DM331" i="4"/>
  <c r="DK331" i="4"/>
  <c r="DI331" i="4"/>
  <c r="FB329" i="4"/>
  <c r="FA329" i="4"/>
  <c r="EZ329" i="4"/>
  <c r="EY329" i="4"/>
  <c r="DM329" i="4"/>
  <c r="DK329" i="4"/>
  <c r="DI329" i="4"/>
  <c r="FB325" i="4"/>
  <c r="FA325" i="4"/>
  <c r="EZ325" i="4"/>
  <c r="EY325" i="4"/>
  <c r="DM325" i="4"/>
  <c r="DK325" i="4"/>
  <c r="DI325" i="4"/>
  <c r="FB323" i="4"/>
  <c r="FA323" i="4"/>
  <c r="EZ323" i="4"/>
  <c r="EY323" i="4"/>
  <c r="DM323" i="4"/>
  <c r="DK323" i="4"/>
  <c r="DI323" i="4"/>
  <c r="FB321" i="4"/>
  <c r="FA321" i="4"/>
  <c r="EZ321" i="4"/>
  <c r="EY321" i="4"/>
  <c r="DM321" i="4"/>
  <c r="DK321" i="4"/>
  <c r="DI321" i="4"/>
  <c r="FB317" i="4"/>
  <c r="FA317" i="4"/>
  <c r="EZ317" i="4"/>
  <c r="EY317" i="4"/>
  <c r="DM317" i="4"/>
  <c r="DK317" i="4"/>
  <c r="DI317" i="4"/>
  <c r="FB314" i="4"/>
  <c r="FA314" i="4"/>
  <c r="EZ314" i="4"/>
  <c r="EY314" i="4"/>
  <c r="DM314" i="4"/>
  <c r="DK314" i="4"/>
  <c r="DI314" i="4"/>
  <c r="FB309" i="4"/>
  <c r="FA309" i="4"/>
  <c r="EZ309" i="4"/>
  <c r="EY309" i="4"/>
  <c r="DM309" i="4"/>
  <c r="DK309" i="4"/>
  <c r="DI309" i="4"/>
  <c r="FB306" i="4"/>
  <c r="FA306" i="4"/>
  <c r="EZ306" i="4"/>
  <c r="EY306" i="4"/>
  <c r="DM306" i="4"/>
  <c r="DK306" i="4"/>
  <c r="DI306" i="4"/>
  <c r="FB303" i="4"/>
  <c r="FA303" i="4"/>
  <c r="EZ303" i="4"/>
  <c r="EY303" i="4"/>
  <c r="DM303" i="4"/>
  <c r="DK303" i="4"/>
  <c r="DI303" i="4"/>
  <c r="FB301" i="4"/>
  <c r="FA301" i="4"/>
  <c r="EZ301" i="4"/>
  <c r="EY301" i="4"/>
  <c r="DM301" i="4"/>
  <c r="DK301" i="4"/>
  <c r="DI301" i="4"/>
  <c r="FB299" i="4"/>
  <c r="FA299" i="4"/>
  <c r="EZ299" i="4"/>
  <c r="EY299" i="4"/>
  <c r="DM299" i="4"/>
  <c r="DK299" i="4"/>
  <c r="DI299" i="4"/>
  <c r="FB295" i="4"/>
  <c r="FA295" i="4"/>
  <c r="EZ295" i="4"/>
  <c r="EY295" i="4"/>
  <c r="DM295" i="4"/>
  <c r="DK295" i="4"/>
  <c r="DI295" i="4"/>
  <c r="FB291" i="4"/>
  <c r="FA291" i="4"/>
  <c r="EZ291" i="4"/>
  <c r="EY291" i="4"/>
  <c r="DM291" i="4"/>
  <c r="DK291" i="4"/>
  <c r="DI291" i="4"/>
  <c r="FB287" i="4"/>
  <c r="FA287" i="4"/>
  <c r="EZ287" i="4"/>
  <c r="EY287" i="4"/>
  <c r="DM287" i="4"/>
  <c r="DK287" i="4"/>
  <c r="DI287" i="4"/>
  <c r="FB281" i="4"/>
  <c r="FA281" i="4"/>
  <c r="EZ281" i="4"/>
  <c r="EY281" i="4"/>
  <c r="DM281" i="4"/>
  <c r="DK281" i="4"/>
  <c r="DI281" i="4"/>
  <c r="FB279" i="4"/>
  <c r="FA279" i="4"/>
  <c r="EZ279" i="4"/>
  <c r="EY279" i="4"/>
  <c r="DM279" i="4"/>
  <c r="DK279" i="4"/>
  <c r="DI279" i="4"/>
  <c r="FB274" i="4"/>
  <c r="FA274" i="4"/>
  <c r="EZ274" i="4"/>
  <c r="EY274" i="4"/>
  <c r="DM274" i="4"/>
  <c r="DK274" i="4"/>
  <c r="DI274" i="4"/>
  <c r="FB272" i="4"/>
  <c r="FA272" i="4"/>
  <c r="EZ272" i="4"/>
  <c r="EY272" i="4"/>
  <c r="DM272" i="4"/>
  <c r="DK272" i="4"/>
  <c r="DI272" i="4"/>
  <c r="FB270" i="4"/>
  <c r="FA270" i="4"/>
  <c r="EZ270" i="4"/>
  <c r="EY270" i="4"/>
  <c r="DM270" i="4"/>
  <c r="DK270" i="4"/>
  <c r="DI270" i="4"/>
  <c r="FB268" i="4"/>
  <c r="FA268" i="4"/>
  <c r="EZ268" i="4"/>
  <c r="EY268" i="4"/>
  <c r="DM268" i="4"/>
  <c r="DK268" i="4"/>
  <c r="DI268" i="4"/>
  <c r="FB262" i="4"/>
  <c r="FA262" i="4"/>
  <c r="EZ262" i="4"/>
  <c r="EY262" i="4"/>
  <c r="DM262" i="4"/>
  <c r="DK262" i="4"/>
  <c r="DI262" i="4"/>
  <c r="FB260" i="4"/>
  <c r="FA260" i="4"/>
  <c r="EZ260" i="4"/>
  <c r="EY260" i="4"/>
  <c r="DM260" i="4"/>
  <c r="DK260" i="4"/>
  <c r="DI260" i="4"/>
  <c r="FB256" i="4"/>
  <c r="FA256" i="4"/>
  <c r="EZ256" i="4"/>
  <c r="EY256" i="4"/>
  <c r="DM256" i="4"/>
  <c r="DK256" i="4"/>
  <c r="DI256" i="4"/>
  <c r="FB251" i="4"/>
  <c r="FA251" i="4"/>
  <c r="EZ251" i="4"/>
  <c r="EY251" i="4"/>
  <c r="DM251" i="4"/>
  <c r="DK251" i="4"/>
  <c r="DI251" i="4"/>
  <c r="FB244" i="4"/>
  <c r="FA244" i="4"/>
  <c r="EZ244" i="4"/>
  <c r="EY244" i="4"/>
  <c r="DM244" i="4"/>
  <c r="DK244" i="4"/>
  <c r="DI244" i="4"/>
  <c r="FB238" i="4"/>
  <c r="FA238" i="4"/>
  <c r="EZ238" i="4"/>
  <c r="EY238" i="4"/>
  <c r="DM238" i="4"/>
  <c r="DM237" i="4" s="1"/>
  <c r="DK238" i="4"/>
  <c r="DK237" i="4" s="1"/>
  <c r="DI238" i="4"/>
  <c r="DI237" i="4" s="1"/>
  <c r="FB234" i="4"/>
  <c r="FA234" i="4"/>
  <c r="EZ234" i="4"/>
  <c r="EY234" i="4"/>
  <c r="DM234" i="4"/>
  <c r="DK234" i="4"/>
  <c r="DI234" i="4"/>
  <c r="FB231" i="4"/>
  <c r="FA231" i="4"/>
  <c r="EZ231" i="4"/>
  <c r="EY231" i="4"/>
  <c r="DM231" i="4"/>
  <c r="DK231" i="4"/>
  <c r="DI231" i="4"/>
  <c r="FB224" i="4"/>
  <c r="FA224" i="4"/>
  <c r="EZ224" i="4"/>
  <c r="EY224" i="4"/>
  <c r="DM224" i="4"/>
  <c r="DK224" i="4"/>
  <c r="DI224" i="4"/>
  <c r="FB220" i="4"/>
  <c r="FA220" i="4"/>
  <c r="EZ220" i="4"/>
  <c r="EY220" i="4"/>
  <c r="DM220" i="4"/>
  <c r="DK220" i="4"/>
  <c r="DI220" i="4"/>
  <c r="FB205" i="4"/>
  <c r="FA205" i="4"/>
  <c r="EZ205" i="4"/>
  <c r="EY205" i="4"/>
  <c r="DM205" i="4"/>
  <c r="DK205" i="4"/>
  <c r="DI205" i="4"/>
  <c r="FB201" i="4"/>
  <c r="FA201" i="4"/>
  <c r="EZ201" i="4"/>
  <c r="EY201" i="4"/>
  <c r="DM201" i="4"/>
  <c r="DK201" i="4"/>
  <c r="DI201" i="4"/>
  <c r="FB193" i="4"/>
  <c r="FA193" i="4"/>
  <c r="EZ193" i="4"/>
  <c r="EY193" i="4"/>
  <c r="DM193" i="4"/>
  <c r="DK193" i="4"/>
  <c r="DI193" i="4"/>
  <c r="FB189" i="4"/>
  <c r="FA189" i="4"/>
  <c r="EZ189" i="4"/>
  <c r="EY189" i="4"/>
  <c r="DM189" i="4"/>
  <c r="DK189" i="4"/>
  <c r="DI189" i="4"/>
  <c r="FB184" i="4"/>
  <c r="FA184" i="4"/>
  <c r="EZ184" i="4"/>
  <c r="EY184" i="4"/>
  <c r="DM184" i="4"/>
  <c r="DK184" i="4"/>
  <c r="DI184" i="4"/>
  <c r="FB182" i="4"/>
  <c r="FA182" i="4"/>
  <c r="EZ182" i="4"/>
  <c r="EY182" i="4"/>
  <c r="DM182" i="4"/>
  <c r="DK182" i="4"/>
  <c r="DI182" i="4"/>
  <c r="FB175" i="4"/>
  <c r="FA175" i="4"/>
  <c r="EZ175" i="4"/>
  <c r="EY175" i="4"/>
  <c r="DM175" i="4"/>
  <c r="DK175" i="4"/>
  <c r="DI175" i="4"/>
  <c r="FB170" i="4"/>
  <c r="FA170" i="4"/>
  <c r="EZ170" i="4"/>
  <c r="EY170" i="4"/>
  <c r="DM170" i="4"/>
  <c r="DK170" i="4"/>
  <c r="DI170" i="4"/>
  <c r="FB167" i="4"/>
  <c r="FA167" i="4"/>
  <c r="EZ167" i="4"/>
  <c r="EY167" i="4"/>
  <c r="DM167" i="4"/>
  <c r="DK167" i="4"/>
  <c r="DI167" i="4"/>
  <c r="FB157" i="4"/>
  <c r="FA157" i="4"/>
  <c r="EZ157" i="4"/>
  <c r="EY157" i="4"/>
  <c r="DM157" i="4"/>
  <c r="DK157" i="4"/>
  <c r="DI157" i="4"/>
  <c r="FB155" i="4"/>
  <c r="FA155" i="4"/>
  <c r="EZ155" i="4"/>
  <c r="EY155" i="4"/>
  <c r="DM155" i="4"/>
  <c r="DK155" i="4"/>
  <c r="DI155" i="4"/>
  <c r="FB152" i="4"/>
  <c r="FA152" i="4"/>
  <c r="EZ152" i="4"/>
  <c r="EY152" i="4"/>
  <c r="DM152" i="4"/>
  <c r="DK152" i="4"/>
  <c r="DI152" i="4"/>
  <c r="FB148" i="4"/>
  <c r="FA148" i="4"/>
  <c r="EZ148" i="4"/>
  <c r="EY148" i="4"/>
  <c r="DM148" i="4"/>
  <c r="DK148" i="4"/>
  <c r="DI148" i="4"/>
  <c r="FB144" i="4"/>
  <c r="FA144" i="4"/>
  <c r="EZ144" i="4"/>
  <c r="EY144" i="4"/>
  <c r="DM144" i="4"/>
  <c r="DK144" i="4"/>
  <c r="DI144" i="4"/>
  <c r="FB138" i="4"/>
  <c r="FA138" i="4"/>
  <c r="EZ138" i="4"/>
  <c r="EY138" i="4"/>
  <c r="DM138" i="4"/>
  <c r="DK138" i="4"/>
  <c r="DI138" i="4"/>
  <c r="FB129" i="4"/>
  <c r="FA129" i="4"/>
  <c r="EZ129" i="4"/>
  <c r="EY129" i="4"/>
  <c r="DM129" i="4"/>
  <c r="DK129" i="4"/>
  <c r="DI129" i="4"/>
  <c r="FB127" i="4"/>
  <c r="FA127" i="4"/>
  <c r="EZ127" i="4"/>
  <c r="EY127" i="4"/>
  <c r="DM127" i="4"/>
  <c r="DK127" i="4"/>
  <c r="DI127" i="4"/>
  <c r="FB125" i="4"/>
  <c r="FA125" i="4"/>
  <c r="EZ125" i="4"/>
  <c r="EY125" i="4"/>
  <c r="DM125" i="4"/>
  <c r="DK125" i="4"/>
  <c r="DI125" i="4"/>
  <c r="J94" i="4"/>
  <c r="F94" i="4"/>
  <c r="F92" i="4"/>
  <c r="E90" i="4"/>
  <c r="J28" i="4"/>
  <c r="E28" i="4"/>
  <c r="J27" i="4"/>
  <c r="J22" i="4"/>
  <c r="E22" i="4"/>
  <c r="F95" i="4" s="1"/>
  <c r="J21" i="4"/>
  <c r="J16" i="4"/>
  <c r="E7" i="4"/>
  <c r="J41" i="3"/>
  <c r="J40" i="3"/>
  <c r="BF91" i="1"/>
  <c r="J39" i="3"/>
  <c r="BE91" i="1" s="1"/>
  <c r="DL411" i="3"/>
  <c r="DK411" i="3"/>
  <c r="DJ411" i="3"/>
  <c r="DI411" i="3"/>
  <c r="BW411" i="3"/>
  <c r="BW410" i="3" s="1"/>
  <c r="BU411" i="3"/>
  <c r="BU410" i="3" s="1"/>
  <c r="BS411" i="3"/>
  <c r="BS410" i="3" s="1"/>
  <c r="DL406" i="3"/>
  <c r="DK406" i="3"/>
  <c r="DJ406" i="3"/>
  <c r="DI406" i="3"/>
  <c r="BW406" i="3"/>
  <c r="BU406" i="3"/>
  <c r="BS406" i="3"/>
  <c r="DL402" i="3"/>
  <c r="DK402" i="3"/>
  <c r="DJ402" i="3"/>
  <c r="DI402" i="3"/>
  <c r="BW402" i="3"/>
  <c r="BU402" i="3"/>
  <c r="BS402" i="3"/>
  <c r="DL400" i="3"/>
  <c r="DK400" i="3"/>
  <c r="DJ400" i="3"/>
  <c r="DI400" i="3"/>
  <c r="BW400" i="3"/>
  <c r="BU400" i="3"/>
  <c r="BS400" i="3"/>
  <c r="DL394" i="3"/>
  <c r="DK394" i="3"/>
  <c r="DJ394" i="3"/>
  <c r="DI394" i="3"/>
  <c r="BW394" i="3"/>
  <c r="BU394" i="3"/>
  <c r="BS394" i="3"/>
  <c r="DL389" i="3"/>
  <c r="DK389" i="3"/>
  <c r="DJ389" i="3"/>
  <c r="DI389" i="3"/>
  <c r="BW389" i="3"/>
  <c r="BU389" i="3"/>
  <c r="BS389" i="3"/>
  <c r="DL383" i="3"/>
  <c r="DK383" i="3"/>
  <c r="DJ383" i="3"/>
  <c r="DI383" i="3"/>
  <c r="BW383" i="3"/>
  <c r="BU383" i="3"/>
  <c r="BS383" i="3"/>
  <c r="DL378" i="3"/>
  <c r="DK378" i="3"/>
  <c r="DJ378" i="3"/>
  <c r="DI378" i="3"/>
  <c r="BW378" i="3"/>
  <c r="BU378" i="3"/>
  <c r="BS378" i="3"/>
  <c r="DL375" i="3"/>
  <c r="DK375" i="3"/>
  <c r="DJ375" i="3"/>
  <c r="DI375" i="3"/>
  <c r="BW375" i="3"/>
  <c r="BU375" i="3"/>
  <c r="BS375" i="3"/>
  <c r="DL373" i="3"/>
  <c r="DK373" i="3"/>
  <c r="DJ373" i="3"/>
  <c r="DI373" i="3"/>
  <c r="BW373" i="3"/>
  <c r="BU373" i="3"/>
  <c r="BS373" i="3"/>
  <c r="DL369" i="3"/>
  <c r="DK369" i="3"/>
  <c r="DJ369" i="3"/>
  <c r="DI369" i="3"/>
  <c r="BW369" i="3"/>
  <c r="BU369" i="3"/>
  <c r="BS369" i="3"/>
  <c r="DL365" i="3"/>
  <c r="DK365" i="3"/>
  <c r="DJ365" i="3"/>
  <c r="DI365" i="3"/>
  <c r="BW365" i="3"/>
  <c r="BU365" i="3"/>
  <c r="BS365" i="3"/>
  <c r="DL361" i="3"/>
  <c r="DK361" i="3"/>
  <c r="DJ361" i="3"/>
  <c r="DI361" i="3"/>
  <c r="BW361" i="3"/>
  <c r="BU361" i="3"/>
  <c r="BS361" i="3"/>
  <c r="DL359" i="3"/>
  <c r="DK359" i="3"/>
  <c r="DJ359" i="3"/>
  <c r="DI359" i="3"/>
  <c r="BW359" i="3"/>
  <c r="BU359" i="3"/>
  <c r="BS359" i="3"/>
  <c r="DL355" i="3"/>
  <c r="DK355" i="3"/>
  <c r="DJ355" i="3"/>
  <c r="DI355" i="3"/>
  <c r="BW355" i="3"/>
  <c r="BU355" i="3"/>
  <c r="BS355" i="3"/>
  <c r="DL353" i="3"/>
  <c r="DK353" i="3"/>
  <c r="DJ353" i="3"/>
  <c r="DI353" i="3"/>
  <c r="BW353" i="3"/>
  <c r="BU353" i="3"/>
  <c r="BS353" i="3"/>
  <c r="DL351" i="3"/>
  <c r="DK351" i="3"/>
  <c r="DJ351" i="3"/>
  <c r="DI351" i="3"/>
  <c r="BW351" i="3"/>
  <c r="BU351" i="3"/>
  <c r="BS351" i="3"/>
  <c r="DL349" i="3"/>
  <c r="DK349" i="3"/>
  <c r="DJ349" i="3"/>
  <c r="DI349" i="3"/>
  <c r="BW349" i="3"/>
  <c r="BU349" i="3"/>
  <c r="BS349" i="3"/>
  <c r="DL345" i="3"/>
  <c r="DK345" i="3"/>
  <c r="DJ345" i="3"/>
  <c r="DI345" i="3"/>
  <c r="BW345" i="3"/>
  <c r="BU345" i="3"/>
  <c r="BS345" i="3"/>
  <c r="DL343" i="3"/>
  <c r="DK343" i="3"/>
  <c r="DJ343" i="3"/>
  <c r="DI343" i="3"/>
  <c r="BW343" i="3"/>
  <c r="BU343" i="3"/>
  <c r="BS343" i="3"/>
  <c r="DL339" i="3"/>
  <c r="DK339" i="3"/>
  <c r="DJ339" i="3"/>
  <c r="DI339" i="3"/>
  <c r="BW339" i="3"/>
  <c r="BU339" i="3"/>
  <c r="BS339" i="3"/>
  <c r="DL337" i="3"/>
  <c r="DK337" i="3"/>
  <c r="DJ337" i="3"/>
  <c r="DI337" i="3"/>
  <c r="BW337" i="3"/>
  <c r="BU337" i="3"/>
  <c r="BS337" i="3"/>
  <c r="DL335" i="3"/>
  <c r="DK335" i="3"/>
  <c r="DJ335" i="3"/>
  <c r="DI335" i="3"/>
  <c r="BW335" i="3"/>
  <c r="BU335" i="3"/>
  <c r="BS335" i="3"/>
  <c r="DL331" i="3"/>
  <c r="DK331" i="3"/>
  <c r="DJ331" i="3"/>
  <c r="DI331" i="3"/>
  <c r="BW331" i="3"/>
  <c r="BU331" i="3"/>
  <c r="BS331" i="3"/>
  <c r="DL328" i="3"/>
  <c r="DK328" i="3"/>
  <c r="DJ328" i="3"/>
  <c r="DI328" i="3"/>
  <c r="BW328" i="3"/>
  <c r="BU328" i="3"/>
  <c r="BS328" i="3"/>
  <c r="DL323" i="3"/>
  <c r="DK323" i="3"/>
  <c r="DJ323" i="3"/>
  <c r="DI323" i="3"/>
  <c r="BW323" i="3"/>
  <c r="BU323" i="3"/>
  <c r="BS323" i="3"/>
  <c r="DL320" i="3"/>
  <c r="DK320" i="3"/>
  <c r="DJ320" i="3"/>
  <c r="DI320" i="3"/>
  <c r="BW320" i="3"/>
  <c r="BU320" i="3"/>
  <c r="BS320" i="3"/>
  <c r="DL317" i="3"/>
  <c r="DK317" i="3"/>
  <c r="DJ317" i="3"/>
  <c r="DI317" i="3"/>
  <c r="BW317" i="3"/>
  <c r="BU317" i="3"/>
  <c r="BS317" i="3"/>
  <c r="DL315" i="3"/>
  <c r="DK315" i="3"/>
  <c r="DJ315" i="3"/>
  <c r="DI315" i="3"/>
  <c r="BW315" i="3"/>
  <c r="BU315" i="3"/>
  <c r="BS315" i="3"/>
  <c r="DL313" i="3"/>
  <c r="DK313" i="3"/>
  <c r="DJ313" i="3"/>
  <c r="DI313" i="3"/>
  <c r="BW313" i="3"/>
  <c r="BU313" i="3"/>
  <c r="BS313" i="3"/>
  <c r="DL309" i="3"/>
  <c r="DK309" i="3"/>
  <c r="DJ309" i="3"/>
  <c r="DI309" i="3"/>
  <c r="BW309" i="3"/>
  <c r="BU309" i="3"/>
  <c r="BS309" i="3"/>
  <c r="DL305" i="3"/>
  <c r="DK305" i="3"/>
  <c r="DJ305" i="3"/>
  <c r="DI305" i="3"/>
  <c r="BW305" i="3"/>
  <c r="BU305" i="3"/>
  <c r="BS305" i="3"/>
  <c r="DL301" i="3"/>
  <c r="DK301" i="3"/>
  <c r="DJ301" i="3"/>
  <c r="DI301" i="3"/>
  <c r="BW301" i="3"/>
  <c r="BU301" i="3"/>
  <c r="BS301" i="3"/>
  <c r="DL295" i="3"/>
  <c r="DK295" i="3"/>
  <c r="DJ295" i="3"/>
  <c r="DI295" i="3"/>
  <c r="BW295" i="3"/>
  <c r="BU295" i="3"/>
  <c r="BS295" i="3"/>
  <c r="DL293" i="3"/>
  <c r="DK293" i="3"/>
  <c r="DJ293" i="3"/>
  <c r="DI293" i="3"/>
  <c r="BW293" i="3"/>
  <c r="BU293" i="3"/>
  <c r="BS293" i="3"/>
  <c r="DL288" i="3"/>
  <c r="DK288" i="3"/>
  <c r="DJ288" i="3"/>
  <c r="DI288" i="3"/>
  <c r="BW288" i="3"/>
  <c r="BU288" i="3"/>
  <c r="BS288" i="3"/>
  <c r="DL286" i="3"/>
  <c r="DK286" i="3"/>
  <c r="DJ286" i="3"/>
  <c r="DI286" i="3"/>
  <c r="BW286" i="3"/>
  <c r="BU286" i="3"/>
  <c r="BS286" i="3"/>
  <c r="DL284" i="3"/>
  <c r="DK284" i="3"/>
  <c r="DJ284" i="3"/>
  <c r="DI284" i="3"/>
  <c r="BW284" i="3"/>
  <c r="BU284" i="3"/>
  <c r="BS284" i="3"/>
  <c r="DL282" i="3"/>
  <c r="DK282" i="3"/>
  <c r="DJ282" i="3"/>
  <c r="DI282" i="3"/>
  <c r="BW282" i="3"/>
  <c r="BU282" i="3"/>
  <c r="BS282" i="3"/>
  <c r="DL276" i="3"/>
  <c r="DK276" i="3"/>
  <c r="DJ276" i="3"/>
  <c r="DI276" i="3"/>
  <c r="BW276" i="3"/>
  <c r="BU276" i="3"/>
  <c r="BS276" i="3"/>
  <c r="DL274" i="3"/>
  <c r="DK274" i="3"/>
  <c r="DJ274" i="3"/>
  <c r="DI274" i="3"/>
  <c r="BW274" i="3"/>
  <c r="BU274" i="3"/>
  <c r="BS274" i="3"/>
  <c r="DL270" i="3"/>
  <c r="DK270" i="3"/>
  <c r="DJ270" i="3"/>
  <c r="DI270" i="3"/>
  <c r="BW270" i="3"/>
  <c r="BU270" i="3"/>
  <c r="BS270" i="3"/>
  <c r="DL268" i="3"/>
  <c r="DK268" i="3"/>
  <c r="DJ268" i="3"/>
  <c r="DI268" i="3"/>
  <c r="BW268" i="3"/>
  <c r="BU268" i="3"/>
  <c r="BS268" i="3"/>
  <c r="DL264" i="3"/>
  <c r="DK264" i="3"/>
  <c r="DJ264" i="3"/>
  <c r="DI264" i="3"/>
  <c r="BW264" i="3"/>
  <c r="BU264" i="3"/>
  <c r="BS264" i="3"/>
  <c r="DL259" i="3"/>
  <c r="DK259" i="3"/>
  <c r="DJ259" i="3"/>
  <c r="DI259" i="3"/>
  <c r="BW259" i="3"/>
  <c r="BU259" i="3"/>
  <c r="BS259" i="3"/>
  <c r="DL252" i="3"/>
  <c r="DK252" i="3"/>
  <c r="DJ252" i="3"/>
  <c r="DI252" i="3"/>
  <c r="BW252" i="3"/>
  <c r="BU252" i="3"/>
  <c r="BS252" i="3"/>
  <c r="DL246" i="3"/>
  <c r="DK246" i="3"/>
  <c r="DJ246" i="3"/>
  <c r="DI246" i="3"/>
  <c r="BW246" i="3"/>
  <c r="BW245" i="3" s="1"/>
  <c r="BU246" i="3"/>
  <c r="BU245" i="3" s="1"/>
  <c r="BS246" i="3"/>
  <c r="BS245" i="3" s="1"/>
  <c r="DL242" i="3"/>
  <c r="DK242" i="3"/>
  <c r="DJ242" i="3"/>
  <c r="DI242" i="3"/>
  <c r="BW242" i="3"/>
  <c r="BU242" i="3"/>
  <c r="BS242" i="3"/>
  <c r="DL239" i="3"/>
  <c r="DK239" i="3"/>
  <c r="DJ239" i="3"/>
  <c r="DI239" i="3"/>
  <c r="BW239" i="3"/>
  <c r="BU239" i="3"/>
  <c r="BS239" i="3"/>
  <c r="DL232" i="3"/>
  <c r="DK232" i="3"/>
  <c r="DJ232" i="3"/>
  <c r="DI232" i="3"/>
  <c r="BW232" i="3"/>
  <c r="BU232" i="3"/>
  <c r="BS232" i="3"/>
  <c r="DL228" i="3"/>
  <c r="DK228" i="3"/>
  <c r="DJ228" i="3"/>
  <c r="DI228" i="3"/>
  <c r="BW228" i="3"/>
  <c r="BU228" i="3"/>
  <c r="BS228" i="3"/>
  <c r="DL213" i="3"/>
  <c r="DK213" i="3"/>
  <c r="DJ213" i="3"/>
  <c r="DI213" i="3"/>
  <c r="BW213" i="3"/>
  <c r="BU213" i="3"/>
  <c r="BS213" i="3"/>
  <c r="DL210" i="3"/>
  <c r="DK210" i="3"/>
  <c r="DJ210" i="3"/>
  <c r="DI210" i="3"/>
  <c r="BW210" i="3"/>
  <c r="BU210" i="3"/>
  <c r="BS210" i="3"/>
  <c r="DL202" i="3"/>
  <c r="DK202" i="3"/>
  <c r="DJ202" i="3"/>
  <c r="DI202" i="3"/>
  <c r="BW202" i="3"/>
  <c r="BU202" i="3"/>
  <c r="BS202" i="3"/>
  <c r="DL199" i="3"/>
  <c r="DK199" i="3"/>
  <c r="DJ199" i="3"/>
  <c r="DI199" i="3"/>
  <c r="BW199" i="3"/>
  <c r="BU199" i="3"/>
  <c r="BS199" i="3"/>
  <c r="DL195" i="3"/>
  <c r="DK195" i="3"/>
  <c r="DJ195" i="3"/>
  <c r="DI195" i="3"/>
  <c r="BW195" i="3"/>
  <c r="BU195" i="3"/>
  <c r="BS195" i="3"/>
  <c r="DL193" i="3"/>
  <c r="DK193" i="3"/>
  <c r="DJ193" i="3"/>
  <c r="DI193" i="3"/>
  <c r="BW193" i="3"/>
  <c r="BU193" i="3"/>
  <c r="BS193" i="3"/>
  <c r="DL186" i="3"/>
  <c r="DK186" i="3"/>
  <c r="DJ186" i="3"/>
  <c r="DI186" i="3"/>
  <c r="BW186" i="3"/>
  <c r="BU186" i="3"/>
  <c r="BS186" i="3"/>
  <c r="DL182" i="3"/>
  <c r="DK182" i="3"/>
  <c r="DJ182" i="3"/>
  <c r="DI182" i="3"/>
  <c r="BW182" i="3"/>
  <c r="BU182" i="3"/>
  <c r="BS182" i="3"/>
  <c r="DL179" i="3"/>
  <c r="DK179" i="3"/>
  <c r="DJ179" i="3"/>
  <c r="DI179" i="3"/>
  <c r="BW179" i="3"/>
  <c r="BU179" i="3"/>
  <c r="BS179" i="3"/>
  <c r="DL169" i="3"/>
  <c r="DK169" i="3"/>
  <c r="DJ169" i="3"/>
  <c r="DI169" i="3"/>
  <c r="BW169" i="3"/>
  <c r="BU169" i="3"/>
  <c r="BS169" i="3"/>
  <c r="DL165" i="3"/>
  <c r="DK165" i="3"/>
  <c r="DJ165" i="3"/>
  <c r="DI165" i="3"/>
  <c r="BW165" i="3"/>
  <c r="BU165" i="3"/>
  <c r="BS165" i="3"/>
  <c r="DL161" i="3"/>
  <c r="DK161" i="3"/>
  <c r="DJ161" i="3"/>
  <c r="DI161" i="3"/>
  <c r="BW161" i="3"/>
  <c r="BU161" i="3"/>
  <c r="BS161" i="3"/>
  <c r="DL159" i="3"/>
  <c r="DK159" i="3"/>
  <c r="DJ159" i="3"/>
  <c r="DI159" i="3"/>
  <c r="BW159" i="3"/>
  <c r="BU159" i="3"/>
  <c r="BS159" i="3"/>
  <c r="DL156" i="3"/>
  <c r="DK156" i="3"/>
  <c r="DJ156" i="3"/>
  <c r="DI156" i="3"/>
  <c r="BW156" i="3"/>
  <c r="BU156" i="3"/>
  <c r="BS156" i="3"/>
  <c r="DL152" i="3"/>
  <c r="DK152" i="3"/>
  <c r="DJ152" i="3"/>
  <c r="DI152" i="3"/>
  <c r="BW152" i="3"/>
  <c r="BU152" i="3"/>
  <c r="BS152" i="3"/>
  <c r="DL148" i="3"/>
  <c r="DK148" i="3"/>
  <c r="DJ148" i="3"/>
  <c r="DI148" i="3"/>
  <c r="BW148" i="3"/>
  <c r="BU148" i="3"/>
  <c r="BS148" i="3"/>
  <c r="DL142" i="3"/>
  <c r="DK142" i="3"/>
  <c r="DJ142" i="3"/>
  <c r="DI142" i="3"/>
  <c r="BW142" i="3"/>
  <c r="BU142" i="3"/>
  <c r="BS142" i="3"/>
  <c r="DL133" i="3"/>
  <c r="DK133" i="3"/>
  <c r="DJ133" i="3"/>
  <c r="DI133" i="3"/>
  <c r="BW133" i="3"/>
  <c r="BU133" i="3"/>
  <c r="BS133" i="3"/>
  <c r="DL131" i="3"/>
  <c r="DK131" i="3"/>
  <c r="DJ131" i="3"/>
  <c r="DI131" i="3"/>
  <c r="BW131" i="3"/>
  <c r="BU131" i="3"/>
  <c r="BS131" i="3"/>
  <c r="DL129" i="3"/>
  <c r="DK129" i="3"/>
  <c r="DJ129" i="3"/>
  <c r="DI129" i="3"/>
  <c r="BW129" i="3"/>
  <c r="BU129" i="3"/>
  <c r="BS129" i="3"/>
  <c r="E117" i="3"/>
  <c r="J94" i="3"/>
  <c r="F94" i="3"/>
  <c r="F92" i="3"/>
  <c r="E90" i="3"/>
  <c r="J28" i="3"/>
  <c r="E28" i="3"/>
  <c r="J27" i="3"/>
  <c r="J22" i="3"/>
  <c r="E22" i="3"/>
  <c r="F95" i="3" s="1"/>
  <c r="J21" i="3"/>
  <c r="J16" i="3"/>
  <c r="J92" i="3" s="1"/>
  <c r="E7" i="3"/>
  <c r="E84" i="3" s="1"/>
  <c r="J41" i="2"/>
  <c r="J40" i="2"/>
  <c r="BF90" i="1" s="1"/>
  <c r="J39" i="2"/>
  <c r="BE90" i="1" s="1"/>
  <c r="ES425" i="2"/>
  <c r="ER425" i="2"/>
  <c r="EQ425" i="2"/>
  <c r="EP425" i="2"/>
  <c r="DD425" i="2"/>
  <c r="DD424" i="2" s="1"/>
  <c r="DB425" i="2"/>
  <c r="DB424" i="2" s="1"/>
  <c r="CZ425" i="2"/>
  <c r="CZ424" i="2" s="1"/>
  <c r="ES420" i="2"/>
  <c r="ER420" i="2"/>
  <c r="EQ420" i="2"/>
  <c r="EP420" i="2"/>
  <c r="DD420" i="2"/>
  <c r="DB420" i="2"/>
  <c r="CZ420" i="2"/>
  <c r="ES416" i="2"/>
  <c r="ER416" i="2"/>
  <c r="EQ416" i="2"/>
  <c r="EP416" i="2"/>
  <c r="DD416" i="2"/>
  <c r="DB416" i="2"/>
  <c r="CZ416" i="2"/>
  <c r="ES414" i="2"/>
  <c r="ER414" i="2"/>
  <c r="EQ414" i="2"/>
  <c r="EP414" i="2"/>
  <c r="DD414" i="2"/>
  <c r="DB414" i="2"/>
  <c r="CZ414" i="2"/>
  <c r="ES408" i="2"/>
  <c r="ER408" i="2"/>
  <c r="EQ408" i="2"/>
  <c r="EP408" i="2"/>
  <c r="DD408" i="2"/>
  <c r="DB408" i="2"/>
  <c r="CZ408" i="2"/>
  <c r="ES403" i="2"/>
  <c r="ER403" i="2"/>
  <c r="EQ403" i="2"/>
  <c r="EP403" i="2"/>
  <c r="DD403" i="2"/>
  <c r="DB403" i="2"/>
  <c r="CZ403" i="2"/>
  <c r="ES397" i="2"/>
  <c r="ER397" i="2"/>
  <c r="EQ397" i="2"/>
  <c r="EP397" i="2"/>
  <c r="DD397" i="2"/>
  <c r="DB397" i="2"/>
  <c r="CZ397" i="2"/>
  <c r="ES392" i="2"/>
  <c r="ER392" i="2"/>
  <c r="EQ392" i="2"/>
  <c r="EP392" i="2"/>
  <c r="DD392" i="2"/>
  <c r="DB392" i="2"/>
  <c r="CZ392" i="2"/>
  <c r="ES388" i="2"/>
  <c r="ER388" i="2"/>
  <c r="EQ388" i="2"/>
  <c r="EP388" i="2"/>
  <c r="DD388" i="2"/>
  <c r="DB388" i="2"/>
  <c r="CZ388" i="2"/>
  <c r="ES385" i="2"/>
  <c r="ER385" i="2"/>
  <c r="EQ385" i="2"/>
  <c r="EP385" i="2"/>
  <c r="DD385" i="2"/>
  <c r="DB385" i="2"/>
  <c r="CZ385" i="2"/>
  <c r="ES383" i="2"/>
  <c r="ER383" i="2"/>
  <c r="EQ383" i="2"/>
  <c r="EP383" i="2"/>
  <c r="DD383" i="2"/>
  <c r="DB383" i="2"/>
  <c r="CZ383" i="2"/>
  <c r="ES379" i="2"/>
  <c r="ER379" i="2"/>
  <c r="EQ379" i="2"/>
  <c r="EP379" i="2"/>
  <c r="DD379" i="2"/>
  <c r="DB379" i="2"/>
  <c r="CZ379" i="2"/>
  <c r="ES375" i="2"/>
  <c r="ER375" i="2"/>
  <c r="EQ375" i="2"/>
  <c r="EP375" i="2"/>
  <c r="DD375" i="2"/>
  <c r="DB375" i="2"/>
  <c r="CZ375" i="2"/>
  <c r="ES371" i="2"/>
  <c r="ER371" i="2"/>
  <c r="EQ371" i="2"/>
  <c r="EP371" i="2"/>
  <c r="DD371" i="2"/>
  <c r="DB371" i="2"/>
  <c r="CZ371" i="2"/>
  <c r="ES366" i="2"/>
  <c r="ER366" i="2"/>
  <c r="EQ366" i="2"/>
  <c r="EP366" i="2"/>
  <c r="DD366" i="2"/>
  <c r="DB366" i="2"/>
  <c r="CZ366" i="2"/>
  <c r="ES364" i="2"/>
  <c r="ER364" i="2"/>
  <c r="EQ364" i="2"/>
  <c r="EP364" i="2"/>
  <c r="DD364" i="2"/>
  <c r="DB364" i="2"/>
  <c r="CZ364" i="2"/>
  <c r="ES362" i="2"/>
  <c r="ER362" i="2"/>
  <c r="EQ362" i="2"/>
  <c r="EP362" i="2"/>
  <c r="DD362" i="2"/>
  <c r="DB362" i="2"/>
  <c r="CZ362" i="2"/>
  <c r="ES360" i="2"/>
  <c r="ER360" i="2"/>
  <c r="EQ360" i="2"/>
  <c r="EP360" i="2"/>
  <c r="DD360" i="2"/>
  <c r="DB360" i="2"/>
  <c r="CZ360" i="2"/>
  <c r="ES358" i="2"/>
  <c r="ER358" i="2"/>
  <c r="EQ358" i="2"/>
  <c r="EP358" i="2"/>
  <c r="DD358" i="2"/>
  <c r="DB358" i="2"/>
  <c r="CZ358" i="2"/>
  <c r="ES354" i="2"/>
  <c r="ER354" i="2"/>
  <c r="EQ354" i="2"/>
  <c r="EP354" i="2"/>
  <c r="DD354" i="2"/>
  <c r="DB354" i="2"/>
  <c r="CZ354" i="2"/>
  <c r="ES352" i="2"/>
  <c r="ER352" i="2"/>
  <c r="EQ352" i="2"/>
  <c r="EP352" i="2"/>
  <c r="DD352" i="2"/>
  <c r="DB352" i="2"/>
  <c r="CZ352" i="2"/>
  <c r="ES348" i="2"/>
  <c r="ER348" i="2"/>
  <c r="EQ348" i="2"/>
  <c r="EP348" i="2"/>
  <c r="DD348" i="2"/>
  <c r="DB348" i="2"/>
  <c r="CZ348" i="2"/>
  <c r="ES346" i="2"/>
  <c r="ER346" i="2"/>
  <c r="EQ346" i="2"/>
  <c r="EP346" i="2"/>
  <c r="DD346" i="2"/>
  <c r="DB346" i="2"/>
  <c r="CZ346" i="2"/>
  <c r="ES344" i="2"/>
  <c r="ER344" i="2"/>
  <c r="EQ344" i="2"/>
  <c r="EP344" i="2"/>
  <c r="DD344" i="2"/>
  <c r="DB344" i="2"/>
  <c r="CZ344" i="2"/>
  <c r="ES342" i="2"/>
  <c r="ER342" i="2"/>
  <c r="EQ342" i="2"/>
  <c r="EP342" i="2"/>
  <c r="DD342" i="2"/>
  <c r="DB342" i="2"/>
  <c r="CZ342" i="2"/>
  <c r="ES338" i="2"/>
  <c r="ER338" i="2"/>
  <c r="EQ338" i="2"/>
  <c r="EP338" i="2"/>
  <c r="DD338" i="2"/>
  <c r="DB338" i="2"/>
  <c r="CZ338" i="2"/>
  <c r="ES335" i="2"/>
  <c r="ER335" i="2"/>
  <c r="EQ335" i="2"/>
  <c r="EP335" i="2"/>
  <c r="DD335" i="2"/>
  <c r="DB335" i="2"/>
  <c r="CZ335" i="2"/>
  <c r="ES330" i="2"/>
  <c r="ER330" i="2"/>
  <c r="EQ330" i="2"/>
  <c r="EP330" i="2"/>
  <c r="DD330" i="2"/>
  <c r="DB330" i="2"/>
  <c r="CZ330" i="2"/>
  <c r="ES327" i="2"/>
  <c r="ER327" i="2"/>
  <c r="EQ327" i="2"/>
  <c r="EP327" i="2"/>
  <c r="DD327" i="2"/>
  <c r="DB327" i="2"/>
  <c r="CZ327" i="2"/>
  <c r="ES325" i="2"/>
  <c r="ER325" i="2"/>
  <c r="EQ325" i="2"/>
  <c r="EP325" i="2"/>
  <c r="DD325" i="2"/>
  <c r="DB325" i="2"/>
  <c r="CZ325" i="2"/>
  <c r="ES323" i="2"/>
  <c r="ER323" i="2"/>
  <c r="EQ323" i="2"/>
  <c r="EP323" i="2"/>
  <c r="DD323" i="2"/>
  <c r="DB323" i="2"/>
  <c r="CZ323" i="2"/>
  <c r="ES319" i="2"/>
  <c r="ER319" i="2"/>
  <c r="EQ319" i="2"/>
  <c r="EP319" i="2"/>
  <c r="DD319" i="2"/>
  <c r="DB319" i="2"/>
  <c r="CZ319" i="2"/>
  <c r="ES315" i="2"/>
  <c r="ER315" i="2"/>
  <c r="EQ315" i="2"/>
  <c r="EP315" i="2"/>
  <c r="DD315" i="2"/>
  <c r="DB315" i="2"/>
  <c r="CZ315" i="2"/>
  <c r="ES309" i="2"/>
  <c r="ER309" i="2"/>
  <c r="EQ309" i="2"/>
  <c r="EP309" i="2"/>
  <c r="DD309" i="2"/>
  <c r="DB309" i="2"/>
  <c r="CZ309" i="2"/>
  <c r="ES307" i="2"/>
  <c r="ER307" i="2"/>
  <c r="EQ307" i="2"/>
  <c r="EP307" i="2"/>
  <c r="DD307" i="2"/>
  <c r="DB307" i="2"/>
  <c r="CZ307" i="2"/>
  <c r="ES302" i="2"/>
  <c r="ER302" i="2"/>
  <c r="EQ302" i="2"/>
  <c r="EP302" i="2"/>
  <c r="DD302" i="2"/>
  <c r="DB302" i="2"/>
  <c r="CZ302" i="2"/>
  <c r="ES300" i="2"/>
  <c r="ER300" i="2"/>
  <c r="EQ300" i="2"/>
  <c r="EP300" i="2"/>
  <c r="DD300" i="2"/>
  <c r="DB300" i="2"/>
  <c r="CZ300" i="2"/>
  <c r="ES298" i="2"/>
  <c r="ER298" i="2"/>
  <c r="EQ298" i="2"/>
  <c r="EP298" i="2"/>
  <c r="DD298" i="2"/>
  <c r="DB298" i="2"/>
  <c r="CZ298" i="2"/>
  <c r="ES296" i="2"/>
  <c r="ER296" i="2"/>
  <c r="EQ296" i="2"/>
  <c r="EP296" i="2"/>
  <c r="DD296" i="2"/>
  <c r="DB296" i="2"/>
  <c r="CZ296" i="2"/>
  <c r="ES290" i="2"/>
  <c r="ER290" i="2"/>
  <c r="EQ290" i="2"/>
  <c r="EP290" i="2"/>
  <c r="DD290" i="2"/>
  <c r="DB290" i="2"/>
  <c r="CZ290" i="2"/>
  <c r="ES288" i="2"/>
  <c r="ER288" i="2"/>
  <c r="EQ288" i="2"/>
  <c r="EP288" i="2"/>
  <c r="DD288" i="2"/>
  <c r="DB288" i="2"/>
  <c r="CZ288" i="2"/>
  <c r="ES284" i="2"/>
  <c r="ER284" i="2"/>
  <c r="EQ284" i="2"/>
  <c r="EP284" i="2"/>
  <c r="DD284" i="2"/>
  <c r="DB284" i="2"/>
  <c r="CZ284" i="2"/>
  <c r="ES282" i="2"/>
  <c r="ER282" i="2"/>
  <c r="EQ282" i="2"/>
  <c r="EP282" i="2"/>
  <c r="DD282" i="2"/>
  <c r="DB282" i="2"/>
  <c r="CZ282" i="2"/>
  <c r="ES280" i="2"/>
  <c r="ER280" i="2"/>
  <c r="EQ280" i="2"/>
  <c r="EP280" i="2"/>
  <c r="DD280" i="2"/>
  <c r="DB280" i="2"/>
  <c r="CZ280" i="2"/>
  <c r="ES278" i="2"/>
  <c r="ER278" i="2"/>
  <c r="EQ278" i="2"/>
  <c r="EP278" i="2"/>
  <c r="DD278" i="2"/>
  <c r="DB278" i="2"/>
  <c r="CZ278" i="2"/>
  <c r="ES276" i="2"/>
  <c r="ER276" i="2"/>
  <c r="EQ276" i="2"/>
  <c r="EP276" i="2"/>
  <c r="DD276" i="2"/>
  <c r="DB276" i="2"/>
  <c r="CZ276" i="2"/>
  <c r="ES272" i="2"/>
  <c r="ER272" i="2"/>
  <c r="EQ272" i="2"/>
  <c r="EP272" i="2"/>
  <c r="DD272" i="2"/>
  <c r="DB272" i="2"/>
  <c r="CZ272" i="2"/>
  <c r="ES267" i="2"/>
  <c r="ER267" i="2"/>
  <c r="EQ267" i="2"/>
  <c r="EP267" i="2"/>
  <c r="DD267" i="2"/>
  <c r="DB267" i="2"/>
  <c r="CZ267" i="2"/>
  <c r="ES262" i="2"/>
  <c r="ER262" i="2"/>
  <c r="EQ262" i="2"/>
  <c r="EP262" i="2"/>
  <c r="DD262" i="2"/>
  <c r="DB262" i="2"/>
  <c r="CZ262" i="2"/>
  <c r="ES256" i="2"/>
  <c r="ER256" i="2"/>
  <c r="EQ256" i="2"/>
  <c r="EP256" i="2"/>
  <c r="DD256" i="2"/>
  <c r="DD255" i="2" s="1"/>
  <c r="DB256" i="2"/>
  <c r="DB255" i="2" s="1"/>
  <c r="CZ256" i="2"/>
  <c r="CZ255" i="2" s="1"/>
  <c r="ES252" i="2"/>
  <c r="ER252" i="2"/>
  <c r="EQ252" i="2"/>
  <c r="EP252" i="2"/>
  <c r="DD252" i="2"/>
  <c r="DB252" i="2"/>
  <c r="CZ252" i="2"/>
  <c r="ES248" i="2"/>
  <c r="ER248" i="2"/>
  <c r="EQ248" i="2"/>
  <c r="EP248" i="2"/>
  <c r="DD248" i="2"/>
  <c r="DB248" i="2"/>
  <c r="CZ248" i="2"/>
  <c r="ES243" i="2"/>
  <c r="ER243" i="2"/>
  <c r="EQ243" i="2"/>
  <c r="EP243" i="2"/>
  <c r="DD243" i="2"/>
  <c r="DB243" i="2"/>
  <c r="CZ243" i="2"/>
  <c r="ES239" i="2"/>
  <c r="ER239" i="2"/>
  <c r="EQ239" i="2"/>
  <c r="EP239" i="2"/>
  <c r="DD239" i="2"/>
  <c r="DB239" i="2"/>
  <c r="CZ239" i="2"/>
  <c r="ES221" i="2"/>
  <c r="ER221" i="2"/>
  <c r="EQ221" i="2"/>
  <c r="EP221" i="2"/>
  <c r="DD221" i="2"/>
  <c r="DB221" i="2"/>
  <c r="CZ221" i="2"/>
  <c r="ES217" i="2"/>
  <c r="ER217" i="2"/>
  <c r="EQ217" i="2"/>
  <c r="EP217" i="2"/>
  <c r="DD217" i="2"/>
  <c r="DB217" i="2"/>
  <c r="CZ217" i="2"/>
  <c r="ES210" i="2"/>
  <c r="ER210" i="2"/>
  <c r="EQ210" i="2"/>
  <c r="EP210" i="2"/>
  <c r="DD210" i="2"/>
  <c r="DB210" i="2"/>
  <c r="CZ210" i="2"/>
  <c r="ES206" i="2"/>
  <c r="ER206" i="2"/>
  <c r="EQ206" i="2"/>
  <c r="EP206" i="2"/>
  <c r="DD206" i="2"/>
  <c r="DB206" i="2"/>
  <c r="CZ206" i="2"/>
  <c r="ES201" i="2"/>
  <c r="ER201" i="2"/>
  <c r="EQ201" i="2"/>
  <c r="EP201" i="2"/>
  <c r="DD201" i="2"/>
  <c r="DB201" i="2"/>
  <c r="CZ201" i="2"/>
  <c r="ES199" i="2"/>
  <c r="ER199" i="2"/>
  <c r="EQ199" i="2"/>
  <c r="EP199" i="2"/>
  <c r="DD199" i="2"/>
  <c r="DB199" i="2"/>
  <c r="CZ199" i="2"/>
  <c r="ES194" i="2"/>
  <c r="ER194" i="2"/>
  <c r="EQ194" i="2"/>
  <c r="EP194" i="2"/>
  <c r="DD194" i="2"/>
  <c r="DB194" i="2"/>
  <c r="CZ194" i="2"/>
  <c r="ES189" i="2"/>
  <c r="ER189" i="2"/>
  <c r="EQ189" i="2"/>
  <c r="EP189" i="2"/>
  <c r="DD189" i="2"/>
  <c r="DB189" i="2"/>
  <c r="CZ189" i="2"/>
  <c r="ES186" i="2"/>
  <c r="ER186" i="2"/>
  <c r="EQ186" i="2"/>
  <c r="EP186" i="2"/>
  <c r="DD186" i="2"/>
  <c r="DB186" i="2"/>
  <c r="CZ186" i="2"/>
  <c r="ES177" i="2"/>
  <c r="ER177" i="2"/>
  <c r="EQ177" i="2"/>
  <c r="EP177" i="2"/>
  <c r="DD177" i="2"/>
  <c r="DB177" i="2"/>
  <c r="CZ177" i="2"/>
  <c r="ES175" i="2"/>
  <c r="ER175" i="2"/>
  <c r="EQ175" i="2"/>
  <c r="EP175" i="2"/>
  <c r="DD175" i="2"/>
  <c r="DB175" i="2"/>
  <c r="CZ175" i="2"/>
  <c r="ES171" i="2"/>
  <c r="ER171" i="2"/>
  <c r="EQ171" i="2"/>
  <c r="EP171" i="2"/>
  <c r="DD171" i="2"/>
  <c r="DB171" i="2"/>
  <c r="CZ171" i="2"/>
  <c r="ES167" i="2"/>
  <c r="ER167" i="2"/>
  <c r="EQ167" i="2"/>
  <c r="EP167" i="2"/>
  <c r="DD167" i="2"/>
  <c r="DB167" i="2"/>
  <c r="CZ167" i="2"/>
  <c r="ES163" i="2"/>
  <c r="ER163" i="2"/>
  <c r="EQ163" i="2"/>
  <c r="EP163" i="2"/>
  <c r="DD163" i="2"/>
  <c r="DB163" i="2"/>
  <c r="CZ163" i="2"/>
  <c r="ES161" i="2"/>
  <c r="ER161" i="2"/>
  <c r="EQ161" i="2"/>
  <c r="EP161" i="2"/>
  <c r="DD161" i="2"/>
  <c r="DB161" i="2"/>
  <c r="CZ161" i="2"/>
  <c r="ES158" i="2"/>
  <c r="ER158" i="2"/>
  <c r="EQ158" i="2"/>
  <c r="EP158" i="2"/>
  <c r="DD158" i="2"/>
  <c r="DB158" i="2"/>
  <c r="CZ158" i="2"/>
  <c r="ES154" i="2"/>
  <c r="ER154" i="2"/>
  <c r="EQ154" i="2"/>
  <c r="EP154" i="2"/>
  <c r="DD154" i="2"/>
  <c r="DB154" i="2"/>
  <c r="CZ154" i="2"/>
  <c r="ES151" i="2"/>
  <c r="ER151" i="2"/>
  <c r="EQ151" i="2"/>
  <c r="EP151" i="2"/>
  <c r="DD151" i="2"/>
  <c r="DB151" i="2"/>
  <c r="CZ151" i="2"/>
  <c r="ES147" i="2"/>
  <c r="ER147" i="2"/>
  <c r="EQ147" i="2"/>
  <c r="EP147" i="2"/>
  <c r="DD147" i="2"/>
  <c r="DB147" i="2"/>
  <c r="CZ147" i="2"/>
  <c r="ES141" i="2"/>
  <c r="ER141" i="2"/>
  <c r="EQ141" i="2"/>
  <c r="EP141" i="2"/>
  <c r="DD141" i="2"/>
  <c r="DB141" i="2"/>
  <c r="CZ141" i="2"/>
  <c r="ES133" i="2"/>
  <c r="ER133" i="2"/>
  <c r="EQ133" i="2"/>
  <c r="EP133" i="2"/>
  <c r="DD133" i="2"/>
  <c r="DB133" i="2"/>
  <c r="CZ133" i="2"/>
  <c r="ES131" i="2"/>
  <c r="ER131" i="2"/>
  <c r="EQ131" i="2"/>
  <c r="EP131" i="2"/>
  <c r="DD131" i="2"/>
  <c r="DB131" i="2"/>
  <c r="CZ131" i="2"/>
  <c r="ES129" i="2"/>
  <c r="ER129" i="2"/>
  <c r="EQ129" i="2"/>
  <c r="EP129" i="2"/>
  <c r="DD129" i="2"/>
  <c r="DB129" i="2"/>
  <c r="CZ129" i="2"/>
  <c r="E117" i="2"/>
  <c r="J94" i="2"/>
  <c r="F94" i="2"/>
  <c r="F92" i="2"/>
  <c r="E90" i="2"/>
  <c r="J28" i="2"/>
  <c r="E28" i="2"/>
  <c r="J95" i="2" s="1"/>
  <c r="J27" i="2"/>
  <c r="J22" i="2"/>
  <c r="E22" i="2"/>
  <c r="J21" i="2"/>
  <c r="J16" i="2"/>
  <c r="E7" i="2"/>
  <c r="ED212" i="47"/>
  <c r="J209" i="47"/>
  <c r="J206" i="47"/>
  <c r="J203" i="47"/>
  <c r="ED198" i="47"/>
  <c r="J196" i="47"/>
  <c r="J191" i="47"/>
  <c r="J189" i="47"/>
  <c r="J180" i="47"/>
  <c r="J176" i="47"/>
  <c r="ED170" i="47"/>
  <c r="ED163" i="47"/>
  <c r="ED159" i="47"/>
  <c r="ED156" i="47"/>
  <c r="J153" i="47"/>
  <c r="J148" i="47"/>
  <c r="J143" i="47"/>
  <c r="ED140" i="47"/>
  <c r="J122" i="46"/>
  <c r="J118" i="46"/>
  <c r="DF307" i="44"/>
  <c r="J305" i="44"/>
  <c r="J300" i="44"/>
  <c r="DF298" i="44"/>
  <c r="J291" i="44"/>
  <c r="J289" i="44"/>
  <c r="DF283" i="44"/>
  <c r="J272" i="44"/>
  <c r="J270" i="44"/>
  <c r="J262" i="44"/>
  <c r="DF260" i="44"/>
  <c r="J252" i="44"/>
  <c r="DF250" i="44"/>
  <c r="DF248" i="44"/>
  <c r="DF246" i="44"/>
  <c r="J239" i="44"/>
  <c r="DF237" i="44"/>
  <c r="J229" i="44"/>
  <c r="DF217" i="44"/>
  <c r="J215" i="44"/>
  <c r="DF211" i="44"/>
  <c r="DF207" i="44"/>
  <c r="J205" i="44"/>
  <c r="DF203" i="44"/>
  <c r="DF193" i="44"/>
  <c r="J191" i="44"/>
  <c r="DF189" i="44"/>
  <c r="DF185" i="44"/>
  <c r="J183" i="44"/>
  <c r="DF181" i="44"/>
  <c r="DF175" i="44"/>
  <c r="J163" i="44"/>
  <c r="DF157" i="44"/>
  <c r="J153" i="44"/>
  <c r="J149" i="44"/>
  <c r="DF147" i="44"/>
  <c r="DF143" i="44"/>
  <c r="J141" i="44"/>
  <c r="DF137" i="44"/>
  <c r="DF131" i="44"/>
  <c r="CP310" i="43"/>
  <c r="J308" i="43"/>
  <c r="J305" i="43"/>
  <c r="J303" i="43"/>
  <c r="J299" i="43"/>
  <c r="CP294" i="43"/>
  <c r="J292" i="43"/>
  <c r="J288" i="43"/>
  <c r="J286" i="43"/>
  <c r="CP280" i="43"/>
  <c r="J278" i="43"/>
  <c r="CP276" i="43"/>
  <c r="J263" i="43"/>
  <c r="J257" i="43"/>
  <c r="CP255" i="43"/>
  <c r="CP253" i="43"/>
  <c r="J251" i="43"/>
  <c r="CP249" i="43"/>
  <c r="CP247" i="43"/>
  <c r="J245" i="43"/>
  <c r="CP236" i="43"/>
  <c r="CP226" i="43"/>
  <c r="CP212" i="43"/>
  <c r="CP210" i="43"/>
  <c r="CP204" i="43"/>
  <c r="J196" i="43"/>
  <c r="CP194" i="43"/>
  <c r="CP188" i="43"/>
  <c r="J186" i="43"/>
  <c r="CP180" i="43"/>
  <c r="CP178" i="43"/>
  <c r="J174" i="43"/>
  <c r="CP164" i="43"/>
  <c r="J162" i="43"/>
  <c r="CP160" i="43"/>
  <c r="CP158" i="43"/>
  <c r="CP156" i="43"/>
  <c r="J154" i="43"/>
  <c r="CP148" i="43"/>
  <c r="J146" i="43"/>
  <c r="J144" i="43"/>
  <c r="CP142" i="43"/>
  <c r="CP140" i="43"/>
  <c r="J134" i="43"/>
  <c r="CP132" i="43"/>
  <c r="CP130" i="43"/>
  <c r="J128" i="43"/>
  <c r="DV307" i="42"/>
  <c r="DV298" i="42"/>
  <c r="DV291" i="42"/>
  <c r="J289" i="42"/>
  <c r="J287" i="42"/>
  <c r="DV285" i="42"/>
  <c r="DV279" i="42"/>
  <c r="J275" i="42"/>
  <c r="J260" i="42"/>
  <c r="DV258" i="42"/>
  <c r="DV250" i="42"/>
  <c r="J248" i="42"/>
  <c r="J244" i="42"/>
  <c r="DV239" i="42"/>
  <c r="J237" i="42"/>
  <c r="J235" i="42"/>
  <c r="DV227" i="42"/>
  <c r="DV221" i="42"/>
  <c r="J219" i="42"/>
  <c r="J213" i="42"/>
  <c r="DV205" i="42"/>
  <c r="DV195" i="42"/>
  <c r="J189" i="42"/>
  <c r="J187" i="42"/>
  <c r="J185" i="42"/>
  <c r="J183" i="42"/>
  <c r="DV175" i="42"/>
  <c r="J159" i="42"/>
  <c r="DV157" i="42"/>
  <c r="DV153" i="42"/>
  <c r="J151" i="42"/>
  <c r="DV149" i="42"/>
  <c r="DV145" i="42"/>
  <c r="DV141" i="42"/>
  <c r="J137" i="42"/>
  <c r="DV133" i="42"/>
  <c r="J131" i="42"/>
  <c r="J129" i="42"/>
  <c r="BK322" i="41"/>
  <c r="BK309" i="41"/>
  <c r="BK307" i="41"/>
  <c r="J305" i="41"/>
  <c r="J302" i="41"/>
  <c r="J298" i="41"/>
  <c r="BK290" i="41"/>
  <c r="BK288" i="41"/>
  <c r="J286" i="41"/>
  <c r="J279" i="41"/>
  <c r="J277" i="41"/>
  <c r="BK275" i="41"/>
  <c r="BK265" i="41"/>
  <c r="BK261" i="41"/>
  <c r="BK257" i="41"/>
  <c r="BK253" i="41"/>
  <c r="BK250" i="41"/>
  <c r="J248" i="41"/>
  <c r="BK242" i="41"/>
  <c r="BK238" i="41"/>
  <c r="BK236" i="41"/>
  <c r="BK232" i="41"/>
  <c r="BK226" i="41"/>
  <c r="J216" i="41"/>
  <c r="BK214" i="41"/>
  <c r="J210" i="41"/>
  <c r="BK204" i="41"/>
  <c r="BK202" i="41"/>
  <c r="BK198" i="41"/>
  <c r="BK192" i="41"/>
  <c r="J188" i="41"/>
  <c r="J186" i="41"/>
  <c r="J184" i="41"/>
  <c r="BK178" i="41"/>
  <c r="BK172" i="41"/>
  <c r="BK170" i="41"/>
  <c r="BK166" i="41"/>
  <c r="BK164" i="41"/>
  <c r="BK162" i="41"/>
  <c r="BK152" i="41"/>
  <c r="BK148" i="41"/>
  <c r="BK146" i="41"/>
  <c r="J144" i="41"/>
  <c r="J142" i="41"/>
  <c r="BK140" i="41"/>
  <c r="BK138" i="41"/>
  <c r="J136" i="41"/>
  <c r="BK129" i="40"/>
  <c r="BK150" i="39"/>
  <c r="J148" i="39"/>
  <c r="J144" i="39"/>
  <c r="J139" i="39"/>
  <c r="J137" i="39"/>
  <c r="J131" i="39"/>
  <c r="ER397" i="38"/>
  <c r="J395" i="38"/>
  <c r="J389" i="38"/>
  <c r="ER379" i="38"/>
  <c r="J369" i="38"/>
  <c r="J360" i="38"/>
  <c r="ER355" i="38"/>
  <c r="J353" i="38"/>
  <c r="J342" i="38"/>
  <c r="ER333" i="38"/>
  <c r="J331" i="38"/>
  <c r="ER329" i="38"/>
  <c r="ER316" i="38"/>
  <c r="J307" i="38"/>
  <c r="ER298" i="38"/>
  <c r="ER284" i="38"/>
  <c r="ER281" i="38"/>
  <c r="ER264" i="38"/>
  <c r="J245" i="38"/>
  <c r="ER219" i="38"/>
  <c r="ER216" i="38"/>
  <c r="J212" i="38"/>
  <c r="J210" i="38"/>
  <c r="J193" i="38"/>
  <c r="J185" i="38"/>
  <c r="ER157" i="38"/>
  <c r="ER151" i="38"/>
  <c r="J148" i="38"/>
  <c r="J144" i="38"/>
  <c r="ER138" i="38"/>
  <c r="J136" i="38"/>
  <c r="ER131" i="38"/>
  <c r="J346" i="37"/>
  <c r="J338" i="37"/>
  <c r="FS314" i="37"/>
  <c r="J312" i="37"/>
  <c r="J301" i="37"/>
  <c r="J297" i="37"/>
  <c r="FS291" i="37"/>
  <c r="FS287" i="37"/>
  <c r="FS273" i="37"/>
  <c r="FS271" i="37"/>
  <c r="J264" i="37"/>
  <c r="J255" i="37"/>
  <c r="FS250" i="37"/>
  <c r="J245" i="37"/>
  <c r="J241" i="37"/>
  <c r="FS233" i="37"/>
  <c r="FS229" i="37"/>
  <c r="J215" i="37"/>
  <c r="FS211" i="37"/>
  <c r="FS206" i="37"/>
  <c r="J197" i="37"/>
  <c r="J190" i="37"/>
  <c r="FS185" i="37"/>
  <c r="J182" i="37"/>
  <c r="FS169" i="37"/>
  <c r="FS165" i="37"/>
  <c r="FS145" i="37"/>
  <c r="DW602" i="36"/>
  <c r="J602" i="36"/>
  <c r="DW598" i="36"/>
  <c r="J598" i="36"/>
  <c r="DW595" i="36"/>
  <c r="J593" i="36"/>
  <c r="DW587" i="36"/>
  <c r="J576" i="36"/>
  <c r="DW571" i="36"/>
  <c r="DW567" i="36"/>
  <c r="J565" i="36"/>
  <c r="DW563" i="36"/>
  <c r="DW559" i="36"/>
  <c r="J557" i="36"/>
  <c r="J553" i="36"/>
  <c r="DW549" i="36"/>
  <c r="J545" i="36"/>
  <c r="J543" i="36"/>
  <c r="J541" i="36"/>
  <c r="J537" i="36"/>
  <c r="J535" i="36"/>
  <c r="J533" i="36"/>
  <c r="J529" i="36"/>
  <c r="J527" i="36"/>
  <c r="J523" i="36"/>
  <c r="DW520" i="36"/>
  <c r="J515" i="36"/>
  <c r="DW512" i="36"/>
  <c r="J509" i="36"/>
  <c r="DW507" i="36"/>
  <c r="DW503" i="36"/>
  <c r="DW501" i="36"/>
  <c r="DW497" i="36"/>
  <c r="DW495" i="36"/>
  <c r="J493" i="36"/>
  <c r="J491" i="36"/>
  <c r="DW489" i="36"/>
  <c r="J487" i="36"/>
  <c r="J485" i="36"/>
  <c r="DW483" i="36"/>
  <c r="J471" i="36"/>
  <c r="J465" i="36"/>
  <c r="J457" i="36"/>
  <c r="DW451" i="36"/>
  <c r="J448" i="36"/>
  <c r="J444" i="36"/>
  <c r="J436" i="36"/>
  <c r="J431" i="36"/>
  <c r="DW429" i="36"/>
  <c r="DW425" i="36"/>
  <c r="J413" i="36"/>
  <c r="DW394" i="36"/>
  <c r="DW392" i="36"/>
  <c r="DW373" i="36"/>
  <c r="J371" i="36"/>
  <c r="DW348" i="36"/>
  <c r="J344" i="36"/>
  <c r="J334" i="36"/>
  <c r="DW293" i="36"/>
  <c r="J284" i="36"/>
  <c r="DW261" i="36"/>
  <c r="J257" i="36"/>
  <c r="DW245" i="36"/>
  <c r="DW236" i="36"/>
  <c r="DW233" i="36"/>
  <c r="DW226" i="36"/>
  <c r="J222" i="36"/>
  <c r="J214" i="36"/>
  <c r="DW200" i="36"/>
  <c r="J197" i="36"/>
  <c r="DW172" i="36"/>
  <c r="J169" i="36"/>
  <c r="J164" i="36"/>
  <c r="DW141" i="36"/>
  <c r="J134" i="36"/>
  <c r="J129" i="36"/>
  <c r="DB345" i="35"/>
  <c r="J340" i="35"/>
  <c r="DB318" i="35"/>
  <c r="J314" i="35"/>
  <c r="DB310" i="35"/>
  <c r="DB308" i="35"/>
  <c r="J303" i="35"/>
  <c r="DB299" i="35"/>
  <c r="J297" i="35"/>
  <c r="DB295" i="35"/>
  <c r="DB271" i="35"/>
  <c r="DB245" i="35"/>
  <c r="DB241" i="35"/>
  <c r="J215" i="35"/>
  <c r="DB211" i="35"/>
  <c r="DB206" i="35"/>
  <c r="J202" i="35"/>
  <c r="DB169" i="35"/>
  <c r="J165" i="35"/>
  <c r="J163" i="35"/>
  <c r="J160" i="35"/>
  <c r="J156" i="35"/>
  <c r="DB145" i="35"/>
  <c r="DB137" i="35"/>
  <c r="J355" i="34"/>
  <c r="J351" i="34"/>
  <c r="GQ340" i="34"/>
  <c r="GQ335" i="34"/>
  <c r="GQ324" i="34"/>
  <c r="GQ320" i="34"/>
  <c r="GQ309" i="34"/>
  <c r="GQ301" i="34"/>
  <c r="J291" i="34"/>
  <c r="J266" i="34"/>
  <c r="GQ237" i="34"/>
  <c r="J233" i="34"/>
  <c r="J219" i="34"/>
  <c r="J206" i="34"/>
  <c r="GQ177" i="34"/>
  <c r="J156" i="34"/>
  <c r="GQ149" i="34"/>
  <c r="GQ139" i="34"/>
  <c r="DF160" i="33"/>
  <c r="J156" i="33"/>
  <c r="DF151" i="33"/>
  <c r="J149" i="33"/>
  <c r="DF145" i="33"/>
  <c r="DF142" i="33"/>
  <c r="DF140" i="33"/>
  <c r="J134" i="33"/>
  <c r="J132" i="33"/>
  <c r="BK129" i="32"/>
  <c r="FB309" i="31"/>
  <c r="J307" i="31"/>
  <c r="J286" i="31"/>
  <c r="J280" i="31"/>
  <c r="FB271" i="31"/>
  <c r="FB269" i="31"/>
  <c r="FB267" i="31"/>
  <c r="J262" i="31"/>
  <c r="J240" i="31"/>
  <c r="FB226" i="31"/>
  <c r="FB222" i="31"/>
  <c r="J210" i="31"/>
  <c r="FB200" i="31"/>
  <c r="FB186" i="31"/>
  <c r="J179" i="31"/>
  <c r="J176" i="31"/>
  <c r="J169" i="31"/>
  <c r="FB167" i="31"/>
  <c r="J163" i="31"/>
  <c r="FB161" i="31"/>
  <c r="J157" i="31"/>
  <c r="FB154" i="31"/>
  <c r="J146" i="31"/>
  <c r="J132" i="31"/>
  <c r="FB130" i="31"/>
  <c r="CZ172" i="30"/>
  <c r="CZ163" i="30"/>
  <c r="CZ157" i="30"/>
  <c r="CZ155" i="30"/>
  <c r="J151" i="30"/>
  <c r="CZ147" i="30"/>
  <c r="CZ145" i="30"/>
  <c r="J142" i="30"/>
  <c r="J134" i="30"/>
  <c r="CZ132" i="30"/>
  <c r="J130" i="30"/>
  <c r="BK129" i="29"/>
  <c r="J306" i="28"/>
  <c r="EL303" i="28"/>
  <c r="EL290" i="28"/>
  <c r="J285" i="28"/>
  <c r="J274" i="28"/>
  <c r="J267" i="28"/>
  <c r="J263" i="28"/>
  <c r="J261" i="28"/>
  <c r="EL248" i="28"/>
  <c r="EL246" i="28"/>
  <c r="J228" i="28"/>
  <c r="EL224" i="28"/>
  <c r="EL220" i="28"/>
  <c r="EL212" i="28"/>
  <c r="EL204" i="28"/>
  <c r="EL194" i="28"/>
  <c r="J191" i="28"/>
  <c r="EL163" i="28"/>
  <c r="EL161" i="28"/>
  <c r="J137" i="28"/>
  <c r="DV158" i="27"/>
  <c r="J156" i="27"/>
  <c r="J154" i="27"/>
  <c r="J151" i="27"/>
  <c r="DV149" i="27"/>
  <c r="DV145" i="27"/>
  <c r="J142" i="27"/>
  <c r="DV138" i="27"/>
  <c r="DV136" i="27"/>
  <c r="DV132" i="27"/>
  <c r="J130" i="27"/>
  <c r="DV128" i="27"/>
  <c r="DV126" i="27"/>
  <c r="DV123" i="27"/>
  <c r="J129" i="26"/>
  <c r="EL301" i="25"/>
  <c r="J288" i="25"/>
  <c r="EL263" i="25"/>
  <c r="J261" i="25"/>
  <c r="J259" i="25"/>
  <c r="J254" i="25"/>
  <c r="EL249" i="25"/>
  <c r="J246" i="25"/>
  <c r="J244" i="25"/>
  <c r="EL240" i="25"/>
  <c r="J232" i="25"/>
  <c r="EL228" i="25"/>
  <c r="J226" i="25"/>
  <c r="J218" i="25"/>
  <c r="EL214" i="25"/>
  <c r="EL192" i="25"/>
  <c r="EL185" i="25"/>
  <c r="EL178" i="25"/>
  <c r="EL175" i="25"/>
  <c r="EL171" i="25"/>
  <c r="EL168" i="25"/>
  <c r="J161" i="25"/>
  <c r="J153" i="25"/>
  <c r="EL149" i="25"/>
  <c r="EL147" i="25"/>
  <c r="EL144" i="25"/>
  <c r="J128" i="25"/>
  <c r="J126" i="25"/>
  <c r="BK177" i="24"/>
  <c r="J170" i="24"/>
  <c r="J168" i="24"/>
  <c r="BK164" i="24"/>
  <c r="J162" i="24"/>
  <c r="BK154" i="24"/>
  <c r="J151" i="24"/>
  <c r="BK147" i="24"/>
  <c r="BK145" i="24"/>
  <c r="BK137" i="24"/>
  <c r="J135" i="24"/>
  <c r="BK129" i="23"/>
  <c r="FD322" i="22"/>
  <c r="J322" i="22"/>
  <c r="FD318" i="22"/>
  <c r="J313" i="22"/>
  <c r="J307" i="22"/>
  <c r="FD292" i="22"/>
  <c r="J286" i="22"/>
  <c r="FD277" i="22"/>
  <c r="J263" i="22"/>
  <c r="J258" i="22"/>
  <c r="J254" i="22"/>
  <c r="FD250" i="22"/>
  <c r="FD240" i="22"/>
  <c r="FD234" i="22"/>
  <c r="FD222" i="22"/>
  <c r="J218" i="22"/>
  <c r="J198" i="22"/>
  <c r="J188" i="22"/>
  <c r="J184" i="22"/>
  <c r="J181" i="22"/>
  <c r="FD148" i="22"/>
  <c r="J144" i="22"/>
  <c r="J135" i="22"/>
  <c r="FD128" i="22"/>
  <c r="J126" i="22"/>
  <c r="DV383" i="21"/>
  <c r="J383" i="21"/>
  <c r="DV379" i="21"/>
  <c r="J379" i="21"/>
  <c r="J376" i="21"/>
  <c r="J351" i="21"/>
  <c r="J347" i="21"/>
  <c r="DV339" i="21"/>
  <c r="J335" i="21"/>
  <c r="DV331" i="21"/>
  <c r="DV321" i="21"/>
  <c r="DV319" i="21"/>
  <c r="DV294" i="21"/>
  <c r="DV292" i="21"/>
  <c r="DV273" i="21"/>
  <c r="J268" i="21"/>
  <c r="J263" i="21"/>
  <c r="J253" i="21"/>
  <c r="J186" i="21"/>
  <c r="DV182" i="21"/>
  <c r="DV180" i="21"/>
  <c r="DV172" i="21"/>
  <c r="DV165" i="21"/>
  <c r="DV160" i="21"/>
  <c r="DV157" i="21"/>
  <c r="J146" i="21"/>
  <c r="DV130" i="21"/>
  <c r="DV128" i="21"/>
  <c r="DF350" i="20"/>
  <c r="J350" i="20"/>
  <c r="J346" i="20"/>
  <c r="J330" i="20"/>
  <c r="DF323" i="20"/>
  <c r="J321" i="20"/>
  <c r="DF314" i="20"/>
  <c r="DF303" i="20"/>
  <c r="DF292" i="20"/>
  <c r="DF282" i="20"/>
  <c r="DF276" i="20"/>
  <c r="DF270" i="20"/>
  <c r="DF265" i="20"/>
  <c r="J251" i="20"/>
  <c r="DF209" i="20"/>
  <c r="DF185" i="20"/>
  <c r="J178" i="20"/>
  <c r="DF176" i="20"/>
  <c r="DF156" i="20"/>
  <c r="J153" i="20"/>
  <c r="DF128" i="20"/>
  <c r="J126" i="20"/>
  <c r="DF391" i="19"/>
  <c r="J391" i="19"/>
  <c r="J387" i="19"/>
  <c r="J382" i="19"/>
  <c r="DF371" i="19"/>
  <c r="J366" i="19"/>
  <c r="DF347" i="19"/>
  <c r="DF341" i="19"/>
  <c r="DF332" i="19"/>
  <c r="DF330" i="19"/>
  <c r="J309" i="19"/>
  <c r="DF305" i="19"/>
  <c r="DF299" i="19"/>
  <c r="J295" i="19"/>
  <c r="DF274" i="19"/>
  <c r="J260" i="19"/>
  <c r="DF244" i="19"/>
  <c r="J232" i="19"/>
  <c r="J200" i="19"/>
  <c r="J190" i="19"/>
  <c r="DF187" i="19"/>
  <c r="DF166" i="19"/>
  <c r="DF141" i="19"/>
  <c r="J129" i="19"/>
  <c r="EF412" i="18"/>
  <c r="EF401" i="18"/>
  <c r="EF398" i="18"/>
  <c r="EF396" i="18"/>
  <c r="J388" i="18"/>
  <c r="EF384" i="18"/>
  <c r="EF382" i="18"/>
  <c r="EF380" i="18"/>
  <c r="J376" i="18"/>
  <c r="J373" i="18"/>
  <c r="J369" i="18"/>
  <c r="EF361" i="18"/>
  <c r="EF359" i="18"/>
  <c r="EF357" i="18"/>
  <c r="EF353" i="18"/>
  <c r="EF351" i="18"/>
  <c r="EF343" i="18"/>
  <c r="J331" i="18"/>
  <c r="J328" i="18"/>
  <c r="J325" i="18"/>
  <c r="EF320" i="18"/>
  <c r="J316" i="18"/>
  <c r="J302" i="18"/>
  <c r="J300" i="18"/>
  <c r="EF291" i="18"/>
  <c r="J289" i="18"/>
  <c r="J280" i="18"/>
  <c r="J268" i="18"/>
  <c r="EF260" i="18"/>
  <c r="EF253" i="18"/>
  <c r="J248" i="18"/>
  <c r="EF214" i="18"/>
  <c r="J210" i="18"/>
  <c r="EF201" i="18"/>
  <c r="EF198" i="18"/>
  <c r="EF184" i="18"/>
  <c r="J179" i="18"/>
  <c r="EF176" i="18"/>
  <c r="J165" i="18"/>
  <c r="EF152" i="18"/>
  <c r="EF128" i="18"/>
  <c r="J126" i="18"/>
  <c r="J374" i="17"/>
  <c r="J371" i="17"/>
  <c r="J363" i="17"/>
  <c r="EZ347" i="17"/>
  <c r="EZ333" i="17"/>
  <c r="J331" i="17"/>
  <c r="J327" i="17"/>
  <c r="EZ271" i="17"/>
  <c r="J269" i="17"/>
  <c r="J267" i="17"/>
  <c r="EZ259" i="17"/>
  <c r="EZ253" i="17"/>
  <c r="EZ244" i="17"/>
  <c r="J239" i="17"/>
  <c r="J234" i="17"/>
  <c r="EZ227" i="17"/>
  <c r="EZ218" i="17"/>
  <c r="EZ203" i="17"/>
  <c r="EZ189" i="17"/>
  <c r="EZ184" i="17"/>
  <c r="EZ182" i="17"/>
  <c r="J177" i="17"/>
  <c r="J172" i="17"/>
  <c r="EZ151" i="17"/>
  <c r="EZ147" i="17"/>
  <c r="EZ143" i="17"/>
  <c r="J137" i="17"/>
  <c r="EZ125" i="17"/>
  <c r="J515" i="16"/>
  <c r="J513" i="16"/>
  <c r="EE491" i="16"/>
  <c r="J488" i="16"/>
  <c r="EE478" i="16"/>
  <c r="EE463" i="16"/>
  <c r="J456" i="16"/>
  <c r="J450" i="16"/>
  <c r="J442" i="16"/>
  <c r="EE440" i="16"/>
  <c r="J438" i="16"/>
  <c r="EE436" i="16"/>
  <c r="J432" i="16"/>
  <c r="EE426" i="16"/>
  <c r="J424" i="16"/>
  <c r="J420" i="16"/>
  <c r="EE407" i="16"/>
  <c r="EE403" i="16"/>
  <c r="J373" i="16"/>
  <c r="EE369" i="16"/>
  <c r="EE365" i="16"/>
  <c r="J361" i="16"/>
  <c r="J353" i="16"/>
  <c r="EE338" i="16"/>
  <c r="J336" i="16"/>
  <c r="EE334" i="16"/>
  <c r="J317" i="16"/>
  <c r="J311" i="16"/>
  <c r="EE289" i="16"/>
  <c r="J280" i="16"/>
  <c r="EE263" i="16"/>
  <c r="EE247" i="16"/>
  <c r="EE219" i="16"/>
  <c r="J209" i="16"/>
  <c r="J180" i="16"/>
  <c r="EE174" i="16"/>
  <c r="EE172" i="16"/>
  <c r="EE169" i="16"/>
  <c r="EE158" i="16"/>
  <c r="EE129" i="16"/>
  <c r="J346" i="15"/>
  <c r="DV330" i="15"/>
  <c r="DV327" i="15"/>
  <c r="DV323" i="15"/>
  <c r="J321" i="15"/>
  <c r="J314" i="15"/>
  <c r="J307" i="15"/>
  <c r="J303" i="15"/>
  <c r="DV290" i="15"/>
  <c r="DV271" i="15"/>
  <c r="J265" i="15"/>
  <c r="J260" i="15"/>
  <c r="J245" i="15"/>
  <c r="J208" i="15"/>
  <c r="J167" i="15"/>
  <c r="J136" i="15"/>
  <c r="J127" i="15"/>
  <c r="DV125" i="15"/>
  <c r="DD341" i="14"/>
  <c r="J333" i="14"/>
  <c r="J328" i="14"/>
  <c r="DD325" i="14"/>
  <c r="DD323" i="14"/>
  <c r="DD321" i="14"/>
  <c r="DD315" i="14"/>
  <c r="J312" i="14"/>
  <c r="DD292" i="14"/>
  <c r="J288" i="14"/>
  <c r="J282" i="14"/>
  <c r="DD251" i="14"/>
  <c r="DD245" i="14"/>
  <c r="J243" i="14"/>
  <c r="DD240" i="14"/>
  <c r="J235" i="14"/>
  <c r="J223" i="14"/>
  <c r="DD208" i="14"/>
  <c r="DD199" i="14"/>
  <c r="J194" i="14"/>
  <c r="DD177" i="14"/>
  <c r="J175" i="14"/>
  <c r="DD165" i="14"/>
  <c r="J129" i="14"/>
  <c r="J330" i="13"/>
  <c r="J321" i="13"/>
  <c r="ES312" i="13"/>
  <c r="ES305" i="13"/>
  <c r="ES303" i="13"/>
  <c r="ES282" i="13"/>
  <c r="J280" i="13"/>
  <c r="ES265" i="13"/>
  <c r="ES255" i="13"/>
  <c r="ES199" i="13"/>
  <c r="J165" i="13"/>
  <c r="J155" i="13"/>
  <c r="J152" i="13"/>
  <c r="J142" i="13"/>
  <c r="J136" i="13"/>
  <c r="J129" i="13"/>
  <c r="J127" i="13"/>
  <c r="J125" i="13"/>
  <c r="CM374" i="12"/>
  <c r="J374" i="12"/>
  <c r="CM370" i="12"/>
  <c r="J367" i="12"/>
  <c r="CM365" i="12"/>
  <c r="CM359" i="12"/>
  <c r="J347" i="12"/>
  <c r="CM343" i="12"/>
  <c r="CM339" i="12"/>
  <c r="CM337" i="12"/>
  <c r="J328" i="12"/>
  <c r="CM302" i="12"/>
  <c r="J296" i="12"/>
  <c r="CM280" i="12"/>
  <c r="CM266" i="12"/>
  <c r="J261" i="12"/>
  <c r="CM246" i="12"/>
  <c r="CM229" i="12"/>
  <c r="J204" i="12"/>
  <c r="CM187" i="12"/>
  <c r="CM184" i="12"/>
  <c r="CM180" i="12"/>
  <c r="CM178" i="12"/>
  <c r="CM170" i="12"/>
  <c r="J168" i="12"/>
  <c r="CM163" i="12"/>
  <c r="J144" i="12"/>
  <c r="CM138" i="12"/>
  <c r="J128" i="12"/>
  <c r="FB349" i="11"/>
  <c r="J349" i="11"/>
  <c r="J345" i="11"/>
  <c r="J342" i="11"/>
  <c r="J340" i="11"/>
  <c r="J334" i="11"/>
  <c r="J329" i="11"/>
  <c r="FB326" i="11"/>
  <c r="FB311" i="11"/>
  <c r="FB302" i="11"/>
  <c r="FB291" i="11"/>
  <c r="FB287" i="11"/>
  <c r="J281" i="11"/>
  <c r="J244" i="11"/>
  <c r="J242" i="11"/>
  <c r="J234" i="11"/>
  <c r="J207" i="11"/>
  <c r="FB183" i="11"/>
  <c r="J180" i="11"/>
  <c r="FB176" i="11"/>
  <c r="J166" i="11"/>
  <c r="FB164" i="11"/>
  <c r="J159" i="11"/>
  <c r="FB154" i="11"/>
  <c r="J151" i="11"/>
  <c r="FB141" i="11"/>
  <c r="J135" i="11"/>
  <c r="FB128" i="11"/>
  <c r="J126" i="11"/>
  <c r="J346" i="10"/>
  <c r="DV343" i="10"/>
  <c r="DV327" i="10"/>
  <c r="DV325" i="10"/>
  <c r="J323" i="10"/>
  <c r="DV317" i="10"/>
  <c r="J314" i="10"/>
  <c r="J307" i="10"/>
  <c r="DV292" i="10"/>
  <c r="J280" i="10"/>
  <c r="DV270" i="10"/>
  <c r="J265" i="10"/>
  <c r="DV260" i="10"/>
  <c r="J243" i="10"/>
  <c r="J240" i="10"/>
  <c r="DV181" i="10"/>
  <c r="DV175" i="10"/>
  <c r="J155" i="10"/>
  <c r="DV136" i="10"/>
  <c r="DV129" i="10"/>
  <c r="J127" i="10"/>
  <c r="J344" i="8"/>
  <c r="J341" i="8"/>
  <c r="J333" i="8"/>
  <c r="EL322" i="8"/>
  <c r="EL317" i="8"/>
  <c r="EL310" i="8"/>
  <c r="J306" i="8"/>
  <c r="EL299" i="8"/>
  <c r="EL294" i="8"/>
  <c r="J291" i="8"/>
  <c r="J289" i="8"/>
  <c r="J287" i="8"/>
  <c r="EL271" i="8"/>
  <c r="J266" i="8"/>
  <c r="EL264" i="8"/>
  <c r="EL262" i="8"/>
  <c r="J260" i="8"/>
  <c r="EL254" i="8"/>
  <c r="J239" i="8"/>
  <c r="EL232" i="8"/>
  <c r="EL227" i="8"/>
  <c r="J223" i="8"/>
  <c r="EL208" i="8"/>
  <c r="EL204" i="8"/>
  <c r="EL197" i="8"/>
  <c r="J193" i="8"/>
  <c r="EL181" i="8"/>
  <c r="EL176" i="8"/>
  <c r="J173" i="8"/>
  <c r="J160" i="8"/>
  <c r="EL151" i="8"/>
  <c r="EL147" i="8"/>
  <c r="J143" i="8"/>
  <c r="J129" i="8"/>
  <c r="EL127" i="8"/>
  <c r="J125" i="8"/>
  <c r="J440" i="7"/>
  <c r="FO432" i="7"/>
  <c r="FO391" i="7"/>
  <c r="J389" i="7"/>
  <c r="FO385" i="7"/>
  <c r="FO383" i="7"/>
  <c r="J365" i="7"/>
  <c r="J360" i="7"/>
  <c r="J337" i="7"/>
  <c r="FO335" i="7"/>
  <c r="J333" i="7"/>
  <c r="J316" i="7"/>
  <c r="J314" i="7"/>
  <c r="J310" i="7"/>
  <c r="FO292" i="7"/>
  <c r="J288" i="7"/>
  <c r="J281" i="7"/>
  <c r="FO278" i="7"/>
  <c r="J273" i="7"/>
  <c r="FO235" i="7"/>
  <c r="FO227" i="7"/>
  <c r="J216" i="7"/>
  <c r="J213" i="7"/>
  <c r="FO209" i="7"/>
  <c r="FO207" i="7"/>
  <c r="FO199" i="7"/>
  <c r="FO187" i="7"/>
  <c r="J184" i="7"/>
  <c r="J170" i="7"/>
  <c r="J157" i="7"/>
  <c r="J152" i="7"/>
  <c r="J144" i="7"/>
  <c r="FO138" i="7"/>
  <c r="J129" i="7"/>
  <c r="FO127" i="7"/>
  <c r="FO125" i="7"/>
  <c r="DZ415" i="6"/>
  <c r="J407" i="6"/>
  <c r="J391" i="6"/>
  <c r="DZ387" i="6"/>
  <c r="DZ384" i="6"/>
  <c r="DZ378" i="6"/>
  <c r="J374" i="6"/>
  <c r="J370" i="6"/>
  <c r="DZ360" i="6"/>
  <c r="DZ358" i="6"/>
  <c r="DZ350" i="6"/>
  <c r="J342" i="6"/>
  <c r="DZ340" i="6"/>
  <c r="DZ326" i="6"/>
  <c r="J296" i="6"/>
  <c r="DZ294" i="6"/>
  <c r="J283" i="6"/>
  <c r="J271" i="6"/>
  <c r="J269" i="6"/>
  <c r="J252" i="6"/>
  <c r="J247" i="6"/>
  <c r="DZ243" i="6"/>
  <c r="DZ211" i="6"/>
  <c r="J192" i="6"/>
  <c r="DZ179" i="6"/>
  <c r="J159" i="6"/>
  <c r="DZ156" i="6"/>
  <c r="J131" i="6"/>
  <c r="EA368" i="5"/>
  <c r="J362" i="5"/>
  <c r="J357" i="5"/>
  <c r="J346" i="5"/>
  <c r="EA343" i="5"/>
  <c r="EA341" i="5"/>
  <c r="EA337" i="5"/>
  <c r="J335" i="5"/>
  <c r="J333" i="5"/>
  <c r="J327" i="5"/>
  <c r="EA321" i="5"/>
  <c r="EA313" i="5"/>
  <c r="J305" i="5"/>
  <c r="J300" i="5"/>
  <c r="J282" i="5"/>
  <c r="EA277" i="5"/>
  <c r="J275" i="5"/>
  <c r="J255" i="5"/>
  <c r="EA245" i="5"/>
  <c r="J240" i="5"/>
  <c r="EA228" i="5"/>
  <c r="J209" i="5"/>
  <c r="J205" i="5"/>
  <c r="J189" i="5"/>
  <c r="EA157" i="5"/>
  <c r="J155" i="5"/>
  <c r="EA152" i="5"/>
  <c r="J148" i="5"/>
  <c r="J375" i="4"/>
  <c r="FD369" i="4"/>
  <c r="J364" i="4"/>
  <c r="FD359" i="4"/>
  <c r="J355" i="4"/>
  <c r="J345" i="4"/>
  <c r="J339" i="4"/>
  <c r="J317" i="4"/>
  <c r="FD303" i="4"/>
  <c r="J301" i="4"/>
  <c r="J295" i="4"/>
  <c r="J287" i="4"/>
  <c r="J272" i="4"/>
  <c r="FD260" i="4"/>
  <c r="J256" i="4"/>
  <c r="J251" i="4"/>
  <c r="J238" i="4"/>
  <c r="J220" i="4"/>
  <c r="FD184" i="4"/>
  <c r="FD175" i="4"/>
  <c r="J167" i="4"/>
  <c r="FD155" i="4"/>
  <c r="J148" i="4"/>
  <c r="FD144" i="4"/>
  <c r="J138" i="4"/>
  <c r="FD127" i="4"/>
  <c r="DN411" i="3"/>
  <c r="J411" i="3"/>
  <c r="DN406" i="3"/>
  <c r="J402" i="3"/>
  <c r="DN389" i="3"/>
  <c r="J383" i="3"/>
  <c r="J378" i="3"/>
  <c r="J375" i="3"/>
  <c r="DN365" i="3"/>
  <c r="J355" i="3"/>
  <c r="J351" i="3"/>
  <c r="DN339" i="3"/>
  <c r="J328" i="3"/>
  <c r="DN323" i="3"/>
  <c r="DN320" i="3"/>
  <c r="J317" i="3"/>
  <c r="J309" i="3"/>
  <c r="DN305" i="3"/>
  <c r="J301" i="3"/>
  <c r="DN293" i="3"/>
  <c r="DN268" i="3"/>
  <c r="J264" i="3"/>
  <c r="J246" i="3"/>
  <c r="J239" i="3"/>
  <c r="J232" i="3"/>
  <c r="J213" i="3"/>
  <c r="DN210" i="3"/>
  <c r="J202" i="3"/>
  <c r="J186" i="3"/>
  <c r="DN179" i="3"/>
  <c r="J169" i="3"/>
  <c r="J159" i="3"/>
  <c r="DN148" i="3"/>
  <c r="DN129" i="3"/>
  <c r="J414" i="2"/>
  <c r="EU397" i="2"/>
  <c r="EU388" i="2"/>
  <c r="J385" i="2"/>
  <c r="EU379" i="2"/>
  <c r="J364" i="2"/>
  <c r="EU354" i="2"/>
  <c r="J352" i="2"/>
  <c r="J348" i="2"/>
  <c r="J330" i="2"/>
  <c r="J325" i="2"/>
  <c r="EU315" i="2"/>
  <c r="EU307" i="2"/>
  <c r="J302" i="2"/>
  <c r="J300" i="2"/>
  <c r="EU298" i="2"/>
  <c r="EU296" i="2"/>
  <c r="EU290" i="2"/>
  <c r="J284" i="2"/>
  <c r="EU282" i="2"/>
  <c r="EU280" i="2"/>
  <c r="J278" i="2"/>
  <c r="J276" i="2"/>
  <c r="EU272" i="2"/>
  <c r="J262" i="2"/>
  <c r="J256" i="2"/>
  <c r="EU252" i="2"/>
  <c r="EU243" i="2"/>
  <c r="EU221" i="2"/>
  <c r="EU217" i="2"/>
  <c r="EU201" i="2"/>
  <c r="EU186" i="2"/>
  <c r="J177" i="2"/>
  <c r="EU175" i="2"/>
  <c r="EU141" i="2"/>
  <c r="EU133" i="2"/>
  <c r="EU131" i="2"/>
  <c r="J129" i="2"/>
  <c r="AZ139" i="1"/>
  <c r="AZ137" i="1"/>
  <c r="AZ134" i="1"/>
  <c r="AZ125" i="1"/>
  <c r="AZ109" i="1"/>
  <c r="AZ89" i="1"/>
  <c r="ED206" i="47"/>
  <c r="J198" i="47"/>
  <c r="J193" i="47"/>
  <c r="ED191" i="47"/>
  <c r="J187" i="47"/>
  <c r="ED184" i="47"/>
  <c r="ED176" i="47"/>
  <c r="ED173" i="47"/>
  <c r="ED168" i="47"/>
  <c r="J166" i="47"/>
  <c r="J163" i="47"/>
  <c r="ED161" i="47"/>
  <c r="J150" i="47"/>
  <c r="ED148" i="47"/>
  <c r="ED145" i="47"/>
  <c r="ED143" i="47"/>
  <c r="J316" i="44"/>
  <c r="DF309" i="44"/>
  <c r="J307" i="44"/>
  <c r="DF302" i="44"/>
  <c r="DF291" i="44"/>
  <c r="DF289" i="44"/>
  <c r="J281" i="44"/>
  <c r="J279" i="44"/>
  <c r="DF275" i="44"/>
  <c r="DF272" i="44"/>
  <c r="J268" i="44"/>
  <c r="J266" i="44"/>
  <c r="J264" i="44"/>
  <c r="J260" i="44"/>
  <c r="DF258" i="44"/>
  <c r="DF256" i="44"/>
  <c r="DF254" i="44"/>
  <c r="J250" i="44"/>
  <c r="J248" i="44"/>
  <c r="DF244" i="44"/>
  <c r="J235" i="44"/>
  <c r="DF227" i="44"/>
  <c r="DF225" i="44"/>
  <c r="J223" i="44"/>
  <c r="J221" i="44"/>
  <c r="DF215" i="44"/>
  <c r="J213" i="44"/>
  <c r="J211" i="44"/>
  <c r="J209" i="44"/>
  <c r="J207" i="44"/>
  <c r="J199" i="44"/>
  <c r="J197" i="44"/>
  <c r="J195" i="44"/>
  <c r="J193" i="44"/>
  <c r="J189" i="44"/>
  <c r="DF179" i="44"/>
  <c r="J177" i="44"/>
  <c r="J175" i="44"/>
  <c r="DF173" i="44"/>
  <c r="J171" i="44"/>
  <c r="DF169" i="44"/>
  <c r="J165" i="44"/>
  <c r="DF159" i="44"/>
  <c r="DF151" i="44"/>
  <c r="DF139" i="44"/>
  <c r="J137" i="44"/>
  <c r="J131" i="44"/>
  <c r="CP282" i="43"/>
  <c r="J276" i="43"/>
  <c r="J273" i="43"/>
  <c r="J269" i="43"/>
  <c r="J267" i="43"/>
  <c r="CP261" i="43"/>
  <c r="J259" i="43"/>
  <c r="CP257" i="43"/>
  <c r="J247" i="43"/>
  <c r="CP245" i="43"/>
  <c r="CP242" i="43"/>
  <c r="J238" i="43"/>
  <c r="CP224" i="43"/>
  <c r="CP222" i="43"/>
  <c r="J220" i="43"/>
  <c r="J218" i="43"/>
  <c r="J216" i="43"/>
  <c r="CP214" i="43"/>
  <c r="J208" i="43"/>
  <c r="J200" i="43"/>
  <c r="CP198" i="43"/>
  <c r="CP196" i="43"/>
  <c r="J192" i="43"/>
  <c r="J190" i="43"/>
  <c r="CP186" i="43"/>
  <c r="CP182" i="43"/>
  <c r="J180" i="43"/>
  <c r="J178" i="43"/>
  <c r="CP174" i="43"/>
  <c r="J172" i="43"/>
  <c r="CP170" i="43"/>
  <c r="CP168" i="43"/>
  <c r="CP162" i="43"/>
  <c r="J160" i="43"/>
  <c r="J156" i="43"/>
  <c r="CP154" i="43"/>
  <c r="CP150" i="43"/>
  <c r="CP144" i="43"/>
  <c r="CP138" i="43"/>
  <c r="J136" i="43"/>
  <c r="J132" i="43"/>
  <c r="J130" i="43"/>
  <c r="DV313" i="42"/>
  <c r="DV311" i="42"/>
  <c r="DV296" i="42"/>
  <c r="DV293" i="42"/>
  <c r="J285" i="42"/>
  <c r="DV277" i="42"/>
  <c r="DV272" i="42"/>
  <c r="DV270" i="42"/>
  <c r="DV268" i="42"/>
  <c r="J266" i="42"/>
  <c r="J264" i="42"/>
  <c r="J256" i="42"/>
  <c r="J254" i="42"/>
  <c r="J252" i="42"/>
  <c r="J250" i="42"/>
  <c r="DV241" i="42"/>
  <c r="J239" i="42"/>
  <c r="DV235" i="42"/>
  <c r="DV233" i="42"/>
  <c r="DV229" i="42"/>
  <c r="J227" i="42"/>
  <c r="DV225" i="42"/>
  <c r="J223" i="42"/>
  <c r="DV217" i="42"/>
  <c r="J215" i="42"/>
  <c r="DV211" i="42"/>
  <c r="J209" i="42"/>
  <c r="DV203" i="42"/>
  <c r="J201" i="42"/>
  <c r="J199" i="42"/>
  <c r="DV193" i="42"/>
  <c r="DV181" i="42"/>
  <c r="DV177" i="42"/>
  <c r="J175" i="42"/>
  <c r="J173" i="42"/>
  <c r="J169" i="42"/>
  <c r="DV167" i="42"/>
  <c r="DV161" i="42"/>
  <c r="DV159" i="42"/>
  <c r="J157" i="42"/>
  <c r="J143" i="42"/>
  <c r="DV137" i="42"/>
  <c r="DV135" i="42"/>
  <c r="DV131" i="42"/>
  <c r="DV129" i="42"/>
  <c r="J127" i="42"/>
  <c r="BK329" i="41"/>
  <c r="J329" i="41"/>
  <c r="BK327" i="41"/>
  <c r="J327" i="41"/>
  <c r="BK318" i="41"/>
  <c r="BK314" i="41"/>
  <c r="BK302" i="41"/>
  <c r="BK300" i="41"/>
  <c r="J294" i="41"/>
  <c r="J288" i="41"/>
  <c r="J281" i="41"/>
  <c r="BK279" i="41"/>
  <c r="J275" i="41"/>
  <c r="J273" i="41"/>
  <c r="J271" i="41"/>
  <c r="J269" i="41"/>
  <c r="BK267" i="41"/>
  <c r="J265" i="41"/>
  <c r="BK263" i="41"/>
  <c r="J257" i="41"/>
  <c r="J255" i="41"/>
  <c r="J253" i="41"/>
  <c r="BK246" i="41"/>
  <c r="BK244" i="41"/>
  <c r="J242" i="41"/>
  <c r="J238" i="41"/>
  <c r="J236" i="41"/>
  <c r="BK234" i="41"/>
  <c r="J232" i="41"/>
  <c r="J224" i="41"/>
  <c r="BK222" i="41"/>
  <c r="J220" i="41"/>
  <c r="BK216" i="41"/>
  <c r="J208" i="41"/>
  <c r="BK206" i="41"/>
  <c r="J202" i="41"/>
  <c r="J200" i="41"/>
  <c r="BK196" i="41"/>
  <c r="BK186" i="41"/>
  <c r="BK182" i="41"/>
  <c r="BK180" i="41"/>
  <c r="J178" i="41"/>
  <c r="J176" i="41"/>
  <c r="J168" i="41"/>
  <c r="J160" i="41"/>
  <c r="BK154" i="41"/>
  <c r="J152" i="41"/>
  <c r="BK150" i="41"/>
  <c r="J148" i="41"/>
  <c r="BK144" i="41"/>
  <c r="BK159" i="39"/>
  <c r="J157" i="39"/>
  <c r="J155" i="39"/>
  <c r="BK146" i="39"/>
  <c r="J141" i="39"/>
  <c r="BK139" i="39"/>
  <c r="BK135" i="39"/>
  <c r="J133" i="39"/>
  <c r="ER404" i="38"/>
  <c r="J404" i="38"/>
  <c r="ER400" i="38"/>
  <c r="J400" i="38"/>
  <c r="ER389" i="38"/>
  <c r="J384" i="38"/>
  <c r="ER374" i="38"/>
  <c r="ER369" i="38"/>
  <c r="J364" i="38"/>
  <c r="J358" i="38"/>
  <c r="ER346" i="38"/>
  <c r="ER335" i="38"/>
  <c r="J333" i="38"/>
  <c r="ER323" i="38"/>
  <c r="ER318" i="38"/>
  <c r="ER302" i="38"/>
  <c r="J298" i="38"/>
  <c r="ER286" i="38"/>
  <c r="J284" i="38"/>
  <c r="ER276" i="38"/>
  <c r="J229" i="38"/>
  <c r="J200" i="38"/>
  <c r="ER188" i="38"/>
  <c r="J175" i="38"/>
  <c r="J172" i="38"/>
  <c r="J138" i="38"/>
  <c r="ER136" i="38"/>
  <c r="FS322" i="37"/>
  <c r="J307" i="37"/>
  <c r="J303" i="37"/>
  <c r="FS301" i="37"/>
  <c r="FS295" i="37"/>
  <c r="J273" i="37"/>
  <c r="FS266" i="37"/>
  <c r="FS262" i="37"/>
  <c r="J260" i="37"/>
  <c r="FS241" i="37"/>
  <c r="J238" i="37"/>
  <c r="J233" i="37"/>
  <c r="J206" i="37"/>
  <c r="J202" i="37"/>
  <c r="J195" i="37"/>
  <c r="FS182" i="37"/>
  <c r="J173" i="37"/>
  <c r="J169" i="37"/>
  <c r="J163" i="37"/>
  <c r="J160" i="37"/>
  <c r="J156" i="37"/>
  <c r="J137" i="37"/>
  <c r="FS130" i="37"/>
  <c r="DW479" i="36"/>
  <c r="J463" i="36"/>
  <c r="DW459" i="36"/>
  <c r="J455" i="36"/>
  <c r="J427" i="36"/>
  <c r="J420" i="36"/>
  <c r="DW397" i="36"/>
  <c r="J394" i="36"/>
  <c r="DW385" i="36"/>
  <c r="J380" i="36"/>
  <c r="DW336" i="36"/>
  <c r="DW334" i="36"/>
  <c r="DW331" i="36"/>
  <c r="J264" i="36"/>
  <c r="DW257" i="36"/>
  <c r="J255" i="36"/>
  <c r="DW229" i="36"/>
  <c r="DW222" i="36"/>
  <c r="J217" i="36"/>
  <c r="DW214" i="36"/>
  <c r="J200" i="36"/>
  <c r="DW182" i="36"/>
  <c r="J172" i="36"/>
  <c r="DW164" i="36"/>
  <c r="J160" i="36"/>
  <c r="DW156" i="36"/>
  <c r="J149" i="36"/>
  <c r="DW139" i="36"/>
  <c r="J342" i="35"/>
  <c r="DB340" i="35"/>
  <c r="DB334" i="35"/>
  <c r="J299" i="35"/>
  <c r="DB293" i="35"/>
  <c r="J291" i="35"/>
  <c r="J283" i="35"/>
  <c r="J279" i="35"/>
  <c r="J271" i="35"/>
  <c r="J266" i="35"/>
  <c r="J264" i="35"/>
  <c r="DB260" i="35"/>
  <c r="DB255" i="35"/>
  <c r="J250" i="35"/>
  <c r="J245" i="35"/>
  <c r="J238" i="35"/>
  <c r="DB233" i="35"/>
  <c r="DB215" i="35"/>
  <c r="J197" i="35"/>
  <c r="DB182" i="35"/>
  <c r="DB160" i="35"/>
  <c r="DB130" i="35"/>
  <c r="J125" i="35"/>
  <c r="GQ346" i="34"/>
  <c r="J335" i="34"/>
  <c r="J324" i="34"/>
  <c r="J316" i="34"/>
  <c r="GQ305" i="34"/>
  <c r="GQ303" i="34"/>
  <c r="GQ299" i="34"/>
  <c r="J297" i="34"/>
  <c r="GQ287" i="34"/>
  <c r="GQ283" i="34"/>
  <c r="GQ270" i="34"/>
  <c r="GQ264" i="34"/>
  <c r="J259" i="34"/>
  <c r="GQ249" i="34"/>
  <c r="J242" i="34"/>
  <c r="GQ206" i="34"/>
  <c r="J201" i="34"/>
  <c r="J194" i="34"/>
  <c r="GQ189" i="34"/>
  <c r="J186" i="34"/>
  <c r="GQ173" i="34"/>
  <c r="J169" i="34"/>
  <c r="J160" i="34"/>
  <c r="GQ156" i="34"/>
  <c r="GQ141" i="34"/>
  <c r="J160" i="33"/>
  <c r="J158" i="33"/>
  <c r="DF156" i="33"/>
  <c r="J154" i="33"/>
  <c r="DF149" i="33"/>
  <c r="J140" i="33"/>
  <c r="DF138" i="33"/>
  <c r="J130" i="33"/>
  <c r="DF126" i="33"/>
  <c r="FB316" i="31"/>
  <c r="J316" i="31"/>
  <c r="FB312" i="31"/>
  <c r="FB301" i="31"/>
  <c r="FB296" i="31"/>
  <c r="FB291" i="31"/>
  <c r="J278" i="31"/>
  <c r="J273" i="31"/>
  <c r="J271" i="31"/>
  <c r="FB262" i="31"/>
  <c r="J257" i="31"/>
  <c r="J254" i="31"/>
  <c r="FB252" i="31"/>
  <c r="FB248" i="31"/>
  <c r="J244" i="31"/>
  <c r="FB236" i="31"/>
  <c r="FB234" i="31"/>
  <c r="J230" i="31"/>
  <c r="J222" i="31"/>
  <c r="J218" i="31"/>
  <c r="FB214" i="31"/>
  <c r="J197" i="31"/>
  <c r="J193" i="31"/>
  <c r="J183" i="31"/>
  <c r="FB157" i="31"/>
  <c r="J137" i="31"/>
  <c r="J128" i="31"/>
  <c r="J172" i="30"/>
  <c r="CZ170" i="30"/>
  <c r="J168" i="30"/>
  <c r="J166" i="30"/>
  <c r="J155" i="30"/>
  <c r="CZ153" i="30"/>
  <c r="J145" i="30"/>
  <c r="J140" i="30"/>
  <c r="CZ130" i="30"/>
  <c r="CZ128" i="30"/>
  <c r="J126" i="30"/>
  <c r="J303" i="28"/>
  <c r="J295" i="28"/>
  <c r="J290" i="28"/>
  <c r="EL272" i="28"/>
  <c r="EL263" i="28"/>
  <c r="EL261" i="28"/>
  <c r="EL256" i="28"/>
  <c r="EL251" i="28"/>
  <c r="J234" i="28"/>
  <c r="J224" i="28"/>
  <c r="J208" i="28"/>
  <c r="J187" i="28"/>
  <c r="EL184" i="28"/>
  <c r="EL173" i="28"/>
  <c r="J170" i="28"/>
  <c r="J163" i="28"/>
  <c r="J155" i="28"/>
  <c r="EL146" i="28"/>
  <c r="EL142" i="28"/>
  <c r="EL128" i="28"/>
  <c r="J160" i="27"/>
  <c r="J158" i="27"/>
  <c r="DV156" i="27"/>
  <c r="DV151" i="27"/>
  <c r="J149" i="27"/>
  <c r="DV147" i="27"/>
  <c r="J145" i="27"/>
  <c r="DV140" i="27"/>
  <c r="DV134" i="27"/>
  <c r="J126" i="27"/>
  <c r="J123" i="27"/>
  <c r="EL304" i="25"/>
  <c r="J299" i="25"/>
  <c r="EL293" i="25"/>
  <c r="EL288" i="25"/>
  <c r="J283" i="25"/>
  <c r="EL272" i="25"/>
  <c r="EL270" i="25"/>
  <c r="J265" i="25"/>
  <c r="J263" i="25"/>
  <c r="EL261" i="25"/>
  <c r="EL244" i="25"/>
  <c r="EL236" i="25"/>
  <c r="EL222" i="25"/>
  <c r="EL210" i="25"/>
  <c r="J206" i="25"/>
  <c r="EL202" i="25"/>
  <c r="J192" i="25"/>
  <c r="J189" i="25"/>
  <c r="J182" i="25"/>
  <c r="J171" i="25"/>
  <c r="J168" i="25"/>
  <c r="J155" i="25"/>
  <c r="J147" i="25"/>
  <c r="EL140" i="25"/>
  <c r="EL135" i="25"/>
  <c r="EL130" i="25"/>
  <c r="EL128" i="25"/>
  <c r="BK181" i="24"/>
  <c r="BK179" i="24"/>
  <c r="BK172" i="24"/>
  <c r="BK168" i="24"/>
  <c r="BK166" i="24"/>
  <c r="BK162" i="24"/>
  <c r="J160" i="24"/>
  <c r="BK158" i="24"/>
  <c r="J156" i="24"/>
  <c r="J145" i="24"/>
  <c r="BK143" i="24"/>
  <c r="J139" i="24"/>
  <c r="FD315" i="22"/>
  <c r="FD313" i="22"/>
  <c r="J302" i="22"/>
  <c r="FD284" i="22"/>
  <c r="FD279" i="22"/>
  <c r="J277" i="22"/>
  <c r="FD275" i="22"/>
  <c r="J273" i="22"/>
  <c r="FD254" i="22"/>
  <c r="J242" i="22"/>
  <c r="FD218" i="22"/>
  <c r="FD214" i="22"/>
  <c r="FD198" i="22"/>
  <c r="J195" i="22"/>
  <c r="FD191" i="22"/>
  <c r="FD188" i="22"/>
  <c r="FD184" i="22"/>
  <c r="FD174" i="22"/>
  <c r="J167" i="22"/>
  <c r="J165" i="22"/>
  <c r="J161" i="22"/>
  <c r="J159" i="22"/>
  <c r="FD155" i="22"/>
  <c r="FD144" i="22"/>
  <c r="FD140" i="22"/>
  <c r="FD130" i="22"/>
  <c r="DV374" i="21"/>
  <c r="J368" i="21"/>
  <c r="DV363" i="21"/>
  <c r="J358" i="21"/>
  <c r="J354" i="21"/>
  <c r="DV343" i="21"/>
  <c r="J341" i="21"/>
  <c r="J337" i="21"/>
  <c r="J328" i="21"/>
  <c r="DV326" i="21"/>
  <c r="J321" i="21"/>
  <c r="J319" i="21"/>
  <c r="J317" i="21"/>
  <c r="J308" i="21"/>
  <c r="DV304" i="21"/>
  <c r="J298" i="21"/>
  <c r="DV296" i="21"/>
  <c r="J282" i="21"/>
  <c r="DV259" i="21"/>
  <c r="J251" i="21"/>
  <c r="DV248" i="21"/>
  <c r="J243" i="21"/>
  <c r="J231" i="21"/>
  <c r="J215" i="21"/>
  <c r="DV206" i="21"/>
  <c r="DV199" i="21"/>
  <c r="DV190" i="21"/>
  <c r="J182" i="21"/>
  <c r="J172" i="21"/>
  <c r="J140" i="21"/>
  <c r="DV126" i="21"/>
  <c r="DF343" i="20"/>
  <c r="J341" i="20"/>
  <c r="DF325" i="20"/>
  <c r="J323" i="20"/>
  <c r="DF321" i="20"/>
  <c r="DF317" i="20"/>
  <c r="DF312" i="20"/>
  <c r="DF305" i="20"/>
  <c r="J303" i="20"/>
  <c r="J282" i="20"/>
  <c r="DF280" i="20"/>
  <c r="J278" i="20"/>
  <c r="J265" i="20"/>
  <c r="DF260" i="20"/>
  <c r="J255" i="20"/>
  <c r="DF245" i="20"/>
  <c r="J243" i="20"/>
  <c r="J240" i="20"/>
  <c r="J223" i="20"/>
  <c r="DF195" i="20"/>
  <c r="DF182" i="20"/>
  <c r="J168" i="20"/>
  <c r="DF153" i="20"/>
  <c r="J143" i="20"/>
  <c r="DF137" i="20"/>
  <c r="DF130" i="20"/>
  <c r="DF126" i="20"/>
  <c r="DF387" i="19"/>
  <c r="DF384" i="19"/>
  <c r="J376" i="19"/>
  <c r="J371" i="19"/>
  <c r="DF353" i="19"/>
  <c r="J351" i="19"/>
  <c r="DF345" i="19"/>
  <c r="J343" i="19"/>
  <c r="J341" i="19"/>
  <c r="J339" i="19"/>
  <c r="J330" i="19"/>
  <c r="J321" i="19"/>
  <c r="DF297" i="19"/>
  <c r="DF295" i="19"/>
  <c r="DF293" i="19"/>
  <c r="J283" i="19"/>
  <c r="J274" i="19"/>
  <c r="DF269" i="19"/>
  <c r="J254" i="19"/>
  <c r="J252" i="19"/>
  <c r="DF200" i="19"/>
  <c r="DF183" i="19"/>
  <c r="J173" i="19"/>
  <c r="J147" i="19"/>
  <c r="J141" i="19"/>
  <c r="J127" i="19"/>
  <c r="J432" i="18"/>
  <c r="J428" i="18"/>
  <c r="J423" i="18"/>
  <c r="EF417" i="18"/>
  <c r="J412" i="18"/>
  <c r="J406" i="18"/>
  <c r="J401" i="18"/>
  <c r="J398" i="18"/>
  <c r="J392" i="18"/>
  <c r="EF388" i="18"/>
  <c r="J367" i="18"/>
  <c r="J353" i="18"/>
  <c r="J347" i="18"/>
  <c r="J345" i="18"/>
  <c r="J343" i="18"/>
  <c r="EF336" i="18"/>
  <c r="J320" i="18"/>
  <c r="EF316" i="18"/>
  <c r="EF312" i="18"/>
  <c r="EF308" i="18"/>
  <c r="EF302" i="18"/>
  <c r="EF300" i="18"/>
  <c r="J291" i="18"/>
  <c r="J278" i="18"/>
  <c r="EF274" i="18"/>
  <c r="J272" i="18"/>
  <c r="EF248" i="18"/>
  <c r="J244" i="18"/>
  <c r="EF241" i="18"/>
  <c r="EF234" i="18"/>
  <c r="EF193" i="18"/>
  <c r="EF191" i="18"/>
  <c r="J184" i="18"/>
  <c r="J176" i="18"/>
  <c r="EF161" i="18"/>
  <c r="EF156" i="18"/>
  <c r="J152" i="18"/>
  <c r="J148" i="18"/>
  <c r="J140" i="18"/>
  <c r="EF130" i="18"/>
  <c r="EF126" i="18"/>
  <c r="EZ378" i="17"/>
  <c r="J378" i="17"/>
  <c r="EZ371" i="17"/>
  <c r="EZ369" i="17"/>
  <c r="EZ363" i="17"/>
  <c r="EZ358" i="17"/>
  <c r="EZ344" i="17"/>
  <c r="EZ342" i="17"/>
  <c r="J329" i="17"/>
  <c r="EZ323" i="17"/>
  <c r="EZ321" i="17"/>
  <c r="J317" i="17"/>
  <c r="EZ315" i="17"/>
  <c r="J315" i="17"/>
  <c r="J313" i="17"/>
  <c r="J309" i="17"/>
  <c r="EZ306" i="17"/>
  <c r="J301" i="17"/>
  <c r="EZ298" i="17"/>
  <c r="J296" i="17"/>
  <c r="J294" i="17"/>
  <c r="EZ290" i="17"/>
  <c r="EZ286" i="17"/>
  <c r="J280" i="17"/>
  <c r="J278" i="17"/>
  <c r="EZ273" i="17"/>
  <c r="EZ261" i="17"/>
  <c r="EZ255" i="17"/>
  <c r="EZ249" i="17"/>
  <c r="J244" i="17"/>
  <c r="EZ234" i="17"/>
  <c r="EZ230" i="17"/>
  <c r="J222" i="17"/>
  <c r="J218" i="17"/>
  <c r="J199" i="17"/>
  <c r="J192" i="17"/>
  <c r="EZ177" i="17"/>
  <c r="EZ169" i="17"/>
  <c r="EZ160" i="17"/>
  <c r="EZ156" i="17"/>
  <c r="J154" i="17"/>
  <c r="EZ127" i="17"/>
  <c r="J125" i="17"/>
  <c r="EE522" i="16"/>
  <c r="J522" i="16"/>
  <c r="EE518" i="16"/>
  <c r="EE507" i="16"/>
  <c r="J496" i="16"/>
  <c r="J491" i="16"/>
  <c r="EE482" i="16"/>
  <c r="J478" i="16"/>
  <c r="EE474" i="16"/>
  <c r="J469" i="16"/>
  <c r="J465" i="16"/>
  <c r="EE461" i="16"/>
  <c r="J459" i="16"/>
  <c r="EE456" i="16"/>
  <c r="J452" i="16"/>
  <c r="EE450" i="16"/>
  <c r="EE444" i="16"/>
  <c r="J440" i="16"/>
  <c r="EE438" i="16"/>
  <c r="J436" i="16"/>
  <c r="EE432" i="16"/>
  <c r="J430" i="16"/>
  <c r="EE422" i="16"/>
  <c r="J416" i="16"/>
  <c r="J412" i="16"/>
  <c r="J403" i="16"/>
  <c r="J398" i="16"/>
  <c r="J395" i="16"/>
  <c r="J392" i="16"/>
  <c r="J389" i="16"/>
  <c r="J387" i="16"/>
  <c r="J385" i="16"/>
  <c r="J377" i="16"/>
  <c r="J369" i="16"/>
  <c r="J357" i="16"/>
  <c r="J347" i="16"/>
  <c r="J338" i="16"/>
  <c r="EE323" i="16"/>
  <c r="J319" i="16"/>
  <c r="EE315" i="16"/>
  <c r="J313" i="16"/>
  <c r="J307" i="16"/>
  <c r="EE299" i="16"/>
  <c r="J289" i="16"/>
  <c r="J284" i="16"/>
  <c r="EE280" i="16"/>
  <c r="EE277" i="16"/>
  <c r="EE243" i="16"/>
  <c r="EE230" i="16"/>
  <c r="EE226" i="16"/>
  <c r="EE221" i="16"/>
  <c r="J201" i="16"/>
  <c r="EE180" i="16"/>
  <c r="J169" i="16"/>
  <c r="EE162" i="16"/>
  <c r="J147" i="16"/>
  <c r="EE133" i="16"/>
  <c r="EE131" i="16"/>
  <c r="J129" i="16"/>
  <c r="DV341" i="15"/>
  <c r="J327" i="15"/>
  <c r="DV325" i="15"/>
  <c r="DV314" i="15"/>
  <c r="J312" i="15"/>
  <c r="DV307" i="15"/>
  <c r="J305" i="15"/>
  <c r="DV294" i="15"/>
  <c r="J290" i="15"/>
  <c r="J284" i="15"/>
  <c r="DV282" i="15"/>
  <c r="J255" i="15"/>
  <c r="DV240" i="15"/>
  <c r="DV235" i="15"/>
  <c r="J223" i="15"/>
  <c r="J177" i="15"/>
  <c r="J175" i="15"/>
  <c r="J165" i="15"/>
  <c r="J160" i="15"/>
  <c r="J155" i="15"/>
  <c r="J152" i="15"/>
  <c r="J142" i="15"/>
  <c r="J339" i="14"/>
  <c r="DD333" i="14"/>
  <c r="J321" i="14"/>
  <c r="J319" i="14"/>
  <c r="J315" i="14"/>
  <c r="DD305" i="14"/>
  <c r="DD303" i="14"/>
  <c r="DD301" i="14"/>
  <c r="J292" i="14"/>
  <c r="J278" i="14"/>
  <c r="J276" i="14"/>
  <c r="J270" i="14"/>
  <c r="DD265" i="14"/>
  <c r="DD260" i="14"/>
  <c r="J251" i="14"/>
  <c r="J245" i="14"/>
  <c r="DD181" i="14"/>
  <c r="DD175" i="14"/>
  <c r="J167" i="14"/>
  <c r="J165" i="14"/>
  <c r="DD160" i="14"/>
  <c r="DD155" i="14"/>
  <c r="J152" i="14"/>
  <c r="DD142" i="14"/>
  <c r="J136" i="14"/>
  <c r="J127" i="14"/>
  <c r="ES350" i="13"/>
  <c r="J350" i="13"/>
  <c r="ES346" i="13"/>
  <c r="J343" i="13"/>
  <c r="J341" i="13"/>
  <c r="ES327" i="13"/>
  <c r="ES325" i="13"/>
  <c r="J323" i="13"/>
  <c r="J317" i="13"/>
  <c r="J314" i="13"/>
  <c r="J305" i="13"/>
  <c r="ES292" i="13"/>
  <c r="J288" i="13"/>
  <c r="J282" i="13"/>
  <c r="J270" i="13"/>
  <c r="J265" i="13"/>
  <c r="ES260" i="13"/>
  <c r="J255" i="13"/>
  <c r="J251" i="13"/>
  <c r="J245" i="13"/>
  <c r="J235" i="13"/>
  <c r="ES223" i="13"/>
  <c r="ES208" i="13"/>
  <c r="ES194" i="13"/>
  <c r="ES184" i="13"/>
  <c r="ES181" i="13"/>
  <c r="ES175" i="13"/>
  <c r="J167" i="13"/>
  <c r="ES160" i="13"/>
  <c r="ES136" i="13"/>
  <c r="J351" i="12"/>
  <c r="J341" i="12"/>
  <c r="CM331" i="12"/>
  <c r="CM328" i="12"/>
  <c r="CM306" i="12"/>
  <c r="J302" i="12"/>
  <c r="CM296" i="12"/>
  <c r="J290" i="12"/>
  <c r="CM271" i="12"/>
  <c r="J266" i="12"/>
  <c r="J249" i="12"/>
  <c r="J246" i="12"/>
  <c r="CM241" i="12"/>
  <c r="J213" i="12"/>
  <c r="J170" i="12"/>
  <c r="CM168" i="12"/>
  <c r="J158" i="12"/>
  <c r="J155" i="12"/>
  <c r="CM126" i="12"/>
  <c r="J124" i="12"/>
  <c r="FB345" i="11"/>
  <c r="FB340" i="11"/>
  <c r="FB329" i="11"/>
  <c r="J326" i="11"/>
  <c r="J324" i="11"/>
  <c r="J320" i="11"/>
  <c r="J313" i="11"/>
  <c r="J306" i="11"/>
  <c r="FB304" i="11"/>
  <c r="J291" i="11"/>
  <c r="FB279" i="11"/>
  <c r="J275" i="11"/>
  <c r="J269" i="11"/>
  <c r="J259" i="11"/>
  <c r="FB254" i="11"/>
  <c r="J250" i="11"/>
  <c r="FB244" i="11"/>
  <c r="J239" i="11"/>
  <c r="FB222" i="11"/>
  <c r="FB193" i="11"/>
  <c r="FB180" i="11"/>
  <c r="J176" i="11"/>
  <c r="FB174" i="11"/>
  <c r="FB159" i="11"/>
  <c r="J154" i="11"/>
  <c r="FB135" i="11"/>
  <c r="J128" i="11"/>
  <c r="FB124" i="11"/>
  <c r="J343" i="10"/>
  <c r="J341" i="10"/>
  <c r="J335" i="10"/>
  <c r="J327" i="10"/>
  <c r="J321" i="10"/>
  <c r="J317" i="10"/>
  <c r="DV312" i="10"/>
  <c r="DV307" i="10"/>
  <c r="DV305" i="10"/>
  <c r="DV288" i="10"/>
  <c r="DV278" i="10"/>
  <c r="J276" i="10"/>
  <c r="DV255" i="10"/>
  <c r="DV251" i="10"/>
  <c r="J245" i="10"/>
  <c r="DV235" i="10"/>
  <c r="J223" i="10"/>
  <c r="J208" i="10"/>
  <c r="J199" i="10"/>
  <c r="DV194" i="10"/>
  <c r="DV167" i="10"/>
  <c r="J165" i="10"/>
  <c r="J160" i="10"/>
  <c r="DV142" i="10"/>
  <c r="J136" i="10"/>
  <c r="DV127" i="10"/>
  <c r="J125" i="10"/>
  <c r="ED389" i="9"/>
  <c r="ED385" i="9"/>
  <c r="J382" i="9"/>
  <c r="ED380" i="9"/>
  <c r="J374" i="9"/>
  <c r="J369" i="9"/>
  <c r="ED364" i="9"/>
  <c r="J356" i="9"/>
  <c r="ED353" i="9"/>
  <c r="J351" i="9"/>
  <c r="J349" i="9"/>
  <c r="J341" i="9"/>
  <c r="ED339" i="9"/>
  <c r="ED330" i="9"/>
  <c r="ED321" i="9"/>
  <c r="ED319" i="9"/>
  <c r="ED304" i="9"/>
  <c r="ED298" i="9"/>
  <c r="J296" i="9"/>
  <c r="ED294" i="9"/>
  <c r="J292" i="9"/>
  <c r="J282" i="9"/>
  <c r="ED268" i="9"/>
  <c r="J253" i="9"/>
  <c r="J251" i="9"/>
  <c r="J248" i="9"/>
  <c r="J243" i="9"/>
  <c r="ED231" i="9"/>
  <c r="ED206" i="9"/>
  <c r="J189" i="9"/>
  <c r="ED186" i="9"/>
  <c r="ED180" i="9"/>
  <c r="J172" i="9"/>
  <c r="ED170" i="9"/>
  <c r="J165" i="9"/>
  <c r="ED128" i="9"/>
  <c r="J126" i="9"/>
  <c r="EL328" i="8"/>
  <c r="J322" i="8"/>
  <c r="J314" i="8"/>
  <c r="EL312" i="8"/>
  <c r="J310" i="8"/>
  <c r="EL289" i="8"/>
  <c r="EL287" i="8"/>
  <c r="EL283" i="8"/>
  <c r="J279" i="8"/>
  <c r="J273" i="8"/>
  <c r="J244" i="8"/>
  <c r="J235" i="8"/>
  <c r="EL223" i="8"/>
  <c r="J208" i="8"/>
  <c r="EL193" i="8"/>
  <c r="J188" i="8"/>
  <c r="J186" i="8"/>
  <c r="J176" i="8"/>
  <c r="EL173" i="8"/>
  <c r="EL164" i="8"/>
  <c r="J156" i="8"/>
  <c r="J151" i="8"/>
  <c r="J137" i="8"/>
  <c r="J127" i="8"/>
  <c r="J427" i="7"/>
  <c r="J413" i="7"/>
  <c r="J407" i="7"/>
  <c r="J405" i="7"/>
  <c r="J403" i="7"/>
  <c r="FO401" i="7"/>
  <c r="FO397" i="7"/>
  <c r="J393" i="7"/>
  <c r="J391" i="7"/>
  <c r="J379" i="7"/>
  <c r="J377" i="7"/>
  <c r="FO373" i="7"/>
  <c r="FO360" i="7"/>
  <c r="J358" i="7"/>
  <c r="J350" i="7"/>
  <c r="J344" i="7"/>
  <c r="FO331" i="7"/>
  <c r="J322" i="7"/>
  <c r="J320" i="7"/>
  <c r="FO316" i="7"/>
  <c r="FO314" i="7"/>
  <c r="FO281" i="7"/>
  <c r="J278" i="7"/>
  <c r="FO273" i="7"/>
  <c r="FO260" i="7"/>
  <c r="J244" i="7"/>
  <c r="J235" i="7"/>
  <c r="FO197" i="7"/>
  <c r="FO192" i="7"/>
  <c r="J187" i="7"/>
  <c r="FO184" i="7"/>
  <c r="FO161" i="7"/>
  <c r="FO157" i="7"/>
  <c r="FO152" i="7"/>
  <c r="FO148" i="7"/>
  <c r="FO144" i="7"/>
  <c r="J138" i="7"/>
  <c r="J125" i="7"/>
  <c r="DZ422" i="6"/>
  <c r="J422" i="6"/>
  <c r="DZ418" i="6"/>
  <c r="J418" i="6"/>
  <c r="J415" i="6"/>
  <c r="J413" i="6"/>
  <c r="DZ407" i="6"/>
  <c r="DZ402" i="6"/>
  <c r="J396" i="6"/>
  <c r="DZ382" i="6"/>
  <c r="J378" i="6"/>
  <c r="DZ374" i="6"/>
  <c r="DZ370" i="6"/>
  <c r="J368" i="6"/>
  <c r="DZ366" i="6"/>
  <c r="DZ364" i="6"/>
  <c r="J360" i="6"/>
  <c r="J358" i="6"/>
  <c r="J356" i="6"/>
  <c r="J350" i="6"/>
  <c r="DZ348" i="6"/>
  <c r="J340" i="6"/>
  <c r="J338" i="6"/>
  <c r="J334" i="6"/>
  <c r="DZ331" i="6"/>
  <c r="J323" i="6"/>
  <c r="DZ315" i="6"/>
  <c r="J311" i="6"/>
  <c r="J305" i="6"/>
  <c r="J303" i="6"/>
  <c r="DZ296" i="6"/>
  <c r="J294" i="6"/>
  <c r="J292" i="6"/>
  <c r="DZ283" i="6"/>
  <c r="DZ281" i="6"/>
  <c r="J273" i="6"/>
  <c r="DZ269" i="6"/>
  <c r="DZ265" i="6"/>
  <c r="DZ252" i="6"/>
  <c r="DZ247" i="6"/>
  <c r="J243" i="6"/>
  <c r="DZ235" i="6"/>
  <c r="J231" i="6"/>
  <c r="DZ215" i="6"/>
  <c r="J211" i="6"/>
  <c r="J203" i="6"/>
  <c r="DZ194" i="6"/>
  <c r="DZ187" i="6"/>
  <c r="J182" i="6"/>
  <c r="DZ169" i="6"/>
  <c r="J165" i="6"/>
  <c r="DZ161" i="6"/>
  <c r="DZ159" i="6"/>
  <c r="DZ148" i="6"/>
  <c r="J142" i="6"/>
  <c r="DZ133" i="6"/>
  <c r="DZ131" i="6"/>
  <c r="J129" i="6"/>
  <c r="EA379" i="5"/>
  <c r="J379" i="5"/>
  <c r="EA374" i="5"/>
  <c r="J374" i="5"/>
  <c r="J370" i="5"/>
  <c r="J368" i="5"/>
  <c r="J351" i="5"/>
  <c r="J341" i="5"/>
  <c r="J337" i="5"/>
  <c r="EA329" i="5"/>
  <c r="J323" i="5"/>
  <c r="J321" i="5"/>
  <c r="J319" i="5"/>
  <c r="J310" i="5"/>
  <c r="J294" i="5"/>
  <c r="J284" i="5"/>
  <c r="EA282" i="5"/>
  <c r="EA273" i="5"/>
  <c r="J271" i="5"/>
  <c r="EA265" i="5"/>
  <c r="J263" i="5"/>
  <c r="EA261" i="5"/>
  <c r="J259" i="5"/>
  <c r="J250" i="5"/>
  <c r="EA236" i="5"/>
  <c r="J224" i="5"/>
  <c r="J198" i="5"/>
  <c r="EA189" i="5"/>
  <c r="EA187" i="5"/>
  <c r="J182" i="5"/>
  <c r="J177" i="5"/>
  <c r="EA174" i="5"/>
  <c r="J165" i="5"/>
  <c r="J152" i="5"/>
  <c r="J144" i="5"/>
  <c r="EA128" i="5"/>
  <c r="J388" i="4"/>
  <c r="FD386" i="4"/>
  <c r="FD364" i="4"/>
  <c r="FD361" i="4"/>
  <c r="FD355" i="4"/>
  <c r="J347" i="4"/>
  <c r="J335" i="4"/>
  <c r="FD323" i="4"/>
  <c r="J321" i="4"/>
  <c r="FD317" i="4"/>
  <c r="FD314" i="4"/>
  <c r="J306" i="4"/>
  <c r="J303" i="4"/>
  <c r="FD301" i="4"/>
  <c r="FD281" i="4"/>
  <c r="J279" i="4"/>
  <c r="FD274" i="4"/>
  <c r="FD272" i="4"/>
  <c r="FD270" i="4"/>
  <c r="FD262" i="4"/>
  <c r="J260" i="4"/>
  <c r="FD251" i="4"/>
  <c r="J244" i="4"/>
  <c r="FD234" i="4"/>
  <c r="FD231" i="4"/>
  <c r="FD224" i="4"/>
  <c r="FD220" i="4"/>
  <c r="FD205" i="4"/>
  <c r="J201" i="4"/>
  <c r="J193" i="4"/>
  <c r="J170" i="4"/>
  <c r="J157" i="4"/>
  <c r="J155" i="4"/>
  <c r="FD152" i="4"/>
  <c r="FD148" i="4"/>
  <c r="FD129" i="4"/>
  <c r="FD125" i="4"/>
  <c r="DN400" i="3"/>
  <c r="DN394" i="3"/>
  <c r="J389" i="3"/>
  <c r="DN383" i="3"/>
  <c r="DN375" i="3"/>
  <c r="J373" i="3"/>
  <c r="J365" i="3"/>
  <c r="J361" i="3"/>
  <c r="DN359" i="3"/>
  <c r="DN355" i="3"/>
  <c r="J353" i="3"/>
  <c r="DN351" i="3"/>
  <c r="J349" i="3"/>
  <c r="J345" i="3"/>
  <c r="J343" i="3"/>
  <c r="DN337" i="3"/>
  <c r="DN335" i="3"/>
  <c r="DN331" i="3"/>
  <c r="DN328" i="3"/>
  <c r="J323" i="3"/>
  <c r="DN317" i="3"/>
  <c r="J315" i="3"/>
  <c r="J313" i="3"/>
  <c r="J305" i="3"/>
  <c r="J295" i="3"/>
  <c r="J293" i="3"/>
  <c r="J286" i="3"/>
  <c r="J284" i="3"/>
  <c r="J276" i="3"/>
  <c r="DN270" i="3"/>
  <c r="DN259" i="3"/>
  <c r="DN246" i="3"/>
  <c r="J242" i="3"/>
  <c r="DN228" i="3"/>
  <c r="DN213" i="3"/>
  <c r="J210" i="3"/>
  <c r="DN202" i="3"/>
  <c r="J199" i="3"/>
  <c r="J193" i="3"/>
  <c r="DN169" i="3"/>
  <c r="J165" i="3"/>
  <c r="DN159" i="3"/>
  <c r="J156" i="3"/>
  <c r="DN152" i="3"/>
  <c r="J148" i="3"/>
  <c r="J142" i="3"/>
  <c r="J408" i="2"/>
  <c r="J403" i="2"/>
  <c r="EU392" i="2"/>
  <c r="EU385" i="2"/>
  <c r="EU383" i="2"/>
  <c r="J366" i="2"/>
  <c r="EU364" i="2"/>
  <c r="EU362" i="2"/>
  <c r="EU360" i="2"/>
  <c r="EU358" i="2"/>
  <c r="J354" i="2"/>
  <c r="J346" i="2"/>
  <c r="EU338" i="2"/>
  <c r="EU323" i="2"/>
  <c r="EU319" i="2"/>
  <c r="J315" i="2"/>
  <c r="J307" i="2"/>
  <c r="EU288" i="2"/>
  <c r="J282" i="2"/>
  <c r="J267" i="2"/>
  <c r="J248" i="2"/>
  <c r="J217" i="2"/>
  <c r="J210" i="2"/>
  <c r="J206" i="2"/>
  <c r="J199" i="2"/>
  <c r="J194" i="2"/>
  <c r="EU189" i="2"/>
  <c r="EU163" i="2"/>
  <c r="J161" i="2"/>
  <c r="J154" i="2"/>
  <c r="J151" i="2"/>
  <c r="EU147" i="2"/>
  <c r="J133" i="2"/>
  <c r="J131" i="2"/>
  <c r="EU129" i="2"/>
  <c r="AZ147" i="1"/>
  <c r="AZ145" i="1"/>
  <c r="AZ143" i="1"/>
  <c r="AZ113" i="1"/>
  <c r="J212" i="47"/>
  <c r="ED209" i="47"/>
  <c r="ED203" i="47"/>
  <c r="J200" i="47"/>
  <c r="ED193" i="47"/>
  <c r="ED189" i="47"/>
  <c r="ED187" i="47"/>
  <c r="J173" i="47"/>
  <c r="J161" i="47"/>
  <c r="J156" i="47"/>
  <c r="ED150" i="47"/>
  <c r="ED137" i="47"/>
  <c r="BK129" i="45"/>
  <c r="DF320" i="44"/>
  <c r="J320" i="44"/>
  <c r="DF318" i="44"/>
  <c r="J318" i="44"/>
  <c r="DF313" i="44"/>
  <c r="DF311" i="44"/>
  <c r="J298" i="44"/>
  <c r="DF296" i="44"/>
  <c r="DF293" i="44"/>
  <c r="J287" i="44"/>
  <c r="DF281" i="44"/>
  <c r="DF279" i="44"/>
  <c r="DF277" i="44"/>
  <c r="DF270" i="44"/>
  <c r="DF262" i="44"/>
  <c r="J258" i="44"/>
  <c r="J254" i="44"/>
  <c r="J241" i="44"/>
  <c r="DF239" i="44"/>
  <c r="J237" i="44"/>
  <c r="DF235" i="44"/>
  <c r="J233" i="44"/>
  <c r="J225" i="44"/>
  <c r="DF223" i="44"/>
  <c r="DF219" i="44"/>
  <c r="J217" i="44"/>
  <c r="DF201" i="44"/>
  <c r="DF197" i="44"/>
  <c r="J187" i="44"/>
  <c r="DF183" i="44"/>
  <c r="J179" i="44"/>
  <c r="DF177" i="44"/>
  <c r="DF171" i="44"/>
  <c r="J167" i="44"/>
  <c r="DF165" i="44"/>
  <c r="DF163" i="44"/>
  <c r="DF161" i="44"/>
  <c r="J159" i="44"/>
  <c r="DF155" i="44"/>
  <c r="DF153" i="44"/>
  <c r="DF149" i="44"/>
  <c r="J147" i="44"/>
  <c r="DF145" i="44"/>
  <c r="J145" i="44"/>
  <c r="J143" i="44"/>
  <c r="DF141" i="44"/>
  <c r="DF135" i="44"/>
  <c r="J133" i="44"/>
  <c r="J129" i="44"/>
  <c r="DF127" i="44"/>
  <c r="J310" i="43"/>
  <c r="CP308" i="43"/>
  <c r="CP305" i="43"/>
  <c r="CP301" i="43"/>
  <c r="CP299" i="43"/>
  <c r="CP297" i="43"/>
  <c r="CP292" i="43"/>
  <c r="CP290" i="43"/>
  <c r="CP284" i="43"/>
  <c r="J271" i="43"/>
  <c r="CP269" i="43"/>
  <c r="CP267" i="43"/>
  <c r="J265" i="43"/>
  <c r="J261" i="43"/>
  <c r="CP259" i="43"/>
  <c r="CP240" i="43"/>
  <c r="CP234" i="43"/>
  <c r="CP230" i="43"/>
  <c r="J228" i="43"/>
  <c r="J222" i="43"/>
  <c r="J210" i="43"/>
  <c r="J206" i="43"/>
  <c r="J202" i="43"/>
  <c r="CP192" i="43"/>
  <c r="J188" i="43"/>
  <c r="CP184" i="43"/>
  <c r="J182" i="43"/>
  <c r="CP176" i="43"/>
  <c r="J170" i="43"/>
  <c r="J168" i="43"/>
  <c r="CP166" i="43"/>
  <c r="J164" i="43"/>
  <c r="CP152" i="43"/>
  <c r="J150" i="43"/>
  <c r="J148" i="43"/>
  <c r="J142" i="43"/>
  <c r="J140" i="43"/>
  <c r="CP136" i="43"/>
  <c r="J316" i="42"/>
  <c r="J311" i="42"/>
  <c r="J309" i="42"/>
  <c r="J296" i="42"/>
  <c r="J293" i="42"/>
  <c r="J291" i="42"/>
  <c r="DV287" i="42"/>
  <c r="DV283" i="42"/>
  <c r="J281" i="42"/>
  <c r="J279" i="42"/>
  <c r="J277" i="42"/>
  <c r="DV275" i="42"/>
  <c r="DV266" i="42"/>
  <c r="DV264" i="42"/>
  <c r="J262" i="42"/>
  <c r="J258" i="42"/>
  <c r="DV252" i="42"/>
  <c r="DV246" i="42"/>
  <c r="DV244" i="42"/>
  <c r="DV237" i="42"/>
  <c r="J229" i="42"/>
  <c r="DV223" i="42"/>
  <c r="J221" i="42"/>
  <c r="DV215" i="42"/>
  <c r="DV213" i="42"/>
  <c r="DV209" i="42"/>
  <c r="DV207" i="42"/>
  <c r="J205" i="42"/>
  <c r="DV199" i="42"/>
  <c r="DV197" i="42"/>
  <c r="J195" i="42"/>
  <c r="J193" i="42"/>
  <c r="J191" i="42"/>
  <c r="J179" i="42"/>
  <c r="DV171" i="42"/>
  <c r="J167" i="42"/>
  <c r="DV165" i="42"/>
  <c r="DV163" i="42"/>
  <c r="J161" i="42"/>
  <c r="DV155" i="42"/>
  <c r="J153" i="42"/>
  <c r="DV151" i="42"/>
  <c r="J149" i="42"/>
  <c r="J147" i="42"/>
  <c r="J145" i="42"/>
  <c r="DV143" i="42"/>
  <c r="J141" i="42"/>
  <c r="DV139" i="42"/>
  <c r="J325" i="41"/>
  <c r="J322" i="41"/>
  <c r="J320" i="41"/>
  <c r="J318" i="41"/>
  <c r="J316" i="41"/>
  <c r="BK311" i="41"/>
  <c r="J309" i="41"/>
  <c r="J307" i="41"/>
  <c r="BK305" i="41"/>
  <c r="BK296" i="41"/>
  <c r="BK292" i="41"/>
  <c r="BK284" i="41"/>
  <c r="BK277" i="41"/>
  <c r="BK273" i="41"/>
  <c r="BK271" i="41"/>
  <c r="J267" i="41"/>
  <c r="BK259" i="41"/>
  <c r="BK255" i="41"/>
  <c r="J250" i="41"/>
  <c r="J246" i="41"/>
  <c r="J234" i="41"/>
  <c r="BK230" i="41"/>
  <c r="BK228" i="41"/>
  <c r="J222" i="41"/>
  <c r="J218" i="41"/>
  <c r="J212" i="41"/>
  <c r="BK200" i="41"/>
  <c r="J198" i="41"/>
  <c r="J196" i="41"/>
  <c r="BK194" i="41"/>
  <c r="J190" i="41"/>
  <c r="BK188" i="41"/>
  <c r="BK184" i="41"/>
  <c r="J182" i="41"/>
  <c r="BK174" i="41"/>
  <c r="J170" i="41"/>
  <c r="BK168" i="41"/>
  <c r="J166" i="41"/>
  <c r="BK158" i="41"/>
  <c r="J156" i="41"/>
  <c r="BK136" i="41"/>
  <c r="BK157" i="39"/>
  <c r="J153" i="39"/>
  <c r="J150" i="39"/>
  <c r="BK148" i="39"/>
  <c r="J146" i="39"/>
  <c r="BK144" i="39"/>
  <c r="J135" i="39"/>
  <c r="BK133" i="39"/>
  <c r="J397" i="38"/>
  <c r="ER384" i="38"/>
  <c r="ER364" i="38"/>
  <c r="ER358" i="38"/>
  <c r="ER353" i="38"/>
  <c r="ER349" i="38"/>
  <c r="ER342" i="38"/>
  <c r="J335" i="38"/>
  <c r="J329" i="38"/>
  <c r="J318" i="38"/>
  <c r="J312" i="38"/>
  <c r="ER307" i="38"/>
  <c r="J302" i="38"/>
  <c r="J294" i="38"/>
  <c r="J264" i="38"/>
  <c r="J236" i="38"/>
  <c r="ER229" i="38"/>
  <c r="ER198" i="38"/>
  <c r="ER193" i="38"/>
  <c r="J188" i="38"/>
  <c r="ER185" i="38"/>
  <c r="ER175" i="38"/>
  <c r="ER165" i="38"/>
  <c r="J153" i="38"/>
  <c r="ER148" i="38"/>
  <c r="ER126" i="38"/>
  <c r="FS344" i="37"/>
  <c r="FS338" i="37"/>
  <c r="FS333" i="37"/>
  <c r="J327" i="37"/>
  <c r="J322" i="37"/>
  <c r="J318" i="37"/>
  <c r="J314" i="37"/>
  <c r="FS309" i="37"/>
  <c r="FS307" i="37"/>
  <c r="J299" i="37"/>
  <c r="FS293" i="37"/>
  <c r="J287" i="37"/>
  <c r="FS283" i="37"/>
  <c r="FS279" i="37"/>
  <c r="FS264" i="37"/>
  <c r="FS260" i="37"/>
  <c r="FS255" i="37"/>
  <c r="J250" i="37"/>
  <c r="FS245" i="37"/>
  <c r="FS238" i="37"/>
  <c r="J229" i="37"/>
  <c r="J211" i="37"/>
  <c r="FS202" i="37"/>
  <c r="J185" i="37"/>
  <c r="FS173" i="37"/>
  <c r="FS163" i="37"/>
  <c r="FS160" i="37"/>
  <c r="J152" i="37"/>
  <c r="FS135" i="37"/>
  <c r="J125" i="37"/>
  <c r="J595" i="36"/>
  <c r="DW593" i="36"/>
  <c r="J587" i="36"/>
  <c r="DW582" i="36"/>
  <c r="J582" i="36"/>
  <c r="DW576" i="36"/>
  <c r="J571" i="36"/>
  <c r="J567" i="36"/>
  <c r="DW565" i="36"/>
  <c r="J563" i="36"/>
  <c r="J559" i="36"/>
  <c r="DW557" i="36"/>
  <c r="DW553" i="36"/>
  <c r="J549" i="36"/>
  <c r="DW545" i="36"/>
  <c r="DW543" i="36"/>
  <c r="DW541" i="36"/>
  <c r="DW537" i="36"/>
  <c r="DW535" i="36"/>
  <c r="DW533" i="36"/>
  <c r="DW529" i="36"/>
  <c r="DW527" i="36"/>
  <c r="DW523" i="36"/>
  <c r="J520" i="36"/>
  <c r="DW515" i="36"/>
  <c r="J512" i="36"/>
  <c r="DW509" i="36"/>
  <c r="J507" i="36"/>
  <c r="J503" i="36"/>
  <c r="J501" i="36"/>
  <c r="J497" i="36"/>
  <c r="J495" i="36"/>
  <c r="DW493" i="36"/>
  <c r="DW491" i="36"/>
  <c r="J489" i="36"/>
  <c r="DW487" i="36"/>
  <c r="DW485" i="36"/>
  <c r="J475" i="36"/>
  <c r="DW448" i="36"/>
  <c r="J438" i="36"/>
  <c r="DW436" i="36"/>
  <c r="DW431" i="36"/>
  <c r="J429" i="36"/>
  <c r="DW415" i="36"/>
  <c r="J409" i="36"/>
  <c r="J404" i="36"/>
  <c r="J392" i="36"/>
  <c r="DW387" i="36"/>
  <c r="DW380" i="36"/>
  <c r="J378" i="36"/>
  <c r="J373" i="36"/>
  <c r="DW371" i="36"/>
  <c r="J366" i="36"/>
  <c r="J361" i="36"/>
  <c r="DW356" i="36"/>
  <c r="DW351" i="36"/>
  <c r="J348" i="36"/>
  <c r="DW344" i="36"/>
  <c r="J336" i="36"/>
  <c r="DW324" i="36"/>
  <c r="J310" i="36"/>
  <c r="J293" i="36"/>
  <c r="DW284" i="36"/>
  <c r="J276" i="36"/>
  <c r="DW255" i="36"/>
  <c r="J245" i="36"/>
  <c r="J243" i="36"/>
  <c r="J233" i="36"/>
  <c r="J229" i="36"/>
  <c r="DW217" i="36"/>
  <c r="DW190" i="36"/>
  <c r="J182" i="36"/>
  <c r="J178" i="36"/>
  <c r="J174" i="36"/>
  <c r="DW160" i="36"/>
  <c r="DW134" i="36"/>
  <c r="DB342" i="35"/>
  <c r="J334" i="35"/>
  <c r="J329" i="35"/>
  <c r="DB323" i="35"/>
  <c r="J305" i="35"/>
  <c r="DB297" i="35"/>
  <c r="J295" i="35"/>
  <c r="DB291" i="35"/>
  <c r="J287" i="35"/>
  <c r="J273" i="35"/>
  <c r="DB266" i="35"/>
  <c r="J262" i="35"/>
  <c r="J260" i="35"/>
  <c r="J255" i="35"/>
  <c r="J241" i="35"/>
  <c r="J229" i="35"/>
  <c r="DB202" i="35"/>
  <c r="DB197" i="35"/>
  <c r="J195" i="35"/>
  <c r="DB190" i="35"/>
  <c r="J185" i="35"/>
  <c r="J173" i="35"/>
  <c r="J169" i="35"/>
  <c r="DB156" i="35"/>
  <c r="DB152" i="35"/>
  <c r="J145" i="35"/>
  <c r="J135" i="35"/>
  <c r="GQ355" i="34"/>
  <c r="GQ351" i="34"/>
  <c r="J348" i="34"/>
  <c r="J346" i="34"/>
  <c r="J340" i="34"/>
  <c r="GQ329" i="34"/>
  <c r="J320" i="34"/>
  <c r="GQ316" i="34"/>
  <c r="J314" i="34"/>
  <c r="J311" i="34"/>
  <c r="J305" i="34"/>
  <c r="J303" i="34"/>
  <c r="J301" i="34"/>
  <c r="GQ295" i="34"/>
  <c r="GQ291" i="34"/>
  <c r="J287" i="34"/>
  <c r="J283" i="34"/>
  <c r="GQ277" i="34"/>
  <c r="J275" i="34"/>
  <c r="J268" i="34"/>
  <c r="GQ254" i="34"/>
  <c r="J249" i="34"/>
  <c r="J245" i="34"/>
  <c r="J237" i="34"/>
  <c r="GQ233" i="34"/>
  <c r="GQ219" i="34"/>
  <c r="GQ215" i="34"/>
  <c r="J210" i="34"/>
  <c r="GQ199" i="34"/>
  <c r="J189" i="34"/>
  <c r="GQ169" i="34"/>
  <c r="J167" i="34"/>
  <c r="GQ164" i="34"/>
  <c r="GQ160" i="34"/>
  <c r="J139" i="34"/>
  <c r="GQ134" i="34"/>
  <c r="J129" i="34"/>
  <c r="J151" i="33"/>
  <c r="DF147" i="33"/>
  <c r="J145" i="33"/>
  <c r="J142" i="33"/>
  <c r="J138" i="33"/>
  <c r="J136" i="33"/>
  <c r="DF134" i="33"/>
  <c r="DF132" i="33"/>
  <c r="J128" i="33"/>
  <c r="FB280" i="31"/>
  <c r="FB278" i="31"/>
  <c r="FB273" i="31"/>
  <c r="FB257" i="31"/>
  <c r="FB254" i="31"/>
  <c r="J252" i="31"/>
  <c r="J248" i="31"/>
  <c r="J236" i="31"/>
  <c r="J234" i="31"/>
  <c r="FB218" i="31"/>
  <c r="J214" i="31"/>
  <c r="FB210" i="31"/>
  <c r="FB193" i="31"/>
  <c r="J190" i="31"/>
  <c r="FB179" i="31"/>
  <c r="FB176" i="31"/>
  <c r="FB169" i="31"/>
  <c r="FB163" i="31"/>
  <c r="FB150" i="31"/>
  <c r="J142" i="31"/>
  <c r="FB132" i="31"/>
  <c r="FB128" i="31"/>
  <c r="J170" i="30"/>
  <c r="J163" i="30"/>
  <c r="J161" i="30"/>
  <c r="CZ159" i="30"/>
  <c r="J157" i="30"/>
  <c r="J153" i="30"/>
  <c r="J149" i="30"/>
  <c r="CZ138" i="30"/>
  <c r="CZ136" i="30"/>
  <c r="J128" i="30"/>
  <c r="CZ123" i="30"/>
  <c r="EL310" i="28"/>
  <c r="J310" i="28"/>
  <c r="EL306" i="28"/>
  <c r="J301" i="28"/>
  <c r="EL295" i="28"/>
  <c r="J280" i="28"/>
  <c r="EL267" i="28"/>
  <c r="J265" i="28"/>
  <c r="J256" i="28"/>
  <c r="J251" i="28"/>
  <c r="J246" i="28"/>
  <c r="EL242" i="28"/>
  <c r="EL238" i="28"/>
  <c r="EL234" i="28"/>
  <c r="J230" i="28"/>
  <c r="EL228" i="28"/>
  <c r="J220" i="28"/>
  <c r="EL216" i="28"/>
  <c r="J212" i="28"/>
  <c r="EL208" i="28"/>
  <c r="J204" i="28"/>
  <c r="EL191" i="28"/>
  <c r="J180" i="28"/>
  <c r="EL177" i="28"/>
  <c r="J173" i="28"/>
  <c r="EL170" i="28"/>
  <c r="J161" i="28"/>
  <c r="J157" i="28"/>
  <c r="J151" i="28"/>
  <c r="J149" i="28"/>
  <c r="EL132" i="28"/>
  <c r="J130" i="28"/>
  <c r="EL308" i="25"/>
  <c r="J308" i="25"/>
  <c r="J304" i="25"/>
  <c r="J301" i="25"/>
  <c r="EL299" i="25"/>
  <c r="J293" i="25"/>
  <c r="EL283" i="25"/>
  <c r="J278" i="25"/>
  <c r="J272" i="25"/>
  <c r="EL254" i="25"/>
  <c r="EL226" i="25"/>
  <c r="J222" i="25"/>
  <c r="EL218" i="25"/>
  <c r="J214" i="25"/>
  <c r="J202" i="25"/>
  <c r="J178" i="25"/>
  <c r="J175" i="25"/>
  <c r="EL161" i="25"/>
  <c r="EL159" i="25"/>
  <c r="EL155" i="25"/>
  <c r="EL126" i="25"/>
  <c r="J179" i="24"/>
  <c r="BK175" i="24"/>
  <c r="J166" i="24"/>
  <c r="J158" i="24"/>
  <c r="BK156" i="24"/>
  <c r="BK149" i="24"/>
  <c r="J147" i="24"/>
  <c r="J143" i="24"/>
  <c r="J141" i="24"/>
  <c r="BK139" i="24"/>
  <c r="J137" i="24"/>
  <c r="BK132" i="24"/>
  <c r="J129" i="23"/>
  <c r="J315" i="22"/>
  <c r="FD307" i="22"/>
  <c r="FD302" i="22"/>
  <c r="FD297" i="22"/>
  <c r="J292" i="22"/>
  <c r="FD286" i="22"/>
  <c r="J279" i="22"/>
  <c r="FD268" i="22"/>
  <c r="FD263" i="22"/>
  <c r="J260" i="22"/>
  <c r="J250" i="22"/>
  <c r="J246" i="22"/>
  <c r="FD242" i="22"/>
  <c r="J240" i="22"/>
  <c r="J234" i="22"/>
  <c r="FD230" i="22"/>
  <c r="FD226" i="22"/>
  <c r="J222" i="22"/>
  <c r="J214" i="22"/>
  <c r="J210" i="22"/>
  <c r="J191" i="22"/>
  <c r="FD177" i="22"/>
  <c r="FD161" i="22"/>
  <c r="J155" i="22"/>
  <c r="FD152" i="22"/>
  <c r="J148" i="22"/>
  <c r="FD135" i="22"/>
  <c r="J130" i="22"/>
  <c r="J128" i="22"/>
  <c r="J374" i="21"/>
  <c r="DV358" i="21"/>
  <c r="DV351" i="21"/>
  <c r="DV349" i="21"/>
  <c r="DV347" i="21"/>
  <c r="J343" i="21"/>
  <c r="DV341" i="21"/>
  <c r="J339" i="21"/>
  <c r="DV337" i="21"/>
  <c r="DV335" i="21"/>
  <c r="J331" i="21"/>
  <c r="DV328" i="21"/>
  <c r="J326" i="21"/>
  <c r="DV263" i="21"/>
  <c r="J248" i="21"/>
  <c r="DV243" i="21"/>
  <c r="DV231" i="21"/>
  <c r="DV215" i="21"/>
  <c r="J206" i="21"/>
  <c r="J199" i="21"/>
  <c r="J190" i="21"/>
  <c r="DV170" i="21"/>
  <c r="J165" i="21"/>
  <c r="J157" i="21"/>
  <c r="DV146" i="21"/>
  <c r="DV140" i="21"/>
  <c r="J128" i="21"/>
  <c r="J126" i="21"/>
  <c r="DF346" i="20"/>
  <c r="J343" i="20"/>
  <c r="DF335" i="20"/>
  <c r="DF330" i="20"/>
  <c r="DF327" i="20"/>
  <c r="J325" i="20"/>
  <c r="J317" i="20"/>
  <c r="J314" i="20"/>
  <c r="J312" i="20"/>
  <c r="DF307" i="20"/>
  <c r="J292" i="20"/>
  <c r="J288" i="20"/>
  <c r="J270" i="20"/>
  <c r="DF251" i="20"/>
  <c r="J245" i="20"/>
  <c r="DF243" i="20"/>
  <c r="J235" i="20"/>
  <c r="J200" i="20"/>
  <c r="J195" i="20"/>
  <c r="J176" i="20"/>
  <c r="DF168" i="20"/>
  <c r="J166" i="20"/>
  <c r="DF161" i="20"/>
  <c r="J128" i="20"/>
  <c r="J384" i="19"/>
  <c r="DF382" i="19"/>
  <c r="J362" i="19"/>
  <c r="J358" i="19"/>
  <c r="J355" i="19"/>
  <c r="DF351" i="19"/>
  <c r="J347" i="19"/>
  <c r="J345" i="19"/>
  <c r="DF335" i="19"/>
  <c r="DF325" i="19"/>
  <c r="J323" i="19"/>
  <c r="DF321" i="19"/>
  <c r="DF309" i="19"/>
  <c r="J305" i="19"/>
  <c r="J299" i="19"/>
  <c r="J297" i="19"/>
  <c r="DF283" i="19"/>
  <c r="J269" i="19"/>
  <c r="J264" i="19"/>
  <c r="DF254" i="19"/>
  <c r="DF252" i="19"/>
  <c r="DF249" i="19"/>
  <c r="J244" i="19"/>
  <c r="J216" i="19"/>
  <c r="DF207" i="19"/>
  <c r="DF190" i="19"/>
  <c r="J187" i="19"/>
  <c r="J183" i="19"/>
  <c r="J181" i="19"/>
  <c r="DF171" i="19"/>
  <c r="J161" i="19"/>
  <c r="J158" i="19"/>
  <c r="J131" i="19"/>
  <c r="EF432" i="18"/>
  <c r="EF428" i="18"/>
  <c r="J425" i="18"/>
  <c r="EF423" i="18"/>
  <c r="J384" i="18"/>
  <c r="J382" i="18"/>
  <c r="J380" i="18"/>
  <c r="J378" i="18"/>
  <c r="EF373" i="18"/>
  <c r="EF363" i="18"/>
  <c r="J361" i="18"/>
  <c r="J359" i="18"/>
  <c r="J357" i="18"/>
  <c r="J339" i="18"/>
  <c r="EF331" i="18"/>
  <c r="EF328" i="18"/>
  <c r="EF322" i="18"/>
  <c r="EF295" i="18"/>
  <c r="J293" i="18"/>
  <c r="J234" i="18"/>
  <c r="EF230" i="18"/>
  <c r="J198" i="18"/>
  <c r="J193" i="18"/>
  <c r="J191" i="18"/>
  <c r="EF179" i="18"/>
  <c r="EF159" i="18"/>
  <c r="J130" i="18"/>
  <c r="J128" i="18"/>
  <c r="EZ374" i="17"/>
  <c r="J369" i="17"/>
  <c r="J358" i="17"/>
  <c r="EZ352" i="17"/>
  <c r="J344" i="17"/>
  <c r="J338" i="17"/>
  <c r="EZ329" i="17"/>
  <c r="EZ327" i="17"/>
  <c r="J323" i="17"/>
  <c r="J321" i="17"/>
  <c r="EZ317" i="17"/>
  <c r="EZ313" i="17"/>
  <c r="EZ309" i="17"/>
  <c r="J306" i="17"/>
  <c r="EZ301" i="17"/>
  <c r="J298" i="17"/>
  <c r="EZ296" i="17"/>
  <c r="EZ294" i="17"/>
  <c r="J290" i="17"/>
  <c r="J286" i="17"/>
  <c r="EZ280" i="17"/>
  <c r="EZ278" i="17"/>
  <c r="J273" i="17"/>
  <c r="J271" i="17"/>
  <c r="EZ269" i="17"/>
  <c r="EZ267" i="17"/>
  <c r="J261" i="17"/>
  <c r="J259" i="17"/>
  <c r="J255" i="17"/>
  <c r="J253" i="17"/>
  <c r="J249" i="17"/>
  <c r="EZ239" i="17"/>
  <c r="J230" i="17"/>
  <c r="J227" i="17"/>
  <c r="EZ222" i="17"/>
  <c r="J203" i="17"/>
  <c r="EZ199" i="17"/>
  <c r="J189" i="17"/>
  <c r="J184" i="17"/>
  <c r="J160" i="17"/>
  <c r="J156" i="17"/>
  <c r="EZ137" i="17"/>
  <c r="J129" i="17"/>
  <c r="J127" i="17"/>
  <c r="EE515" i="16"/>
  <c r="EE513" i="16"/>
  <c r="J507" i="16"/>
  <c r="EE502" i="16"/>
  <c r="J486" i="16"/>
  <c r="J463" i="16"/>
  <c r="EE459" i="16"/>
  <c r="EE446" i="16"/>
  <c r="J444" i="16"/>
  <c r="EE424" i="16"/>
  <c r="EE416" i="16"/>
  <c r="EE412" i="16"/>
  <c r="EE398" i="16"/>
  <c r="EE395" i="16"/>
  <c r="EE389" i="16"/>
  <c r="EE387" i="16"/>
  <c r="EE385" i="16"/>
  <c r="EE381" i="16"/>
  <c r="EE377" i="16"/>
  <c r="EE373" i="16"/>
  <c r="EE361" i="16"/>
  <c r="EE357" i="16"/>
  <c r="EE353" i="16"/>
  <c r="EE345" i="16"/>
  <c r="J340" i="16"/>
  <c r="EE336" i="16"/>
  <c r="J334" i="16"/>
  <c r="EE325" i="16"/>
  <c r="J323" i="16"/>
  <c r="EE313" i="16"/>
  <c r="EE311" i="16"/>
  <c r="J299" i="16"/>
  <c r="EE267" i="16"/>
  <c r="J263" i="16"/>
  <c r="J226" i="16"/>
  <c r="J221" i="16"/>
  <c r="J219" i="16"/>
  <c r="EE209" i="16"/>
  <c r="J204" i="16"/>
  <c r="EE201" i="16"/>
  <c r="J186" i="16"/>
  <c r="J174" i="16"/>
  <c r="J172" i="16"/>
  <c r="EE165" i="16"/>
  <c r="J158" i="16"/>
  <c r="EE147" i="16"/>
  <c r="J133" i="16"/>
  <c r="J343" i="15"/>
  <c r="DV335" i="15"/>
  <c r="J330" i="15"/>
  <c r="DV321" i="15"/>
  <c r="J317" i="15"/>
  <c r="DV305" i="15"/>
  <c r="DV303" i="15"/>
  <c r="DV280" i="15"/>
  <c r="DV278" i="15"/>
  <c r="DV265" i="15"/>
  <c r="DV260" i="15"/>
  <c r="J251" i="15"/>
  <c r="J243" i="15"/>
  <c r="DV223" i="15"/>
  <c r="DV208" i="15"/>
  <c r="DV199" i="15"/>
  <c r="J194" i="15"/>
  <c r="J184" i="15"/>
  <c r="DV181" i="15"/>
  <c r="DV155" i="15"/>
  <c r="DV152" i="15"/>
  <c r="DV142" i="15"/>
  <c r="DV136" i="15"/>
  <c r="DV129" i="15"/>
  <c r="J125" i="15"/>
  <c r="DD348" i="14"/>
  <c r="J348" i="14"/>
  <c r="J344" i="14"/>
  <c r="J341" i="14"/>
  <c r="DD339" i="14"/>
  <c r="DD328" i="14"/>
  <c r="J325" i="14"/>
  <c r="J323" i="14"/>
  <c r="DD310" i="14"/>
  <c r="J305" i="14"/>
  <c r="J301" i="14"/>
  <c r="DD288" i="14"/>
  <c r="J280" i="14"/>
  <c r="J265" i="14"/>
  <c r="DD255" i="14"/>
  <c r="J240" i="14"/>
  <c r="DD223" i="14"/>
  <c r="J199" i="14"/>
  <c r="DD194" i="14"/>
  <c r="DD184" i="14"/>
  <c r="J177" i="14"/>
  <c r="DD167" i="14"/>
  <c r="J155" i="14"/>
  <c r="DD136" i="14"/>
  <c r="DD129" i="14"/>
  <c r="DD127" i="14"/>
  <c r="J125" i="14"/>
  <c r="J346" i="13"/>
  <c r="ES335" i="13"/>
  <c r="ES330" i="13"/>
  <c r="ES323" i="13"/>
  <c r="ES321" i="13"/>
  <c r="ES317" i="13"/>
  <c r="ES314" i="13"/>
  <c r="J312" i="13"/>
  <c r="J307" i="13"/>
  <c r="J303" i="13"/>
  <c r="J292" i="13"/>
  <c r="ES280" i="13"/>
  <c r="ES278" i="13"/>
  <c r="J276" i="13"/>
  <c r="ES270" i="13"/>
  <c r="ES245" i="13"/>
  <c r="J243" i="13"/>
  <c r="ES240" i="13"/>
  <c r="ES235" i="13"/>
  <c r="J208" i="13"/>
  <c r="J199" i="13"/>
  <c r="J184" i="13"/>
  <c r="J181" i="13"/>
  <c r="J177" i="13"/>
  <c r="J175" i="13"/>
  <c r="J160" i="13"/>
  <c r="J370" i="12"/>
  <c r="CM367" i="12"/>
  <c r="J365" i="12"/>
  <c r="CM354" i="12"/>
  <c r="J349" i="12"/>
  <c r="CM347" i="12"/>
  <c r="J343" i="12"/>
  <c r="CM341" i="12"/>
  <c r="J339" i="12"/>
  <c r="J337" i="12"/>
  <c r="J335" i="12"/>
  <c r="J331" i="12"/>
  <c r="CM326" i="12"/>
  <c r="J321" i="12"/>
  <c r="CM319" i="12"/>
  <c r="CM317" i="12"/>
  <c r="J306" i="12"/>
  <c r="J294" i="12"/>
  <c r="J292" i="12"/>
  <c r="CM290" i="12"/>
  <c r="J271" i="12"/>
  <c r="CM261" i="12"/>
  <c r="CM257" i="12"/>
  <c r="J251" i="12"/>
  <c r="J229" i="12"/>
  <c r="CM213" i="12"/>
  <c r="CM197" i="12"/>
  <c r="J187" i="12"/>
  <c r="J184" i="12"/>
  <c r="J178" i="12"/>
  <c r="J163" i="12"/>
  <c r="CM144" i="12"/>
  <c r="CM128" i="12"/>
  <c r="J126" i="12"/>
  <c r="J322" i="11"/>
  <c r="FB316" i="11"/>
  <c r="FB306" i="11"/>
  <c r="J304" i="11"/>
  <c r="J287" i="11"/>
  <c r="FB281" i="11"/>
  <c r="J279" i="11"/>
  <c r="FB277" i="11"/>
  <c r="J264" i="11"/>
  <c r="FB259" i="11"/>
  <c r="FB250" i="11"/>
  <c r="J222" i="11"/>
  <c r="FB207" i="11"/>
  <c r="J198" i="11"/>
  <c r="J193" i="11"/>
  <c r="J183" i="11"/>
  <c r="FB151" i="11"/>
  <c r="FB126" i="11"/>
  <c r="DV341" i="10"/>
  <c r="J330" i="10"/>
  <c r="J325" i="10"/>
  <c r="DV323" i="10"/>
  <c r="DV321" i="10"/>
  <c r="J312" i="10"/>
  <c r="J305" i="10"/>
  <c r="J303" i="10"/>
  <c r="DV282" i="10"/>
  <c r="J278" i="10"/>
  <c r="J255" i="10"/>
  <c r="J251" i="10"/>
  <c r="J235" i="10"/>
  <c r="DV208" i="10"/>
  <c r="J184" i="10"/>
  <c r="J181" i="10"/>
  <c r="J177" i="10"/>
  <c r="DV165" i="10"/>
  <c r="DV155" i="10"/>
  <c r="J152" i="10"/>
  <c r="J142" i="10"/>
  <c r="ED374" i="9"/>
  <c r="J364" i="9"/>
  <c r="J360" i="9"/>
  <c r="ED345" i="9"/>
  <c r="ED343" i="9"/>
  <c r="J339" i="9"/>
  <c r="ED337" i="9"/>
  <c r="ED333" i="9"/>
  <c r="J328" i="9"/>
  <c r="ED323" i="9"/>
  <c r="J321" i="9"/>
  <c r="J319" i="9"/>
  <c r="ED308" i="9"/>
  <c r="J304" i="9"/>
  <c r="J298" i="9"/>
  <c r="ED273" i="9"/>
  <c r="J268" i="9"/>
  <c r="J263" i="9"/>
  <c r="J259" i="9"/>
  <c r="ED251" i="9"/>
  <c r="ED243" i="9"/>
  <c r="ED215" i="9"/>
  <c r="J206" i="9"/>
  <c r="J199" i="9"/>
  <c r="ED189" i="9"/>
  <c r="J182" i="9"/>
  <c r="J180" i="9"/>
  <c r="ED172" i="9"/>
  <c r="J170" i="9"/>
  <c r="J160" i="9"/>
  <c r="ED157" i="9"/>
  <c r="J146" i="9"/>
  <c r="ED140" i="9"/>
  <c r="ED130" i="9"/>
  <c r="ED126" i="9"/>
  <c r="J339" i="8"/>
  <c r="J302" i="8"/>
  <c r="J294" i="8"/>
  <c r="EL291" i="8"/>
  <c r="J262" i="8"/>
  <c r="J254" i="8"/>
  <c r="J249" i="8"/>
  <c r="EL235" i="8"/>
  <c r="J232" i="8"/>
  <c r="J227" i="8"/>
  <c r="J204" i="8"/>
  <c r="J197" i="8"/>
  <c r="EL188" i="8"/>
  <c r="J154" i="8"/>
  <c r="FO438" i="7"/>
  <c r="J432" i="7"/>
  <c r="J421" i="7"/>
  <c r="J416" i="7"/>
  <c r="FO409" i="7"/>
  <c r="FO407" i="7"/>
  <c r="FO405" i="7"/>
  <c r="FO403" i="7"/>
  <c r="J401" i="7"/>
  <c r="FO370" i="7"/>
  <c r="FO365" i="7"/>
  <c r="FO362" i="7"/>
  <c r="J354" i="7"/>
  <c r="FO342" i="7"/>
  <c r="FO322" i="7"/>
  <c r="FO320" i="7"/>
  <c r="J302" i="7"/>
  <c r="FO297" i="7"/>
  <c r="J292" i="7"/>
  <c r="FO288" i="7"/>
  <c r="J283" i="7"/>
  <c r="J260" i="7"/>
  <c r="J209" i="7"/>
  <c r="J207" i="7"/>
  <c r="FO170" i="7"/>
  <c r="FO165" i="7"/>
  <c r="J161" i="7"/>
  <c r="J155" i="7"/>
  <c r="J148" i="7"/>
  <c r="FO129" i="7"/>
  <c r="J127" i="7"/>
  <c r="DZ356" i="6"/>
  <c r="J354" i="6"/>
  <c r="J348" i="6"/>
  <c r="J344" i="6"/>
  <c r="DZ323" i="6"/>
  <c r="J321" i="6"/>
  <c r="DZ319" i="6"/>
  <c r="J315" i="6"/>
  <c r="J298" i="6"/>
  <c r="J281" i="6"/>
  <c r="J277" i="6"/>
  <c r="DZ275" i="6"/>
  <c r="DZ271" i="6"/>
  <c r="J265" i="6"/>
  <c r="J257" i="6"/>
  <c r="DZ240" i="6"/>
  <c r="J235" i="6"/>
  <c r="DZ231" i="6"/>
  <c r="J215" i="6"/>
  <c r="DZ199" i="6"/>
  <c r="DZ182" i="6"/>
  <c r="DZ165" i="6"/>
  <c r="J161" i="6"/>
  <c r="J156" i="6"/>
  <c r="J152" i="6"/>
  <c r="J148" i="6"/>
  <c r="DZ142" i="6"/>
  <c r="DZ129" i="6"/>
  <c r="EA370" i="5"/>
  <c r="EA357" i="5"/>
  <c r="J343" i="5"/>
  <c r="EA333" i="5"/>
  <c r="EA317" i="5"/>
  <c r="J313" i="5"/>
  <c r="EA310" i="5"/>
  <c r="EA305" i="5"/>
  <c r="J302" i="5"/>
  <c r="EA298" i="5"/>
  <c r="EA290" i="5"/>
  <c r="J277" i="5"/>
  <c r="EA275" i="5"/>
  <c r="J273" i="5"/>
  <c r="EA271" i="5"/>
  <c r="J265" i="5"/>
  <c r="EA259" i="5"/>
  <c r="EA255" i="5"/>
  <c r="J236" i="5"/>
  <c r="J233" i="5"/>
  <c r="J228" i="5"/>
  <c r="EA224" i="5"/>
  <c r="EA205" i="5"/>
  <c r="EA198" i="5"/>
  <c r="EA194" i="5"/>
  <c r="EA177" i="5"/>
  <c r="EA165" i="5"/>
  <c r="J161" i="5"/>
  <c r="EA148" i="5"/>
  <c r="J130" i="5"/>
  <c r="EA126" i="5"/>
  <c r="FD397" i="4"/>
  <c r="J397" i="4"/>
  <c r="FD392" i="4"/>
  <c r="J392" i="4"/>
  <c r="J386" i="4"/>
  <c r="FD380" i="4"/>
  <c r="FD375" i="4"/>
  <c r="J359" i="4"/>
  <c r="FD351" i="4"/>
  <c r="FD347" i="4"/>
  <c r="FD345" i="4"/>
  <c r="J341" i="4"/>
  <c r="FD337" i="4"/>
  <c r="FD335" i="4"/>
  <c r="FD331" i="4"/>
  <c r="FD329" i="4"/>
  <c r="FD325" i="4"/>
  <c r="J323" i="4"/>
  <c r="FD321" i="4"/>
  <c r="J309" i="4"/>
  <c r="J299" i="4"/>
  <c r="FD295" i="4"/>
  <c r="J291" i="4"/>
  <c r="FD287" i="4"/>
  <c r="J274" i="4"/>
  <c r="FD268" i="4"/>
  <c r="J262" i="4"/>
  <c r="FD244" i="4"/>
  <c r="FD201" i="4"/>
  <c r="FD193" i="4"/>
  <c r="J189" i="4"/>
  <c r="FD182" i="4"/>
  <c r="J175" i="4"/>
  <c r="FD157" i="4"/>
  <c r="J127" i="4"/>
  <c r="J406" i="3"/>
  <c r="J400" i="3"/>
  <c r="DN378" i="3"/>
  <c r="DN373" i="3"/>
  <c r="J369" i="3"/>
  <c r="DN361" i="3"/>
  <c r="J359" i="3"/>
  <c r="DN345" i="3"/>
  <c r="DN343" i="3"/>
  <c r="J337" i="3"/>
  <c r="J335" i="3"/>
  <c r="J320" i="3"/>
  <c r="DN313" i="3"/>
  <c r="DN309" i="3"/>
  <c r="DN288" i="3"/>
  <c r="DN286" i="3"/>
  <c r="DN284" i="3"/>
  <c r="DN282" i="3"/>
  <c r="DN276" i="3"/>
  <c r="J274" i="3"/>
  <c r="J268" i="3"/>
  <c r="DN264" i="3"/>
  <c r="J259" i="3"/>
  <c r="J252" i="3"/>
  <c r="DN242" i="3"/>
  <c r="DN239" i="3"/>
  <c r="J228" i="3"/>
  <c r="DN199" i="3"/>
  <c r="DN195" i="3"/>
  <c r="DN182" i="3"/>
  <c r="DN161" i="3"/>
  <c r="DN156" i="3"/>
  <c r="DN142" i="3"/>
  <c r="J133" i="3"/>
  <c r="J131" i="3"/>
  <c r="EU414" i="2"/>
  <c r="EU408" i="2"/>
  <c r="EU375" i="2"/>
  <c r="J371" i="2"/>
  <c r="EU352" i="2"/>
  <c r="EU348" i="2"/>
  <c r="EU344" i="2"/>
  <c r="EU342" i="2"/>
  <c r="J338" i="2"/>
  <c r="EU335" i="2"/>
  <c r="EU327" i="2"/>
  <c r="J323" i="2"/>
  <c r="J319" i="2"/>
  <c r="EU309" i="2"/>
  <c r="EU302" i="2"/>
  <c r="J298" i="2"/>
  <c r="J296" i="2"/>
  <c r="J290" i="2"/>
  <c r="J288" i="2"/>
  <c r="EU284" i="2"/>
  <c r="J280" i="2"/>
  <c r="EU276" i="2"/>
  <c r="EU262" i="2"/>
  <c r="EU256" i="2"/>
  <c r="J252" i="2"/>
  <c r="EU248" i="2"/>
  <c r="J243" i="2"/>
  <c r="EU239" i="2"/>
  <c r="J221" i="2"/>
  <c r="EU199" i="2"/>
  <c r="J171" i="2"/>
  <c r="EU167" i="2"/>
  <c r="EU161" i="2"/>
  <c r="J158" i="2"/>
  <c r="EU154" i="2"/>
  <c r="J141" i="2"/>
  <c r="AZ117" i="1"/>
  <c r="AZ97" i="1"/>
  <c r="ED200" i="47"/>
  <c r="ED196" i="47"/>
  <c r="J184" i="47"/>
  <c r="ED180" i="47"/>
  <c r="J170" i="47"/>
  <c r="J168" i="47"/>
  <c r="ED166" i="47"/>
  <c r="J159" i="47"/>
  <c r="ED153" i="47"/>
  <c r="J145" i="47"/>
  <c r="J140" i="47"/>
  <c r="J137" i="47"/>
  <c r="DV122" i="46"/>
  <c r="DV118" i="46"/>
  <c r="J129" i="45"/>
  <c r="DF316" i="44"/>
  <c r="J313" i="44"/>
  <c r="J311" i="44"/>
  <c r="J309" i="44"/>
  <c r="DF305" i="44"/>
  <c r="J302" i="44"/>
  <c r="DF300" i="44"/>
  <c r="J296" i="44"/>
  <c r="J293" i="44"/>
  <c r="DF287" i="44"/>
  <c r="DF285" i="44"/>
  <c r="J285" i="44"/>
  <c r="J283" i="44"/>
  <c r="J277" i="44"/>
  <c r="J275" i="44"/>
  <c r="DF268" i="44"/>
  <c r="DF266" i="44"/>
  <c r="DF264" i="44"/>
  <c r="J256" i="44"/>
  <c r="DF252" i="44"/>
  <c r="J246" i="44"/>
  <c r="J244" i="44"/>
  <c r="DF241" i="44"/>
  <c r="DF233" i="44"/>
  <c r="DF229" i="44"/>
  <c r="J227" i="44"/>
  <c r="DF221" i="44"/>
  <c r="J219" i="44"/>
  <c r="DF213" i="44"/>
  <c r="DF209" i="44"/>
  <c r="DF205" i="44"/>
  <c r="J203" i="44"/>
  <c r="J201" i="44"/>
  <c r="DF199" i="44"/>
  <c r="DF195" i="44"/>
  <c r="DF191" i="44"/>
  <c r="DF187" i="44"/>
  <c r="J185" i="44"/>
  <c r="J181" i="44"/>
  <c r="J173" i="44"/>
  <c r="J169" i="44"/>
  <c r="DF167" i="44"/>
  <c r="J161" i="44"/>
  <c r="J157" i="44"/>
  <c r="J155" i="44"/>
  <c r="J151" i="44"/>
  <c r="J139" i="44"/>
  <c r="J135" i="44"/>
  <c r="DF133" i="44"/>
  <c r="DF129" i="44"/>
  <c r="J127" i="44"/>
  <c r="CP323" i="43"/>
  <c r="J323" i="43"/>
  <c r="CP321" i="43"/>
  <c r="J321" i="43"/>
  <c r="CP319" i="43"/>
  <c r="J319" i="43"/>
  <c r="CP316" i="43"/>
  <c r="J316" i="43"/>
  <c r="CP314" i="43"/>
  <c r="J314" i="43"/>
  <c r="CP312" i="43"/>
  <c r="J312" i="43"/>
  <c r="CP303" i="43"/>
  <c r="J301" i="43"/>
  <c r="J297" i="43"/>
  <c r="J294" i="43"/>
  <c r="J290" i="43"/>
  <c r="CP288" i="43"/>
  <c r="CP286" i="43"/>
  <c r="J284" i="43"/>
  <c r="J282" i="43"/>
  <c r="J280" i="43"/>
  <c r="CP278" i="43"/>
  <c r="CP273" i="43"/>
  <c r="CP271" i="43"/>
  <c r="CP265" i="43"/>
  <c r="CP263" i="43"/>
  <c r="J255" i="43"/>
  <c r="J253" i="43"/>
  <c r="CP251" i="43"/>
  <c r="J249" i="43"/>
  <c r="J242" i="43"/>
  <c r="J240" i="43"/>
  <c r="CP238" i="43"/>
  <c r="J236" i="43"/>
  <c r="J234" i="43"/>
  <c r="J230" i="43"/>
  <c r="CP228" i="43"/>
  <c r="J226" i="43"/>
  <c r="J224" i="43"/>
  <c r="CP220" i="43"/>
  <c r="CP218" i="43"/>
  <c r="CP216" i="43"/>
  <c r="J214" i="43"/>
  <c r="J212" i="43"/>
  <c r="CP208" i="43"/>
  <c r="CP206" i="43"/>
  <c r="J204" i="43"/>
  <c r="CP202" i="43"/>
  <c r="CP200" i="43"/>
  <c r="J198" i="43"/>
  <c r="J194" i="43"/>
  <c r="CP190" i="43"/>
  <c r="J184" i="43"/>
  <c r="J176" i="43"/>
  <c r="CP172" i="43"/>
  <c r="J166" i="43"/>
  <c r="J158" i="43"/>
  <c r="J152" i="43"/>
  <c r="CP146" i="43"/>
  <c r="J138" i="43"/>
  <c r="CP134" i="43"/>
  <c r="CP128" i="43"/>
  <c r="DV320" i="42"/>
  <c r="J320" i="42"/>
  <c r="DV318" i="42"/>
  <c r="J318" i="42"/>
  <c r="DV316" i="42"/>
  <c r="J313" i="42"/>
  <c r="DV309" i="42"/>
  <c r="J307" i="42"/>
  <c r="DV305" i="42"/>
  <c r="J305" i="42"/>
  <c r="DV302" i="42"/>
  <c r="J302" i="42"/>
  <c r="DV300" i="42"/>
  <c r="J300" i="42"/>
  <c r="J298" i="42"/>
  <c r="DV289" i="42"/>
  <c r="J283" i="42"/>
  <c r="DV281" i="42"/>
  <c r="J272" i="42"/>
  <c r="J270" i="42"/>
  <c r="J268" i="42"/>
  <c r="DV262" i="42"/>
  <c r="DV260" i="42"/>
  <c r="DV256" i="42"/>
  <c r="DV254" i="42"/>
  <c r="DV248" i="42"/>
  <c r="J246" i="42"/>
  <c r="J241" i="42"/>
  <c r="J233" i="42"/>
  <c r="J225" i="42"/>
  <c r="DV219" i="42"/>
  <c r="J217" i="42"/>
  <c r="J211" i="42"/>
  <c r="J207" i="42"/>
  <c r="J203" i="42"/>
  <c r="DV201" i="42"/>
  <c r="J197" i="42"/>
  <c r="DV191" i="42"/>
  <c r="DV189" i="42"/>
  <c r="DV187" i="42"/>
  <c r="DV185" i="42"/>
  <c r="DV183" i="42"/>
  <c r="J181" i="42"/>
  <c r="DV179" i="42"/>
  <c r="J177" i="42"/>
  <c r="DV173" i="42"/>
  <c r="J171" i="42"/>
  <c r="DV169" i="42"/>
  <c r="J165" i="42"/>
  <c r="J163" i="42"/>
  <c r="J155" i="42"/>
  <c r="DV147" i="42"/>
  <c r="J139" i="42"/>
  <c r="J135" i="42"/>
  <c r="J133" i="42"/>
  <c r="DV127" i="42"/>
  <c r="BK325" i="41"/>
  <c r="BK320" i="41"/>
  <c r="BK316" i="41"/>
  <c r="J314" i="41"/>
  <c r="J311" i="41"/>
  <c r="J300" i="41"/>
  <c r="BK298" i="41"/>
  <c r="J296" i="41"/>
  <c r="BK294" i="41"/>
  <c r="J292" i="41"/>
  <c r="J290" i="41"/>
  <c r="BK286" i="41"/>
  <c r="J284" i="41"/>
  <c r="BK281" i="41"/>
  <c r="BK269" i="41"/>
  <c r="J263" i="41"/>
  <c r="J261" i="41"/>
  <c r="J259" i="41"/>
  <c r="BK248" i="41"/>
  <c r="J244" i="41"/>
  <c r="J230" i="41"/>
  <c r="J228" i="41"/>
  <c r="J226" i="41"/>
  <c r="BK224" i="41"/>
  <c r="BK220" i="41"/>
  <c r="BK218" i="41"/>
  <c r="J214" i="41"/>
  <c r="BK212" i="41"/>
  <c r="BK210" i="41"/>
  <c r="BK208" i="41"/>
  <c r="J206" i="41"/>
  <c r="J204" i="41"/>
  <c r="J194" i="41"/>
  <c r="J192" i="41"/>
  <c r="BK190" i="41"/>
  <c r="J180" i="41"/>
  <c r="BK176" i="41"/>
  <c r="J174" i="41"/>
  <c r="J172" i="41"/>
  <c r="J164" i="41"/>
  <c r="J162" i="41"/>
  <c r="BK160" i="41"/>
  <c r="J158" i="41"/>
  <c r="BK156" i="41"/>
  <c r="J154" i="41"/>
  <c r="J150" i="41"/>
  <c r="J146" i="41"/>
  <c r="BK142" i="41"/>
  <c r="J140" i="41"/>
  <c r="J138" i="41"/>
  <c r="J129" i="40"/>
  <c r="J159" i="39"/>
  <c r="BK155" i="39"/>
  <c r="BK153" i="39"/>
  <c r="BK141" i="39"/>
  <c r="BK137" i="39"/>
  <c r="BK131" i="39"/>
  <c r="ER395" i="38"/>
  <c r="J379" i="38"/>
  <c r="J374" i="38"/>
  <c r="ER360" i="38"/>
  <c r="J355" i="38"/>
  <c r="J349" i="38"/>
  <c r="J346" i="38"/>
  <c r="ER331" i="38"/>
  <c r="J323" i="38"/>
  <c r="J316" i="38"/>
  <c r="ER312" i="38"/>
  <c r="ER294" i="38"/>
  <c r="J286" i="38"/>
  <c r="J281" i="38"/>
  <c r="J276" i="38"/>
  <c r="ER245" i="38"/>
  <c r="ER236" i="38"/>
  <c r="J219" i="38"/>
  <c r="J216" i="38"/>
  <c r="ER212" i="38"/>
  <c r="ER210" i="38"/>
  <c r="ER200" i="38"/>
  <c r="J198" i="38"/>
  <c r="ER172" i="38"/>
  <c r="J165" i="38"/>
  <c r="J157" i="38"/>
  <c r="ER153" i="38"/>
  <c r="J151" i="38"/>
  <c r="ER144" i="38"/>
  <c r="J131" i="38"/>
  <c r="J126" i="38"/>
  <c r="FS353" i="37"/>
  <c r="J353" i="37"/>
  <c r="FS349" i="37"/>
  <c r="J349" i="37"/>
  <c r="FS346" i="37"/>
  <c r="J344" i="37"/>
  <c r="J333" i="37"/>
  <c r="FS327" i="37"/>
  <c r="FS318" i="37"/>
  <c r="FS312" i="37"/>
  <c r="J309" i="37"/>
  <c r="FS303" i="37"/>
  <c r="FS299" i="37"/>
  <c r="FS297" i="37"/>
  <c r="J295" i="37"/>
  <c r="J293" i="37"/>
  <c r="J291" i="37"/>
  <c r="J283" i="37"/>
  <c r="J279" i="37"/>
  <c r="J271" i="37"/>
  <c r="J266" i="37"/>
  <c r="J262" i="37"/>
  <c r="FS215" i="37"/>
  <c r="FS197" i="37"/>
  <c r="FS195" i="37"/>
  <c r="FS190" i="37"/>
  <c r="J165" i="37"/>
  <c r="FS156" i="37"/>
  <c r="FS152" i="37"/>
  <c r="J145" i="37"/>
  <c r="FS137" i="37"/>
  <c r="J135" i="37"/>
  <c r="J130" i="37"/>
  <c r="FS125" i="37"/>
  <c r="J483" i="36"/>
  <c r="J479" i="36"/>
  <c r="DW475" i="36"/>
  <c r="DW471" i="36"/>
  <c r="DW465" i="36"/>
  <c r="DW463" i="36"/>
  <c r="J459" i="36"/>
  <c r="DW457" i="36"/>
  <c r="DW455" i="36"/>
  <c r="J451" i="36"/>
  <c r="DW444" i="36"/>
  <c r="DW438" i="36"/>
  <c r="DW427" i="36"/>
  <c r="J425" i="36"/>
  <c r="DW420" i="36"/>
  <c r="J415" i="36"/>
  <c r="DW413" i="36"/>
  <c r="DW409" i="36"/>
  <c r="DW404" i="36"/>
  <c r="J397" i="36"/>
  <c r="J387" i="36"/>
  <c r="J385" i="36"/>
  <c r="DW378" i="36"/>
  <c r="DW366" i="36"/>
  <c r="DW361" i="36"/>
  <c r="J356" i="36"/>
  <c r="J351" i="36"/>
  <c r="J331" i="36"/>
  <c r="J324" i="36"/>
  <c r="DW310" i="36"/>
  <c r="DW276" i="36"/>
  <c r="DW264" i="36"/>
  <c r="J261" i="36"/>
  <c r="DW243" i="36"/>
  <c r="J236" i="36"/>
  <c r="J226" i="36"/>
  <c r="DW197" i="36"/>
  <c r="J190" i="36"/>
  <c r="DW178" i="36"/>
  <c r="DW174" i="36"/>
  <c r="DW169" i="36"/>
  <c r="J156" i="36"/>
  <c r="DW149" i="36"/>
  <c r="J141" i="36"/>
  <c r="J139" i="36"/>
  <c r="DW129" i="36"/>
  <c r="DB349" i="35"/>
  <c r="J349" i="35"/>
  <c r="J345" i="35"/>
  <c r="DB329" i="35"/>
  <c r="J323" i="35"/>
  <c r="J318" i="35"/>
  <c r="DB314" i="35"/>
  <c r="J310" i="35"/>
  <c r="J308" i="35"/>
  <c r="DB305" i="35"/>
  <c r="DB303" i="35"/>
  <c r="J293" i="35"/>
  <c r="DB287" i="35"/>
  <c r="DB283" i="35"/>
  <c r="DB279" i="35"/>
  <c r="DB273" i="35"/>
  <c r="DB264" i="35"/>
  <c r="DB262" i="35"/>
  <c r="DB250" i="35"/>
  <c r="DB238" i="35"/>
  <c r="J233" i="35"/>
  <c r="DB229" i="35"/>
  <c r="J211" i="35"/>
  <c r="J206" i="35"/>
  <c r="DB195" i="35"/>
  <c r="J190" i="35"/>
  <c r="DB185" i="35"/>
  <c r="J182" i="35"/>
  <c r="DB173" i="35"/>
  <c r="DB165" i="35"/>
  <c r="DB163" i="35"/>
  <c r="J152" i="35"/>
  <c r="J137" i="35"/>
  <c r="DB135" i="35"/>
  <c r="J130" i="35"/>
  <c r="DB125" i="35"/>
  <c r="GQ348" i="34"/>
  <c r="J329" i="34"/>
  <c r="GQ314" i="34"/>
  <c r="GQ311" i="34"/>
  <c r="J309" i="34"/>
  <c r="J299" i="34"/>
  <c r="GQ297" i="34"/>
  <c r="J295" i="34"/>
  <c r="J277" i="34"/>
  <c r="GQ275" i="34"/>
  <c r="J270" i="34"/>
  <c r="GQ268" i="34"/>
  <c r="GQ266" i="34"/>
  <c r="J264" i="34"/>
  <c r="GQ259" i="34"/>
  <c r="J254" i="34"/>
  <c r="GQ245" i="34"/>
  <c r="GQ242" i="34"/>
  <c r="J215" i="34"/>
  <c r="GQ210" i="34"/>
  <c r="GQ201" i="34"/>
  <c r="J199" i="34"/>
  <c r="GQ194" i="34"/>
  <c r="GQ186" i="34"/>
  <c r="J177" i="34"/>
  <c r="J173" i="34"/>
  <c r="GQ167" i="34"/>
  <c r="J164" i="34"/>
  <c r="J149" i="34"/>
  <c r="J141" i="34"/>
  <c r="J134" i="34"/>
  <c r="GQ129" i="34"/>
  <c r="DF158" i="33"/>
  <c r="DF154" i="33"/>
  <c r="J147" i="33"/>
  <c r="DF136" i="33"/>
  <c r="DF130" i="33"/>
  <c r="DF128" i="33"/>
  <c r="J126" i="33"/>
  <c r="DF123" i="33"/>
  <c r="J123" i="33"/>
  <c r="J129" i="32"/>
  <c r="J312" i="31"/>
  <c r="J309" i="31"/>
  <c r="FB307" i="31"/>
  <c r="J301" i="31"/>
  <c r="J296" i="31"/>
  <c r="J291" i="31"/>
  <c r="FB286" i="31"/>
  <c r="J269" i="31"/>
  <c r="J267" i="31"/>
  <c r="FB244" i="31"/>
  <c r="FB240" i="31"/>
  <c r="FB230" i="31"/>
  <c r="J226" i="31"/>
  <c r="J200" i="31"/>
  <c r="FB197" i="31"/>
  <c r="FB190" i="31"/>
  <c r="J186" i="31"/>
  <c r="FB183" i="31"/>
  <c r="J167" i="31"/>
  <c r="J161" i="31"/>
  <c r="J154" i="31"/>
  <c r="J150" i="31"/>
  <c r="FB146" i="31"/>
  <c r="FB142" i="31"/>
  <c r="FB137" i="31"/>
  <c r="J130" i="31"/>
  <c r="CZ168" i="30"/>
  <c r="CZ166" i="30"/>
  <c r="CZ161" i="30"/>
  <c r="J159" i="30"/>
  <c r="CZ151" i="30"/>
  <c r="CZ149" i="30"/>
  <c r="J147" i="30"/>
  <c r="CZ142" i="30"/>
  <c r="CZ140" i="30"/>
  <c r="J138" i="30"/>
  <c r="J136" i="30"/>
  <c r="CZ134" i="30"/>
  <c r="J132" i="30"/>
  <c r="CZ126" i="30"/>
  <c r="J123" i="30"/>
  <c r="J129" i="29"/>
  <c r="EL301" i="28"/>
  <c r="EL285" i="28"/>
  <c r="EL280" i="28"/>
  <c r="EL274" i="28"/>
  <c r="J272" i="28"/>
  <c r="EL265" i="28"/>
  <c r="J248" i="28"/>
  <c r="J242" i="28"/>
  <c r="J238" i="28"/>
  <c r="EL230" i="28"/>
  <c r="J216" i="28"/>
  <c r="J194" i="28"/>
  <c r="EL187" i="28"/>
  <c r="J184" i="28"/>
  <c r="EL180" i="28"/>
  <c r="J177" i="28"/>
  <c r="EL157" i="28"/>
  <c r="EL155" i="28"/>
  <c r="EL151" i="28"/>
  <c r="EL149" i="28"/>
  <c r="J146" i="28"/>
  <c r="J142" i="28"/>
  <c r="EL137" i="28"/>
  <c r="J132" i="28"/>
  <c r="EL130" i="28"/>
  <c r="J128" i="28"/>
  <c r="DV160" i="27"/>
  <c r="DV154" i="27"/>
  <c r="J147" i="27"/>
  <c r="DV142" i="27"/>
  <c r="J140" i="27"/>
  <c r="J138" i="27"/>
  <c r="J136" i="27"/>
  <c r="J134" i="27"/>
  <c r="J132" i="27"/>
  <c r="DV130" i="27"/>
  <c r="J128" i="27"/>
  <c r="BK129" i="26"/>
  <c r="EL278" i="25"/>
  <c r="J270" i="25"/>
  <c r="EL265" i="25"/>
  <c r="EL259" i="25"/>
  <c r="J249" i="25"/>
  <c r="EL246" i="25"/>
  <c r="J240" i="25"/>
  <c r="J236" i="25"/>
  <c r="EL232" i="25"/>
  <c r="J228" i="25"/>
  <c r="J210" i="25"/>
  <c r="EL206" i="25"/>
  <c r="EL189" i="25"/>
  <c r="J185" i="25"/>
  <c r="EL182" i="25"/>
  <c r="J159" i="25"/>
  <c r="EL153" i="25"/>
  <c r="J149" i="25"/>
  <c r="J144" i="25"/>
  <c r="J140" i="25"/>
  <c r="J135" i="25"/>
  <c r="J130" i="25"/>
  <c r="J181" i="24"/>
  <c r="J177" i="24"/>
  <c r="J175" i="24"/>
  <c r="J172" i="24"/>
  <c r="BK170" i="24"/>
  <c r="J164" i="24"/>
  <c r="BK160" i="24"/>
  <c r="J154" i="24"/>
  <c r="BK151" i="24"/>
  <c r="J149" i="24"/>
  <c r="BK141" i="24"/>
  <c r="BK135" i="24"/>
  <c r="J132" i="24"/>
  <c r="J318" i="22"/>
  <c r="J297" i="22"/>
  <c r="J284" i="22"/>
  <c r="J275" i="22"/>
  <c r="FD273" i="22"/>
  <c r="J268" i="22"/>
  <c r="FD260" i="22"/>
  <c r="FD258" i="22"/>
  <c r="FD246" i="22"/>
  <c r="J230" i="22"/>
  <c r="J226" i="22"/>
  <c r="FD210" i="22"/>
  <c r="FD195" i="22"/>
  <c r="FD181" i="22"/>
  <c r="J177" i="22"/>
  <c r="J174" i="22"/>
  <c r="FD167" i="22"/>
  <c r="FD165" i="22"/>
  <c r="FD159" i="22"/>
  <c r="J152" i="22"/>
  <c r="J140" i="22"/>
  <c r="FD126" i="22"/>
  <c r="DV376" i="21"/>
  <c r="DV368" i="21"/>
  <c r="J363" i="21"/>
  <c r="DV354" i="21"/>
  <c r="J349" i="21"/>
  <c r="DV317" i="21"/>
  <c r="DV308" i="21"/>
  <c r="J304" i="21"/>
  <c r="DV298" i="21"/>
  <c r="J296" i="21"/>
  <c r="J294" i="21"/>
  <c r="J292" i="21"/>
  <c r="DV282" i="21"/>
  <c r="J273" i="21"/>
  <c r="DV268" i="21"/>
  <c r="J259" i="21"/>
  <c r="DV253" i="21"/>
  <c r="DV251" i="21"/>
  <c r="DV186" i="21"/>
  <c r="J180" i="21"/>
  <c r="J170" i="21"/>
  <c r="J160" i="21"/>
  <c r="J130" i="21"/>
  <c r="DF341" i="20"/>
  <c r="J335" i="20"/>
  <c r="J327" i="20"/>
  <c r="J307" i="20"/>
  <c r="J305" i="20"/>
  <c r="DF288" i="20"/>
  <c r="J280" i="20"/>
  <c r="DF278" i="20"/>
  <c r="J276" i="20"/>
  <c r="J260" i="20"/>
  <c r="DF255" i="20"/>
  <c r="DF240" i="20"/>
  <c r="DF235" i="20"/>
  <c r="DF223" i="20"/>
  <c r="J209" i="20"/>
  <c r="DF200" i="20"/>
  <c r="J185" i="20"/>
  <c r="J182" i="20"/>
  <c r="DF178" i="20"/>
  <c r="DF166" i="20"/>
  <c r="J161" i="20"/>
  <c r="J156" i="20"/>
  <c r="DF143" i="20"/>
  <c r="J137" i="20"/>
  <c r="J130" i="20"/>
  <c r="DF376" i="19"/>
  <c r="DF366" i="19"/>
  <c r="DF362" i="19"/>
  <c r="DF358" i="19"/>
  <c r="DF355" i="19"/>
  <c r="J353" i="19"/>
  <c r="DF343" i="19"/>
  <c r="DF339" i="19"/>
  <c r="J335" i="19"/>
  <c r="J332" i="19"/>
  <c r="J325" i="19"/>
  <c r="DF323" i="19"/>
  <c r="J293" i="19"/>
  <c r="DF264" i="19"/>
  <c r="DF260" i="19"/>
  <c r="J249" i="19"/>
  <c r="DF232" i="19"/>
  <c r="DF216" i="19"/>
  <c r="J207" i="19"/>
  <c r="DF181" i="19"/>
  <c r="DF173" i="19"/>
  <c r="J171" i="19"/>
  <c r="J166" i="19"/>
  <c r="DF161" i="19"/>
  <c r="DF158" i="19"/>
  <c r="DF147" i="19"/>
  <c r="DF131" i="19"/>
  <c r="DF129" i="19"/>
  <c r="DF127" i="19"/>
  <c r="EF425" i="18"/>
  <c r="J417" i="18"/>
  <c r="EF406" i="18"/>
  <c r="J396" i="18"/>
  <c r="EF392" i="18"/>
  <c r="EF378" i="18"/>
  <c r="EF376" i="18"/>
  <c r="EF369" i="18"/>
  <c r="EF367" i="18"/>
  <c r="J363" i="18"/>
  <c r="J351" i="18"/>
  <c r="EF347" i="18"/>
  <c r="EF345" i="18"/>
  <c r="EF339" i="18"/>
  <c r="J336" i="18"/>
  <c r="EF325" i="18"/>
  <c r="J322" i="18"/>
  <c r="J312" i="18"/>
  <c r="J308" i="18"/>
  <c r="J295" i="18"/>
  <c r="EF293" i="18"/>
  <c r="EF289" i="18"/>
  <c r="EF280" i="18"/>
  <c r="EF278" i="18"/>
  <c r="J274" i="18"/>
  <c r="EF272" i="18"/>
  <c r="EF268" i="18"/>
  <c r="J260" i="18"/>
  <c r="J253" i="18"/>
  <c r="EF244" i="18"/>
  <c r="J241" i="18"/>
  <c r="J230" i="18"/>
  <c r="J214" i="18"/>
  <c r="EF210" i="18"/>
  <c r="J201" i="18"/>
  <c r="EF165" i="18"/>
  <c r="J161" i="18"/>
  <c r="J159" i="18"/>
  <c r="J156" i="18"/>
  <c r="EF148" i="18"/>
  <c r="EF140" i="18"/>
  <c r="J352" i="17"/>
  <c r="J347" i="17"/>
  <c r="J342" i="17"/>
  <c r="EZ338" i="17"/>
  <c r="J333" i="17"/>
  <c r="EZ331" i="17"/>
  <c r="EZ192" i="17"/>
  <c r="J182" i="17"/>
  <c r="EZ172" i="17"/>
  <c r="J169" i="17"/>
  <c r="EZ154" i="17"/>
  <c r="J151" i="17"/>
  <c r="J147" i="17"/>
  <c r="J143" i="17"/>
  <c r="EZ129" i="17"/>
  <c r="J518" i="16"/>
  <c r="J502" i="16"/>
  <c r="EE496" i="16"/>
  <c r="EE488" i="16"/>
  <c r="EE486" i="16"/>
  <c r="J482" i="16"/>
  <c r="J474" i="16"/>
  <c r="EE469" i="16"/>
  <c r="EE465" i="16"/>
  <c r="J461" i="16"/>
  <c r="EE452" i="16"/>
  <c r="J446" i="16"/>
  <c r="EE442" i="16"/>
  <c r="EE430" i="16"/>
  <c r="J426" i="16"/>
  <c r="J422" i="16"/>
  <c r="EE420" i="16"/>
  <c r="J407" i="16"/>
  <c r="EE392" i="16"/>
  <c r="J381" i="16"/>
  <c r="J365" i="16"/>
  <c r="EE347" i="16"/>
  <c r="J345" i="16"/>
  <c r="EE340" i="16"/>
  <c r="J325" i="16"/>
  <c r="EE319" i="16"/>
  <c r="EE317" i="16"/>
  <c r="J315" i="16"/>
  <c r="EE307" i="16"/>
  <c r="EE284" i="16"/>
  <c r="J277" i="16"/>
  <c r="J267" i="16"/>
  <c r="J247" i="16"/>
  <c r="J243" i="16"/>
  <c r="J230" i="16"/>
  <c r="EE204" i="16"/>
  <c r="EE186" i="16"/>
  <c r="J165" i="16"/>
  <c r="J162" i="16"/>
  <c r="J131" i="16"/>
  <c r="DV350" i="15"/>
  <c r="J350" i="15"/>
  <c r="DV346" i="15"/>
  <c r="DV343" i="15"/>
  <c r="J341" i="15"/>
  <c r="J335" i="15"/>
  <c r="J325" i="15"/>
  <c r="J323" i="15"/>
  <c r="DV317" i="15"/>
  <c r="DV312" i="15"/>
  <c r="J294" i="15"/>
  <c r="DV284" i="15"/>
  <c r="J282" i="15"/>
  <c r="J280" i="15"/>
  <c r="J278" i="15"/>
  <c r="J271" i="15"/>
  <c r="DV255" i="15"/>
  <c r="DV251" i="15"/>
  <c r="DV245" i="15"/>
  <c r="DV243" i="15"/>
  <c r="J240" i="15"/>
  <c r="J235" i="15"/>
  <c r="J199" i="15"/>
  <c r="DV194" i="15"/>
  <c r="DV184" i="15"/>
  <c r="J181" i="15"/>
  <c r="DV177" i="15"/>
  <c r="DV175" i="15"/>
  <c r="DV167" i="15"/>
  <c r="DV165" i="15"/>
  <c r="DV160" i="15"/>
  <c r="J129" i="15"/>
  <c r="DV127" i="15"/>
  <c r="DD344" i="14"/>
  <c r="DD319" i="14"/>
  <c r="DD312" i="14"/>
  <c r="J310" i="14"/>
  <c r="J303" i="14"/>
  <c r="DD282" i="14"/>
  <c r="DD280" i="14"/>
  <c r="DD278" i="14"/>
  <c r="DD276" i="14"/>
  <c r="DD270" i="14"/>
  <c r="J260" i="14"/>
  <c r="J255" i="14"/>
  <c r="DD243" i="14"/>
  <c r="DD235" i="14"/>
  <c r="J208" i="14"/>
  <c r="J184" i="14"/>
  <c r="J181" i="14"/>
  <c r="J160" i="14"/>
  <c r="DD152" i="14"/>
  <c r="J142" i="14"/>
  <c r="DD125" i="14"/>
  <c r="ES343" i="13"/>
  <c r="ES341" i="13"/>
  <c r="J335" i="13"/>
  <c r="J327" i="13"/>
  <c r="J325" i="13"/>
  <c r="ES307" i="13"/>
  <c r="ES288" i="13"/>
  <c r="J278" i="13"/>
  <c r="ES276" i="13"/>
  <c r="J260" i="13"/>
  <c r="ES251" i="13"/>
  <c r="ES243" i="13"/>
  <c r="J240" i="13"/>
  <c r="J223" i="13"/>
  <c r="J194" i="13"/>
  <c r="ES177" i="13"/>
  <c r="ES167" i="13"/>
  <c r="ES165" i="13"/>
  <c r="ES155" i="13"/>
  <c r="ES152" i="13"/>
  <c r="ES142" i="13"/>
  <c r="ES129" i="13"/>
  <c r="ES127" i="13"/>
  <c r="ES125" i="13"/>
  <c r="J359" i="12"/>
  <c r="J354" i="12"/>
  <c r="CM351" i="12"/>
  <c r="CM349" i="12"/>
  <c r="CM335" i="12"/>
  <c r="J326" i="12"/>
  <c r="CM321" i="12"/>
  <c r="J319" i="12"/>
  <c r="J317" i="12"/>
  <c r="CM294" i="12"/>
  <c r="CM292" i="12"/>
  <c r="J280" i="12"/>
  <c r="J257" i="12"/>
  <c r="CM251" i="12"/>
  <c r="CM249" i="12"/>
  <c r="J241" i="12"/>
  <c r="CM204" i="12"/>
  <c r="J197" i="12"/>
  <c r="J180" i="12"/>
  <c r="CM158" i="12"/>
  <c r="CM155" i="12"/>
  <c r="J138" i="12"/>
  <c r="CM124" i="12"/>
  <c r="FB342" i="11"/>
  <c r="FB334" i="11"/>
  <c r="FB324" i="11"/>
  <c r="FB322" i="11"/>
  <c r="FB320" i="11"/>
  <c r="J316" i="11"/>
  <c r="FB313" i="11"/>
  <c r="J311" i="11"/>
  <c r="J302" i="11"/>
  <c r="J277" i="11"/>
  <c r="FB275" i="11"/>
  <c r="FB269" i="11"/>
  <c r="FB264" i="11"/>
  <c r="J254" i="11"/>
  <c r="FB242" i="11"/>
  <c r="FB239" i="11"/>
  <c r="FB234" i="11"/>
  <c r="FB198" i="11"/>
  <c r="J174" i="11"/>
  <c r="FB166" i="11"/>
  <c r="J164" i="11"/>
  <c r="J141" i="11"/>
  <c r="J124" i="11"/>
  <c r="DV350" i="10"/>
  <c r="J350" i="10"/>
  <c r="DV346" i="10"/>
  <c r="DV335" i="10"/>
  <c r="DV330" i="10"/>
  <c r="DV314" i="10"/>
  <c r="DV303" i="10"/>
  <c r="J292" i="10"/>
  <c r="J288" i="10"/>
  <c r="J282" i="10"/>
  <c r="DV280" i="10"/>
  <c r="DV276" i="10"/>
  <c r="J270" i="10"/>
  <c r="DV265" i="10"/>
  <c r="J260" i="10"/>
  <c r="DV245" i="10"/>
  <c r="DV243" i="10"/>
  <c r="DV240" i="10"/>
  <c r="DV223" i="10"/>
  <c r="DV199" i="10"/>
  <c r="J194" i="10"/>
  <c r="DV184" i="10"/>
  <c r="DV177" i="10"/>
  <c r="J175" i="10"/>
  <c r="J167" i="10"/>
  <c r="DV160" i="10"/>
  <c r="DV152" i="10"/>
  <c r="J129" i="10"/>
  <c r="DV125" i="10"/>
  <c r="J389" i="9"/>
  <c r="J385" i="9"/>
  <c r="ED382" i="9"/>
  <c r="J380" i="9"/>
  <c r="ED369" i="9"/>
  <c r="ED360" i="9"/>
  <c r="ED356" i="9"/>
  <c r="J353" i="9"/>
  <c r="ED351" i="9"/>
  <c r="ED349" i="9"/>
  <c r="J345" i="9"/>
  <c r="J343" i="9"/>
  <c r="ED341" i="9"/>
  <c r="J337" i="9"/>
  <c r="J333" i="9"/>
  <c r="J330" i="9"/>
  <c r="ED328" i="9"/>
  <c r="J323" i="9"/>
  <c r="J308" i="9"/>
  <c r="ED296" i="9"/>
  <c r="J294" i="9"/>
  <c r="ED292" i="9"/>
  <c r="ED282" i="9"/>
  <c r="J273" i="9"/>
  <c r="ED263" i="9"/>
  <c r="ED259" i="9"/>
  <c r="ED253" i="9"/>
  <c r="ED248" i="9"/>
  <c r="J231" i="9"/>
  <c r="J215" i="9"/>
  <c r="ED199" i="9"/>
  <c r="J186" i="9"/>
  <c r="ED182" i="9"/>
  <c r="ED165" i="9"/>
  <c r="ED160" i="9"/>
  <c r="J157" i="9"/>
  <c r="ED146" i="9"/>
  <c r="J140" i="9"/>
  <c r="J130" i="9"/>
  <c r="J128" i="9"/>
  <c r="EL348" i="8"/>
  <c r="J348" i="8"/>
  <c r="EL344" i="8"/>
  <c r="EL341" i="8"/>
  <c r="EL339" i="8"/>
  <c r="EL333" i="8"/>
  <c r="J328" i="8"/>
  <c r="J317" i="8"/>
  <c r="EL314" i="8"/>
  <c r="J312" i="8"/>
  <c r="EL306" i="8"/>
  <c r="EL302" i="8"/>
  <c r="J299" i="8"/>
  <c r="J283" i="8"/>
  <c r="EL279" i="8"/>
  <c r="EL273" i="8"/>
  <c r="J271" i="8"/>
  <c r="EL266" i="8"/>
  <c r="J264" i="8"/>
  <c r="EL260" i="8"/>
  <c r="EL249" i="8"/>
  <c r="EL244" i="8"/>
  <c r="EL239" i="8"/>
  <c r="EL186" i="8"/>
  <c r="J181" i="8"/>
  <c r="J164" i="8"/>
  <c r="EL160" i="8"/>
  <c r="EL156" i="8"/>
  <c r="EL154" i="8"/>
  <c r="J147" i="8"/>
  <c r="EL143" i="8"/>
  <c r="EL137" i="8"/>
  <c r="EL129" i="8"/>
  <c r="EL125" i="8"/>
  <c r="FO447" i="7"/>
  <c r="J447" i="7"/>
  <c r="FO443" i="7"/>
  <c r="J443" i="7"/>
  <c r="FO440" i="7"/>
  <c r="J438" i="7"/>
  <c r="FO427" i="7"/>
  <c r="FO421" i="7"/>
  <c r="FO416" i="7"/>
  <c r="FO413" i="7"/>
  <c r="J409" i="7"/>
  <c r="J397" i="7"/>
  <c r="FO393" i="7"/>
  <c r="FO389" i="7"/>
  <c r="J385" i="7"/>
  <c r="J383" i="7"/>
  <c r="FO379" i="7"/>
  <c r="FO377" i="7"/>
  <c r="J373" i="7"/>
  <c r="J370" i="7"/>
  <c r="J362" i="7"/>
  <c r="FO358" i="7"/>
  <c r="FO354" i="7"/>
  <c r="FO350" i="7"/>
  <c r="FO344" i="7"/>
  <c r="J342" i="7"/>
  <c r="FO337" i="7"/>
  <c r="J335" i="7"/>
  <c r="FO333" i="7"/>
  <c r="J331" i="7"/>
  <c r="FO310" i="7"/>
  <c r="FO302" i="7"/>
  <c r="J297" i="7"/>
  <c r="FO283" i="7"/>
  <c r="FO244" i="7"/>
  <c r="J227" i="7"/>
  <c r="FO216" i="7"/>
  <c r="FO213" i="7"/>
  <c r="J199" i="7"/>
  <c r="J197" i="7"/>
  <c r="J192" i="7"/>
  <c r="J165" i="7"/>
  <c r="FO155" i="7"/>
  <c r="DZ413" i="6"/>
  <c r="J402" i="6"/>
  <c r="DZ396" i="6"/>
  <c r="DZ391" i="6"/>
  <c r="J387" i="6"/>
  <c r="J384" i="6"/>
  <c r="J382" i="6"/>
  <c r="DZ368" i="6"/>
  <c r="J366" i="6"/>
  <c r="J364" i="6"/>
  <c r="DZ354" i="6"/>
  <c r="DZ344" i="6"/>
  <c r="DZ342" i="6"/>
  <c r="DZ338" i="6"/>
  <c r="DZ334" i="6"/>
  <c r="J331" i="6"/>
  <c r="J326" i="6"/>
  <c r="DZ321" i="6"/>
  <c r="J319" i="6"/>
  <c r="DZ311" i="6"/>
  <c r="DZ305" i="6"/>
  <c r="DZ303" i="6"/>
  <c r="DZ298" i="6"/>
  <c r="DZ292" i="6"/>
  <c r="DZ277" i="6"/>
  <c r="J275" i="6"/>
  <c r="DZ273" i="6"/>
  <c r="DZ257" i="6"/>
  <c r="J240" i="6"/>
  <c r="DZ203" i="6"/>
  <c r="J199" i="6"/>
  <c r="J194" i="6"/>
  <c r="DZ192" i="6"/>
  <c r="J187" i="6"/>
  <c r="J179" i="6"/>
  <c r="J169" i="6"/>
  <c r="DZ152" i="6"/>
  <c r="J133" i="6"/>
  <c r="EA362" i="5"/>
  <c r="EA351" i="5"/>
  <c r="EA346" i="5"/>
  <c r="EA335" i="5"/>
  <c r="J329" i="5"/>
  <c r="EA327" i="5"/>
  <c r="EA323" i="5"/>
  <c r="EA319" i="5"/>
  <c r="J317" i="5"/>
  <c r="EA302" i="5"/>
  <c r="EA300" i="5"/>
  <c r="J298" i="5"/>
  <c r="EA294" i="5"/>
  <c r="J290" i="5"/>
  <c r="EA284" i="5"/>
  <c r="EA263" i="5"/>
  <c r="J261" i="5"/>
  <c r="EA250" i="5"/>
  <c r="J245" i="5"/>
  <c r="EA240" i="5"/>
  <c r="EA233" i="5"/>
  <c r="EA209" i="5"/>
  <c r="J194" i="5"/>
  <c r="J187" i="5"/>
  <c r="EA182" i="5"/>
  <c r="J174" i="5"/>
  <c r="EA161" i="5"/>
  <c r="J157" i="5"/>
  <c r="EA155" i="5"/>
  <c r="EA144" i="5"/>
  <c r="EA130" i="5"/>
  <c r="J128" i="5"/>
  <c r="J126" i="5"/>
  <c r="FD388" i="4"/>
  <c r="J380" i="4"/>
  <c r="J369" i="4"/>
  <c r="J361" i="4"/>
  <c r="J351" i="4"/>
  <c r="FD341" i="4"/>
  <c r="FD339" i="4"/>
  <c r="J337" i="4"/>
  <c r="J331" i="4"/>
  <c r="J329" i="4"/>
  <c r="J325" i="4"/>
  <c r="J314" i="4"/>
  <c r="FD309" i="4"/>
  <c r="FD306" i="4"/>
  <c r="FD299" i="4"/>
  <c r="FD291" i="4"/>
  <c r="J281" i="4"/>
  <c r="FD279" i="4"/>
  <c r="J270" i="4"/>
  <c r="J268" i="4"/>
  <c r="FD256" i="4"/>
  <c r="FD238" i="4"/>
  <c r="J234" i="4"/>
  <c r="J231" i="4"/>
  <c r="J224" i="4"/>
  <c r="J205" i="4"/>
  <c r="FD189" i="4"/>
  <c r="J184" i="4"/>
  <c r="J182" i="4"/>
  <c r="FD170" i="4"/>
  <c r="FD167" i="4"/>
  <c r="J152" i="4"/>
  <c r="J144" i="4"/>
  <c r="FD138" i="4"/>
  <c r="J129" i="4"/>
  <c r="J125" i="4"/>
  <c r="DN402" i="3"/>
  <c r="J394" i="3"/>
  <c r="DN369" i="3"/>
  <c r="DN353" i="3"/>
  <c r="DN349" i="3"/>
  <c r="J339" i="3"/>
  <c r="J331" i="3"/>
  <c r="DN315" i="3"/>
  <c r="DN301" i="3"/>
  <c r="DN295" i="3"/>
  <c r="J288" i="3"/>
  <c r="J282" i="3"/>
  <c r="DN274" i="3"/>
  <c r="J270" i="3"/>
  <c r="DN252" i="3"/>
  <c r="DN232" i="3"/>
  <c r="J195" i="3"/>
  <c r="DN193" i="3"/>
  <c r="DN186" i="3"/>
  <c r="J182" i="3"/>
  <c r="J179" i="3"/>
  <c r="DN165" i="3"/>
  <c r="J161" i="3"/>
  <c r="J152" i="3"/>
  <c r="DN133" i="3"/>
  <c r="DN131" i="3"/>
  <c r="J129" i="3"/>
  <c r="EU425" i="2"/>
  <c r="J425" i="2"/>
  <c r="EU420" i="2"/>
  <c r="J420" i="2"/>
  <c r="EU416" i="2"/>
  <c r="J416" i="2"/>
  <c r="EU403" i="2"/>
  <c r="J397" i="2"/>
  <c r="J392" i="2"/>
  <c r="J388" i="2"/>
  <c r="J383" i="2"/>
  <c r="J379" i="2"/>
  <c r="J375" i="2"/>
  <c r="EU371" i="2"/>
  <c r="EU366" i="2"/>
  <c r="J362" i="2"/>
  <c r="J360" i="2"/>
  <c r="J358" i="2"/>
  <c r="EU346" i="2"/>
  <c r="J344" i="2"/>
  <c r="J342" i="2"/>
  <c r="J335" i="2"/>
  <c r="EU330" i="2"/>
  <c r="J327" i="2"/>
  <c r="EU325" i="2"/>
  <c r="J309" i="2"/>
  <c r="EU300" i="2"/>
  <c r="EU278" i="2"/>
  <c r="J272" i="2"/>
  <c r="EU267" i="2"/>
  <c r="J239" i="2"/>
  <c r="EU210" i="2"/>
  <c r="EU206" i="2"/>
  <c r="J201" i="2"/>
  <c r="EU194" i="2"/>
  <c r="J189" i="2"/>
  <c r="J186" i="2"/>
  <c r="EU177" i="2"/>
  <c r="J175" i="2"/>
  <c r="EU171" i="2"/>
  <c r="J167" i="2"/>
  <c r="J163" i="2"/>
  <c r="EU158" i="2"/>
  <c r="EU151" i="2"/>
  <c r="J147" i="2"/>
  <c r="AZ141" i="1"/>
  <c r="AZ129" i="1"/>
  <c r="AZ121" i="1"/>
  <c r="AZ105" i="1"/>
  <c r="F41" i="45"/>
  <c r="BK148" i="1" s="1"/>
  <c r="BK147" i="1" s="1"/>
  <c r="F38" i="45"/>
  <c r="BH148" i="1" s="1"/>
  <c r="BH147" i="1" s="1"/>
  <c r="BD147" i="1" s="1"/>
  <c r="F38" i="40"/>
  <c r="BH138" i="1" s="1"/>
  <c r="BH137" i="1" s="1"/>
  <c r="BD137" i="1" s="1"/>
  <c r="F39" i="32"/>
  <c r="BI127" i="1" s="1"/>
  <c r="F39" i="29"/>
  <c r="BI123" i="1" s="1"/>
  <c r="F39" i="45"/>
  <c r="BI148" i="1" s="1"/>
  <c r="BI147" i="1" s="1"/>
  <c r="BE147" i="1" s="1"/>
  <c r="F39" i="40"/>
  <c r="BI138" i="1" s="1"/>
  <c r="BI137" i="1" s="1"/>
  <c r="BE137" i="1" s="1"/>
  <c r="F38" i="32"/>
  <c r="BH127" i="1" s="1"/>
  <c r="F38" i="29"/>
  <c r="BH123" i="1" s="1"/>
  <c r="F41" i="26"/>
  <c r="BK119" i="1"/>
  <c r="F38" i="26"/>
  <c r="BH119" i="1" s="1"/>
  <c r="F40" i="23"/>
  <c r="BJ115" i="1" s="1"/>
  <c r="F41" i="40"/>
  <c r="BK138" i="1" s="1"/>
  <c r="BK137" i="1" s="1"/>
  <c r="F41" i="32"/>
  <c r="BK127" i="1" s="1"/>
  <c r="F41" i="29"/>
  <c r="BK123" i="1" s="1"/>
  <c r="F39" i="26"/>
  <c r="BI119" i="1" s="1"/>
  <c r="F41" i="23"/>
  <c r="BK115" i="1" s="1"/>
  <c r="F38" i="23"/>
  <c r="BH115" i="1" s="1"/>
  <c r="F40" i="45"/>
  <c r="BJ148" i="1" s="1"/>
  <c r="BJ147" i="1" s="1"/>
  <c r="BF147" i="1" s="1"/>
  <c r="BB147" i="1"/>
  <c r="F40" i="40"/>
  <c r="BJ138" i="1" s="1"/>
  <c r="BJ137" i="1" s="1"/>
  <c r="BF137" i="1" s="1"/>
  <c r="F40" i="32"/>
  <c r="BJ127" i="1" s="1"/>
  <c r="F40" i="29"/>
  <c r="BJ123" i="1"/>
  <c r="F40" i="26"/>
  <c r="BJ119" i="1"/>
  <c r="F39" i="23"/>
  <c r="BI115" i="1" s="1"/>
  <c r="CO400" i="18" l="1"/>
  <c r="P177" i="2"/>
  <c r="Q177" i="2" s="1"/>
  <c r="Q186" i="2"/>
  <c r="DK256" i="31"/>
  <c r="DM262" i="22"/>
  <c r="F39" i="9"/>
  <c r="F40" i="9"/>
  <c r="F41" i="9"/>
  <c r="BK98" i="1" s="1"/>
  <c r="J38" i="9"/>
  <c r="BD98" i="1" s="1"/>
  <c r="F38" i="9"/>
  <c r="BH98" i="1" s="1"/>
  <c r="CQ243" i="8"/>
  <c r="O158" i="2"/>
  <c r="M256" i="2"/>
  <c r="M255" i="2" s="1"/>
  <c r="O256" i="2"/>
  <c r="O255" i="2" s="1"/>
  <c r="M167" i="2"/>
  <c r="O167" i="2"/>
  <c r="M298" i="2"/>
  <c r="O298" i="2"/>
  <c r="O295" i="2" s="1"/>
  <c r="O248" i="2"/>
  <c r="M267" i="2"/>
  <c r="O267" i="2"/>
  <c r="O261" i="2" s="1"/>
  <c r="O319" i="2"/>
  <c r="O314" i="2" s="1"/>
  <c r="O133" i="2"/>
  <c r="M163" i="2"/>
  <c r="O163" i="2"/>
  <c r="M210" i="2"/>
  <c r="O210" i="2"/>
  <c r="P131" i="2"/>
  <c r="Q131" i="2" s="1"/>
  <c r="O131" i="2"/>
  <c r="BU377" i="3"/>
  <c r="P348" i="2"/>
  <c r="Q348" i="2" s="1"/>
  <c r="P360" i="2"/>
  <c r="Q360" i="2" s="1"/>
  <c r="M403" i="2"/>
  <c r="M186" i="2"/>
  <c r="M151" i="2"/>
  <c r="M319" i="2"/>
  <c r="M221" i="2"/>
  <c r="P154" i="2"/>
  <c r="Q154" i="2" s="1"/>
  <c r="P175" i="2"/>
  <c r="Q175" i="2" s="1"/>
  <c r="V424" i="2"/>
  <c r="V255" i="2"/>
  <c r="M248" i="2"/>
  <c r="M201" i="2"/>
  <c r="P397" i="2"/>
  <c r="Q397" i="2" s="1"/>
  <c r="M129" i="2"/>
  <c r="P163" i="2"/>
  <c r="Q163" i="2" s="1"/>
  <c r="P420" i="2"/>
  <c r="Q420" i="2" s="1"/>
  <c r="P167" i="2"/>
  <c r="Q167" i="2" s="1"/>
  <c r="P371" i="2"/>
  <c r="Q371" i="2" s="1"/>
  <c r="M133" i="2"/>
  <c r="M177" i="2"/>
  <c r="M239" i="2"/>
  <c r="M206" i="2"/>
  <c r="P358" i="2"/>
  <c r="Q358" i="2" s="1"/>
  <c r="P414" i="2"/>
  <c r="Q414" i="2" s="1"/>
  <c r="P364" i="2"/>
  <c r="Q364" i="2" s="1"/>
  <c r="P280" i="2"/>
  <c r="Q280" i="2" s="1"/>
  <c r="M330" i="2"/>
  <c r="V387" i="2"/>
  <c r="P284" i="2"/>
  <c r="Q284" i="2" s="1"/>
  <c r="V261" i="2"/>
  <c r="M158" i="2"/>
  <c r="T295" i="2"/>
  <c r="P309" i="2"/>
  <c r="Q309" i="2" s="1"/>
  <c r="M379" i="2"/>
  <c r="M344" i="2"/>
  <c r="P416" i="2"/>
  <c r="Q416" i="2" s="1"/>
  <c r="T314" i="2"/>
  <c r="V314" i="2"/>
  <c r="V295" i="2"/>
  <c r="M392" i="2"/>
  <c r="P147" i="2"/>
  <c r="Q147" i="2" s="1"/>
  <c r="V128" i="2"/>
  <c r="T402" i="2"/>
  <c r="T387" i="2"/>
  <c r="T261" i="2"/>
  <c r="V402" i="2"/>
  <c r="T128" i="2"/>
  <c r="M171" i="2"/>
  <c r="M141" i="2"/>
  <c r="P354" i="2"/>
  <c r="Q354" i="2" s="1"/>
  <c r="M302" i="2"/>
  <c r="P338" i="2"/>
  <c r="Q338" i="2" s="1"/>
  <c r="M189" i="2"/>
  <c r="M243" i="2"/>
  <c r="P243" i="2"/>
  <c r="Q243" i="2" s="1"/>
  <c r="M194" i="2"/>
  <c r="P194" i="2"/>
  <c r="Q194" i="2" s="1"/>
  <c r="M161" i="2"/>
  <c r="P161" i="2"/>
  <c r="Q161" i="2" s="1"/>
  <c r="P252" i="2"/>
  <c r="Q252" i="2" s="1"/>
  <c r="M252" i="2"/>
  <c r="M290" i="2"/>
  <c r="M366" i="2"/>
  <c r="P366" i="2"/>
  <c r="Q366" i="2" s="1"/>
  <c r="P325" i="2"/>
  <c r="Q325" i="2" s="1"/>
  <c r="P276" i="2"/>
  <c r="Q276" i="2" s="1"/>
  <c r="P342" i="2"/>
  <c r="Q342" i="2" s="1"/>
  <c r="M342" i="2"/>
  <c r="P362" i="2"/>
  <c r="Q362" i="2" s="1"/>
  <c r="M362" i="2"/>
  <c r="P327" i="2"/>
  <c r="Q327" i="2" s="1"/>
  <c r="M327" i="2"/>
  <c r="P262" i="2"/>
  <c r="Q262" i="2" s="1"/>
  <c r="M262" i="2"/>
  <c r="P300" i="2"/>
  <c r="Q300" i="2" s="1"/>
  <c r="M300" i="2"/>
  <c r="M323" i="2"/>
  <c r="P323" i="2"/>
  <c r="Q323" i="2" s="1"/>
  <c r="M296" i="2"/>
  <c r="P296" i="2"/>
  <c r="Q296" i="2" s="1"/>
  <c r="M335" i="2"/>
  <c r="P335" i="2"/>
  <c r="Q335" i="2" s="1"/>
  <c r="M307" i="2"/>
  <c r="P307" i="2"/>
  <c r="Q307" i="2" s="1"/>
  <c r="M282" i="2"/>
  <c r="P282" i="2"/>
  <c r="Q282" i="2" s="1"/>
  <c r="P388" i="2"/>
  <c r="Q388" i="2" s="1"/>
  <c r="M388" i="2"/>
  <c r="P352" i="2"/>
  <c r="Q352" i="2" s="1"/>
  <c r="M352" i="2"/>
  <c r="P278" i="2"/>
  <c r="Q278" i="2" s="1"/>
  <c r="M278" i="2"/>
  <c r="P375" i="2"/>
  <c r="Q375" i="2" s="1"/>
  <c r="M375" i="2"/>
  <c r="P315" i="2"/>
  <c r="Q315" i="2" s="1"/>
  <c r="M315" i="2"/>
  <c r="M346" i="2"/>
  <c r="P346" i="2"/>
  <c r="Q346" i="2" s="1"/>
  <c r="M272" i="2"/>
  <c r="P272" i="2"/>
  <c r="Q272" i="2" s="1"/>
  <c r="P425" i="2"/>
  <c r="Q425" i="2" s="1"/>
  <c r="Q424" i="2" s="1"/>
  <c r="M425" i="2"/>
  <c r="M424" i="2" s="1"/>
  <c r="P288" i="2"/>
  <c r="Q288" i="2" s="1"/>
  <c r="M288" i="2"/>
  <c r="P408" i="2"/>
  <c r="Q408" i="2" s="1"/>
  <c r="M408" i="2"/>
  <c r="M402" i="2" s="1"/>
  <c r="DI256" i="31"/>
  <c r="CH345" i="5"/>
  <c r="DI262" i="22"/>
  <c r="DK262" i="22"/>
  <c r="CK400" i="18"/>
  <c r="CM400" i="18"/>
  <c r="CK368" i="9"/>
  <c r="CS243" i="8"/>
  <c r="CU243" i="8"/>
  <c r="CF345" i="5"/>
  <c r="CJ345" i="5"/>
  <c r="BW377" i="3"/>
  <c r="BS377" i="3"/>
  <c r="CZ128" i="2"/>
  <c r="CZ261" i="2"/>
  <c r="DB295" i="2"/>
  <c r="CZ314" i="2"/>
  <c r="DD387" i="2"/>
  <c r="DB402" i="2"/>
  <c r="BS128" i="3"/>
  <c r="BS251" i="3"/>
  <c r="BU281" i="3"/>
  <c r="BS300" i="3"/>
  <c r="BU388" i="3"/>
  <c r="DK124" i="4"/>
  <c r="DM243" i="4"/>
  <c r="DK267" i="4"/>
  <c r="DI286" i="4"/>
  <c r="DI363" i="4"/>
  <c r="DI374" i="4"/>
  <c r="CH125" i="5"/>
  <c r="CH244" i="5"/>
  <c r="CH270" i="5"/>
  <c r="CF289" i="5"/>
  <c r="CF356" i="5"/>
  <c r="DZ128" i="6"/>
  <c r="J128" i="6" s="1"/>
  <c r="J101" i="6" s="1"/>
  <c r="CI251" i="6"/>
  <c r="CI291" i="6"/>
  <c r="CI310" i="6"/>
  <c r="CI386" i="6"/>
  <c r="CG401" i="6"/>
  <c r="FO124" i="7"/>
  <c r="DX296" i="7"/>
  <c r="DX330" i="7"/>
  <c r="DV349" i="7"/>
  <c r="FO426" i="7"/>
  <c r="J426" i="7" s="1"/>
  <c r="J107" i="7" s="1"/>
  <c r="CQ124" i="8"/>
  <c r="EL278" i="8"/>
  <c r="J278" i="8" s="1"/>
  <c r="J105" i="8" s="1"/>
  <c r="CS278" i="8"/>
  <c r="CQ316" i="8"/>
  <c r="CU316" i="8"/>
  <c r="CQ327" i="8"/>
  <c r="CI125" i="9"/>
  <c r="CM267" i="9"/>
  <c r="CI291" i="9"/>
  <c r="CM291" i="9"/>
  <c r="CI303" i="9"/>
  <c r="ED355" i="9"/>
  <c r="J355" i="9" s="1"/>
  <c r="J106" i="9" s="1"/>
  <c r="CK355" i="9"/>
  <c r="CI368" i="9"/>
  <c r="CE124" i="10"/>
  <c r="CC259" i="10"/>
  <c r="CC275" i="10"/>
  <c r="CA287" i="10"/>
  <c r="CA329" i="10"/>
  <c r="DK123" i="11"/>
  <c r="DI258" i="11"/>
  <c r="DI274" i="11"/>
  <c r="DG286" i="11"/>
  <c r="DG328" i="11"/>
  <c r="AT123" i="12"/>
  <c r="AR265" i="12"/>
  <c r="AV289" i="12"/>
  <c r="AV301" i="12"/>
  <c r="AT353" i="12"/>
  <c r="ES124" i="13"/>
  <c r="J124" i="13" s="1"/>
  <c r="J101" i="13" s="1"/>
  <c r="CX259" i="13"/>
  <c r="CX275" i="13"/>
  <c r="CX287" i="13"/>
  <c r="CX329" i="13"/>
  <c r="DD124" i="14"/>
  <c r="BK259" i="14"/>
  <c r="BK275" i="14"/>
  <c r="BK287" i="14"/>
  <c r="BK327" i="14"/>
  <c r="CE124" i="15"/>
  <c r="CA259" i="15"/>
  <c r="CC277" i="15"/>
  <c r="CA289" i="15"/>
  <c r="CA329" i="15"/>
  <c r="CN128" i="16"/>
  <c r="CJ288" i="16"/>
  <c r="CJ333" i="16"/>
  <c r="CJ352" i="16"/>
  <c r="CN490" i="16"/>
  <c r="CL501" i="16"/>
  <c r="EZ124" i="17"/>
  <c r="DG238" i="17"/>
  <c r="DG266" i="17"/>
  <c r="DE285" i="17"/>
  <c r="DE346" i="17"/>
  <c r="DE357" i="17"/>
  <c r="CK125" i="18"/>
  <c r="EF252" i="18"/>
  <c r="J252" i="18" s="1"/>
  <c r="J103" i="18" s="1"/>
  <c r="EF288" i="18"/>
  <c r="J288" i="18" s="1"/>
  <c r="J104" i="18" s="1"/>
  <c r="CM307" i="18"/>
  <c r="CO411" i="18"/>
  <c r="DF126" i="19"/>
  <c r="BM268" i="19"/>
  <c r="BK292" i="19"/>
  <c r="BK304" i="19"/>
  <c r="BM357" i="19"/>
  <c r="BO370" i="19"/>
  <c r="BO125" i="20"/>
  <c r="BM259" i="20"/>
  <c r="BO275" i="20"/>
  <c r="BK287" i="20"/>
  <c r="BO329" i="20"/>
  <c r="CE125" i="21"/>
  <c r="CC267" i="21"/>
  <c r="CE291" i="21"/>
  <c r="CE303" i="21"/>
  <c r="CC353" i="21"/>
  <c r="CE362" i="21"/>
  <c r="DM125" i="22"/>
  <c r="DI217" i="22"/>
  <c r="DM272" i="22"/>
  <c r="DM291" i="22"/>
  <c r="DI301" i="22"/>
  <c r="T134" i="24"/>
  <c r="P153" i="24"/>
  <c r="P174" i="24"/>
  <c r="CU125" i="25"/>
  <c r="CQ209" i="25"/>
  <c r="EL248" i="25"/>
  <c r="J248" i="25" s="1"/>
  <c r="J104" i="25" s="1"/>
  <c r="CS248" i="25"/>
  <c r="CQ258" i="25"/>
  <c r="EL277" i="25"/>
  <c r="J277" i="25" s="1"/>
  <c r="J106" i="25" s="1"/>
  <c r="CS277" i="25"/>
  <c r="CQ287" i="25"/>
  <c r="CE125" i="27"/>
  <c r="CE144" i="27"/>
  <c r="CA153" i="27"/>
  <c r="CQ127" i="28"/>
  <c r="CQ211" i="28"/>
  <c r="CU250" i="28"/>
  <c r="CQ260" i="28"/>
  <c r="CQ279" i="28"/>
  <c r="CS289" i="28"/>
  <c r="CZ125" i="30"/>
  <c r="J125" i="30" s="1"/>
  <c r="J103" i="30" s="1"/>
  <c r="CZ144" i="30"/>
  <c r="J144" i="30" s="1"/>
  <c r="J104" i="30" s="1"/>
  <c r="CZ165" i="30"/>
  <c r="J165" i="30" s="1"/>
  <c r="J105" i="30" s="1"/>
  <c r="FB127" i="31"/>
  <c r="FB217" i="31"/>
  <c r="J217" i="31" s="1"/>
  <c r="J103" i="31" s="1"/>
  <c r="FB266" i="31"/>
  <c r="J266" i="31" s="1"/>
  <c r="J105" i="31" s="1"/>
  <c r="FB285" i="31"/>
  <c r="J285" i="31" s="1"/>
  <c r="J106" i="31" s="1"/>
  <c r="DK285" i="31"/>
  <c r="DK295" i="31"/>
  <c r="DF125" i="33"/>
  <c r="J125" i="33" s="1"/>
  <c r="J103" i="33" s="1"/>
  <c r="DF144" i="33"/>
  <c r="J144" i="33" s="1"/>
  <c r="J104" i="33" s="1"/>
  <c r="BO144" i="33"/>
  <c r="BK153" i="33"/>
  <c r="GQ128" i="34"/>
  <c r="EZ253" i="34"/>
  <c r="EZ334" i="34"/>
  <c r="DB124" i="35"/>
  <c r="DB259" i="35"/>
  <c r="J259" i="35" s="1"/>
  <c r="J104" i="35" s="1"/>
  <c r="DB278" i="35"/>
  <c r="J278" i="35" s="1"/>
  <c r="J105" i="35" s="1"/>
  <c r="BK328" i="35"/>
  <c r="CF128" i="36"/>
  <c r="CD347" i="36"/>
  <c r="CD396" i="36"/>
  <c r="CB424" i="36"/>
  <c r="CD443" i="36"/>
  <c r="CD581" i="36"/>
  <c r="FS124" i="37"/>
  <c r="J124" i="37" s="1"/>
  <c r="J101" i="37" s="1"/>
  <c r="DZ249" i="37"/>
  <c r="EB259" i="37"/>
  <c r="DZ278" i="37"/>
  <c r="EB332" i="37"/>
  <c r="ER125" i="38"/>
  <c r="ER297" i="38"/>
  <c r="J297" i="38" s="1"/>
  <c r="J103" i="38" s="1"/>
  <c r="ER328" i="38"/>
  <c r="J328" i="38" s="1"/>
  <c r="J105" i="38" s="1"/>
  <c r="ER341" i="38"/>
  <c r="J341" i="38" s="1"/>
  <c r="J106" i="38" s="1"/>
  <c r="ER373" i="38"/>
  <c r="J373" i="38" s="1"/>
  <c r="J107" i="38" s="1"/>
  <c r="ER383" i="38"/>
  <c r="J383" i="38" s="1"/>
  <c r="J108" i="38" s="1"/>
  <c r="T130" i="39"/>
  <c r="T143" i="39"/>
  <c r="P152" i="39"/>
  <c r="R135" i="41"/>
  <c r="R241" i="41"/>
  <c r="R252" i="41"/>
  <c r="R283" i="41"/>
  <c r="T304" i="41"/>
  <c r="T313" i="41"/>
  <c r="T324" i="41"/>
  <c r="CA126" i="42"/>
  <c r="CE232" i="42"/>
  <c r="CA243" i="42"/>
  <c r="CA274" i="42"/>
  <c r="CA295" i="42"/>
  <c r="DV315" i="42"/>
  <c r="J315" i="42" s="1"/>
  <c r="J109" i="42" s="1"/>
  <c r="AW127" i="43"/>
  <c r="AU233" i="43"/>
  <c r="AY244" i="43"/>
  <c r="AW275" i="43"/>
  <c r="AW296" i="43"/>
  <c r="AW307" i="43"/>
  <c r="AY318" i="43"/>
  <c r="DF126" i="44"/>
  <c r="DF232" i="44"/>
  <c r="J232" i="44" s="1"/>
  <c r="J104" i="44" s="1"/>
  <c r="BK232" i="44"/>
  <c r="BM243" i="44"/>
  <c r="BK274" i="44"/>
  <c r="BK295" i="44"/>
  <c r="BK304" i="44"/>
  <c r="BM315" i="44"/>
  <c r="CE117" i="46"/>
  <c r="CE115" i="46" s="1"/>
  <c r="CE114" i="46" s="1"/>
  <c r="EU128" i="2"/>
  <c r="J128" i="2" s="1"/>
  <c r="J101" i="2" s="1"/>
  <c r="EU261" i="2"/>
  <c r="J261" i="2" s="1"/>
  <c r="J103" i="2" s="1"/>
  <c r="EU295" i="2"/>
  <c r="J295" i="2" s="1"/>
  <c r="J104" i="2" s="1"/>
  <c r="DD314" i="2"/>
  <c r="DB387" i="2"/>
  <c r="CZ402" i="2"/>
  <c r="BU128" i="3"/>
  <c r="BW251" i="3"/>
  <c r="BS281" i="3"/>
  <c r="BU300" i="3"/>
  <c r="BW388" i="3"/>
  <c r="DM124" i="4"/>
  <c r="FD243" i="4"/>
  <c r="J243" i="4" s="1"/>
  <c r="J103" i="4" s="1"/>
  <c r="FD267" i="4"/>
  <c r="J267" i="4" s="1"/>
  <c r="J104" i="4" s="1"/>
  <c r="FD286" i="4"/>
  <c r="J286" i="4" s="1"/>
  <c r="J105" i="4" s="1"/>
  <c r="FD363" i="4"/>
  <c r="J363" i="4" s="1"/>
  <c r="J106" i="4" s="1"/>
  <c r="FD374" i="4"/>
  <c r="J374" i="4" s="1"/>
  <c r="J107" i="4" s="1"/>
  <c r="CF125" i="5"/>
  <c r="CJ244" i="5"/>
  <c r="CJ270" i="5"/>
  <c r="CH289" i="5"/>
  <c r="CH356" i="5"/>
  <c r="CI128" i="6"/>
  <c r="CE251" i="6"/>
  <c r="CE291" i="6"/>
  <c r="DZ310" i="6"/>
  <c r="J310" i="6" s="1"/>
  <c r="J105" i="6" s="1"/>
  <c r="DZ386" i="6"/>
  <c r="J386" i="6" s="1"/>
  <c r="J106" i="6" s="1"/>
  <c r="DZ401" i="6"/>
  <c r="J401" i="6" s="1"/>
  <c r="J107" i="6" s="1"/>
  <c r="DX124" i="7"/>
  <c r="DT296" i="7"/>
  <c r="DV330" i="7"/>
  <c r="DX349" i="7"/>
  <c r="DV415" i="7"/>
  <c r="DV426" i="7"/>
  <c r="CU124" i="8"/>
  <c r="EL259" i="8"/>
  <c r="J259" i="8" s="1"/>
  <c r="J104" i="8" s="1"/>
  <c r="CS259" i="8"/>
  <c r="CU278" i="8"/>
  <c r="EL327" i="8"/>
  <c r="J327" i="8" s="1"/>
  <c r="J107" i="8" s="1"/>
  <c r="CS327" i="8"/>
  <c r="CM125" i="9"/>
  <c r="ED267" i="9"/>
  <c r="J267" i="9" s="1"/>
  <c r="J103" i="9" s="1"/>
  <c r="CK267" i="9"/>
  <c r="ED303" i="9"/>
  <c r="J303" i="9" s="1"/>
  <c r="J105" i="9" s="1"/>
  <c r="CK303" i="9"/>
  <c r="CI355" i="9"/>
  <c r="ED368" i="9"/>
  <c r="J368" i="9" s="1"/>
  <c r="J107" i="9" s="1"/>
  <c r="CA124" i="10"/>
  <c r="DV259" i="10"/>
  <c r="J259" i="10" s="1"/>
  <c r="J103" i="10" s="1"/>
  <c r="DV275" i="10"/>
  <c r="J275" i="10" s="1"/>
  <c r="J104" i="10" s="1"/>
  <c r="DV287" i="10"/>
  <c r="J287" i="10" s="1"/>
  <c r="J105" i="10" s="1"/>
  <c r="DV329" i="10"/>
  <c r="J329" i="10" s="1"/>
  <c r="J106" i="10" s="1"/>
  <c r="DG123" i="11"/>
  <c r="FB258" i="11"/>
  <c r="J258" i="11" s="1"/>
  <c r="J103" i="11" s="1"/>
  <c r="FB274" i="11"/>
  <c r="J274" i="11" s="1"/>
  <c r="J104" i="11" s="1"/>
  <c r="FB286" i="11"/>
  <c r="J286" i="11" s="1"/>
  <c r="J105" i="11" s="1"/>
  <c r="FB328" i="11"/>
  <c r="J328" i="11" s="1"/>
  <c r="J106" i="11" s="1"/>
  <c r="AR123" i="12"/>
  <c r="AV265" i="12"/>
  <c r="AR289" i="12"/>
  <c r="AR301" i="12"/>
  <c r="AV353" i="12"/>
  <c r="CZ124" i="13"/>
  <c r="CZ259" i="13"/>
  <c r="DB275" i="13"/>
  <c r="CZ287" i="13"/>
  <c r="DB329" i="13"/>
  <c r="BI124" i="14"/>
  <c r="DD259" i="14"/>
  <c r="J259" i="14" s="1"/>
  <c r="J103" i="14" s="1"/>
  <c r="BM259" i="14"/>
  <c r="BM275" i="14"/>
  <c r="BM287" i="14"/>
  <c r="BM327" i="14"/>
  <c r="CC124" i="15"/>
  <c r="CC259" i="15"/>
  <c r="CA277" i="15"/>
  <c r="CC289" i="15"/>
  <c r="CC329" i="15"/>
  <c r="CJ128" i="16"/>
  <c r="CL288" i="16"/>
  <c r="CL333" i="16"/>
  <c r="CN352" i="16"/>
  <c r="CL490" i="16"/>
  <c r="CN501" i="16"/>
  <c r="DE124" i="17"/>
  <c r="DI238" i="17"/>
  <c r="DI266" i="17"/>
  <c r="DI285" i="17"/>
  <c r="DG346" i="17"/>
  <c r="DG357" i="17"/>
  <c r="EF125" i="18"/>
  <c r="J125" i="18" s="1"/>
  <c r="J101" i="18" s="1"/>
  <c r="CM252" i="18"/>
  <c r="CO288" i="18"/>
  <c r="EF307" i="18"/>
  <c r="J307" i="18" s="1"/>
  <c r="J105" i="18" s="1"/>
  <c r="EF411" i="18"/>
  <c r="J411" i="18" s="1"/>
  <c r="J107" i="18" s="1"/>
  <c r="BO126" i="19"/>
  <c r="BO268" i="19"/>
  <c r="BO292" i="19"/>
  <c r="BM304" i="19"/>
  <c r="BK357" i="19"/>
  <c r="BK370" i="19"/>
  <c r="BK125" i="20"/>
  <c r="BO259" i="20"/>
  <c r="BK275" i="20"/>
  <c r="BM287" i="20"/>
  <c r="BK329" i="20"/>
  <c r="CC125" i="21"/>
  <c r="CE267" i="21"/>
  <c r="CC291" i="21"/>
  <c r="CA303" i="21"/>
  <c r="DV362" i="21"/>
  <c r="J362" i="21" s="1"/>
  <c r="J107" i="21" s="1"/>
  <c r="DI125" i="22"/>
  <c r="DK217" i="22"/>
  <c r="DI272" i="22"/>
  <c r="DI291" i="22"/>
  <c r="DM301" i="22"/>
  <c r="BK134" i="24"/>
  <c r="J134" i="24" s="1"/>
  <c r="J103" i="24" s="1"/>
  <c r="BK153" i="24"/>
  <c r="J153" i="24" s="1"/>
  <c r="J104" i="24" s="1"/>
  <c r="BK174" i="24"/>
  <c r="J174" i="24"/>
  <c r="J105" i="24" s="1"/>
  <c r="CS125" i="25"/>
  <c r="CA125" i="27"/>
  <c r="CA144" i="27"/>
  <c r="DV153" i="27"/>
  <c r="J153" i="27" s="1"/>
  <c r="J105" i="27" s="1"/>
  <c r="CS127" i="28"/>
  <c r="CU211" i="28"/>
  <c r="EL260" i="28"/>
  <c r="J260" i="28" s="1"/>
  <c r="J105" i="28" s="1"/>
  <c r="EL279" i="28"/>
  <c r="J279" i="28" s="1"/>
  <c r="J106" i="28" s="1"/>
  <c r="EL289" i="28"/>
  <c r="J289" i="28" s="1"/>
  <c r="J107" i="28" s="1"/>
  <c r="BI125" i="30"/>
  <c r="BE144" i="30"/>
  <c r="BI165" i="30"/>
  <c r="DG127" i="31"/>
  <c r="DG217" i="31"/>
  <c r="DK266" i="31"/>
  <c r="DI285" i="31"/>
  <c r="DI295" i="31"/>
  <c r="BM125" i="33"/>
  <c r="BM144" i="33"/>
  <c r="BO153" i="33"/>
  <c r="EV128" i="34"/>
  <c r="GQ253" i="34"/>
  <c r="J253" i="34" s="1"/>
  <c r="J103" i="34" s="1"/>
  <c r="EX253" i="34"/>
  <c r="GQ334" i="34"/>
  <c r="J334" i="34" s="1"/>
  <c r="J107" i="34" s="1"/>
  <c r="BG124" i="35"/>
  <c r="DB249" i="35"/>
  <c r="J249" i="35" s="1"/>
  <c r="J103" i="35" s="1"/>
  <c r="BG249" i="35"/>
  <c r="BK259" i="35"/>
  <c r="BG278" i="35"/>
  <c r="DB328" i="35"/>
  <c r="J328" i="35" s="1"/>
  <c r="J107" i="35" s="1"/>
  <c r="CD128" i="36"/>
  <c r="CF347" i="36"/>
  <c r="CF396" i="36"/>
  <c r="CF424" i="36"/>
  <c r="DW443" i="36"/>
  <c r="J443" i="36" s="1"/>
  <c r="J105" i="36" s="1"/>
  <c r="CF581" i="36"/>
  <c r="EB124" i="37"/>
  <c r="EB249" i="37"/>
  <c r="DX259" i="37"/>
  <c r="EB278" i="37"/>
  <c r="DX332" i="37"/>
  <c r="CY125" i="38"/>
  <c r="CW297" i="38"/>
  <c r="CY328" i="38"/>
  <c r="CW341" i="38"/>
  <c r="CW373" i="38"/>
  <c r="CW383" i="38"/>
  <c r="R130" i="39"/>
  <c r="BK152" i="39"/>
  <c r="J152" i="39" s="1"/>
  <c r="J104" i="39" s="1"/>
  <c r="P135" i="41"/>
  <c r="P241" i="41"/>
  <c r="P252" i="41"/>
  <c r="P283" i="41"/>
  <c r="P304" i="41"/>
  <c r="P313" i="41"/>
  <c r="P324" i="41"/>
  <c r="CC126" i="42"/>
  <c r="CC232" i="42"/>
  <c r="CE243" i="42"/>
  <c r="CE274" i="42"/>
  <c r="CE295" i="42"/>
  <c r="CC304" i="42"/>
  <c r="CA315" i="42"/>
  <c r="AY127" i="43"/>
  <c r="AY233" i="43"/>
  <c r="AY232" i="43" s="1"/>
  <c r="AU244" i="43"/>
  <c r="AU275" i="43"/>
  <c r="AU296" i="43"/>
  <c r="CP318" i="43"/>
  <c r="J318" i="43" s="1"/>
  <c r="J109" i="43" s="1"/>
  <c r="BM126" i="44"/>
  <c r="BM232" i="44"/>
  <c r="BM231" i="44" s="1"/>
  <c r="BK243" i="44"/>
  <c r="BO274" i="44"/>
  <c r="BM295" i="44"/>
  <c r="BO304" i="44"/>
  <c r="BO315" i="44"/>
  <c r="DV117" i="46"/>
  <c r="J117" i="46" s="1"/>
  <c r="J100" i="46" s="1"/>
  <c r="CI142" i="47"/>
  <c r="ED147" i="47"/>
  <c r="J147" i="47" s="1"/>
  <c r="J104" i="47" s="1"/>
  <c r="CK147" i="47"/>
  <c r="CI158" i="47"/>
  <c r="ED165" i="47"/>
  <c r="J165" i="47" s="1"/>
  <c r="J108" i="47" s="1"/>
  <c r="CM165" i="47"/>
  <c r="ED186" i="47"/>
  <c r="J186" i="47" s="1"/>
  <c r="J115" i="47" s="1"/>
  <c r="CK186" i="47"/>
  <c r="ED195" i="47"/>
  <c r="J195" i="47" s="1"/>
  <c r="J116" i="47" s="1"/>
  <c r="CK195" i="47"/>
  <c r="DB128" i="2"/>
  <c r="DD261" i="2"/>
  <c r="CZ295" i="2"/>
  <c r="DB314" i="2"/>
  <c r="CZ387" i="2"/>
  <c r="DD402" i="2"/>
  <c r="DN128" i="3"/>
  <c r="J128" i="3" s="1"/>
  <c r="J101" i="3" s="1"/>
  <c r="BU251" i="3"/>
  <c r="BW281" i="3"/>
  <c r="BW300" i="3"/>
  <c r="BS388" i="3"/>
  <c r="FD124" i="4"/>
  <c r="DK243" i="4"/>
  <c r="DI267" i="4"/>
  <c r="DK286" i="4"/>
  <c r="DK363" i="4"/>
  <c r="DK374" i="4"/>
  <c r="EA125" i="5"/>
  <c r="J125" i="5" s="1"/>
  <c r="J101" i="5" s="1"/>
  <c r="EA244" i="5"/>
  <c r="J244" i="5" s="1"/>
  <c r="J103" i="5" s="1"/>
  <c r="EA270" i="5"/>
  <c r="J270" i="5" s="1"/>
  <c r="J104" i="5" s="1"/>
  <c r="EA289" i="5"/>
  <c r="J289" i="5" s="1"/>
  <c r="J105" i="5" s="1"/>
  <c r="EA356" i="5"/>
  <c r="J356" i="5" s="1"/>
  <c r="J107" i="5" s="1"/>
  <c r="CG128" i="6"/>
  <c r="CG251" i="6"/>
  <c r="CG291" i="6"/>
  <c r="CG310" i="6"/>
  <c r="CG386" i="6"/>
  <c r="CE401" i="6"/>
  <c r="DV124" i="7"/>
  <c r="FO296" i="7"/>
  <c r="J296" i="7" s="1"/>
  <c r="J103" i="7" s="1"/>
  <c r="FO330" i="7"/>
  <c r="J330" i="7" s="1"/>
  <c r="J104" i="7" s="1"/>
  <c r="FO349" i="7"/>
  <c r="J349" i="7" s="1"/>
  <c r="J105" i="7" s="1"/>
  <c r="FO415" i="7"/>
  <c r="J415" i="7" s="1"/>
  <c r="J106" i="7" s="1"/>
  <c r="DX415" i="7"/>
  <c r="DX426" i="7"/>
  <c r="CS124" i="8"/>
  <c r="CQ259" i="8"/>
  <c r="CU259" i="8"/>
  <c r="CQ278" i="8"/>
  <c r="EL316" i="8"/>
  <c r="J316" i="8" s="1"/>
  <c r="J106" i="8" s="1"/>
  <c r="CS316" i="8"/>
  <c r="CU327" i="8"/>
  <c r="ED125" i="9"/>
  <c r="J125" i="9" s="1"/>
  <c r="J101" i="9" s="1"/>
  <c r="CK125" i="9"/>
  <c r="CI267" i="9"/>
  <c r="ED291" i="9"/>
  <c r="J291" i="9" s="1"/>
  <c r="J104" i="9" s="1"/>
  <c r="CK291" i="9"/>
  <c r="CM303" i="9"/>
  <c r="CM355" i="9"/>
  <c r="CM368" i="9"/>
  <c r="DV124" i="10"/>
  <c r="CA259" i="10"/>
  <c r="CA275" i="10"/>
  <c r="CE287" i="10"/>
  <c r="CE329" i="10"/>
  <c r="DI123" i="11"/>
  <c r="DG258" i="11"/>
  <c r="DG274" i="11"/>
  <c r="DI286" i="11"/>
  <c r="DI328" i="11"/>
  <c r="AV123" i="12"/>
  <c r="CM265" i="12"/>
  <c r="J265" i="12" s="1"/>
  <c r="J103" i="12" s="1"/>
  <c r="CM289" i="12"/>
  <c r="J289" i="12" s="1"/>
  <c r="J104" i="12" s="1"/>
  <c r="CM301" i="12"/>
  <c r="J301" i="12" s="1"/>
  <c r="J105" i="12" s="1"/>
  <c r="CM353" i="12"/>
  <c r="J353" i="12" s="1"/>
  <c r="J106" i="12" s="1"/>
  <c r="CX124" i="13"/>
  <c r="DB259" i="13"/>
  <c r="CZ275" i="13"/>
  <c r="DB287" i="13"/>
  <c r="CZ329" i="13"/>
  <c r="BK124" i="14"/>
  <c r="DD275" i="14"/>
  <c r="J275" i="14" s="1"/>
  <c r="J104" i="14" s="1"/>
  <c r="DD287" i="14"/>
  <c r="J287" i="14" s="1"/>
  <c r="J105" i="14" s="1"/>
  <c r="DD327" i="14"/>
  <c r="J327" i="14" s="1"/>
  <c r="J106" i="14" s="1"/>
  <c r="DV124" i="15"/>
  <c r="J124" i="15" s="1"/>
  <c r="J101" i="15" s="1"/>
  <c r="DV259" i="15"/>
  <c r="J259" i="15" s="1"/>
  <c r="J103" i="15" s="1"/>
  <c r="DV277" i="15"/>
  <c r="J277" i="15" s="1"/>
  <c r="J104" i="15" s="1"/>
  <c r="DV289" i="15"/>
  <c r="J289" i="15" s="1"/>
  <c r="J105" i="15" s="1"/>
  <c r="DV329" i="15"/>
  <c r="J329" i="15" s="1"/>
  <c r="J106" i="15" s="1"/>
  <c r="CL128" i="16"/>
  <c r="EE288" i="16"/>
  <c r="J288" i="16" s="1"/>
  <c r="J103" i="16" s="1"/>
  <c r="EE333" i="16"/>
  <c r="J333" i="16" s="1"/>
  <c r="J104" i="16" s="1"/>
  <c r="CL352" i="16"/>
  <c r="CJ490" i="16"/>
  <c r="CJ501" i="16"/>
  <c r="DI124" i="17"/>
  <c r="EZ238" i="17"/>
  <c r="J238" i="17" s="1"/>
  <c r="J103" i="17" s="1"/>
  <c r="EZ266" i="17"/>
  <c r="J266" i="17" s="1"/>
  <c r="J104" i="17" s="1"/>
  <c r="EZ285" i="17"/>
  <c r="J285" i="17" s="1"/>
  <c r="J105" i="17" s="1"/>
  <c r="EZ346" i="17"/>
  <c r="J346" i="17" s="1"/>
  <c r="J106" i="17" s="1"/>
  <c r="DI346" i="17"/>
  <c r="DI357" i="17"/>
  <c r="CM125" i="18"/>
  <c r="CO252" i="18"/>
  <c r="CM288" i="18"/>
  <c r="CO307" i="18"/>
  <c r="CK411" i="18"/>
  <c r="BK126" i="19"/>
  <c r="BK268" i="19"/>
  <c r="BM292" i="19"/>
  <c r="BO304" i="19"/>
  <c r="BO357" i="19"/>
  <c r="BM370" i="19"/>
  <c r="DF125" i="20"/>
  <c r="J125" i="20" s="1"/>
  <c r="J101" i="20" s="1"/>
  <c r="BK259" i="20"/>
  <c r="BM275" i="20"/>
  <c r="BO287" i="20"/>
  <c r="BM329" i="20"/>
  <c r="CA125" i="21"/>
  <c r="DV267" i="21"/>
  <c r="J267" i="21" s="1"/>
  <c r="J103" i="21" s="1"/>
  <c r="DV291" i="21"/>
  <c r="J291" i="21" s="1"/>
  <c r="J104" i="21" s="1"/>
  <c r="DV303" i="21"/>
  <c r="J303" i="21" s="1"/>
  <c r="J105" i="21" s="1"/>
  <c r="DV353" i="21"/>
  <c r="J353" i="21" s="1"/>
  <c r="J106" i="21" s="1"/>
  <c r="CE353" i="21"/>
  <c r="CC362" i="21"/>
  <c r="DK125" i="22"/>
  <c r="DM217" i="22"/>
  <c r="DK272" i="22"/>
  <c r="DK291" i="22"/>
  <c r="DK301" i="22"/>
  <c r="R134" i="24"/>
  <c r="R153" i="24"/>
  <c r="T174" i="24"/>
  <c r="EL125" i="25"/>
  <c r="EL209" i="25"/>
  <c r="J209" i="25" s="1"/>
  <c r="J103" i="25" s="1"/>
  <c r="CU209" i="25"/>
  <c r="EL258" i="25"/>
  <c r="J258" i="25" s="1"/>
  <c r="J105" i="25" s="1"/>
  <c r="CS258" i="25"/>
  <c r="CQ277" i="25"/>
  <c r="CU277" i="25"/>
  <c r="CU287" i="25"/>
  <c r="DV125" i="27"/>
  <c r="J125" i="27" s="1"/>
  <c r="J103" i="27" s="1"/>
  <c r="DV144" i="27"/>
  <c r="J144" i="27" s="1"/>
  <c r="J104" i="27" s="1"/>
  <c r="CE153" i="27"/>
  <c r="CU127" i="28"/>
  <c r="CS211" i="28"/>
  <c r="CQ250" i="28"/>
  <c r="CS260" i="28"/>
  <c r="CS279" i="28"/>
  <c r="CQ289" i="28"/>
  <c r="BE125" i="30"/>
  <c r="BI144" i="30"/>
  <c r="BE165" i="30"/>
  <c r="DK127" i="31"/>
  <c r="DI217" i="31"/>
  <c r="DG266" i="31"/>
  <c r="FB295" i="31"/>
  <c r="J295" i="31" s="1"/>
  <c r="J107" i="31" s="1"/>
  <c r="BO125" i="33"/>
  <c r="BO120" i="33" s="1"/>
  <c r="BO119" i="33" s="1"/>
  <c r="DF153" i="33"/>
  <c r="J153" i="33" s="1"/>
  <c r="J105" i="33" s="1"/>
  <c r="EX128" i="34"/>
  <c r="EV334" i="34"/>
  <c r="BK124" i="35"/>
  <c r="BI249" i="35"/>
  <c r="BG259" i="35"/>
  <c r="BI278" i="35"/>
  <c r="BG328" i="35"/>
  <c r="DW128" i="36"/>
  <c r="J128" i="36" s="1"/>
  <c r="J101" i="36" s="1"/>
  <c r="DW347" i="36"/>
  <c r="J347" i="36" s="1"/>
  <c r="J102" i="36" s="1"/>
  <c r="DW396" i="36"/>
  <c r="J396" i="36" s="1"/>
  <c r="J103" i="36" s="1"/>
  <c r="CD424" i="36"/>
  <c r="CB443" i="36"/>
  <c r="DW581" i="36"/>
  <c r="J581" i="36" s="1"/>
  <c r="J107" i="36" s="1"/>
  <c r="DZ124" i="37"/>
  <c r="DX249" i="37"/>
  <c r="DZ259" i="37"/>
  <c r="DX278" i="37"/>
  <c r="DZ332" i="37"/>
  <c r="DA125" i="38"/>
  <c r="DA297" i="38"/>
  <c r="CW328" i="38"/>
  <c r="CY341" i="38"/>
  <c r="CY373" i="38"/>
  <c r="DA383" i="38"/>
  <c r="BK143" i="39"/>
  <c r="J143" i="39" s="1"/>
  <c r="J103" i="39" s="1"/>
  <c r="P143" i="39"/>
  <c r="T152" i="39"/>
  <c r="T135" i="41"/>
  <c r="T241" i="41"/>
  <c r="T252" i="41"/>
  <c r="T283" i="41"/>
  <c r="R304" i="41"/>
  <c r="R313" i="41"/>
  <c r="R324" i="41"/>
  <c r="CE126" i="42"/>
  <c r="CA232" i="42"/>
  <c r="CA231" i="42" s="1"/>
  <c r="CC243" i="42"/>
  <c r="CC274" i="42"/>
  <c r="CC295" i="42"/>
  <c r="CA304" i="42"/>
  <c r="CE315" i="42"/>
  <c r="AU127" i="43"/>
  <c r="AW233" i="43"/>
  <c r="AW244" i="43"/>
  <c r="AY275" i="43"/>
  <c r="AY296" i="43"/>
  <c r="AU307" i="43"/>
  <c r="AW318" i="43"/>
  <c r="BO126" i="44"/>
  <c r="DF243" i="44"/>
  <c r="J243" i="44" s="1"/>
  <c r="J105" i="44" s="1"/>
  <c r="DF274" i="44"/>
  <c r="J274" i="44" s="1"/>
  <c r="J106" i="44" s="1"/>
  <c r="DF295" i="44"/>
  <c r="J295" i="44" s="1"/>
  <c r="J107" i="44" s="1"/>
  <c r="DF304" i="44"/>
  <c r="J304" i="44" s="1"/>
  <c r="J108" i="44" s="1"/>
  <c r="DF315" i="44"/>
  <c r="J315" i="44" s="1"/>
  <c r="J109" i="44" s="1"/>
  <c r="CC117" i="46"/>
  <c r="CC115" i="46" s="1"/>
  <c r="CC114" i="46" s="1"/>
  <c r="ED142" i="47"/>
  <c r="J142" i="47" s="1"/>
  <c r="J103" i="47" s="1"/>
  <c r="CM142" i="47"/>
  <c r="CI147" i="47"/>
  <c r="CK158" i="47"/>
  <c r="CK165" i="47"/>
  <c r="DD128" i="2"/>
  <c r="DB261" i="2"/>
  <c r="DD295" i="2"/>
  <c r="EU314" i="2"/>
  <c r="J314" i="2" s="1"/>
  <c r="J105" i="2" s="1"/>
  <c r="EU387" i="2"/>
  <c r="J387" i="2" s="1"/>
  <c r="J106" i="2" s="1"/>
  <c r="EU402" i="2"/>
  <c r="J402" i="2" s="1"/>
  <c r="J107" i="2" s="1"/>
  <c r="BW128" i="3"/>
  <c r="DN251" i="3"/>
  <c r="J251" i="3" s="1"/>
  <c r="J103" i="3" s="1"/>
  <c r="DN281" i="3"/>
  <c r="J281" i="3" s="1"/>
  <c r="J104" i="3" s="1"/>
  <c r="DN300" i="3"/>
  <c r="J300" i="3" s="1"/>
  <c r="J105" i="3" s="1"/>
  <c r="DN388" i="3"/>
  <c r="J388" i="3" s="1"/>
  <c r="J107" i="3" s="1"/>
  <c r="DI124" i="4"/>
  <c r="DI243" i="4"/>
  <c r="DM267" i="4"/>
  <c r="DM286" i="4"/>
  <c r="DM363" i="4"/>
  <c r="DM374" i="4"/>
  <c r="CJ125" i="5"/>
  <c r="CF244" i="5"/>
  <c r="CF270" i="5"/>
  <c r="CJ289" i="5"/>
  <c r="CJ356" i="5"/>
  <c r="CE128" i="6"/>
  <c r="DZ251" i="6"/>
  <c r="J251" i="6" s="1"/>
  <c r="J103" i="6" s="1"/>
  <c r="DZ291" i="6"/>
  <c r="J291" i="6" s="1"/>
  <c r="J104" i="6" s="1"/>
  <c r="CE310" i="6"/>
  <c r="CE386" i="6"/>
  <c r="CI401" i="6"/>
  <c r="DT124" i="7"/>
  <c r="DV296" i="7"/>
  <c r="DT330" i="7"/>
  <c r="DT349" i="7"/>
  <c r="DT415" i="7"/>
  <c r="DT426" i="7"/>
  <c r="EL124" i="8"/>
  <c r="CC124" i="10"/>
  <c r="CE259" i="10"/>
  <c r="CE275" i="10"/>
  <c r="CC287" i="10"/>
  <c r="CC329" i="10"/>
  <c r="FB123" i="11"/>
  <c r="J123" i="11" s="1"/>
  <c r="J101" i="11" s="1"/>
  <c r="DK258" i="11"/>
  <c r="DK274" i="11"/>
  <c r="DK286" i="11"/>
  <c r="DK328" i="11"/>
  <c r="CM123" i="12"/>
  <c r="J123" i="12" s="1"/>
  <c r="J101" i="12" s="1"/>
  <c r="AT265" i="12"/>
  <c r="AT289" i="12"/>
  <c r="AT301" i="12"/>
  <c r="AR353" i="12"/>
  <c r="DB124" i="13"/>
  <c r="ES259" i="13"/>
  <c r="J259" i="13" s="1"/>
  <c r="J103" i="13" s="1"/>
  <c r="ES275" i="13"/>
  <c r="J275" i="13" s="1"/>
  <c r="J104" i="13" s="1"/>
  <c r="ES287" i="13"/>
  <c r="J287" i="13" s="1"/>
  <c r="J105" i="13" s="1"/>
  <c r="ES329" i="13"/>
  <c r="J329" i="13" s="1"/>
  <c r="J106" i="13" s="1"/>
  <c r="BM124" i="14"/>
  <c r="BI259" i="14"/>
  <c r="BI275" i="14"/>
  <c r="BI287" i="14"/>
  <c r="BI327" i="14"/>
  <c r="CA124" i="15"/>
  <c r="CE259" i="15"/>
  <c r="CE277" i="15"/>
  <c r="CE289" i="15"/>
  <c r="CE329" i="15"/>
  <c r="EE128" i="16"/>
  <c r="J128" i="16" s="1"/>
  <c r="J101" i="16" s="1"/>
  <c r="CN288" i="16"/>
  <c r="CN333" i="16"/>
  <c r="EE352" i="16"/>
  <c r="J352" i="16" s="1"/>
  <c r="J105" i="16" s="1"/>
  <c r="EE490" i="16"/>
  <c r="J490" i="16" s="1"/>
  <c r="J106" i="16" s="1"/>
  <c r="EE501" i="16"/>
  <c r="J501" i="16" s="1"/>
  <c r="J107" i="16" s="1"/>
  <c r="DG124" i="17"/>
  <c r="DE238" i="17"/>
  <c r="DE266" i="17"/>
  <c r="DG285" i="17"/>
  <c r="EZ357" i="17"/>
  <c r="J357" i="17" s="1"/>
  <c r="J107" i="17" s="1"/>
  <c r="CO125" i="18"/>
  <c r="CK252" i="18"/>
  <c r="CK288" i="18"/>
  <c r="CK307" i="18"/>
  <c r="CM411" i="18"/>
  <c r="BM126" i="19"/>
  <c r="DF268" i="19"/>
  <c r="J268" i="19" s="1"/>
  <c r="J103" i="19" s="1"/>
  <c r="DF292" i="19"/>
  <c r="J292" i="19" s="1"/>
  <c r="J104" i="19" s="1"/>
  <c r="DF304" i="19"/>
  <c r="J304" i="19" s="1"/>
  <c r="J105" i="19" s="1"/>
  <c r="DF357" i="19"/>
  <c r="J357" i="19" s="1"/>
  <c r="J106" i="19" s="1"/>
  <c r="DF370" i="19"/>
  <c r="J370" i="19" s="1"/>
  <c r="J107" i="19" s="1"/>
  <c r="BM125" i="20"/>
  <c r="DF259" i="20"/>
  <c r="J259" i="20" s="1"/>
  <c r="J103" i="20" s="1"/>
  <c r="DF275" i="20"/>
  <c r="J275" i="20" s="1"/>
  <c r="J104" i="20" s="1"/>
  <c r="DF287" i="20"/>
  <c r="J287" i="20" s="1"/>
  <c r="J105" i="20" s="1"/>
  <c r="DF329" i="20"/>
  <c r="J329" i="20" s="1"/>
  <c r="J106" i="20" s="1"/>
  <c r="DV125" i="21"/>
  <c r="J125" i="21" s="1"/>
  <c r="J101" i="21" s="1"/>
  <c r="CA267" i="21"/>
  <c r="CA291" i="21"/>
  <c r="CC303" i="21"/>
  <c r="CA353" i="21"/>
  <c r="CA362" i="21"/>
  <c r="FD125" i="22"/>
  <c r="J125" i="22" s="1"/>
  <c r="J102" i="22" s="1"/>
  <c r="FD217" i="22"/>
  <c r="J217" i="22" s="1"/>
  <c r="J103" i="22" s="1"/>
  <c r="FD272" i="22"/>
  <c r="J272" i="22" s="1"/>
  <c r="J105" i="22" s="1"/>
  <c r="FD291" i="22"/>
  <c r="J291" i="22" s="1"/>
  <c r="J106" i="22" s="1"/>
  <c r="FD301" i="22"/>
  <c r="J301" i="22" s="1"/>
  <c r="J107" i="22" s="1"/>
  <c r="P134" i="24"/>
  <c r="P130" i="24"/>
  <c r="P129" i="24" s="1"/>
  <c r="BB116" i="1" s="1"/>
  <c r="T153" i="24"/>
  <c r="R174" i="24"/>
  <c r="R130" i="24" s="1"/>
  <c r="R129" i="24" s="1"/>
  <c r="CQ125" i="25"/>
  <c r="CS209" i="25"/>
  <c r="CQ248" i="25"/>
  <c r="CU248" i="25"/>
  <c r="CU258" i="25"/>
  <c r="EL287" i="25"/>
  <c r="J287" i="25" s="1"/>
  <c r="J107" i="25" s="1"/>
  <c r="CS287" i="25"/>
  <c r="CC125" i="27"/>
  <c r="CC144" i="27"/>
  <c r="CC153" i="27"/>
  <c r="EL127" i="28"/>
  <c r="J127" i="28" s="1"/>
  <c r="J102" i="28" s="1"/>
  <c r="EL211" i="28"/>
  <c r="J211" i="28" s="1"/>
  <c r="J103" i="28" s="1"/>
  <c r="EL250" i="28"/>
  <c r="J250" i="28" s="1"/>
  <c r="J104" i="28" s="1"/>
  <c r="CS250" i="28"/>
  <c r="CU260" i="28"/>
  <c r="CU279" i="28"/>
  <c r="CU289" i="28"/>
  <c r="BG125" i="30"/>
  <c r="BG144" i="30"/>
  <c r="BG165" i="30"/>
  <c r="DI127" i="31"/>
  <c r="DK217" i="31"/>
  <c r="DI266" i="31"/>
  <c r="DG285" i="31"/>
  <c r="DG295" i="31"/>
  <c r="BK125" i="33"/>
  <c r="BK144" i="33"/>
  <c r="BM153" i="33"/>
  <c r="EZ128" i="34"/>
  <c r="EV253" i="34"/>
  <c r="GQ263" i="34"/>
  <c r="J263" i="34" s="1"/>
  <c r="J104" i="34" s="1"/>
  <c r="EV263" i="34"/>
  <c r="EX263" i="34"/>
  <c r="EZ263" i="34"/>
  <c r="GQ282" i="34"/>
  <c r="J282" i="34" s="1"/>
  <c r="J105" i="34" s="1"/>
  <c r="EV282" i="34"/>
  <c r="EX282" i="34"/>
  <c r="EZ282" i="34"/>
  <c r="EX334" i="34"/>
  <c r="BI124" i="35"/>
  <c r="BK249" i="35"/>
  <c r="BI259" i="35"/>
  <c r="BK278" i="35"/>
  <c r="BI328" i="35"/>
  <c r="CB128" i="36"/>
  <c r="CB347" i="36"/>
  <c r="CB396" i="36"/>
  <c r="DW424" i="36"/>
  <c r="J424" i="36" s="1"/>
  <c r="J104" i="36" s="1"/>
  <c r="CF443" i="36"/>
  <c r="CB581" i="36"/>
  <c r="DX124" i="37"/>
  <c r="FS249" i="37"/>
  <c r="J249" i="37" s="1"/>
  <c r="J103" i="37" s="1"/>
  <c r="FS259" i="37"/>
  <c r="J259" i="37" s="1"/>
  <c r="J104" i="37" s="1"/>
  <c r="FS278" i="37"/>
  <c r="J278" i="37" s="1"/>
  <c r="J105" i="37" s="1"/>
  <c r="FS332" i="37"/>
  <c r="J332" i="37" s="1"/>
  <c r="J107" i="37" s="1"/>
  <c r="CW125" i="38"/>
  <c r="CY297" i="38"/>
  <c r="DA328" i="38"/>
  <c r="DA341" i="38"/>
  <c r="DA373" i="38"/>
  <c r="CY383" i="38"/>
  <c r="BK130" i="39"/>
  <c r="J130" i="39" s="1"/>
  <c r="J102" i="39" s="1"/>
  <c r="P130" i="39"/>
  <c r="P129" i="39" s="1"/>
  <c r="P128" i="39" s="1"/>
  <c r="BB136" i="1" s="1"/>
  <c r="R143" i="39"/>
  <c r="R152" i="39"/>
  <c r="BK135" i="41"/>
  <c r="J135" i="41" s="1"/>
  <c r="J102" i="41" s="1"/>
  <c r="BK241" i="41"/>
  <c r="J241" i="41" s="1"/>
  <c r="J104" i="41" s="1"/>
  <c r="BK252" i="41"/>
  <c r="J252" i="41" s="1"/>
  <c r="J105" i="41" s="1"/>
  <c r="BK283" i="41"/>
  <c r="J283" i="41" s="1"/>
  <c r="J106" i="41" s="1"/>
  <c r="BK304" i="41"/>
  <c r="J304" i="41" s="1"/>
  <c r="J107" i="41" s="1"/>
  <c r="BK313" i="41"/>
  <c r="J313" i="41" s="1"/>
  <c r="J108" i="41" s="1"/>
  <c r="BK324" i="41"/>
  <c r="J324" i="41" s="1"/>
  <c r="J109" i="41" s="1"/>
  <c r="DV126" i="42"/>
  <c r="J126" i="42" s="1"/>
  <c r="J102" i="42" s="1"/>
  <c r="DV232" i="42"/>
  <c r="J232" i="42" s="1"/>
  <c r="J104" i="42" s="1"/>
  <c r="DV243" i="42"/>
  <c r="J243" i="42" s="1"/>
  <c r="J105" i="42" s="1"/>
  <c r="DV274" i="42"/>
  <c r="J274" i="42" s="1"/>
  <c r="J106" i="42" s="1"/>
  <c r="DV295" i="42"/>
  <c r="J295" i="42" s="1"/>
  <c r="J107" i="42" s="1"/>
  <c r="DV304" i="42"/>
  <c r="J304" i="42" s="1"/>
  <c r="J108" i="42" s="1"/>
  <c r="CE304" i="42"/>
  <c r="CC315" i="42"/>
  <c r="CP127" i="43"/>
  <c r="J127" i="43" s="1"/>
  <c r="J102" i="43" s="1"/>
  <c r="CP233" i="43"/>
  <c r="CP244" i="43"/>
  <c r="J244" i="43" s="1"/>
  <c r="J105" i="43" s="1"/>
  <c r="CP275" i="43"/>
  <c r="J275" i="43" s="1"/>
  <c r="J106" i="43" s="1"/>
  <c r="CP296" i="43"/>
  <c r="J296" i="43" s="1"/>
  <c r="J107" i="43" s="1"/>
  <c r="CP307" i="43"/>
  <c r="J307" i="43" s="1"/>
  <c r="J108" i="43" s="1"/>
  <c r="AY307" i="43"/>
  <c r="AU318" i="43"/>
  <c r="BK126" i="44"/>
  <c r="BO232" i="44"/>
  <c r="BO243" i="44"/>
  <c r="BM274" i="44"/>
  <c r="BO295" i="44"/>
  <c r="BM304" i="44"/>
  <c r="BK315" i="44"/>
  <c r="CA117" i="46"/>
  <c r="CA115" i="46" s="1"/>
  <c r="CA114" i="46" s="1"/>
  <c r="BB149" i="1" s="1"/>
  <c r="CK142" i="47"/>
  <c r="CM147" i="47"/>
  <c r="ED158" i="47"/>
  <c r="J158" i="47" s="1"/>
  <c r="J107" i="47" s="1"/>
  <c r="CM158" i="47"/>
  <c r="CI165" i="47"/>
  <c r="CI186" i="47"/>
  <c r="CM186" i="47"/>
  <c r="CI195" i="47"/>
  <c r="CM195" i="47"/>
  <c r="J92" i="2"/>
  <c r="F95" i="2"/>
  <c r="EO129" i="2"/>
  <c r="EO133" i="2"/>
  <c r="EO154" i="2"/>
  <c r="EO217" i="2"/>
  <c r="EO239" i="2"/>
  <c r="EO248" i="2"/>
  <c r="EO262" i="2"/>
  <c r="EO280" i="2"/>
  <c r="EO282" i="2"/>
  <c r="EO284" i="2"/>
  <c r="EO290" i="2"/>
  <c r="EO296" i="2"/>
  <c r="EO302" i="2"/>
  <c r="EO307" i="2"/>
  <c r="EO309" i="2"/>
  <c r="EO315" i="2"/>
  <c r="EO319" i="2"/>
  <c r="EO338" i="2"/>
  <c r="EO348" i="2"/>
  <c r="EO352" i="2"/>
  <c r="EO420" i="2"/>
  <c r="EO425" i="2"/>
  <c r="J95" i="3"/>
  <c r="DH142" i="3"/>
  <c r="DH148" i="3"/>
  <c r="DH156" i="3"/>
  <c r="DH182" i="3"/>
  <c r="DH199" i="3"/>
  <c r="DH202" i="3"/>
  <c r="DH210" i="3"/>
  <c r="DH239" i="3"/>
  <c r="DH259" i="3"/>
  <c r="DH305" i="3"/>
  <c r="DH309" i="3"/>
  <c r="DH317" i="3"/>
  <c r="DH343" i="3"/>
  <c r="DH355" i="3"/>
  <c r="DH361" i="3"/>
  <c r="DH373" i="3"/>
  <c r="DH375" i="3"/>
  <c r="DH378" i="3"/>
  <c r="J92" i="4"/>
  <c r="EX127" i="4"/>
  <c r="EX144" i="4"/>
  <c r="EX155" i="4"/>
  <c r="EX244" i="4"/>
  <c r="EX260" i="4"/>
  <c r="EX301" i="4"/>
  <c r="EX321" i="4"/>
  <c r="EX331" i="4"/>
  <c r="EX335" i="4"/>
  <c r="EX345" i="4"/>
  <c r="EX359" i="4"/>
  <c r="EX364" i="4"/>
  <c r="F95" i="5"/>
  <c r="DU148" i="5"/>
  <c r="DU165" i="5"/>
  <c r="DU198" i="5"/>
  <c r="DU224" i="5"/>
  <c r="DU265" i="5"/>
  <c r="DU273" i="5"/>
  <c r="DU275" i="5"/>
  <c r="DU277" i="5"/>
  <c r="DU310" i="5"/>
  <c r="DU337" i="5"/>
  <c r="E84" i="6"/>
  <c r="DT129" i="6"/>
  <c r="DT148" i="6"/>
  <c r="DT156" i="6"/>
  <c r="DT159" i="6"/>
  <c r="DT161" i="6"/>
  <c r="DT179" i="6"/>
  <c r="DT211" i="6"/>
  <c r="DT231" i="6"/>
  <c r="DT235" i="6"/>
  <c r="DT243" i="6"/>
  <c r="DT252" i="6"/>
  <c r="DT269" i="6"/>
  <c r="DT281" i="6"/>
  <c r="DT294" i="6"/>
  <c r="DT296" i="6"/>
  <c r="DT315" i="6"/>
  <c r="DT323" i="6"/>
  <c r="DT348" i="6"/>
  <c r="DT356" i="6"/>
  <c r="DT358" i="6"/>
  <c r="DT370" i="6"/>
  <c r="DT407" i="6"/>
  <c r="DZ246" i="6"/>
  <c r="J246" i="6" s="1"/>
  <c r="J102" i="6" s="1"/>
  <c r="E84" i="7"/>
  <c r="J92" i="7"/>
  <c r="FI125" i="7"/>
  <c r="FI129" i="7"/>
  <c r="FI170" i="7"/>
  <c r="FI187" i="7"/>
  <c r="FI209" i="7"/>
  <c r="FI260" i="7"/>
  <c r="FI273" i="7"/>
  <c r="FI314" i="7"/>
  <c r="FI397" i="7"/>
  <c r="FI401" i="7"/>
  <c r="FI405" i="7"/>
  <c r="FI427" i="7"/>
  <c r="FI443" i="7"/>
  <c r="FI447" i="7"/>
  <c r="FO291" i="7"/>
  <c r="J291" i="7" s="1"/>
  <c r="J102" i="7" s="1"/>
  <c r="FO446" i="7"/>
  <c r="J446" i="7" s="1"/>
  <c r="J108" i="7" s="1"/>
  <c r="F95" i="8"/>
  <c r="EF147" i="8"/>
  <c r="EF188" i="8"/>
  <c r="EF193" i="8"/>
  <c r="EF197" i="8"/>
  <c r="EF204" i="8"/>
  <c r="EF208" i="8"/>
  <c r="EF223" i="8"/>
  <c r="EF235" i="8"/>
  <c r="EF287" i="8"/>
  <c r="EF289" i="8"/>
  <c r="EF291" i="8"/>
  <c r="EF294" i="8"/>
  <c r="EF344" i="8"/>
  <c r="EF348" i="8"/>
  <c r="EL238" i="8"/>
  <c r="J238" i="8" s="1"/>
  <c r="J102" i="8" s="1"/>
  <c r="EL243" i="8"/>
  <c r="J243" i="8" s="1"/>
  <c r="J103" i="8" s="1"/>
  <c r="EL347" i="8"/>
  <c r="J347" i="8" s="1"/>
  <c r="J108" i="8" s="1"/>
  <c r="DX126" i="9"/>
  <c r="DX140" i="9"/>
  <c r="DX157" i="9"/>
  <c r="DX180" i="9"/>
  <c r="DX189" i="9"/>
  <c r="DX243" i="9"/>
  <c r="DX251" i="9"/>
  <c r="DX268" i="9"/>
  <c r="DX273" i="9"/>
  <c r="DX294" i="9"/>
  <c r="DX304" i="9"/>
  <c r="DX319" i="9"/>
  <c r="DX339" i="9"/>
  <c r="DX345" i="9"/>
  <c r="DX351" i="9"/>
  <c r="DX353" i="9"/>
  <c r="DX385" i="9"/>
  <c r="DX389" i="9"/>
  <c r="ED262" i="9"/>
  <c r="J262" i="9" s="1"/>
  <c r="J102" i="9" s="1"/>
  <c r="DP136" i="10"/>
  <c r="DP208" i="10"/>
  <c r="DP235" i="10"/>
  <c r="DP251" i="10"/>
  <c r="DP255" i="10"/>
  <c r="DP305" i="10"/>
  <c r="DP321" i="10"/>
  <c r="DP325" i="10"/>
  <c r="DP327" i="10"/>
  <c r="DP341" i="10"/>
  <c r="DP346" i="10"/>
  <c r="DP350" i="10"/>
  <c r="F95" i="11"/>
  <c r="EV126" i="11"/>
  <c r="EV151" i="11"/>
  <c r="EV154" i="11"/>
  <c r="EV180" i="11"/>
  <c r="EV183" i="11"/>
  <c r="EV207" i="11"/>
  <c r="EV279" i="11"/>
  <c r="EV302" i="11"/>
  <c r="EV329" i="11"/>
  <c r="EV340" i="11"/>
  <c r="J92" i="12"/>
  <c r="J95" i="12"/>
  <c r="CG163" i="12"/>
  <c r="CG168" i="12"/>
  <c r="CG180" i="12"/>
  <c r="CG184" i="12"/>
  <c r="CG213" i="12"/>
  <c r="CG229" i="12"/>
  <c r="CG241" i="12"/>
  <c r="CG296" i="12"/>
  <c r="CG328" i="12"/>
  <c r="CG341" i="12"/>
  <c r="CG365" i="12"/>
  <c r="J92" i="13"/>
  <c r="F95" i="13"/>
  <c r="EM136" i="13"/>
  <c r="EM181" i="13"/>
  <c r="EM194" i="13"/>
  <c r="EM265" i="13"/>
  <c r="EM270" i="13"/>
  <c r="EM278" i="13"/>
  <c r="EM280" i="13"/>
  <c r="EM292" i="13"/>
  <c r="EM303" i="13"/>
  <c r="EM312" i="13"/>
  <c r="EM314" i="13"/>
  <c r="EM317" i="13"/>
  <c r="EM321" i="13"/>
  <c r="EM330" i="13"/>
  <c r="ES254" i="13"/>
  <c r="J254" i="13" s="1"/>
  <c r="J102" i="13" s="1"/>
  <c r="J92" i="14"/>
  <c r="CX127" i="14"/>
  <c r="CX155" i="14"/>
  <c r="CX165" i="14"/>
  <c r="CX167" i="14"/>
  <c r="CX177" i="14"/>
  <c r="CX199" i="14"/>
  <c r="CX240" i="14"/>
  <c r="CX270" i="14"/>
  <c r="CX276" i="14"/>
  <c r="CX292" i="14"/>
  <c r="CX301" i="14"/>
  <c r="CX315" i="14"/>
  <c r="CX321" i="14"/>
  <c r="CX323" i="14"/>
  <c r="CX325" i="14"/>
  <c r="CX328" i="14"/>
  <c r="CX339" i="14"/>
  <c r="DD254" i="14"/>
  <c r="J254" i="14" s="1"/>
  <c r="J102" i="14" s="1"/>
  <c r="J92" i="15"/>
  <c r="J95" i="15"/>
  <c r="DP129" i="15"/>
  <c r="DP136" i="15"/>
  <c r="DP152" i="15"/>
  <c r="DP155" i="15"/>
  <c r="DP208" i="15"/>
  <c r="DP265" i="15"/>
  <c r="DP294" i="15"/>
  <c r="DP305" i="15"/>
  <c r="DP321" i="15"/>
  <c r="DP330" i="15"/>
  <c r="DP343" i="15"/>
  <c r="DP346" i="15"/>
  <c r="DP350" i="15"/>
  <c r="E84" i="16"/>
  <c r="DY158" i="16"/>
  <c r="DY169" i="16"/>
  <c r="DY180" i="16"/>
  <c r="DY219" i="16"/>
  <c r="DY280" i="16"/>
  <c r="DY289" i="16"/>
  <c r="DY336" i="16"/>
  <c r="DY361" i="16"/>
  <c r="DY369" i="16"/>
  <c r="DY373" i="16"/>
  <c r="DY385" i="16"/>
  <c r="DY403" i="16"/>
  <c r="DY420" i="16"/>
  <c r="DY436" i="16"/>
  <c r="DY444" i="16"/>
  <c r="DY446" i="16"/>
  <c r="DY456" i="16"/>
  <c r="DY461" i="16"/>
  <c r="DY463" i="16"/>
  <c r="DY474" i="16"/>
  <c r="DY507" i="16"/>
  <c r="DY515" i="16"/>
  <c r="E84" i="17"/>
  <c r="ET156" i="17"/>
  <c r="ET189" i="17"/>
  <c r="ET327" i="17"/>
  <c r="EZ233" i="17"/>
  <c r="J233" i="17" s="1"/>
  <c r="J102" i="17" s="1"/>
  <c r="E84" i="18"/>
  <c r="F119" i="18"/>
  <c r="DZ126" i="18"/>
  <c r="DZ128" i="18"/>
  <c r="DZ152" i="18"/>
  <c r="DZ176" i="18"/>
  <c r="DZ191" i="18"/>
  <c r="DZ193" i="18"/>
  <c r="DZ300" i="18"/>
  <c r="DZ316" i="18"/>
  <c r="DZ320" i="18"/>
  <c r="DZ331" i="18"/>
  <c r="DZ343" i="18"/>
  <c r="DZ353" i="18"/>
  <c r="DZ384" i="18"/>
  <c r="DZ388" i="18"/>
  <c r="DZ396" i="18"/>
  <c r="DZ398" i="18"/>
  <c r="DZ401" i="18"/>
  <c r="DZ406" i="18"/>
  <c r="DZ412" i="18"/>
  <c r="DZ423" i="18"/>
  <c r="J92" i="19"/>
  <c r="F95" i="19"/>
  <c r="J120" i="19"/>
  <c r="CZ181" i="19"/>
  <c r="CZ183" i="19"/>
  <c r="CZ190" i="19"/>
  <c r="CZ249" i="19"/>
  <c r="CZ254" i="19"/>
  <c r="CZ269" i="19"/>
  <c r="CZ293" i="19"/>
  <c r="CZ321" i="19"/>
  <c r="CZ325" i="19"/>
  <c r="CZ345" i="19"/>
  <c r="CZ347" i="19"/>
  <c r="DF263" i="19"/>
  <c r="J263" i="19" s="1"/>
  <c r="J102" i="19" s="1"/>
  <c r="J92" i="20"/>
  <c r="J95" i="20"/>
  <c r="CZ126" i="20"/>
  <c r="CZ168" i="20"/>
  <c r="CZ243" i="20"/>
  <c r="CZ245" i="20"/>
  <c r="CZ251" i="20"/>
  <c r="CZ265" i="20"/>
  <c r="CZ282" i="20"/>
  <c r="CZ292" i="20"/>
  <c r="CZ312" i="20"/>
  <c r="CZ314" i="20"/>
  <c r="CZ317" i="20"/>
  <c r="CZ323" i="20"/>
  <c r="CZ343" i="20"/>
  <c r="E84" i="21"/>
  <c r="DP126" i="21"/>
  <c r="DP146" i="21"/>
  <c r="DP190" i="21"/>
  <c r="DP206" i="21"/>
  <c r="DP231" i="21"/>
  <c r="DP243" i="21"/>
  <c r="DP321" i="21"/>
  <c r="DP326" i="21"/>
  <c r="DP335" i="21"/>
  <c r="DP337" i="21"/>
  <c r="DP339" i="21"/>
  <c r="DP343" i="21"/>
  <c r="DP374" i="21"/>
  <c r="EX128" i="22"/>
  <c r="EX130" i="22"/>
  <c r="EX144" i="22"/>
  <c r="EX152" i="22"/>
  <c r="EX161" i="22"/>
  <c r="EX188" i="22"/>
  <c r="EX214" i="22"/>
  <c r="EX218" i="22"/>
  <c r="EX234" i="22"/>
  <c r="EX240" i="22"/>
  <c r="EX250" i="22"/>
  <c r="EX277" i="22"/>
  <c r="EX284" i="22"/>
  <c r="EX286" i="22"/>
  <c r="EX297" i="22"/>
  <c r="J96" i="23"/>
  <c r="F123" i="23"/>
  <c r="BE129" i="23"/>
  <c r="E85" i="24"/>
  <c r="F95" i="24"/>
  <c r="J126" i="24"/>
  <c r="BE135" i="24"/>
  <c r="BE137" i="24"/>
  <c r="BE143" i="24"/>
  <c r="BE145" i="24"/>
  <c r="BE154" i="24"/>
  <c r="BE156" i="24"/>
  <c r="BE166" i="24"/>
  <c r="BE170" i="24"/>
  <c r="BE177" i="24"/>
  <c r="BK131" i="24"/>
  <c r="J131" i="24" s="1"/>
  <c r="J102" i="24" s="1"/>
  <c r="J93" i="25"/>
  <c r="J96" i="25"/>
  <c r="EF126" i="25"/>
  <c r="EF147" i="25"/>
  <c r="EF149" i="25"/>
  <c r="EF171" i="25"/>
  <c r="EF175" i="25"/>
  <c r="EF192" i="25"/>
  <c r="EF210" i="25"/>
  <c r="EF218" i="25"/>
  <c r="EF240" i="25"/>
  <c r="EF249" i="25"/>
  <c r="EF259" i="25"/>
  <c r="EF261" i="25"/>
  <c r="EF270" i="25"/>
  <c r="EF283" i="25"/>
  <c r="EF293" i="25"/>
  <c r="EF299" i="25"/>
  <c r="EF301" i="25"/>
  <c r="EL307" i="25"/>
  <c r="J307" i="25" s="1"/>
  <c r="J108" i="25" s="1"/>
  <c r="E85" i="26"/>
  <c r="BE129" i="26"/>
  <c r="E85" i="27"/>
  <c r="F95" i="27"/>
  <c r="J96" i="27"/>
  <c r="DP128" i="27"/>
  <c r="DP140" i="27"/>
  <c r="DP156" i="27"/>
  <c r="F96" i="28"/>
  <c r="EF132" i="28"/>
  <c r="EF161" i="28"/>
  <c r="EF163" i="28"/>
  <c r="EF204" i="28"/>
  <c r="EF224" i="28"/>
  <c r="EF242" i="28"/>
  <c r="EF261" i="28"/>
  <c r="EF290" i="28"/>
  <c r="EF303" i="28"/>
  <c r="F123" i="29"/>
  <c r="J93" i="30"/>
  <c r="J95" i="30"/>
  <c r="CT128" i="30"/>
  <c r="CT145" i="30"/>
  <c r="CT155" i="30"/>
  <c r="CT163" i="30"/>
  <c r="J93" i="31"/>
  <c r="F96" i="31"/>
  <c r="EV146" i="31"/>
  <c r="EV154" i="31"/>
  <c r="EV163" i="31"/>
  <c r="EV179" i="31"/>
  <c r="EV200" i="31"/>
  <c r="EV210" i="31"/>
  <c r="EV218" i="31"/>
  <c r="EV252" i="31"/>
  <c r="EV257" i="31"/>
  <c r="EV273" i="31"/>
  <c r="EV278" i="31"/>
  <c r="FB256" i="31"/>
  <c r="J256" i="31" s="1"/>
  <c r="J104" i="31" s="1"/>
  <c r="E112" i="32"/>
  <c r="F123" i="32"/>
  <c r="BE129" i="32"/>
  <c r="J93" i="33"/>
  <c r="F95" i="33"/>
  <c r="J95" i="33"/>
  <c r="F96" i="33"/>
  <c r="J96" i="33"/>
  <c r="CZ130" i="33"/>
  <c r="CZ132" i="33"/>
  <c r="CZ138" i="33"/>
  <c r="CZ140" i="33"/>
  <c r="CZ142" i="33"/>
  <c r="CZ160" i="33"/>
  <c r="J92" i="34"/>
  <c r="J95" i="34"/>
  <c r="GK134" i="34"/>
  <c r="GK139" i="34"/>
  <c r="GK156" i="34"/>
  <c r="GK160" i="34"/>
  <c r="GK283" i="34"/>
  <c r="GK287" i="34"/>
  <c r="GK299" i="34"/>
  <c r="GK301" i="34"/>
  <c r="GK316" i="34"/>
  <c r="GK340" i="34"/>
  <c r="GK351" i="34"/>
  <c r="GQ248" i="34"/>
  <c r="J248" i="34" s="1"/>
  <c r="J102" i="34" s="1"/>
  <c r="F95" i="35"/>
  <c r="CV197" i="35"/>
  <c r="CV206" i="35"/>
  <c r="CV245" i="35"/>
  <c r="CV255" i="35"/>
  <c r="CV266" i="35"/>
  <c r="CV271" i="35"/>
  <c r="CV297" i="35"/>
  <c r="CV334" i="35"/>
  <c r="CV340" i="35"/>
  <c r="CV342" i="35"/>
  <c r="CV349" i="35"/>
  <c r="DB244" i="35"/>
  <c r="J244" i="35" s="1"/>
  <c r="J102" i="35" s="1"/>
  <c r="DB322" i="35"/>
  <c r="J322" i="35" s="1"/>
  <c r="J106" i="35" s="1"/>
  <c r="J92" i="36"/>
  <c r="DQ134" i="36"/>
  <c r="DQ160" i="36"/>
  <c r="DQ172" i="36"/>
  <c r="DQ214" i="36"/>
  <c r="DQ217" i="36"/>
  <c r="DQ229" i="36"/>
  <c r="DQ257" i="36"/>
  <c r="DQ284" i="36"/>
  <c r="DQ336" i="36"/>
  <c r="DQ373" i="36"/>
  <c r="DQ429" i="36"/>
  <c r="DQ451" i="36"/>
  <c r="DQ485" i="36"/>
  <c r="E84" i="37"/>
  <c r="J95" i="37"/>
  <c r="FM182" i="37"/>
  <c r="FM202" i="37"/>
  <c r="FM233" i="37"/>
  <c r="FM238" i="37"/>
  <c r="FM241" i="37"/>
  <c r="FM245" i="37"/>
  <c r="FM250" i="37"/>
  <c r="FM266" i="37"/>
  <c r="FM271" i="37"/>
  <c r="FM291" i="37"/>
  <c r="FM293" i="37"/>
  <c r="FM312" i="37"/>
  <c r="FM349" i="37"/>
  <c r="FM353" i="37"/>
  <c r="FS244" i="37"/>
  <c r="J244" i="37" s="1"/>
  <c r="J102" i="37" s="1"/>
  <c r="J93" i="38"/>
  <c r="J96" i="38"/>
  <c r="EL136" i="38"/>
  <c r="EL175" i="38"/>
  <c r="EL185" i="38"/>
  <c r="EL188" i="38"/>
  <c r="EL219" i="38"/>
  <c r="EL264" i="38"/>
  <c r="EL298" i="38"/>
  <c r="EL302" i="38"/>
  <c r="EL318" i="38"/>
  <c r="EL323" i="38"/>
  <c r="EL335" i="38"/>
  <c r="EL353" i="38"/>
  <c r="EL384" i="38"/>
  <c r="ER322" i="38"/>
  <c r="J322" i="38" s="1"/>
  <c r="J104" i="38" s="1"/>
  <c r="ER403" i="38"/>
  <c r="J403" i="38" s="1"/>
  <c r="J109" i="38" s="1"/>
  <c r="J96" i="39"/>
  <c r="BE137" i="39"/>
  <c r="BE144" i="39"/>
  <c r="BE150" i="39"/>
  <c r="E85" i="40"/>
  <c r="J96" i="40"/>
  <c r="BK128" i="40"/>
  <c r="BK127" i="40" s="1"/>
  <c r="BK126" i="40" s="1"/>
  <c r="J126" i="40" s="1"/>
  <c r="F96" i="41"/>
  <c r="F129" i="41"/>
  <c r="BE146" i="41"/>
  <c r="BE148" i="41"/>
  <c r="BE166" i="41"/>
  <c r="BE182" i="41"/>
  <c r="BE184" i="41"/>
  <c r="BE186" i="41"/>
  <c r="BE194" i="41"/>
  <c r="BE196" i="41"/>
  <c r="BE198" i="41"/>
  <c r="BE234" i="41"/>
  <c r="BE238" i="41"/>
  <c r="BE253" i="41"/>
  <c r="BE255" i="41"/>
  <c r="BE259" i="41"/>
  <c r="BE263" i="41"/>
  <c r="BE271" i="41"/>
  <c r="BE273" i="41"/>
  <c r="BE277" i="41"/>
  <c r="BE311" i="41"/>
  <c r="BE318" i="41"/>
  <c r="BE325" i="41"/>
  <c r="J93" i="42"/>
  <c r="J96" i="42"/>
  <c r="DP127" i="42"/>
  <c r="DP129" i="42"/>
  <c r="DP133" i="42"/>
  <c r="DP137" i="42"/>
  <c r="DP141" i="42"/>
  <c r="DP143" i="42"/>
  <c r="DP155" i="42"/>
  <c r="DP157" i="42"/>
  <c r="DP159" i="42"/>
  <c r="DP181" i="42"/>
  <c r="DP193" i="42"/>
  <c r="DP209" i="42"/>
  <c r="DP211" i="42"/>
  <c r="DP221" i="42"/>
  <c r="DP223" i="42"/>
  <c r="DP229" i="42"/>
  <c r="DP235" i="42"/>
  <c r="DP237" i="42"/>
  <c r="DP241" i="42"/>
  <c r="DP266" i="42"/>
  <c r="DP272" i="42"/>
  <c r="DP275" i="42"/>
  <c r="DP277" i="42"/>
  <c r="DP283" i="42"/>
  <c r="DP285" i="42"/>
  <c r="DP291" i="42"/>
  <c r="DP296" i="42"/>
  <c r="DP300" i="42"/>
  <c r="DP302" i="42"/>
  <c r="DP313" i="42"/>
  <c r="DP318" i="42"/>
  <c r="DP320" i="42"/>
  <c r="J93" i="43"/>
  <c r="CJ130" i="43"/>
  <c r="CJ142" i="43"/>
  <c r="CJ148" i="43"/>
  <c r="CJ150" i="43"/>
  <c r="CJ162" i="43"/>
  <c r="CJ174" i="43"/>
  <c r="CJ178" i="43"/>
  <c r="CJ186" i="43"/>
  <c r="CJ188" i="43"/>
  <c r="CJ192" i="43"/>
  <c r="CJ194" i="43"/>
  <c r="CJ222" i="43"/>
  <c r="CJ242" i="43"/>
  <c r="CJ245" i="43"/>
  <c r="CJ255" i="43"/>
  <c r="CJ257" i="43"/>
  <c r="CJ267" i="43"/>
  <c r="CJ294" i="43"/>
  <c r="CJ299" i="43"/>
  <c r="CJ305" i="43"/>
  <c r="CJ308" i="43"/>
  <c r="CJ310" i="43"/>
  <c r="CJ312" i="43"/>
  <c r="CJ314" i="43"/>
  <c r="CJ316" i="43"/>
  <c r="CJ319" i="43"/>
  <c r="CJ321" i="43"/>
  <c r="CJ323" i="43"/>
  <c r="J95" i="44"/>
  <c r="CZ135" i="44"/>
  <c r="CZ139" i="44"/>
  <c r="CZ141" i="44"/>
  <c r="CZ149" i="44"/>
  <c r="CZ151" i="44"/>
  <c r="CZ157" i="44"/>
  <c r="CZ165" i="44"/>
  <c r="CZ171" i="44"/>
  <c r="CZ173" i="44"/>
  <c r="CZ175" i="44"/>
  <c r="CZ179" i="44"/>
  <c r="CZ189" i="44"/>
  <c r="CZ193" i="44"/>
  <c r="CZ211" i="44"/>
  <c r="CZ215" i="44"/>
  <c r="CZ235" i="44"/>
  <c r="CZ254" i="44"/>
  <c r="CZ258" i="44"/>
  <c r="CZ260" i="44"/>
  <c r="CZ285" i="44"/>
  <c r="CZ289" i="44"/>
  <c r="CZ316" i="44"/>
  <c r="E85" i="45"/>
  <c r="J93" i="45"/>
  <c r="J96" i="45"/>
  <c r="BK128" i="45"/>
  <c r="BK127" i="45"/>
  <c r="J127" i="45" s="1"/>
  <c r="J101" i="45" s="1"/>
  <c r="E85" i="46"/>
  <c r="F94" i="46"/>
  <c r="J91" i="47"/>
  <c r="J94" i="47"/>
  <c r="DX148" i="47"/>
  <c r="DX168" i="47"/>
  <c r="DX173" i="47"/>
  <c r="DX187" i="47"/>
  <c r="E84" i="2"/>
  <c r="EO131" i="2"/>
  <c r="EO141" i="2"/>
  <c r="EO151" i="2"/>
  <c r="EO175" i="2"/>
  <c r="EO177" i="2"/>
  <c r="EO186" i="2"/>
  <c r="EO201" i="2"/>
  <c r="EO210" i="2"/>
  <c r="EO267" i="2"/>
  <c r="EO335" i="2"/>
  <c r="EO346" i="2"/>
  <c r="EO354" i="2"/>
  <c r="EO358" i="2"/>
  <c r="EO360" i="2"/>
  <c r="EO362" i="2"/>
  <c r="EO364" i="2"/>
  <c r="EO379" i="2"/>
  <c r="EO383" i="2"/>
  <c r="EO385" i="2"/>
  <c r="EO388" i="2"/>
  <c r="EU255" i="2"/>
  <c r="J255" i="2" s="1"/>
  <c r="J102" i="2" s="1"/>
  <c r="DH129" i="3"/>
  <c r="DH165" i="3"/>
  <c r="DH169" i="3"/>
  <c r="DH186" i="3"/>
  <c r="DH213" i="3"/>
  <c r="DH268" i="3"/>
  <c r="DH293" i="3"/>
  <c r="DH315" i="3"/>
  <c r="DH320" i="3"/>
  <c r="DH323" i="3"/>
  <c r="DH337" i="3"/>
  <c r="DH339" i="3"/>
  <c r="DH349" i="3"/>
  <c r="DH351" i="3"/>
  <c r="DH365" i="3"/>
  <c r="DH383" i="3"/>
  <c r="DH389" i="3"/>
  <c r="DH402" i="3"/>
  <c r="E84" i="4"/>
  <c r="EX125" i="4"/>
  <c r="EX138" i="4"/>
  <c r="EX148" i="4"/>
  <c r="EX152" i="4"/>
  <c r="EX157" i="4"/>
  <c r="EX167" i="4"/>
  <c r="EX170" i="4"/>
  <c r="EX184" i="4"/>
  <c r="EX205" i="4"/>
  <c r="EX220" i="4"/>
  <c r="EX231" i="4"/>
  <c r="EX234" i="4"/>
  <c r="EX251" i="4"/>
  <c r="EX256" i="4"/>
  <c r="EX270" i="4"/>
  <c r="EX299" i="4"/>
  <c r="EX303" i="4"/>
  <c r="EX309" i="4"/>
  <c r="EX355" i="4"/>
  <c r="EX361" i="4"/>
  <c r="EX386" i="4"/>
  <c r="EX388" i="4"/>
  <c r="EX392" i="4"/>
  <c r="EX397" i="4"/>
  <c r="FD396" i="4"/>
  <c r="J396" i="4" s="1"/>
  <c r="J108" i="4" s="1"/>
  <c r="J95" i="5"/>
  <c r="DU152" i="5"/>
  <c r="DU155" i="5"/>
  <c r="DU187" i="5"/>
  <c r="DU189" i="5"/>
  <c r="DU209" i="5"/>
  <c r="DU240" i="5"/>
  <c r="DU245" i="5"/>
  <c r="DU282" i="5"/>
  <c r="DU300" i="5"/>
  <c r="DU313" i="5"/>
  <c r="DU319" i="5"/>
  <c r="DU321" i="5"/>
  <c r="DU323" i="5"/>
  <c r="DU335" i="5"/>
  <c r="DU341" i="5"/>
  <c r="DU343" i="5"/>
  <c r="DU346" i="5"/>
  <c r="J92" i="6"/>
  <c r="J95" i="6"/>
  <c r="DT131" i="6"/>
  <c r="DT169" i="6"/>
  <c r="DT192" i="6"/>
  <c r="DT203" i="6"/>
  <c r="DT247" i="6"/>
  <c r="DT283" i="6"/>
  <c r="DT292" i="6"/>
  <c r="DT305" i="6"/>
  <c r="DT326" i="6"/>
  <c r="DT331" i="6"/>
  <c r="DT338" i="6"/>
  <c r="DT340" i="6"/>
  <c r="DT360" i="6"/>
  <c r="DT366" i="6"/>
  <c r="DT368" i="6"/>
  <c r="DT374" i="6"/>
  <c r="DT378" i="6"/>
  <c r="DT382" i="6"/>
  <c r="DT384" i="6"/>
  <c r="DT391" i="6"/>
  <c r="DZ421" i="6"/>
  <c r="J421" i="6" s="1"/>
  <c r="J108" i="6" s="1"/>
  <c r="FI138" i="7"/>
  <c r="FI144" i="7"/>
  <c r="FI157" i="7"/>
  <c r="FI184" i="7"/>
  <c r="FI197" i="7"/>
  <c r="FI213" i="7"/>
  <c r="FI227" i="7"/>
  <c r="FI281" i="7"/>
  <c r="FI302" i="7"/>
  <c r="FI310" i="7"/>
  <c r="FI331" i="7"/>
  <c r="FI333" i="7"/>
  <c r="FI342" i="7"/>
  <c r="FI358" i="7"/>
  <c r="FI370" i="7"/>
  <c r="FI379" i="7"/>
  <c r="FI385" i="7"/>
  <c r="FI391" i="7"/>
  <c r="EF125" i="8"/>
  <c r="EF129" i="8"/>
  <c r="EF137" i="8"/>
  <c r="EF151" i="8"/>
  <c r="EF154" i="8"/>
  <c r="EF156" i="8"/>
  <c r="EF164" i="8"/>
  <c r="EF173" i="8"/>
  <c r="EF176" i="8"/>
  <c r="EF181" i="8"/>
  <c r="EF227" i="8"/>
  <c r="EF239" i="8"/>
  <c r="EF264" i="8"/>
  <c r="EF271" i="8"/>
  <c r="EF283" i="8"/>
  <c r="EF306" i="8"/>
  <c r="EF310" i="8"/>
  <c r="EF312" i="8"/>
  <c r="EF314" i="8"/>
  <c r="EF317" i="8"/>
  <c r="EF328" i="8"/>
  <c r="DX130" i="9"/>
  <c r="DX146" i="9"/>
  <c r="DX160" i="9"/>
  <c r="DX165" i="9"/>
  <c r="DX170" i="9"/>
  <c r="DX186" i="9"/>
  <c r="DX206" i="9"/>
  <c r="DX231" i="9"/>
  <c r="DX248" i="9"/>
  <c r="DX298" i="9"/>
  <c r="DX308" i="9"/>
  <c r="DX321" i="9"/>
  <c r="DX330" i="9"/>
  <c r="DX341" i="9"/>
  <c r="DX343" i="9"/>
  <c r="DX349" i="9"/>
  <c r="DX364" i="9"/>
  <c r="DX369" i="9"/>
  <c r="DX380" i="9"/>
  <c r="ED388" i="9"/>
  <c r="J388" i="9" s="1"/>
  <c r="J108" i="9" s="1"/>
  <c r="DP125" i="10"/>
  <c r="DP127" i="10"/>
  <c r="DP129" i="10"/>
  <c r="DP167" i="10"/>
  <c r="DP194" i="10"/>
  <c r="DP223" i="10"/>
  <c r="DP243" i="10"/>
  <c r="DP270" i="10"/>
  <c r="DP276" i="10"/>
  <c r="DP278" i="10"/>
  <c r="DP288" i="10"/>
  <c r="DP307" i="10"/>
  <c r="DP312" i="10"/>
  <c r="DP335" i="10"/>
  <c r="DP343" i="10"/>
  <c r="DV349" i="10"/>
  <c r="J349" i="10" s="1"/>
  <c r="J107" i="10" s="1"/>
  <c r="EV128" i="11"/>
  <c r="EV135" i="11"/>
  <c r="EV159" i="11"/>
  <c r="EV174" i="11"/>
  <c r="EV176" i="11"/>
  <c r="EV222" i="11"/>
  <c r="EV239" i="11"/>
  <c r="EV242" i="11"/>
  <c r="EV244" i="11"/>
  <c r="EV254" i="11"/>
  <c r="EV269" i="11"/>
  <c r="EV311" i="11"/>
  <c r="EV320" i="11"/>
  <c r="FB348" i="11"/>
  <c r="J348" i="11" s="1"/>
  <c r="J107" i="11" s="1"/>
  <c r="E84" i="12"/>
  <c r="CG138" i="12"/>
  <c r="CG144" i="12"/>
  <c r="CG170" i="12"/>
  <c r="CG178" i="12"/>
  <c r="CG246" i="12"/>
  <c r="CG266" i="12"/>
  <c r="CG280" i="12"/>
  <c r="CG292" i="12"/>
  <c r="CG294" i="12"/>
  <c r="CG302" i="12"/>
  <c r="J95" i="13"/>
  <c r="EM127" i="13"/>
  <c r="EM129" i="13"/>
  <c r="EM142" i="13"/>
  <c r="EM167" i="13"/>
  <c r="EM223" i="13"/>
  <c r="EM251" i="13"/>
  <c r="EM255" i="13"/>
  <c r="EM260" i="13"/>
  <c r="EM282" i="13"/>
  <c r="EM288" i="13"/>
  <c r="EM305" i="13"/>
  <c r="EM325" i="13"/>
  <c r="ES349" i="13"/>
  <c r="J349" i="13" s="1"/>
  <c r="J107" i="13" s="1"/>
  <c r="CX142" i="14"/>
  <c r="CX160" i="14"/>
  <c r="CX235" i="14"/>
  <c r="CX243" i="14"/>
  <c r="CX245" i="14"/>
  <c r="CX260" i="14"/>
  <c r="CX303" i="14"/>
  <c r="CX312" i="14"/>
  <c r="CX333" i="14"/>
  <c r="CX341" i="14"/>
  <c r="CX344" i="14"/>
  <c r="CX348" i="14"/>
  <c r="DP165" i="15"/>
  <c r="DP175" i="15"/>
  <c r="DP235" i="15"/>
  <c r="DP255" i="15"/>
  <c r="DP271" i="15"/>
  <c r="DP284" i="15"/>
  <c r="DP290" i="15"/>
  <c r="DP312" i="15"/>
  <c r="DP323" i="15"/>
  <c r="DP325" i="15"/>
  <c r="DP327" i="15"/>
  <c r="DY129" i="16"/>
  <c r="DY162" i="16"/>
  <c r="DY174" i="16"/>
  <c r="DY226" i="16"/>
  <c r="DY230" i="16"/>
  <c r="DY243" i="16"/>
  <c r="DY299" i="16"/>
  <c r="DY317" i="16"/>
  <c r="DY392" i="16"/>
  <c r="DY395" i="16"/>
  <c r="DY416" i="16"/>
  <c r="DY426" i="16"/>
  <c r="DY430" i="16"/>
  <c r="DY432" i="16"/>
  <c r="DY438" i="16"/>
  <c r="DY440" i="16"/>
  <c r="DY450" i="16"/>
  <c r="DY452" i="16"/>
  <c r="DY478" i="16"/>
  <c r="DY488" i="16"/>
  <c r="DY491" i="16"/>
  <c r="J95" i="17"/>
  <c r="ET125" i="17"/>
  <c r="ET147" i="17"/>
  <c r="ET151" i="17"/>
  <c r="ET169" i="17"/>
  <c r="ET172" i="17"/>
  <c r="ET177" i="17"/>
  <c r="ET192" i="17"/>
  <c r="ET218" i="17"/>
  <c r="ET244" i="17"/>
  <c r="ET259" i="17"/>
  <c r="ET267" i="17"/>
  <c r="ET290" i="17"/>
  <c r="ET294" i="17"/>
  <c r="ET301" i="17"/>
  <c r="ET306" i="17"/>
  <c r="ET315" i="17"/>
  <c r="ET317" i="17"/>
  <c r="ET321" i="17"/>
  <c r="ET331" i="17"/>
  <c r="ET333" i="17"/>
  <c r="ET344" i="17"/>
  <c r="ET347" i="17"/>
  <c r="ET371" i="17"/>
  <c r="ET374" i="17"/>
  <c r="J92" i="18"/>
  <c r="DZ148" i="18"/>
  <c r="DZ161" i="18"/>
  <c r="DZ165" i="18"/>
  <c r="DZ184" i="18"/>
  <c r="DZ201" i="18"/>
  <c r="DZ230" i="18"/>
  <c r="DZ248" i="18"/>
  <c r="DZ253" i="18"/>
  <c r="DZ272" i="18"/>
  <c r="DZ278" i="18"/>
  <c r="DZ289" i="18"/>
  <c r="DZ302" i="18"/>
  <c r="DZ308" i="18"/>
  <c r="DZ312" i="18"/>
  <c r="DZ336" i="18"/>
  <c r="DZ347" i="18"/>
  <c r="DZ351" i="18"/>
  <c r="DZ367" i="18"/>
  <c r="DZ373" i="18"/>
  <c r="DZ417" i="18"/>
  <c r="DZ425" i="18"/>
  <c r="DZ428" i="18"/>
  <c r="DZ432" i="18"/>
  <c r="EF247" i="18"/>
  <c r="J247" i="18" s="1"/>
  <c r="J102" i="18" s="1"/>
  <c r="EF400" i="18"/>
  <c r="J400" i="18" s="1"/>
  <c r="J106" i="18" s="1"/>
  <c r="EF431" i="18"/>
  <c r="J431" i="18" s="1"/>
  <c r="J108" i="18" s="1"/>
  <c r="CZ127" i="19"/>
  <c r="CZ141" i="19"/>
  <c r="CZ173" i="19"/>
  <c r="CZ274" i="19"/>
  <c r="CZ295" i="19"/>
  <c r="CZ330" i="19"/>
  <c r="CZ339" i="19"/>
  <c r="CZ341" i="19"/>
  <c r="CZ353" i="19"/>
  <c r="CZ366" i="19"/>
  <c r="CZ371" i="19"/>
  <c r="CZ382" i="19"/>
  <c r="F95" i="20"/>
  <c r="CZ128" i="20"/>
  <c r="CZ137" i="20"/>
  <c r="CZ143" i="20"/>
  <c r="CZ153" i="20"/>
  <c r="CZ185" i="20"/>
  <c r="CZ209" i="20"/>
  <c r="CZ235" i="20"/>
  <c r="CZ255" i="20"/>
  <c r="CZ276" i="20"/>
  <c r="CZ280" i="20"/>
  <c r="CZ303" i="20"/>
  <c r="CZ321" i="20"/>
  <c r="CZ341" i="20"/>
  <c r="J92" i="21"/>
  <c r="DP160" i="21"/>
  <c r="DP172" i="21"/>
  <c r="DP186" i="21"/>
  <c r="DP259" i="21"/>
  <c r="DP268" i="21"/>
  <c r="DP273" i="21"/>
  <c r="DP294" i="21"/>
  <c r="DP296" i="21"/>
  <c r="DP317" i="21"/>
  <c r="DP319" i="21"/>
  <c r="DV382" i="21"/>
  <c r="J382" i="21" s="1"/>
  <c r="J108" i="21" s="1"/>
  <c r="EX126" i="22"/>
  <c r="EX140" i="22"/>
  <c r="EX181" i="22"/>
  <c r="EX184" i="22"/>
  <c r="EX195" i="22"/>
  <c r="EX254" i="22"/>
  <c r="EX275" i="22"/>
  <c r="F96" i="24"/>
  <c r="J125" i="24"/>
  <c r="BE151" i="24"/>
  <c r="BE164" i="24"/>
  <c r="BE168" i="24"/>
  <c r="EF135" i="25"/>
  <c r="EF140" i="25"/>
  <c r="EF168" i="25"/>
  <c r="EF178" i="25"/>
  <c r="EF182" i="25"/>
  <c r="EF185" i="25"/>
  <c r="EF206" i="25"/>
  <c r="EF228" i="25"/>
  <c r="EF232" i="25"/>
  <c r="EF236" i="25"/>
  <c r="EF246" i="25"/>
  <c r="EF263" i="25"/>
  <c r="EF304" i="25"/>
  <c r="EF308" i="25"/>
  <c r="DV122" i="27"/>
  <c r="DV120" i="27" s="1"/>
  <c r="J120" i="27" s="1"/>
  <c r="J101" i="27" s="1"/>
  <c r="E85" i="28"/>
  <c r="EF184" i="28"/>
  <c r="EF220" i="28"/>
  <c r="EF256" i="28"/>
  <c r="EF272" i="28"/>
  <c r="EF285" i="28"/>
  <c r="EF306" i="28"/>
  <c r="EF310" i="28"/>
  <c r="EL309" i="28"/>
  <c r="J309" i="28" s="1"/>
  <c r="J108" i="28" s="1"/>
  <c r="E112" i="29"/>
  <c r="J120" i="29"/>
  <c r="BK128" i="29"/>
  <c r="BK127" i="29" s="1"/>
  <c r="BK126" i="29" s="1"/>
  <c r="J126" i="29" s="1"/>
  <c r="J100" i="29" s="1"/>
  <c r="F96" i="30"/>
  <c r="CT130" i="30"/>
  <c r="CT142" i="30"/>
  <c r="CT153" i="30"/>
  <c r="CT166" i="30"/>
  <c r="CT172" i="30"/>
  <c r="J96" i="31"/>
  <c r="EV132" i="31"/>
  <c r="EV150" i="31"/>
  <c r="EV157" i="31"/>
  <c r="EV186" i="31"/>
  <c r="EV197" i="31"/>
  <c r="EV222" i="31"/>
  <c r="EV226" i="31"/>
  <c r="EV262" i="31"/>
  <c r="EV291" i="31"/>
  <c r="EV296" i="31"/>
  <c r="EV309" i="31"/>
  <c r="J93" i="32"/>
  <c r="J123" i="32"/>
  <c r="CZ123" i="33"/>
  <c r="CZ149" i="33"/>
  <c r="CZ151" i="33"/>
  <c r="CZ154" i="33"/>
  <c r="CZ156" i="33"/>
  <c r="CZ158" i="33"/>
  <c r="F95" i="34"/>
  <c r="GK141" i="34"/>
  <c r="GK149" i="34"/>
  <c r="GK201" i="34"/>
  <c r="GK206" i="34"/>
  <c r="GK259" i="34"/>
  <c r="GK297" i="34"/>
  <c r="GK305" i="34"/>
  <c r="GK320" i="34"/>
  <c r="GK324" i="34"/>
  <c r="GK348" i="34"/>
  <c r="GQ354" i="34"/>
  <c r="J354" i="34" s="1"/>
  <c r="J108" i="34" s="1"/>
  <c r="J95" i="35"/>
  <c r="CV125" i="35"/>
  <c r="CV137" i="35"/>
  <c r="CV160" i="35"/>
  <c r="CV163" i="35"/>
  <c r="CV211" i="35"/>
  <c r="CV215" i="35"/>
  <c r="CV229" i="35"/>
  <c r="CV238" i="35"/>
  <c r="CV241" i="35"/>
  <c r="CV264" i="35"/>
  <c r="CV293" i="35"/>
  <c r="CV299" i="35"/>
  <c r="CV308" i="35"/>
  <c r="CV314" i="35"/>
  <c r="CV318" i="35"/>
  <c r="F95" i="36"/>
  <c r="DQ139" i="36"/>
  <c r="DQ169" i="36"/>
  <c r="DQ197" i="36"/>
  <c r="DQ200" i="36"/>
  <c r="DQ222" i="36"/>
  <c r="DQ255" i="36"/>
  <c r="DQ261" i="36"/>
  <c r="DQ331" i="36"/>
  <c r="DQ334" i="36"/>
  <c r="DQ394" i="36"/>
  <c r="DQ409" i="36"/>
  <c r="DQ413" i="36"/>
  <c r="DQ420" i="36"/>
  <c r="DQ425" i="36"/>
  <c r="DQ427" i="36"/>
  <c r="DQ438" i="36"/>
  <c r="DQ457" i="36"/>
  <c r="DQ459" i="36"/>
  <c r="DQ463" i="36"/>
  <c r="DQ479" i="36"/>
  <c r="DQ489" i="36"/>
  <c r="DQ491" i="36"/>
  <c r="DQ497" i="36"/>
  <c r="DQ507" i="36"/>
  <c r="DQ512" i="36"/>
  <c r="DQ520" i="36"/>
  <c r="DQ523" i="36"/>
  <c r="DQ527" i="36"/>
  <c r="DQ529" i="36"/>
  <c r="DQ533" i="36"/>
  <c r="DQ535" i="36"/>
  <c r="DQ537" i="36"/>
  <c r="DQ541" i="36"/>
  <c r="DQ543" i="36"/>
  <c r="DQ549" i="36"/>
  <c r="DQ553" i="36"/>
  <c r="DQ565" i="36"/>
  <c r="DQ571" i="36"/>
  <c r="DQ576" i="36"/>
  <c r="DQ587" i="36"/>
  <c r="DW575" i="36"/>
  <c r="J575" i="36" s="1"/>
  <c r="J106" i="36" s="1"/>
  <c r="FM130" i="37"/>
  <c r="FM135" i="37"/>
  <c r="FM156" i="37"/>
  <c r="FM165" i="37"/>
  <c r="FM211" i="37"/>
  <c r="FM262" i="37"/>
  <c r="FM295" i="37"/>
  <c r="FM301" i="37"/>
  <c r="FM346" i="37"/>
  <c r="EL126" i="38"/>
  <c r="EL131" i="38"/>
  <c r="EL138" i="38"/>
  <c r="EL144" i="38"/>
  <c r="EL212" i="38"/>
  <c r="EL276" i="38"/>
  <c r="EL281" i="38"/>
  <c r="EL284" i="38"/>
  <c r="EL294" i="38"/>
  <c r="EL316" i="38"/>
  <c r="EL329" i="38"/>
  <c r="EL331" i="38"/>
  <c r="EL333" i="38"/>
  <c r="EL369" i="38"/>
  <c r="EL374" i="38"/>
  <c r="EL395" i="38"/>
  <c r="J95" i="39"/>
  <c r="E114" i="39"/>
  <c r="J122" i="39"/>
  <c r="BE159" i="39"/>
  <c r="J93" i="41"/>
  <c r="J96" i="41"/>
  <c r="J129" i="41"/>
  <c r="BE136" i="41"/>
  <c r="BE140" i="41"/>
  <c r="BE144" i="41"/>
  <c r="BE160" i="41"/>
  <c r="BE162" i="41"/>
  <c r="BE178" i="41"/>
  <c r="BE202" i="41"/>
  <c r="BE206" i="41"/>
  <c r="BE214" i="41"/>
  <c r="BE216" i="41"/>
  <c r="BE236" i="41"/>
  <c r="BE242" i="41"/>
  <c r="BE261" i="41"/>
  <c r="BE265" i="41"/>
  <c r="BE267" i="41"/>
  <c r="BE275" i="41"/>
  <c r="BE279" i="41"/>
  <c r="BE286" i="41"/>
  <c r="BE290" i="41"/>
  <c r="BE294" i="41"/>
  <c r="DP145" i="42"/>
  <c r="DP147" i="42"/>
  <c r="DP171" i="42"/>
  <c r="DP173" i="42"/>
  <c r="DP175" i="42"/>
  <c r="DP185" i="42"/>
  <c r="DP187" i="42"/>
  <c r="DP201" i="42"/>
  <c r="DP203" i="42"/>
  <c r="DP217" i="42"/>
  <c r="DP225" i="42"/>
  <c r="DP227" i="42"/>
  <c r="DP233" i="42"/>
  <c r="DP239" i="42"/>
  <c r="DP248" i="42"/>
  <c r="DP250" i="42"/>
  <c r="DP256" i="42"/>
  <c r="DP260" i="42"/>
  <c r="DP268" i="42"/>
  <c r="DP298" i="42"/>
  <c r="DP316" i="42"/>
  <c r="F95" i="43"/>
  <c r="J96" i="43"/>
  <c r="CJ128" i="43"/>
  <c r="CJ132" i="43"/>
  <c r="CJ138" i="43"/>
  <c r="CJ144" i="43"/>
  <c r="CJ154" i="43"/>
  <c r="CJ156" i="43"/>
  <c r="CJ158" i="43"/>
  <c r="CJ160" i="43"/>
  <c r="CJ170" i="43"/>
  <c r="CJ172" i="43"/>
  <c r="CJ180" i="43"/>
  <c r="CJ196" i="43"/>
  <c r="CJ202" i="43"/>
  <c r="CJ208" i="43"/>
  <c r="CJ212" i="43"/>
  <c r="CJ214" i="43"/>
  <c r="CJ218" i="43"/>
  <c r="CJ224" i="43"/>
  <c r="CJ236" i="43"/>
  <c r="CJ249" i="43"/>
  <c r="CJ253" i="43"/>
  <c r="CJ261" i="43"/>
  <c r="CJ273" i="43"/>
  <c r="CJ276" i="43"/>
  <c r="CJ278" i="43"/>
  <c r="CJ282" i="43"/>
  <c r="CJ284" i="43"/>
  <c r="CJ286" i="43"/>
  <c r="CJ288" i="43"/>
  <c r="CJ290" i="43"/>
  <c r="CJ303" i="43"/>
  <c r="J93" i="44"/>
  <c r="J96" i="44"/>
  <c r="CZ131" i="44"/>
  <c r="CZ137" i="44"/>
  <c r="CZ199" i="44"/>
  <c r="CZ201" i="44"/>
  <c r="CZ205" i="44"/>
  <c r="CZ209" i="44"/>
  <c r="CZ227" i="44"/>
  <c r="CZ229" i="44"/>
  <c r="CZ244" i="44"/>
  <c r="CZ246" i="44"/>
  <c r="CZ248" i="44"/>
  <c r="CZ270" i="44"/>
  <c r="CZ272" i="44"/>
  <c r="CZ287" i="44"/>
  <c r="CZ302" i="44"/>
  <c r="CZ307" i="44"/>
  <c r="CZ318" i="44"/>
  <c r="CZ320" i="44"/>
  <c r="F96" i="45"/>
  <c r="J91" i="46"/>
  <c r="J94" i="46"/>
  <c r="DP118" i="46"/>
  <c r="E85" i="47"/>
  <c r="DX140" i="47"/>
  <c r="DX145" i="47"/>
  <c r="DX170" i="47"/>
  <c r="DX176" i="47"/>
  <c r="DX180" i="47"/>
  <c r="DX191" i="47"/>
  <c r="DX196" i="47"/>
  <c r="DX212" i="47"/>
  <c r="ED155" i="47"/>
  <c r="J155" i="47" s="1"/>
  <c r="J106" i="47" s="1"/>
  <c r="ED202" i="47"/>
  <c r="J202" i="47" s="1"/>
  <c r="J117" i="47" s="1"/>
  <c r="ED205" i="47"/>
  <c r="J205" i="47" s="1"/>
  <c r="J118" i="47" s="1"/>
  <c r="ED208" i="47"/>
  <c r="J208" i="47" s="1"/>
  <c r="J119" i="47" s="1"/>
  <c r="ED211" i="47"/>
  <c r="J211" i="47" s="1"/>
  <c r="J120" i="47" s="1"/>
  <c r="EO167" i="2"/>
  <c r="EO171" i="2"/>
  <c r="EO199" i="2"/>
  <c r="EO221" i="2"/>
  <c r="EO243" i="2"/>
  <c r="EO252" i="2"/>
  <c r="EO256" i="2"/>
  <c r="EO272" i="2"/>
  <c r="EO276" i="2"/>
  <c r="EO278" i="2"/>
  <c r="EO298" i="2"/>
  <c r="EO300" i="2"/>
  <c r="EO325" i="2"/>
  <c r="EO330" i="2"/>
  <c r="EO342" i="2"/>
  <c r="EO375" i="2"/>
  <c r="DH161" i="3"/>
  <c r="DH179" i="3"/>
  <c r="DH193" i="3"/>
  <c r="DH232" i="3"/>
  <c r="DH246" i="3"/>
  <c r="DH264" i="3"/>
  <c r="DH288" i="3"/>
  <c r="DH295" i="3"/>
  <c r="DH301" i="3"/>
  <c r="DN245" i="3"/>
  <c r="J245" i="3" s="1"/>
  <c r="J102" i="3" s="1"/>
  <c r="EX175" i="4"/>
  <c r="EX182" i="4"/>
  <c r="EX189" i="4"/>
  <c r="EX238" i="4"/>
  <c r="EX291" i="4"/>
  <c r="EX329" i="4"/>
  <c r="EX337" i="4"/>
  <c r="EX339" i="4"/>
  <c r="EX341" i="4"/>
  <c r="EX351" i="4"/>
  <c r="EX369" i="4"/>
  <c r="EX375" i="4"/>
  <c r="FD237" i="4"/>
  <c r="J237" i="4" s="1"/>
  <c r="J102" i="4" s="1"/>
  <c r="DU126" i="5"/>
  <c r="DU130" i="5"/>
  <c r="DU157" i="5"/>
  <c r="DU205" i="5"/>
  <c r="DU228" i="5"/>
  <c r="DU233" i="5"/>
  <c r="DU255" i="5"/>
  <c r="DU271" i="5"/>
  <c r="DU284" i="5"/>
  <c r="DU290" i="5"/>
  <c r="DU298" i="5"/>
  <c r="DU302" i="5"/>
  <c r="DU305" i="5"/>
  <c r="DU333" i="5"/>
  <c r="DU351" i="5"/>
  <c r="DU357" i="5"/>
  <c r="DU362" i="5"/>
  <c r="DU374" i="5"/>
  <c r="DU379" i="5"/>
  <c r="EA239" i="5"/>
  <c r="J239" i="5" s="1"/>
  <c r="J102" i="5" s="1"/>
  <c r="EA345" i="5"/>
  <c r="J345" i="5" s="1"/>
  <c r="J106" i="5" s="1"/>
  <c r="EA378" i="5"/>
  <c r="J378" i="5" s="1"/>
  <c r="J108" i="5" s="1"/>
  <c r="DT152" i="6"/>
  <c r="DT240" i="6"/>
  <c r="DT271" i="6"/>
  <c r="DT273" i="6"/>
  <c r="DT342" i="6"/>
  <c r="DT350" i="6"/>
  <c r="DT387" i="6"/>
  <c r="DT402" i="6"/>
  <c r="DT413" i="6"/>
  <c r="DT415" i="6"/>
  <c r="DT418" i="6"/>
  <c r="DT422" i="6"/>
  <c r="FI127" i="7"/>
  <c r="FI155" i="7"/>
  <c r="FI165" i="7"/>
  <c r="FI199" i="7"/>
  <c r="FI207" i="7"/>
  <c r="FI216" i="7"/>
  <c r="FI235" i="7"/>
  <c r="FI278" i="7"/>
  <c r="FI283" i="7"/>
  <c r="FI288" i="7"/>
  <c r="FI292" i="7"/>
  <c r="FI320" i="7"/>
  <c r="FI322" i="7"/>
  <c r="FI335" i="7"/>
  <c r="FI337" i="7"/>
  <c r="FI383" i="7"/>
  <c r="FI389" i="7"/>
  <c r="FI432" i="7"/>
  <c r="J95" i="8"/>
  <c r="EF127" i="8"/>
  <c r="EF143" i="8"/>
  <c r="EF160" i="8"/>
  <c r="EF232" i="8"/>
  <c r="EF249" i="8"/>
  <c r="EF254" i="8"/>
  <c r="EF260" i="8"/>
  <c r="EF262" i="8"/>
  <c r="EF266" i="8"/>
  <c r="EF299" i="8"/>
  <c r="EF322" i="8"/>
  <c r="EF333" i="8"/>
  <c r="EF341" i="8"/>
  <c r="DX128" i="9"/>
  <c r="DX172" i="9"/>
  <c r="DX182" i="9"/>
  <c r="DX199" i="9"/>
  <c r="DX215" i="9"/>
  <c r="DX253" i="9"/>
  <c r="DX259" i="9"/>
  <c r="DX263" i="9"/>
  <c r="DX282" i="9"/>
  <c r="DX292" i="9"/>
  <c r="DX296" i="9"/>
  <c r="DX323" i="9"/>
  <c r="DX328" i="9"/>
  <c r="DX333" i="9"/>
  <c r="DX337" i="9"/>
  <c r="DX356" i="9"/>
  <c r="DX360" i="9"/>
  <c r="DX374" i="9"/>
  <c r="DX382" i="9"/>
  <c r="F95" i="10"/>
  <c r="DP152" i="10"/>
  <c r="DP175" i="10"/>
  <c r="DP177" i="10"/>
  <c r="DP181" i="10"/>
  <c r="DP199" i="10"/>
  <c r="DP240" i="10"/>
  <c r="DP260" i="10"/>
  <c r="DP265" i="10"/>
  <c r="DP280" i="10"/>
  <c r="DP282" i="10"/>
  <c r="DP292" i="10"/>
  <c r="DP314" i="10"/>
  <c r="DP323" i="10"/>
  <c r="DP330" i="10"/>
  <c r="DV254" i="10"/>
  <c r="J254" i="10" s="1"/>
  <c r="J102" i="10" s="1"/>
  <c r="EV141" i="11"/>
  <c r="EV164" i="11"/>
  <c r="EV166" i="11"/>
  <c r="EV198" i="11"/>
  <c r="EV234" i="11"/>
  <c r="EV275" i="11"/>
  <c r="EV281" i="11"/>
  <c r="EV287" i="11"/>
  <c r="EV291" i="11"/>
  <c r="EV306" i="11"/>
  <c r="EV326" i="11"/>
  <c r="EV334" i="11"/>
  <c r="EV342" i="11"/>
  <c r="CG128" i="12"/>
  <c r="CG187" i="12"/>
  <c r="CG197" i="12"/>
  <c r="CG204" i="12"/>
  <c r="CG251" i="12"/>
  <c r="CG257" i="12"/>
  <c r="CG261" i="12"/>
  <c r="CG317" i="12"/>
  <c r="CG319" i="12"/>
  <c r="CG326" i="12"/>
  <c r="CG335" i="12"/>
  <c r="CG337" i="12"/>
  <c r="CG339" i="12"/>
  <c r="CG343" i="12"/>
  <c r="CG347" i="12"/>
  <c r="CG349" i="12"/>
  <c r="CG354" i="12"/>
  <c r="CG359" i="12"/>
  <c r="CG367" i="12"/>
  <c r="CM373" i="12"/>
  <c r="J373" i="12" s="1"/>
  <c r="J107" i="12" s="1"/>
  <c r="EM125" i="13"/>
  <c r="EM152" i="13"/>
  <c r="EM165" i="13"/>
  <c r="EM199" i="13"/>
  <c r="EM240" i="13"/>
  <c r="EM307" i="13"/>
  <c r="EM341" i="13"/>
  <c r="EM343" i="13"/>
  <c r="EM346" i="13"/>
  <c r="EM350" i="13"/>
  <c r="E84" i="14"/>
  <c r="CX129" i="14"/>
  <c r="CX194" i="14"/>
  <c r="CX208" i="14"/>
  <c r="CX223" i="14"/>
  <c r="CX251" i="14"/>
  <c r="CX265" i="14"/>
  <c r="CX278" i="14"/>
  <c r="CX280" i="14"/>
  <c r="CX282" i="14"/>
  <c r="CX288" i="14"/>
  <c r="CX310" i="14"/>
  <c r="DD347" i="14"/>
  <c r="J347" i="14" s="1"/>
  <c r="J107" i="14" s="1"/>
  <c r="F95" i="15"/>
  <c r="DP125" i="15"/>
  <c r="DP127" i="15"/>
  <c r="DP184" i="15"/>
  <c r="DP199" i="15"/>
  <c r="DP243" i="15"/>
  <c r="DP245" i="15"/>
  <c r="DP303" i="15"/>
  <c r="DP317" i="15"/>
  <c r="DV254" i="15"/>
  <c r="J254" i="15" s="1"/>
  <c r="J102" i="15" s="1"/>
  <c r="DV349" i="15"/>
  <c r="J349" i="15" s="1"/>
  <c r="J107" i="15" s="1"/>
  <c r="J92" i="16"/>
  <c r="J95" i="16"/>
  <c r="DY165" i="16"/>
  <c r="DY172" i="16"/>
  <c r="DY186" i="16"/>
  <c r="DY201" i="16"/>
  <c r="DY204" i="16"/>
  <c r="DY209" i="16"/>
  <c r="DY247" i="16"/>
  <c r="DY263" i="16"/>
  <c r="DY307" i="16"/>
  <c r="DY325" i="16"/>
  <c r="DY334" i="16"/>
  <c r="DY338" i="16"/>
  <c r="DY347" i="16"/>
  <c r="DY357" i="16"/>
  <c r="DY365" i="16"/>
  <c r="DY381" i="16"/>
  <c r="DY387" i="16"/>
  <c r="DY389" i="16"/>
  <c r="DY398" i="16"/>
  <c r="DY407" i="16"/>
  <c r="DY424" i="16"/>
  <c r="DY442" i="16"/>
  <c r="DY486" i="16"/>
  <c r="DY513" i="16"/>
  <c r="DY518" i="16"/>
  <c r="DY522" i="16"/>
  <c r="EE521" i="16"/>
  <c r="J521" i="16" s="1"/>
  <c r="J108" i="16" s="1"/>
  <c r="ET129" i="17"/>
  <c r="ET137" i="17"/>
  <c r="ET143" i="17"/>
  <c r="ET182" i="17"/>
  <c r="ET184" i="17"/>
  <c r="ET203" i="17"/>
  <c r="ET230" i="17"/>
  <c r="ET253" i="17"/>
  <c r="ET269" i="17"/>
  <c r="ET271" i="17"/>
  <c r="ET273" i="17"/>
  <c r="ET280" i="17"/>
  <c r="ET286" i="17"/>
  <c r="ET296" i="17"/>
  <c r="ET298" i="17"/>
  <c r="ET309" i="17"/>
  <c r="ET313" i="17"/>
  <c r="ET323" i="17"/>
  <c r="ET329" i="17"/>
  <c r="ET352" i="17"/>
  <c r="ET363" i="17"/>
  <c r="ET369" i="17"/>
  <c r="ET378" i="17"/>
  <c r="J95" i="18"/>
  <c r="DZ130" i="18"/>
  <c r="DZ179" i="18"/>
  <c r="DZ198" i="18"/>
  <c r="DZ210" i="18"/>
  <c r="DZ214" i="18"/>
  <c r="DZ241" i="18"/>
  <c r="DZ260" i="18"/>
  <c r="DZ280" i="18"/>
  <c r="DZ291" i="18"/>
  <c r="DZ325" i="18"/>
  <c r="DZ328" i="18"/>
  <c r="DZ339" i="18"/>
  <c r="DZ357" i="18"/>
  <c r="DZ359" i="18"/>
  <c r="DZ361" i="18"/>
  <c r="DZ369" i="18"/>
  <c r="DZ378" i="18"/>
  <c r="DZ380" i="18"/>
  <c r="DZ382" i="18"/>
  <c r="CZ129" i="19"/>
  <c r="CZ147" i="19"/>
  <c r="CZ161" i="19"/>
  <c r="CZ166" i="19"/>
  <c r="CZ187" i="19"/>
  <c r="CZ207" i="19"/>
  <c r="CZ216" i="19"/>
  <c r="CZ232" i="19"/>
  <c r="CZ244" i="19"/>
  <c r="CZ260" i="19"/>
  <c r="CZ299" i="19"/>
  <c r="CZ305" i="19"/>
  <c r="CZ332" i="19"/>
  <c r="CZ355" i="19"/>
  <c r="E84" i="20"/>
  <c r="CZ156" i="20"/>
  <c r="CZ161" i="20"/>
  <c r="CZ176" i="20"/>
  <c r="CZ178" i="20"/>
  <c r="CZ182" i="20"/>
  <c r="CZ200" i="20"/>
  <c r="CZ270" i="20"/>
  <c r="CZ288" i="20"/>
  <c r="CZ327" i="20"/>
  <c r="CZ330" i="20"/>
  <c r="CZ335" i="20"/>
  <c r="DF254" i="20"/>
  <c r="J254" i="20" s="1"/>
  <c r="J102" i="20" s="1"/>
  <c r="DF349" i="20"/>
  <c r="J349" i="20" s="1"/>
  <c r="J107" i="20" s="1"/>
  <c r="J95" i="21"/>
  <c r="DP128" i="21"/>
  <c r="DP130" i="21"/>
  <c r="DP157" i="21"/>
  <c r="DP165" i="21"/>
  <c r="DP180" i="21"/>
  <c r="DP182" i="21"/>
  <c r="DP263" i="21"/>
  <c r="DP282" i="21"/>
  <c r="DP292" i="21"/>
  <c r="DP328" i="21"/>
  <c r="DP331" i="21"/>
  <c r="DP341" i="21"/>
  <c r="DP347" i="21"/>
  <c r="EX135" i="22"/>
  <c r="EX148" i="22"/>
  <c r="EX177" i="22"/>
  <c r="EX198" i="22"/>
  <c r="EX222" i="22"/>
  <c r="EX226" i="22"/>
  <c r="EX246" i="22"/>
  <c r="EX258" i="22"/>
  <c r="EX263" i="22"/>
  <c r="EX292" i="22"/>
  <c r="EX307" i="22"/>
  <c r="E85" i="23"/>
  <c r="J93" i="23"/>
  <c r="BK128" i="23"/>
  <c r="J128" i="23"/>
  <c r="J102" i="23"/>
  <c r="J93" i="24"/>
  <c r="BE132" i="24"/>
  <c r="BE147" i="24"/>
  <c r="BE149" i="24"/>
  <c r="BE162" i="24"/>
  <c r="BE172" i="24"/>
  <c r="BE175" i="24"/>
  <c r="BE181" i="24"/>
  <c r="F96" i="25"/>
  <c r="EF144" i="25"/>
  <c r="EF159" i="25"/>
  <c r="EF161" i="25"/>
  <c r="EF214" i="25"/>
  <c r="EF226" i="25"/>
  <c r="EF244" i="25"/>
  <c r="EF254" i="25"/>
  <c r="F96" i="26"/>
  <c r="J120" i="26"/>
  <c r="J123" i="26"/>
  <c r="BK128" i="26"/>
  <c r="BK127" i="26" s="1"/>
  <c r="J127" i="26" s="1"/>
  <c r="J101" i="26" s="1"/>
  <c r="J95" i="27"/>
  <c r="DP126" i="27"/>
  <c r="DP132" i="27"/>
  <c r="DP136" i="27"/>
  <c r="DP138" i="27"/>
  <c r="DP142" i="27"/>
  <c r="DP145" i="27"/>
  <c r="DP149" i="27"/>
  <c r="DP154" i="27"/>
  <c r="J93" i="28"/>
  <c r="J96" i="28"/>
  <c r="EF137" i="28"/>
  <c r="EF149" i="28"/>
  <c r="EF157" i="28"/>
  <c r="EF177" i="28"/>
  <c r="EF187" i="28"/>
  <c r="EF191" i="28"/>
  <c r="EF194" i="28"/>
  <c r="EF208" i="28"/>
  <c r="EF212" i="28"/>
  <c r="EF216" i="28"/>
  <c r="EF228" i="28"/>
  <c r="EF238" i="28"/>
  <c r="EF246" i="28"/>
  <c r="EF248" i="28"/>
  <c r="EF263" i="28"/>
  <c r="EF265" i="28"/>
  <c r="EF274" i="28"/>
  <c r="EF280" i="28"/>
  <c r="J96" i="29"/>
  <c r="BE129" i="29"/>
  <c r="E85" i="30"/>
  <c r="F95" i="30"/>
  <c r="CT132" i="30"/>
  <c r="CT134" i="30"/>
  <c r="CT147" i="30"/>
  <c r="CT149" i="30"/>
  <c r="CT157" i="30"/>
  <c r="CT161" i="30"/>
  <c r="CZ122" i="30"/>
  <c r="J122" i="30" s="1"/>
  <c r="J102" i="30" s="1"/>
  <c r="EV128" i="31"/>
  <c r="EV130" i="31"/>
  <c r="EV137" i="31"/>
  <c r="EV142" i="31"/>
  <c r="EV161" i="31"/>
  <c r="EV167" i="31"/>
  <c r="EV169" i="31"/>
  <c r="EV176" i="31"/>
  <c r="EV183" i="31"/>
  <c r="EV190" i="31"/>
  <c r="EV240" i="31"/>
  <c r="EV267" i="31"/>
  <c r="EV269" i="31"/>
  <c r="EV271" i="31"/>
  <c r="EV280" i="31"/>
  <c r="EV286" i="31"/>
  <c r="EV307" i="31"/>
  <c r="EV312" i="31"/>
  <c r="EV316" i="31"/>
  <c r="FB315" i="31"/>
  <c r="J315" i="31" s="1"/>
  <c r="J108" i="31" s="1"/>
  <c r="BK128" i="32"/>
  <c r="J128" i="32" s="1"/>
  <c r="J102" i="32" s="1"/>
  <c r="CZ134" i="33"/>
  <c r="CZ145" i="33"/>
  <c r="DF122" i="33"/>
  <c r="J122" i="33" s="1"/>
  <c r="J102" i="33" s="1"/>
  <c r="E84" i="34"/>
  <c r="GK164" i="34"/>
  <c r="GK177" i="34"/>
  <c r="GK194" i="34"/>
  <c r="GK210" i="34"/>
  <c r="GK215" i="34"/>
  <c r="GK219" i="34"/>
  <c r="GK233" i="34"/>
  <c r="GK237" i="34"/>
  <c r="GK245" i="34"/>
  <c r="GK268" i="34"/>
  <c r="GK275" i="34"/>
  <c r="GK291" i="34"/>
  <c r="GK309" i="34"/>
  <c r="GK311" i="34"/>
  <c r="GK329" i="34"/>
  <c r="GK335" i="34"/>
  <c r="GK355" i="34"/>
  <c r="CV135" i="35"/>
  <c r="CV145" i="35"/>
  <c r="CV152" i="35"/>
  <c r="CV165" i="35"/>
  <c r="CV169" i="35"/>
  <c r="CV173" i="35"/>
  <c r="CV185" i="35"/>
  <c r="CV190" i="35"/>
  <c r="CV202" i="35"/>
  <c r="CV287" i="35"/>
  <c r="CV295" i="35"/>
  <c r="CV303" i="35"/>
  <c r="CV305" i="35"/>
  <c r="CV310" i="35"/>
  <c r="CV323" i="35"/>
  <c r="CV329" i="35"/>
  <c r="DQ129" i="36"/>
  <c r="DQ141" i="36"/>
  <c r="DQ164" i="36"/>
  <c r="DQ190" i="36"/>
  <c r="DQ226" i="36"/>
  <c r="DQ233" i="36"/>
  <c r="DQ236" i="36"/>
  <c r="DQ243" i="36"/>
  <c r="DQ245" i="36"/>
  <c r="DQ276" i="36"/>
  <c r="DQ293" i="36"/>
  <c r="DQ310" i="36"/>
  <c r="DQ344" i="36"/>
  <c r="DQ348" i="36"/>
  <c r="DQ371" i="36"/>
  <c r="DQ387" i="36"/>
  <c r="DQ392" i="36"/>
  <c r="DQ431" i="36"/>
  <c r="DQ436" i="36"/>
  <c r="DQ444" i="36"/>
  <c r="DQ448" i="36"/>
  <c r="DQ465" i="36"/>
  <c r="DQ475" i="36"/>
  <c r="DW601" i="36"/>
  <c r="J601" i="36" s="1"/>
  <c r="J108" i="36" s="1"/>
  <c r="FM125" i="37"/>
  <c r="FM145" i="37"/>
  <c r="FM185" i="37"/>
  <c r="FM190" i="37"/>
  <c r="FM215" i="37"/>
  <c r="FM260" i="37"/>
  <c r="FM264" i="37"/>
  <c r="FM273" i="37"/>
  <c r="FM283" i="37"/>
  <c r="FM287" i="37"/>
  <c r="FM297" i="37"/>
  <c r="FM299" i="37"/>
  <c r="FM309" i="37"/>
  <c r="FM314" i="37"/>
  <c r="FM338" i="37"/>
  <c r="FM344" i="37"/>
  <c r="EL148" i="38"/>
  <c r="EL151" i="38"/>
  <c r="EL153" i="38"/>
  <c r="EL157" i="38"/>
  <c r="EL165" i="38"/>
  <c r="EL193" i="38"/>
  <c r="EL210" i="38"/>
  <c r="EL216" i="38"/>
  <c r="EL236" i="38"/>
  <c r="EL245" i="38"/>
  <c r="EL307" i="38"/>
  <c r="EL312" i="38"/>
  <c r="EL342" i="38"/>
  <c r="EL349" i="38"/>
  <c r="EL355" i="38"/>
  <c r="EL358" i="38"/>
  <c r="EL379" i="38"/>
  <c r="EL397" i="38"/>
  <c r="EL400" i="38"/>
  <c r="EL404" i="38"/>
  <c r="F124" i="39"/>
  <c r="F125" i="39"/>
  <c r="BE139" i="39"/>
  <c r="BE141" i="39"/>
  <c r="BE148" i="39"/>
  <c r="F96" i="40"/>
  <c r="J120" i="40"/>
  <c r="BE129" i="40"/>
  <c r="E119" i="41"/>
  <c r="BE138" i="41"/>
  <c r="BE142" i="41"/>
  <c r="BE164" i="41"/>
  <c r="BE170" i="41"/>
  <c r="BE172" i="41"/>
  <c r="BE174" i="41"/>
  <c r="BE176" i="41"/>
  <c r="BE188" i="41"/>
  <c r="BE192" i="41"/>
  <c r="BE204" i="41"/>
  <c r="BE210" i="41"/>
  <c r="BE218" i="41"/>
  <c r="BE226" i="41"/>
  <c r="BE228" i="41"/>
  <c r="BE248" i="41"/>
  <c r="BE250" i="41"/>
  <c r="BE257" i="41"/>
  <c r="BE281" i="41"/>
  <c r="BE284" i="41"/>
  <c r="BE288" i="41"/>
  <c r="BE296" i="41"/>
  <c r="BE302" i="41"/>
  <c r="BE305" i="41"/>
  <c r="BE307" i="41"/>
  <c r="BE309" i="41"/>
  <c r="BE320" i="41"/>
  <c r="BE322" i="41"/>
  <c r="BE327" i="41"/>
  <c r="BE329" i="41"/>
  <c r="F96" i="42"/>
  <c r="DP131" i="42"/>
  <c r="DP135" i="42"/>
  <c r="DP139" i="42"/>
  <c r="DP149" i="42"/>
  <c r="DP151" i="42"/>
  <c r="DP153" i="42"/>
  <c r="DP163" i="42"/>
  <c r="DP169" i="42"/>
  <c r="DP179" i="42"/>
  <c r="DP183" i="42"/>
  <c r="DP189" i="42"/>
  <c r="DP195" i="42"/>
  <c r="DP205" i="42"/>
  <c r="DP213" i="42"/>
  <c r="DP219" i="42"/>
  <c r="DP244" i="42"/>
  <c r="DP246" i="42"/>
  <c r="DP258" i="42"/>
  <c r="DP279" i="42"/>
  <c r="DP287" i="42"/>
  <c r="DP289" i="42"/>
  <c r="DP305" i="42"/>
  <c r="DP307" i="42"/>
  <c r="J95" i="43"/>
  <c r="CJ140" i="43"/>
  <c r="CJ146" i="43"/>
  <c r="CJ164" i="43"/>
  <c r="CJ176" i="43"/>
  <c r="CJ204" i="43"/>
  <c r="CJ210" i="43"/>
  <c r="CJ226" i="43"/>
  <c r="CJ228" i="43"/>
  <c r="CJ230" i="43"/>
  <c r="CJ234" i="43"/>
  <c r="CJ247" i="43"/>
  <c r="CJ251" i="43"/>
  <c r="CJ263" i="43"/>
  <c r="CJ280" i="43"/>
  <c r="CZ129" i="44"/>
  <c r="CZ143" i="44"/>
  <c r="CZ145" i="44"/>
  <c r="CZ147" i="44"/>
  <c r="CZ153" i="44"/>
  <c r="CZ155" i="44"/>
  <c r="CZ161" i="44"/>
  <c r="CZ181" i="44"/>
  <c r="CZ183" i="44"/>
  <c r="CZ185" i="44"/>
  <c r="CZ187" i="44"/>
  <c r="CZ203" i="44"/>
  <c r="CZ207" i="44"/>
  <c r="CZ217" i="44"/>
  <c r="CZ233" i="44"/>
  <c r="CZ237" i="44"/>
  <c r="CZ250" i="44"/>
  <c r="CZ262" i="44"/>
  <c r="CZ266" i="44"/>
  <c r="CZ268" i="44"/>
  <c r="CZ281" i="44"/>
  <c r="CZ283" i="44"/>
  <c r="CZ293" i="44"/>
  <c r="CZ296" i="44"/>
  <c r="CZ298" i="44"/>
  <c r="CZ305" i="44"/>
  <c r="CZ313" i="44"/>
  <c r="J95" i="45"/>
  <c r="F122" i="45"/>
  <c r="BE129" i="45"/>
  <c r="J93" i="46"/>
  <c r="DP122" i="46"/>
  <c r="F93" i="47"/>
  <c r="DX137" i="47"/>
  <c r="DX153" i="47"/>
  <c r="DX156" i="47"/>
  <c r="DX159" i="47"/>
  <c r="DX161" i="47"/>
  <c r="DX163" i="47"/>
  <c r="DX198" i="47"/>
  <c r="DX200" i="47"/>
  <c r="DX203" i="47"/>
  <c r="ED139" i="47"/>
  <c r="J139" i="47" s="1"/>
  <c r="J102" i="47" s="1"/>
  <c r="ED152" i="47"/>
  <c r="J152" i="47" s="1"/>
  <c r="J105" i="47" s="1"/>
  <c r="ED175" i="47"/>
  <c r="J175" i="47" s="1"/>
  <c r="J110" i="47" s="1"/>
  <c r="EO147" i="2"/>
  <c r="EO158" i="2"/>
  <c r="EO161" i="2"/>
  <c r="EO163" i="2"/>
  <c r="EO189" i="2"/>
  <c r="EO194" i="2"/>
  <c r="EO206" i="2"/>
  <c r="EO288" i="2"/>
  <c r="EO323" i="2"/>
  <c r="EO327" i="2"/>
  <c r="EO344" i="2"/>
  <c r="EO366" i="2"/>
  <c r="EO371" i="2"/>
  <c r="EO392" i="2"/>
  <c r="EO397" i="2"/>
  <c r="EO403" i="2"/>
  <c r="EO408" i="2"/>
  <c r="EO414" i="2"/>
  <c r="EO416" i="2"/>
  <c r="EU424" i="2"/>
  <c r="J424" i="2" s="1"/>
  <c r="J108" i="2" s="1"/>
  <c r="DH131" i="3"/>
  <c r="DH133" i="3"/>
  <c r="DH152" i="3"/>
  <c r="DH159" i="3"/>
  <c r="DH195" i="3"/>
  <c r="DH228" i="3"/>
  <c r="DH242" i="3"/>
  <c r="DH252" i="3"/>
  <c r="DH270" i="3"/>
  <c r="DH274" i="3"/>
  <c r="DH276" i="3"/>
  <c r="DH282" i="3"/>
  <c r="DH284" i="3"/>
  <c r="DH286" i="3"/>
  <c r="DH313" i="3"/>
  <c r="DH328" i="3"/>
  <c r="DH331" i="3"/>
  <c r="DH335" i="3"/>
  <c r="DH345" i="3"/>
  <c r="DH353" i="3"/>
  <c r="DH359" i="3"/>
  <c r="DH369" i="3"/>
  <c r="DH394" i="3"/>
  <c r="DH400" i="3"/>
  <c r="DH406" i="3"/>
  <c r="DH411" i="3"/>
  <c r="DN377" i="3"/>
  <c r="J377" i="3" s="1"/>
  <c r="J106" i="3" s="1"/>
  <c r="DN410" i="3"/>
  <c r="J410" i="3" s="1"/>
  <c r="J108" i="3" s="1"/>
  <c r="J95" i="4"/>
  <c r="EX129" i="4"/>
  <c r="EX193" i="4"/>
  <c r="EX201" i="4"/>
  <c r="EX224" i="4"/>
  <c r="EX262" i="4"/>
  <c r="EX268" i="4"/>
  <c r="EX272" i="4"/>
  <c r="EX274" i="4"/>
  <c r="EX279" i="4"/>
  <c r="EX281" i="4"/>
  <c r="EX287" i="4"/>
  <c r="EX295" i="4"/>
  <c r="EX306" i="4"/>
  <c r="EX314" i="4"/>
  <c r="EX317" i="4"/>
  <c r="EX323" i="4"/>
  <c r="EX325" i="4"/>
  <c r="EX347" i="4"/>
  <c r="EX380" i="4"/>
  <c r="E84" i="5"/>
  <c r="DU128" i="5"/>
  <c r="DU144" i="5"/>
  <c r="DU161" i="5"/>
  <c r="DU174" i="5"/>
  <c r="DU177" i="5"/>
  <c r="DU182" i="5"/>
  <c r="DU194" i="5"/>
  <c r="DU236" i="5"/>
  <c r="DU250" i="5"/>
  <c r="DU259" i="5"/>
  <c r="DU261" i="5"/>
  <c r="DU263" i="5"/>
  <c r="DU294" i="5"/>
  <c r="DU317" i="5"/>
  <c r="DU327" i="5"/>
  <c r="DU329" i="5"/>
  <c r="DU368" i="5"/>
  <c r="DU370" i="5"/>
  <c r="DT133" i="6"/>
  <c r="DT142" i="6"/>
  <c r="DT165" i="6"/>
  <c r="DT182" i="6"/>
  <c r="DT187" i="6"/>
  <c r="DT194" i="6"/>
  <c r="DT199" i="6"/>
  <c r="DT215" i="6"/>
  <c r="DT257" i="6"/>
  <c r="DT265" i="6"/>
  <c r="DT275" i="6"/>
  <c r="DT277" i="6"/>
  <c r="DT298" i="6"/>
  <c r="DT303" i="6"/>
  <c r="DT311" i="6"/>
  <c r="DT319" i="6"/>
  <c r="DT321" i="6"/>
  <c r="DT334" i="6"/>
  <c r="DT344" i="6"/>
  <c r="DT354" i="6"/>
  <c r="DT364" i="6"/>
  <c r="DT396" i="6"/>
  <c r="FI148" i="7"/>
  <c r="FI152" i="7"/>
  <c r="FI161" i="7"/>
  <c r="FI192" i="7"/>
  <c r="FI244" i="7"/>
  <c r="FI297" i="7"/>
  <c r="FI316" i="7"/>
  <c r="FI344" i="7"/>
  <c r="FI350" i="7"/>
  <c r="FI354" i="7"/>
  <c r="FI360" i="7"/>
  <c r="FI362" i="7"/>
  <c r="FI365" i="7"/>
  <c r="FI373" i="7"/>
  <c r="FI377" i="7"/>
  <c r="FI393" i="7"/>
  <c r="FI403" i="7"/>
  <c r="FI407" i="7"/>
  <c r="FI409" i="7"/>
  <c r="FI413" i="7"/>
  <c r="FI416" i="7"/>
  <c r="FI421" i="7"/>
  <c r="FI438" i="7"/>
  <c r="FI440" i="7"/>
  <c r="EF186" i="8"/>
  <c r="EF244" i="8"/>
  <c r="EF273" i="8"/>
  <c r="EF279" i="8"/>
  <c r="EF302" i="8"/>
  <c r="EF339" i="8"/>
  <c r="DP142" i="10"/>
  <c r="DP155" i="10"/>
  <c r="DP160" i="10"/>
  <c r="DP165" i="10"/>
  <c r="DP184" i="10"/>
  <c r="DP245" i="10"/>
  <c r="DP303" i="10"/>
  <c r="DP317" i="10"/>
  <c r="EV124" i="11"/>
  <c r="EV193" i="11"/>
  <c r="EV250" i="11"/>
  <c r="EV259" i="11"/>
  <c r="EV264" i="11"/>
  <c r="EV277" i="11"/>
  <c r="EV304" i="11"/>
  <c r="EV313" i="11"/>
  <c r="EV316" i="11"/>
  <c r="EV322" i="11"/>
  <c r="EV324" i="11"/>
  <c r="EV345" i="11"/>
  <c r="EV349" i="11"/>
  <c r="FB253" i="11"/>
  <c r="J253" i="11" s="1"/>
  <c r="J102" i="11" s="1"/>
  <c r="CG124" i="12"/>
  <c r="CG126" i="12"/>
  <c r="CG155" i="12"/>
  <c r="CG158" i="12"/>
  <c r="CG249" i="12"/>
  <c r="CG271" i="12"/>
  <c r="CG290" i="12"/>
  <c r="CG306" i="12"/>
  <c r="CG321" i="12"/>
  <c r="CG331" i="12"/>
  <c r="CG351" i="12"/>
  <c r="CG370" i="12"/>
  <c r="CG374" i="12"/>
  <c r="CM260" i="12"/>
  <c r="J260" i="12" s="1"/>
  <c r="J102" i="12" s="1"/>
  <c r="EM155" i="13"/>
  <c r="EM160" i="13"/>
  <c r="EM175" i="13"/>
  <c r="EM177" i="13"/>
  <c r="EM184" i="13"/>
  <c r="EM208" i="13"/>
  <c r="EM235" i="13"/>
  <c r="EM243" i="13"/>
  <c r="EM245" i="13"/>
  <c r="EM276" i="13"/>
  <c r="EM323" i="13"/>
  <c r="EM327" i="13"/>
  <c r="EM335" i="13"/>
  <c r="CX125" i="14"/>
  <c r="CX136" i="14"/>
  <c r="CX152" i="14"/>
  <c r="CX175" i="14"/>
  <c r="CX181" i="14"/>
  <c r="CX184" i="14"/>
  <c r="CX255" i="14"/>
  <c r="CX305" i="14"/>
  <c r="CX319" i="14"/>
  <c r="E84" i="15"/>
  <c r="DP142" i="15"/>
  <c r="DP160" i="15"/>
  <c r="DP167" i="15"/>
  <c r="DP177" i="15"/>
  <c r="DP181" i="15"/>
  <c r="DP194" i="15"/>
  <c r="DP223" i="15"/>
  <c r="DP240" i="15"/>
  <c r="DP251" i="15"/>
  <c r="DP260" i="15"/>
  <c r="DP278" i="15"/>
  <c r="DP280" i="15"/>
  <c r="DP282" i="15"/>
  <c r="DP307" i="15"/>
  <c r="DP314" i="15"/>
  <c r="DP335" i="15"/>
  <c r="DP341" i="15"/>
  <c r="DY131" i="16"/>
  <c r="DY133" i="16"/>
  <c r="DY147" i="16"/>
  <c r="DY221" i="16"/>
  <c r="DY267" i="16"/>
  <c r="DY277" i="16"/>
  <c r="DY284" i="16"/>
  <c r="DY311" i="16"/>
  <c r="DY313" i="16"/>
  <c r="DY315" i="16"/>
  <c r="DY319" i="16"/>
  <c r="DY323" i="16"/>
  <c r="DY340" i="16"/>
  <c r="DY345" i="16"/>
  <c r="DY353" i="16"/>
  <c r="DY377" i="16"/>
  <c r="DY412" i="16"/>
  <c r="DY422" i="16"/>
  <c r="DY459" i="16"/>
  <c r="DY465" i="16"/>
  <c r="DY469" i="16"/>
  <c r="DY482" i="16"/>
  <c r="DY496" i="16"/>
  <c r="DY502" i="16"/>
  <c r="EE283" i="16"/>
  <c r="J283" i="16" s="1"/>
  <c r="J102" i="16" s="1"/>
  <c r="ET127" i="17"/>
  <c r="ET154" i="17"/>
  <c r="ET160" i="17"/>
  <c r="ET199" i="17"/>
  <c r="ET222" i="17"/>
  <c r="ET227" i="17"/>
  <c r="ET234" i="17"/>
  <c r="ET239" i="17"/>
  <c r="ET249" i="17"/>
  <c r="ET255" i="17"/>
  <c r="ET261" i="17"/>
  <c r="ET278" i="17"/>
  <c r="ET338" i="17"/>
  <c r="ET342" i="17"/>
  <c r="ET358" i="17"/>
  <c r="EZ377" i="17"/>
  <c r="J377" i="17" s="1"/>
  <c r="J108" i="17" s="1"/>
  <c r="DZ140" i="18"/>
  <c r="DZ156" i="18"/>
  <c r="DZ159" i="18"/>
  <c r="DZ234" i="18"/>
  <c r="DZ244" i="18"/>
  <c r="DZ268" i="18"/>
  <c r="DZ274" i="18"/>
  <c r="DZ293" i="18"/>
  <c r="DZ295" i="18"/>
  <c r="DZ322" i="18"/>
  <c r="DZ345" i="18"/>
  <c r="DZ363" i="18"/>
  <c r="DZ376" i="18"/>
  <c r="DZ392" i="18"/>
  <c r="E84" i="19"/>
  <c r="CZ131" i="19"/>
  <c r="CZ158" i="19"/>
  <c r="CZ171" i="19"/>
  <c r="CZ200" i="19"/>
  <c r="CZ252" i="19"/>
  <c r="CZ264" i="19"/>
  <c r="CZ283" i="19"/>
  <c r="CZ297" i="19"/>
  <c r="CZ309" i="19"/>
  <c r="CZ323" i="19"/>
  <c r="CZ335" i="19"/>
  <c r="CZ343" i="19"/>
  <c r="CZ351" i="19"/>
  <c r="CZ358" i="19"/>
  <c r="CZ362" i="19"/>
  <c r="CZ376" i="19"/>
  <c r="CZ384" i="19"/>
  <c r="CZ387" i="19"/>
  <c r="CZ391" i="19"/>
  <c r="DF390" i="19"/>
  <c r="J390" i="19" s="1"/>
  <c r="J108" i="19" s="1"/>
  <c r="CZ130" i="20"/>
  <c r="CZ166" i="20"/>
  <c r="CZ195" i="20"/>
  <c r="CZ223" i="20"/>
  <c r="CZ240" i="20"/>
  <c r="CZ260" i="20"/>
  <c r="CZ278" i="20"/>
  <c r="CZ305" i="20"/>
  <c r="CZ307" i="20"/>
  <c r="CZ325" i="20"/>
  <c r="CZ346" i="20"/>
  <c r="CZ350" i="20"/>
  <c r="DP140" i="21"/>
  <c r="DP170" i="21"/>
  <c r="DP199" i="21"/>
  <c r="DP215" i="21"/>
  <c r="DP248" i="21"/>
  <c r="DP251" i="21"/>
  <c r="DP253" i="21"/>
  <c r="DP298" i="21"/>
  <c r="DP304" i="21"/>
  <c r="DP308" i="21"/>
  <c r="DP349" i="21"/>
  <c r="DP351" i="21"/>
  <c r="DP354" i="21"/>
  <c r="DP358" i="21"/>
  <c r="DP363" i="21"/>
  <c r="DP368" i="21"/>
  <c r="DP376" i="21"/>
  <c r="DP379" i="21"/>
  <c r="DP383" i="21"/>
  <c r="DV262" i="21"/>
  <c r="J262" i="21" s="1"/>
  <c r="J102" i="21" s="1"/>
  <c r="EX155" i="22"/>
  <c r="EX159" i="22"/>
  <c r="EX165" i="22"/>
  <c r="EX167" i="22"/>
  <c r="EX174" i="22"/>
  <c r="EX191" i="22"/>
  <c r="EX210" i="22"/>
  <c r="EX230" i="22"/>
  <c r="EX242" i="22"/>
  <c r="EX260" i="22"/>
  <c r="EX268" i="22"/>
  <c r="EX273" i="22"/>
  <c r="EX279" i="22"/>
  <c r="EX302" i="22"/>
  <c r="EX313" i="22"/>
  <c r="EX315" i="22"/>
  <c r="EX318" i="22"/>
  <c r="EX322" i="22"/>
  <c r="FD262" i="22"/>
  <c r="J262" i="22" s="1"/>
  <c r="J104" i="22" s="1"/>
  <c r="FD321" i="22"/>
  <c r="J321" i="22" s="1"/>
  <c r="J108" i="22" s="1"/>
  <c r="BE139" i="24"/>
  <c r="BE141" i="24"/>
  <c r="BE158" i="24"/>
  <c r="BE160" i="24"/>
  <c r="BE179" i="24"/>
  <c r="EF128" i="25"/>
  <c r="EF130" i="25"/>
  <c r="EF153" i="25"/>
  <c r="EF155" i="25"/>
  <c r="EF189" i="25"/>
  <c r="EF202" i="25"/>
  <c r="EF222" i="25"/>
  <c r="EF265" i="25"/>
  <c r="EF272" i="25"/>
  <c r="EF278" i="25"/>
  <c r="EF288" i="25"/>
  <c r="F96" i="27"/>
  <c r="DP123" i="27"/>
  <c r="DP130" i="27"/>
  <c r="DP134" i="27"/>
  <c r="DP147" i="27"/>
  <c r="DP151" i="27"/>
  <c r="DP158" i="27"/>
  <c r="DP160" i="27"/>
  <c r="EF128" i="28"/>
  <c r="EF130" i="28"/>
  <c r="EF142" i="28"/>
  <c r="EF146" i="28"/>
  <c r="EF151" i="28"/>
  <c r="EF155" i="28"/>
  <c r="EF170" i="28"/>
  <c r="EF173" i="28"/>
  <c r="EF180" i="28"/>
  <c r="EF230" i="28"/>
  <c r="EF234" i="28"/>
  <c r="EF251" i="28"/>
  <c r="EF267" i="28"/>
  <c r="EF295" i="28"/>
  <c r="EF301" i="28"/>
  <c r="CT123" i="30"/>
  <c r="CT126" i="30"/>
  <c r="CT136" i="30"/>
  <c r="CT138" i="30"/>
  <c r="CT140" i="30"/>
  <c r="CT151" i="30"/>
  <c r="CT159" i="30"/>
  <c r="CT168" i="30"/>
  <c r="CT170" i="30"/>
  <c r="EV193" i="31"/>
  <c r="EV214" i="31"/>
  <c r="EV230" i="31"/>
  <c r="EV234" i="31"/>
  <c r="EV236" i="31"/>
  <c r="EV244" i="31"/>
  <c r="EV248" i="31"/>
  <c r="EV254" i="31"/>
  <c r="EV301" i="31"/>
  <c r="CZ126" i="33"/>
  <c r="CZ128" i="33"/>
  <c r="CZ136" i="33"/>
  <c r="CZ147" i="33"/>
  <c r="GK129" i="34"/>
  <c r="GK167" i="34"/>
  <c r="GK169" i="34"/>
  <c r="GK173" i="34"/>
  <c r="GK186" i="34"/>
  <c r="GK189" i="34"/>
  <c r="GK199" i="34"/>
  <c r="GK242" i="34"/>
  <c r="GK249" i="34"/>
  <c r="GK254" i="34"/>
  <c r="GK264" i="34"/>
  <c r="GK266" i="34"/>
  <c r="GK270" i="34"/>
  <c r="GK277" i="34"/>
  <c r="GK295" i="34"/>
  <c r="GK303" i="34"/>
  <c r="GK314" i="34"/>
  <c r="GK346" i="34"/>
  <c r="GQ328" i="34"/>
  <c r="J328" i="34" s="1"/>
  <c r="J106" i="34" s="1"/>
  <c r="E84" i="35"/>
  <c r="CV130" i="35"/>
  <c r="CV156" i="35"/>
  <c r="CV182" i="35"/>
  <c r="CV195" i="35"/>
  <c r="CV233" i="35"/>
  <c r="CV250" i="35"/>
  <c r="CV260" i="35"/>
  <c r="CV262" i="35"/>
  <c r="CV273" i="35"/>
  <c r="CV279" i="35"/>
  <c r="CV283" i="35"/>
  <c r="CV291" i="35"/>
  <c r="CV345" i="35"/>
  <c r="DB348" i="35"/>
  <c r="J348" i="35" s="1"/>
  <c r="J108" i="35" s="1"/>
  <c r="DQ149" i="36"/>
  <c r="DQ156" i="36"/>
  <c r="DQ174" i="36"/>
  <c r="DQ178" i="36"/>
  <c r="DQ182" i="36"/>
  <c r="DQ264" i="36"/>
  <c r="DQ324" i="36"/>
  <c r="DQ351" i="36"/>
  <c r="DQ356" i="36"/>
  <c r="DQ361" i="36"/>
  <c r="DQ366" i="36"/>
  <c r="DQ378" i="36"/>
  <c r="DQ380" i="36"/>
  <c r="DQ385" i="36"/>
  <c r="DQ397" i="36"/>
  <c r="DQ404" i="36"/>
  <c r="DQ415" i="36"/>
  <c r="DQ455" i="36"/>
  <c r="DQ471" i="36"/>
  <c r="DQ483" i="36"/>
  <c r="DQ487" i="36"/>
  <c r="DQ493" i="36"/>
  <c r="DQ495" i="36"/>
  <c r="DQ501" i="36"/>
  <c r="DQ503" i="36"/>
  <c r="DQ509" i="36"/>
  <c r="DQ515" i="36"/>
  <c r="DQ545" i="36"/>
  <c r="DQ557" i="36"/>
  <c r="DQ559" i="36"/>
  <c r="DQ563" i="36"/>
  <c r="DQ567" i="36"/>
  <c r="DQ582" i="36"/>
  <c r="DQ593" i="36"/>
  <c r="DQ595" i="36"/>
  <c r="DQ598" i="36"/>
  <c r="DQ602" i="36"/>
  <c r="FM137" i="37"/>
  <c r="FM152" i="37"/>
  <c r="FM160" i="37"/>
  <c r="FM163" i="37"/>
  <c r="FM169" i="37"/>
  <c r="FM173" i="37"/>
  <c r="FM195" i="37"/>
  <c r="FM197" i="37"/>
  <c r="FM206" i="37"/>
  <c r="FM229" i="37"/>
  <c r="FM255" i="37"/>
  <c r="FM279" i="37"/>
  <c r="FM303" i="37"/>
  <c r="FM307" i="37"/>
  <c r="FM318" i="37"/>
  <c r="FM322" i="37"/>
  <c r="FM327" i="37"/>
  <c r="FM333" i="37"/>
  <c r="FS326" i="37"/>
  <c r="J326" i="37" s="1"/>
  <c r="J106" i="37" s="1"/>
  <c r="FS352" i="37"/>
  <c r="J352" i="37" s="1"/>
  <c r="J108" i="37" s="1"/>
  <c r="E85" i="38"/>
  <c r="EL172" i="38"/>
  <c r="EL198" i="38"/>
  <c r="EL200" i="38"/>
  <c r="EL229" i="38"/>
  <c r="EL286" i="38"/>
  <c r="EL346" i="38"/>
  <c r="EL360" i="38"/>
  <c r="EL364" i="38"/>
  <c r="EL389" i="38"/>
  <c r="BE131" i="39"/>
  <c r="BE133" i="39"/>
  <c r="BE135" i="39"/>
  <c r="BE146" i="39"/>
  <c r="BE153" i="39"/>
  <c r="BE155" i="39"/>
  <c r="BE157" i="39"/>
  <c r="BE150" i="41"/>
  <c r="BE152" i="41"/>
  <c r="BE154" i="41"/>
  <c r="BE156" i="41"/>
  <c r="BE158" i="41"/>
  <c r="BE168" i="41"/>
  <c r="BE180" i="41"/>
  <c r="BE190" i="41"/>
  <c r="BE200" i="41"/>
  <c r="BE208" i="41"/>
  <c r="BE212" i="41"/>
  <c r="BE220" i="41"/>
  <c r="BE222" i="41"/>
  <c r="BE224" i="41"/>
  <c r="BE230" i="41"/>
  <c r="BE232" i="41"/>
  <c r="BE244" i="41"/>
  <c r="BE246" i="41"/>
  <c r="BE269" i="41"/>
  <c r="BE292" i="41"/>
  <c r="BE298" i="41"/>
  <c r="BE300" i="41"/>
  <c r="BE314" i="41"/>
  <c r="BE316" i="41"/>
  <c r="DP161" i="42"/>
  <c r="DP165" i="42"/>
  <c r="DP167" i="42"/>
  <c r="DP177" i="42"/>
  <c r="DP191" i="42"/>
  <c r="DP197" i="42"/>
  <c r="DP199" i="42"/>
  <c r="DP207" i="42"/>
  <c r="DP215" i="42"/>
  <c r="DP252" i="42"/>
  <c r="DP254" i="42"/>
  <c r="DP262" i="42"/>
  <c r="DP264" i="42"/>
  <c r="DP270" i="42"/>
  <c r="DP281" i="42"/>
  <c r="DP293" i="42"/>
  <c r="DP309" i="42"/>
  <c r="DP311" i="42"/>
  <c r="CJ134" i="43"/>
  <c r="CJ136" i="43"/>
  <c r="CJ152" i="43"/>
  <c r="CJ166" i="43"/>
  <c r="CJ168" i="43"/>
  <c r="CJ182" i="43"/>
  <c r="CJ184" i="43"/>
  <c r="CJ190" i="43"/>
  <c r="CJ198" i="43"/>
  <c r="CJ200" i="43"/>
  <c r="CJ206" i="43"/>
  <c r="CJ216" i="43"/>
  <c r="CJ220" i="43"/>
  <c r="CJ238" i="43"/>
  <c r="CJ240" i="43"/>
  <c r="CJ259" i="43"/>
  <c r="CJ265" i="43"/>
  <c r="CJ269" i="43"/>
  <c r="CJ271" i="43"/>
  <c r="CJ292" i="43"/>
  <c r="CJ297" i="43"/>
  <c r="CJ301" i="43"/>
  <c r="CZ127" i="44"/>
  <c r="CZ133" i="44"/>
  <c r="CZ159" i="44"/>
  <c r="CZ163" i="44"/>
  <c r="CZ167" i="44"/>
  <c r="CZ169" i="44"/>
  <c r="CZ177" i="44"/>
  <c r="CZ191" i="44"/>
  <c r="CZ195" i="44"/>
  <c r="CZ197" i="44"/>
  <c r="CZ213" i="44"/>
  <c r="CZ219" i="44"/>
  <c r="CZ221" i="44"/>
  <c r="CZ223" i="44"/>
  <c r="CZ225" i="44"/>
  <c r="CZ239" i="44"/>
  <c r="CZ241" i="44"/>
  <c r="CZ252" i="44"/>
  <c r="CZ256" i="44"/>
  <c r="CZ264" i="44"/>
  <c r="CZ275" i="44"/>
  <c r="CZ277" i="44"/>
  <c r="CZ279" i="44"/>
  <c r="CZ291" i="44"/>
  <c r="CZ300" i="44"/>
  <c r="CZ309" i="44"/>
  <c r="CZ311" i="44"/>
  <c r="DX143" i="47"/>
  <c r="DX150" i="47"/>
  <c r="DX166" i="47"/>
  <c r="DX184" i="47"/>
  <c r="DX189" i="47"/>
  <c r="DX193" i="47"/>
  <c r="DX206" i="47"/>
  <c r="DX209" i="47"/>
  <c r="ED136" i="47"/>
  <c r="J136" i="47" s="1"/>
  <c r="J101" i="47" s="1"/>
  <c r="ED172" i="47"/>
  <c r="J172" i="47" s="1"/>
  <c r="J109" i="47" s="1"/>
  <c r="ED179" i="47"/>
  <c r="J179" i="47" s="1"/>
  <c r="J112" i="47" s="1"/>
  <c r="ED183" i="47"/>
  <c r="J183" i="47" s="1"/>
  <c r="J114" i="47" s="1"/>
  <c r="F39" i="7"/>
  <c r="BI95" i="1" s="1"/>
  <c r="F40" i="11"/>
  <c r="BJ100" i="1" s="1"/>
  <c r="F40" i="13"/>
  <c r="BJ102" i="1" s="1"/>
  <c r="F39" i="24"/>
  <c r="BI116" i="1" s="1"/>
  <c r="F38" i="33"/>
  <c r="BH128" i="1" s="1"/>
  <c r="F40" i="34"/>
  <c r="BJ130" i="1" s="1"/>
  <c r="J38" i="39"/>
  <c r="BD136" i="1" s="1"/>
  <c r="F41" i="41"/>
  <c r="BK140" i="1" s="1"/>
  <c r="BK139" i="1" s="1"/>
  <c r="F41" i="43"/>
  <c r="BK144" i="1" s="1"/>
  <c r="BK143" i="1" s="1"/>
  <c r="F37" i="46"/>
  <c r="BI149" i="1" s="1"/>
  <c r="F40" i="2"/>
  <c r="BJ90" i="1" s="1"/>
  <c r="F41" i="5"/>
  <c r="BK93" i="1" s="1"/>
  <c r="BJ98" i="1"/>
  <c r="F38" i="13"/>
  <c r="BH102" i="1" s="1"/>
  <c r="J38" i="15"/>
  <c r="BD104" i="1" s="1"/>
  <c r="F39" i="17"/>
  <c r="BI107" i="1" s="1"/>
  <c r="F38" i="20"/>
  <c r="BH111" i="1" s="1"/>
  <c r="F38" i="24"/>
  <c r="BH116" i="1" s="1"/>
  <c r="F39" i="27"/>
  <c r="BI120" i="1" s="1"/>
  <c r="F41" i="34"/>
  <c r="BK130" i="1" s="1"/>
  <c r="F40" i="36"/>
  <c r="BJ132" i="1" s="1"/>
  <c r="F39" i="38"/>
  <c r="BI135" i="1" s="1"/>
  <c r="F40" i="41"/>
  <c r="BJ140" i="1" s="1"/>
  <c r="BJ139" i="1" s="1"/>
  <c r="BF139" i="1" s="1"/>
  <c r="F38" i="46"/>
  <c r="BJ149" i="1" s="1"/>
  <c r="J38" i="2"/>
  <c r="BD90" i="1" s="1"/>
  <c r="F39" i="4"/>
  <c r="BI92" i="1" s="1"/>
  <c r="J38" i="8"/>
  <c r="BD96" i="1" s="1"/>
  <c r="F41" i="10"/>
  <c r="BK99" i="1" s="1"/>
  <c r="F39" i="12"/>
  <c r="BI101" i="1" s="1"/>
  <c r="F41" i="16"/>
  <c r="BK106" i="1" s="1"/>
  <c r="F38" i="19"/>
  <c r="BH110" i="1" s="1"/>
  <c r="J38" i="24"/>
  <c r="BD116" i="1" s="1"/>
  <c r="F40" i="25"/>
  <c r="BJ118" i="1" s="1"/>
  <c r="F40" i="30"/>
  <c r="BJ124" i="1" s="1"/>
  <c r="F39" i="34"/>
  <c r="BI130" i="1" s="1"/>
  <c r="F41" i="2"/>
  <c r="BK90" i="1" s="1"/>
  <c r="F38" i="4"/>
  <c r="BH92" i="1" s="1"/>
  <c r="F38" i="6"/>
  <c r="BH94" i="1" s="1"/>
  <c r="F38" i="7"/>
  <c r="BH95" i="1" s="1"/>
  <c r="F38" i="8"/>
  <c r="BH96" i="1" s="1"/>
  <c r="J38" i="10"/>
  <c r="BD99" i="1" s="1"/>
  <c r="F38" i="35"/>
  <c r="BH131" i="1" s="1"/>
  <c r="F41" i="38"/>
  <c r="BK135" i="1" s="1"/>
  <c r="J36" i="46"/>
  <c r="BD149" i="1" s="1"/>
  <c r="F36" i="47"/>
  <c r="BH150" i="1" s="1"/>
  <c r="F41" i="3"/>
  <c r="BK91" i="1" s="1"/>
  <c r="J38" i="4"/>
  <c r="BD92" i="1" s="1"/>
  <c r="F40" i="15"/>
  <c r="BJ104" i="1" s="1"/>
  <c r="F40" i="17"/>
  <c r="BJ107" i="1" s="1"/>
  <c r="F38" i="18"/>
  <c r="BH108" i="1" s="1"/>
  <c r="F40" i="21"/>
  <c r="BJ112" i="1" s="1"/>
  <c r="F38" i="25"/>
  <c r="BH118" i="1" s="1"/>
  <c r="F39" i="28"/>
  <c r="BI122" i="1" s="1"/>
  <c r="F41" i="33"/>
  <c r="BK128" i="1" s="1"/>
  <c r="F41" i="35"/>
  <c r="BK131" i="1" s="1"/>
  <c r="F41" i="37"/>
  <c r="BK133" i="1" s="1"/>
  <c r="F38" i="41"/>
  <c r="BH140" i="1" s="1"/>
  <c r="BH139" i="1" s="1"/>
  <c r="BD139" i="1" s="1"/>
  <c r="F38" i="43"/>
  <c r="BH144" i="1" s="1"/>
  <c r="BH143" i="1" s="1"/>
  <c r="BD143" i="1" s="1"/>
  <c r="F40" i="3"/>
  <c r="BJ91" i="1" s="1"/>
  <c r="F40" i="6"/>
  <c r="BJ94" i="1" s="1"/>
  <c r="F40" i="8"/>
  <c r="BJ96" i="1" s="1"/>
  <c r="F40" i="10"/>
  <c r="BJ99" i="1" s="1"/>
  <c r="F40" i="12"/>
  <c r="BJ101" i="1" s="1"/>
  <c r="F39" i="14"/>
  <c r="BI103" i="1" s="1"/>
  <c r="J38" i="16"/>
  <c r="BD106" i="1" s="1"/>
  <c r="F40" i="18"/>
  <c r="BJ108" i="1" s="1"/>
  <c r="F38" i="21"/>
  <c r="BH112" i="1" s="1"/>
  <c r="F41" i="24"/>
  <c r="BK116" i="1" s="1"/>
  <c r="J38" i="25"/>
  <c r="BD118" i="1" s="1"/>
  <c r="F39" i="30"/>
  <c r="BI124" i="1" s="1"/>
  <c r="F38" i="36"/>
  <c r="BH132" i="1" s="1"/>
  <c r="J38" i="37"/>
  <c r="BD133" i="1" s="1"/>
  <c r="F39" i="43"/>
  <c r="BI144" i="1" s="1"/>
  <c r="BI143" i="1" s="1"/>
  <c r="BE143" i="1" s="1"/>
  <c r="F39" i="3"/>
  <c r="BI91" i="1" s="1"/>
  <c r="F39" i="6"/>
  <c r="BI94" i="1" s="1"/>
  <c r="F38" i="11"/>
  <c r="BH100" i="1" s="1"/>
  <c r="F41" i="13"/>
  <c r="BK102" i="1" s="1"/>
  <c r="J38" i="17"/>
  <c r="BD107" i="1" s="1"/>
  <c r="F39" i="20"/>
  <c r="BI111" i="1" s="1"/>
  <c r="F40" i="22"/>
  <c r="BJ114" i="1" s="1"/>
  <c r="F41" i="27"/>
  <c r="BK120" i="1" s="1"/>
  <c r="F40" i="28"/>
  <c r="BJ122" i="1" s="1"/>
  <c r="J38" i="38"/>
  <c r="BD135" i="1" s="1"/>
  <c r="F40" i="43"/>
  <c r="BJ144" i="1" s="1"/>
  <c r="BJ143" i="1" s="1"/>
  <c r="BF143" i="1" s="1"/>
  <c r="F38" i="2"/>
  <c r="BH90" i="1" s="1"/>
  <c r="F38" i="5"/>
  <c r="BH93" i="1" s="1"/>
  <c r="F41" i="6"/>
  <c r="BK94" i="1" s="1"/>
  <c r="F41" i="8"/>
  <c r="BK96" i="1" s="1"/>
  <c r="F41" i="11"/>
  <c r="BK100" i="1" s="1"/>
  <c r="J38" i="13"/>
  <c r="BD102" i="1" s="1"/>
  <c r="J38" i="14"/>
  <c r="BD103" i="1" s="1"/>
  <c r="F41" i="17"/>
  <c r="BK107" i="1" s="1"/>
  <c r="F41" i="19"/>
  <c r="BK110" i="1" s="1"/>
  <c r="J38" i="22"/>
  <c r="BD114" i="1" s="1"/>
  <c r="F40" i="24"/>
  <c r="BJ116" i="1" s="1"/>
  <c r="F41" i="31"/>
  <c r="BK126" i="1" s="1"/>
  <c r="F40" i="35"/>
  <c r="BJ131" i="1" s="1"/>
  <c r="F38" i="39"/>
  <c r="BH136" i="1" s="1"/>
  <c r="F41" i="39"/>
  <c r="BK136" i="1" s="1"/>
  <c r="F39" i="42"/>
  <c r="BI142" i="1" s="1"/>
  <c r="BI141" i="1" s="1"/>
  <c r="BE141" i="1" s="1"/>
  <c r="F40" i="44"/>
  <c r="BJ146" i="1" s="1"/>
  <c r="BJ145" i="1" s="1"/>
  <c r="BF145" i="1" s="1"/>
  <c r="J38" i="32"/>
  <c r="BD127" i="1" s="1"/>
  <c r="J38" i="45"/>
  <c r="BD148" i="1" s="1"/>
  <c r="J38" i="40"/>
  <c r="BD138" i="1" s="1"/>
  <c r="J38" i="29"/>
  <c r="BD123" i="1" s="1"/>
  <c r="J37" i="40"/>
  <c r="BC138" i="1" s="1"/>
  <c r="J37" i="45"/>
  <c r="BC148" i="1" s="1"/>
  <c r="F39" i="2"/>
  <c r="BI90" i="1" s="1"/>
  <c r="F39" i="5"/>
  <c r="BI93" i="1" s="1"/>
  <c r="F39" i="10"/>
  <c r="BI99" i="1" s="1"/>
  <c r="F38" i="14"/>
  <c r="BH103" i="1" s="1"/>
  <c r="F38" i="17"/>
  <c r="BH107" i="1" s="1"/>
  <c r="F41" i="18"/>
  <c r="BK108" i="1" s="1"/>
  <c r="F40" i="20"/>
  <c r="BJ111" i="1" s="1"/>
  <c r="F38" i="22"/>
  <c r="BH114" i="1" s="1"/>
  <c r="F40" i="27"/>
  <c r="BJ120" i="1" s="1"/>
  <c r="J38" i="30"/>
  <c r="BD124" i="1" s="1"/>
  <c r="F39" i="31"/>
  <c r="BI126" i="1" s="1"/>
  <c r="F38" i="44"/>
  <c r="BH146" i="1" s="1"/>
  <c r="BH145" i="1" s="1"/>
  <c r="BD145" i="1" s="1"/>
  <c r="F40" i="4"/>
  <c r="BJ92" i="1" s="1"/>
  <c r="F39" i="11"/>
  <c r="BI100" i="1" s="1"/>
  <c r="F38" i="16"/>
  <c r="BH106" i="1" s="1"/>
  <c r="F40" i="19"/>
  <c r="BJ110" i="1" s="1"/>
  <c r="F41" i="21"/>
  <c r="BK112" i="1" s="1"/>
  <c r="J38" i="28"/>
  <c r="BD122" i="1" s="1"/>
  <c r="F40" i="33"/>
  <c r="BJ128" i="1" s="1"/>
  <c r="J38" i="36"/>
  <c r="BD132" i="1" s="1"/>
  <c r="F39" i="39"/>
  <c r="BI136" i="1" s="1"/>
  <c r="F39" i="44"/>
  <c r="BI146" i="1" s="1"/>
  <c r="BI145" i="1" s="1"/>
  <c r="BE145" i="1" s="1"/>
  <c r="J38" i="5"/>
  <c r="BD93" i="1" s="1"/>
  <c r="F41" i="7"/>
  <c r="BK95" i="1" s="1"/>
  <c r="J38" i="11"/>
  <c r="BD100" i="1" s="1"/>
  <c r="F39" i="15"/>
  <c r="BI104" i="1" s="1"/>
  <c r="J38" i="18"/>
  <c r="BD108" i="1" s="1"/>
  <c r="J38" i="33"/>
  <c r="BD128" i="1" s="1"/>
  <c r="J38" i="35"/>
  <c r="BD131" i="1" s="1"/>
  <c r="F38" i="37"/>
  <c r="BH133" i="1" s="1"/>
  <c r="F39" i="37"/>
  <c r="BI133" i="1" s="1"/>
  <c r="F36" i="46"/>
  <c r="BH149" i="1" s="1"/>
  <c r="J36" i="47"/>
  <c r="BD150" i="1" s="1"/>
  <c r="J38" i="3"/>
  <c r="BD91" i="1" s="1"/>
  <c r="F41" i="4"/>
  <c r="BK92" i="1" s="1"/>
  <c r="F40" i="7"/>
  <c r="BJ95" i="1" s="1"/>
  <c r="F38" i="15"/>
  <c r="BH104" i="1" s="1"/>
  <c r="F40" i="16"/>
  <c r="BJ106" i="1" s="1"/>
  <c r="J38" i="20"/>
  <c r="BD111" i="1" s="1"/>
  <c r="J38" i="27"/>
  <c r="BD120" i="1" s="1"/>
  <c r="F41" i="28"/>
  <c r="BK122" i="1" s="1"/>
  <c r="F39" i="36"/>
  <c r="BI132" i="1" s="1"/>
  <c r="F38" i="42"/>
  <c r="BH142" i="1" s="1"/>
  <c r="BH141" i="1" s="1"/>
  <c r="BD141" i="1" s="1"/>
  <c r="F38" i="47"/>
  <c r="BJ150" i="1" s="1"/>
  <c r="J37" i="23"/>
  <c r="BC115" i="1" s="1"/>
  <c r="F37" i="32"/>
  <c r="BG127" i="1" s="1"/>
  <c r="AZ88" i="1"/>
  <c r="AZ87" i="1" s="1"/>
  <c r="AZ86" i="1" s="1"/>
  <c r="J38" i="23"/>
  <c r="BD115" i="1" s="1"/>
  <c r="F37" i="29"/>
  <c r="BG123" i="1" s="1"/>
  <c r="J38" i="6"/>
  <c r="BD94" i="1" s="1"/>
  <c r="F39" i="8"/>
  <c r="BI96" i="1" s="1"/>
  <c r="J38" i="12"/>
  <c r="BD101" i="1" s="1"/>
  <c r="F40" i="14"/>
  <c r="BJ103" i="1" s="1"/>
  <c r="F39" i="16"/>
  <c r="BI106" i="1" s="1"/>
  <c r="F39" i="19"/>
  <c r="BI110" i="1" s="1"/>
  <c r="F41" i="22"/>
  <c r="BK114" i="1" s="1"/>
  <c r="F39" i="25"/>
  <c r="BI118" i="1" s="1"/>
  <c r="F38" i="31"/>
  <c r="BH126" i="1" s="1"/>
  <c r="F38" i="34"/>
  <c r="BH130" i="1" s="1"/>
  <c r="F40" i="38"/>
  <c r="BJ135" i="1" s="1"/>
  <c r="F41" i="42"/>
  <c r="BK142" i="1" s="1"/>
  <c r="BK141" i="1" s="1"/>
  <c r="F41" i="44"/>
  <c r="BK146" i="1" s="1"/>
  <c r="BK145" i="1" s="1"/>
  <c r="F38" i="3"/>
  <c r="BH91" i="1" s="1"/>
  <c r="J38" i="7"/>
  <c r="BD95" i="1" s="1"/>
  <c r="F38" i="12"/>
  <c r="BH101" i="1" s="1"/>
  <c r="F39" i="13"/>
  <c r="BI102" i="1" s="1"/>
  <c r="F41" i="20"/>
  <c r="BK111" i="1" s="1"/>
  <c r="F39" i="22"/>
  <c r="BI114" i="1" s="1"/>
  <c r="F40" i="31"/>
  <c r="BJ126" i="1" s="1"/>
  <c r="F39" i="35"/>
  <c r="BI131" i="1" s="1"/>
  <c r="F41" i="36"/>
  <c r="BK132" i="1" s="1"/>
  <c r="F38" i="38"/>
  <c r="BH135" i="1" s="1"/>
  <c r="F40" i="42"/>
  <c r="BJ142" i="1" s="1"/>
  <c r="BJ141" i="1" s="1"/>
  <c r="BF141" i="1" s="1"/>
  <c r="F37" i="47"/>
  <c r="BI150" i="1" s="1"/>
  <c r="BI98" i="1"/>
  <c r="F41" i="14"/>
  <c r="BK103" i="1" s="1"/>
  <c r="J38" i="19"/>
  <c r="BD110" i="1" s="1"/>
  <c r="F39" i="21"/>
  <c r="BI112" i="1" s="1"/>
  <c r="F38" i="27"/>
  <c r="BH120" i="1" s="1"/>
  <c r="F38" i="30"/>
  <c r="BH124" i="1" s="1"/>
  <c r="J38" i="31"/>
  <c r="BD126" i="1" s="1"/>
  <c r="F40" i="39"/>
  <c r="BJ136" i="1" s="1"/>
  <c r="J38" i="41"/>
  <c r="BD140" i="1" s="1"/>
  <c r="J38" i="42"/>
  <c r="BD142" i="1" s="1"/>
  <c r="J38" i="44"/>
  <c r="BD146" i="1" s="1"/>
  <c r="F39" i="46"/>
  <c r="BK149" i="1" s="1"/>
  <c r="F39" i="47"/>
  <c r="BK150" i="1" s="1"/>
  <c r="F40" i="5"/>
  <c r="BJ93" i="1" s="1"/>
  <c r="F38" i="10"/>
  <c r="BH99" i="1" s="1"/>
  <c r="F41" i="12"/>
  <c r="BK101" i="1" s="1"/>
  <c r="F41" i="15"/>
  <c r="BK104" i="1" s="1"/>
  <c r="F39" i="18"/>
  <c r="BI108" i="1" s="1"/>
  <c r="J38" i="21"/>
  <c r="BD112" i="1" s="1"/>
  <c r="F41" i="25"/>
  <c r="BK118" i="1" s="1"/>
  <c r="F38" i="28"/>
  <c r="BH122" i="1" s="1"/>
  <c r="F41" i="30"/>
  <c r="BK124" i="1" s="1"/>
  <c r="F39" i="33"/>
  <c r="BI128" i="1"/>
  <c r="J38" i="34"/>
  <c r="BD130" i="1" s="1"/>
  <c r="F40" i="37"/>
  <c r="BJ133" i="1" s="1"/>
  <c r="F39" i="41"/>
  <c r="BI140" i="1" s="1"/>
  <c r="BI139" i="1" s="1"/>
  <c r="BE139" i="1" s="1"/>
  <c r="J38" i="43"/>
  <c r="BD144" i="1" s="1"/>
  <c r="F37" i="26"/>
  <c r="BG119" i="1"/>
  <c r="J34" i="40"/>
  <c r="AG138" i="1"/>
  <c r="J38" i="26"/>
  <c r="BD119" i="1" s="1"/>
  <c r="CE120" i="27" l="1"/>
  <c r="CE119" i="27" s="1"/>
  <c r="CA120" i="27"/>
  <c r="CA119" i="27" s="1"/>
  <c r="BB120" i="1" s="1"/>
  <c r="CC120" i="27"/>
  <c r="CC119" i="27" s="1"/>
  <c r="DI122" i="4"/>
  <c r="DI121" i="4" s="1"/>
  <c r="BB92" i="1" s="1"/>
  <c r="BK120" i="33"/>
  <c r="BK119" i="33" s="1"/>
  <c r="BB128" i="1" s="1"/>
  <c r="BM120" i="33"/>
  <c r="BM119" i="33" s="1"/>
  <c r="BG120" i="30"/>
  <c r="BG119" i="30" s="1"/>
  <c r="BI120" i="30"/>
  <c r="BI119" i="30" s="1"/>
  <c r="BE120" i="30"/>
  <c r="BE119" i="30" s="1"/>
  <c r="BB124" i="1" s="1"/>
  <c r="F37" i="9"/>
  <c r="BG98" i="1" s="1"/>
  <c r="J37" i="9"/>
  <c r="BC98" i="1" s="1"/>
  <c r="BA98" i="1" s="1"/>
  <c r="CK123" i="9"/>
  <c r="CK122" i="9" s="1"/>
  <c r="P319" i="2"/>
  <c r="Q319" i="2" s="1"/>
  <c r="Q314" i="2" s="1"/>
  <c r="P248" i="2"/>
  <c r="Q248" i="2" s="1"/>
  <c r="P158" i="2"/>
  <c r="Q158" i="2" s="1"/>
  <c r="P210" i="2"/>
  <c r="Q210" i="2" s="1"/>
  <c r="P267" i="2"/>
  <c r="Q267" i="2" s="1"/>
  <c r="Q261" i="2" s="1"/>
  <c r="P133" i="2"/>
  <c r="Q133" i="2" s="1"/>
  <c r="P298" i="2"/>
  <c r="Q298" i="2" s="1"/>
  <c r="Q295" i="2" s="1"/>
  <c r="P256" i="2"/>
  <c r="Q256" i="2" s="1"/>
  <c r="Q255" i="2" s="1"/>
  <c r="O128" i="2"/>
  <c r="O127" i="2" s="1"/>
  <c r="AR90" i="1" s="1"/>
  <c r="CI182" i="47"/>
  <c r="DM122" i="4"/>
  <c r="DM121" i="4" s="1"/>
  <c r="DK122" i="4"/>
  <c r="DK121" i="4" s="1"/>
  <c r="AB127" i="2"/>
  <c r="Q387" i="2"/>
  <c r="CI135" i="47"/>
  <c r="CI134" i="47" s="1"/>
  <c r="CI133" i="47" s="1"/>
  <c r="BB150" i="1" s="1"/>
  <c r="CK135" i="47"/>
  <c r="CM182" i="47"/>
  <c r="CK182" i="47"/>
  <c r="Q402" i="2"/>
  <c r="M387" i="2"/>
  <c r="M128" i="2"/>
  <c r="V127" i="2"/>
  <c r="M314" i="2"/>
  <c r="M295" i="2"/>
  <c r="T127" i="2"/>
  <c r="M261" i="2"/>
  <c r="BM123" i="20"/>
  <c r="BM122" i="20" s="1"/>
  <c r="CC122" i="15"/>
  <c r="CC121" i="15" s="1"/>
  <c r="BK122" i="14"/>
  <c r="BK121" i="14" s="1"/>
  <c r="BI122" i="35"/>
  <c r="BI121" i="35" s="1"/>
  <c r="CW123" i="38"/>
  <c r="CW122" i="38" s="1"/>
  <c r="BB135" i="1" s="1"/>
  <c r="BB134" i="1" s="1"/>
  <c r="DX122" i="37"/>
  <c r="DX121" i="37" s="1"/>
  <c r="BB133" i="1" s="1"/>
  <c r="CB126" i="36"/>
  <c r="CB125" i="36" s="1"/>
  <c r="BB132" i="1" s="1"/>
  <c r="DI125" i="31"/>
  <c r="DI124" i="31" s="1"/>
  <c r="CQ123" i="25"/>
  <c r="CQ122" i="25" s="1"/>
  <c r="BB118" i="1" s="1"/>
  <c r="BB117" i="1" s="1"/>
  <c r="BK124" i="19"/>
  <c r="BK123" i="19" s="1"/>
  <c r="BB110" i="1" s="1"/>
  <c r="BM124" i="19"/>
  <c r="BM123" i="19" s="1"/>
  <c r="CO123" i="18"/>
  <c r="CO122" i="18" s="1"/>
  <c r="CA122" i="15"/>
  <c r="CA121" i="15" s="1"/>
  <c r="BB104" i="1" s="1"/>
  <c r="BM122" i="14"/>
  <c r="BM121" i="14" s="1"/>
  <c r="DB122" i="13"/>
  <c r="DB121" i="13" s="1"/>
  <c r="CX122" i="13"/>
  <c r="CX121" i="13" s="1"/>
  <c r="BB102" i="1" s="1"/>
  <c r="AV121" i="12"/>
  <c r="AV120" i="12" s="1"/>
  <c r="BW126" i="3"/>
  <c r="BW125" i="3" s="1"/>
  <c r="T130" i="24"/>
  <c r="T129" i="24" s="1"/>
  <c r="DT122" i="7"/>
  <c r="DT121" i="7" s="1"/>
  <c r="BB95" i="1" s="1"/>
  <c r="CM135" i="47"/>
  <c r="DD126" i="2"/>
  <c r="DD125" i="2" s="1"/>
  <c r="EX126" i="34"/>
  <c r="EX125" i="34" s="1"/>
  <c r="EL123" i="25"/>
  <c r="EL122" i="25" s="1"/>
  <c r="J122" i="25" s="1"/>
  <c r="J100" i="25" s="1"/>
  <c r="CL126" i="16"/>
  <c r="CL125" i="16" s="1"/>
  <c r="DI121" i="11"/>
  <c r="DI120" i="11" s="1"/>
  <c r="DV122" i="7"/>
  <c r="DV121" i="7" s="1"/>
  <c r="CG126" i="6"/>
  <c r="CG125" i="6" s="1"/>
  <c r="BM124" i="44"/>
  <c r="BM123" i="44" s="1"/>
  <c r="EB122" i="37"/>
  <c r="EB121" i="37" s="1"/>
  <c r="CS123" i="25"/>
  <c r="CS122" i="25" s="1"/>
  <c r="BO124" i="19"/>
  <c r="BO123" i="19" s="1"/>
  <c r="DE122" i="17"/>
  <c r="DE121" i="17" s="1"/>
  <c r="BB107" i="1" s="1"/>
  <c r="CJ126" i="16"/>
  <c r="CJ125" i="16" s="1"/>
  <c r="BB106" i="1" s="1"/>
  <c r="CA122" i="10"/>
  <c r="CA121" i="10" s="1"/>
  <c r="BB99" i="1" s="1"/>
  <c r="CM123" i="9"/>
  <c r="CM122" i="9" s="1"/>
  <c r="AU232" i="43"/>
  <c r="R240" i="41"/>
  <c r="CQ125" i="28"/>
  <c r="CQ124" i="28" s="1"/>
  <c r="BB122" i="1" s="1"/>
  <c r="BB121" i="1" s="1"/>
  <c r="CK123" i="18"/>
  <c r="CK122" i="18" s="1"/>
  <c r="BB108" i="1" s="1"/>
  <c r="DK121" i="11"/>
  <c r="DK120" i="11" s="1"/>
  <c r="EZ126" i="34"/>
  <c r="EZ125" i="34" s="1"/>
  <c r="CC122" i="10"/>
  <c r="CC121" i="10" s="1"/>
  <c r="CE126" i="6"/>
  <c r="CE125" i="6" s="1"/>
  <c r="BB94" i="1" s="1"/>
  <c r="AU125" i="43"/>
  <c r="AU124" i="43" s="1"/>
  <c r="BB144" i="1" s="1"/>
  <c r="DA123" i="38"/>
  <c r="DA122" i="38" s="1"/>
  <c r="CU125" i="28"/>
  <c r="CU124" i="28" s="1"/>
  <c r="DK123" i="22"/>
  <c r="DK122" i="22" s="1"/>
  <c r="CA123" i="21"/>
  <c r="CA122" i="21" s="1"/>
  <c r="BB112" i="1" s="1"/>
  <c r="FD122" i="4"/>
  <c r="FD121" i="4" s="1"/>
  <c r="J121" i="4" s="1"/>
  <c r="J34" i="4" s="1"/>
  <c r="AG92" i="1" s="1"/>
  <c r="DB126" i="2"/>
  <c r="DB125" i="2" s="1"/>
  <c r="CC231" i="42"/>
  <c r="CC124" i="42" s="1"/>
  <c r="CC123" i="42" s="1"/>
  <c r="CY123" i="38"/>
  <c r="CY122" i="38" s="1"/>
  <c r="CD126" i="36"/>
  <c r="CD125" i="36" s="1"/>
  <c r="EV126" i="34"/>
  <c r="EV125" i="34" s="1"/>
  <c r="BB130" i="1" s="1"/>
  <c r="BI122" i="14"/>
  <c r="BI121" i="14" s="1"/>
  <c r="BB103" i="1" s="1"/>
  <c r="CZ122" i="13"/>
  <c r="CZ121" i="13" s="1"/>
  <c r="CU122" i="8"/>
  <c r="CU121" i="8" s="1"/>
  <c r="DX122" i="7"/>
  <c r="DX121" i="7" s="1"/>
  <c r="CI126" i="6"/>
  <c r="CI125" i="6" s="1"/>
  <c r="BU126" i="3"/>
  <c r="BU125" i="3" s="1"/>
  <c r="CA124" i="42"/>
  <c r="CA123" i="42" s="1"/>
  <c r="BB142" i="1" s="1"/>
  <c r="BB141" i="1" s="1"/>
  <c r="R134" i="41"/>
  <c r="R133" i="41" s="1"/>
  <c r="ER123" i="38"/>
  <c r="J123" i="38" s="1"/>
  <c r="J101" i="38" s="1"/>
  <c r="CF126" i="36"/>
  <c r="CF125" i="36" s="1"/>
  <c r="DB122" i="35"/>
  <c r="J122" i="35" s="1"/>
  <c r="J100" i="35" s="1"/>
  <c r="GQ126" i="34"/>
  <c r="GQ125" i="34" s="1"/>
  <c r="J125" i="34" s="1"/>
  <c r="J34" i="34" s="1"/>
  <c r="AG130" i="1" s="1"/>
  <c r="CN126" i="16"/>
  <c r="CN125" i="16" s="1"/>
  <c r="CI123" i="9"/>
  <c r="CI122" i="9" s="1"/>
  <c r="BB98" i="1" s="1"/>
  <c r="CQ122" i="8"/>
  <c r="CQ121" i="8" s="1"/>
  <c r="BB96" i="1" s="1"/>
  <c r="FO122" i="7"/>
  <c r="J122" i="7" s="1"/>
  <c r="J100" i="7" s="1"/>
  <c r="BS126" i="3"/>
  <c r="BS125" i="3" s="1"/>
  <c r="BB91" i="1" s="1"/>
  <c r="CJ123" i="5"/>
  <c r="CJ122" i="5" s="1"/>
  <c r="BK122" i="35"/>
  <c r="BK121" i="35" s="1"/>
  <c r="DK125" i="31"/>
  <c r="DK124" i="31" s="1"/>
  <c r="CM123" i="18"/>
  <c r="CM122" i="18" s="1"/>
  <c r="DI122" i="17"/>
  <c r="DI121" i="17" s="1"/>
  <c r="DV122" i="10"/>
  <c r="J122" i="10" s="1"/>
  <c r="J100" i="10" s="1"/>
  <c r="CS122" i="8"/>
  <c r="CS121" i="8" s="1"/>
  <c r="P240" i="41"/>
  <c r="P134" i="41"/>
  <c r="P133" i="41" s="1"/>
  <c r="BB140" i="1" s="1"/>
  <c r="R129" i="39"/>
  <c r="R128" i="39"/>
  <c r="BG122" i="35"/>
  <c r="BG121" i="35" s="1"/>
  <c r="BB131" i="1" s="1"/>
  <c r="DG125" i="31"/>
  <c r="DG124" i="31" s="1"/>
  <c r="BB126" i="1" s="1"/>
  <c r="BB125" i="1" s="1"/>
  <c r="BK123" i="20"/>
  <c r="BK122" i="20" s="1"/>
  <c r="BB111" i="1" s="1"/>
  <c r="CF123" i="5"/>
  <c r="CF122" i="5" s="1"/>
  <c r="BB93" i="1" s="1"/>
  <c r="T129" i="39"/>
  <c r="T128" i="39"/>
  <c r="DD122" i="14"/>
  <c r="DD121" i="14" s="1"/>
  <c r="J121" i="14" s="1"/>
  <c r="J99" i="14" s="1"/>
  <c r="AT121" i="12"/>
  <c r="AT120" i="12" s="1"/>
  <c r="CE122" i="10"/>
  <c r="CE121" i="10" s="1"/>
  <c r="BO231" i="44"/>
  <c r="CP232" i="43"/>
  <c r="J232" i="43" s="1"/>
  <c r="J103" i="43" s="1"/>
  <c r="DG122" i="17"/>
  <c r="DG121" i="17" s="1"/>
  <c r="EL122" i="8"/>
  <c r="J122" i="8" s="1"/>
  <c r="J100" i="8" s="1"/>
  <c r="BO124" i="44"/>
  <c r="BO123" i="44" s="1"/>
  <c r="AW232" i="43"/>
  <c r="AW125" i="43" s="1"/>
  <c r="AW124" i="43" s="1"/>
  <c r="T240" i="41"/>
  <c r="T134" i="41"/>
  <c r="T133" i="41" s="1"/>
  <c r="DZ122" i="37"/>
  <c r="DZ121" i="37" s="1"/>
  <c r="AY125" i="43"/>
  <c r="AY124" i="43" s="1"/>
  <c r="CS125" i="28"/>
  <c r="CS124" i="28" s="1"/>
  <c r="DI123" i="22"/>
  <c r="DI122" i="22" s="1"/>
  <c r="BB114" i="1" s="1"/>
  <c r="BB113" i="1" s="1"/>
  <c r="CC123" i="21"/>
  <c r="CC122" i="21" s="1"/>
  <c r="AR121" i="12"/>
  <c r="AR120" i="12" s="1"/>
  <c r="BB101" i="1" s="1"/>
  <c r="DG121" i="11"/>
  <c r="DG120" i="11" s="1"/>
  <c r="BB100" i="1" s="1"/>
  <c r="BK231" i="44"/>
  <c r="BK124" i="44" s="1"/>
  <c r="BK123" i="44" s="1"/>
  <c r="BB146" i="1" s="1"/>
  <c r="BB145" i="1" s="1"/>
  <c r="CE231" i="42"/>
  <c r="CE124" i="42" s="1"/>
  <c r="CE123" i="42" s="1"/>
  <c r="FB125" i="31"/>
  <c r="FB124" i="31" s="1"/>
  <c r="J124" i="31" s="1"/>
  <c r="J100" i="31" s="1"/>
  <c r="CU123" i="25"/>
  <c r="CU122" i="25" s="1"/>
  <c r="DM123" i="22"/>
  <c r="DM122" i="22" s="1"/>
  <c r="CE123" i="21"/>
  <c r="CE122" i="21" s="1"/>
  <c r="BO123" i="20"/>
  <c r="BO122" i="20" s="1"/>
  <c r="DF124" i="19"/>
  <c r="DF123" i="19" s="1"/>
  <c r="J123" i="19" s="1"/>
  <c r="J99" i="19" s="1"/>
  <c r="EZ122" i="17"/>
  <c r="J122" i="17" s="1"/>
  <c r="J100" i="17" s="1"/>
  <c r="CE122" i="15"/>
  <c r="CE121" i="15" s="1"/>
  <c r="CH123" i="5"/>
  <c r="CH122" i="5" s="1"/>
  <c r="CZ126" i="2"/>
  <c r="CZ125" i="2" s="1"/>
  <c r="BB90" i="1" s="1"/>
  <c r="EU126" i="2"/>
  <c r="J126" i="2" s="1"/>
  <c r="J100" i="2" s="1"/>
  <c r="DN126" i="3"/>
  <c r="J126" i="3" s="1"/>
  <c r="J100" i="3" s="1"/>
  <c r="DZ126" i="6"/>
  <c r="DZ125" i="6" s="1"/>
  <c r="J125" i="6" s="1"/>
  <c r="J99" i="6" s="1"/>
  <c r="J124" i="7"/>
  <c r="J101" i="7" s="1"/>
  <c r="FB121" i="11"/>
  <c r="J121" i="11" s="1"/>
  <c r="J100" i="11" s="1"/>
  <c r="ES122" i="13"/>
  <c r="ES121" i="13" s="1"/>
  <c r="J121" i="13" s="1"/>
  <c r="J99" i="13" s="1"/>
  <c r="J124" i="14"/>
  <c r="J101" i="14" s="1"/>
  <c r="EE126" i="16"/>
  <c r="J126" i="16" s="1"/>
  <c r="J100" i="16" s="1"/>
  <c r="J124" i="17"/>
  <c r="J101" i="17" s="1"/>
  <c r="J126" i="19"/>
  <c r="J101" i="19" s="1"/>
  <c r="BK127" i="23"/>
  <c r="J127" i="23" s="1"/>
  <c r="J101" i="23" s="1"/>
  <c r="BK126" i="26"/>
  <c r="J126" i="26" s="1"/>
  <c r="J34" i="26" s="1"/>
  <c r="AG119" i="1" s="1"/>
  <c r="J128" i="26"/>
  <c r="J102" i="26" s="1"/>
  <c r="DV119" i="27"/>
  <c r="J119" i="27"/>
  <c r="J122" i="27"/>
  <c r="J102" i="27" s="1"/>
  <c r="J128" i="29"/>
  <c r="J102" i="29"/>
  <c r="CZ120" i="30"/>
  <c r="J120" i="30" s="1"/>
  <c r="J101" i="30" s="1"/>
  <c r="J127" i="31"/>
  <c r="J102" i="31" s="1"/>
  <c r="BK127" i="32"/>
  <c r="J127" i="32" s="1"/>
  <c r="J101" i="32" s="1"/>
  <c r="DF120" i="33"/>
  <c r="J120" i="33" s="1"/>
  <c r="J101" i="33" s="1"/>
  <c r="J128" i="34"/>
  <c r="J101" i="34" s="1"/>
  <c r="J124" i="35"/>
  <c r="J101" i="35" s="1"/>
  <c r="DW126" i="36"/>
  <c r="J126" i="36" s="1"/>
  <c r="J100" i="36" s="1"/>
  <c r="FS122" i="37"/>
  <c r="J122" i="37" s="1"/>
  <c r="J100" i="37" s="1"/>
  <c r="J125" i="38"/>
  <c r="J102" i="38" s="1"/>
  <c r="J100" i="40"/>
  <c r="BK240" i="41"/>
  <c r="J240" i="41" s="1"/>
  <c r="J103" i="41" s="1"/>
  <c r="DV231" i="42"/>
  <c r="J231" i="42" s="1"/>
  <c r="J103" i="42" s="1"/>
  <c r="J126" i="44"/>
  <c r="J102" i="44" s="1"/>
  <c r="EA123" i="5"/>
  <c r="J123" i="5" s="1"/>
  <c r="J100" i="5" s="1"/>
  <c r="ED123" i="9"/>
  <c r="J123" i="9" s="1"/>
  <c r="J100" i="9" s="1"/>
  <c r="CM121" i="12"/>
  <c r="CM120" i="12" s="1"/>
  <c r="J120" i="12" s="1"/>
  <c r="J99" i="12" s="1"/>
  <c r="EF123" i="18"/>
  <c r="J123" i="18" s="1"/>
  <c r="J100" i="18" s="1"/>
  <c r="DV123" i="21"/>
  <c r="DV122" i="21" s="1"/>
  <c r="J122" i="21" s="1"/>
  <c r="J99" i="21" s="1"/>
  <c r="BK130" i="24"/>
  <c r="J130" i="24" s="1"/>
  <c r="J101" i="24" s="1"/>
  <c r="EL125" i="28"/>
  <c r="EL124" i="28" s="1"/>
  <c r="J124" i="28" s="1"/>
  <c r="J34" i="28" s="1"/>
  <c r="AG122" i="1" s="1"/>
  <c r="J127" i="29"/>
  <c r="J101" i="29" s="1"/>
  <c r="J127" i="40"/>
  <c r="J101" i="40" s="1"/>
  <c r="J233" i="43"/>
  <c r="J104" i="43" s="1"/>
  <c r="DF231" i="44"/>
  <c r="J231" i="44" s="1"/>
  <c r="J103" i="44" s="1"/>
  <c r="J128" i="45"/>
  <c r="J102" i="45"/>
  <c r="DV115" i="46"/>
  <c r="J115" i="46" s="1"/>
  <c r="J99" i="46" s="1"/>
  <c r="ED135" i="47"/>
  <c r="ED178" i="47"/>
  <c r="J178" i="47" s="1"/>
  <c r="J111" i="47" s="1"/>
  <c r="J124" i="4"/>
  <c r="J101" i="4" s="1"/>
  <c r="J124" i="10"/>
  <c r="J101" i="10" s="1"/>
  <c r="DV122" i="15"/>
  <c r="DV121" i="15" s="1"/>
  <c r="J121" i="15" s="1"/>
  <c r="J99" i="15" s="1"/>
  <c r="DF123" i="20"/>
  <c r="DF122" i="20" s="1"/>
  <c r="J122" i="20" s="1"/>
  <c r="J34" i="20" s="1"/>
  <c r="AG111" i="1" s="1"/>
  <c r="J125" i="25"/>
  <c r="J102" i="25" s="1"/>
  <c r="BK129" i="39"/>
  <c r="J129" i="39"/>
  <c r="J101" i="39" s="1"/>
  <c r="J128" i="40"/>
  <c r="J102" i="40" s="1"/>
  <c r="BK134" i="41"/>
  <c r="J134" i="41" s="1"/>
  <c r="J101" i="41" s="1"/>
  <c r="BK126" i="45"/>
  <c r="J126" i="45" s="1"/>
  <c r="J34" i="45" s="1"/>
  <c r="AG148" i="1" s="1"/>
  <c r="J124" i="8"/>
  <c r="J101" i="8" s="1"/>
  <c r="FD123" i="22"/>
  <c r="FD122" i="22" s="1"/>
  <c r="J122" i="22" s="1"/>
  <c r="J100" i="22" s="1"/>
  <c r="ED182" i="47"/>
  <c r="J182" i="47" s="1"/>
  <c r="J113" i="47" s="1"/>
  <c r="J43" i="40"/>
  <c r="AG137" i="1"/>
  <c r="F37" i="23"/>
  <c r="BG115" i="1" s="1"/>
  <c r="J37" i="29"/>
  <c r="BC123" i="1"/>
  <c r="BA123" i="1" s="1"/>
  <c r="F37" i="40"/>
  <c r="BG138" i="1" s="1"/>
  <c r="BG137" i="1" s="1"/>
  <c r="BC137" i="1" s="1"/>
  <c r="BA137" i="1" s="1"/>
  <c r="J37" i="32"/>
  <c r="BC127" i="1" s="1"/>
  <c r="BA127" i="1" s="1"/>
  <c r="BA148" i="1"/>
  <c r="BK109" i="1"/>
  <c r="BJ121" i="1"/>
  <c r="BF121" i="1" s="1"/>
  <c r="J37" i="3"/>
  <c r="BC91" i="1" s="1"/>
  <c r="BA91" i="1" s="1"/>
  <c r="J37" i="13"/>
  <c r="BC102" i="1" s="1"/>
  <c r="BA102" i="1" s="1"/>
  <c r="F37" i="21"/>
  <c r="BG112" i="1" s="1"/>
  <c r="J37" i="38"/>
  <c r="BC135" i="1" s="1"/>
  <c r="BA135" i="1" s="1"/>
  <c r="BK117" i="1"/>
  <c r="BH125" i="1"/>
  <c r="BD125" i="1" s="1"/>
  <c r="BK134" i="1"/>
  <c r="J37" i="7"/>
  <c r="BC95" i="1" s="1"/>
  <c r="BA95" i="1" s="1"/>
  <c r="J37" i="17"/>
  <c r="BC107" i="1" s="1"/>
  <c r="BA107" i="1" s="1"/>
  <c r="J37" i="35"/>
  <c r="BC131" i="1" s="1"/>
  <c r="BA131" i="1" s="1"/>
  <c r="F37" i="41"/>
  <c r="BG140" i="1" s="1"/>
  <c r="BG139" i="1" s="1"/>
  <c r="BC139" i="1" s="1"/>
  <c r="BA139" i="1" s="1"/>
  <c r="BK89" i="1"/>
  <c r="BJ113" i="1"/>
  <c r="BF113" i="1" s="1"/>
  <c r="BJ125" i="1"/>
  <c r="BF125" i="1" s="1"/>
  <c r="J37" i="4"/>
  <c r="BC92" i="1" s="1"/>
  <c r="BA92" i="1" s="1"/>
  <c r="J37" i="10"/>
  <c r="BC99" i="1" s="1"/>
  <c r="BA99" i="1" s="1"/>
  <c r="J37" i="18"/>
  <c r="BC108" i="1" s="1"/>
  <c r="BA108" i="1" s="1"/>
  <c r="BI105" i="1"/>
  <c r="BE105" i="1" s="1"/>
  <c r="BH117" i="1"/>
  <c r="BD117" i="1" s="1"/>
  <c r="BH129" i="1"/>
  <c r="BD129" i="1" s="1"/>
  <c r="J37" i="14"/>
  <c r="BC103" i="1" s="1"/>
  <c r="BA103" i="1" s="1"/>
  <c r="F37" i="18"/>
  <c r="BG108" i="1" s="1"/>
  <c r="J37" i="30"/>
  <c r="BC124" i="1" s="1"/>
  <c r="BA124" i="1" s="1"/>
  <c r="F37" i="34"/>
  <c r="BG130" i="1" s="1"/>
  <c r="F37" i="38"/>
  <c r="BG135" i="1" s="1"/>
  <c r="J37" i="26"/>
  <c r="BC119" i="1" s="1"/>
  <c r="BA119" i="1" s="1"/>
  <c r="BA138" i="1"/>
  <c r="BH89" i="1"/>
  <c r="BI117" i="1"/>
  <c r="BE117" i="1" s="1"/>
  <c r="BI125" i="1"/>
  <c r="BE125" i="1" s="1"/>
  <c r="F37" i="4"/>
  <c r="BG92" i="1" s="1"/>
  <c r="F37" i="12"/>
  <c r="BG101" i="1" s="1"/>
  <c r="J37" i="20"/>
  <c r="BC111" i="1" s="1"/>
  <c r="BA111" i="1" s="1"/>
  <c r="F37" i="30"/>
  <c r="BG124" i="1" s="1"/>
  <c r="J37" i="43"/>
  <c r="BC144" i="1" s="1"/>
  <c r="BA144" i="1" s="1"/>
  <c r="F37" i="6"/>
  <c r="BG94" i="1" s="1"/>
  <c r="J37" i="11"/>
  <c r="BC100" i="1" s="1"/>
  <c r="BA100" i="1" s="1"/>
  <c r="F37" i="19"/>
  <c r="BG110" i="1" s="1"/>
  <c r="F37" i="22"/>
  <c r="BG114" i="1" s="1"/>
  <c r="J37" i="34"/>
  <c r="BC130" i="1" s="1"/>
  <c r="BA130" i="1" s="1"/>
  <c r="J37" i="42"/>
  <c r="BC142" i="1" s="1"/>
  <c r="BA142" i="1" s="1"/>
  <c r="BI109" i="1"/>
  <c r="BE109" i="1" s="1"/>
  <c r="BH121" i="1"/>
  <c r="BD121" i="1" s="1"/>
  <c r="F37" i="3"/>
  <c r="BG91" i="1" s="1"/>
  <c r="J37" i="15"/>
  <c r="BC104" i="1" s="1"/>
  <c r="BA104" i="1" s="1"/>
  <c r="J37" i="21"/>
  <c r="BC112" i="1" s="1"/>
  <c r="BA112" i="1" s="1"/>
  <c r="J37" i="25"/>
  <c r="BC118" i="1" s="1"/>
  <c r="BA118" i="1" s="1"/>
  <c r="BA115" i="1"/>
  <c r="BK97" i="1"/>
  <c r="BK113" i="1"/>
  <c r="BK125" i="1"/>
  <c r="F37" i="13"/>
  <c r="BG102" i="1" s="1"/>
  <c r="F37" i="17"/>
  <c r="BG107" i="1" s="1"/>
  <c r="F37" i="25"/>
  <c r="BG118" i="1" s="1"/>
  <c r="F37" i="33"/>
  <c r="BG128" i="1" s="1"/>
  <c r="J37" i="36"/>
  <c r="BC132" i="1" s="1"/>
  <c r="BA132" i="1" s="1"/>
  <c r="BB143" i="1"/>
  <c r="J34" i="27"/>
  <c r="AG120" i="1" s="1"/>
  <c r="BJ97" i="1"/>
  <c r="BF97" i="1" s="1"/>
  <c r="BJ129" i="1"/>
  <c r="BF129" i="1" s="1"/>
  <c r="J37" i="6"/>
  <c r="BC94" i="1" s="1"/>
  <c r="BA94" i="1" s="1"/>
  <c r="F37" i="16"/>
  <c r="BG106" i="1" s="1"/>
  <c r="F37" i="24"/>
  <c r="BG116" i="1" s="1"/>
  <c r="F37" i="39"/>
  <c r="BG136" i="1" s="1"/>
  <c r="F37" i="43"/>
  <c r="BG144" i="1" s="1"/>
  <c r="BG143" i="1" s="1"/>
  <c r="BC143" i="1" s="1"/>
  <c r="BA143" i="1" s="1"/>
  <c r="J37" i="5"/>
  <c r="BC93" i="1" s="1"/>
  <c r="BA93" i="1" s="1"/>
  <c r="F37" i="8"/>
  <c r="BG96" i="1" s="1"/>
  <c r="F37" i="10"/>
  <c r="BG99" i="1" s="1"/>
  <c r="J37" i="31"/>
  <c r="BC126" i="1" s="1"/>
  <c r="BA126" i="1" s="1"/>
  <c r="J37" i="37"/>
  <c r="BC133" i="1" s="1"/>
  <c r="BA133" i="1" s="1"/>
  <c r="J35" i="46"/>
  <c r="BC149" i="1" s="1"/>
  <c r="BA149" i="1" s="1"/>
  <c r="J35" i="47"/>
  <c r="BC150" i="1" s="1"/>
  <c r="BA150" i="1" s="1"/>
  <c r="BH105" i="1"/>
  <c r="BD105" i="1" s="1"/>
  <c r="F37" i="2"/>
  <c r="BG90" i="1" s="1"/>
  <c r="J37" i="8"/>
  <c r="BC96" i="1" s="1"/>
  <c r="BA96" i="1" s="1"/>
  <c r="F37" i="14"/>
  <c r="BG103" i="1" s="1"/>
  <c r="F37" i="35"/>
  <c r="BG131" i="1" s="1"/>
  <c r="J37" i="44"/>
  <c r="BC146" i="1" s="1"/>
  <c r="BA146" i="1" s="1"/>
  <c r="J37" i="41"/>
  <c r="BC140" i="1" s="1"/>
  <c r="BA140" i="1" s="1"/>
  <c r="J34" i="29"/>
  <c r="AG123" i="1" s="1"/>
  <c r="AN123" i="1" s="1"/>
  <c r="F37" i="45"/>
  <c r="BG148" i="1"/>
  <c r="BG147" i="1" s="1"/>
  <c r="BC147" i="1" s="1"/>
  <c r="BA147" i="1" s="1"/>
  <c r="BK105" i="1"/>
  <c r="BI113" i="1"/>
  <c r="BE113" i="1" s="1"/>
  <c r="BI134" i="1"/>
  <c r="BE134" i="1" s="1"/>
  <c r="F37" i="5"/>
  <c r="BG93" i="1" s="1"/>
  <c r="F37" i="11"/>
  <c r="BG100" i="1" s="1"/>
  <c r="J37" i="19"/>
  <c r="BC110" i="1" s="1"/>
  <c r="BA110" i="1" s="1"/>
  <c r="F37" i="28"/>
  <c r="BG122" i="1" s="1"/>
  <c r="F35" i="46"/>
  <c r="BG149" i="1" s="1"/>
  <c r="BJ89" i="1"/>
  <c r="BF89" i="1" s="1"/>
  <c r="BH97" i="1"/>
  <c r="BD97" i="1" s="1"/>
  <c r="BJ105" i="1"/>
  <c r="BF105" i="1" s="1"/>
  <c r="BJ109" i="1"/>
  <c r="BF109" i="1" s="1"/>
  <c r="BH113" i="1"/>
  <c r="BD113" i="1" s="1"/>
  <c r="BK121" i="1"/>
  <c r="BK129" i="1"/>
  <c r="BH134" i="1"/>
  <c r="BD134" i="1" s="1"/>
  <c r="J37" i="2"/>
  <c r="BC90" i="1" s="1"/>
  <c r="BA90" i="1" s="1"/>
  <c r="F37" i="15"/>
  <c r="BG104" i="1" s="1"/>
  <c r="J37" i="33"/>
  <c r="BC128" i="1" s="1"/>
  <c r="BA128" i="1" s="1"/>
  <c r="F37" i="36"/>
  <c r="BG132" i="1" s="1"/>
  <c r="BI97" i="1"/>
  <c r="BE97" i="1" s="1"/>
  <c r="BJ117" i="1"/>
  <c r="BF117" i="1" s="1"/>
  <c r="BI129" i="1"/>
  <c r="BE129" i="1" s="1"/>
  <c r="F37" i="7"/>
  <c r="BG95" i="1" s="1"/>
  <c r="J37" i="12"/>
  <c r="BC101" i="1" s="1"/>
  <c r="BA101" i="1" s="1"/>
  <c r="F37" i="20"/>
  <c r="BG111" i="1" s="1"/>
  <c r="J37" i="22"/>
  <c r="BC114" i="1" s="1"/>
  <c r="BA114" i="1" s="1"/>
  <c r="F37" i="27"/>
  <c r="BG120" i="1" s="1"/>
  <c r="J37" i="27"/>
  <c r="BC120" i="1" s="1"/>
  <c r="BA120" i="1" s="1"/>
  <c r="J37" i="28"/>
  <c r="BC122" i="1" s="1"/>
  <c r="BA122" i="1" s="1"/>
  <c r="J37" i="39"/>
  <c r="BC136" i="1"/>
  <c r="BA136" i="1" s="1"/>
  <c r="F37" i="42"/>
  <c r="BG142" i="1" s="1"/>
  <c r="BG141" i="1" s="1"/>
  <c r="BC141" i="1" s="1"/>
  <c r="BA141" i="1" s="1"/>
  <c r="F35" i="47"/>
  <c r="BG150" i="1" s="1"/>
  <c r="BI89" i="1"/>
  <c r="BE89" i="1" s="1"/>
  <c r="BH109" i="1"/>
  <c r="BD109" i="1" s="1"/>
  <c r="BI121" i="1"/>
  <c r="BE121" i="1" s="1"/>
  <c r="BJ134" i="1"/>
  <c r="BF134" i="1" s="1"/>
  <c r="J37" i="16"/>
  <c r="BC106" i="1" s="1"/>
  <c r="BA106" i="1" s="1"/>
  <c r="J37" i="24"/>
  <c r="BC116" i="1" s="1"/>
  <c r="BA116" i="1" s="1"/>
  <c r="F37" i="31"/>
  <c r="BG126" i="1" s="1"/>
  <c r="F37" i="37"/>
  <c r="BG133" i="1" s="1"/>
  <c r="F37" i="44"/>
  <c r="BG146" i="1" s="1"/>
  <c r="BG145" i="1" s="1"/>
  <c r="BC145" i="1" s="1"/>
  <c r="BA145" i="1" s="1"/>
  <c r="BB139" i="1"/>
  <c r="AN119" i="1" l="1"/>
  <c r="DV124" i="42"/>
  <c r="DV123" i="42" s="1"/>
  <c r="J123" i="42" s="1"/>
  <c r="J34" i="42" s="1"/>
  <c r="AG142" i="1" s="1"/>
  <c r="AG141" i="1" s="1"/>
  <c r="AN141" i="1" s="1"/>
  <c r="CP125" i="43"/>
  <c r="J125" i="43" s="1"/>
  <c r="J101" i="43" s="1"/>
  <c r="Q128" i="2"/>
  <c r="Q127" i="2" s="1"/>
  <c r="AS90" i="1" s="1"/>
  <c r="CM134" i="47"/>
  <c r="CM133" i="47" s="1"/>
  <c r="CK134" i="47"/>
  <c r="CK133" i="47" s="1"/>
  <c r="M127" i="2"/>
  <c r="AQ90" i="1" s="1"/>
  <c r="AQ89" i="1" s="1"/>
  <c r="AQ88" i="1" s="1"/>
  <c r="AQ87" i="1" s="1"/>
  <c r="AQ84" i="1" s="1"/>
  <c r="AN111" i="1"/>
  <c r="AN92" i="1"/>
  <c r="ED134" i="47"/>
  <c r="J134" i="47" s="1"/>
  <c r="J99" i="47" s="1"/>
  <c r="J43" i="28"/>
  <c r="J43" i="34"/>
  <c r="J43" i="42"/>
  <c r="J43" i="29"/>
  <c r="J43" i="4"/>
  <c r="J43" i="20"/>
  <c r="J43" i="26"/>
  <c r="J43" i="27"/>
  <c r="DF124" i="44"/>
  <c r="DF123" i="44" s="1"/>
  <c r="J123" i="44" s="1"/>
  <c r="J34" i="44" s="1"/>
  <c r="AG146" i="1" s="1"/>
  <c r="AG145" i="1" s="1"/>
  <c r="AN145" i="1" s="1"/>
  <c r="J99" i="4"/>
  <c r="J126" i="6"/>
  <c r="J100" i="6" s="1"/>
  <c r="FO121" i="7"/>
  <c r="J121" i="7" s="1"/>
  <c r="J34" i="7" s="1"/>
  <c r="AG95" i="1" s="1"/>
  <c r="AN95" i="1" s="1"/>
  <c r="EL121" i="8"/>
  <c r="J121" i="8" s="1"/>
  <c r="J99" i="8" s="1"/>
  <c r="ED122" i="9"/>
  <c r="J122" i="9" s="1"/>
  <c r="DV121" i="10"/>
  <c r="J121" i="10" s="1"/>
  <c r="J99" i="10" s="1"/>
  <c r="J121" i="12"/>
  <c r="J100" i="12" s="1"/>
  <c r="J122" i="15"/>
  <c r="J100" i="15" s="1"/>
  <c r="EZ121" i="17"/>
  <c r="J121" i="17" s="1"/>
  <c r="J99" i="17" s="1"/>
  <c r="J124" i="19"/>
  <c r="J100" i="19" s="1"/>
  <c r="J99" i="20"/>
  <c r="J123" i="21"/>
  <c r="J100" i="21" s="1"/>
  <c r="J123" i="25"/>
  <c r="J101" i="25" s="1"/>
  <c r="J100" i="26"/>
  <c r="J125" i="28"/>
  <c r="J101" i="28" s="1"/>
  <c r="DF119" i="33"/>
  <c r="J119" i="33" s="1"/>
  <c r="J100" i="33" s="1"/>
  <c r="BK133" i="41"/>
  <c r="J133" i="41" s="1"/>
  <c r="J34" i="41" s="1"/>
  <c r="AG140" i="1" s="1"/>
  <c r="AG139" i="1" s="1"/>
  <c r="AN139" i="1" s="1"/>
  <c r="J100" i="42"/>
  <c r="CP124" i="43"/>
  <c r="J124" i="43" s="1"/>
  <c r="J100" i="43" s="1"/>
  <c r="J100" i="45"/>
  <c r="EU125" i="2"/>
  <c r="J125" i="2" s="1"/>
  <c r="J99" i="2" s="1"/>
  <c r="J122" i="4"/>
  <c r="J100" i="4" s="1"/>
  <c r="EA122" i="5"/>
  <c r="J122" i="5" s="1"/>
  <c r="J34" i="5" s="1"/>
  <c r="AG93" i="1" s="1"/>
  <c r="AN93" i="1" s="1"/>
  <c r="J122" i="13"/>
  <c r="J100" i="13" s="1"/>
  <c r="J123" i="20"/>
  <c r="J100" i="20" s="1"/>
  <c r="J123" i="22"/>
  <c r="J101" i="22" s="1"/>
  <c r="BK126" i="23"/>
  <c r="J126" i="23" s="1"/>
  <c r="J34" i="23" s="1"/>
  <c r="AG115" i="1" s="1"/>
  <c r="AN115" i="1" s="1"/>
  <c r="J100" i="27"/>
  <c r="J100" i="28"/>
  <c r="CZ119" i="30"/>
  <c r="J119" i="30" s="1"/>
  <c r="J100" i="30" s="1"/>
  <c r="J125" i="31"/>
  <c r="J101" i="31" s="1"/>
  <c r="BK126" i="32"/>
  <c r="J126" i="32"/>
  <c r="J100" i="32" s="1"/>
  <c r="J99" i="34"/>
  <c r="FS121" i="37"/>
  <c r="J121" i="37" s="1"/>
  <c r="J34" i="37" s="1"/>
  <c r="AG133" i="1" s="1"/>
  <c r="AN133" i="1" s="1"/>
  <c r="BK128" i="39"/>
  <c r="J128" i="39" s="1"/>
  <c r="J100" i="39" s="1"/>
  <c r="J124" i="42"/>
  <c r="J101" i="42" s="1"/>
  <c r="J43" i="45"/>
  <c r="DV114" i="46"/>
  <c r="J114" i="46" s="1"/>
  <c r="J32" i="46" s="1"/>
  <c r="AG149" i="1" s="1"/>
  <c r="AN149" i="1" s="1"/>
  <c r="DN125" i="3"/>
  <c r="J125" i="3" s="1"/>
  <c r="J34" i="3" s="1"/>
  <c r="AG91" i="1" s="1"/>
  <c r="AN91" i="1" s="1"/>
  <c r="FB120" i="11"/>
  <c r="J120" i="11" s="1"/>
  <c r="J34" i="11" s="1"/>
  <c r="AG100" i="1" s="1"/>
  <c r="AN100" i="1" s="1"/>
  <c r="J122" i="14"/>
  <c r="J100" i="14" s="1"/>
  <c r="EF122" i="18"/>
  <c r="J122" i="18" s="1"/>
  <c r="J34" i="18" s="1"/>
  <c r="AG108" i="1" s="1"/>
  <c r="AN108" i="1" s="1"/>
  <c r="J126" i="34"/>
  <c r="J100" i="34" s="1"/>
  <c r="DB121" i="35"/>
  <c r="J121" i="35" s="1"/>
  <c r="J99" i="35" s="1"/>
  <c r="DW125" i="36"/>
  <c r="J125" i="36" s="1"/>
  <c r="J99" i="36" s="1"/>
  <c r="ER122" i="38"/>
  <c r="J122" i="38" s="1"/>
  <c r="J100" i="38" s="1"/>
  <c r="J135" i="47"/>
  <c r="J100" i="47" s="1"/>
  <c r="EE125" i="16"/>
  <c r="J125" i="16" s="1"/>
  <c r="J34" i="16" s="1"/>
  <c r="AG106" i="1" s="1"/>
  <c r="AN106" i="1" s="1"/>
  <c r="BK129" i="24"/>
  <c r="J129" i="24" s="1"/>
  <c r="J100" i="24" s="1"/>
  <c r="AN138" i="1"/>
  <c r="AN137" i="1"/>
  <c r="AN148" i="1"/>
  <c r="BK88" i="1"/>
  <c r="BK87" i="1" s="1"/>
  <c r="BK86" i="1" s="1"/>
  <c r="W33" i="1" s="1"/>
  <c r="AN130" i="1"/>
  <c r="BH88" i="1"/>
  <c r="BD88" i="1" s="1"/>
  <c r="AN120" i="1"/>
  <c r="AN122" i="1"/>
  <c r="BB89" i="1"/>
  <c r="BG129" i="1"/>
  <c r="BC129" i="1" s="1"/>
  <c r="BA129" i="1" s="1"/>
  <c r="BB105" i="1"/>
  <c r="BG134" i="1"/>
  <c r="BC134" i="1" s="1"/>
  <c r="BA134" i="1" s="1"/>
  <c r="BD89" i="1"/>
  <c r="J34" i="15"/>
  <c r="AG104" i="1" s="1"/>
  <c r="AN104" i="1" s="1"/>
  <c r="BJ88" i="1"/>
  <c r="BF88" i="1" s="1"/>
  <c r="BG97" i="1"/>
  <c r="BC97" i="1" s="1"/>
  <c r="BA97" i="1" s="1"/>
  <c r="BB109" i="1"/>
  <c r="BG125" i="1"/>
  <c r="BC125" i="1" s="1"/>
  <c r="BA125" i="1" s="1"/>
  <c r="BB97" i="1"/>
  <c r="BI88" i="1"/>
  <c r="BI87" i="1" s="1"/>
  <c r="BI86" i="1" s="1"/>
  <c r="W31" i="1" s="1"/>
  <c r="AG147" i="1"/>
  <c r="AN147" i="1" s="1"/>
  <c r="J34" i="12"/>
  <c r="AG101" i="1" s="1"/>
  <c r="AN101" i="1" s="1"/>
  <c r="J34" i="25"/>
  <c r="AG118" i="1" s="1"/>
  <c r="AN118" i="1" s="1"/>
  <c r="J34" i="31"/>
  <c r="AG126" i="1" s="1"/>
  <c r="AN126" i="1" s="1"/>
  <c r="BG109" i="1"/>
  <c r="BC109" i="1" s="1"/>
  <c r="BA109" i="1" s="1"/>
  <c r="BG105" i="1"/>
  <c r="BC105" i="1" s="1"/>
  <c r="BA105" i="1" s="1"/>
  <c r="BG117" i="1"/>
  <c r="BC117" i="1" s="1"/>
  <c r="BA117" i="1" s="1"/>
  <c r="BG89" i="1"/>
  <c r="BC89" i="1" s="1"/>
  <c r="BB129" i="1"/>
  <c r="BG113" i="1"/>
  <c r="BC113" i="1" s="1"/>
  <c r="BA113" i="1" s="1"/>
  <c r="J34" i="14"/>
  <c r="AG103" i="1" s="1"/>
  <c r="AN103" i="1" s="1"/>
  <c r="J34" i="21"/>
  <c r="AG112" i="1" s="1"/>
  <c r="AN112" i="1" s="1"/>
  <c r="BG121" i="1"/>
  <c r="BC121" i="1" s="1"/>
  <c r="BA121" i="1" s="1"/>
  <c r="J34" i="6"/>
  <c r="AG94" i="1" s="1"/>
  <c r="AN94" i="1" s="1"/>
  <c r="J34" i="13"/>
  <c r="AG102" i="1" s="1"/>
  <c r="AN102" i="1" s="1"/>
  <c r="J34" i="22"/>
  <c r="AG114" i="1" s="1"/>
  <c r="AN114" i="1" s="1"/>
  <c r="J34" i="19"/>
  <c r="AG110" i="1" s="1"/>
  <c r="AN110" i="1" s="1"/>
  <c r="AN142" i="1" l="1"/>
  <c r="J34" i="9"/>
  <c r="J43" i="9" s="1"/>
  <c r="J99" i="9"/>
  <c r="AN146" i="1"/>
  <c r="J99" i="3"/>
  <c r="J43" i="13"/>
  <c r="J43" i="31"/>
  <c r="J99" i="37"/>
  <c r="J124" i="44"/>
  <c r="J101" i="44" s="1"/>
  <c r="J43" i="5"/>
  <c r="J99" i="5"/>
  <c r="J99" i="11"/>
  <c r="J43" i="14"/>
  <c r="J43" i="15"/>
  <c r="J43" i="19"/>
  <c r="J43" i="21"/>
  <c r="J43" i="23"/>
  <c r="J43" i="25"/>
  <c r="J43" i="37"/>
  <c r="J100" i="44"/>
  <c r="J41" i="46"/>
  <c r="ED133" i="47"/>
  <c r="J133" i="47" s="1"/>
  <c r="J98" i="47" s="1"/>
  <c r="AN140" i="1"/>
  <c r="J43" i="6"/>
  <c r="J99" i="7"/>
  <c r="J43" i="11"/>
  <c r="J99" i="16"/>
  <c r="J43" i="18"/>
  <c r="J99" i="18"/>
  <c r="J43" i="22"/>
  <c r="J100" i="23"/>
  <c r="J43" i="41"/>
  <c r="J100" i="41"/>
  <c r="J98" i="46"/>
  <c r="J43" i="3"/>
  <c r="J43" i="7"/>
  <c r="J43" i="12"/>
  <c r="J43" i="16"/>
  <c r="J43" i="44"/>
  <c r="BB88" i="1"/>
  <c r="BB87" i="1" s="1"/>
  <c r="BB86" i="1" s="1"/>
  <c r="BE87" i="1"/>
  <c r="BH87" i="1"/>
  <c r="BH86" i="1" s="1"/>
  <c r="BD86" i="1" s="1"/>
  <c r="AK30" i="1" s="1"/>
  <c r="J34" i="32"/>
  <c r="AG127" i="1" s="1"/>
  <c r="AN127" i="1" s="1"/>
  <c r="J34" i="38"/>
  <c r="AG135" i="1" s="1"/>
  <c r="AN135" i="1" s="1"/>
  <c r="J34" i="33"/>
  <c r="AG128" i="1" s="1"/>
  <c r="AN128" i="1" s="1"/>
  <c r="J34" i="24"/>
  <c r="AG116" i="1" s="1"/>
  <c r="AN116" i="1" s="1"/>
  <c r="BE86" i="1"/>
  <c r="BG88" i="1"/>
  <c r="BG87" i="1" s="1"/>
  <c r="BC87" i="1" s="1"/>
  <c r="J34" i="8"/>
  <c r="AG96" i="1" s="1"/>
  <c r="AN96" i="1" s="1"/>
  <c r="J34" i="17"/>
  <c r="AG107" i="1" s="1"/>
  <c r="AN107" i="1" s="1"/>
  <c r="J34" i="43"/>
  <c r="AG144" i="1" s="1"/>
  <c r="AN144" i="1" s="1"/>
  <c r="J34" i="2"/>
  <c r="AG90" i="1" s="1"/>
  <c r="AN90" i="1" s="1"/>
  <c r="AG98" i="1"/>
  <c r="AN98" i="1" s="1"/>
  <c r="J34" i="10"/>
  <c r="AG99" i="1" s="1"/>
  <c r="AN99" i="1" s="1"/>
  <c r="J34" i="36"/>
  <c r="AG132" i="1" s="1"/>
  <c r="AN132" i="1" s="1"/>
  <c r="AG117" i="1"/>
  <c r="AN117" i="1" s="1"/>
  <c r="J34" i="39"/>
  <c r="AG136" i="1"/>
  <c r="AN136" i="1" s="1"/>
  <c r="BJ87" i="1"/>
  <c r="BF87" i="1" s="1"/>
  <c r="J34" i="35"/>
  <c r="AG131" i="1" s="1"/>
  <c r="AN131" i="1" s="1"/>
  <c r="BA89" i="1"/>
  <c r="J34" i="30"/>
  <c r="AG124" i="1" s="1"/>
  <c r="AN124" i="1" s="1"/>
  <c r="BE88" i="1"/>
  <c r="AG109" i="1"/>
  <c r="AN109" i="1" s="1"/>
  <c r="J43" i="2" l="1"/>
  <c r="J43" i="32"/>
  <c r="J43" i="38"/>
  <c r="J43" i="39"/>
  <c r="J43" i="24"/>
  <c r="J43" i="35"/>
  <c r="J43" i="8"/>
  <c r="J43" i="10"/>
  <c r="J43" i="17"/>
  <c r="J43" i="30"/>
  <c r="J43" i="33"/>
  <c r="J43" i="36"/>
  <c r="J43" i="43"/>
  <c r="AG97" i="1"/>
  <c r="AN97" i="1" s="1"/>
  <c r="AG89" i="1"/>
  <c r="BC88" i="1"/>
  <c r="BA88" i="1" s="1"/>
  <c r="AG143" i="1"/>
  <c r="AN143" i="1" s="1"/>
  <c r="J32" i="47"/>
  <c r="AG150" i="1" s="1"/>
  <c r="AN150" i="1" s="1"/>
  <c r="AG113" i="1"/>
  <c r="AN113" i="1" s="1"/>
  <c r="AG129" i="1"/>
  <c r="AN129" i="1" s="1"/>
  <c r="AG125" i="1"/>
  <c r="AN125" i="1" s="1"/>
  <c r="W30" i="1"/>
  <c r="BG86" i="1"/>
  <c r="W29" i="1" s="1"/>
  <c r="BD87" i="1"/>
  <c r="BA87" i="1" s="1"/>
  <c r="AG105" i="1"/>
  <c r="AN105" i="1" s="1"/>
  <c r="AG134" i="1"/>
  <c r="AN134" i="1" s="1"/>
  <c r="BJ86" i="1"/>
  <c r="W32" i="1" s="1"/>
  <c r="AG121" i="1"/>
  <c r="AN121" i="1" s="1"/>
  <c r="AN89" i="1" l="1"/>
  <c r="J41" i="47"/>
  <c r="AG88" i="1"/>
  <c r="AG87" i="1" s="1"/>
  <c r="AG86" i="1" s="1"/>
  <c r="AK26" i="1" s="1"/>
  <c r="BF86" i="1"/>
  <c r="BC86" i="1"/>
  <c r="AK29" i="1" s="1"/>
  <c r="AK35" i="1" l="1"/>
  <c r="AN88" i="1"/>
  <c r="AN87" i="1"/>
  <c r="BA86" i="1"/>
  <c r="AN86" i="1" l="1"/>
  <c r="O129" i="3"/>
  <c r="O128" i="3" s="1"/>
  <c r="O127" i="3" s="1"/>
  <c r="AR91" i="1" s="1"/>
  <c r="AR89" i="1" s="1"/>
  <c r="AR88" i="1" s="1"/>
  <c r="AR87" i="1" s="1"/>
  <c r="AR84" i="1" s="1"/>
  <c r="P129" i="3"/>
  <c r="Q129" i="3" s="1"/>
  <c r="Q128" i="3" s="1"/>
  <c r="Q127" i="3" s="1"/>
  <c r="AS91" i="1" s="1"/>
  <c r="AS89" i="1" s="1"/>
  <c r="AS88" i="1" s="1"/>
  <c r="AS87" i="1" s="1"/>
  <c r="AS84" i="1" s="1"/>
</calcChain>
</file>

<file path=xl/sharedStrings.xml><?xml version="1.0" encoding="utf-8"?>
<sst xmlns="http://schemas.openxmlformats.org/spreadsheetml/2006/main" count="81632" uniqueCount="3978">
  <si>
    <t>Export Komplet</t>
  </si>
  <si>
    <t/>
  </si>
  <si>
    <t>2.0</t>
  </si>
  <si>
    <t>False</t>
  </si>
  <si>
    <t>{f2358598-87ec-4e62-8bcd-dbbc714dfb56}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</si>
  <si>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</si>
  <si>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</si>
  <si>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</si>
  <si>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</si>
  <si>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</si>
  <si>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</si>
  <si>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</si>
  <si>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</si>
  <si>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</si>
  <si>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Hydroprojekt-219065d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</si>
  <si>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</si>
  <si>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</si>
  <si>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Kanalizace Podlesí - I.Etapa</t>
  </si>
  <si>
    <t>KSO:</t>
  </si>
  <si>
    <t>CC-CZ:</t>
  </si>
  <si>
    <t>Místo:</t>
  </si>
  <si>
    <t xml:space="preserve"> </t>
  </si>
  <si>
    <t>Datum:</t>
  </si>
  <si>
    <t>18. 11. 2020</t>
  </si>
  <si>
    <t>Zadavatel:</t>
  </si>
  <si>
    <t>IČ:</t>
  </si>
  <si>
    <t>Město Petřvald</t>
  </si>
  <si>
    <t>DIČ:</t>
  </si>
  <si>
    <t>Uchazeč:</t>
  </si>
  <si>
    <t>Vyplň údaj</t>
  </si>
  <si>
    <t>Projektant:</t>
  </si>
  <si>
    <t>Sweco Hydroprojekt a.s., divize Morava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</si>
  <si>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</si>
  <si>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</si>
  <si>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</si>
  <si>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</si>
  <si>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</si>
  <si>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</si>
  <si>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</si>
  <si>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</si>
  <si>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</si>
  <si>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</si>
  <si>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</si>
  <si>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</si>
  <si>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</si>
  <si>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</si>
  <si>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</si>
  <si>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</si>
  <si>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</si>
  <si>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</si>
  <si>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</si>
  <si>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</si>
  <si>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</si>
  <si>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</si>
  <si>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</si>
  <si>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</si>
  <si>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</si>
  <si>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</si>
  <si>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</si>
  <si>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</si>
  <si>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</si>
  <si>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</si>
  <si>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</si>
  <si>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</si>
  <si>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</si>
  <si>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</si>
  <si>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</si>
  <si>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</si>
  <si>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</si>
  <si>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</si>
  <si>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</si>
  <si>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</si>
  <si>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</si>
  <si>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</si>
  <si>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</si>
  <si>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</si>
  <si>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</si>
  <si>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</si>
  <si>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</si>
  <si>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Kanalizace Podlesí</t>
  </si>
  <si>
    <t>STA</t>
  </si>
  <si>
    <t>1</t>
  </si>
  <si>
    <t>{df771ef9-bd5f-4f2e-b9c4-a54881817704}</t>
  </si>
  <si>
    <t>2</t>
  </si>
  <si>
    <t>001</t>
  </si>
  <si>
    <t>SO 01 Gravitační kanalizace</t>
  </si>
  <si>
    <t>Soupis</t>
  </si>
  <si>
    <t>{0218ae29-c5fd-4468-ba54-514b7c66f2e4}</t>
  </si>
  <si>
    <t>0001</t>
  </si>
  <si>
    <t>DSO 01.1 Stoka A, A1, A2a, A3, A4, A4a, A4b</t>
  </si>
  <si>
    <t>3</t>
  </si>
  <si>
    <t>{4d3663f2-4213-4aca-97df-e156c6e94a7c}</t>
  </si>
  <si>
    <t>/</t>
  </si>
  <si>
    <t>00001</t>
  </si>
  <si>
    <t>DSO 01.1a Stoka A</t>
  </si>
  <si>
    <t>4</t>
  </si>
  <si>
    <t>{aabf8299-81a9-4e88-9201-b99b54a04e24}</t>
  </si>
  <si>
    <t>00002</t>
  </si>
  <si>
    <t>DSO 01.1b Stoka A1</t>
  </si>
  <si>
    <t>{5ed6f7dd-5e28-4164-b9f4-000428a53cc7}</t>
  </si>
  <si>
    <t>00003</t>
  </si>
  <si>
    <t>DSO 01.1c Stoka A2a</t>
  </si>
  <si>
    <t>{51577365-101c-4f36-a247-316e11bcd334}</t>
  </si>
  <si>
    <t>00004</t>
  </si>
  <si>
    <t>DSO 01.1d Stoka A3</t>
  </si>
  <si>
    <t>{142e5ab8-1ad3-4791-9afe-9a2baa9536af}</t>
  </si>
  <si>
    <t>00005</t>
  </si>
  <si>
    <t>DSO 01.1e Stoka A4</t>
  </si>
  <si>
    <t>{a2f33613-75d4-4f9e-9546-7dbe74221ec1}</t>
  </si>
  <si>
    <t>00006</t>
  </si>
  <si>
    <t>DSO 01.1f Stoka A4a</t>
  </si>
  <si>
    <t>{8d2d6ae7-5fb0-4ae0-9e23-9b3a86003aac}</t>
  </si>
  <si>
    <t>00007</t>
  </si>
  <si>
    <t>DSO 01.1g Stoka A4b</t>
  </si>
  <si>
    <t>{f4312376-8e01-4b7e-b667-ea6fe521ceb0}</t>
  </si>
  <si>
    <t>0002</t>
  </si>
  <si>
    <t>DSO 01.1.1 Kanalizační odbočení</t>
  </si>
  <si>
    <t>{4453273e-1a5d-4c61-8dda-9d78c4b01c25}</t>
  </si>
  <si>
    <t>DSO 01.1.1a Kanalizační odbočení Stoky A</t>
  </si>
  <si>
    <t>{93b811ea-c0b5-4ac9-9fbc-eb3052bc53d3}</t>
  </si>
  <si>
    <t>DSO 01.1.1b Kanalizační odbočení Stoky A1</t>
  </si>
  <si>
    <t>{2caa0c5d-f3b0-45bf-b788-b7e5de695868}</t>
  </si>
  <si>
    <t>DSO 01.1.1c Kanalizační odbočení Stoky A2a</t>
  </si>
  <si>
    <t>{25b81f6b-5dd0-4747-9092-4b8e7eb91de0}</t>
  </si>
  <si>
    <t>DSO 01.1.1d Kanalizační odbočení Stoky A3</t>
  </si>
  <si>
    <t>{13766e4f-b82d-4784-9666-512a1a92c8a9}</t>
  </si>
  <si>
    <t>DSO 01.1.1e Kanalizační odbočení Stoky A4</t>
  </si>
  <si>
    <t>{965a467d-c5ed-4deb-8497-c843f37aa4ba}</t>
  </si>
  <si>
    <t>DSO 01.1.1f Kanalizační odbočení Stoky A4a</t>
  </si>
  <si>
    <t>{75c03dfa-8e7d-42c1-836d-04126b550780}</t>
  </si>
  <si>
    <t>DSO 01.1.1g Kanalizační odbočení Stoky A4b</t>
  </si>
  <si>
    <t>{10cbeca5-c8e4-4768-9ab7-6c471f18b3b5}</t>
  </si>
  <si>
    <t>0005</t>
  </si>
  <si>
    <t xml:space="preserve">DSO 01.3 Stoka D, DA, D1, D2, D2.1, D2.2, D3 </t>
  </si>
  <si>
    <t>{17718bf7-6fd1-47b1-86ae-cefba081f472}</t>
  </si>
  <si>
    <t>DSO 01.3a Stoka D</t>
  </si>
  <si>
    <t>{de689234-1775-402b-94aa-42c3fa600549}</t>
  </si>
  <si>
    <t>DSO 01.3b Stoka DA</t>
  </si>
  <si>
    <t>{55204e1c-f52f-47cd-b3cd-344ee628306b}</t>
  </si>
  <si>
    <t>DSO 01.3g Stoka D3</t>
  </si>
  <si>
    <t>{4ba807c9-5127-4112-abb9-bd368c8f0c4b}</t>
  </si>
  <si>
    <t>0006</t>
  </si>
  <si>
    <t>DSO 01.3.1 Kanalizační odbočení</t>
  </si>
  <si>
    <t>{1928566d-0921-4221-a8bd-1cbd2e1b3b2f}</t>
  </si>
  <si>
    <t>DSO 01.3.1a Kanalizační odbočení Stoky D</t>
  </si>
  <si>
    <t>{2efb0a67-392e-4191-b092-661d0c3fc977}</t>
  </si>
  <si>
    <t>DSO 01.3.1b Kanalizační odbočení Stoky DA</t>
  </si>
  <si>
    <t>{1cf1731b-b50a-49a7-bd46-62f2907251d4}</t>
  </si>
  <si>
    <t>DSO 01.3.1g Kanalizační odbočení Stoky D3</t>
  </si>
  <si>
    <t>{8c0c9402-f334-4767-9f01-22d3c8b0358c}</t>
  </si>
  <si>
    <t>002</t>
  </si>
  <si>
    <t>SO 02 Čerpací stanice ČS1</t>
  </si>
  <si>
    <t>{85558762-0835-4aff-a39b-fbe1315e1bb3}</t>
  </si>
  <si>
    <t>DSO 02.1 Čerpací stanice ČS1 - stavební část</t>
  </si>
  <si>
    <t>{3d34adc6-62f2-4176-b30f-754090f2594f}</t>
  </si>
  <si>
    <t>DSO 02.2 Čerpací stanice ČS1 - zpevněná plocha - součástí dílčího stavebního objektu DSO 02.1</t>
  </si>
  <si>
    <t>{b86924b4-c149-4335-a715-c1905db6dc86}</t>
  </si>
  <si>
    <t>0003</t>
  </si>
  <si>
    <t>DSO 02.3 Čerpací stanice ČS1 - přípojka NN</t>
  </si>
  <si>
    <t>{c90edf04-ef2d-43bf-ae86-5533c00a7295}</t>
  </si>
  <si>
    <t>005</t>
  </si>
  <si>
    <t>SO 05 Čerpací stanice ČS5</t>
  </si>
  <si>
    <t>{a793e1dd-a7c7-4bc2-bef4-3d45ac06cc4d}</t>
  </si>
  <si>
    <t>DSO 05.1 Čerpací stanice ČS5 - stavební část</t>
  </si>
  <si>
    <t>{9594899e-24d9-46a3-99fb-35caa644f687}</t>
  </si>
  <si>
    <t>DSO 05.2 Čerpací stanice ČS5 - zpevněná plocha - součástí dílčího stavebního objektu DSO 05.1</t>
  </si>
  <si>
    <t>{d95355b9-d55e-4b04-a4c4-c8456e916b13}</t>
  </si>
  <si>
    <t>DSO 05.3 Čerpací stanice ČS5 - přípojka NN</t>
  </si>
  <si>
    <t>{d2a000ef-9dea-4ec2-9c70-49c17438db2e}</t>
  </si>
  <si>
    <t>007</t>
  </si>
  <si>
    <t>SO 07 Čerpací stanice ČS8</t>
  </si>
  <si>
    <t>{95a41e84-01a3-47c3-b185-0c958f08522b}</t>
  </si>
  <si>
    <t>DSO 07.1 Čerpací stanice ČS8 - stavební část</t>
  </si>
  <si>
    <t>{5a580ad6-d67a-4684-acd2-406e03b0fdf2}</t>
  </si>
  <si>
    <t>DSO 07.2 Čerpací stanice ČS8 - zpevněná plocha - součástí dílčího stavebního objektu DSO 07.1</t>
  </si>
  <si>
    <t>{155cb65c-e45c-4180-9252-4d3a4895c61d}</t>
  </si>
  <si>
    <t>DSO 07.3 Čerpací stanice ČS8 - přípojka NN</t>
  </si>
  <si>
    <t>{dc60c37e-b1d4-4a58-a6dc-eb2c9339bf02}</t>
  </si>
  <si>
    <t>009</t>
  </si>
  <si>
    <t>SO 09 Čerpací stanice ČS11</t>
  </si>
  <si>
    <t>{1e136c63-1f81-4431-840d-65e8d5aa7214}</t>
  </si>
  <si>
    <t>DSO 09.1 Čerpací stanice ČS11 - stavební část</t>
  </si>
  <si>
    <t>{26e45f16-cde1-4a83-9da8-447b6b2a3d53}</t>
  </si>
  <si>
    <t>DSO 09.2 Čerpací stanice ČS11 - zpevněná plocha - součástí dílčího stavebního objektu DSO 09.1</t>
  </si>
  <si>
    <t>{431235d4-046a-4477-860e-584ed6dfb39d}</t>
  </si>
  <si>
    <t>DSO 09.3 Čerpací stanice ČS11 - přípojka NN</t>
  </si>
  <si>
    <t>{36f95b18-febc-447a-9761-6c6360fa020c}</t>
  </si>
  <si>
    <t>011</t>
  </si>
  <si>
    <t>SO 11 Výtlačná kanalizace</t>
  </si>
  <si>
    <t>{a8802250-d270-4e1d-9246-667252c45596}</t>
  </si>
  <si>
    <t>DSO 11.1 Výtlak V1</t>
  </si>
  <si>
    <t>{550f923e-13cc-4bc3-8a43-3df9482d396d}</t>
  </si>
  <si>
    <t>0004</t>
  </si>
  <si>
    <t>DSO 11.4 Výtlak V5</t>
  </si>
  <si>
    <t>{c053728d-aaa6-405b-b259-465f7833197f}</t>
  </si>
  <si>
    <t>DSO 11.6 Výtlak V8</t>
  </si>
  <si>
    <t>{65cc51b0-a509-4321-bdf7-b0bc4259febc}</t>
  </si>
  <si>
    <t>0008</t>
  </si>
  <si>
    <t>DSO 11.8 Výtlak V11</t>
  </si>
  <si>
    <t>{08963f4d-81d3-40a3-a14d-0fb1f76520ef}</t>
  </si>
  <si>
    <t>012</t>
  </si>
  <si>
    <t>SO 12 Domovní čerpací stanice DČS</t>
  </si>
  <si>
    <t>{5e52b8f8-8136-45fb-87d2-7c998fef50f6}</t>
  </si>
  <si>
    <t>DSO 12.1 Čerpací stanice DČS - stavební část</t>
  </si>
  <si>
    <t>{4a5e3c48-5a8a-4375-a0ea-22f897fe7969}</t>
  </si>
  <si>
    <t>DSO 12.3 Čerpací stanice DČS - přípojka NN</t>
  </si>
  <si>
    <t>{03614de2-3d40-4a32-8fb8-4196df848047}</t>
  </si>
  <si>
    <t>013</t>
  </si>
  <si>
    <t>PS Strojně-technologická část</t>
  </si>
  <si>
    <t>{738a6a97-1c7c-4414-b653-ef3a1493a196}</t>
  </si>
  <si>
    <t xml:space="preserve">PS Strojně-technologická část Strojně-technologická část - součástí dílčích stavebních objektů </t>
  </si>
  <si>
    <t>{1aaf93c4-547a-4326-9169-aae60ae5d0f1}</t>
  </si>
  <si>
    <t>014</t>
  </si>
  <si>
    <t>PS 01 Čerpací stanice ČS1</t>
  </si>
  <si>
    <t>{ec4b53cb-013b-487d-9ebf-3a26ce3591c0}</t>
  </si>
  <si>
    <t>PS 01.1 ČS1 - elektro, SŘTP, MaR</t>
  </si>
  <si>
    <t>{0c044382-f19f-4e3d-b81b-020ca61ca60c}</t>
  </si>
  <si>
    <t>017</t>
  </si>
  <si>
    <t>PS 04 Čerpací stanice ČS5</t>
  </si>
  <si>
    <t>{5d742dc7-daef-4a58-9621-6dd5cc2da129}</t>
  </si>
  <si>
    <t>PS 04.1 ČS5 - elektro, SŘTP, MaR</t>
  </si>
  <si>
    <t>{3bd5eb33-0197-4a9d-97f5-ca6d90920e08}</t>
  </si>
  <si>
    <t>019</t>
  </si>
  <si>
    <t>PS 06 Čerpací stanice ČS8</t>
  </si>
  <si>
    <t>{fb2659c8-57f0-493d-9e25-11a80d27561b}</t>
  </si>
  <si>
    <t>PS 06.1 ČS8 - elektro, SŘTP, MaR</t>
  </si>
  <si>
    <t>{585f1f99-675e-430a-ace9-6e7b88976478}</t>
  </si>
  <si>
    <t>021</t>
  </si>
  <si>
    <t>PS 08 Čerpací stanice ČS11</t>
  </si>
  <si>
    <t>{1b065669-adf9-43a8-8ee2-296612d8839e}</t>
  </si>
  <si>
    <t>PS 08.1 ČS11 - elektro, SŘTP, MaR</t>
  </si>
  <si>
    <t>{fa8892d7-83fe-4507-99aa-c539809b94c4}</t>
  </si>
  <si>
    <t>023</t>
  </si>
  <si>
    <t>PS 10 Domovní čerpací stanice DČS</t>
  </si>
  <si>
    <t>{eef56609-67de-4f8b-9bb5-6330eb3fc7de}</t>
  </si>
  <si>
    <t>PS 10 Domovní čerpací stanice DČS - součásti stavebního objektu SO 12</t>
  </si>
  <si>
    <t>{553a6e7c-783a-4429-adf8-2174ff618daf}</t>
  </si>
  <si>
    <t>024</t>
  </si>
  <si>
    <t>PS11 Stávající čerpací stanice KČS Petřvald - Bužkovská</t>
  </si>
  <si>
    <t>{35610fca-e718-4c14-9265-1366f08c515e}</t>
  </si>
  <si>
    <t>025</t>
  </si>
  <si>
    <t>Ostatní a vedlejší náklady</t>
  </si>
  <si>
    <t>{01deaac3-5da2-404e-88e2-39e528e08fed}</t>
  </si>
  <si>
    <t>KRYCÍ LIST SOUPISU PRACÍ</t>
  </si>
  <si>
    <t>Objekt:</t>
  </si>
  <si>
    <t>01 - Kanalizace Podlesí</t>
  </si>
  <si>
    <t>Soupis:</t>
  </si>
  <si>
    <t>001 - SO 01 Gravitační kanalizace</t>
  </si>
  <si>
    <t>Úroveň 4:</t>
  </si>
  <si>
    <t>00001 - DSO 01.1a Stoka A</t>
  </si>
  <si>
    <t>22122</t>
  </si>
  <si>
    <t>CZ-CPV:</t>
  </si>
  <si>
    <t>45232410-9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</si>
  <si>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</si>
  <si>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</si>
  <si>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</si>
  <si>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</si>
  <si>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</si>
  <si>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</si>
  <si>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</si>
  <si>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</si>
  <si>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</si>
  <si>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</si>
  <si>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</si>
  <si>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</si>
  <si>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</si>
  <si>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</si>
  <si>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</si>
  <si>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</si>
  <si>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</si>
  <si>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</si>
  <si>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</si>
  <si>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</si>
  <si>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</si>
  <si>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</si>
  <si>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</si>
  <si>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</si>
  <si>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</si>
  <si>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</si>
  <si>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</si>
  <si>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</si>
  <si>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</si>
  <si>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</si>
  <si>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</si>
  <si>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</si>
  <si>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113107224,1</t>
  </si>
  <si>
    <t>Odstranění podkladu z kameniva drceného tl 400 mm strojně pl přes 200 m2 - před finálním zapravením</t>
  </si>
  <si>
    <t>m2</t>
  </si>
  <si>
    <t>-359303775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</si>
  <si>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</si>
  <si>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</si>
  <si>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113107224</t>
  </si>
  <si>
    <t>Odstranění podkladu z kameniva drceného tl 400 mm strojně pl přes 200 m2</t>
  </si>
  <si>
    <t>CS ÚRS 2020 02</t>
  </si>
  <si>
    <t>-4547188</t>
  </si>
  <si>
    <t>113107241</t>
  </si>
  <si>
    <t xml:space="preserve">Odstranění podkladu živičného tl 50 mm strojně pl přes 200 m2 </t>
  </si>
  <si>
    <t>366333855</t>
  </si>
  <si>
    <t>Odstranění podkladů nebo krytů strojně plochy jednotlivě přes 200 m2 s přemístěním hmot na skládku na vzdálenost do 20 m nebo s naložením na dopravní prostředek živičných, o tl. vrstvy do 50 mm</t>
  </si>
  <si>
    <t>P</t>
  </si>
  <si>
    <t>Poznámka k položce:_x000D_
viz TZ př. č. D.1.1.01.1, situace C3  a v.č. D.1.1.01.2 až 11, v.č. D.1.1.01.1.1 podélný profil</t>
  </si>
  <si>
    <t>VV</t>
  </si>
  <si>
    <t>nad rýhou</t>
  </si>
  <si>
    <t>984*1,05</t>
  </si>
  <si>
    <t>"rozšíření pro šachty DN1000" 2,7*2,7*24-2,7*1,05*24</t>
  </si>
  <si>
    <t>Součet</t>
  </si>
  <si>
    <t>113154333</t>
  </si>
  <si>
    <t>Frézování živičného krytu tl 50 mm pruh š 2 m pl do 10000 m2 bez překážek v trase</t>
  </si>
  <si>
    <t>1984668265</t>
  </si>
  <si>
    <t>Frézování živičného podkladu nebo krytu  s naložením na dopravní prostředek plochy přes 1 000 do 10 000 m2 bez překážek v trase pruhu šířky přes 1 m do 2 m, tloušťky vrstvy 50 mm</t>
  </si>
  <si>
    <t>celá šíře</t>
  </si>
  <si>
    <t>984*4,5</t>
  </si>
  <si>
    <t>5</t>
  </si>
  <si>
    <t>115,1-R</t>
  </si>
  <si>
    <t>Dodávka + montáž čerpací studny ocel. trouba DN 400, vč. pomocných zemních prací</t>
  </si>
  <si>
    <t>ks</t>
  </si>
  <si>
    <t>1160750518</t>
  </si>
  <si>
    <t>Poznámka k položce:_x000D_
viz TZ př. č. D.1.1.01.1, situace C3  a v.č. D.1.1.01.2 až 11</t>
  </si>
  <si>
    <t>6</t>
  </si>
  <si>
    <t>115,2-R</t>
  </si>
  <si>
    <t>Náklady na sedimenatční nádrže 2x3m pro přečerpávání vody a jejich přesuny po celou dobu výstavby</t>
  </si>
  <si>
    <t>soubor</t>
  </si>
  <si>
    <t>-447795482</t>
  </si>
  <si>
    <t>7</t>
  </si>
  <si>
    <t>115,3-R</t>
  </si>
  <si>
    <t>Zřízení jílových přehrázek tl.0,2m na šířku rýhy 1,1m, hloubka do 4m</t>
  </si>
  <si>
    <t>-1627694160</t>
  </si>
  <si>
    <t>12</t>
  </si>
  <si>
    <t>8</t>
  </si>
  <si>
    <t>115101201</t>
  </si>
  <si>
    <t>Čerpání vody na dopravní výšku do 10 m průměrný přítok do 500 l/min</t>
  </si>
  <si>
    <t>hod</t>
  </si>
  <si>
    <t>1332658133</t>
  </si>
  <si>
    <t>Čerpání vody na dopravní výšku do 10 m s uvažovaným průměrným přítokem do 500 l/min</t>
  </si>
  <si>
    <t>150*8</t>
  </si>
  <si>
    <t>9</t>
  </si>
  <si>
    <t>115101301</t>
  </si>
  <si>
    <t>Pohotovost čerpací soupravy pro dopravní výšku do 10 m přítok do 500 l/min</t>
  </si>
  <si>
    <t>den</t>
  </si>
  <si>
    <t>1682965673</t>
  </si>
  <si>
    <t>Pohotovost záložní čerpací soupravy pro dopravní výšku do 10 m s uvažovaným průměrným přítokem do 500 l/min</t>
  </si>
  <si>
    <t>10</t>
  </si>
  <si>
    <t>119001405</t>
  </si>
  <si>
    <t>Dočasné zajištění potrubí z PE DN do 200 mm</t>
  </si>
  <si>
    <t>m</t>
  </si>
  <si>
    <t>-1536693465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</si>
  <si>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</si>
  <si>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1,05*19</t>
  </si>
  <si>
    <t>11</t>
  </si>
  <si>
    <t>119001421</t>
  </si>
  <si>
    <t>Dočasné zajištění kabelů a kabelových tratí ze 3 volně ložených kabelů</t>
  </si>
  <si>
    <t>1683235588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</si>
  <si>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</si>
  <si>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1,05*14</t>
  </si>
  <si>
    <t>119002411</t>
  </si>
  <si>
    <t>Pojezdový ocelový plech pro zabezpečení výkopu zřízení</t>
  </si>
  <si>
    <t>-1053037060</t>
  </si>
  <si>
    <t xml:space="preserve">Pomocné konstrukce při zabezpečení výkopu vodorovné pojízdné z tlustého ocelového plechu </t>
  </si>
  <si>
    <t>2,5*2,5*3</t>
  </si>
  <si>
    <t>13</t>
  </si>
  <si>
    <t>119002412</t>
  </si>
  <si>
    <t>Pojezdový ocelový plech pro zabezpečení výkopu odstranění</t>
  </si>
  <si>
    <t>1372643257</t>
  </si>
  <si>
    <t>14</t>
  </si>
  <si>
    <t>132154206</t>
  </si>
  <si>
    <t>Hloubení zapažených rýh š do 2000 mm v hornině třídy těžitelnosti I, skupiny 1 a 2 objem do 5000 m3</t>
  </si>
  <si>
    <t>m3</t>
  </si>
  <si>
    <t>973732719</t>
  </si>
  <si>
    <t>Hloubení zapažených rýh šířky přes 800 do 2 000 mm strojně s urovnáním dna do předepsaného profilu a spádu v hornině třídy těžitelnosti I skupiny 1 a 2 přes 1 000 do 5 000 m3 s naložením na dopravní prostředek</t>
  </si>
  <si>
    <t>Poznámka k položce:_x000D_
viz TZ př. č. D.1.1.01.1, situace C3  a v.č. D.1.1.01.2 až 11, v.č. D.1.1.01.1.1 podélný profil_x000D_
50% hor.tř. II a 50% hor.tř.III</t>
  </si>
  <si>
    <t xml:space="preserve">místní komunikace, tl.450mm, odebráno v rámci přípravných prací </t>
  </si>
  <si>
    <t>"DN250" 984*1,05*(3,5-0,45)</t>
  </si>
  <si>
    <t>"rozšíření pro šachty DN1000" 2,7*2,7*(3,7-0,45)*24-2,7*1,05*(3,5-0,45)*24</t>
  </si>
  <si>
    <t>Mezisoučet</t>
  </si>
  <si>
    <t>3512,358*0,5</t>
  </si>
  <si>
    <t>132254206</t>
  </si>
  <si>
    <t>Hloubení zapažených rýh š do 2000 mm v hornině třídy těžitelnosti I, skupiny 3 objem do 5000 m3</t>
  </si>
  <si>
    <t>1824249026</t>
  </si>
  <si>
    <t>Hloubení zapažených rýh šířky přes 800 do 2 000 mm strojně s urovnáním dna do předepsaného profilu a spádu v hornině třídy těžitelnosti I skupiny 3 přes 1 000 do 5 000 m3 s naložením na dopravní prostředek</t>
  </si>
  <si>
    <t>16</t>
  </si>
  <si>
    <t>139001101</t>
  </si>
  <si>
    <t>Příplatek za ztížení vykopávky v blízkosti podzemního vedení - ruční výkop</t>
  </si>
  <si>
    <t>-851461456</t>
  </si>
  <si>
    <t>Příplatek k cenám hloubených vykopávek za ztížení vykopávky v blízkosti podzemního vedení nebo výbušnin pro jakoukoliv třídu horniny</t>
  </si>
  <si>
    <t>20% z výkopu</t>
  </si>
  <si>
    <t>(1756,179+1756,179)*0,2</t>
  </si>
  <si>
    <t>17</t>
  </si>
  <si>
    <t>151811132</t>
  </si>
  <si>
    <t>Osazení pažicího boxu hl výkopu do 4 m š do 2,5 m</t>
  </si>
  <si>
    <t>948117997</t>
  </si>
  <si>
    <t>Zřízení pažicích boxů pro pažení a rozepření stěn rýh podzemního vedení hloubka výkopu do 4 m, šířka přes 1,2 do 2,5 m</t>
  </si>
  <si>
    <t>"DN250" 984*3,5*2</t>
  </si>
  <si>
    <t>18</t>
  </si>
  <si>
    <t>151811232</t>
  </si>
  <si>
    <t>Odstranění pažicího boxu hl výkopu do 4 m š do 2,5 m</t>
  </si>
  <si>
    <t>1307594821</t>
  </si>
  <si>
    <t>Odstranění pažicích boxů pro pažení a rozepření stěn rýh podzemního vedení hloubka výkopu do 4 m, šířka přes 1,2 do 2,5 m</t>
  </si>
  <si>
    <t>19</t>
  </si>
  <si>
    <t>162751117</t>
  </si>
  <si>
    <t>Vodorovné přemístění do 10000 m výkopku/sypaniny z horniny třídy těžitelnosti I, skupiny 1 až 3 - na trvalou skládku, popř. mezideponii</t>
  </si>
  <si>
    <t>373550071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</si>
  <si>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</si>
  <si>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výkop</t>
  </si>
  <si>
    <t>1756,179+1756,179</t>
  </si>
  <si>
    <t>20</t>
  </si>
  <si>
    <t>162751119</t>
  </si>
  <si>
    <t>Příplatek k vodorovnému přemístění výkopku/sypaniny z horniny třídy těžitelnosti I, skupiny 1 až 3 ZKD 1000 m přes 10000 m - na trvalou skládku, popř. mezideponii</t>
  </si>
  <si>
    <t>1857615747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</si>
  <si>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</si>
  <si>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3512,358*5 'Přepočtené koeficientem množství</t>
  </si>
  <si>
    <t>171152501</t>
  </si>
  <si>
    <t>Zhutnění podloží z hornin soudržných nebo nesoudržných pod násypy</t>
  </si>
  <si>
    <t>-2031693927</t>
  </si>
  <si>
    <t>Zhutnění podloží pod násypy z rostlé horniny třídy těžitelnosti I a II, skupiny 1 až 4 z hornin soudružných a nesoudržných</t>
  </si>
  <si>
    <t>"DN250" 984*1,05</t>
  </si>
  <si>
    <t>22</t>
  </si>
  <si>
    <t>171201231</t>
  </si>
  <si>
    <t>Poplatek za uložení zeminy a kamení na recyklační skládce (skládkovné) kód odpadu 17 05 04</t>
  </si>
  <si>
    <t>t</t>
  </si>
  <si>
    <t>-1421537485</t>
  </si>
  <si>
    <t>Poplatek za uložení stavebního odpadu na recyklační skládce (skládkovné) zeminy a kamení zatříděného do Katalogu odpadů pod kódem 17 05 04</t>
  </si>
  <si>
    <t>3512,358*1,8 'Přepočtené koeficientem množství</t>
  </si>
  <si>
    <t>23</t>
  </si>
  <si>
    <t>174151101</t>
  </si>
  <si>
    <t>Zásyp jam, šachet rýh nebo kolem objektů sypaninou se zhutněním</t>
  </si>
  <si>
    <t>-1598311982</t>
  </si>
  <si>
    <t>Zásyp sypaninou z jakékoliv horniny strojně s uložením výkopku ve vrstvách se zhutněním jam, šachet, rýh nebo kolem objektů v těchto vykopávkách</t>
  </si>
  <si>
    <t xml:space="preserve">výkop </t>
  </si>
  <si>
    <t>obsyp</t>
  </si>
  <si>
    <t>-568,26</t>
  </si>
  <si>
    <t>lóže</t>
  </si>
  <si>
    <t>-103,32-15</t>
  </si>
  <si>
    <t>podkladní desky</t>
  </si>
  <si>
    <t>-8,1</t>
  </si>
  <si>
    <t>OP šachet DN1000</t>
  </si>
  <si>
    <t>-3,14*0,62*0,62*3,5*24</t>
  </si>
  <si>
    <t>dosyp 50mm pod uroveň frézování</t>
  </si>
  <si>
    <t>1140,12*(0,45-0,05)</t>
  </si>
  <si>
    <t>24</t>
  </si>
  <si>
    <t>M</t>
  </si>
  <si>
    <t>58344197</t>
  </si>
  <si>
    <t>přírodní drcené kamenivo (štěrkodrť), frakce 0-63 mm</t>
  </si>
  <si>
    <t>454428527</t>
  </si>
  <si>
    <t>Poznámka k položce:_x000D_
nepřípustný popílek, struska, hlušina (haldovina), recykláty</t>
  </si>
  <si>
    <t>3172,337*2 'Přepočtené koeficientem množství</t>
  </si>
  <si>
    <t>25</t>
  </si>
  <si>
    <t>175111101</t>
  </si>
  <si>
    <t>Obsypání potrubí ručně sypaninou bez prohození, uloženou do 3 m</t>
  </si>
  <si>
    <t>1730486342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</si>
  <si>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</si>
  <si>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"DN250" 984*1,05*0,55</t>
  </si>
  <si>
    <t>26</t>
  </si>
  <si>
    <t>58337302</t>
  </si>
  <si>
    <t>štěrkopísek frakce 8/16</t>
  </si>
  <si>
    <t>-538860495</t>
  </si>
  <si>
    <t>568,26*2 'Přepočtené koeficientem množství</t>
  </si>
  <si>
    <t>27</t>
  </si>
  <si>
    <t>998225111</t>
  </si>
  <si>
    <t>Přesun hmot pro pozemní komunikace s krytem z kamene, monolitickým betonovým nebo živičným</t>
  </si>
  <si>
    <t>404237477</t>
  </si>
  <si>
    <t>Přesun hmot pro komunikace s krytem z kameniva, monolitickým betonovým nebo živičným  dopravní vzdálenost do 200 m jakékoliv délky objektu</t>
  </si>
  <si>
    <t>6344,674+1136,52</t>
  </si>
  <si>
    <t>Zakládání</t>
  </si>
  <si>
    <t>28</t>
  </si>
  <si>
    <t>212752111</t>
  </si>
  <si>
    <t>Trativod z drenážních trubek korugovaných PE-HD SN 4 perforace 220° včetně lože otevřený výkop DN 100 pro liniové stavby, vč. následného odstranění</t>
  </si>
  <si>
    <t>1970770463</t>
  </si>
  <si>
    <t>Trativody z drenážních trubek pro liniové stavby a komunikace se zřízením štěrkového lože pod trubky a s jejich obsypem v otevřeném výkopu trubka korugovaná sendvičová PE-HD SN 4 perforace 220° DN 100</t>
  </si>
  <si>
    <t>984</t>
  </si>
  <si>
    <t>Vodorovné konstrukce</t>
  </si>
  <si>
    <t>29</t>
  </si>
  <si>
    <t>451573111</t>
  </si>
  <si>
    <t>Lože pod potrubí otevřený výkop z písku fr 0-4mm</t>
  </si>
  <si>
    <t>-1586612543</t>
  </si>
  <si>
    <t>Lože pod potrubí, stoky a drobné objekty v otevřeném výkopu z písku a štěrkopísku do 63 mm</t>
  </si>
  <si>
    <t>"DN250" 984*1,05*0,1</t>
  </si>
  <si>
    <t>30</t>
  </si>
  <si>
    <t>451573111,1</t>
  </si>
  <si>
    <t>Lože pod potrubí otevřený výkop ze štěrkopísku</t>
  </si>
  <si>
    <t>1899712747</t>
  </si>
  <si>
    <t>prefa šachty</t>
  </si>
  <si>
    <t>2,5*2,5*0,1*24</t>
  </si>
  <si>
    <t>31</t>
  </si>
  <si>
    <t>452112111</t>
  </si>
  <si>
    <t>Osazení betonových prstenců nebo rámů v do 100 mm</t>
  </si>
  <si>
    <t>kus</t>
  </si>
  <si>
    <t>-1281798539</t>
  </si>
  <si>
    <t>Osazení betonových dílců prstenců nebo rámů pod poklopy a mříže, výšky do 100 mm</t>
  </si>
  <si>
    <t>2+5+6+15</t>
  </si>
  <si>
    <t>32</t>
  </si>
  <si>
    <t>59224184</t>
  </si>
  <si>
    <t>prstenec šachtový vyrovnávací betonový 625x120x40mm</t>
  </si>
  <si>
    <t>-1531036941</t>
  </si>
  <si>
    <t>33</t>
  </si>
  <si>
    <t>59224185</t>
  </si>
  <si>
    <t>prstenec šachtový vyrovnávací betonový 625x120x60mm</t>
  </si>
  <si>
    <t>18172598</t>
  </si>
  <si>
    <t>34</t>
  </si>
  <si>
    <t>59224176</t>
  </si>
  <si>
    <t>prstenec šachtový vyrovnávací betonový 625x120x80mm</t>
  </si>
  <si>
    <t>-92605696</t>
  </si>
  <si>
    <t>35</t>
  </si>
  <si>
    <t>59224187</t>
  </si>
  <si>
    <t>prstenec šachtový vyrovnávací betonový 625x120x100mm</t>
  </si>
  <si>
    <t>1741574650</t>
  </si>
  <si>
    <t>36</t>
  </si>
  <si>
    <t>452112121</t>
  </si>
  <si>
    <t>Osazení betonových prstenců nebo rámů v do 200 mm</t>
  </si>
  <si>
    <t>715661467</t>
  </si>
  <si>
    <t>Osazení betonových dílců prstenců nebo rámů pod poklopy a mříže, výšky přes 100 do 200 mm</t>
  </si>
  <si>
    <t>37</t>
  </si>
  <si>
    <t>59224188</t>
  </si>
  <si>
    <t>prstenec šachtový vyrovnávací betonový 625x120x120mm</t>
  </si>
  <si>
    <t>-1009815114</t>
  </si>
  <si>
    <t>38</t>
  </si>
  <si>
    <t>452311141</t>
  </si>
  <si>
    <t>Podkladní desky z betonu prostého tř. C 16/20 otevřený výkop X0</t>
  </si>
  <si>
    <t>1364637863</t>
  </si>
  <si>
    <t>Podkladní a zajišťovací konstrukce z betonu prostého v otevřeném výkopu desky pod potrubí, stoky a drobné objekty z betonu tř. C 16/20</t>
  </si>
  <si>
    <t>1,5*1,5*0,15*24</t>
  </si>
  <si>
    <t>Komunikace pozemní</t>
  </si>
  <si>
    <t>39</t>
  </si>
  <si>
    <t>564251111</t>
  </si>
  <si>
    <t>Podklad nebo podsyp ze štěrkopísku ŠP tl 150 mm fr 0-32mm</t>
  </si>
  <si>
    <t>-1736200566</t>
  </si>
  <si>
    <t>Podklad nebo podsyp ze štěrkopísku ŠP  s rozprostřením, vlhčením a zhutněním, po zhutnění tl. 150 mm</t>
  </si>
  <si>
    <t>40</t>
  </si>
  <si>
    <t>564861111</t>
  </si>
  <si>
    <t>Podklad ze štěrkodrtě ŠD tl 200 mm frakce 0-32 mm</t>
  </si>
  <si>
    <t>-1396389748</t>
  </si>
  <si>
    <t>Podklad ze štěrkodrti ŠD  s rozprostřením a zhutněním, po zhutnění tl. 200 mm</t>
  </si>
  <si>
    <t>41</t>
  </si>
  <si>
    <t>573111112</t>
  </si>
  <si>
    <t>Postřik živičný infiltrační s posypem z asfaltu množství 1 kg/m2</t>
  </si>
  <si>
    <t>2131222578</t>
  </si>
  <si>
    <t>Postřik infiltrační PI z asfaltu silničního s posypem kamenivem, v množství 1,00 kg/m2</t>
  </si>
  <si>
    <t>42</t>
  </si>
  <si>
    <t>565135111</t>
  </si>
  <si>
    <t>Asfaltový beton vrstva podkladní ACP 16 (obalované kamenivo OKS) tl 50 mm š do 3 m</t>
  </si>
  <si>
    <t>640774089</t>
  </si>
  <si>
    <t>Asfaltový beton vrstva podkladní ACP 16 (obalované kamenivo střednězrnné - OKS)  s rozprostřením a zhutněním v pruhu šířky přes 1,5 do 3 m, po zhutnění tl. 50 mm</t>
  </si>
  <si>
    <t>viz odstranění živičného podkladu</t>
  </si>
  <si>
    <t>1140,12</t>
  </si>
  <si>
    <t>43</t>
  </si>
  <si>
    <t>573211109</t>
  </si>
  <si>
    <t>Postřik živičný spojovací z asfaltu v množství 0,50 kg/m2</t>
  </si>
  <si>
    <t>-1872820257</t>
  </si>
  <si>
    <t>Postřik spojovací PS bez posypu kamenivem z asfaltu silničního, v množství 0,50 kg/m2</t>
  </si>
  <si>
    <t>44</t>
  </si>
  <si>
    <t>577144131</t>
  </si>
  <si>
    <t>Asfaltový beton vrstva obrusná ACO 11 (ABS) tř. I tl 50 mm š do 3 m z modifikovaného asfaltu</t>
  </si>
  <si>
    <t>-1049710150</t>
  </si>
  <si>
    <t>Asfaltový beton vrstva obrusná ACO 11 (ABS)  s rozprostřením a se zhutněním z modifikovaného asfaltu v pruhu šířky přes do 1,5 do 3 m, po zhutnění tl. 50 mm</t>
  </si>
  <si>
    <t>viz frézování</t>
  </si>
  <si>
    <t>4428</t>
  </si>
  <si>
    <t>Trubní vedení</t>
  </si>
  <si>
    <t>45</t>
  </si>
  <si>
    <t>871365241</t>
  </si>
  <si>
    <t>Kanalizační potrubí z tvrdého PVC vícevrstvé tuhost třídy SN12 DN 250</t>
  </si>
  <si>
    <t>1146565761</t>
  </si>
  <si>
    <t>Kanalizační potrubí z tvrdého PVC v otevřeném výkopu ve sklonu do 20 %, hladkého plnostěnného vícevrstvého, tuhost třídy SN 12 DN 250</t>
  </si>
  <si>
    <t>"stoka A" 984</t>
  </si>
  <si>
    <t>46</t>
  </si>
  <si>
    <t>877365221</t>
  </si>
  <si>
    <t>Montáž tvarovek z tvrdého PVC-systém KG nebo z polypropylenu-systém KG 2000 dvouosé DN 250</t>
  </si>
  <si>
    <t>1555134511</t>
  </si>
  <si>
    <t>Montáž tvarovek na kanalizačním potrubí z trub z plastu  z tvrdého PVC nebo z polypropylenu v otevřeném výkopu dvouosých DN 250</t>
  </si>
  <si>
    <t>"dle výpisu přípojek D11.01.1.12" 36</t>
  </si>
  <si>
    <t>47</t>
  </si>
  <si>
    <t>28611399</t>
  </si>
  <si>
    <t>odbočka kanalizační plastová s hrdlem KG 250/150/45°</t>
  </si>
  <si>
    <t>1528744244</t>
  </si>
  <si>
    <t>48</t>
  </si>
  <si>
    <t>892,1-R</t>
  </si>
  <si>
    <t>Kamerová zkouška kanalizačního potrubí, vč. vyhotovení záznamu o zkoušce</t>
  </si>
  <si>
    <t>-1866137243</t>
  </si>
  <si>
    <t>49</t>
  </si>
  <si>
    <t>892,2-R</t>
  </si>
  <si>
    <t>Vyhodnocení kamerových zkoušek</t>
  </si>
  <si>
    <t>1474103308</t>
  </si>
  <si>
    <t xml:space="preserve">Poznámka k položce:_x000D_
jedná o vyhodnocení kamerové prohlídky provozovatelem stokové sítě </t>
  </si>
  <si>
    <t>50</t>
  </si>
  <si>
    <t>892362121</t>
  </si>
  <si>
    <t>Tlaková zkouška potrubí DN 250 těsnícím vakem ucpávkovým</t>
  </si>
  <si>
    <t>úsek</t>
  </si>
  <si>
    <t>-1697196029</t>
  </si>
  <si>
    <t>Tlakové zkoušky těsnícími vaky ucpávkovými DN 250</t>
  </si>
  <si>
    <t>Poznámka k položce:_x000D_
zkouška bude porvedena vzduchem</t>
  </si>
  <si>
    <t>dle počtu šachet</t>
  </si>
  <si>
    <t>51</t>
  </si>
  <si>
    <t>892381111</t>
  </si>
  <si>
    <t>Tlaková zkouška potrubí DN 250, DN 300 nebo 350, vč. šachet</t>
  </si>
  <si>
    <t>-1054582076</t>
  </si>
  <si>
    <t>Tlakové zkoušky na potrubí DN 250, 300 nebo 350</t>
  </si>
  <si>
    <t>52</t>
  </si>
  <si>
    <t>894411311</t>
  </si>
  <si>
    <t>Osazení betonových nebo železobetonových dílců pro šachty skruží rovných</t>
  </si>
  <si>
    <t>575462949</t>
  </si>
  <si>
    <t>9+9+35</t>
  </si>
  <si>
    <t>53</t>
  </si>
  <si>
    <t>59224160</t>
  </si>
  <si>
    <t>skruž kanalizační s ocelovými stupadly 100x25x12cm, vč. povrchové úpravy</t>
  </si>
  <si>
    <t>1313401865</t>
  </si>
  <si>
    <t>skruž kanalizační s ocelovými stupadly 100x25x12cm</t>
  </si>
  <si>
    <t>54</t>
  </si>
  <si>
    <t>59224161</t>
  </si>
  <si>
    <t>skruž kanalizační s ocelovými stupadly 100x50x12cm, vč. povrchové úpravy</t>
  </si>
  <si>
    <t>1542930590</t>
  </si>
  <si>
    <t>skruž kanalizační s ocelovými stupadly 100x50x12cm</t>
  </si>
  <si>
    <t>55</t>
  </si>
  <si>
    <t>59224162</t>
  </si>
  <si>
    <t>skruž kanalizační s ocelovými stupadly 100x100x12cm, vč. povrchové úpravy</t>
  </si>
  <si>
    <t>-1349149610</t>
  </si>
  <si>
    <t>skruž kanalizační s ocelovými stupadly 100x100x12cm</t>
  </si>
  <si>
    <t>56</t>
  </si>
  <si>
    <t>894412411</t>
  </si>
  <si>
    <t>Osazení betonových nebo železobetonových dílců pro šachty skruží přechodových</t>
  </si>
  <si>
    <t>2085878090</t>
  </si>
  <si>
    <t>57</t>
  </si>
  <si>
    <t>59224168</t>
  </si>
  <si>
    <t>skruž betonová přechodová 62,5/100x60x12cm, stupadla poplastovaná kapsová</t>
  </si>
  <si>
    <t>-895740027</t>
  </si>
  <si>
    <t>58</t>
  </si>
  <si>
    <t>894414111</t>
  </si>
  <si>
    <t>Osazení betonových nebo železobetonových dílců pro šachty skruží základových (dno)</t>
  </si>
  <si>
    <t>-1536710959</t>
  </si>
  <si>
    <t>1+20+3</t>
  </si>
  <si>
    <t>59</t>
  </si>
  <si>
    <t>592,1-R</t>
  </si>
  <si>
    <t>dno betonové šachty prefabrikované kanalizační DN1000, 250-1000, Žlábek ve dně prefabrikované šachty (kyneta) a nástupnice bude provedena z betonu do 1/2 profilu, nástupnice s protiskluzem R11 dle DIN 51 130</t>
  </si>
  <si>
    <t>611636842</t>
  </si>
  <si>
    <t>60</t>
  </si>
  <si>
    <t>592,2-R</t>
  </si>
  <si>
    <t>dno betonové šachty prefabrikované kanalizační DN1000, 250-700, Žlábek ve dně prefabrikované šachty (kyneta) a nástupnice bude provedena z betonu do 1/2 profilu, nástupnice s protiskluzem R11 dle DIN 51 130</t>
  </si>
  <si>
    <t>96677772</t>
  </si>
  <si>
    <t>61</t>
  </si>
  <si>
    <t>592,3-R</t>
  </si>
  <si>
    <t>dno betonové šachty prefabrikované kanalizační DN1000, 250-700, Žlábek ve dně prefabrikované šachty (kyneta) a nástupnice bude provedena obkladem z čediče</t>
  </si>
  <si>
    <t>-26181422</t>
  </si>
  <si>
    <t>62</t>
  </si>
  <si>
    <t>59224348</t>
  </si>
  <si>
    <t>těsnění elastomerové pro spojení šachetních dílů DN 1000</t>
  </si>
  <si>
    <t>-1121561707</t>
  </si>
  <si>
    <t>63</t>
  </si>
  <si>
    <t>896212200R</t>
  </si>
  <si>
    <t>Dodávka + montáž obkladu stěn šachet čedičem</t>
  </si>
  <si>
    <t>-1324356182</t>
  </si>
  <si>
    <t>Příplatek za provedení spadiště kanalizační z betonu kruhové boční dno z čediče 90° horní potrubí DN 150, obklad nározové stěny obložen čedíčem do výšky do 2,05m (celková plocha 5,39m2)</t>
  </si>
  <si>
    <t>nahrazení spadiště</t>
  </si>
  <si>
    <t>"A10, A15, A23" 1,62+2,15+1,62</t>
  </si>
  <si>
    <t>64</t>
  </si>
  <si>
    <t>896212201R</t>
  </si>
  <si>
    <t>Dodávka + montáž Parshalův žlab P2 osazeného ve dně šachty</t>
  </si>
  <si>
    <t>1407941968</t>
  </si>
  <si>
    <t>"A7-MŠ1" 1</t>
  </si>
  <si>
    <t>65</t>
  </si>
  <si>
    <t>899,91-R</t>
  </si>
  <si>
    <t>Náklady na napojení nového potrubí PVC DN250 na stávající prefa šachtu navrtávkou a utěsněním prostupu po osazení potrubí, vč. dodávky materiálu</t>
  </si>
  <si>
    <t>2133661755</t>
  </si>
  <si>
    <t>"stoka FIV, SŠ5" 1</t>
  </si>
  <si>
    <t>66</t>
  </si>
  <si>
    <t>899104112</t>
  </si>
  <si>
    <t>Osazení poklopů litinových nebo ocelových včetně rámů pro třídu zatížení D400, E600</t>
  </si>
  <si>
    <t>949721745</t>
  </si>
  <si>
    <t>Osazení poklopů litinových a ocelových včetně rámů pro třídu zatížení D400, E600</t>
  </si>
  <si>
    <t>23+1</t>
  </si>
  <si>
    <t>67</t>
  </si>
  <si>
    <t>552,1-R</t>
  </si>
  <si>
    <t>poklop na vstupní šachtu litinový s betonovou výplní pro zatížení D400  bez odvětrání</t>
  </si>
  <si>
    <t>860519257</t>
  </si>
  <si>
    <t>68</t>
  </si>
  <si>
    <t>552,2-R</t>
  </si>
  <si>
    <t>poklop na vstupní šachtu litinový s betonovou výplní pro zatížení D400 s odvětráním</t>
  </si>
  <si>
    <t>1585391521</t>
  </si>
  <si>
    <t>Ostatní konstrukce a práce, bourání</t>
  </si>
  <si>
    <t>69</t>
  </si>
  <si>
    <t>900,1-R</t>
  </si>
  <si>
    <t>Dodávka + montáž brlení z nerez oceli, průlina 30mm</t>
  </si>
  <si>
    <t>kg</t>
  </si>
  <si>
    <t>1538171948</t>
  </si>
  <si>
    <t>"A8" 57,5</t>
  </si>
  <si>
    <t>70</t>
  </si>
  <si>
    <t>919121121</t>
  </si>
  <si>
    <t>Těsnění spár zálivkou za studena pro komůrky š 15 mm hl 25 mm s těsnicím profilem</t>
  </si>
  <si>
    <t>534646106</t>
  </si>
  <si>
    <t>Utěsnění dilatačních spár zálivkou za studena  v cementobetonovém nebo živičném krytu včetně adhezního nátěru s těsnicím profilem pod zálivkou, pro komůrky šířky 15 mm, hloubky 25 mm</t>
  </si>
  <si>
    <t>napojení na stávající komunikace</t>
  </si>
  <si>
    <t>4,5*2</t>
  </si>
  <si>
    <t>71</t>
  </si>
  <si>
    <t>980,2-R</t>
  </si>
  <si>
    <t>Kontrolní zkoušky zhutnění zásypu rýhy</t>
  </si>
  <si>
    <t>101297473</t>
  </si>
  <si>
    <t xml:space="preserve">Kontrolní zkoušky zhutnění zásypů rýhy se budou provádět po vzdálenostech á 30 m. Požadované hodnoty zemní pláně  Edef2 = 60 Mpa a pod konstručními vrstvami 120 MPa
dle TP 146 Kat. list 2
</t>
  </si>
  <si>
    <t>Poznámka k položce:_x000D_
viz TZ př. č. D.1.1.1</t>
  </si>
  <si>
    <t>Zkoušky budou prováděny lehkou dynamickou deskou</t>
  </si>
  <si>
    <t>997</t>
  </si>
  <si>
    <t>Přesun sutě</t>
  </si>
  <si>
    <t>72</t>
  </si>
  <si>
    <t>997221551</t>
  </si>
  <si>
    <t>Vodorovná doprava suti ze sypkých materiálů do 1 km</t>
  </si>
  <si>
    <t>-1707344347</t>
  </si>
  <si>
    <t>Vodorovná doprava suti  bez naložení, ale se složením a s hrubým urovnáním ze sypkých materiálů, na vzdálenost do 1 km</t>
  </si>
  <si>
    <t>"kamenivo" 661,27+661,27</t>
  </si>
  <si>
    <t>"asfalt" 111,732+509,219</t>
  </si>
  <si>
    <t>73</t>
  </si>
  <si>
    <t>997221559</t>
  </si>
  <si>
    <t>Příplatek ZKD 1 km u vodorovné dopravy suti ze sypkých materiálů</t>
  </si>
  <si>
    <t>107822234</t>
  </si>
  <si>
    <t>Vodorovná doprava suti  bez naložení, ale se složením a s hrubým urovnáním Příplatek k ceně za každý další i započatý 1 km přes 1 km</t>
  </si>
  <si>
    <t>1943,491*14 'Přepočtené koeficientem množství</t>
  </si>
  <si>
    <t>74</t>
  </si>
  <si>
    <t>997221611</t>
  </si>
  <si>
    <t>Nakládání suti na dopravní prostředky pro vodorovnou dopravu</t>
  </si>
  <si>
    <t>-1484168037</t>
  </si>
  <si>
    <t>Nakládání na dopravní prostředky  pro vodorovnou dopravu suti</t>
  </si>
  <si>
    <t>75</t>
  </si>
  <si>
    <t>997221873</t>
  </si>
  <si>
    <t>244868275</t>
  </si>
  <si>
    <t>76</t>
  </si>
  <si>
    <t>997221875</t>
  </si>
  <si>
    <t>Poplatek za uložení stavebního odpadu na recyklační skládce (skládkovné) asfaltového bez obsahu dehtu zatříděného do Katalogu odpadů pod kódem 17 03 02</t>
  </si>
  <si>
    <t>1982374320</t>
  </si>
  <si>
    <t>998</t>
  </si>
  <si>
    <t>Přesun hmot</t>
  </si>
  <si>
    <t>77</t>
  </si>
  <si>
    <t>998276101</t>
  </si>
  <si>
    <t>Přesun hmot pro trubní vedení z trub z plastických hmot otevřený výkop</t>
  </si>
  <si>
    <t>-1033068827</t>
  </si>
  <si>
    <t>Přesun hmot pro trubní vedení hloubené z trub z plastických hmot nebo sklolaminátových pro vodovody nebo kanalizace v otevřeném výkopu dopravní vzdálenost do 15 m</t>
  </si>
  <si>
    <t>odpočet kamenivo</t>
  </si>
  <si>
    <t>7918,798-7481,194</t>
  </si>
  <si>
    <t>00002 - DSO 01.1b Stoka A1</t>
  </si>
  <si>
    <t>Odstranění podkladu živičného tl 50 mm strojně pl přes 200 m2</t>
  </si>
  <si>
    <t>Poznámka k položce:_x000D_
viz TZ př. č. D.1.1.01.1, situace C3  a v.č. D.1.1.01.2 až 11, v.č. D.1.1.01.1.2 podélný profil</t>
  </si>
  <si>
    <t>"DN200" 2*1</t>
  </si>
  <si>
    <t>"DN250" 80*1,05</t>
  </si>
  <si>
    <t>"rozšíření pro šachty DN1000" 2,7*2,7*3-2,7*1,05*3</t>
  </si>
  <si>
    <t>(80+2)*4,5</t>
  </si>
  <si>
    <t>30*8</t>
  </si>
  <si>
    <t>1,05*3</t>
  </si>
  <si>
    <t>1,05*2</t>
  </si>
  <si>
    <t>Poznámka k položce:_x000D_
viz TZ př. č. D.1.1.01.1, situace C3  a v.č. D.1.1.01.2 až 11, v.č. D.1.1.01.1.2 podélný profil_x000D_
50% hor.tř. II a 50% hor.tř.III</t>
  </si>
  <si>
    <t>"DN200" 2*1*(2,6-0,45)</t>
  </si>
  <si>
    <t>"DN250" 80*1,05*(2,6-0,45)</t>
  </si>
  <si>
    <t>"rozšíření pro šachty DN1000" 2,7*2,7*(2,8-0,45)*3-2,7*1,05*(2,6-0,45)*3</t>
  </si>
  <si>
    <t>218,009*0,5</t>
  </si>
  <si>
    <t>(109,005+109,005)*0,2</t>
  </si>
  <si>
    <t>"DN200" 2*2,6*2</t>
  </si>
  <si>
    <t>"DN250" 80*2,6*2</t>
  </si>
  <si>
    <t>109,005+109,005</t>
  </si>
  <si>
    <t>218,01*5 'Přepočtené koeficientem množství</t>
  </si>
  <si>
    <t>218,01*1,8 'Přepočtené koeficientem množství</t>
  </si>
  <si>
    <t>-47,2</t>
  </si>
  <si>
    <t>-8,6-1,875</t>
  </si>
  <si>
    <t>-1,013</t>
  </si>
  <si>
    <t>"OP šachet DN1000" -3,14*0,62*0,62*2,6*3</t>
  </si>
  <si>
    <t>99,365*(0,45-0,05)</t>
  </si>
  <si>
    <t>189,653*2 'Přepočtené koeficientem množství</t>
  </si>
  <si>
    <t>"DN200" 2*1*0,5</t>
  </si>
  <si>
    <t>"DN250" 80*1,05*0,55</t>
  </si>
  <si>
    <t>47,2*2 'Přepočtené koeficientem množství</t>
  </si>
  <si>
    <t>379,306+94,4</t>
  </si>
  <si>
    <t>80+2</t>
  </si>
  <si>
    <t>"DN200" 2*1*0,1</t>
  </si>
  <si>
    <t>"DN250" 80*1,05*0,1</t>
  </si>
  <si>
    <t>prefa šachty DN1000</t>
  </si>
  <si>
    <t>2,5*2,5*0,1*3</t>
  </si>
  <si>
    <t>1,5*1,5*0,15*3</t>
  </si>
  <si>
    <t>99,365</t>
  </si>
  <si>
    <t>369</t>
  </si>
  <si>
    <t>871355241</t>
  </si>
  <si>
    <t>Kanalizační potrubí z tvrdého PVC vícevrstvé tuhost třídy SN12 DN 200</t>
  </si>
  <si>
    <t>-1017887156</t>
  </si>
  <si>
    <t>Kanalizační potrubí z tvrdého PVC v otevřeném výkopu ve sklonu do 20 %, hladkého plnostěnného vícevrstvého, tuhost třídy SN 12 DN 200</t>
  </si>
  <si>
    <t>"stoka A1" 80</t>
  </si>
  <si>
    <t>"dle výpisu přípojek D11.01.1.12" 4</t>
  </si>
  <si>
    <t>892351111</t>
  </si>
  <si>
    <t>Tlaková zkouška  potrubí DN 150 nebo 200</t>
  </si>
  <si>
    <t>-1978768288</t>
  </si>
  <si>
    <t>Tlakové zkoušky na potrubí DN 150 nebo 200</t>
  </si>
  <si>
    <t>1+3</t>
  </si>
  <si>
    <t>2+1</t>
  </si>
  <si>
    <t>592,4-R</t>
  </si>
  <si>
    <t>dno betonové šachty prefabrikované kanalizační DN1000, 250-1100, Žlábek ve dně prefabrikované šachty (kyneta) a nástupnice bude provedena z betonu do 1/2 profilu, nástupnice s protiskluzem R11 dle DIN 51 130</t>
  </si>
  <si>
    <t>1344312841</t>
  </si>
  <si>
    <t>894414211</t>
  </si>
  <si>
    <t>Osazení betonových nebo železobetonových dílců pro šachty desek zákrytových</t>
  </si>
  <si>
    <t>2093113221</t>
  </si>
  <si>
    <t>592,5-R</t>
  </si>
  <si>
    <t>deska betonová zákrytová pro kruhové šachty 625/200/120T</t>
  </si>
  <si>
    <t>561709494</t>
  </si>
  <si>
    <t>deska betonová zákrytová pro kruhové šachty 100/62,5x16,5cm</t>
  </si>
  <si>
    <t>899,93-R</t>
  </si>
  <si>
    <t>Náklady na napojení nového potrubí PVC DN200 na vývod z čerpací stanici potrubní spojkou, vč. dodávky materiálu</t>
  </si>
  <si>
    <t>"ČS 1" 1</t>
  </si>
  <si>
    <t>899,94-R</t>
  </si>
  <si>
    <t>Dodávka + montáž vřetenové šoupátko DN200 osazeného do betonové šachty, vč. betonového mezikusu, vč. vyvrtání prostupu v zákrytové desce pro sestavu ovládání šoupátka, vč. ovládání šouptaka s poklopem</t>
  </si>
  <si>
    <t>-1376905000</t>
  </si>
  <si>
    <t>"A1-1" 1</t>
  </si>
  <si>
    <t>"kamenivo" 57,632+57,632</t>
  </si>
  <si>
    <t>"asfalt" 9,737+42,435</t>
  </si>
  <si>
    <t>167,436*14 'Přepočtené koeficientem množství</t>
  </si>
  <si>
    <t>508,026-473,706</t>
  </si>
  <si>
    <t>00003 - DSO 01.1c Stoka A2a</t>
  </si>
  <si>
    <t>Poznámka k položce:_x000D_
viz TZ př. č. D.1.1.01.1, situace C3  a v.č. D.1.1.01.2 až 11, v.č. D.1.1.01.1.3 podélný profil</t>
  </si>
  <si>
    <t>"DN250" 50,5*1,05</t>
  </si>
  <si>
    <t>"rozšíření pro šachty DN1000" 2,7*2,7*2-2,7*1,05*2</t>
  </si>
  <si>
    <t>(50,5+2)*3,5</t>
  </si>
  <si>
    <t>20*8</t>
  </si>
  <si>
    <t>Poznámka k položce:_x000D_
viz TZ př. č. D.1.1.01.1, situace C3  a v.č. D.1.1.01.2 až 11, v.č. D.1.1.01.1.3 podélný profil_x000D_
50% hor.tř. II a 50% hor.tř.III</t>
  </si>
  <si>
    <t>"DN250" 50,5*1,05*(2,6-0,45)</t>
  </si>
  <si>
    <t>"rozšíření pro šachty DN1000" 2,7*2,7*(2,8-0,45)*2-2,7*1,05*(2,6-0,45)*2</t>
  </si>
  <si>
    <t>140,377*0,5</t>
  </si>
  <si>
    <t>(70,189+70,189)*0,2</t>
  </si>
  <si>
    <t>"DN250" 50,5*2,6*2</t>
  </si>
  <si>
    <t>70,189+70,189</t>
  </si>
  <si>
    <t>140,378*5 'Přepočtené koeficientem množství</t>
  </si>
  <si>
    <t>140,378*1,8 'Přepočtené koeficientem množství</t>
  </si>
  <si>
    <t>-30,164</t>
  </si>
  <si>
    <t>-5,503-1,25</t>
  </si>
  <si>
    <t>-0,675</t>
  </si>
  <si>
    <t>"OP šachet DN1000" -3,14*0,62*0,62*2,6*2</t>
  </si>
  <si>
    <t>63,935*(0,45-0,05)</t>
  </si>
  <si>
    <t>122,084*2 'Přepočtené koeficientem množství</t>
  </si>
  <si>
    <t>"DN250" 50,5*1,05*0,55</t>
  </si>
  <si>
    <t>30,164*2 'Přepočtené koeficientem množství</t>
  </si>
  <si>
    <t>244,168+60,328</t>
  </si>
  <si>
    <t>50,5+2</t>
  </si>
  <si>
    <t>"DN250" 50,5*1,05*0,1</t>
  </si>
  <si>
    <t>2,5*2,5*0,1*2</t>
  </si>
  <si>
    <t>1,5*1,5*0,15*2</t>
  </si>
  <si>
    <t>"stoka A2a" 50,5</t>
  </si>
  <si>
    <t>"dle výpisu přípojek D11.01.1.12" 3</t>
  </si>
  <si>
    <t>1+2</t>
  </si>
  <si>
    <t>1+1</t>
  </si>
  <si>
    <t>"ČS 11" 1</t>
  </si>
  <si>
    <t>"A2a-1" 1</t>
  </si>
  <si>
    <t>3*2</t>
  </si>
  <si>
    <t>"kamenivo" 37,082+37,082</t>
  </si>
  <si>
    <t>"asfalt" 6,266+21,131</t>
  </si>
  <si>
    <t>101,561*14 'Přepočtené koeficientem množství</t>
  </si>
  <si>
    <t>324,36-304,496</t>
  </si>
  <si>
    <t>00004 - DSO 01.1d Stoka A3</t>
  </si>
  <si>
    <t>Poznámka k položce:_x000D_
viz TZ př. č. D.1.1.01.1, situace C3  a v.č. D.1.1.01.2 až 11, v.č. D.1.1.01.1.4 podélný profil</t>
  </si>
  <si>
    <t>167*1,05</t>
  </si>
  <si>
    <t>"rozšíření pro šachty DN1000" 2,7*2,7*4-2,7*1,05*4</t>
  </si>
  <si>
    <t>167*4,5</t>
  </si>
  <si>
    <t>45*8</t>
  </si>
  <si>
    <t>1,05*5</t>
  </si>
  <si>
    <t>1,05*1</t>
  </si>
  <si>
    <t>Poznámka k položce:_x000D_
viz TZ př. č. D.1.1.01.1, situace C3  a v.č. D.1.1.01.2 až 11, v.č. D.1.1.01.1.5 podélný profil_x000D_
50% hor.tř. II a 50% hor.tř.III</t>
  </si>
  <si>
    <t>"DN250" 167*1,05*(3,3-0,45)</t>
  </si>
  <si>
    <t>"rozšíření pro šachty DN1000" 2,7*2,7*(3,5-0,45)*4-2,7*1,05*(3,3-0,45)*4</t>
  </si>
  <si>
    <t>556,367*0,5</t>
  </si>
  <si>
    <t>(278,184+278,184)*0,2</t>
  </si>
  <si>
    <t>"DN250" 167*3,3*2</t>
  </si>
  <si>
    <t>278,184+278,184</t>
  </si>
  <si>
    <t>556,368*5 'Přepočtené koeficientem množství</t>
  </si>
  <si>
    <t>"DN250" 167*1,05</t>
  </si>
  <si>
    <t>556,368*1,8 'Přepočtené koeficientem množství</t>
  </si>
  <si>
    <t>-96,443</t>
  </si>
  <si>
    <t>-17,535-2,5</t>
  </si>
  <si>
    <t>-1,35</t>
  </si>
  <si>
    <t>"OP šachet DN1000" -3,14*0,62*0,62*3,3*4</t>
  </si>
  <si>
    <t>193,17*(0,45-0,05)</t>
  </si>
  <si>
    <t>499,875*2 'Přepočtené koeficientem množství</t>
  </si>
  <si>
    <t>"DN250" 167*1,05*0,55</t>
  </si>
  <si>
    <t>96,443*2 'Přepočtené koeficientem množství</t>
  </si>
  <si>
    <t>999,75+192,886</t>
  </si>
  <si>
    <t>167</t>
  </si>
  <si>
    <t>"DN250" 167*1,05*0,1</t>
  </si>
  <si>
    <t>2,5*2,5*0,1*4</t>
  </si>
  <si>
    <t>2+3+3</t>
  </si>
  <si>
    <t>1,5*1,5*0,15*4</t>
  </si>
  <si>
    <t>193,17</t>
  </si>
  <si>
    <t>751,5</t>
  </si>
  <si>
    <t>"stoka A3" 167</t>
  </si>
  <si>
    <t>"dle výpisu přípojek D11.01.1.12" 10</t>
  </si>
  <si>
    <t>3+3+5</t>
  </si>
  <si>
    <t>3+1</t>
  </si>
  <si>
    <t>"kamenivo" 112,038+112,038</t>
  </si>
  <si>
    <t>"asfalt" 18,931+86,423</t>
  </si>
  <si>
    <t>329,43*14 'Přepočtené koeficientem množství</t>
  </si>
  <si>
    <t>1248,886-1192,636</t>
  </si>
  <si>
    <t>00005 - DSO 01.1e Stoka A4</t>
  </si>
  <si>
    <t>Poznámka k položce:_x000D_
viz TZ př. č. D.1.1.01.1, situace C3  a v.č. D.1.1.01.2 až 11, v.č. D.1.1.01.1.5 podélný profil</t>
  </si>
  <si>
    <t>356,7*1,05</t>
  </si>
  <si>
    <t>"rozšíření pro šachty DN1000" 2,7*2,7*10-2,7*1,05*10</t>
  </si>
  <si>
    <t>"rozšíření pro šachty DN600" 1,5*1,5*1-1,5*1,05*1</t>
  </si>
  <si>
    <t>356,7*4,5</t>
  </si>
  <si>
    <t>90*8</t>
  </si>
  <si>
    <t>1,05*9</t>
  </si>
  <si>
    <t>1,05*6</t>
  </si>
  <si>
    <t>"DN250" 356,7*1,05*(2,7-0,45)</t>
  </si>
  <si>
    <t>"rozšíření pro šachty DN1000" 2,7*2,7*(2,9-0,45)*10-2,7*1,05*(2,7-0,45)*10</t>
  </si>
  <si>
    <t>"rozšíření pro šachty DN600" 1,5*1,5*(2,9-0,45)*1-1,5*1,05*(2,7-0,45)*1</t>
  </si>
  <si>
    <t>959,491*0,5</t>
  </si>
  <si>
    <t>(479,746+479,746)*0,2</t>
  </si>
  <si>
    <t>"DN250" 356,7*2,7*2</t>
  </si>
  <si>
    <t>479,746+479,746</t>
  </si>
  <si>
    <t>959,492*5 'Přepočtené koeficientem množství</t>
  </si>
  <si>
    <t>"DN250" 356,7*1,05</t>
  </si>
  <si>
    <t>959,492*1,8 'Přepočtené koeficientem množství</t>
  </si>
  <si>
    <t>-205,994</t>
  </si>
  <si>
    <t>-37,454-6,475</t>
  </si>
  <si>
    <t>-3,496</t>
  </si>
  <si>
    <t>"OP šachet DN1000" -3,14*0,62*0,62*2,7*10</t>
  </si>
  <si>
    <t>"OP šachet DN600" -3,14*0,3*0,3*2,7*1</t>
  </si>
  <si>
    <t>419,76*(0,45-0,05)</t>
  </si>
  <si>
    <t>840,625*2 'Přepočtené koeficientem množství</t>
  </si>
  <si>
    <t>"DN250" 356,7*1,05*0,55</t>
  </si>
  <si>
    <t>205,994*2 'Přepočtené koeficientem množství</t>
  </si>
  <si>
    <t>1681,25+411,988</t>
  </si>
  <si>
    <t>356,7</t>
  </si>
  <si>
    <t>"DN250" 356,7*1,05*0,1</t>
  </si>
  <si>
    <t>2,5*2,5*0,1*10</t>
  </si>
  <si>
    <t>plastové DN600</t>
  </si>
  <si>
    <t>1,5*1,5*0,1*1</t>
  </si>
  <si>
    <t>1+2+4+6</t>
  </si>
  <si>
    <t>1,5*1,5*0,15*10</t>
  </si>
  <si>
    <t>1,1*1,1*0,1*1</t>
  </si>
  <si>
    <t>420,435</t>
  </si>
  <si>
    <t>1605,15</t>
  </si>
  <si>
    <t>"stoka A4" 356,7</t>
  </si>
  <si>
    <t>"dle výpisu přípojek D11.01.1.12" 8</t>
  </si>
  <si>
    <t>10+1</t>
  </si>
  <si>
    <t>4+4+8</t>
  </si>
  <si>
    <t>2+8</t>
  </si>
  <si>
    <t>894812322</t>
  </si>
  <si>
    <t>Revizní a čistící šachta z PP typ DN 600/250 šachtové dno průtočné 30°, 60°, 90°</t>
  </si>
  <si>
    <t>1792856471</t>
  </si>
  <si>
    <t>Revizní a čistící šachta z polypropylenu PP pro hladké trouby DN 600 šachtové dno (DN šachty / DN trubního vedení) DN 600/250 průtočné 30°,60°,90°</t>
  </si>
  <si>
    <t>894812332</t>
  </si>
  <si>
    <t>Revizní a čistící šachta z PP DN 600 šachtová roura korugovaná světlé hloubky 2000 mm</t>
  </si>
  <si>
    <t>-1576010761</t>
  </si>
  <si>
    <t>Revizní a čistící šachta z polypropylenu PP pro hladké trouby DN 600 roura šachtová korugovaná, světlé hloubky 2 000 mm</t>
  </si>
  <si>
    <t>894812339</t>
  </si>
  <si>
    <t>Příplatek k rourám revizní a čistící šachty z PP DN 600 za uříznutí šachtové roury</t>
  </si>
  <si>
    <t>1556561283</t>
  </si>
  <si>
    <t>Revizní a čistící šachta z polypropylenu PP pro hladké trouby DN 600 Příplatek k cenám 2331 - 2334 za uříznutí šachtové roury</t>
  </si>
  <si>
    <t>894812377</t>
  </si>
  <si>
    <t>Revizní a čistící šachta z PP DN 600 poklop litinový pro třídu zatížení D400 s teleskopickým adaptérem</t>
  </si>
  <si>
    <t>32003037</t>
  </si>
  <si>
    <t>Revizní a čistící šachta z polypropylenu PP pro hladké trouby DN 600 poklop (mříž) litinový pro třídu zatížení D400 s teleskopickým adaptérem</t>
  </si>
  <si>
    <t>"A4-2-MŠ2" 1</t>
  </si>
  <si>
    <t>"stoka FIV, SŠ4" 1</t>
  </si>
  <si>
    <t>9+1</t>
  </si>
  <si>
    <t>"A4-3" 57,5</t>
  </si>
  <si>
    <t>"kamenivo" 243,461+243,461</t>
  </si>
  <si>
    <t>"asfalt" 41,136+184,592</t>
  </si>
  <si>
    <t>712,65*14 'Přepočtené koeficientem množství</t>
  </si>
  <si>
    <t>2217,762-2093,238</t>
  </si>
  <si>
    <t>00006 - DSO 01.1f Stoka A4a</t>
  </si>
  <si>
    <t>Poznámka k položce:_x000D_
viz TZ př. č. D.1.1.01.1, situace C3  a v.č. D.1.1.01.2 až 11, v.č. D.1.1.01.1.6 podélný profil</t>
  </si>
  <si>
    <t>63,7*1,05</t>
  </si>
  <si>
    <t>"rozšíření pro šachty DN1000" 2,7*2,7*1-2,7*1,05*1</t>
  </si>
  <si>
    <t>63,7*3,2</t>
  </si>
  <si>
    <t>1,05*4</t>
  </si>
  <si>
    <t>121151113</t>
  </si>
  <si>
    <t>Sejmutí ornice plochy do 500 m2 tl vrstvy do 200 mm strojně</t>
  </si>
  <si>
    <t>-1982786999</t>
  </si>
  <si>
    <t>Sejmutí ornice strojně při souvislé ploše přes 100 do 500 m2, tl. vrstvy do 200 mm</t>
  </si>
  <si>
    <t>tl.100mm</t>
  </si>
  <si>
    <t>"DN250" 93,3*3</t>
  </si>
  <si>
    <t>Poznámka k položce:_x000D_
viz TZ př. č. D.1.1.01.1, situace C3  a v.č. D.1.1.01.2 až 11, v.č. D.1.1.01.1.6 podélný profil_x000D_
50% hor.tř. II a 50% hor.tř.III</t>
  </si>
  <si>
    <t>"DN250" 63,7*1,05*(2,6-0,45)</t>
  </si>
  <si>
    <t>"rozšíření pro šachty DN1000" 2,7*2,7*(2,8-0,45)*1-2,7*1,05*(2,6-0,45)*1</t>
  </si>
  <si>
    <t>"rozšíření pro šachty DN600" 1,5*1,5*(2,8-0,45)*1-1,5*1,05*(2,6-0,45)*1</t>
  </si>
  <si>
    <t>v zeleni, tl.100mm, odebráno v rámci přípravných prací</t>
  </si>
  <si>
    <t>"DN250" 93,3*1,05*(2,6-0,1)</t>
  </si>
  <si>
    <t>"rozšíření pro šachty DN1000" 2,7*2,7*(2,8-0,1)*1-2,7*1,05*(2,6-0,1)*1</t>
  </si>
  <si>
    <t>"rozšíření pro šachty DN600" 1,5*1,5*(2,8-0,1)*2-1,5*1,05*(2,6-0,1)*2</t>
  </si>
  <si>
    <t>418,524*0,5</t>
  </si>
  <si>
    <t>(209,267+209,267)*0,2</t>
  </si>
  <si>
    <t>"DN250" 157*2,6*2</t>
  </si>
  <si>
    <t>209,262+209,262</t>
  </si>
  <si>
    <t>ornice</t>
  </si>
  <si>
    <t>279,9*0,1</t>
  </si>
  <si>
    <t>162751117,1</t>
  </si>
  <si>
    <t>Vodorovné přemístění do 10000 m výkopku/sypaniny z horniny třídy těžitelnosti I, skupiny 1 až 3 - zpět na stavbu</t>
  </si>
  <si>
    <t>-942558662</t>
  </si>
  <si>
    <t>446,514*5 'Přepočtené koeficientem množství</t>
  </si>
  <si>
    <t>162751119,1</t>
  </si>
  <si>
    <t>Příplatek k vodorovnému přemístění výkopku/sypaniny z horniny třídy těžitelnosti I, skupiny 1 až 3 ZKD 1000 m přes 10000 m - zpět na stavbu</t>
  </si>
  <si>
    <t>454373054</t>
  </si>
  <si>
    <t>204,617*5 'Přepočtené koeficientem množství</t>
  </si>
  <si>
    <t>167151111</t>
  </si>
  <si>
    <t>Nakládání výkopku z hornin třídy těžitelnosti I, skupiny 1 až 3 přes 100 m3 - zpět na stavbu</t>
  </si>
  <si>
    <t>571324877</t>
  </si>
  <si>
    <t>Nakládání, skládání a překládání neulehlého výkopku nebo sypaniny strojně nakládání, množství přes 100 m3, z hornin třídy těžitelnosti I, skupiny 1 až 3</t>
  </si>
  <si>
    <t>zásyp v zelení</t>
  </si>
  <si>
    <t>"DN250" 93,3*1,05*(2,6-0,1-0,55-0,1)</t>
  </si>
  <si>
    <t>"OP šachet DN1000" -3,14*0,62*0,62*2,6*1</t>
  </si>
  <si>
    <t>"OP šachet DN600" -3,14*0,3*0,3*2,6*2</t>
  </si>
  <si>
    <t>"DN250" 157*1,05</t>
  </si>
  <si>
    <t>"rozšíření pro šachty DN600" 1,5*1,5*3-1,5*1,05*3</t>
  </si>
  <si>
    <t>na mezideponii</t>
  </si>
  <si>
    <t>446,514</t>
  </si>
  <si>
    <t>zpět na stavbu</t>
  </si>
  <si>
    <t>-204,617</t>
  </si>
  <si>
    <t>241,897*1,8 'Přepočtené koeficientem množství</t>
  </si>
  <si>
    <t>-90,668</t>
  </si>
  <si>
    <t>-16,485-1,925</t>
  </si>
  <si>
    <t>-1,038</t>
  </si>
  <si>
    <t>"OP šachet DN600" -3,14*0,3*0,3*2,6*3</t>
  </si>
  <si>
    <t>72,015*(0,45-0,05)</t>
  </si>
  <si>
    <t>zásyp</t>
  </si>
  <si>
    <t>328,724</t>
  </si>
  <si>
    <t>328,724-176,627</t>
  </si>
  <si>
    <t>152,097*2 'Přepočtené koeficientem množství</t>
  </si>
  <si>
    <t>"DN250" 157*1,05*0,55</t>
  </si>
  <si>
    <t>90,668*2 'Přepočtené koeficientem množství</t>
  </si>
  <si>
    <t>181,2-R</t>
  </si>
  <si>
    <t>Zatravnění a ohumusování, vč. zálivky vodou a dodávky materiálů</t>
  </si>
  <si>
    <t>-400257443</t>
  </si>
  <si>
    <t>181351103</t>
  </si>
  <si>
    <t>Rozprostření ornice tl vrstvy do 200 mm pl do 500 m2 v rovině nebo ve svahu do 1:5 strojně</t>
  </si>
  <si>
    <t>-2029401739</t>
  </si>
  <si>
    <t>Rozprostření a urovnání ornice v rovině nebo ve svahu sklonu do 1:5 strojně při souvislé ploše přes 100 do 500 m2, tl. vrstvy do 200 mm</t>
  </si>
  <si>
    <t>304,194+181,336</t>
  </si>
  <si>
    <t>157</t>
  </si>
  <si>
    <t>"DN250" 157*1,05*0,1</t>
  </si>
  <si>
    <t>1,5*1,5*0,1*3</t>
  </si>
  <si>
    <t>1,1*1,1*0,1*3</t>
  </si>
  <si>
    <t>72,69</t>
  </si>
  <si>
    <t>203,84</t>
  </si>
  <si>
    <t>"stoka A4a" 157</t>
  </si>
  <si>
    <t>2+3</t>
  </si>
  <si>
    <t>894812321</t>
  </si>
  <si>
    <t>Revizní a čistící šachta z PP typ DN 600/250 šachtové dno průtočné, koncové</t>
  </si>
  <si>
    <t>1852628784</t>
  </si>
  <si>
    <t>Revizní a čistící šachta z polypropylenu PP pro hladké trouby DN 600 šachtové dno (DN šachty / DN trubního vedení) DN 600/250 průtočné</t>
  </si>
  <si>
    <t>1533423358</t>
  </si>
  <si>
    <t>-1076020812</t>
  </si>
  <si>
    <t>894812333</t>
  </si>
  <si>
    <t>Revizní a čistící šachta z PP DN 600 šachtová roura korugovaná světlé hloubky 3000 mm</t>
  </si>
  <si>
    <t>-42122127</t>
  </si>
  <si>
    <t>Revizní a čistící šachta z polypropylenu PP pro hladké trouby DN 600 roura šachtová korugovaná, světlé hloubky 3 000 mm</t>
  </si>
  <si>
    <t>943025425</t>
  </si>
  <si>
    <t>-976969399</t>
  </si>
  <si>
    <t>3,2*2</t>
  </si>
  <si>
    <t>"kamenivo" 41,769+41,769</t>
  </si>
  <si>
    <t>"asfalt" 7,056+23,442</t>
  </si>
  <si>
    <t>114,036*14 'Přepočtené koeficientem množství</t>
  </si>
  <si>
    <t>-1030149203</t>
  </si>
  <si>
    <t>529,274-485,53</t>
  </si>
  <si>
    <t>00007 - DSO 01.1g Stoka A4b</t>
  </si>
  <si>
    <t>Poznámka k položce:_x000D_
viz TZ př. č. D.1.1.01.1, situace C3  a v.č. D.1.1.01.2 až 11, v.č. D.1.1.01.1.7 podélný profil</t>
  </si>
  <si>
    <t>81*1,05</t>
  </si>
  <si>
    <t>"rozšíření pro šachty DN600" 1,5*1,5*2-1,5*1,05*2</t>
  </si>
  <si>
    <t>81*3</t>
  </si>
  <si>
    <t>Poznámka k položce:_x000D_
viz TZ př. č. D.1.1.01.1, situace C3  a v.č. D.1.1.01.2 až 11, v.č. D.1.1.01.1.7 podélný profil_x000D_
50% hor.tř. II a 50% hor.tř.III</t>
  </si>
  <si>
    <t>"DN250" 81*1,05*(2,6-0,45)</t>
  </si>
  <si>
    <t>"rozšíření pro šachty DN600" 1,5*1,5*(2,8-0,45)*2-1,5*1,05*(2,7-0,45)*2</t>
  </si>
  <si>
    <t>186,346*0,5</t>
  </si>
  <si>
    <t>(93,173+93,173)*0,2</t>
  </si>
  <si>
    <t>"DN250" 81*2,6*2</t>
  </si>
  <si>
    <t>93,173+93,173</t>
  </si>
  <si>
    <t>186,346*5 'Přepočtené koeficientem množství</t>
  </si>
  <si>
    <t>"DN250" 81*1,05</t>
  </si>
  <si>
    <t>186,346*1,8 'Přepočtené koeficientem množství</t>
  </si>
  <si>
    <t>-46,778</t>
  </si>
  <si>
    <t>-8,505-0,45</t>
  </si>
  <si>
    <t>-0,242</t>
  </si>
  <si>
    <t>86,4*(0,45-0,05)</t>
  </si>
  <si>
    <t>163,461*2 'Přepočtené koeficientem množství</t>
  </si>
  <si>
    <t>"DN250" 81*1,05*0,55</t>
  </si>
  <si>
    <t>46,778*2 'Přepočtené koeficientem množství</t>
  </si>
  <si>
    <t>326,922+93,556</t>
  </si>
  <si>
    <t>81</t>
  </si>
  <si>
    <t>"DN250" 81*1,05*0,1</t>
  </si>
  <si>
    <t>1,5*1,5*0,1*2</t>
  </si>
  <si>
    <t>1,1*1,1*0,1*2</t>
  </si>
  <si>
    <t>87,75</t>
  </si>
  <si>
    <t>243</t>
  </si>
  <si>
    <t>"stoka A4b" 81</t>
  </si>
  <si>
    <t>2065031472</t>
  </si>
  <si>
    <t>406580658</t>
  </si>
  <si>
    <t>"kamenivo" 50,112+50,112</t>
  </si>
  <si>
    <t>"asfalt" 8,467+27,945</t>
  </si>
  <si>
    <t>136,636*14 'Přepočtené koeficientem množství</t>
  </si>
  <si>
    <t>439,237-420,478</t>
  </si>
  <si>
    <t>00001 - DSO 01.1.1a Kanalizační odbočení Stoky A</t>
  </si>
  <si>
    <t>Poznámka k položce:_x000D_
viz TZ př. č. D.1.1.01.12, situace C3  a v.č. D.1.1.01.13 až 19, výpis přípojek D.1.1.01.1.12</t>
  </si>
  <si>
    <t>uvažováno 90% z délek přípojek,  frézování viz stoka</t>
  </si>
  <si>
    <t>145,1*1</t>
  </si>
  <si>
    <t>"rozšíření pro šachty DN600" 1,5*1,5*17-1,5*1*17</t>
  </si>
  <si>
    <t>157,85*0,9</t>
  </si>
  <si>
    <t>tl.100mm, uvažováno 10% z délek přípojek</t>
  </si>
  <si>
    <t>"DN150" 145,1*3*0,1</t>
  </si>
  <si>
    <t>Poznámka k položce:_x000D_
viz TZ př. č. D.1.1.01.12, situace C3  a v.č. D.1.1.01.13 až 19, výpis přípojek D.1.1.01.1.12_x000D_
50% hor.tř. II a 50% hor.tř.III</t>
  </si>
  <si>
    <t>místní komunikace, tl.450mm, odebráno v rámci přípravných prací , uvažováno 90% z délek přípojek</t>
  </si>
  <si>
    <t>"DN150" 145,1*1*(2,2-0,45)*0,9</t>
  </si>
  <si>
    <t>"rozšíření pro šachty DN600" 1,5*1,5*(2,4-0,45)*17-1,5*1*(2,2-0,45)*17</t>
  </si>
  <si>
    <t>"DN150" 145,1*1*(2,2-0,1)*0,1</t>
  </si>
  <si>
    <t>288,967*0,5</t>
  </si>
  <si>
    <t>(144,484+144,484)*0,2</t>
  </si>
  <si>
    <t>"DN150" 145,1*2,2*2</t>
  </si>
  <si>
    <t>144,484+144,484</t>
  </si>
  <si>
    <t>43,53*0,1</t>
  </si>
  <si>
    <t>293,321*5 'Přepočtené koeficientem množství</t>
  </si>
  <si>
    <t>26,844*5 'Přepočtené koeficientem množství</t>
  </si>
  <si>
    <t>zásyp v zeleni</t>
  </si>
  <si>
    <t>"DN150" 145,1*1*(2,2-0,1-0,45-0,1)*0,1</t>
  </si>
  <si>
    <t>"DN150" 145,1*1</t>
  </si>
  <si>
    <t>293,321</t>
  </si>
  <si>
    <t>-27,034</t>
  </si>
  <si>
    <t>266,287*1,8 'Přepočtené koeficientem množství</t>
  </si>
  <si>
    <t>-65,295</t>
  </si>
  <si>
    <t>-14,51-5,825</t>
  </si>
  <si>
    <t>-4,057</t>
  </si>
  <si>
    <t>"OP šachet DN425" -3,14*0,21*0,21*2,2*20</t>
  </si>
  <si>
    <t>"OP šachet DN600" -3,14*0,5*0,5*2,2*17</t>
  </si>
  <si>
    <t>142,065*(0,45-0,05)</t>
  </si>
  <si>
    <t>220,665</t>
  </si>
  <si>
    <t>220,665-22,491</t>
  </si>
  <si>
    <t>198,174*2 'Přepočtené koeficientem množství</t>
  </si>
  <si>
    <t>"DN150" 145,1*1*0,45</t>
  </si>
  <si>
    <t>65,295*2 'Přepočtené koeficientem množství</t>
  </si>
  <si>
    <t>396,348+130,59</t>
  </si>
  <si>
    <t>145,1</t>
  </si>
  <si>
    <t>"DN150" 145,1*1*0,1</t>
  </si>
  <si>
    <t>plastové DN425</t>
  </si>
  <si>
    <t>1*1*0,1*20</t>
  </si>
  <si>
    <t>1,5*1,5*0,1*17</t>
  </si>
  <si>
    <t>1,1*1,1*0,1*17</t>
  </si>
  <si>
    <t>viz odstranění živičného podkladu, finální vstva asfaltobetonu viz stoka</t>
  </si>
  <si>
    <t>142,065</t>
  </si>
  <si>
    <t>871315241</t>
  </si>
  <si>
    <t>Kanalizační potrubí z tvrdého PVC vícevrstvé tuhost třídy SN12 DN 150</t>
  </si>
  <si>
    <t>-39675936</t>
  </si>
  <si>
    <t>Kanalizační potrubí z tvrdého PVC v otevřeném výkopu ve sklonu do 20 %, hladkého plnostěnného vícevrstvého, tuhost třídy SN 12 DN 150</t>
  </si>
  <si>
    <t>877315211</t>
  </si>
  <si>
    <t>Montáž tvarovek z tvrdého PVC-systém KG nebo z polypropylenu-systém KG 2000 jednoosé DN 160</t>
  </si>
  <si>
    <t>-928759875</t>
  </si>
  <si>
    <t>Montáž tvarovek na kanalizačním potrubí z trub z plastu  z tvrdého PVC nebo z polypropylenu v otevřeném výkopu jednoosých DN 160</t>
  </si>
  <si>
    <t>napojení na odbočku 1ks</t>
  </si>
  <si>
    <t>36*1</t>
  </si>
  <si>
    <t>napojení do šachty 2ks</t>
  </si>
  <si>
    <t>2*2</t>
  </si>
  <si>
    <t>trubka zkrácená, 2ks na přípojku</t>
  </si>
  <si>
    <t>38*2</t>
  </si>
  <si>
    <t>28611361</t>
  </si>
  <si>
    <t>koleno kanalizační PVC KG 160x45°,(15°,30,45°)</t>
  </si>
  <si>
    <t>-1008592035</t>
  </si>
  <si>
    <t>koleno kanalizační PVC KG 160x45°</t>
  </si>
  <si>
    <t>286,1-R</t>
  </si>
  <si>
    <t>trouba KG PVC DN150 zkrácená (dle potřeby)</t>
  </si>
  <si>
    <t>-1786525608</t>
  </si>
  <si>
    <t>877315231</t>
  </si>
  <si>
    <t>Montáž víčka z tvrdého PVC-systém KG DN 160</t>
  </si>
  <si>
    <t>1540898265</t>
  </si>
  <si>
    <t>Montáž tvarovek na kanalizačním potrubí z trub z plastu  z tvrdého PVC nebo z polypropylenu v otevřeném výkopu víček DN 160</t>
  </si>
  <si>
    <t>1ks na přípojku</t>
  </si>
  <si>
    <t>28611722</t>
  </si>
  <si>
    <t>víčko kanalizace plastové KG DN 160</t>
  </si>
  <si>
    <t>561972481</t>
  </si>
  <si>
    <t>Tlaková zkouška potrubí DN 150 nebo 200</t>
  </si>
  <si>
    <t>302556589</t>
  </si>
  <si>
    <t>894812201</t>
  </si>
  <si>
    <t>Revizní a čistící šachta z PP šachtové dno DN 425/150 průtočné</t>
  </si>
  <si>
    <t>-827142595</t>
  </si>
  <si>
    <t>Revizní a čistící šachta z polypropylenu PP pro hladké trouby DN 425 šachtové dno (DN šachty / DN trubního vedení) DN 425/150 průtočné</t>
  </si>
  <si>
    <t>894812231</t>
  </si>
  <si>
    <t>Revizní a čistící šachta z PP DN 425 šachtová roura korugovaná bez hrdla světlé hloubky 1500 mm</t>
  </si>
  <si>
    <t>-147676965</t>
  </si>
  <si>
    <t>Revizní a čistící šachta z 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</si>
  <si>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</si>
  <si>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</si>
  <si>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77108040</t>
  </si>
  <si>
    <t>Revizní a čistící šachta z 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</si>
  <si>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</si>
  <si>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</si>
  <si>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-1998528260</t>
  </si>
  <si>
    <t>Revizní a čistící šachta z polypropylenu PP pro hladké trouby DN 425 roura šachtová korugovaná Příplatek k cenám 2231 - 2242 za uříznutí šachtové roury</t>
  </si>
  <si>
    <t>894812262</t>
  </si>
  <si>
    <t>Revizní a čistící šachta z PP DN 425 poklop litinový plný do teleskopické trubky pro třídu zatížení D400</t>
  </si>
  <si>
    <t>-108265227</t>
  </si>
  <si>
    <t>Revizní a čistící šachta z polypropylenu PP pro hladké trouby DN 425 poklop litinový (pro třídu zatížení) plný do teleskopické trubky (D400)</t>
  </si>
  <si>
    <t>894812311</t>
  </si>
  <si>
    <t>Revizní a čistící šachta z PP typ DN 600/160 šachtové dno průtočné</t>
  </si>
  <si>
    <t>1287662789</t>
  </si>
  <si>
    <t>Revizní a čistící šachta z polypropylenu PP pro hladké trouby DN 600 šachtové dno (DN šachty / DN trubního vedení) DN 600/160 průtočné</t>
  </si>
  <si>
    <t>940,1-R</t>
  </si>
  <si>
    <t>Dodávka + montáž zateplení poloviny revizní šachty DN600 polystyrenem XPS tl.2x100mm, plocha cca 3,0m2/ks,  nalepením pomocí PUR pěny</t>
  </si>
  <si>
    <t>471898563</t>
  </si>
  <si>
    <t>Poznámka k položce:_x000D_
viz TZ př. č. D.1.1.01.12, situace C3  a v.č. D.1.1.01.13 až 20, výpis přípojek D.1.1.01.1.12</t>
  </si>
  <si>
    <t>940,2-R</t>
  </si>
  <si>
    <t>Dodávka + montáž zateplení poloviny revizní šachty DN425 polystyrenem XPS tl.2x100mm, plocha cca 2,1m2/ks,  nalepením pomocí PUR pěny</t>
  </si>
  <si>
    <t>-2078426827</t>
  </si>
  <si>
    <t>940,3-R</t>
  </si>
  <si>
    <t>Dodávka + montáž zateplení potrubí DN do 100mm půlenou chráničkou z polystyrénu tl.100mm</t>
  </si>
  <si>
    <t>-549447603</t>
  </si>
  <si>
    <t>(13+7)*1</t>
  </si>
  <si>
    <t>"kamenivo" 82,398+82,398</t>
  </si>
  <si>
    <t>"asfalt" 13,922</t>
  </si>
  <si>
    <t>178,718*14 'Přepočtené koeficientem množství</t>
  </si>
  <si>
    <t>566,096-526,938</t>
  </si>
  <si>
    <t>00002 - DSO 01.1.1b Kanalizační odbočení Stoky A1</t>
  </si>
  <si>
    <t>43*1*0,9</t>
  </si>
  <si>
    <t>"DN150" 43*3*0,1</t>
  </si>
  <si>
    <t>"DN150" 43*1*(2,2-0,45)*0,9</t>
  </si>
  <si>
    <t>"DN150" 43*1*(2,2-0,1)*0,1</t>
  </si>
  <si>
    <t>76,755*0,5</t>
  </si>
  <si>
    <t>(38,378)*0,2</t>
  </si>
  <si>
    <t>"DN150" 43*2,2*2</t>
  </si>
  <si>
    <t>38,378+38,378</t>
  </si>
  <si>
    <t>12,9*0,1</t>
  </si>
  <si>
    <t>78,046*5 'Přepočtené koeficientem množství</t>
  </si>
  <si>
    <t>7,955*5 'Přepočtené koeficientem množství</t>
  </si>
  <si>
    <t>"DN150" 43*1*(2,2-0,1-0,45-0,1)*0,1</t>
  </si>
  <si>
    <t>"DN150" 43*1</t>
  </si>
  <si>
    <t>78,046</t>
  </si>
  <si>
    <t>-7,955</t>
  </si>
  <si>
    <t>70,091*1,8 'Přepočtené koeficientem množství</t>
  </si>
  <si>
    <t>-19,35</t>
  </si>
  <si>
    <t>-4,3-0,7</t>
  </si>
  <si>
    <t>-0,7</t>
  </si>
  <si>
    <t>"OP šachet DN425" -3,14*0,21*0,21*2,2*7</t>
  </si>
  <si>
    <t>38,7*(0,45-0,05)</t>
  </si>
  <si>
    <t>65,054</t>
  </si>
  <si>
    <t>65,054-6,665</t>
  </si>
  <si>
    <t>58,389*2 'Přepočtené koeficientem množství</t>
  </si>
  <si>
    <t>"DN150" 43*1*0,45</t>
  </si>
  <si>
    <t>19,35*2 'Přepočtené koeficientem množství</t>
  </si>
  <si>
    <t>116,778+38,7</t>
  </si>
  <si>
    <t>"DN150" 43*1*0,1</t>
  </si>
  <si>
    <t>1*1*0,1*7</t>
  </si>
  <si>
    <t>38,7</t>
  </si>
  <si>
    <t>4*1</t>
  </si>
  <si>
    <t>7*2</t>
  </si>
  <si>
    <t>"kamenivo" 22,446+22,446</t>
  </si>
  <si>
    <t>"asfalt" 3,793</t>
  </si>
  <si>
    <t>48,685*14 'Přepočtené koeficientem množství</t>
  </si>
  <si>
    <t>165,501-155,478</t>
  </si>
  <si>
    <t>00003 - DSO 01.1.1c Kanalizační odbočení Stoky A2a</t>
  </si>
  <si>
    <t>35*1*0,9</t>
  </si>
  <si>
    <t>"DN150" 35*3*0,1</t>
  </si>
  <si>
    <t>"DN150" 35*1*(2,2-0,45)*0,9</t>
  </si>
  <si>
    <t>"DN150" 35*1*(2,2-0,1)*0,1</t>
  </si>
  <si>
    <t>62,475*0,5</t>
  </si>
  <si>
    <t>(31,238+31,238)*0,2</t>
  </si>
  <si>
    <t>"DN150" 35*2,2*2</t>
  </si>
  <si>
    <t>31,238+31,238</t>
  </si>
  <si>
    <t>10,5*0,1</t>
  </si>
  <si>
    <t>63,526*5 'Přepočtené koeficientem množství</t>
  </si>
  <si>
    <t>6,475*5 'Přepočtené koeficientem množství</t>
  </si>
  <si>
    <t>"DN150" 35*1*(2,2-0,1-0,45-0,1)*0,1</t>
  </si>
  <si>
    <t>"DN150" 35*1</t>
  </si>
  <si>
    <t>62,526</t>
  </si>
  <si>
    <t>-6,475</t>
  </si>
  <si>
    <t>56,051*1,8 'Přepočtené koeficientem množství</t>
  </si>
  <si>
    <t>-15,75</t>
  </si>
  <si>
    <t>-3,5-0,6</t>
  </si>
  <si>
    <t>-0,6</t>
  </si>
  <si>
    <t>"OP šachet DN425" -3,14*0,21*0,21*2,2*6</t>
  </si>
  <si>
    <t>31,5*(0,45-0,05)</t>
  </si>
  <si>
    <t>52,798</t>
  </si>
  <si>
    <t>52,798-5,425</t>
  </si>
  <si>
    <t>47,373*2 'Přepočtené koeficientem množství</t>
  </si>
  <si>
    <t>"DN150" 35*1*0,45</t>
  </si>
  <si>
    <t>15,75*2 'Přepočtené koeficientem množství</t>
  </si>
  <si>
    <t>94,746+31,5</t>
  </si>
  <si>
    <t>"DN150" 35*1*0,1</t>
  </si>
  <si>
    <t>1*1*0,1*6</t>
  </si>
  <si>
    <t>31,5</t>
  </si>
  <si>
    <t>3*1</t>
  </si>
  <si>
    <t>6*2</t>
  </si>
  <si>
    <t>"kamenivo" 18,27+18,27</t>
  </si>
  <si>
    <t>"asfalt" 3,087</t>
  </si>
  <si>
    <t>39,627*14 'Přepočtené koeficientem množství</t>
  </si>
  <si>
    <t>134,445-126,246</t>
  </si>
  <si>
    <t>00004 - DSO 01.1.1d Kanalizační odbočení Stoky A3</t>
  </si>
  <si>
    <t>53,5*1</t>
  </si>
  <si>
    <t>"rozšíření pro šachty DN600" 1,5*1,5*7-1,5*1*7</t>
  </si>
  <si>
    <t>58,75*0,9</t>
  </si>
  <si>
    <t>"DN150" 53,5*3*0,1</t>
  </si>
  <si>
    <t>"DN150" 53,5*1*(2,2-0,45)*0,9</t>
  </si>
  <si>
    <t>"rozšíření pro šachty DN600" 1,5*1,5*(2,4-0,45)*7-1,5*1*(2,2-0,45)*7</t>
  </si>
  <si>
    <t>"DN150" 53,5*1*(2,2-0,1)*0,1</t>
  </si>
  <si>
    <t>107,836*0,5</t>
  </si>
  <si>
    <t>(53,918+53,918)*0,2</t>
  </si>
  <si>
    <t>"DN150" 53,5*2,2*2</t>
  </si>
  <si>
    <t>53,918+53,918</t>
  </si>
  <si>
    <t>16,05*0,1</t>
  </si>
  <si>
    <t>109,441*5 'Přepočtené koeficientem množství</t>
  </si>
  <si>
    <t>9,898*5 'Přepočtené koeficientem množství</t>
  </si>
  <si>
    <t>"DN150" 53,5*1*(2,2-0,1-0,45-0,1)*0,1</t>
  </si>
  <si>
    <t>"DN150" 53,5*1</t>
  </si>
  <si>
    <t>109,441</t>
  </si>
  <si>
    <t>-9,898</t>
  </si>
  <si>
    <t>99,543*1,8 'Přepočtené koeficientem množství</t>
  </si>
  <si>
    <t>-24,075</t>
  </si>
  <si>
    <t>-5,35-2,175</t>
  </si>
  <si>
    <t>-1,447</t>
  </si>
  <si>
    <t>"OP šachet DN4205" -3,14*0,21*0,21*2,2*6</t>
  </si>
  <si>
    <t>"OP šachet DN600" -3,14*0,5*0,5*2,2*7</t>
  </si>
  <si>
    <t>52,875*(0,45-0,05)</t>
  </si>
  <si>
    <t>82,022</t>
  </si>
  <si>
    <t>82,022-8,293</t>
  </si>
  <si>
    <t>73,729*2 'Přepočtené koeficientem množství</t>
  </si>
  <si>
    <t>"DN150" 53,5*1*0,45</t>
  </si>
  <si>
    <t>24,075*2 'Přepočtené koeficientem množství</t>
  </si>
  <si>
    <t>147,458+48,15</t>
  </si>
  <si>
    <t>53,5</t>
  </si>
  <si>
    <t>"DN150" 53,5*1*0,1</t>
  </si>
  <si>
    <t>1,5*1,5*0,1*7</t>
  </si>
  <si>
    <t>1,1*1,1*0,1*7</t>
  </si>
  <si>
    <t>52,875</t>
  </si>
  <si>
    <t>10*1</t>
  </si>
  <si>
    <t>12*2</t>
  </si>
  <si>
    <t>"kamenivo" 30,668+30,668</t>
  </si>
  <si>
    <t>"asfalt" 5,182</t>
  </si>
  <si>
    <t>66,518*14 'Přepočtené koeficientem množství</t>
  </si>
  <si>
    <t>210,112-195,608</t>
  </si>
  <si>
    <t>00005 - DSO 01.1.1e Kanalizační odbočení Stoky A4</t>
  </si>
  <si>
    <t>39*1*0,9</t>
  </si>
  <si>
    <t>"DN150" 39*3*0,1</t>
  </si>
  <si>
    <t>"DN150" 39*1*(2,2-0,45)*0,9</t>
  </si>
  <si>
    <t>"DN150" 39*1*(2,2-0,1)*0,1</t>
  </si>
  <si>
    <t>69,615*0,5</t>
  </si>
  <si>
    <t>(34,808+34,808)*0,2</t>
  </si>
  <si>
    <t>"DN150" 39*2,2*2</t>
  </si>
  <si>
    <t>34,808+34,808</t>
  </si>
  <si>
    <t>11,7*0,1</t>
  </si>
  <si>
    <t>70,786*5 'Přepočtené koeficientem množství</t>
  </si>
  <si>
    <t>7,215*5 'Přepočtené koeficientem množství</t>
  </si>
  <si>
    <t>"DN150" 39*1*(2,2-0,1-0,45-0,1)*0,1</t>
  </si>
  <si>
    <t>"DN150" 39*1</t>
  </si>
  <si>
    <t>70,786</t>
  </si>
  <si>
    <t>-7,215</t>
  </si>
  <si>
    <t>63,571*1,8 'Přepočtené koeficientem množství</t>
  </si>
  <si>
    <t>-17,55</t>
  </si>
  <si>
    <t>-3,9-1,1</t>
  </si>
  <si>
    <t>-1,1</t>
  </si>
  <si>
    <t>"OP šachet DN425" -3,14*0,21*0,21*2,2*11</t>
  </si>
  <si>
    <t>35,1*(0,45-0,05)</t>
  </si>
  <si>
    <t>56,655</t>
  </si>
  <si>
    <t>56,655-6,045</t>
  </si>
  <si>
    <t>50,61*2 'Přepočtené koeficientem množství</t>
  </si>
  <si>
    <t>"DN150" 39*1*0,45</t>
  </si>
  <si>
    <t>17,55*2 'Přepočtené koeficientem množství</t>
  </si>
  <si>
    <t>101,22+35,1</t>
  </si>
  <si>
    <t>"DN150" 39*1*0,1</t>
  </si>
  <si>
    <t>1*1*0,1*11</t>
  </si>
  <si>
    <t>35,1</t>
  </si>
  <si>
    <t>8*1</t>
  </si>
  <si>
    <t>11*2</t>
  </si>
  <si>
    <t>"kamenivo" 20,358+20,358</t>
  </si>
  <si>
    <t>"asfalt" 3,44</t>
  </si>
  <si>
    <t>44,156*14 'Přepočtené koeficientem množství</t>
  </si>
  <si>
    <t>146,027-136,32</t>
  </si>
  <si>
    <t>00006 - DSO 01.1.1f Kanalizační odbočení Stoky A4a</t>
  </si>
  <si>
    <t>10,7*1*0,9</t>
  </si>
  <si>
    <t>"DN150" 10,7*3*0,1</t>
  </si>
  <si>
    <t>"DN150" 10,7*1*(2,2-0,45)*0,9</t>
  </si>
  <si>
    <t>"DN150" 10,7*1*(2,2-0,1)*0,1</t>
  </si>
  <si>
    <t>19,1*0,5</t>
  </si>
  <si>
    <t>(9,55+9,55)*0,2</t>
  </si>
  <si>
    <t>"DN150" 10,7*2,2*2</t>
  </si>
  <si>
    <t>9,55+9,55</t>
  </si>
  <si>
    <t>3,21*0,1</t>
  </si>
  <si>
    <t>19,421*5 'Přepočtené koeficientem množství</t>
  </si>
  <si>
    <t>1,98*5 'Přepočtené koeficientem množství</t>
  </si>
  <si>
    <t>"DN150" 10,7*1*(2,2-0,1-0,45-0,1)*0,1</t>
  </si>
  <si>
    <t>"DN150" 10,7*1</t>
  </si>
  <si>
    <t>19,421</t>
  </si>
  <si>
    <t>-1,98</t>
  </si>
  <si>
    <t>17,441*1,8 'Přepočtené koeficientem množství</t>
  </si>
  <si>
    <t>-4,815</t>
  </si>
  <si>
    <t>-1,07-0,3</t>
  </si>
  <si>
    <t>-0,3</t>
  </si>
  <si>
    <t>"OP šachet DN425" -3,14*0,21*0,21*2,2*3</t>
  </si>
  <si>
    <t>9,63*(0,45-0,05)</t>
  </si>
  <si>
    <t>15,553</t>
  </si>
  <si>
    <t>15,553-1,659</t>
  </si>
  <si>
    <t>13,894*2 'Přepočtené koeficientem množství</t>
  </si>
  <si>
    <t>"DN150" 10,7*1*0,45</t>
  </si>
  <si>
    <t>4,815*2 'Přepočtené koeficientem množství</t>
  </si>
  <si>
    <t>27,788+9,63</t>
  </si>
  <si>
    <t>10,7</t>
  </si>
  <si>
    <t>"DN150" 10,7*1*0,1</t>
  </si>
  <si>
    <t>1*1*0,1*3</t>
  </si>
  <si>
    <t>9,63</t>
  </si>
  <si>
    <t>"kamenivo" 5,585+5,585</t>
  </si>
  <si>
    <t>"asfalt" 0,945</t>
  </si>
  <si>
    <t>12,115*14 'Přepočtené koeficientem množství</t>
  </si>
  <si>
    <t>40,08-37,418</t>
  </si>
  <si>
    <t>00007 - DSO 01.1.1g Kanalizační odbočení Stoky A4b</t>
  </si>
  <si>
    <t>12,5*1*0,9</t>
  </si>
  <si>
    <t>"DN150" 12,5*3*0,1</t>
  </si>
  <si>
    <t>"DN150" 12,5*1*(2,2-0,45)*0,9</t>
  </si>
  <si>
    <t>"DN150" 12,5*1*(2,2-0,1)*0,1</t>
  </si>
  <si>
    <t>22,313*0,5</t>
  </si>
  <si>
    <t>(11,157+11,157)*0,2</t>
  </si>
  <si>
    <t>"DN150" 12,5*2,2*2</t>
  </si>
  <si>
    <t>11,157+11,157</t>
  </si>
  <si>
    <t>3,75*0,1</t>
  </si>
  <si>
    <t>22,689*5 'Přepočtené koeficientem množství</t>
  </si>
  <si>
    <t>2,313*5 'Přepočtené koeficientem množství</t>
  </si>
  <si>
    <t>"DN150" 12,5*1*(2,2-0,1-0,45-0,1)*0,1</t>
  </si>
  <si>
    <t>"DN150" 12,5*1</t>
  </si>
  <si>
    <t>22,689</t>
  </si>
  <si>
    <t>-2,313</t>
  </si>
  <si>
    <t>20,376*1,8 'Přepočtené koeficientem množství</t>
  </si>
  <si>
    <t>-5,625</t>
  </si>
  <si>
    <t>-1,25-0,4</t>
  </si>
  <si>
    <t>-0,4</t>
  </si>
  <si>
    <t>"OP šachet DN425" -3,14*0,21*0,21*2,2*4</t>
  </si>
  <si>
    <t>11,25*(0,45-0,05)</t>
  </si>
  <si>
    <t>17,92</t>
  </si>
  <si>
    <t>17,92-1,938</t>
  </si>
  <si>
    <t>15,982*2 'Přepočtené koeficientem množství</t>
  </si>
  <si>
    <t>"DN150" 12,5*1*0,45</t>
  </si>
  <si>
    <t>5,625*2 'Přepočtené koeficientem množství</t>
  </si>
  <si>
    <t>31,964+11,25</t>
  </si>
  <si>
    <t>12,5</t>
  </si>
  <si>
    <t>"DN150" 12,5*1*0,1</t>
  </si>
  <si>
    <t>1*1*0,1*4</t>
  </si>
  <si>
    <t>11,25</t>
  </si>
  <si>
    <t>4*2</t>
  </si>
  <si>
    <t>"kamenivo" 6,525+6,525</t>
  </si>
  <si>
    <t>"asfalt" 1,103</t>
  </si>
  <si>
    <t>14,153*14 'Přepočtené koeficientem množství</t>
  </si>
  <si>
    <t>46,387-43,214</t>
  </si>
  <si>
    <t>00001 - DSO 01.3a Stoka D</t>
  </si>
  <si>
    <t>Poznámka k položce:_x000D_
viz TZ př. č. D.1.1.01.1, situace C3  a v.č. D.1.1.01.2 až 11, v.č. D.1.1.01.3.1 podélný profil</t>
  </si>
  <si>
    <t>"PVC DN200" 1,5*1</t>
  </si>
  <si>
    <t>"PVC DN250" 1562*1,05</t>
  </si>
  <si>
    <t>"SKLL DN250" 40*1,05</t>
  </si>
  <si>
    <t>"rozšíření pro šachty DN1000" 2,7*2,7*49-2,7*1,05*49</t>
  </si>
  <si>
    <t>"PVC DN400" 15,5*1,2</t>
  </si>
  <si>
    <t>"SKLL DN400" 50*1,2</t>
  </si>
  <si>
    <t>"rozšíření pro šachty DN1000" 2,7*2,7*3-2,7*1,2*3</t>
  </si>
  <si>
    <t>"PVC DN200" 1,5*4</t>
  </si>
  <si>
    <t>"PVC DN250" 1562*4</t>
  </si>
  <si>
    <t>"PVC DN400" 15,5*4</t>
  </si>
  <si>
    <t>"SKLL DN250" 40*4</t>
  </si>
  <si>
    <t>"SKLL DN400" 50*4</t>
  </si>
  <si>
    <t>-1598016157</t>
  </si>
  <si>
    <t>1,05*17</t>
  </si>
  <si>
    <t>1,2*1</t>
  </si>
  <si>
    <t>Poznámka k položce:_x000D_
viz TZ př. č. D.1.1.01.1, situace C3  a v.č. D.1.1.01.2 až 11, v.č. D.1.1.01.3.1 podélný profil_x000D_
50% hor.tř. II a 50% hor.tř.III</t>
  </si>
  <si>
    <t>"PVC DN200" 1,5*1*(3,2-0,45)</t>
  </si>
  <si>
    <t>"PVC DN250" 1562*1,05*(3,2-0,45)</t>
  </si>
  <si>
    <t>"SKLL DN250" 40*1,05*(3,2-0,45)</t>
  </si>
  <si>
    <t>"rozšíření pro šachty DN1000" 2,7*2,7*(3,4-0,45)*49-2,7*1,05*(3,2-0,45)*49</t>
  </si>
  <si>
    <t>"rozšíření pro šachty DN600" 1,5*1,5*(3,4-0,45)*3-1,5*1,05*(3,2-0,45)*3</t>
  </si>
  <si>
    <t>"PVC DN400" 15,5*1,2*(3,2-0,45)</t>
  </si>
  <si>
    <t>"SKLL DN400" 50*1,2*(3,2-0,45)</t>
  </si>
  <si>
    <t>"rozšíření pro šachty DN1000" 2,7*2,7*(3,4-0,45)*3-2,7*1,2*(3,4-0,45)*3</t>
  </si>
  <si>
    <t>5560,565*0,5</t>
  </si>
  <si>
    <t>(2780,283+2780,283)*0,2</t>
  </si>
  <si>
    <t>"PVC DN200" 1,5*3,2*2</t>
  </si>
  <si>
    <t>"PVC DN250" 1562*3,2*2</t>
  </si>
  <si>
    <t>"PVC DN400" 15,5*3,2*2</t>
  </si>
  <si>
    <t>"SKLL DN250" 40*3,2*2</t>
  </si>
  <si>
    <t>"SKLL DN400" 50*3,2*2</t>
  </si>
  <si>
    <t>výkop rýh</t>
  </si>
  <si>
    <t>2780,283+2780,283</t>
  </si>
  <si>
    <t>5560,566*5 'Přepočtené koeficientem množství</t>
  </si>
  <si>
    <t>5560,566*1,8 'Přepočtené koeficientem množství</t>
  </si>
  <si>
    <t>-980,925</t>
  </si>
  <si>
    <t>-176,22-33,175</t>
  </si>
  <si>
    <t>-18,225</t>
  </si>
  <si>
    <t>"OP šachet DN1000" -3,14*0,62*0,62*3,2*52</t>
  </si>
  <si>
    <t>"OP šachet DN600" -3,14*0,3*0,3*3,2*3</t>
  </si>
  <si>
    <t>1994,67*(0,45-0,05)</t>
  </si>
  <si>
    <t>4946,329*2 'Přepočtené koeficientem množství</t>
  </si>
  <si>
    <t>"PVC DN200" 1,5*1*0,5</t>
  </si>
  <si>
    <t>"PVC DN250" 1562*1,05*0,55</t>
  </si>
  <si>
    <t>"PVC DN400" 15,5*1,2*0,7</t>
  </si>
  <si>
    <t>"SKLL DN250" 40*1,05*0,55</t>
  </si>
  <si>
    <t>"SKLL DN400" 50*1,2*0,7</t>
  </si>
  <si>
    <t>980,925*2 'Přepočtené koeficientem množství</t>
  </si>
  <si>
    <t>9892,658+1961,85</t>
  </si>
  <si>
    <t>1,5+1562+15,5+40+50</t>
  </si>
  <si>
    <t>"PVC DN200" 1,5*1*0,1</t>
  </si>
  <si>
    <t>"PVC DN250" 1562*1,05*0,1</t>
  </si>
  <si>
    <t>"PVC DN400" 15,5*1,2*0,1</t>
  </si>
  <si>
    <t>"SKLL DN250" 40*1,05*0,1</t>
  </si>
  <si>
    <t>"SKLL DN400" 50*1,2*0,1</t>
  </si>
  <si>
    <t>2,5*2,5*0,1*52</t>
  </si>
  <si>
    <t>2+15+23+34</t>
  </si>
  <si>
    <t>30788075</t>
  </si>
  <si>
    <t>200056260</t>
  </si>
  <si>
    <t>559935418</t>
  </si>
  <si>
    <t>1,5*1,5*0,15*52</t>
  </si>
  <si>
    <t>1994,67</t>
  </si>
  <si>
    <t>6676</t>
  </si>
  <si>
    <t>1,5</t>
  </si>
  <si>
    <t>871362111</t>
  </si>
  <si>
    <t>Montáž kanalizačního potrubí z laminátových trub DN 250 se spojkami v otevřeném výkopu</t>
  </si>
  <si>
    <t>791531340</t>
  </si>
  <si>
    <t>Montáž kanalizačního potrubí z laminátových trub v otevřeném výkopu spojované spojkami DN 250</t>
  </si>
  <si>
    <t>"stoka D" 40</t>
  </si>
  <si>
    <t>28641261</t>
  </si>
  <si>
    <t>roury z odstředivě litého laminátu  PN 1 SN 10000 se spojkou DN 250</t>
  </si>
  <si>
    <t>1660361484</t>
  </si>
  <si>
    <t>40*1,05 'Přepočtené koeficientem množství</t>
  </si>
  <si>
    <t>"stoka D" 1562</t>
  </si>
  <si>
    <t>871392111</t>
  </si>
  <si>
    <t>Montáž kanalizačního potrubí z laminátových trub DN 400 se spojkami v otevřeném výkopu</t>
  </si>
  <si>
    <t>1115830149</t>
  </si>
  <si>
    <t>Montáž kanalizačního potrubí z laminátových trub v otevřeném výkopu spojované spojkami DN 400</t>
  </si>
  <si>
    <t>28641264</t>
  </si>
  <si>
    <t>roury z odstředivě litého laminátu  PN 1 SN 10000 se spojkou DN 400</t>
  </si>
  <si>
    <t>1800123820</t>
  </si>
  <si>
    <t>50*1,05 'Přepočtené koeficientem množství</t>
  </si>
  <si>
    <t>871395241</t>
  </si>
  <si>
    <t>Kanalizační potrubí z tvrdého PVC vícevrstvé tuhost třídy SN12 DN 400</t>
  </si>
  <si>
    <t>-1406733233</t>
  </si>
  <si>
    <t>Kanalizační potrubí z tvrdého PVC v otevřeném výkopu ve sklonu do 20 %, hladkého plnostěnného vícevrstvého, tuhost třídy SN 12 DN 400</t>
  </si>
  <si>
    <t>"stoka D" 15,5</t>
  </si>
  <si>
    <t>"dle výpisu přípojek D11.01.3.12" 45+2</t>
  </si>
  <si>
    <t>sedlová odbočka kanalizační pro sklolaminátové potrubí DN250/150/45°</t>
  </si>
  <si>
    <t>-282251083</t>
  </si>
  <si>
    <t>1,5+40+1562+50+15,5</t>
  </si>
  <si>
    <t>49+3</t>
  </si>
  <si>
    <t>1562+40</t>
  </si>
  <si>
    <t>892392121</t>
  </si>
  <si>
    <t>Tlaková zkouška potrubí DN 400 těsnícím vakem ucpávkovým</t>
  </si>
  <si>
    <t>1645836322</t>
  </si>
  <si>
    <t>Tlakové zkoušky těsnícími vaky ucpávkovými DN 400</t>
  </si>
  <si>
    <t>892421111</t>
  </si>
  <si>
    <t>Tlaková zkouška potrubí DN 400 nebo 500, vč. šachet</t>
  </si>
  <si>
    <t>1472755317</t>
  </si>
  <si>
    <t>Tlakové zkoušky vodou na potrubí DN 400 nebo 500</t>
  </si>
  <si>
    <t>15,5+50</t>
  </si>
  <si>
    <t>24+24+64</t>
  </si>
  <si>
    <t>921019820</t>
  </si>
  <si>
    <t>4+45+2+1</t>
  </si>
  <si>
    <t>-1458560974</t>
  </si>
  <si>
    <t>592,7-R</t>
  </si>
  <si>
    <t>dno betonové šachty prefabrikované kanalizační DN1000, 400-750, Žlábek ve dně prefabrikované šachty (kyneta) a nástupnice bude provedena z betonu do 1/2 profilu, nástupnice s protiskluzem R11 dle DIN 51 130</t>
  </si>
  <si>
    <t>161116620</t>
  </si>
  <si>
    <t>592,8-R</t>
  </si>
  <si>
    <t>dno betonové šachty prefabrikované kanalizační DN1000, 400-1100, Žlábek ve dně prefabrikované šachty (kyneta) a nástupnice bude provedena z betonu do 1/2 profilu, nástupnice s protiskluzem R11 dle DIN 51 130</t>
  </si>
  <si>
    <t>1795985745</t>
  </si>
  <si>
    <t>Revizní a čistící šachta z PP typ DN 600/250 šachtové dno průtočné</t>
  </si>
  <si>
    <t>-1604395609</t>
  </si>
  <si>
    <t>-417940808</t>
  </si>
  <si>
    <t>1911911349</t>
  </si>
  <si>
    <t>856830379</t>
  </si>
  <si>
    <t>78</t>
  </si>
  <si>
    <t>-283819106</t>
  </si>
  <si>
    <t>79</t>
  </si>
  <si>
    <t>896212000R</t>
  </si>
  <si>
    <t>Příplatek za provedení spadiště kanalizační z betonu kruhové boční dno beton tř. C 25/30 90° horní potrubí DN 250 nebo 300</t>
  </si>
  <si>
    <t>1177834185</t>
  </si>
  <si>
    <t>"D4" 1</t>
  </si>
  <si>
    <t>80</t>
  </si>
  <si>
    <t>-2004516926</t>
  </si>
  <si>
    <t>"D4, D23, D44, D47" 1,62+1,62+2,15+1,62</t>
  </si>
  <si>
    <t>"ČS 8" 1</t>
  </si>
  <si>
    <t>82</t>
  </si>
  <si>
    <t>"D1" 1</t>
  </si>
  <si>
    <t>83</t>
  </si>
  <si>
    <t>51+1</t>
  </si>
  <si>
    <t>84</t>
  </si>
  <si>
    <t>85</t>
  </si>
  <si>
    <t>86</t>
  </si>
  <si>
    <t>87</t>
  </si>
  <si>
    <t>88</t>
  </si>
  <si>
    <t>"kamenivo" 1156,909+1156,909</t>
  </si>
  <si>
    <t>"asfalt" 195,478+767,739</t>
  </si>
  <si>
    <t>89</t>
  </si>
  <si>
    <t>3277,035*14 'Přepočtené koeficientem množství</t>
  </si>
  <si>
    <t>90</t>
  </si>
  <si>
    <t>91</t>
  </si>
  <si>
    <t>92</t>
  </si>
  <si>
    <t>93</t>
  </si>
  <si>
    <t>12499,42-11854,508</t>
  </si>
  <si>
    <t>00002 - DSO 01.3b Stoka DA</t>
  </si>
  <si>
    <t>Poznámka k položce:_x000D_
viz TZ př. č. D.1.1.01.1, situace C3  a v.č. D.1.1.01.2 až 11, v.č. D.1.1.01.3.2 podélný profil</t>
  </si>
  <si>
    <t>105*1,05</t>
  </si>
  <si>
    <t>105*4</t>
  </si>
  <si>
    <t>Poznámka k položce:_x000D_
viz TZ př. č. D.1.1.01.1, situace C3  a v.č. D.1.1.01.2 až 11, v.č. D.1.1.01.3.2 podélný profil_x000D_
50% hor.tř. II a 50% hor.tř.III</t>
  </si>
  <si>
    <t>"DN250" 105*1,05*(2,7-0,45)</t>
  </si>
  <si>
    <t>"rozšíření pro šachty DN1000" 2,7*2,7*(2,9-0,45)*3-2,7*1,05*(2,7-0,45)*3</t>
  </si>
  <si>
    <t>282,508*0,5</t>
  </si>
  <si>
    <t>(141,254+141,254)*0,2</t>
  </si>
  <si>
    <t>"DN250" 105*3,3*2</t>
  </si>
  <si>
    <t>141,254+141,254</t>
  </si>
  <si>
    <t>282,508*5 'Přepočtené koeficientem množství</t>
  </si>
  <si>
    <t>"DN250" 105*1,05</t>
  </si>
  <si>
    <t>282,508*1,8 'Přepočtené koeficientem množství</t>
  </si>
  <si>
    <t>-60,638</t>
  </si>
  <si>
    <t>-11,025-1,875</t>
  </si>
  <si>
    <t>"OP šachet DN1000" -3,14*0,62*0,62*2,7*3</t>
  </si>
  <si>
    <t>123,615*(0,45-0,05)</t>
  </si>
  <si>
    <t>247,626*2 'Přepočtené koeficientem množství</t>
  </si>
  <si>
    <t>"DN250" 105*1,05*0,55</t>
  </si>
  <si>
    <t>60,638*2 'Přepočtené koeficientem množství</t>
  </si>
  <si>
    <t>495,252+121,276</t>
  </si>
  <si>
    <t>105</t>
  </si>
  <si>
    <t>"DN250" 105*1,05*0,1</t>
  </si>
  <si>
    <t>-941658311</t>
  </si>
  <si>
    <t>1801979289</t>
  </si>
  <si>
    <t>123,615</t>
  </si>
  <si>
    <t>420</t>
  </si>
  <si>
    <t>"stoka DA" 105</t>
  </si>
  <si>
    <t>"dle výpisu přípojek D11.01.3.12" 4</t>
  </si>
  <si>
    <t>-55544378</t>
  </si>
  <si>
    <t>-593575787</t>
  </si>
  <si>
    <t>"DA3" 1,62</t>
  </si>
  <si>
    <t>"kamenivo" 71,697+71,697</t>
  </si>
  <si>
    <t>"asfalt" 12,114+48,3</t>
  </si>
  <si>
    <t>203,808*14 'Přepočtené koeficientem množství</t>
  </si>
  <si>
    <t>659,775-616,528</t>
  </si>
  <si>
    <t>00007 - DSO 01.3g Stoka D3</t>
  </si>
  <si>
    <t>Poznámka k položce:_x000D_
viz TZ př. č. D.1.1.01.1, situace C3  a v.č. D.1.1.01.2 až 11, v.č. D.1.1.01.3.7 podélný profil</t>
  </si>
  <si>
    <t>"PVC DN200" 2*1</t>
  </si>
  <si>
    <t>"PVC DN250" 180*1,05</t>
  </si>
  <si>
    <t>"rozšíření pro šachty DN600" 1,5*1,5*4-1,5*1,05*4</t>
  </si>
  <si>
    <t>"PVC DN200" 2*4</t>
  </si>
  <si>
    <t>"PVC DN250" 180*4</t>
  </si>
  <si>
    <t>Poznámka k položce:_x000D_
viz TZ př. č. D.1.1.01.1, situace C3  a v.č. D.1.1.01.2 až 11, v.č. D.1.1.01.3.7 podélný profil_x000D_
50% hor.tř. II a 50% hor.tř.III</t>
  </si>
  <si>
    <t>"PVC DN200" 2*1*(2,8-0,45)</t>
  </si>
  <si>
    <t>"PVC DN250" 180*1,05*(2,8-0,45)</t>
  </si>
  <si>
    <t>"rozšíření pro šachty DN1000" 2,7*2,7*(3-0,45)*2-2,7*1,05*(2,8-0,45)*2</t>
  </si>
  <si>
    <t>"rozšíření pro šachty DN600" 1,5*1,5*(3-0,45)*4-1,5*1,05*(2,8-0,45)*4</t>
  </si>
  <si>
    <t>480,85*0,5</t>
  </si>
  <si>
    <t>(240,425+240,425)*0,2</t>
  </si>
  <si>
    <t>"PVC DN200" 2*2,8*2</t>
  </si>
  <si>
    <t>"PVC DN250" 180*2,8*2</t>
  </si>
  <si>
    <t>240,425+240,425</t>
  </si>
  <si>
    <t>480,85*5 'Přepočtené koeficientem množství</t>
  </si>
  <si>
    <t>480,85*1,8 'Přepočtené koeficientem množství</t>
  </si>
  <si>
    <t>-104,95</t>
  </si>
  <si>
    <t>-19,1-2,15</t>
  </si>
  <si>
    <t>-1,575</t>
  </si>
  <si>
    <t>"OP šachet DN1000" -3,14*0,62*0,62*2,8*2</t>
  </si>
  <si>
    <t>"OP šachet DN600" -3,14*0,3*0,3*2,8*4</t>
  </si>
  <si>
    <t>202,61*(0,45-0,05)</t>
  </si>
  <si>
    <t>424,195*2 'Přepočtené koeficientem množství</t>
  </si>
  <si>
    <t>"PVC DN200" 2*1*0,5</t>
  </si>
  <si>
    <t>"PVC DN250" 180*1,05*0,55</t>
  </si>
  <si>
    <t>104,95*2 'Přepočtené koeficientem množství</t>
  </si>
  <si>
    <t>848,39+209,9</t>
  </si>
  <si>
    <t>2+180</t>
  </si>
  <si>
    <t>"PVC DN200" 2*1*0,1</t>
  </si>
  <si>
    <t>"PVC DN250" 180*1,05*0,1</t>
  </si>
  <si>
    <t>1,5*1,5*0,1*4</t>
  </si>
  <si>
    <t>202,61</t>
  </si>
  <si>
    <t>728</t>
  </si>
  <si>
    <t>"stoka D3" 180</t>
  </si>
  <si>
    <t>"dle výpisu přípojek D11.01.3.12" 13</t>
  </si>
  <si>
    <t>2+4</t>
  </si>
  <si>
    <t>592,10-R</t>
  </si>
  <si>
    <t>616975608</t>
  </si>
  <si>
    <t>408814025</t>
  </si>
  <si>
    <t>"ČS 5" 1</t>
  </si>
  <si>
    <t>"D3-1" 1</t>
  </si>
  <si>
    <t>"kamenivo" 117,514+117,514</t>
  </si>
  <si>
    <t>"asfalt" 19,856+83,719</t>
  </si>
  <si>
    <t>338,603*14 'Přepočtené koeficientem množství</t>
  </si>
  <si>
    <t>1108,476-1058,29</t>
  </si>
  <si>
    <t>00001 - DSO 01.3.1a Kanalizační odbočení Stoky D</t>
  </si>
  <si>
    <t>Poznámka k položce:_x000D_
viz TZ př. č. D.1.1.01.12, situace C3  a v.č. D.1.1.01.13 až 19, výpis přípojek D.1.1.01.3.12</t>
  </si>
  <si>
    <t>150,1*1</t>
  </si>
  <si>
    <t>"rozšíření pro šachty DN600" 1,5*1,5*20-1,5*1*20</t>
  </si>
  <si>
    <t>165,1*0,9</t>
  </si>
  <si>
    <t>"DN150" 150,1*3*0,1</t>
  </si>
  <si>
    <t>Poznámka k položce:_x000D_
viz TZ př. č. D.1.1.01.12, situace C3  a v.č. D.1.1.01.13 až 19, výpis přípojek D.1.1.01.3.12_x000D_
50% hor.tř. II a 50% hor.tř.III</t>
  </si>
  <si>
    <t>"DN150" 150,1*1*(2,2-0,45)*0,9</t>
  </si>
  <si>
    <t>"rozšíření pro šachty DN600" 1,5*1,5*(2,4-0,45)*20-1,5*1*(2,2-0,45)*20</t>
  </si>
  <si>
    <t>"DN150" 150,1*1*(2,2-0,1)*0,1</t>
  </si>
  <si>
    <t>303,179*0,5</t>
  </si>
  <si>
    <t>(151,59+151,59)*0,2</t>
  </si>
  <si>
    <t>"DN150" 150,1*2,2*2</t>
  </si>
  <si>
    <t>151,59+151,59</t>
  </si>
  <si>
    <t>45,03*0,1</t>
  </si>
  <si>
    <t>307,683*5 'Přepočtené koeficientem množství</t>
  </si>
  <si>
    <t>27,769*5 'Přepočtené koeficientem množství</t>
  </si>
  <si>
    <t>"DN150" 150,1*1*(2,2-0,1-0,45-0,1)*0,1</t>
  </si>
  <si>
    <t>"DN150" 150,1*1</t>
  </si>
  <si>
    <t>307,683</t>
  </si>
  <si>
    <t>-27,769</t>
  </si>
  <si>
    <t>279,914*1,8 'Přepočtené koeficientem množství</t>
  </si>
  <si>
    <t>-67,545</t>
  </si>
  <si>
    <t>-15,01-7,5</t>
  </si>
  <si>
    <t>-5,42</t>
  </si>
  <si>
    <t>"OP šachet DN425" -3,14*0,21*0,21*2,2*30</t>
  </si>
  <si>
    <t>"OP šachet DN600" -3,14*0,5*0,5*2,2*20</t>
  </si>
  <si>
    <t>148,59*(0,45-0,05)</t>
  </si>
  <si>
    <t>223,462</t>
  </si>
  <si>
    <t>223,462-23,266</t>
  </si>
  <si>
    <t>200,196*2 'Přepočtené koeficientem množství</t>
  </si>
  <si>
    <t>"DN150" 150,1*1*0,45</t>
  </si>
  <si>
    <t>67,545*2 'Přepočtené koeficientem množství</t>
  </si>
  <si>
    <t>400,392+135,09</t>
  </si>
  <si>
    <t>150,1</t>
  </si>
  <si>
    <t>"DN150" 150,1*1*0,1</t>
  </si>
  <si>
    <t>1*1*0,1*30</t>
  </si>
  <si>
    <t>1,5*1,5*0,1*20</t>
  </si>
  <si>
    <t>1,1*1,1*0,1*20</t>
  </si>
  <si>
    <t>148,59</t>
  </si>
  <si>
    <t>45*1+2*1</t>
  </si>
  <si>
    <t>50*2</t>
  </si>
  <si>
    <t>Poznámka k položce:_x000D_
viz TZ př. č. D.1.1.01.12, situace C3  a v.č. D.1.1.01.13 až 20, výpis přípojek D.1.1.01.3.12</t>
  </si>
  <si>
    <t>(6+4)*1</t>
  </si>
  <si>
    <t>"kamenivo" 86,182+86,182</t>
  </si>
  <si>
    <t>"asfalt" 14,562</t>
  </si>
  <si>
    <t>186,926*14 'Přepočtené koeficientem množství</t>
  </si>
  <si>
    <t>578,046-535,482</t>
  </si>
  <si>
    <t>00002 - DSO 01.3.1b Kanalizační odbočení Stoky DA</t>
  </si>
  <si>
    <t>25,4*1*0,9</t>
  </si>
  <si>
    <t>"DN150" 25,4*3*0,1</t>
  </si>
  <si>
    <t>"DN150" 25,4*1*(2,2-0,45)*0,9</t>
  </si>
  <si>
    <t>"DN150" 25,4*1*(2,2-0,1)*0,1</t>
  </si>
  <si>
    <t>45,339*0,5</t>
  </si>
  <si>
    <t>(22,67+22,67)*0,2</t>
  </si>
  <si>
    <t>"DN150" 25,4*2,2*2</t>
  </si>
  <si>
    <t>22,67+22,67</t>
  </si>
  <si>
    <t>7,62*0,1</t>
  </si>
  <si>
    <t>46,102*5 'Přepočtené koeficientem množství</t>
  </si>
  <si>
    <t>4,699*5 'Přepočtené koeficientem množství</t>
  </si>
  <si>
    <t>"DN150" 25,4*1*(2,2-0,1-0,45-0,1)*0,1</t>
  </si>
  <si>
    <t>"DN150" 25,4*1</t>
  </si>
  <si>
    <t>46,102</t>
  </si>
  <si>
    <t>-4,699</t>
  </si>
  <si>
    <t>41,403*1,8 'Přepočtené koeficientem množství</t>
  </si>
  <si>
    <t>-11,43</t>
  </si>
  <si>
    <t>-2,54-0,5</t>
  </si>
  <si>
    <t>-0,5</t>
  </si>
  <si>
    <t>"OP šachet DN425" -3,14*0,21*0,21*2,2*5</t>
  </si>
  <si>
    <t>22,67*(0,45-0,05)</t>
  </si>
  <si>
    <t>39,915</t>
  </si>
  <si>
    <t>39,915-3,937</t>
  </si>
  <si>
    <t>35,978*2 'Přepočtené koeficientem množství</t>
  </si>
  <si>
    <t>"DN150" 25,4*1*0,45</t>
  </si>
  <si>
    <t>11,43*2 'Přepočtené koeficientem množství</t>
  </si>
  <si>
    <t>71,956+22,86</t>
  </si>
  <si>
    <t>25,4</t>
  </si>
  <si>
    <t>"DN150" 25,4*1*0,1</t>
  </si>
  <si>
    <t>1*1*0,1*5</t>
  </si>
  <si>
    <t>22,86</t>
  </si>
  <si>
    <t>1*2</t>
  </si>
  <si>
    <t>5*2</t>
  </si>
  <si>
    <t>"kamenivo" 13,259+13,259</t>
  </si>
  <si>
    <t>"asfalt" 2,24</t>
  </si>
  <si>
    <t>28,758*14 'Přepočtené koeficientem množství</t>
  </si>
  <si>
    <t>100,838-94,816</t>
  </si>
  <si>
    <t>00007 - DSO 01.3.1g Kanalizační odbočení Stoky D3</t>
  </si>
  <si>
    <t>31,6*1</t>
  </si>
  <si>
    <t>"rozšíření pro šachty DN600" 1,5*1,5*4-1,5*1*4</t>
  </si>
  <si>
    <t>34,6*0,9</t>
  </si>
  <si>
    <t>"DN150" 31,6*3*0,1</t>
  </si>
  <si>
    <t>"DN150" 31,6*1*(2,2-0,45)*0,9</t>
  </si>
  <si>
    <t>"rozšíření pro šachty DN600" 1,5*1,5*(2,4-0,45)*4-1,5*1*(2,2-0,45)*4</t>
  </si>
  <si>
    <t>"DN150" 31,6*1*(2,2-0,1)*0,1</t>
  </si>
  <si>
    <t>63,456*0,5</t>
  </si>
  <si>
    <t>(31,728+31,728)*0,2</t>
  </si>
  <si>
    <t>"DN150" 31,6*2,2*2</t>
  </si>
  <si>
    <t>31,728+31,728</t>
  </si>
  <si>
    <t>9,84*0,1</t>
  </si>
  <si>
    <t>64,44*5 'Přepočtené koeficientem množství</t>
  </si>
  <si>
    <t>4,898*5 'Přepočtené koeficientem množství</t>
  </si>
  <si>
    <t>,948*0,1</t>
  </si>
  <si>
    <t>"DN150" 31,6*1*(2,2-0,1-0,45-0,1)*0,1</t>
  </si>
  <si>
    <t>"DN150" 31,6*1</t>
  </si>
  <si>
    <t>64,44</t>
  </si>
  <si>
    <t>-4,898</t>
  </si>
  <si>
    <t>59,542*1,8 'Přepočtené koeficientem množství</t>
  </si>
  <si>
    <t>-14,22</t>
  </si>
  <si>
    <t>-3,16-1,8</t>
  </si>
  <si>
    <t>-1,384</t>
  </si>
  <si>
    <t>"OP šachet DN425" -3,14*0,21*0,21*2,2*9</t>
  </si>
  <si>
    <t>"OP šachet DN600" -3,14*0,5*0,5*2,2*4</t>
  </si>
  <si>
    <t>31,14*(0,45-0,05)</t>
  </si>
  <si>
    <t>45,698</t>
  </si>
  <si>
    <t>45,698-4,898</t>
  </si>
  <si>
    <t>40,8*2 'Přepočtené koeficientem množství</t>
  </si>
  <si>
    <t>"DN150" 31,6*1*0,45</t>
  </si>
  <si>
    <t>14,22*2 'Přepočtené koeficientem množství</t>
  </si>
  <si>
    <t>81,6+28,44</t>
  </si>
  <si>
    <t>31,6</t>
  </si>
  <si>
    <t>"DN150" 31,6*1*0,1</t>
  </si>
  <si>
    <t>1*1*0,1*9</t>
  </si>
  <si>
    <t>1,1*1,1*0,1*4</t>
  </si>
  <si>
    <t>31,14</t>
  </si>
  <si>
    <t>13*1</t>
  </si>
  <si>
    <t>13*2</t>
  </si>
  <si>
    <t>2*1</t>
  </si>
  <si>
    <t>"kamenivo" 18,061+18,061</t>
  </si>
  <si>
    <t>"asfalt" 3,052</t>
  </si>
  <si>
    <t>39,174*14 'Přepočtené koeficientem množství</t>
  </si>
  <si>
    <t>119,284-110,04</t>
  </si>
  <si>
    <t>002 - SO 02 Čerpací stanice ČS1</t>
  </si>
  <si>
    <t>Úroveň 3:</t>
  </si>
  <si>
    <t>0001 - DSO 02.1 Čerpací stanice ČS1 - stavební část</t>
  </si>
  <si>
    <t>687277252</t>
  </si>
  <si>
    <t>-1250468863</t>
  </si>
  <si>
    <t>-1461781136</t>
  </si>
  <si>
    <t>Poznámka k položce:_x000D_
viz TZ př. č. D.1.1.02.1, situace  a v.č. D.1.1.02.1.1 v.č. D.1.2.2</t>
  </si>
  <si>
    <t>jáma výkop</t>
  </si>
  <si>
    <t>4,9*4,9</t>
  </si>
  <si>
    <t>-30076274</t>
  </si>
  <si>
    <t>5*5</t>
  </si>
  <si>
    <t>115,4-R</t>
  </si>
  <si>
    <t>Dodávka + montáž čerpací studny beton. trouba DN 800, vč. pomocných zemních prací</t>
  </si>
  <si>
    <t>-1770272992</t>
  </si>
  <si>
    <t>115,5-R</t>
  </si>
  <si>
    <t>Provedení hydrovrtu DN250-DN300, vč, vystrojení zárubnící PP DN150-200, 15% preforovaná + filtrační obal, výplň mezikruží tříděným štěrkem 4-8mm, vč. následného odstranění</t>
  </si>
  <si>
    <t>-1543011595</t>
  </si>
  <si>
    <t>8*2</t>
  </si>
  <si>
    <t>115101202</t>
  </si>
  <si>
    <t>Čerpání vody na dopravní výšku do 10 m průměrný přítok do 1000 l/min</t>
  </si>
  <si>
    <t>-806462911</t>
  </si>
  <si>
    <t>Čerpání vody na dopravní výšku do 10 m s uvažovaným průměrným přítokem přes 500 do 1 000 l/min</t>
  </si>
  <si>
    <t>2ks čerpadel</t>
  </si>
  <si>
    <t>45*8*2</t>
  </si>
  <si>
    <t>115101302</t>
  </si>
  <si>
    <t>Pohotovost čerpací soupravy pro dopravní výšku do 10 m přítok do 1000 l/min</t>
  </si>
  <si>
    <t>-1299326752</t>
  </si>
  <si>
    <t>Pohotovost záložní čerpací soupravy pro dopravní výšku do 10 m s uvažovaným průměrným přítokem přes 500 do 1 000 l/min</t>
  </si>
  <si>
    <t>45*2</t>
  </si>
  <si>
    <t>119003213</t>
  </si>
  <si>
    <t>Mobilní plotová zábrana s profilovaným plechem výšky do 1,5 m pro zabezpečení výkopu zřízení</t>
  </si>
  <si>
    <t>-2094877194</t>
  </si>
  <si>
    <t>Pomocné konstrukce při zabezpečení výkopu svislé ocelové mobilní oplocení, výšky do 1,5 m panely vyplněné profilovaným plechem zřízení</t>
  </si>
  <si>
    <t>2*(4,9+4,9)</t>
  </si>
  <si>
    <t>119003214</t>
  </si>
  <si>
    <t>Mobilní plotová zábrana s profilovaným plechem výšky do 1,5 m pro zabezpečení výkopu odstranění</t>
  </si>
  <si>
    <t>-1421998521</t>
  </si>
  <si>
    <t>Pomocné konstrukce při zabezpečení výkopu svislé ocelové mobilní oplocení, výšky do 1,5 m panely vyplněné profilovaným plechem odstranění</t>
  </si>
  <si>
    <t>119004111</t>
  </si>
  <si>
    <t>Bezpečný vstup nebo výstup z výkopu pomocí žebříku zřízení</t>
  </si>
  <si>
    <t>-1285209570</t>
  </si>
  <si>
    <t>Pomocné konstrukce při zabezpečení výkopu bezpečný vstup nebo výstup žebříkem zřízení</t>
  </si>
  <si>
    <t>3,83</t>
  </si>
  <si>
    <t>119004112</t>
  </si>
  <si>
    <t>Bezpečný vstup nebo výstup z výkopu pomocí žebříku odstranění</t>
  </si>
  <si>
    <t>-1858014930</t>
  </si>
  <si>
    <t>Pomocné konstrukce při zabezpečení výkopu bezpečný vstup nebo výstup žebříkem odstranění</t>
  </si>
  <si>
    <t>131151205</t>
  </si>
  <si>
    <t>Hloubení jam zapažených v hornině třídy těžitelnosti I, skupiny 1 a 2 objem do 1000 m3 strojně</t>
  </si>
  <si>
    <t>-1467864381</t>
  </si>
  <si>
    <t>Hloubení zapažených jam a zářezů strojně s urovnáním dna do předepsaného profilu a spádu v hornině třídy těžitelnosti I skupiny 1 a 2 přes 500 do 1 000 m3</t>
  </si>
  <si>
    <t>Poznámka k položce:_x000D_
viz TZ př. č. D.1.1.02.1, situace  a v.č. D.1.1.02.1.1 v.č. D.1.2.2_x000D_
50% hor.tř. II a 50% hor.tř.III</t>
  </si>
  <si>
    <t>4,9*4,9*(3,83-0,45)</t>
  </si>
  <si>
    <t>81,154*0,5</t>
  </si>
  <si>
    <t>131251205</t>
  </si>
  <si>
    <t>Hloubení jam zapažených v hornině třídy těžitelnosti I, skupiny 3 objem do 1000 m3 strojně</t>
  </si>
  <si>
    <t>1991220856</t>
  </si>
  <si>
    <t>Hloubení zapažených jam a zářezů strojně s urovnáním dna do předepsaného profilu a spádu v hornině třídy těžitelnosti I skupiny 3 přes 500 do 1 000 m3</t>
  </si>
  <si>
    <t>Poznámka k položce:_x000D_
viz TZ př. č. D.1.1.02.1, situace  a v.č. D.1.1.2.1.1 v.č. D.1.2.2_x000D_
50% hor.tř. II a 50% hor.tř.III</t>
  </si>
  <si>
    <t>151301202</t>
  </si>
  <si>
    <t>Zřízení hnaného pažení stěn výkopu hl do 8 m</t>
  </si>
  <si>
    <t>-1874767185</t>
  </si>
  <si>
    <t>Zřízení pažení stěn výkopu bez rozepření nebo vzepření hnané, hloubky do 8 m</t>
  </si>
  <si>
    <t>2*(4,9+4,9)*3,83</t>
  </si>
  <si>
    <t>151301212</t>
  </si>
  <si>
    <t>Odstranění pažení stěn hnaného hl do 8 m</t>
  </si>
  <si>
    <t>1499977737</t>
  </si>
  <si>
    <t>Odstranění pažení stěn výkopu bez rozepření nebo vzepření s uložením pažin na vzdálenost do 3 m od okraje výkopu hnané, hloubky do 8 m</t>
  </si>
  <si>
    <t>383570238</t>
  </si>
  <si>
    <t>výkop jam</t>
  </si>
  <si>
    <t>40,577+40,577</t>
  </si>
  <si>
    <t>1737763681</t>
  </si>
  <si>
    <t>81,154*5 'Přepočtené koeficientem množství</t>
  </si>
  <si>
    <t>-955258828</t>
  </si>
  <si>
    <t>-1321933376</t>
  </si>
  <si>
    <t>81,154*1,8 'Přepočtené koeficientem množství</t>
  </si>
  <si>
    <t>443928616</t>
  </si>
  <si>
    <t>výkop jam na úroveň -0,45m</t>
  </si>
  <si>
    <t>podsyp</t>
  </si>
  <si>
    <t>-4,802</t>
  </si>
  <si>
    <t>deska</t>
  </si>
  <si>
    <t>-1,693</t>
  </si>
  <si>
    <t>prstenec</t>
  </si>
  <si>
    <t>-2,088</t>
  </si>
  <si>
    <t>"OP čerpací stanice" -3,14*1,08*1,08*(3,48-0,45)</t>
  </si>
  <si>
    <t>-681684232</t>
  </si>
  <si>
    <t>61,474*2 'Přepočtené koeficientem množství</t>
  </si>
  <si>
    <t>-10054658</t>
  </si>
  <si>
    <t>122,948</t>
  </si>
  <si>
    <t>1182675212</t>
  </si>
  <si>
    <t>271532212</t>
  </si>
  <si>
    <t>Podsyp pod základové konstrukce se zhutněním z hrubého kameniva frakce 0 až 32 mm</t>
  </si>
  <si>
    <t>1425493989</t>
  </si>
  <si>
    <t>Podsyp pod základové konstrukce se zhutněním a urovnáním povrchu z kameniva hrubého, frakce 0 - 32 mm</t>
  </si>
  <si>
    <t>4,9*4,9*0,2</t>
  </si>
  <si>
    <t>273321611</t>
  </si>
  <si>
    <t>Základové desky ze ŽB bez zvýšených nároků na prostředí tř. C 30/37 XA2</t>
  </si>
  <si>
    <t>1214200830</t>
  </si>
  <si>
    <t>Základy z betonu železového (bez výztuže) desky z betonu bez zvláštních nároků na prostředí tř. C 30/37</t>
  </si>
  <si>
    <t>3,36*3,36*0,15</t>
  </si>
  <si>
    <t>273321611,1</t>
  </si>
  <si>
    <t>Ochranný prstenec ze ŽB bez zvýšených nároků na prostředí tř. C 30/37 XA2</t>
  </si>
  <si>
    <t>-7574780</t>
  </si>
  <si>
    <t>3,14*1,58*1,58*0,5-3,14*1,08*1,08*0,5</t>
  </si>
  <si>
    <t>273351121</t>
  </si>
  <si>
    <t>Zřízení bednění základových desek</t>
  </si>
  <si>
    <t>216264929</t>
  </si>
  <si>
    <t>Bednění základů desek zřízení</t>
  </si>
  <si>
    <t>"deska" 2*(3,36+3,36)*0,15</t>
  </si>
  <si>
    <t>"prstenec" 2*3,14*1,58*0,5</t>
  </si>
  <si>
    <t>273351122</t>
  </si>
  <si>
    <t>Odstranění bednění základových desek</t>
  </si>
  <si>
    <t>-1452139914</t>
  </si>
  <si>
    <t>Bednění základů desek odstranění</t>
  </si>
  <si>
    <t>273362021</t>
  </si>
  <si>
    <t>Výztuž základových desek svařovanými sítěmi Kari</t>
  </si>
  <si>
    <t>439167817</t>
  </si>
  <si>
    <t>Výztuž základů desek ze svařovaných sítí z drátů typu KARI</t>
  </si>
  <si>
    <t>3,36*3,36*6,5*1,15/1000*2</t>
  </si>
  <si>
    <t>274,1-R</t>
  </si>
  <si>
    <t>Betonová tamponáž tl.100mm s dodávkou materiálů, vč. následného odstranění</t>
  </si>
  <si>
    <t>1263601612</t>
  </si>
  <si>
    <t>7,5</t>
  </si>
  <si>
    <t>274313511R</t>
  </si>
  <si>
    <t>Základové pásy z betonu tř. C 12/15 - ochranný límec, vč. následného odstranění</t>
  </si>
  <si>
    <t>1021650361</t>
  </si>
  <si>
    <t>Základy z betonu prostého pasy betonu kamenem neprokládaného tř. C 12/15</t>
  </si>
  <si>
    <t>0,5</t>
  </si>
  <si>
    <t>292111111</t>
  </si>
  <si>
    <t>Montáž pomocné konstrukce ocelové pro zvláštní zakládání z terénu</t>
  </si>
  <si>
    <t>1606551922</t>
  </si>
  <si>
    <t>Pomocná konstrukce pro zvláštní zakládání staveb  ocelová z terénu zřízení</t>
  </si>
  <si>
    <t>4,723</t>
  </si>
  <si>
    <t>13010760</t>
  </si>
  <si>
    <t>ocel profilová I 300, 240</t>
  </si>
  <si>
    <t>-615374760</t>
  </si>
  <si>
    <t>292111112</t>
  </si>
  <si>
    <t>Demontáž pomocné konstrukce ocelové pro zvláštní zakládáníz terénu</t>
  </si>
  <si>
    <t>-850747722</t>
  </si>
  <si>
    <t>Pomocná konstrukce pro zvláštní zakládání staveb  ocelová z terénu odstranění</t>
  </si>
  <si>
    <t>411321616</t>
  </si>
  <si>
    <t>Stropy deskové ze ŽB tř. C 30/37 XF4</t>
  </si>
  <si>
    <t>-682349578</t>
  </si>
  <si>
    <t>Stropy z betonu železového (bez výztuže)  stropů deskových, plochých střech, desek balkonových, desek hřibových stropů včetně hlavic hřibových sloupů tř. C 30/37</t>
  </si>
  <si>
    <t>lito do plastového bednění čerpací jímky</t>
  </si>
  <si>
    <t>3,14*1,08*1,08*0,26</t>
  </si>
  <si>
    <t>411362021</t>
  </si>
  <si>
    <t>Výztuž stropů svařovanými sítěmi Kari</t>
  </si>
  <si>
    <t>2052391356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</si>
  <si>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</si>
  <si>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3,14*1,08*1,08*6,5*1,15*2/1000</t>
  </si>
  <si>
    <t>-274027725</t>
  </si>
  <si>
    <t>291669781</t>
  </si>
  <si>
    <t>-967619773</t>
  </si>
  <si>
    <t>812924742</t>
  </si>
  <si>
    <t>24,01</t>
  </si>
  <si>
    <t>669043050</t>
  </si>
  <si>
    <t>833874972</t>
  </si>
  <si>
    <t>Dodávka + montáž čerpací stanice PEHD průměr 2160mm, výška 3480mm, vč. poklopu, vč. strojního vystrojení (kompletní dodávka)</t>
  </si>
  <si>
    <t>kpl</t>
  </si>
  <si>
    <t>-1207766971</t>
  </si>
  <si>
    <t>parametry čerpací stanice viz př.č. D.2.1.1</t>
  </si>
  <si>
    <t>"ČS1" 1</t>
  </si>
  <si>
    <t>919726122</t>
  </si>
  <si>
    <t>Geotextilie pro ochranu, separaci a filtraci netkaná měrná hmotnost do 300 g/m2</t>
  </si>
  <si>
    <t>1543789906</t>
  </si>
  <si>
    <t>Geotextilie netkaná pro ochranu, separaci nebo filtraci měrná hmotnost přes 200 do 300 g/m2</t>
  </si>
  <si>
    <t>-1555002685</t>
  </si>
  <si>
    <t>"kamenivo" 13,926+13,926</t>
  </si>
  <si>
    <t>"asfalt" 2,353+2,875</t>
  </si>
  <si>
    <t>65177481</t>
  </si>
  <si>
    <t>33,08*14 'Přepočtené koeficientem množství</t>
  </si>
  <si>
    <t>312865153</t>
  </si>
  <si>
    <t>932320221</t>
  </si>
  <si>
    <t>-625114680</t>
  </si>
  <si>
    <t>998142251</t>
  </si>
  <si>
    <t>Přesun hmot pro nádrže, jímky, zásobníky a jámy betonové monolitické v do 25 m</t>
  </si>
  <si>
    <t>362203454</t>
  </si>
  <si>
    <t>Přesun hmot pro nádrže, jímky, zásobníky a jámy pozemní mimo zemědělství  se svislou nosnou konstrukcí monolitickou betonovou tyčovou nebo plošnou vodorovná dopravní vzdálenost do 50 m výšky do 25 m</t>
  </si>
  <si>
    <t>155,857-122,948</t>
  </si>
  <si>
    <t>0002 - DSO 02.2 Čerpací stanice ČS1 - zpevněná plocha - součástí dílčího stavebního objektu DSO 02.1</t>
  </si>
  <si>
    <t>500,1-R</t>
  </si>
  <si>
    <t>DSO 02.2 Čerpací stanice ČS1 - zpevněná plocha - součásti stavebního objektu DSO 02.1 - jednotková cena se nevyplňuje</t>
  </si>
  <si>
    <t>1530938844</t>
  </si>
  <si>
    <t>0003 - DSO 02.3 Čerpací stanice ČS1 - přípojka NN</t>
  </si>
  <si>
    <t>M - Práce a dodávky M</t>
  </si>
  <si>
    <t xml:space="preserve">    D1 - Rozváděč RE1</t>
  </si>
  <si>
    <t xml:space="preserve">    D3 - Montážní materiál</t>
  </si>
  <si>
    <t xml:space="preserve">    D5 - Výkopové práce</t>
  </si>
  <si>
    <t xml:space="preserve">    D7 - Služby</t>
  </si>
  <si>
    <t>Práce a dodávky M</t>
  </si>
  <si>
    <t>D1</t>
  </si>
  <si>
    <t>Rozváděč RE1</t>
  </si>
  <si>
    <t>Pol1</t>
  </si>
  <si>
    <t>Dodávka + montáž Elektroměrový rozváděč 3f s jednosazbovým měřením do 40A v plastovém pilíři s hl. jističem 20A, 484x1785x242mm (ŠxVxH), IP 44/20C</t>
  </si>
  <si>
    <t>Elektroměrový rozváděč 3f s jednosazbovým měřením do 40A v plastovém pilíři s hl. jističem 20A, 484x1785x242mm (ŠxVxH), IP 44/20C</t>
  </si>
  <si>
    <t>D3</t>
  </si>
  <si>
    <t>Montážní materiál</t>
  </si>
  <si>
    <t>Pol3</t>
  </si>
  <si>
    <t>Dodávka + montáž CYKY-J 4x10 mm2 , pevně</t>
  </si>
  <si>
    <t>CYKY-J 4x10 mm2 , pevně</t>
  </si>
  <si>
    <t>Pol4</t>
  </si>
  <si>
    <t>Dodávka + montáž CYKY-J 5x6 mm2 , pevně</t>
  </si>
  <si>
    <t>CYKY-J 5x6 mm2 , pevně</t>
  </si>
  <si>
    <t>Pol5</t>
  </si>
  <si>
    <t>Dodávka + montáž TRUBKA TUHÁ PVC 1200N délka 2 m barva tmavě šedá</t>
  </si>
  <si>
    <t>TRUBKA TUHÁ PVC 1200N délka 2 m barva tmavě šedá</t>
  </si>
  <si>
    <t>Pol6</t>
  </si>
  <si>
    <t>Dodávka + montáž KORUGOVANÁ CHRÁNIČKA DVOUPLÁŠŤOVÁ OHEBNÁ prům. 50mm</t>
  </si>
  <si>
    <t>KORUGOVANÁ CHRÁNIČKA DVOUPLÁŠŤOVÁ OHEBNÁ prům. 50mm</t>
  </si>
  <si>
    <t>Pol7</t>
  </si>
  <si>
    <t>Dodávka + montáž Zemnící pásek FeZn 30x4mm</t>
  </si>
  <si>
    <t>Zemnící pásek FeZn 30x4mm</t>
  </si>
  <si>
    <t>Pol8</t>
  </si>
  <si>
    <t>Dodávka + montáž Výstražná folie 250/33 blesk</t>
  </si>
  <si>
    <t>Výstražná folie 250/33 blesk</t>
  </si>
  <si>
    <t>Pol9</t>
  </si>
  <si>
    <t>Dodávka + montáž Zkušební svorka</t>
  </si>
  <si>
    <t>Zkušební svorka</t>
  </si>
  <si>
    <t>Pol10</t>
  </si>
  <si>
    <t>Ukončení vodičů  do 4 mm2</t>
  </si>
  <si>
    <t>Pol11</t>
  </si>
  <si>
    <t>Ukončení vodičů 16 mm2</t>
  </si>
  <si>
    <t>D5</t>
  </si>
  <si>
    <t>Výkopové práce</t>
  </si>
  <si>
    <t>Pol12</t>
  </si>
  <si>
    <t>Hloubení kabelové rýhy h=1200mm, š=500mm</t>
  </si>
  <si>
    <t>Pol13</t>
  </si>
  <si>
    <t>Pískové lože h=200mm, š=500mm</t>
  </si>
  <si>
    <t>bm</t>
  </si>
  <si>
    <t>Pol14</t>
  </si>
  <si>
    <t>Zpětný zához kabelové rýhy + zhutnění h=650mm, š=500mm</t>
  </si>
  <si>
    <t>Pol15</t>
  </si>
  <si>
    <t>Štěrkodrť h=250mm, š=500mm</t>
  </si>
  <si>
    <t>Pol16</t>
  </si>
  <si>
    <t>Živičný povrch h=100mm, š=500mm</t>
  </si>
  <si>
    <t>Pol17</t>
  </si>
  <si>
    <t>Úprava povrchu</t>
  </si>
  <si>
    <t>Pol18</t>
  </si>
  <si>
    <t>Hloubení kabelové rýhy h=800mm, š=300mm</t>
  </si>
  <si>
    <t>Pol19</t>
  </si>
  <si>
    <t>Pískové lože h=200mm, š=300mm</t>
  </si>
  <si>
    <t>Pol20</t>
  </si>
  <si>
    <t>Zpětný zához kabelové rýhy + zhutnění h=600mm, š=300mm</t>
  </si>
  <si>
    <t>Pol21</t>
  </si>
  <si>
    <t>D7</t>
  </si>
  <si>
    <t>Služby</t>
  </si>
  <si>
    <t>Pol22</t>
  </si>
  <si>
    <t>Revize</t>
  </si>
  <si>
    <t>Pol23</t>
  </si>
  <si>
    <t>Inženýrská činnost</t>
  </si>
  <si>
    <t>Pol24</t>
  </si>
  <si>
    <t>Oživení a komplexní zkoušky</t>
  </si>
  <si>
    <t>Pol28</t>
  </si>
  <si>
    <t>Podružný materiál</t>
  </si>
  <si>
    <t>1229160944</t>
  </si>
  <si>
    <t>Dokumentace sk. pr. 3 pare</t>
  </si>
  <si>
    <t>005 - SO 05 Čerpací stanice ČS5</t>
  </si>
  <si>
    <t>0001 - DSO 05.1 Čerpací stanice ČS5 - stavební část</t>
  </si>
  <si>
    <t>1800228194</t>
  </si>
  <si>
    <t>107219577</t>
  </si>
  <si>
    <t>586381826</t>
  </si>
  <si>
    <t>Poznámka k položce:_x000D_
viz TZ př. č. D.1.1.05.1, situace  a v.č. D.1.1.05.1.1 v.č. D.1.2.2</t>
  </si>
  <si>
    <t>4,2*4,2</t>
  </si>
  <si>
    <t>-921475920</t>
  </si>
  <si>
    <t>4,5*4,5</t>
  </si>
  <si>
    <t>1023289139</t>
  </si>
  <si>
    <t>-1214578781</t>
  </si>
  <si>
    <t>-497140368</t>
  </si>
  <si>
    <t>1218377602</t>
  </si>
  <si>
    <t>2*(4,2+4,2)</t>
  </si>
  <si>
    <t>-1359768868</t>
  </si>
  <si>
    <t>1129662553</t>
  </si>
  <si>
    <t>4,48</t>
  </si>
  <si>
    <t>-1565566748</t>
  </si>
  <si>
    <t>-1841824855</t>
  </si>
  <si>
    <t>Poznámka k položce:_x000D_
viz TZ př. č. D.1.1.05.1, situace  a v.č. D.1.1.05.1.1 v.č. D.1.2.2_x000D_
50% hor.tř. II a 50% hor.tř.III</t>
  </si>
  <si>
    <t>4,2*4,2*(4,48-0,45)</t>
  </si>
  <si>
    <t>71,089*0,5</t>
  </si>
  <si>
    <t>-636624459</t>
  </si>
  <si>
    <t>1320534725</t>
  </si>
  <si>
    <t>2*(4,2+4,2)*4,48</t>
  </si>
  <si>
    <t>1237451427</t>
  </si>
  <si>
    <t>281553897</t>
  </si>
  <si>
    <t>35,545+35,545</t>
  </si>
  <si>
    <t>-194034682</t>
  </si>
  <si>
    <t>71,09*5 'Přepočtené koeficientem množství</t>
  </si>
  <si>
    <t>1663414372</t>
  </si>
  <si>
    <t>-1212543925</t>
  </si>
  <si>
    <t>71,09*1,8 'Přepočtené koeficientem množství</t>
  </si>
  <si>
    <t>1559428595</t>
  </si>
  <si>
    <t>výkop jam na úroveň</t>
  </si>
  <si>
    <t>-3,528</t>
  </si>
  <si>
    <t>-1,061</t>
  </si>
  <si>
    <t>"OP čerpací stanice" -3,14*1,08*1,08*(4,13-0,45)</t>
  </si>
  <si>
    <t>-846856660</t>
  </si>
  <si>
    <t>53,023*2 'Přepočtené koeficientem množství</t>
  </si>
  <si>
    <t>-1101629683</t>
  </si>
  <si>
    <t>106,046</t>
  </si>
  <si>
    <t>107480094</t>
  </si>
  <si>
    <t>1711827427</t>
  </si>
  <si>
    <t>4,2*4,2*0,2</t>
  </si>
  <si>
    <t>-60817461</t>
  </si>
  <si>
    <t>2,66*2,66*0,15</t>
  </si>
  <si>
    <t>953633979</t>
  </si>
  <si>
    <t>2*(2,66+2,66)*0,15</t>
  </si>
  <si>
    <t>396703457</t>
  </si>
  <si>
    <t>-1974405377</t>
  </si>
  <si>
    <t>2,66*2,66*6,5*1,15/1000*2</t>
  </si>
  <si>
    <t>509983787</t>
  </si>
  <si>
    <t>-1832385046</t>
  </si>
  <si>
    <t>-1256241569</t>
  </si>
  <si>
    <t>3,916</t>
  </si>
  <si>
    <t>441085203</t>
  </si>
  <si>
    <t>2118271574</t>
  </si>
  <si>
    <t>1393201703</t>
  </si>
  <si>
    <t>803002286</t>
  </si>
  <si>
    <t>-802508586</t>
  </si>
  <si>
    <t>1919395983</t>
  </si>
  <si>
    <t>716461641</t>
  </si>
  <si>
    <t>-1906112833</t>
  </si>
  <si>
    <t>17,64</t>
  </si>
  <si>
    <t>-737729429</t>
  </si>
  <si>
    <t>-1965490056</t>
  </si>
  <si>
    <t>20,25</t>
  </si>
  <si>
    <t>Dodávka + montáž čerpací stanice PEHD průměr 2160mm, výška 4130mm, vč. poklopu, vč. strojního vystrojení (kompletní dodávka)</t>
  </si>
  <si>
    <t>-2081453546</t>
  </si>
  <si>
    <t>"ČS5" 1</t>
  </si>
  <si>
    <t>152060187</t>
  </si>
  <si>
    <t>1920703063</t>
  </si>
  <si>
    <t>"kamenivo" 10,231+10,231</t>
  </si>
  <si>
    <t>"asfalt" 1,729+2,329</t>
  </si>
  <si>
    <t>2145505541</t>
  </si>
  <si>
    <t>24,52*14 'Přepočtené koeficientem množství</t>
  </si>
  <si>
    <t>2110650227</t>
  </si>
  <si>
    <t>-1409599937</t>
  </si>
  <si>
    <t>442450605</t>
  </si>
  <si>
    <t>1866171168</t>
  </si>
  <si>
    <t>128,012-106,046</t>
  </si>
  <si>
    <t>0002 - DSO 05.2 Čerpací stanice ČS5 - zpevněná plocha - součástí dílčího stavebního objektu DSO 05.1</t>
  </si>
  <si>
    <t>DSO 05.2 Čerpací stanice ČS5 - zpevněná plocha - součásti stavebního objektu DSO 05.1 - jednotková cena se nevyplňuje</t>
  </si>
  <si>
    <t>-1389837130</t>
  </si>
  <si>
    <t>0003 - DSO 05.3 Čerpací stanice ČS5 - přípojka NN</t>
  </si>
  <si>
    <t>007 - SO 07 Čerpací stanice ČS8</t>
  </si>
  <si>
    <t>0001 - DSO 07.1 Čerpací stanice ČS8 - stavební část</t>
  </si>
  <si>
    <t>1686846321</t>
  </si>
  <si>
    <t>-2103533965</t>
  </si>
  <si>
    <t>-652429455</t>
  </si>
  <si>
    <t>Poznámka k položce:_x000D_
viz TZ př. č. D.1.1.07.1, situace  a v.č. D.1.1.07(05).1.1 v.č. D.1.2.2</t>
  </si>
  <si>
    <t>-913585713</t>
  </si>
  <si>
    <t>-1585492023</t>
  </si>
  <si>
    <t>-1342426881</t>
  </si>
  <si>
    <t>-559967013</t>
  </si>
  <si>
    <t>-1375009235</t>
  </si>
  <si>
    <t>-642617295</t>
  </si>
  <si>
    <t>1366601331</t>
  </si>
  <si>
    <t>4,31</t>
  </si>
  <si>
    <t>-1436510323</t>
  </si>
  <si>
    <t>326555403</t>
  </si>
  <si>
    <t>Poznámka k položce:_x000D_
viz TZ př. č. D.1.1.07.1, situace  a v.č. D.1.1.07(05).1.1 v.č. D.1.2.2_x000D_
50% hor.tř. II a 50% hor.tř.III</t>
  </si>
  <si>
    <t>4,2*4,2*(4,31-0,45)</t>
  </si>
  <si>
    <t>68,09*0,5</t>
  </si>
  <si>
    <t>1553551657</t>
  </si>
  <si>
    <t>2033555909</t>
  </si>
  <si>
    <t>2*(4,2+4,2)*4,31</t>
  </si>
  <si>
    <t>-2021844003</t>
  </si>
  <si>
    <t>272536716</t>
  </si>
  <si>
    <t>34,045+34,045</t>
  </si>
  <si>
    <t>29616214</t>
  </si>
  <si>
    <t>68,09*5 'Přepočtené koeficientem množství</t>
  </si>
  <si>
    <t>-1092183981</t>
  </si>
  <si>
    <t>1707953882</t>
  </si>
  <si>
    <t>68,09*1,8 'Přepočtené koeficientem množství</t>
  </si>
  <si>
    <t>-1671504691</t>
  </si>
  <si>
    <t>"OP čerpací stanice" -3,14*1,08*1,08*(3,96-0,45)</t>
  </si>
  <si>
    <t>169998145</t>
  </si>
  <si>
    <t>50,646*2 'Přepočtené koeficientem množství</t>
  </si>
  <si>
    <t>-2135173608</t>
  </si>
  <si>
    <t>101,292</t>
  </si>
  <si>
    <t>-610848710</t>
  </si>
  <si>
    <t>-1297981328</t>
  </si>
  <si>
    <t>1232669117</t>
  </si>
  <si>
    <t>-702889307</t>
  </si>
  <si>
    <t>-339933808</t>
  </si>
  <si>
    <t>-1207544430</t>
  </si>
  <si>
    <t>2105541558</t>
  </si>
  <si>
    <t>167430756</t>
  </si>
  <si>
    <t>1575526846</t>
  </si>
  <si>
    <t>3,275</t>
  </si>
  <si>
    <t>-1572657492</t>
  </si>
  <si>
    <t>-590441820</t>
  </si>
  <si>
    <t>464724681</t>
  </si>
  <si>
    <t>-2108195105</t>
  </si>
  <si>
    <t>818958718</t>
  </si>
  <si>
    <t>-375068219</t>
  </si>
  <si>
    <t>1284131051</t>
  </si>
  <si>
    <t>-138460427</t>
  </si>
  <si>
    <t>-649363404</t>
  </si>
  <si>
    <t>1202896827</t>
  </si>
  <si>
    <t>Dodávka + montáž čerpací stanice PEHD průměr 2160mm, výška 3960mm s indukčním průtokoměrem, vč. poklopu, vč. strojního vystrojení (kompletní dodávka)</t>
  </si>
  <si>
    <t>-1978074926</t>
  </si>
  <si>
    <t>"ČS8" 1</t>
  </si>
  <si>
    <t>-1562583677</t>
  </si>
  <si>
    <t>-1766122391</t>
  </si>
  <si>
    <t>1374634157</t>
  </si>
  <si>
    <t>-1214785267</t>
  </si>
  <si>
    <t>805018694</t>
  </si>
  <si>
    <t>-378784409</t>
  </si>
  <si>
    <t>1043640502</t>
  </si>
  <si>
    <t>122,54-101,292</t>
  </si>
  <si>
    <t>0002 - DSO 07.2 Čerpací stanice ČS8 - zpevněná plocha - součástí dílčího stavebního objektu DSO 07.1</t>
  </si>
  <si>
    <t>DSO 07.2 Čerpací stanice ČS8 - zpevněná plocha - součásti stavebního objektu DSO 07.1 - jednotková cena se nevyplňuje</t>
  </si>
  <si>
    <t>-712314033</t>
  </si>
  <si>
    <t>0003 - DSO 07.3 Čerpací stanice ČS8 - přípojka NN</t>
  </si>
  <si>
    <t>009 - SO 09 Čerpací stanice ČS11</t>
  </si>
  <si>
    <t>0001 - DSO 09.1 Čerpací stanice ČS11 - stavební část</t>
  </si>
  <si>
    <t>229547479</t>
  </si>
  <si>
    <t>192494777</t>
  </si>
  <si>
    <t>514190220</t>
  </si>
  <si>
    <t>Poznámka k položce:_x000D_
viz TZ př. č. D.1.1.09.1, situace  a v.č. D.1.1.09(05).1.1 v.č. D.1.2.2</t>
  </si>
  <si>
    <t>1188064281</t>
  </si>
  <si>
    <t>1543760764</t>
  </si>
  <si>
    <t>1884382604</t>
  </si>
  <si>
    <t>-1667771399</t>
  </si>
  <si>
    <t>1054477840</t>
  </si>
  <si>
    <t>-54016583</t>
  </si>
  <si>
    <t>-1424048878</t>
  </si>
  <si>
    <t>2131638113</t>
  </si>
  <si>
    <t>3,93</t>
  </si>
  <si>
    <t>-514830836</t>
  </si>
  <si>
    <t>-2002439127</t>
  </si>
  <si>
    <t>Poznámka k položce:_x000D_
viz TZ př. č. D.1.1.09.1, situace  a v.č. D.1.1.09(05).1.1 v.č. D.1.2.2_x000D_
50% hor.tř. II a 50% hor.tř.III</t>
  </si>
  <si>
    <t>4,2*4,2*(3,93-0,45)</t>
  </si>
  <si>
    <t>61,387*0,5</t>
  </si>
  <si>
    <t>-1232945489</t>
  </si>
  <si>
    <t>1902420033</t>
  </si>
  <si>
    <t>2*(4,2+4,2)*3,93</t>
  </si>
  <si>
    <t>-1060570111</t>
  </si>
  <si>
    <t>-1245266454</t>
  </si>
  <si>
    <t>30,694+30,394</t>
  </si>
  <si>
    <t>1447778817</t>
  </si>
  <si>
    <t>61,088*5 'Přepočtené koeficientem množství</t>
  </si>
  <si>
    <t>-115774065</t>
  </si>
  <si>
    <t>1903651618</t>
  </si>
  <si>
    <t>61,088*1,8 'Přepočtené koeficientem množství</t>
  </si>
  <si>
    <t>-1532303017</t>
  </si>
  <si>
    <t>30,694+30,694</t>
  </si>
  <si>
    <t>"OP čerpací stanice" -3,14*1,08*1,08*(3,58-0,45)</t>
  </si>
  <si>
    <t>114110173</t>
  </si>
  <si>
    <t>45,335*2 'Přepočtené koeficientem množství</t>
  </si>
  <si>
    <t>1224470826</t>
  </si>
  <si>
    <t>90,67</t>
  </si>
  <si>
    <t>636043510</t>
  </si>
  <si>
    <t>-1589908179</t>
  </si>
  <si>
    <t>794733888</t>
  </si>
  <si>
    <t>-258021582</t>
  </si>
  <si>
    <t>86338730</t>
  </si>
  <si>
    <t>-1499206641</t>
  </si>
  <si>
    <t>1514359807</t>
  </si>
  <si>
    <t>6,5</t>
  </si>
  <si>
    <t>-1710840732</t>
  </si>
  <si>
    <t>582101515</t>
  </si>
  <si>
    <t>3,229</t>
  </si>
  <si>
    <t>558013385</t>
  </si>
  <si>
    <t>-329384728</t>
  </si>
  <si>
    <t>1823967159</t>
  </si>
  <si>
    <t>-623752654</t>
  </si>
  <si>
    <t>1212480351</t>
  </si>
  <si>
    <t>928320625</t>
  </si>
  <si>
    <t>670450934</t>
  </si>
  <si>
    <t>-85925333</t>
  </si>
  <si>
    <t>107646014</t>
  </si>
  <si>
    <t>754336905</t>
  </si>
  <si>
    <t>Dodávka + montáž čerpací stanice PEHD průměr 2160mm, výška 3580mm, vč. poklopu, vč. strojního vystrojení (kompletní dodávka)</t>
  </si>
  <si>
    <t>639528048</t>
  </si>
  <si>
    <t>"ČS11" 1</t>
  </si>
  <si>
    <t>-795596808</t>
  </si>
  <si>
    <t>-70363697</t>
  </si>
  <si>
    <t>672224201</t>
  </si>
  <si>
    <t>-1367950323</t>
  </si>
  <si>
    <t>1219263725</t>
  </si>
  <si>
    <t>-317416058</t>
  </si>
  <si>
    <t>272589176</t>
  </si>
  <si>
    <t>111,839-90,67</t>
  </si>
  <si>
    <t>0002 - DSO 09.2 Čerpací stanice ČS11 - zpevněná plocha - součástí dílčího stavebního objektu DSO 09.1</t>
  </si>
  <si>
    <t>DSO 09.2 Čerpací stanice ČS11 - zpevněná plocha - součásti stavebního objektu DSO 09.1 - jednotková cena se nevyplňuje</t>
  </si>
  <si>
    <t>859853225</t>
  </si>
  <si>
    <t>0003 - DSO 09.3 Čerpací stanice ČS11 - přípojka NN</t>
  </si>
  <si>
    <t>011 - SO 11 Výtlačná kanalizace</t>
  </si>
  <si>
    <t>0001 - DSO 11.1 Výtlak V1</t>
  </si>
  <si>
    <t>113107224,2</t>
  </si>
  <si>
    <t>Odstranění podkladu z kameniva drceného tl 400 mm strojně pl přes 200 m2 - před finálním zapravení</t>
  </si>
  <si>
    <t>-1363945471</t>
  </si>
  <si>
    <t xml:space="preserve">Poznámka k položce:_x000D_
viz TZ př. č. D.1.1.11.1, situace C3  a v.č. D.1.1.11.2 až 3, v.č. D.1.1.11.1.1 až 3 </t>
  </si>
  <si>
    <t>109,8*0,9</t>
  </si>
  <si>
    <t>Odstranění podkladu z kameniva drceného tl 400 mm strojně pl přes 200 m2 - po provedení dosypu na stoce</t>
  </si>
  <si>
    <t>-1455080567</t>
  </si>
  <si>
    <t>"v souběhu s gravitačním potrubím" 82*(0,9-0,5)</t>
  </si>
  <si>
    <t>"mimo souběh s gravitačním potrubím" 27,8*0,9</t>
  </si>
  <si>
    <t>"v souběhu s gravitačním potrubím" 82*0,5</t>
  </si>
  <si>
    <t>"mimo souběh s gravitačním potrubím" 27,8*3,5</t>
  </si>
  <si>
    <t>v souběhu s gravitačním potrubím viz stoka A1 DSO 01.1b</t>
  </si>
  <si>
    <t xml:space="preserve">Poznámka k položce:_x000D_
viz TZ př. č. D.1.1.11.1, situace C3  a v.č. D.1.1.11.2 až 3, v.č. D.1.1.11.4.1 až 3 </t>
  </si>
  <si>
    <t>2111309454</t>
  </si>
  <si>
    <t>0,9*4</t>
  </si>
  <si>
    <t>-1201618879</t>
  </si>
  <si>
    <t>0,9*3</t>
  </si>
  <si>
    <t>Poznámka k položce:_x000D_
viz TZ př. č. D.1.1.11.1, situace C3  a v.č. D.1.1.11.2 až 3, v.č. D.1.1.11.1.1 až 3 _x000D_
50% hor.tř. II a 50% hor.tř.III</t>
  </si>
  <si>
    <t>"mimo souběh s gravitačním potrubím" 27,8*0,9*(2-0,45)</t>
  </si>
  <si>
    <t>"v souběhu s gravitačním potrubím" 82*0,9*(2-0,45)</t>
  </si>
  <si>
    <t>153,171*0,5</t>
  </si>
  <si>
    <t>(76,586+76,586)*0,2</t>
  </si>
  <si>
    <t>109,8*2*2</t>
  </si>
  <si>
    <t>76,586+76,586</t>
  </si>
  <si>
    <t>153,172*5 'Přepočtené koeficientem množství</t>
  </si>
  <si>
    <t>153,172*1,8 'Přepočtené koeficientem množství</t>
  </si>
  <si>
    <t>-40,516</t>
  </si>
  <si>
    <t>-9,882</t>
  </si>
  <si>
    <t>podkladní bloky</t>
  </si>
  <si>
    <t>-0,25</t>
  </si>
  <si>
    <t>109,8*0,9*(0,45-0,05)</t>
  </si>
  <si>
    <t>142,052*2 'Přepočtené koeficientem množství</t>
  </si>
  <si>
    <t>109,8*0,9*0,41</t>
  </si>
  <si>
    <t>40,516*2 'Přepočtené koeficientem množství</t>
  </si>
  <si>
    <t>284,104+81,032</t>
  </si>
  <si>
    <t>109,8</t>
  </si>
  <si>
    <t>109,8*0,9*0,1</t>
  </si>
  <si>
    <t>452313131</t>
  </si>
  <si>
    <t>Podkladní bloky z betonu prostého tř. C 12/15 otevřený výkop</t>
  </si>
  <si>
    <t>2060412834</t>
  </si>
  <si>
    <t>Podkladní a zajišťovací konstrukce z betonu prostého v otevřeném výkopu bloky pro potrubí z betonu tř. C 12/15</t>
  </si>
  <si>
    <t>0,25</t>
  </si>
  <si>
    <t>-984121023</t>
  </si>
  <si>
    <t>-2102508224</t>
  </si>
  <si>
    <t>-198519569</t>
  </si>
  <si>
    <t>1230584042</t>
  </si>
  <si>
    <t>66,02</t>
  </si>
  <si>
    <t>-2042134068</t>
  </si>
  <si>
    <t>-955535857</t>
  </si>
  <si>
    <t>97,3</t>
  </si>
  <si>
    <t>871264201</t>
  </si>
  <si>
    <t>Montáž kanalizačního potrubí z PE SDR11 otevřený výkop sklon do 20 % svařovaných na tupo D 110x10 mm</t>
  </si>
  <si>
    <t>-1794238822</t>
  </si>
  <si>
    <t>Montáž kanalizačního potrubí z plastů z polyetylenu PE 100 svařovaných na tupo v otevřeném výkopu ve sklonu do 20 % SDR 11/PN16 D 110 x 10,0 mm</t>
  </si>
  <si>
    <t>28613687</t>
  </si>
  <si>
    <t>potrubí dvouvrstvé PE100 RC se signalizační vrstvou SDR11 110x10mm dl 12m</t>
  </si>
  <si>
    <t>1065788469</t>
  </si>
  <si>
    <t>109,8*1,05 'Přepočtené koeficientem množství</t>
  </si>
  <si>
    <t>877265201</t>
  </si>
  <si>
    <t>Montáž elektrospojek na kanalizačním potrubí z PE trub d 110</t>
  </si>
  <si>
    <t>-537788647</t>
  </si>
  <si>
    <t>Montáž tvarovek na kanalizačním plastovém potrubí z polyetylenu PE 100 elektrotvarovek SDR 11/PN16 spojek nebo oblouků d 110</t>
  </si>
  <si>
    <t>1+1+5+1</t>
  </si>
  <si>
    <t>28615975</t>
  </si>
  <si>
    <t>elektrospojka SDR11 PE 100 PN16 D 110mm</t>
  </si>
  <si>
    <t>-1228832349</t>
  </si>
  <si>
    <t>286,3-R</t>
  </si>
  <si>
    <t>oblouk 11° SDR11 PE 100 PN16 D 110mm</t>
  </si>
  <si>
    <t>1580971980</t>
  </si>
  <si>
    <t>286,2-R</t>
  </si>
  <si>
    <t>oblouk 60° SDR11 PE 100 PN16 D 110mm</t>
  </si>
  <si>
    <t>1140782028</t>
  </si>
  <si>
    <t>28653136</t>
  </si>
  <si>
    <t>nákružek lemový PE 100 SDR11 110mm</t>
  </si>
  <si>
    <t>2055824746</t>
  </si>
  <si>
    <t>28654410</t>
  </si>
  <si>
    <t>příruba volná k lemovému nákružku z polypropylénu 110 PP-ocel</t>
  </si>
  <si>
    <t>1425814065</t>
  </si>
  <si>
    <t>příruba volná k lemovému nákružku z polypropylénu 110</t>
  </si>
  <si>
    <t>877265213</t>
  </si>
  <si>
    <t>Montáž elektro T-kusů na kanalizačním potrubí z PE trub d 110</t>
  </si>
  <si>
    <t>-62319891</t>
  </si>
  <si>
    <t>Montáž tvarovek na kanalizačním plastovém potrubí z polyetylenu PE 100 elektrotvarovek SDR 11/PN16 T-kusů d 110</t>
  </si>
  <si>
    <t>28614961</t>
  </si>
  <si>
    <t>elektrotvarovka T-kus rovnoramenný PE 100 PN16 D 110mm</t>
  </si>
  <si>
    <t>861368311</t>
  </si>
  <si>
    <t>892271111</t>
  </si>
  <si>
    <t>Tlaková zkouška potrubí DN 100 nebo 125</t>
  </si>
  <si>
    <t>106974453</t>
  </si>
  <si>
    <t>Tlakové zkoušky na potrubí DN 100 nebo 125</t>
  </si>
  <si>
    <t>899,1-R</t>
  </si>
  <si>
    <t>Zkouška funkčnosti signalizačního vodiče</t>
  </si>
  <si>
    <t>-1042402730</t>
  </si>
  <si>
    <t>899,95-R</t>
  </si>
  <si>
    <t>Náklady na napojení nového potrubí PE DN110 na prefa šachtu navrtávkou a utěsnění prostupu po osazení potrubí, vč. dodávky materiálu</t>
  </si>
  <si>
    <t>-1519020603</t>
  </si>
  <si>
    <t>"Š A15" 1</t>
  </si>
  <si>
    <t>899721111</t>
  </si>
  <si>
    <t>Signalizační vodič DN do 150 mm na potrubí Cu 4 mm2</t>
  </si>
  <si>
    <t>1160885615</t>
  </si>
  <si>
    <t>Signalizační vodič na potrubí DN do 150 mm</t>
  </si>
  <si>
    <t>115</t>
  </si>
  <si>
    <t>899722113</t>
  </si>
  <si>
    <t>Krytí potrubí z plastů výstražnou fólií z PVC 34cm</t>
  </si>
  <si>
    <t>758862658</t>
  </si>
  <si>
    <t>Krytí potrubí z plastů výstražnou fólií z PVC šířky 34 cm</t>
  </si>
  <si>
    <t>110</t>
  </si>
  <si>
    <t>Poznámka k položce:_x000D_
viz TZ př. č. D.1.1.11.1</t>
  </si>
  <si>
    <t>"kamenivo" 57,316+19,024+38,291</t>
  </si>
  <si>
    <t>"asfalt" 6,47+11,19</t>
  </si>
  <si>
    <t>132,291*14 'Přepočtené koeficientem množství</t>
  </si>
  <si>
    <t>388,284-365,136</t>
  </si>
  <si>
    <t>0004 - DSO 11.4 Výtlak V5</t>
  </si>
  <si>
    <t>225,7*0,9</t>
  </si>
  <si>
    <t>"v souběhu s gravitačním potrubím" 182*(0,9-0,5)</t>
  </si>
  <si>
    <t>"mimo souběh s gravitačním potrubím" 43,7*0,9</t>
  </si>
  <si>
    <t>"v souběhu s gravitačním potrubím" 182*0,5</t>
  </si>
  <si>
    <t>"mimo souběh s gravitačním potrubím" 43,7*4</t>
  </si>
  <si>
    <t>v souběhu s gravitačním potrubím viz stoka D3 DSO 01.3g</t>
  </si>
  <si>
    <t>0,9*5</t>
  </si>
  <si>
    <t>Poznámka k položce:_x000D_
viz TZ př. č. D.1.1.11.1, situace C3  a v.č. D.1.1.11.2 až 3, v.č. D.1.1.11.4.1 až 3 _x000D_
50% hor.tř. II a 50% hor.tř.III</t>
  </si>
  <si>
    <t>"mimo souběh s gravitačním potrubím" 43,7*0,9*(2,1-0,45)</t>
  </si>
  <si>
    <t>"v souběhu s gravitačním potrubím" 182*0,9*(2,1-0,45)</t>
  </si>
  <si>
    <t>335,165*0,5</t>
  </si>
  <si>
    <t>(167,583+167,583)*0,2</t>
  </si>
  <si>
    <t>225,7*2,1*2</t>
  </si>
  <si>
    <t>167,583+167,583</t>
  </si>
  <si>
    <t>335,166*5 'Přepočtené koeficientem množství</t>
  </si>
  <si>
    <t>335,166*1,8 'Přepočtené koeficientem množství</t>
  </si>
  <si>
    <t>-83,283</t>
  </si>
  <si>
    <t>-20,313</t>
  </si>
  <si>
    <t>225,7*0,9*(0,45-0,05)</t>
  </si>
  <si>
    <t>312,332*2 'Přepočtené koeficientem množství</t>
  </si>
  <si>
    <t>225,7*0,9*0,41</t>
  </si>
  <si>
    <t>83,283*2 'Přepočtené koeficientem množství</t>
  </si>
  <si>
    <t>624,664+166,566</t>
  </si>
  <si>
    <t>225,7</t>
  </si>
  <si>
    <t>225,7*0,9*0,1</t>
  </si>
  <si>
    <t>130,33</t>
  </si>
  <si>
    <t>174,8</t>
  </si>
  <si>
    <t>225,7*1,05 'Přepočtené koeficientem množství</t>
  </si>
  <si>
    <t>4+9+1</t>
  </si>
  <si>
    <t>286,5-R</t>
  </si>
  <si>
    <t>oblouk 45° SDR11 PE 100 PN16 D 110mm</t>
  </si>
  <si>
    <t>"Š D1-9" 1</t>
  </si>
  <si>
    <t>237</t>
  </si>
  <si>
    <t>226</t>
  </si>
  <si>
    <t>"kamenivo" 117,815+42,224+75,591</t>
  </si>
  <si>
    <t>"asfalt" 12,772+20,103</t>
  </si>
  <si>
    <t>268,505*14 'Přepočtené koeficientem množství</t>
  </si>
  <si>
    <t>839,159-791,23</t>
  </si>
  <si>
    <t>0006 - DSO 11.6 Výtlak V8</t>
  </si>
  <si>
    <t>Poznámka k položce:_x000D_
viz TZ př. č. D.1.1.11.1, situace C3  a v.č. D.1.1.11.2 až 5, v.č. D.1.1.11.6.1 až 5</t>
  </si>
  <si>
    <t>(140,3+79,5+105)*0,9</t>
  </si>
  <si>
    <t>"v souběhu s gravitačním potrubím" (79,5+105)*(0,9-0,5)</t>
  </si>
  <si>
    <t>"mimo souběh s gravitačním potrubím" 140,3*0,9</t>
  </si>
  <si>
    <t>"v souběhu s gravitačním potrubím stok D a DA" (79,5+105)*0,5</t>
  </si>
  <si>
    <t>"mimo souběh s gravitačním potrubím" 140,3*3,5</t>
  </si>
  <si>
    <t>v souběhu s gravitačním potrubím viz stoka D DSO 01.3a a stoka DA DSO 01.3b</t>
  </si>
  <si>
    <t>-656339815</t>
  </si>
  <si>
    <t>startovací jáma</t>
  </si>
  <si>
    <t>1216790591</t>
  </si>
  <si>
    <t>92,2*3</t>
  </si>
  <si>
    <t>"startovací jáma" 4*3</t>
  </si>
  <si>
    <t>"Koncová jáma" 3*3</t>
  </si>
  <si>
    <t>-401896019</t>
  </si>
  <si>
    <t>Poznámka k položce:_x000D_
viz TZ př. č. D.1.1.11.1, situace C3  a v.č. D.1.1.11.2 až 5, v.č. D.1.1.11.6.1 až 5_x000D_
50% hor.tř. II a 50% hor.tř.III</t>
  </si>
  <si>
    <t xml:space="preserve">zeleň, tl.100mm, odebráno v rámci přípravných prací </t>
  </si>
  <si>
    <t>"startovací jáma" 4*2,5*(4,33-0,1)</t>
  </si>
  <si>
    <t>42,3*0,5</t>
  </si>
  <si>
    <t>-409525428</t>
  </si>
  <si>
    <t>"mimo souběh s gravitačním potrubím" 140,3*0,9*(1,8-0,45)</t>
  </si>
  <si>
    <t>"v souběhu s gravitačním potrubím" (105+79,5)*0,9*(1,8-0,45)</t>
  </si>
  <si>
    <t>zeleň tl.100mm, odbernáno vrámci přípravných prací</t>
  </si>
  <si>
    <t>92,2*0,9*(1,8-0,1)</t>
  </si>
  <si>
    <t>"DN250" 3*1,05*(1,8-0,1)</t>
  </si>
  <si>
    <t>"rozšíření pro šachty DN1000" 2,7*2,7*(2-0,1)*1-2,7*1,05*(1,8-0,1)*1</t>
  </si>
  <si>
    <t>"koncová jáma, 1ks šachty" 3*2,5*(3,5-0,1)</t>
  </si>
  <si>
    <t>575,586*0,5</t>
  </si>
  <si>
    <t>(287,793+287,793)*0,2</t>
  </si>
  <si>
    <t>141721252</t>
  </si>
  <si>
    <t>Řízený zemní protlak délky do 100 m hloubky do 6 m s protlačením potrubí vnějšího průměru vrtu do 110 mm v hornině třídy těžitelnosti I a II, skupiny 1 až 4</t>
  </si>
  <si>
    <t>-712487548</t>
  </si>
  <si>
    <t>Řízený zemní protlak délky protlaku přes 50 do 100 m v hornině třídy těžitelnosti I a II, skupiny 1 až 4 včetně protlačení trub v hloubce do 6 m vnějšího průměru vrtu přes 90 do 110 mm</t>
  </si>
  <si>
    <t>97,6</t>
  </si>
  <si>
    <t>28613687,1</t>
  </si>
  <si>
    <t>-814061218</t>
  </si>
  <si>
    <t>97,6*1,05 'Přepočtené koeficientem množství</t>
  </si>
  <si>
    <t>-1755685025</t>
  </si>
  <si>
    <t>"startovací jáma" 2*(4+2,5)*4,33</t>
  </si>
  <si>
    <t>-635179668</t>
  </si>
  <si>
    <t>"odpočet protlak" (514,6-97,6)*1,8*2</t>
  </si>
  <si>
    <t>"DN250" 3*1,8*2</t>
  </si>
  <si>
    <t>287,793+287,793</t>
  </si>
  <si>
    <t>21,15+21,15</t>
  </si>
  <si>
    <t>297,6*0,1</t>
  </si>
  <si>
    <t>1426068595</t>
  </si>
  <si>
    <t>647,646*5 'Přepočtené koeficientem množství</t>
  </si>
  <si>
    <t>-1750209626</t>
  </si>
  <si>
    <t>129,641*5 'Přepočtené koeficientem množství</t>
  </si>
  <si>
    <t>-1620163650</t>
  </si>
  <si>
    <t>92,2*0,9*(1,8-0,1-0,41-0,1)</t>
  </si>
  <si>
    <t>"DN250" 3*1,05*(1,8-0,1-0,55-0,1)</t>
  </si>
  <si>
    <t>"OP šachet DN1000" -3,14*0,62*0,62*1,8*1</t>
  </si>
  <si>
    <t>"odpočet protlak" (514,6-97,6)*0,9</t>
  </si>
  <si>
    <t>"DN250" 3*1,05</t>
  </si>
  <si>
    <t>488524919</t>
  </si>
  <si>
    <t>647,646</t>
  </si>
  <si>
    <t>-129,641</t>
  </si>
  <si>
    <t>518,005*1,8 'Přepočtené koeficientem množství</t>
  </si>
  <si>
    <t>-155,606</t>
  </si>
  <si>
    <t>-37,845-0,625</t>
  </si>
  <si>
    <t>podkladní bloky a desky</t>
  </si>
  <si>
    <t>-0,338-1,5</t>
  </si>
  <si>
    <t>218,52*0,9*(0,45-0,05)</t>
  </si>
  <si>
    <t>914254496</t>
  </si>
  <si>
    <t>498,466</t>
  </si>
  <si>
    <t>498,466-99,881</t>
  </si>
  <si>
    <t>398,585*2 'Přepočtené koeficientem množství</t>
  </si>
  <si>
    <t>"odpočet protlak" (514,6-97,6)*0,9*0,41</t>
  </si>
  <si>
    <t>"DN250" 3*1,05*0,55</t>
  </si>
  <si>
    <t>155,606*2 'Přepočtené koeficientem množství</t>
  </si>
  <si>
    <t>580330781</t>
  </si>
  <si>
    <t>-1058196864</t>
  </si>
  <si>
    <t>797,17+311,212</t>
  </si>
  <si>
    <t>113151111R</t>
  </si>
  <si>
    <t>Odstranění silničních panelů</t>
  </si>
  <si>
    <t>CS ÚRS 2017 02</t>
  </si>
  <si>
    <t>1200458804</t>
  </si>
  <si>
    <t>2+2</t>
  </si>
  <si>
    <t>"odpočet protlak" 514,6-97,6</t>
  </si>
  <si>
    <t>273313511</t>
  </si>
  <si>
    <t>Základové desky z betonu tř. C 12/15 - podkladní</t>
  </si>
  <si>
    <t>391203703</t>
  </si>
  <si>
    <t>Základy z betonu prostého desky z betonu kamenem neprokládaného tř. C 12/15</t>
  </si>
  <si>
    <t>4*2,5*0,1</t>
  </si>
  <si>
    <t>-1334705080</t>
  </si>
  <si>
    <t>3,2</t>
  </si>
  <si>
    <t>274351121</t>
  </si>
  <si>
    <t>Zřízení bednění základových pasů rovného - ochraný límec</t>
  </si>
  <si>
    <t>357848176</t>
  </si>
  <si>
    <t>Bednění základů pasů rovné zřízení</t>
  </si>
  <si>
    <t>2*(6,7+4)*0,3+0,6*0,3*4</t>
  </si>
  <si>
    <t>274351122</t>
  </si>
  <si>
    <t>Odstranění bednění základových pasů rovného</t>
  </si>
  <si>
    <t>170656659</t>
  </si>
  <si>
    <t>Bednění základů pasů rovné odstranění</t>
  </si>
  <si>
    <t>291211111R</t>
  </si>
  <si>
    <t>Osazení silničních panelů do lože tl 150 mm z kameniva pro vystrojení startovací jámy</t>
  </si>
  <si>
    <t>1890453996</t>
  </si>
  <si>
    <t xml:space="preserve">startovací jáma dno 2ks/ jámu </t>
  </si>
  <si>
    <t>59381009</t>
  </si>
  <si>
    <t>panel silniční 3,00x1,00x0,15m</t>
  </si>
  <si>
    <t>312636426</t>
  </si>
  <si>
    <t>291211112R</t>
  </si>
  <si>
    <t>Osazení silničních panelů na tlačnou stěnu pro vystrojení startovací jámy</t>
  </si>
  <si>
    <t>1271977053</t>
  </si>
  <si>
    <t>startovací jáma 2ks na jámu</t>
  </si>
  <si>
    <t>59381136</t>
  </si>
  <si>
    <t>panel silniční 2,00x1,00x0,15m</t>
  </si>
  <si>
    <t>1993471676</t>
  </si>
  <si>
    <t>-1904108126</t>
  </si>
  <si>
    <t>5,7</t>
  </si>
  <si>
    <t>1793934182</t>
  </si>
  <si>
    <t>-1379983041</t>
  </si>
  <si>
    <t>"odpočet protlak" (514,6-97,6)*0,9*0,1</t>
  </si>
  <si>
    <t>"DN250" 3*1,05*0,1</t>
  </si>
  <si>
    <t>24176645</t>
  </si>
  <si>
    <t>2,5*2,5*0,1*1</t>
  </si>
  <si>
    <t>1375459889</t>
  </si>
  <si>
    <t>1197365428</t>
  </si>
  <si>
    <t>1058279330</t>
  </si>
  <si>
    <t>1,5*1,5*0,15*1</t>
  </si>
  <si>
    <t>218,52</t>
  </si>
  <si>
    <t>491,05</t>
  </si>
  <si>
    <t>852241122</t>
  </si>
  <si>
    <t>Montáž potrubí z trub litinových tlakových přírubových normálních délek otevřený výkop DN 80</t>
  </si>
  <si>
    <t>769586163</t>
  </si>
  <si>
    <t>Montáž potrubí z trub litinových tlakových přírubových  normálních délek v otevřeném výkopu, kanálu nebo v šachtě DN 80</t>
  </si>
  <si>
    <t>1,8</t>
  </si>
  <si>
    <t>55253247</t>
  </si>
  <si>
    <t>trouba přírubová litinová vodovodní  PN10/16 DN 80 dl 1000mm</t>
  </si>
  <si>
    <t>102192476</t>
  </si>
  <si>
    <t>1,8*1,05 'Přepočtené koeficientem množství</t>
  </si>
  <si>
    <t>857242122</t>
  </si>
  <si>
    <t>Montáž litinových tvarovek jednoosých přírubových otevřený výkop DN 80</t>
  </si>
  <si>
    <t>-202410222</t>
  </si>
  <si>
    <t>Montáž litinových tvarovek na potrubí litinovém tlakovém jednoosých na potrubí z trub přírubových v otevřeném výkopu, kanálu nebo v šachtě DN 80</t>
  </si>
  <si>
    <t>55254047</t>
  </si>
  <si>
    <t>koleno 90° s patkou přírubové litinové vodovodní N-kus PN10/40 DN 80</t>
  </si>
  <si>
    <t>-612814263</t>
  </si>
  <si>
    <t>TP kus litina, dl.300mm</t>
  </si>
  <si>
    <t>717458688</t>
  </si>
  <si>
    <t>857264122</t>
  </si>
  <si>
    <t>Montáž litinových tvarovek odbočných přírubových otevřený výkop DN 100</t>
  </si>
  <si>
    <t>-1756233820</t>
  </si>
  <si>
    <t>Montáž litinových tvarovek na potrubí litinovém tlakovém odbočných na potrubí z trub přírubových v otevřeném výkopu, kanálu nebo v šachtě DN 100</t>
  </si>
  <si>
    <t>55253515</t>
  </si>
  <si>
    <t>tvarovka přírubová litinová s přírubovou odbočkou,práškový epoxid tl 250µm T-kus DN 100/80</t>
  </si>
  <si>
    <t>930237805</t>
  </si>
  <si>
    <t>odpočet protlak</t>
  </si>
  <si>
    <t>514,6-97,6</t>
  </si>
  <si>
    <t>417*1,05 'Přepočtené koeficientem množství</t>
  </si>
  <si>
    <t>-1263583197</t>
  </si>
  <si>
    <t>2+1+3+4+26+5</t>
  </si>
  <si>
    <t>1425057884</t>
  </si>
  <si>
    <t>1439158473</t>
  </si>
  <si>
    <t>286,4-R</t>
  </si>
  <si>
    <t>oblouk 30° SDR11 PE 100 PN16 D 110mm</t>
  </si>
  <si>
    <t>1126437342</t>
  </si>
  <si>
    <t>1851939794</t>
  </si>
  <si>
    <t>891247111</t>
  </si>
  <si>
    <t>Montáž hydrantů podzemních DN 80</t>
  </si>
  <si>
    <t>-299059084</t>
  </si>
  <si>
    <t>Montáž vodovodních armatur na potrubí hydrantů podzemních (bez osazení poklopů) DN 80</t>
  </si>
  <si>
    <t>42273664</t>
  </si>
  <si>
    <t>hydrant podzemní DN 100 PN 16 dvojitý uzávěr s koulí krycí v 1250mm</t>
  </si>
  <si>
    <t>-1523279530</t>
  </si>
  <si>
    <t>-2031224412</t>
  </si>
  <si>
    <t>-1326117880</t>
  </si>
  <si>
    <t>1116946356</t>
  </si>
  <si>
    <t>-1832480180</t>
  </si>
  <si>
    <t>-1260394783</t>
  </si>
  <si>
    <t>-670884781</t>
  </si>
  <si>
    <t>592,1a-R</t>
  </si>
  <si>
    <t>dno betonové šachty prefabrikované kanalizační DN1000, 250-900, Žlábek ve dně prefabrikované šachty (kyneta) a nástupnice bude provedena z betonu do 1/2 profilu, nástupnice s protiskluzem R11 dle DIN 51 130</t>
  </si>
  <si>
    <t>351613943</t>
  </si>
  <si>
    <t>94</t>
  </si>
  <si>
    <t>-1504370939</t>
  </si>
  <si>
    <t>95</t>
  </si>
  <si>
    <t>1877807345</t>
  </si>
  <si>
    <t>96</t>
  </si>
  <si>
    <t>-244705874</t>
  </si>
  <si>
    <t>97</t>
  </si>
  <si>
    <t>98</t>
  </si>
  <si>
    <t>1067616784</t>
  </si>
  <si>
    <t>"stávající stoka A, SŠ53" 1</t>
  </si>
  <si>
    <t>99</t>
  </si>
  <si>
    <t>"Š V8-1" 1</t>
  </si>
  <si>
    <t>100</t>
  </si>
  <si>
    <t>-1931023600</t>
  </si>
  <si>
    <t>101</t>
  </si>
  <si>
    <t>-32426966</t>
  </si>
  <si>
    <t>102</t>
  </si>
  <si>
    <t>899401113</t>
  </si>
  <si>
    <t>Osazení poklopů litinových hydrantových, vč. podkladové desky</t>
  </si>
  <si>
    <t>2051136219</t>
  </si>
  <si>
    <t>Osazení poklopů litinových hydrantových</t>
  </si>
  <si>
    <t>103</t>
  </si>
  <si>
    <t>42291452</t>
  </si>
  <si>
    <t>poklop litinový hydrantový DN 80</t>
  </si>
  <si>
    <t>1922851272</t>
  </si>
  <si>
    <t>104</t>
  </si>
  <si>
    <t>422,5-R</t>
  </si>
  <si>
    <t>podkladová deska universální</t>
  </si>
  <si>
    <t>-189235507</t>
  </si>
  <si>
    <t>540</t>
  </si>
  <si>
    <t>106</t>
  </si>
  <si>
    <t>515</t>
  </si>
  <si>
    <t>107</t>
  </si>
  <si>
    <t>108</t>
  </si>
  <si>
    <t>"kamenivo" 169,546+42,804+126,742</t>
  </si>
  <si>
    <t>"asfalt" 21,415+56,471</t>
  </si>
  <si>
    <t>109</t>
  </si>
  <si>
    <t>416,978*14 'Přepočtené koeficientem množství</t>
  </si>
  <si>
    <t>111</t>
  </si>
  <si>
    <t>112</t>
  </si>
  <si>
    <t>113</t>
  </si>
  <si>
    <t>1221,367-1108,382</t>
  </si>
  <si>
    <t>0008 - DSO 11.8 Výtlak V11</t>
  </si>
  <si>
    <t xml:space="preserve">Poznámka k položce:_x000D_
viz TZ př. č. D.1.1.11.1, situace C3  a v.č. D.1.1.11.2 až 3, v.č. D.1.1.11.8.1 až 3 </t>
  </si>
  <si>
    <t>83,8*0,9</t>
  </si>
  <si>
    <t>"v souběhu s gravitačním potrubím" 52,5*(0,9-0,5)</t>
  </si>
  <si>
    <t>"mimo souběh s gravitačním potrubím" 31,3*0,9</t>
  </si>
  <si>
    <t>"v souběhu s gravitačním potrubím" 52,5*0,5</t>
  </si>
  <si>
    <t>"mimo souběh s gravitačním potrubím" 31,3*3,5</t>
  </si>
  <si>
    <t>v souběhu s gravitačním potrubím viz stoka A2a DSO 01.1c</t>
  </si>
  <si>
    <t>0,9*1</t>
  </si>
  <si>
    <t>Poznámka k položce:_x000D_
viz TZ př. č. D.1.1.11.1, situace C3  a v.č. D.1.1.11.2 až 3, v.č. D.1.1.11.8.1 až 3 _x000D_
50% hor.tř. II a 50% hor.tř.III</t>
  </si>
  <si>
    <t>"mimo souběh s gravitačním potrubím" 31,3*0,9*(2-0,45)</t>
  </si>
  <si>
    <t>"v souběhu s gravitačním potrubím" 52,5*0,9*(2-0,45)</t>
  </si>
  <si>
    <t>116,902*0,5</t>
  </si>
  <si>
    <t>(58,451+58,451)*0,2</t>
  </si>
  <si>
    <t>83,8*2*2</t>
  </si>
  <si>
    <t>58,451+58,451</t>
  </si>
  <si>
    <t>116,902*5 'Přepočtené koeficientem množství</t>
  </si>
  <si>
    <t>116,902*1,8 'Přepočtené koeficientem množství</t>
  </si>
  <si>
    <t>-30,922</t>
  </si>
  <si>
    <t>-7,542</t>
  </si>
  <si>
    <t>83,8*0,9*(0,45-0,05)</t>
  </si>
  <si>
    <t>108,106*2 'Přepočtené koeficientem množství</t>
  </si>
  <si>
    <t>83,8*0,9*0,41</t>
  </si>
  <si>
    <t>30,922*2 'Přepočtené koeficientem množství</t>
  </si>
  <si>
    <t>216,212+61,844</t>
  </si>
  <si>
    <t>83,8</t>
  </si>
  <si>
    <t>83,8*0,9*0,1</t>
  </si>
  <si>
    <t>-328695130</t>
  </si>
  <si>
    <t>-1921787964</t>
  </si>
  <si>
    <t>-463114797</t>
  </si>
  <si>
    <t>791094912</t>
  </si>
  <si>
    <t>54,42</t>
  </si>
  <si>
    <t>594126806</t>
  </si>
  <si>
    <t>493983438</t>
  </si>
  <si>
    <t>109,55</t>
  </si>
  <si>
    <t>83,8*1,05 'Přepočtené koeficientem množství</t>
  </si>
  <si>
    <t>1+1+2+9+1</t>
  </si>
  <si>
    <t>1669526907</t>
  </si>
  <si>
    <t>-474249188</t>
  </si>
  <si>
    <t>"Š A23" 1</t>
  </si>
  <si>
    <t>"kamenivo" 43,744+12,18+31,564</t>
  </si>
  <si>
    <t>"asfalt" 5,333+12,598</t>
  </si>
  <si>
    <t>105,419*14 'Přepočtené koeficientem množství</t>
  </si>
  <si>
    <t>295,812-278,056</t>
  </si>
  <si>
    <t>012 - SO 12 Domovní čerpací stanice DČS</t>
  </si>
  <si>
    <t>0001 - DSO 12.1 Čerpací stanice DČS - stavební část</t>
  </si>
  <si>
    <t>-348626189</t>
  </si>
  <si>
    <t>Poznámka k položce:_x000D_
viz TZ př. č. D.1.1.12.1, situace C3  a v.č. D.1.1.12.2 a 3, v.č. D.1.1.12.1.1</t>
  </si>
  <si>
    <t>106,9*0,9</t>
  </si>
  <si>
    <t>Odstranění podkladu z kameniva drceného tl 400 mm strojně pl přes 200 m2 - po provedení dosypu na výtlaku V8</t>
  </si>
  <si>
    <t>-1230314825</t>
  </si>
  <si>
    <t>"v souběhu s výtlakem V8" 106,9*(0,9-0,6)</t>
  </si>
  <si>
    <t>-1276761995</t>
  </si>
  <si>
    <t>-995009658</t>
  </si>
  <si>
    <t>"v souběhu s výtlakem V8" 106,9*0,6</t>
  </si>
  <si>
    <t>frézování viz DSO 11.6 Výtlak V8</t>
  </si>
  <si>
    <t>694669590</t>
  </si>
  <si>
    <t>2044116055</t>
  </si>
  <si>
    <t>1872386797</t>
  </si>
  <si>
    <t>-543255151</t>
  </si>
  <si>
    <t>-1298052429</t>
  </si>
  <si>
    <t>"výtlak" 23,6*3</t>
  </si>
  <si>
    <t>"DČS" 4*4</t>
  </si>
  <si>
    <t>131151105</t>
  </si>
  <si>
    <t>Hloubení jam nezapažených v hornině třídy těžitelnosti I, skupiny 1 a 2 objem do 1000 m3 strojně</t>
  </si>
  <si>
    <t>175227392</t>
  </si>
  <si>
    <t>Hloubení nezapažených jam a zářezů strojně s urovnáním dna do předepsaného profilu a spádu v hornině třídy těžitelnosti I skupiny 1 a 2 přes 500 do 1 000 m3</t>
  </si>
  <si>
    <t>Poznámka k položce:_x000D_
viz TZ př. č. D.1.1.12.1, situace C3  a v.č. D.1.1.12.2 a 3, v.č. D.1.1.12.1.1_x000D_
50% hor.tř. II a 50% hor.tř.III</t>
  </si>
  <si>
    <t>zeleň tl100mm, odebráno v rámcí přípravných prací</t>
  </si>
  <si>
    <t>"DČS" 2,5*2,5*(2,2-0,1)</t>
  </si>
  <si>
    <t>13,125*0,5</t>
  </si>
  <si>
    <t>131251105</t>
  </si>
  <si>
    <t>Hloubení jam nezapažených v hornině třídy těžitelnosti I, skupiny 3 objemu do 1000 m3 strojně</t>
  </si>
  <si>
    <t>1445281540</t>
  </si>
  <si>
    <t>Hloubení nezapažených jam a zářezů strojně s urovnáním dna do předepsaného profilu a spádu v hornině třídy těžitelnosti I skupiny 3 přes 500 do 1 000 m3</t>
  </si>
  <si>
    <t>1355734215</t>
  </si>
  <si>
    <t>"v souběhu s výtlakem V8" 106,9*0,9*(1,6-0,45)</t>
  </si>
  <si>
    <t>zeleň tl.100mm, odebrnáno vrámci přípravných prací</t>
  </si>
  <si>
    <t>"v souběhu s výtlakem V8" 23,6*0,9*(1,6-0,1)</t>
  </si>
  <si>
    <t>142,502*0,5</t>
  </si>
  <si>
    <t>1912968225</t>
  </si>
  <si>
    <t>97448353</t>
  </si>
  <si>
    <t>(71,251+71,251)*0,2</t>
  </si>
  <si>
    <t>469244731</t>
  </si>
  <si>
    <t>"výtlak" 130,5*1,6*2</t>
  </si>
  <si>
    <t>1824780096</t>
  </si>
  <si>
    <t>-1498955614</t>
  </si>
  <si>
    <t>71,251+71,251</t>
  </si>
  <si>
    <t>6,563+6,563</t>
  </si>
  <si>
    <t>86,8*0,1</t>
  </si>
  <si>
    <t>-2142592427</t>
  </si>
  <si>
    <t>1350018012</t>
  </si>
  <si>
    <t>164,308*5 'Přepočtené koeficientem množství</t>
  </si>
  <si>
    <t>-874743436</t>
  </si>
  <si>
    <t>31,194*5 'Přepočtené koeficientem množství</t>
  </si>
  <si>
    <t>-2104270711</t>
  </si>
  <si>
    <t>23,6*0,9*(1,6-0,1-0,34-0,1)</t>
  </si>
  <si>
    <t>1571072686</t>
  </si>
  <si>
    <t>"výtlak" 130,5*0,9</t>
  </si>
  <si>
    <t>"DČS" 1,5*1,5</t>
  </si>
  <si>
    <t>1645678818</t>
  </si>
  <si>
    <t>164,308</t>
  </si>
  <si>
    <t>-31,194</t>
  </si>
  <si>
    <t>133,114*1,8 'Přepočtené koeficientem množství</t>
  </si>
  <si>
    <t>-343464340</t>
  </si>
  <si>
    <t>-39,933</t>
  </si>
  <si>
    <t>-11,745</t>
  </si>
  <si>
    <t>podkladní bdesky</t>
  </si>
  <si>
    <t>-0,2</t>
  </si>
  <si>
    <t>-0,225</t>
  </si>
  <si>
    <t>"OP DČS" -3,14*0,35*0,35*2</t>
  </si>
  <si>
    <t>130,5*0,9*(0,45-0,05)</t>
  </si>
  <si>
    <t>-393360489</t>
  </si>
  <si>
    <t>149,736</t>
  </si>
  <si>
    <t>149,736-22,514</t>
  </si>
  <si>
    <t>127,222*2 'Přepočtené koeficientem množství</t>
  </si>
  <si>
    <t>85197693</t>
  </si>
  <si>
    <t>"výtlak" 130,5*0,9*0,34</t>
  </si>
  <si>
    <t>604223940</t>
  </si>
  <si>
    <t>39,933*2 'Přepočtené koeficientem množství</t>
  </si>
  <si>
    <t>1163750786</t>
  </si>
  <si>
    <t>-1095471042</t>
  </si>
  <si>
    <t>1375386608</t>
  </si>
  <si>
    <t>254,444+79,866</t>
  </si>
  <si>
    <t>-1287567989</t>
  </si>
  <si>
    <t>1,5*1,5*0,1</t>
  </si>
  <si>
    <t xml:space="preserve">Základové desky z betonu tř. C 12/15 </t>
  </si>
  <si>
    <t>-1108758777</t>
  </si>
  <si>
    <t>podkladní + stabilizační</t>
  </si>
  <si>
    <t>1*1*(0,1+0,1)</t>
  </si>
  <si>
    <t>-817643169</t>
  </si>
  <si>
    <t>Poznámka k položce:_x000D_
viz TZ př. č. D.1.1.10.1, situace  a v.č. D.1.1.10(03).1.1</t>
  </si>
  <si>
    <t>plocha dle autocad</t>
  </si>
  <si>
    <t>5,75*0,15</t>
  </si>
  <si>
    <t>1500770018</t>
  </si>
  <si>
    <t>2*(1+1)*0,2</t>
  </si>
  <si>
    <t>-1852102500</t>
  </si>
  <si>
    <t>-2010653976</t>
  </si>
  <si>
    <t>1*1*6,5*1,15/1000*2</t>
  </si>
  <si>
    <t>-1966764564</t>
  </si>
  <si>
    <t>"výtlak" 130,5*0,9*0,1</t>
  </si>
  <si>
    <t>-1905050343</t>
  </si>
  <si>
    <t>-1134691890</t>
  </si>
  <si>
    <t>558023902</t>
  </si>
  <si>
    <t>-1587443021</t>
  </si>
  <si>
    <t>64,14</t>
  </si>
  <si>
    <t>vrchní asfaltový koberec viz DSO 11.6 Výtlak V8</t>
  </si>
  <si>
    <t>871184201</t>
  </si>
  <si>
    <t>Montáž kanalizačního potrubí z PE SDR11 otevřený výkop sklon do 20 % svařovaných na tupo D 40x3,7 mm</t>
  </si>
  <si>
    <t>-1937549740</t>
  </si>
  <si>
    <t>Montáž kanalizačního potrubí z plastů z polyetylenu PE 100 svařovaných na tupo v otevřeném výkopu ve sklonu do 20 % SDR 11/PN16 D 40 x 3,7 mm</t>
  </si>
  <si>
    <t>"výtlak" 130,5</t>
  </si>
  <si>
    <t>28613682</t>
  </si>
  <si>
    <t>potrubí dvouvrstvé PE100 RC se signalizační vrstvou SDR11 40x3,7mm dl 12m</t>
  </si>
  <si>
    <t>1421426315</t>
  </si>
  <si>
    <t>130,5*1,05 'Přepočtené koeficientem množství</t>
  </si>
  <si>
    <t>877175213</t>
  </si>
  <si>
    <t>Montáž elektro T-kusů na kanalizačním potrubí z PE trub d 40</t>
  </si>
  <si>
    <t>1335093318</t>
  </si>
  <si>
    <t>Montáž tvarovek na kanalizačním plastovém potrubí z polyetylenu PE 100 elektrotvarovek SDR 11/PN16 T-kusů d 40</t>
  </si>
  <si>
    <t>28614956</t>
  </si>
  <si>
    <t>elektrotvarovka T-kus rovnoramenný PE 100 PN16 D 40mm</t>
  </si>
  <si>
    <t>-549223743</t>
  </si>
  <si>
    <t>892241111</t>
  </si>
  <si>
    <t>Tlaková zkouška potrubí do 80</t>
  </si>
  <si>
    <t>-1089939457</t>
  </si>
  <si>
    <t>Tlakové zkoušky na potrubí DN do 80</t>
  </si>
  <si>
    <t>630419032</t>
  </si>
  <si>
    <t>899,96-R</t>
  </si>
  <si>
    <t>Náklady na napojení nového potrubí PE DN40 na prefa šachtu navrtávkou DN80 a utěsnění prostupu po osazení potrubí, vč. dodávky materiálu</t>
  </si>
  <si>
    <t>-1190081684</t>
  </si>
  <si>
    <t>"Š DA3" 1</t>
  </si>
  <si>
    <t>-1953029286</t>
  </si>
  <si>
    <t>130,5*1,05</t>
  </si>
  <si>
    <t>947988387</t>
  </si>
  <si>
    <t>130,5</t>
  </si>
  <si>
    <t>Dodávka + montáž domácí čerpací stanice PEHD průměr 800mm, výška 2100mm, vč. poklopu, vč. strojního vystrojení (kompletní dodávka)</t>
  </si>
  <si>
    <t>-552965277</t>
  </si>
  <si>
    <t xml:space="preserve">Dodávka + montáž domácí čerpací stanice PEHD průměr 800mm, výška 2100mm, vč. poklopu, vč. strojního vystrojení (kompletní dodávka)
Jedná se o vybudování 1ks domovní čerpací stanice  (např. SAKAL). Čerpací jímka je kompletně vystrojená automatická čerpací stanice (ACS). Skládá se z tělesa jímky a vnitřního automatického čerpacího systému. Těleso jímky je dvojitého kónického tvaru s ocelovou výztuží. Toto řešení zajištuje odolnost vůči hydrogeologickým tlakům. V plášti jímky je navařeno nátokové hrdlo DN 150 pro napojení gravitační kanalizace. Jímka je dále vybavena gumovou průchodkou DN 40 pro protažení výtlakového potrubí a plastovým hrdlem DN 50 pro protažení elektroinstalace. Vnitřní systém čerpací jímky se skládá z kalového čerpadla, řídící jednotky, kontrolních plováků hlídajících minimální a maximální hladiny a zpětné pojistné klapy výtlačného potrubí
Čerpací jímka je vybavena čerpacím systémem s čerpadlem BF01-UN
</t>
  </si>
  <si>
    <t>parametry čerpací stanice viz TZ př. č. D.1.1.12.1 a výkres D.1.1.12.1.1</t>
  </si>
  <si>
    <t>"DČS" 1</t>
  </si>
  <si>
    <t>1563216108</t>
  </si>
  <si>
    <t>1,5*1,5</t>
  </si>
  <si>
    <t>-611782430</t>
  </si>
  <si>
    <t>"kamenivo" 55,802+18,601</t>
  </si>
  <si>
    <t>"asfalt" 37,201+6,285</t>
  </si>
  <si>
    <t>915655949</t>
  </si>
  <si>
    <t>117,889*14 'Přepočtené koeficientem množství</t>
  </si>
  <si>
    <t>544421901</t>
  </si>
  <si>
    <t>1831717116</t>
  </si>
  <si>
    <t>1026780014</t>
  </si>
  <si>
    <t>1674078523</t>
  </si>
  <si>
    <t>337,767-334,31</t>
  </si>
  <si>
    <t>0002 - DSO 12.3 Čerpací stanice DČS - přípojka NN</t>
  </si>
  <si>
    <t>Dodávka + montáž CYKY-J 5x2.5 mm2 , pevně</t>
  </si>
  <si>
    <t>CYKY-J 5x2.5 mm2 , pevně</t>
  </si>
  <si>
    <t>013 - PS Strojně-technologická část</t>
  </si>
  <si>
    <t xml:space="preserve">0001 - PS Strojně-technologická část Strojně-technologická část - součástí dílčích stavebních objektů </t>
  </si>
  <si>
    <t xml:space="preserve">    22-M - Montáže technologických zařízení </t>
  </si>
  <si>
    <t>22-M</t>
  </si>
  <si>
    <t xml:space="preserve">Montáže technologických zařízení </t>
  </si>
  <si>
    <t>M22,1-R</t>
  </si>
  <si>
    <t>Strojně-technologická část - je součástí dílčích stavebních objektů DSO 02.1, DSO 05.1, DSO 07.1, DSO 09.1  - jednotková cena se nevyplňuje</t>
  </si>
  <si>
    <t>-711712260</t>
  </si>
  <si>
    <t>014 - PS 01 Čerpací stanice ČS1</t>
  </si>
  <si>
    <t>0001 - PS 01.1 ČS1 - elektro, SŘTP, MaR</t>
  </si>
  <si>
    <t xml:space="preserve">    D1 - Rozváděč RMS-DR1 - silnoproudá část - Dodávka + montáž</t>
  </si>
  <si>
    <t xml:space="preserve">    D3 - Rozváděč RMS-DR1 - telemetrická část - Dodávka + montáž</t>
  </si>
  <si>
    <t xml:space="preserve">      D4 - Přenosová část - Dodávka + montáž</t>
  </si>
  <si>
    <t xml:space="preserve">      D6 - Telemetrická část - Dodávka + montáž</t>
  </si>
  <si>
    <t xml:space="preserve">    D5 - Montážní materiál - Dodávka + montáž</t>
  </si>
  <si>
    <t xml:space="preserve">    D7 - Měření a regulace - Dodávka + montáž</t>
  </si>
  <si>
    <t xml:space="preserve">    D9 - Služby</t>
  </si>
  <si>
    <t xml:space="preserve">    OST - Ostatní</t>
  </si>
  <si>
    <t>Rozváděč RMS-DR1 - silnoproudá část - Dodávka + montáž</t>
  </si>
  <si>
    <t>Pol29</t>
  </si>
  <si>
    <t>Celoplastový rozváděč dvoukřídlý, uzamykatelný 1115x1065x322 + pilíř 1115x950x310 + mont. deska</t>
  </si>
  <si>
    <t>Pol30</t>
  </si>
  <si>
    <t>HRN-55N U relé analog. 3x400V/230V,kontrola sledu a výpadku fází a "N" vodiče</t>
  </si>
  <si>
    <t>Pol31</t>
  </si>
  <si>
    <t>SPMP/4P40 Přepínač sítí I-0-II,In=40A,Un=415V</t>
  </si>
  <si>
    <t>Pol32</t>
  </si>
  <si>
    <t>HLSA 12,5-275/3+1 S L/N 25 kA (8/20), 12,5 kA (10/350), N/PE 50 kA (10/350) + kontakt DS</t>
  </si>
  <si>
    <t>kd</t>
  </si>
  <si>
    <t>Pol33</t>
  </si>
  <si>
    <t>LTN-6B-1 Jistič</t>
  </si>
  <si>
    <t>Ks</t>
  </si>
  <si>
    <t>Pol34</t>
  </si>
  <si>
    <t>LTN-10B-1 Jistič</t>
  </si>
  <si>
    <t>Pol35</t>
  </si>
  <si>
    <t>LTN-10B-3 Jistič</t>
  </si>
  <si>
    <t>Pol36</t>
  </si>
  <si>
    <t>LTN-16B-3 Jistič</t>
  </si>
  <si>
    <t>Pol37</t>
  </si>
  <si>
    <t>LTN-32B-3 Jistič</t>
  </si>
  <si>
    <t>Pol38</t>
  </si>
  <si>
    <t>PS-LT-1100 Pomocný spínač</t>
  </si>
  <si>
    <t>Pol39</t>
  </si>
  <si>
    <t>SV-LT-X400 Napěťová spoušť</t>
  </si>
  <si>
    <t>Pol40</t>
  </si>
  <si>
    <t>OFI-25-4-030AC Proudový chránič</t>
  </si>
  <si>
    <t>Pol41</t>
  </si>
  <si>
    <t>NIV 101/A vyhodnocovací relé - dodávka strojní části - pouze montáž</t>
  </si>
  <si>
    <t>Pol42</t>
  </si>
  <si>
    <t>NIV 105/S vyhodnocovací relé - dodávka strojní části - pouze montáž</t>
  </si>
  <si>
    <t>Pol43</t>
  </si>
  <si>
    <t>DS7-342SX007N0-N Softstartér, integr. bypass, bez reverzace, ovl. 110/230 V AC; 3 kW</t>
  </si>
  <si>
    <t>Pol44</t>
  </si>
  <si>
    <t>GZ1-E10 Motorový jistič 4...6,3A</t>
  </si>
  <si>
    <t>Pol45</t>
  </si>
  <si>
    <t>GZ1AN11 Pomocné kontakty k mot.jističům GZ1M 1Z+1V</t>
  </si>
  <si>
    <t>Pol46</t>
  </si>
  <si>
    <t>LC1D09P7 Stykač 9A 3P 1Z+1V 230V st</t>
  </si>
  <si>
    <t>Pol47</t>
  </si>
  <si>
    <t>LA3K1813-- Stykač kompenzační K3-18K10, 230VAC, 12, 5kVAr</t>
  </si>
  <si>
    <t>Pol48</t>
  </si>
  <si>
    <t>CSADG 1-0.4/4, 4kVAr, 5,8A</t>
  </si>
  <si>
    <t>Pol49</t>
  </si>
  <si>
    <t>XT484T30-- Relé XT 2P/8A, 230VAC+LED, 5mm</t>
  </si>
  <si>
    <t>Pol50</t>
  </si>
  <si>
    <t>XT484LC4-- Relé XT 2P/8A, 24VDC+LED, 5mm</t>
  </si>
  <si>
    <t>Pol51</t>
  </si>
  <si>
    <t>YRT78626-- Patice RT, šroub.vývody, 5mm</t>
  </si>
  <si>
    <t>Pol52</t>
  </si>
  <si>
    <t>YRT16040-- Štítek pro RT</t>
  </si>
  <si>
    <t>Pol53</t>
  </si>
  <si>
    <t>XB5-AA42 Ovládač stiskací lícující, 1 V - rudý</t>
  </si>
  <si>
    <t>Pol54</t>
  </si>
  <si>
    <t>XB5AD33 Ovládač otočný - 3 pev. polohy, 2 Z - černý</t>
  </si>
  <si>
    <t>Pol55</t>
  </si>
  <si>
    <t>XB5AVM1 Signálka s LED, 230.....240V, bílá</t>
  </si>
  <si>
    <t>Pol56</t>
  </si>
  <si>
    <t>XB5AVM3 Signálka s LED, 230.....240V, zelená</t>
  </si>
  <si>
    <t>Pol57</t>
  </si>
  <si>
    <t>XB5AVM5 Signálka s LED, 230.....240V, žlutá</t>
  </si>
  <si>
    <t>Pol58</t>
  </si>
  <si>
    <t>ZBE101 Pomocné kontakty</t>
  </si>
  <si>
    <t>Pol59</t>
  </si>
  <si>
    <t>BZ326413-P Počítadlo provozních hodin 220VAC,na panel</t>
  </si>
  <si>
    <t>Pol60</t>
  </si>
  <si>
    <t>IUK08565-- Termostat FLZ520/1R</t>
  </si>
  <si>
    <t>Pol61</t>
  </si>
  <si>
    <t>IUK08342-- Topení FLH045, 45W, 110-250VAC</t>
  </si>
  <si>
    <t>Pol62</t>
  </si>
  <si>
    <t>LED pásek 2W</t>
  </si>
  <si>
    <t>Pol63</t>
  </si>
  <si>
    <t>RSA 2,5A Řadová svornice</t>
  </si>
  <si>
    <t>Pol64</t>
  </si>
  <si>
    <t>RSA 6 A Řadová svornice</t>
  </si>
  <si>
    <t>Pol65</t>
  </si>
  <si>
    <t>RSA PE 2,5 A Řadová svornice</t>
  </si>
  <si>
    <t>Pol66</t>
  </si>
  <si>
    <t>RSA PE 6 A Řadová svornice</t>
  </si>
  <si>
    <t>Pol67</t>
  </si>
  <si>
    <t>RSP4 Řadová svornice pojistková</t>
  </si>
  <si>
    <t>Pol68</t>
  </si>
  <si>
    <t>IZG 3253 Nástěnná zásuvka IP 67</t>
  </si>
  <si>
    <t>Pol69</t>
  </si>
  <si>
    <t>IZVZ 1653 Nástěnná zásuvka s VZ16 IP44</t>
  </si>
  <si>
    <t>Pol70</t>
  </si>
  <si>
    <t>H07V-K 1.5 mm2</t>
  </si>
  <si>
    <t>Pol71</t>
  </si>
  <si>
    <t>H07V-K 2.5 mm2</t>
  </si>
  <si>
    <t>Pol72</t>
  </si>
  <si>
    <t>H07V-K 4   mm2</t>
  </si>
  <si>
    <t>Pol73</t>
  </si>
  <si>
    <t>H07V-K 6   mm2</t>
  </si>
  <si>
    <t>Pol74</t>
  </si>
  <si>
    <t>H07V-K 10  mm2</t>
  </si>
  <si>
    <t>Pol75</t>
  </si>
  <si>
    <t>kabelový žlab děrovaný</t>
  </si>
  <si>
    <t>Pol76</t>
  </si>
  <si>
    <t>106/11    Vývodka kabelová kuželová Pg 11, šedá</t>
  </si>
  <si>
    <t>Pol77</t>
  </si>
  <si>
    <t>106/13,5  Vývodka kabelová kuželová Pg 13,5, šedá</t>
  </si>
  <si>
    <t>Pol78</t>
  </si>
  <si>
    <t>106/29    Vývodka kabelová kuželová Pg 29, šedá</t>
  </si>
  <si>
    <t>Pol79</t>
  </si>
  <si>
    <t>Ukončení vodičů v rozváděči nebo na přístroji do 10 mm2</t>
  </si>
  <si>
    <t>Pol80</t>
  </si>
  <si>
    <t>Drobný montážní a popisový materiál</t>
  </si>
  <si>
    <t>Rozváděč RMS-DR1 - telemetrická část - Dodávka + montáž</t>
  </si>
  <si>
    <t>D4</t>
  </si>
  <si>
    <t>Přenosová část - Dodávka + montáž</t>
  </si>
  <si>
    <t>Pol81</t>
  </si>
  <si>
    <t>Externí  Anténa LTE</t>
  </si>
  <si>
    <t>Pol82</t>
  </si>
  <si>
    <t>Kabel + konektory</t>
  </si>
  <si>
    <t>Pol83</t>
  </si>
  <si>
    <t>Pol84</t>
  </si>
  <si>
    <t>Datový kabel</t>
  </si>
  <si>
    <t>Pol85</t>
  </si>
  <si>
    <t>Rozšíření záručního servisu na 36 měsíců</t>
  </si>
  <si>
    <t>114</t>
  </si>
  <si>
    <t>D6</t>
  </si>
  <si>
    <t>Telemetrická část - Dodávka + montáž</t>
  </si>
  <si>
    <t>Pol86</t>
  </si>
  <si>
    <t>Telemetrická stanice Tecomat FOXTROT v konfiguraci 6x AI/BI, 6xBO, 2x AO, 12x BI,  ETH100/10,  2-4x SCH, 1xCIB, 1x TCL2  LTE modul</t>
  </si>
  <si>
    <t>116</t>
  </si>
  <si>
    <t>Pol87</t>
  </si>
  <si>
    <t>USID60---- UPS 600VA/360W; IEC;230V; 1f; VFD; 7'; USB+SW</t>
  </si>
  <si>
    <t>118</t>
  </si>
  <si>
    <t>Pol88</t>
  </si>
  <si>
    <t>HSAF10 přepěťová ochrana 3.st. s VF filtrem</t>
  </si>
  <si>
    <t>120</t>
  </si>
  <si>
    <t>Pol89</t>
  </si>
  <si>
    <t>PS2-60/27 zdroj 24V/12V DC</t>
  </si>
  <si>
    <t>122</t>
  </si>
  <si>
    <t>Pol90</t>
  </si>
  <si>
    <t>124</t>
  </si>
  <si>
    <t>Pol91</t>
  </si>
  <si>
    <t>126</t>
  </si>
  <si>
    <t>Pol92</t>
  </si>
  <si>
    <t>ZSE-03 Soklová zásuvka</t>
  </si>
  <si>
    <t>128</t>
  </si>
  <si>
    <t>130</t>
  </si>
  <si>
    <t>132</t>
  </si>
  <si>
    <t>134</t>
  </si>
  <si>
    <t>136</t>
  </si>
  <si>
    <t>138</t>
  </si>
  <si>
    <t>140</t>
  </si>
  <si>
    <t>142</t>
  </si>
  <si>
    <t>Pol93</t>
  </si>
  <si>
    <t>144</t>
  </si>
  <si>
    <t>Montážní materiál - Dodávka + montáž</t>
  </si>
  <si>
    <t>Pol96</t>
  </si>
  <si>
    <t>CYKY-J 3x1.5 mm2 , pevně</t>
  </si>
  <si>
    <t>150</t>
  </si>
  <si>
    <t>Pol97</t>
  </si>
  <si>
    <t>JYTY-O 2x1 mm , pevně</t>
  </si>
  <si>
    <t>152</t>
  </si>
  <si>
    <t>Pol98</t>
  </si>
  <si>
    <t>EPS 2 EKVIPOTENCIÁLNÍ SVORKOVNICE</t>
  </si>
  <si>
    <t>154</t>
  </si>
  <si>
    <t>Pol99</t>
  </si>
  <si>
    <t>KF 9251 200x160x98 mm včetně svorek</t>
  </si>
  <si>
    <t>156</t>
  </si>
  <si>
    <t>Pol100</t>
  </si>
  <si>
    <t>KF 8020 88x88x53 mm včetně svorek</t>
  </si>
  <si>
    <t>158</t>
  </si>
  <si>
    <t>Pol101</t>
  </si>
  <si>
    <t>ZS  zemnicí svorka</t>
  </si>
  <si>
    <t>160</t>
  </si>
  <si>
    <t>Pol102</t>
  </si>
  <si>
    <t>CY 16 , pevně</t>
  </si>
  <si>
    <t>162</t>
  </si>
  <si>
    <t>Pol103</t>
  </si>
  <si>
    <t>CY 6 , pevně</t>
  </si>
  <si>
    <t>164</t>
  </si>
  <si>
    <t>Pol104</t>
  </si>
  <si>
    <t>Cu pás.ZS16 Pásek uzemňovací Cu, 10m</t>
  </si>
  <si>
    <t>166</t>
  </si>
  <si>
    <t>Pol105</t>
  </si>
  <si>
    <t>168</t>
  </si>
  <si>
    <t>Měření a regulace - Dodávka + montáž</t>
  </si>
  <si>
    <t>Pol106</t>
  </si>
  <si>
    <t>Tlakové čidlo  0-2,5m, 4-20mA.  Dodávka fy WILO - naceněno pouze připojení do SŘTP</t>
  </si>
  <si>
    <t>170</t>
  </si>
  <si>
    <t>Pol107</t>
  </si>
  <si>
    <t>Mag. kontakt - rozváděč</t>
  </si>
  <si>
    <t>172</t>
  </si>
  <si>
    <t>Pol108</t>
  </si>
  <si>
    <t>Mechanický koncový spínač - poklop</t>
  </si>
  <si>
    <t>174</t>
  </si>
  <si>
    <t>Pol109</t>
  </si>
  <si>
    <t>PROMI-E Kódová klávesnice</t>
  </si>
  <si>
    <t>176</t>
  </si>
  <si>
    <t>D9</t>
  </si>
  <si>
    <t>Pol110</t>
  </si>
  <si>
    <t>Instalace, oživení a komplexní zkoušky</t>
  </si>
  <si>
    <t>178</t>
  </si>
  <si>
    <t>Pol111</t>
  </si>
  <si>
    <t>Software telemetrické stanice</t>
  </si>
  <si>
    <t>180</t>
  </si>
  <si>
    <t>Pol112</t>
  </si>
  <si>
    <t>Konfigurace dispečerského systému</t>
  </si>
  <si>
    <t>182</t>
  </si>
  <si>
    <t>Pol113</t>
  </si>
  <si>
    <t>184</t>
  </si>
  <si>
    <t>Pol114</t>
  </si>
  <si>
    <t>186</t>
  </si>
  <si>
    <t>OST</t>
  </si>
  <si>
    <t>Ostatní</t>
  </si>
  <si>
    <t>Pol117</t>
  </si>
  <si>
    <t>-1008069725</t>
  </si>
  <si>
    <t>Pol118</t>
  </si>
  <si>
    <t>Doprava</t>
  </si>
  <si>
    <t>2102194084</t>
  </si>
  <si>
    <t>Pol119</t>
  </si>
  <si>
    <t>PPV</t>
  </si>
  <si>
    <t>-1736316650</t>
  </si>
  <si>
    <t>017 - PS 04 Čerpací stanice ČS5</t>
  </si>
  <si>
    <t>0001 - PS 04.1 ČS5 - elektro, SŘTP, MaR</t>
  </si>
  <si>
    <t xml:space="preserve">    D9 - Montážní materiál - Dodávka + montáž</t>
  </si>
  <si>
    <t xml:space="preserve">    D11 - Měření a regulace - Dodávka + montáž</t>
  </si>
  <si>
    <t xml:space="preserve">    D13 - Služby</t>
  </si>
  <si>
    <t>Pol120</t>
  </si>
  <si>
    <t>DS7-342SX012N0-N Softstartér, integr. bypass, bez reverzace, ovl. 110/230 V AC; 5,5 kW</t>
  </si>
  <si>
    <t>Pol121</t>
  </si>
  <si>
    <t>GZ1-E14 Motorový jistič 6...10A</t>
  </si>
  <si>
    <t>Pol122</t>
  </si>
  <si>
    <t>CSADG 1-0.4/6,25, 6,25kVar, 9A</t>
  </si>
  <si>
    <t>D11</t>
  </si>
  <si>
    <t>D13</t>
  </si>
  <si>
    <t>135708572</t>
  </si>
  <si>
    <t>1155322909</t>
  </si>
  <si>
    <t>-533768447</t>
  </si>
  <si>
    <t>019 - PS 06 Čerpací stanice ČS8</t>
  </si>
  <si>
    <t>0001 - PS 06.1 ČS8 - elektro, SŘTP, MaR</t>
  </si>
  <si>
    <t>Pol124</t>
  </si>
  <si>
    <t>Pol126</t>
  </si>
  <si>
    <t>Indukční průtokoměr s oddělenou elektronikou. Dodávka fy WILO - naceněno pouze připojení do SŘTP</t>
  </si>
  <si>
    <t>sada</t>
  </si>
  <si>
    <t>188</t>
  </si>
  <si>
    <t>400711891</t>
  </si>
  <si>
    <t>86564032</t>
  </si>
  <si>
    <t>92127230</t>
  </si>
  <si>
    <t>021 - PS 08 Čerpací stanice ČS11</t>
  </si>
  <si>
    <t>0001 - PS 08.1 ČS11 - elektro, SŘTP, MaR</t>
  </si>
  <si>
    <t>-343306728</t>
  </si>
  <si>
    <t>1121298755</t>
  </si>
  <si>
    <t>-1296222745</t>
  </si>
  <si>
    <t>023 - PS 10 Domovní čerpací stanice DČS</t>
  </si>
  <si>
    <t>0001 - PS 10 Domovní čerpací stanice DČS - součásti stavebního objektu SO 12</t>
  </si>
  <si>
    <t xml:space="preserve">    21-M - Elektromontáže</t>
  </si>
  <si>
    <t>21-M</t>
  </si>
  <si>
    <t>Elektromontáže</t>
  </si>
  <si>
    <t>M21,1-R</t>
  </si>
  <si>
    <t>PS 10 Domovní čerpací stanice DČS - součásti stavebního objektu SO 12 - jednotková cena se nevyplňuje</t>
  </si>
  <si>
    <t>-388987000</t>
  </si>
  <si>
    <t>024 - PS11 Stávající čerpací stanice KČS Petřvald - Bužkovská</t>
  </si>
  <si>
    <t xml:space="preserve">    23-M - Montáže potrubí</t>
  </si>
  <si>
    <t>23-M</t>
  </si>
  <si>
    <t>Montáže potrubí</t>
  </si>
  <si>
    <t>M23,1-R</t>
  </si>
  <si>
    <t>Demontáž stávajícíh čerpadel, vč. odvozu a likvidace</t>
  </si>
  <si>
    <t>-105474035</t>
  </si>
  <si>
    <t xml:space="preserve">Poznámka k položce:_x000D_
viz TZ př.č. D.2.1.11.1_x000D_
Čerpadlo - El. motor 3,0 kW, 400 V, 50 Hz </t>
  </si>
  <si>
    <t>M23,2-R</t>
  </si>
  <si>
    <t xml:space="preserve">Dodoávka + montáž ponorné kalové čerpadlo </t>
  </si>
  <si>
    <t>618470941</t>
  </si>
  <si>
    <t xml:space="preserve">Dodoávka + montáž ponorné kalové čerpadlo 
Parametry:
Zapojení čerpadel:					1+1 
Typ kanalizace:					jednotná 
Čerpané množství:					6,4 l/s 
Dopravní výška:					10,0 m
jmenovitý výkon / proud:				2,5 kW / 5,8 A
El. motor 2,5 kW, 400 V, 50 Hz </t>
  </si>
  <si>
    <t>Poznámka k položce:_x000D_
viz TZ př.č. D.2.1.11.1</t>
  </si>
  <si>
    <t>025 - Ostatní a vedlejší náklady</t>
  </si>
  <si>
    <t xml:space="preserve">    1.1 - Zařízení staveniště</t>
  </si>
  <si>
    <t xml:space="preserve">      1.1.1 - Zřízení, údržba a odstranění prostor dodavatele</t>
  </si>
  <si>
    <t xml:space="preserve">      1.1.2 - Náklady na zdokumentování stavebně technického stavu stávajících objektů podél staveniště</t>
  </si>
  <si>
    <t xml:space="preserve">      1.1.3 - Vytýčení stávajících inž.sítí</t>
  </si>
  <si>
    <t xml:space="preserve">      1.1.4 - Zabezpečení podm.dle Plánu bezpečnosti práce</t>
  </si>
  <si>
    <t xml:space="preserve">      1.1.5 - Monitoring podzemních vod</t>
  </si>
  <si>
    <t xml:space="preserve">      1.1.7 - Zajištění čištění komunikací </t>
  </si>
  <si>
    <t xml:space="preserve">      1.1.8 - Zjištění obslužnosti komunikací a dočasné dopravní značení</t>
  </si>
  <si>
    <t xml:space="preserve">      1.1.9 - Projednání podmínek s majiteli pozemků </t>
  </si>
  <si>
    <t xml:space="preserve">      1.1.10 - Zajištění hydrogeologa</t>
  </si>
  <si>
    <t xml:space="preserve">      1.1.11 - Zajištění geotechnika</t>
  </si>
  <si>
    <t xml:space="preserve">    1.2 - Doprovodné objekty - Propagace</t>
  </si>
  <si>
    <t xml:space="preserve">      1.2.1 - Informační tabule</t>
  </si>
  <si>
    <t xml:space="preserve">    1.3 - Související činnosti</t>
  </si>
  <si>
    <t xml:space="preserve">      1.3.2 - Havarijní  plán stavby</t>
  </si>
  <si>
    <t xml:space="preserve">      1.3.3 - Projektová dokumentace zajišťovaná dodavatelem</t>
  </si>
  <si>
    <t xml:space="preserve">      1.3.4 - Geodetické zaměření skutečného provedení  stavby</t>
  </si>
  <si>
    <t xml:space="preserve">      1.3.5 - Dokumentace skutečného provedení stavby</t>
  </si>
  <si>
    <t xml:space="preserve">      1.3.7 - Zkoušky a testování.</t>
  </si>
  <si>
    <t xml:space="preserve">      1.3.9 - Kompletační činnost</t>
  </si>
  <si>
    <t xml:space="preserve">      1.3.10 - Pasportizace</t>
  </si>
  <si>
    <t>1.1</t>
  </si>
  <si>
    <t>Zařízení staveniště</t>
  </si>
  <si>
    <t>1.1.1</t>
  </si>
  <si>
    <t>Zřízení, údržba a odstranění prostor dodavatele</t>
  </si>
  <si>
    <t>1.1.1.1</t>
  </si>
  <si>
    <t>ZS zhotovitele</t>
  </si>
  <si>
    <t>808114381</t>
  </si>
  <si>
    <t>Šatny, sociální objekty (mobilní WC...), kancelář pro stavbyvedoucího a mistra, kryté plechové uzamyk. sklady, volné sklady - potrubí, prefa díly, sypké materiály, apod. Oplocení, osvětlení, uvedení plochy do původního stavu apod., vč. Poplatky majiteli veřejných pozemků za dočasný pronájem ploch pro zařízení staveniště                                                              
Pozn.: v případě dočasného pronájmu pozemků v majetku Města Ostravy se předpokládají náklady za pronájem  0,0  Kč. 
Položka zahrnuje napojení staveniště na energie a jednotlivá media a případné nutné poplatky</t>
  </si>
  <si>
    <t>1.1.2</t>
  </si>
  <si>
    <t>Náklady na zdokumentování stavebně technického stavu stávajících objektů podél staveniště</t>
  </si>
  <si>
    <t>1.1.2.1</t>
  </si>
  <si>
    <t>Náklady na zdokumentování stavebně technického stavu objektů, plotů, chodníků a komunikací podél kanalizačních tras, čerpacích stanic ve vzdálenosti méně  než  5  m stavebního protoru</t>
  </si>
  <si>
    <t>-1002253577</t>
  </si>
  <si>
    <t>1.1.3</t>
  </si>
  <si>
    <t>Vytýčení stávajících inž.sítí</t>
  </si>
  <si>
    <t>1.1.3.1</t>
  </si>
  <si>
    <t>Náklady na vytýčení všech inženýrských sítí na staveništi u jednotlivých správců a majitelů,  před zahájením stavebních prací , vč. aktualizací vyjádření správců sítí před zahájením stavby</t>
  </si>
  <si>
    <t>-1728432905</t>
  </si>
  <si>
    <t>1.1.3.2</t>
  </si>
  <si>
    <t>Náklady na geodetické vytyčení stavby</t>
  </si>
  <si>
    <t>-1078056038</t>
  </si>
  <si>
    <t>Zhotovitel  zajistí geodetické zaměření oprávněným geodetem navrhnuté trasy vodovodu</t>
  </si>
  <si>
    <t>1.1.4</t>
  </si>
  <si>
    <t>Zabezpečení podm.dle Plánu bezpečnosti práce</t>
  </si>
  <si>
    <t>1.1.4.1</t>
  </si>
  <si>
    <t>Provizorní ohrazení výkopu</t>
  </si>
  <si>
    <t>-1900494770</t>
  </si>
  <si>
    <t>Zřízení, instalace a ukotvení  provizorních ohrazení výkopu  včetně následné likvidace</t>
  </si>
  <si>
    <t>1.1.4.2</t>
  </si>
  <si>
    <t>Bezpečnost práce</t>
  </si>
  <si>
    <t>1766421551</t>
  </si>
  <si>
    <t>Zajištění bezpečnosti práce na staveništi dle plánu BOZP</t>
  </si>
  <si>
    <t>1.1.5</t>
  </si>
  <si>
    <t>Monitoring podzemních vod</t>
  </si>
  <si>
    <t>1.1.5.1</t>
  </si>
  <si>
    <t>Sledování množství a kvality čerpané podzemní vody, která je následně vypouštěná do recipientu po dobu realizace zemních prací</t>
  </si>
  <si>
    <t>-980248522</t>
  </si>
  <si>
    <t>Zhotovitel  bude provádět 1x týdně kontrolní rozbory čerpaných podzemních vod z výkopu na odtoku z meziusazovací nádrže (před vypouštěním do recipientu nebo do kanalizace) a sledovat  ukazatele  NL   NEL. Průběžně bude sledovat a vyhodnocovat celkové čerpané množsvtí těchto vod - výkaz 1x týdně.</t>
  </si>
  <si>
    <t>1.1.7</t>
  </si>
  <si>
    <t xml:space="preserve">Zajištění čištění komunikací </t>
  </si>
  <si>
    <t>1.1.7.1</t>
  </si>
  <si>
    <t>Čistění komunikací</t>
  </si>
  <si>
    <t>-178911583</t>
  </si>
  <si>
    <t>Zajištění čištění komunikací po celou dobu realizace stavby</t>
  </si>
  <si>
    <t>1.1.8</t>
  </si>
  <si>
    <t>Zjištění obslužnosti komunikací a dočasné dopravní značení</t>
  </si>
  <si>
    <t>1.1.8.1</t>
  </si>
  <si>
    <t>Náklady na zajištění bezpečnosti silničního provozu</t>
  </si>
  <si>
    <t>-117634600</t>
  </si>
  <si>
    <t>1.1.8.2</t>
  </si>
  <si>
    <t xml:space="preserve">Dočasné dopravní značení vč. dopravních značek, jejich osazení a následného odstranění, převzetí komunikace jejich správci, </t>
  </si>
  <si>
    <t>-1749375892</t>
  </si>
  <si>
    <t xml:space="preserve">Zřízení a instalace dočasného dopravního značení. Součástí prací je zajištění provozu zařízení pro dočasné značení po dobu stavby a následná likvidace dočasného dopravního značení. </t>
  </si>
  <si>
    <t>1.1.8.3</t>
  </si>
  <si>
    <t>Náklady na zimní údržbu komunikací</t>
  </si>
  <si>
    <t>545522750</t>
  </si>
  <si>
    <t>1.1.9</t>
  </si>
  <si>
    <t xml:space="preserve">Projednání podmínek s majiteli pozemků </t>
  </si>
  <si>
    <t>1.1.9.1</t>
  </si>
  <si>
    <t>Náklady na zajištění vstupu  na pozemky majitelů a protokolární předání pozemků po ukončení stavby jejim vlastníkům</t>
  </si>
  <si>
    <t>506055305</t>
  </si>
  <si>
    <t>Zhotovitel  zajistí projednání a souhlasy se vstupy na pozemky s  majiteli dotčených pozemků a zajistí potřebná povolení pro realizaci stavby. Součástí prací je i zajištění podpisu  protokolu o zpětném převzetí pozemku vlastníky příslušných pozemků.</t>
  </si>
  <si>
    <t>1.1.9.2</t>
  </si>
  <si>
    <t>Náklady na projednání a zajištění připojení nemovitostí, vč. protokolárního předání přepojení přípojek jejim vlastníkům</t>
  </si>
  <si>
    <t>351348745</t>
  </si>
  <si>
    <t>Zhotovitel  zajistí projednání podmínek stavby se správci inženýrských sítí a s  majiteli dotčených pozemků a zajistí potřebná povolení pro realizaci stavby včetně projednání a odsouhlasení připojení příslušných nemovitostí. Součástí je zajištění písemného souhlasu vlastníka příslušné nemovitosti a jeho podpisu předávacího protokolu o zřízení přípojky.</t>
  </si>
  <si>
    <t>1.1.9.3</t>
  </si>
  <si>
    <t>Potřebná povolení a souhlasy</t>
  </si>
  <si>
    <t>-1616152620</t>
  </si>
  <si>
    <t>Zajištění veškerých potřebných povolení pro zahájení, pro realizaci a pro ukončení výstavby - pro předání investorovi k užívání</t>
  </si>
  <si>
    <t>1.1.10</t>
  </si>
  <si>
    <t>Zajištění hydrogeologa</t>
  </si>
  <si>
    <t>1.1.10.1</t>
  </si>
  <si>
    <t>Náklady na zajištění hydrogeologa stavby</t>
  </si>
  <si>
    <t>502086102</t>
  </si>
  <si>
    <t>Zhotovitel zajistí odpovědného hydrogeologa po dobu realizace stavby. Hydrogeolog navrhuje a vyhodnocuje průběh snižování hladiny podzemní vody, rovněž zpracovává návrhy, v případě potřeby, na konkrétní operativní opatření. Účast na staveništi činí min.1 hod týdně po celou dobu realizace stavby</t>
  </si>
  <si>
    <t>1.1.11</t>
  </si>
  <si>
    <t>Zajištění geotechnika</t>
  </si>
  <si>
    <t>1.1.11.1</t>
  </si>
  <si>
    <t>Náklady na zajištění geotechnika stavby</t>
  </si>
  <si>
    <t>790356989</t>
  </si>
  <si>
    <t>Zhotovitel zajistí odpovědného geotechnika po dobu realizace stavby. Geotechnik  vyhodnocuje vytěžené zeminy, rovněž zpracovává návrhy, v případě potřeby, na konkrétní operativní opatření. Účast na staveništi činí min.1 hod týdně po celou dobu realizace stavby</t>
  </si>
  <si>
    <t>1.2</t>
  </si>
  <si>
    <t>Doprovodné objekty - Propagace</t>
  </si>
  <si>
    <t>1.2.1</t>
  </si>
  <si>
    <t>Informační tabule</t>
  </si>
  <si>
    <t>1.2.1.1</t>
  </si>
  <si>
    <t>913340763</t>
  </si>
  <si>
    <t>1 ks informační tabule, odolné proti povětrnostním vlivům. O celkové polše menší než 0,6m2, umístěna mimo ochranná pásma pozemních komunikací</t>
  </si>
  <si>
    <t>1.3</t>
  </si>
  <si>
    <t>Související činnosti</t>
  </si>
  <si>
    <t>1.3.2</t>
  </si>
  <si>
    <t>Havarijní  plán stavby</t>
  </si>
  <si>
    <t>1.3.2.2</t>
  </si>
  <si>
    <t>Náklady na zpracování, projednání a schválení havarijního plánu pro používání mechanismů na stavbě</t>
  </si>
  <si>
    <t>146956757</t>
  </si>
  <si>
    <t>Náklady na zpracování, projednání a schválení havarijního plánu pro používání mechanismů na stavbě. Havarijní plán bude vypracován 5x v tištěné verzi a 2x v digitální verzi na CD</t>
  </si>
  <si>
    <t>1.3.3</t>
  </si>
  <si>
    <t>Projektová dokumentace zajišťovaná dodavatelem</t>
  </si>
  <si>
    <t>1.3.3.1</t>
  </si>
  <si>
    <t>Dokumentace realizační a dílenská</t>
  </si>
  <si>
    <t>92411158</t>
  </si>
  <si>
    <t>Vypracování realizační a dílenské dokumentace stavby jednotlivých dílčích staveb celého komplexu. Realizační dokumentace bude vypracována 4x v tištěné verzi a 2x v digitální verzi na CD., vč. schválení TDS a AD</t>
  </si>
  <si>
    <t>1.3.3.2</t>
  </si>
  <si>
    <t>Projekt dočasného dopravního značení, vč. jeho aktualizace, projednání a schválení</t>
  </si>
  <si>
    <t>-373279967</t>
  </si>
  <si>
    <t>Projekt dočasného dopravního značení, vč. jeho aktualizace, projednání a schválení. Součástí položky je i vyhotovení, projednání a schválení nového projektu dočasného dopravního značení pokud to stavba bude vyžadovat</t>
  </si>
  <si>
    <t>1.3.3.3</t>
  </si>
  <si>
    <t>Náklady na zpracování, projednání a schválen provozního řádu dočasného čerpání podzemní vody po dobu realizace stavby</t>
  </si>
  <si>
    <t>-273447683</t>
  </si>
  <si>
    <t>1.3.3.4</t>
  </si>
  <si>
    <t>Vypracování provozního řádu kanalizace, včetně jeho odsouhlasení</t>
  </si>
  <si>
    <t>266772543</t>
  </si>
  <si>
    <t>Vypracování provozního řádu kanalizace  včetně jeho odsouhlasení</t>
  </si>
  <si>
    <t>1.3.4</t>
  </si>
  <si>
    <t>Geodetické zaměření skutečného provedení  stavby</t>
  </si>
  <si>
    <t>1.3.4.1</t>
  </si>
  <si>
    <t>-615232562</t>
  </si>
  <si>
    <t>Geodetické zaměření skutečného provedení stavby včetně zákresu tras a objektů - předmětem je zaměření veškerých nadzemních i podzemních objektů, veškerých potrubních vedení a veškerých elektro rozvodů. Dokumentace geometrického zaměření skutečného stavu bude ověřena odpovědným geodetem. Dokumentace bude vyhotovena 2x v tištěné verzi a 2x v digitální verzi na CD. Bude provedeno na podkladu katastrální mapy.</t>
  </si>
  <si>
    <t>1.3.4.2</t>
  </si>
  <si>
    <t>Zákres skutečného provedení stavby do aktuální katastrální mapy</t>
  </si>
  <si>
    <t>921027586</t>
  </si>
  <si>
    <t>Vypracování zákresu skutečného provedení kompletní stavby do katastrální mapy. Zákres skutečného provedení stavby do katastrální mapy bude vypracován 2x v tištěné verzi a 2x v digitální verzi na CD. Zákres skutečného provedení stavby bude ověřen odpovědným geodetem.</t>
  </si>
  <si>
    <t>1.3.4.3</t>
  </si>
  <si>
    <t>Vyhotovení geometrického plánu pro pozemky, které nepatří městu pro vklad věcných břemen do katastru nemovitostí, případně pro výkupy</t>
  </si>
  <si>
    <t>659580227</t>
  </si>
  <si>
    <t>Vypracování geometrického plánu skutečného provedení pro pozemnky, které nepatří městu do katastrální mapy s vyznačením věcných břemen dle požadavků a zásad platné státní legislativy a dle požadavků Katastrálního úřadu. Počet vyhotovení geometrických plánů bude upřesněn na základě počtu vlastníků pozemků se kterými se budou uzavírat smlouvy. Dokumentace bude ověřená odpovědným geodetem a Katastrálním úřadem.
Geometrický plán bude vyhotoven 1x pro každého vlastníka pozemku a 3x ke každému pozemku</t>
  </si>
  <si>
    <t>1.3.5</t>
  </si>
  <si>
    <t>Dokumentace skutečného provedení stavby</t>
  </si>
  <si>
    <t>1.3.5.2</t>
  </si>
  <si>
    <t>Dokumentace skutečného provedení, event. zákres skutečného provedení do ověřené dokumentace</t>
  </si>
  <si>
    <t>-1651446571</t>
  </si>
  <si>
    <t>Vypracování dokumentace skutečného provedení  jednotlivých dílčích staveb celého komplexu včetně zakreslení skutečného provedení stavby do originálu ověřené dokumentace na MMO OVP. Dokumentace skutečného provedení bude vypracována 4x v tištěné verzi a 2x v digitální verzi na CD. Z toho 2x bude dokumentace oražena OOŽP</t>
  </si>
  <si>
    <t>1.3.7</t>
  </si>
  <si>
    <t>Zkoušky a testování.</t>
  </si>
  <si>
    <t>1.3.7.3</t>
  </si>
  <si>
    <t>Související zkoušky a atesty</t>
  </si>
  <si>
    <t>-145939817</t>
  </si>
  <si>
    <t>Související zkoušky a atesty - zajištění zkoušek a atestů o nezávadnosti či o vhodnosti použití u všech výrobků a u všech materiálů použitých v rámci předmětného komplexu staveb</t>
  </si>
  <si>
    <t>1.3.9</t>
  </si>
  <si>
    <t>Kompletační činnost</t>
  </si>
  <si>
    <t>1.3.9.1</t>
  </si>
  <si>
    <t>Kompletační činnost zhotovitele stavby a příprava k odevzdání stavby zadavateli</t>
  </si>
  <si>
    <t>-951357528</t>
  </si>
  <si>
    <t>Zajištění a shromáždění všech dokladů potřebných k zahájení stavby, k vlastní realizaci stavby a k ukončení stavby včetně přípravy a shromáždění dokladů ke kolaudaci stavby a k předání stavby zadavateli.</t>
  </si>
  <si>
    <t>1.3.10</t>
  </si>
  <si>
    <t>Pasportizace</t>
  </si>
  <si>
    <t>1.3.10.1</t>
  </si>
  <si>
    <t>Náklady na pasrtizaci veškerých přilehlých objektů a komunikace</t>
  </si>
  <si>
    <t>-1697300045</t>
  </si>
  <si>
    <t>Před zahájením stavby bude vypracována komplexní pasportizace veškerých, přilehlých objektů a komunikace. Účelem pasportizace je zhodnocení objektů v nulovém stavu, před zahájením stavebních prací, pro následné určení míry vlivu stavby na objekty.
Obecně bude pasportizace objektů obsahovat fyzickou prohlídku a fotodokumentaci objektů, základní popis zjištěných závad a jejich fotodokumentaci, stanovení max. přípustné deformace objektu vlivem stavby a stanovení varovných stavů</t>
  </si>
  <si>
    <t>Společnost Podlesí se sídlem Žitenická 871/1, 190 00 Praha 9</t>
  </si>
  <si>
    <t>Dle smlouvy o dílo</t>
  </si>
  <si>
    <t>.</t>
  </si>
  <si>
    <t>Soupis provedených prací</t>
  </si>
  <si>
    <t>Soupis za předchozí období</t>
  </si>
  <si>
    <t>Zbývá</t>
  </si>
  <si>
    <t>Cena celkem (Kč)</t>
  </si>
  <si>
    <t xml:space="preserve">Množství </t>
  </si>
  <si>
    <t>Fakturace za předchozí období</t>
  </si>
  <si>
    <t>Zůstatek předchozího období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</si>
  <si>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</si>
  <si>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</si>
  <si>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</si>
  <si>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</si>
  <si>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</si>
  <si>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</si>
  <si>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</si>
  <si>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</si>
  <si>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</si>
  <si>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</si>
  <si>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</si>
  <si>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</si>
  <si>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</si>
  <si>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</si>
  <si>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Cena (Kč)</t>
  </si>
  <si>
    <t xml:space="preserve">Dle smlouvy o dílo </t>
  </si>
  <si>
    <t>SOUPIS PROVEDENÝCH PRACÍ</t>
  </si>
  <si>
    <t>dle smlouvy o dílo</t>
  </si>
  <si>
    <t xml:space="preserve">Kanalizace Podlesí - I. etapa </t>
  </si>
  <si>
    <t>Rekapitulace za předchozí období (Kč bez DPH)</t>
  </si>
  <si>
    <t>Rekapitulace ve sledovaném období (Kč bez DPH)</t>
  </si>
  <si>
    <t>Zůstatek (Kč bez DPH)</t>
  </si>
  <si>
    <t>Stoka A2a</t>
  </si>
  <si>
    <t>Stoka A3</t>
  </si>
  <si>
    <t>SOUPIS PRACÍ - Stoka A4a</t>
  </si>
  <si>
    <t>SOUPIS PRACÍ-Stoka A4b</t>
  </si>
  <si>
    <t>SOUPIS PRACÍ - Kanalizační odbočení stoky A</t>
  </si>
  <si>
    <t>SOUPIS PRACÍ-Kanalizační odbočení stoka A1</t>
  </si>
  <si>
    <t>SOUPIS PRACÍ-Odbočení stoka A2a</t>
  </si>
  <si>
    <t>Soupis za 07/2022</t>
  </si>
  <si>
    <t>Soupis za 08/2022</t>
  </si>
  <si>
    <t>Stoka DA</t>
  </si>
  <si>
    <t>Dle smouvy o dílo</t>
  </si>
  <si>
    <t>Soupis za 09/2022</t>
  </si>
  <si>
    <t>Soupis za 10/2022</t>
  </si>
  <si>
    <t>983,85*1,05</t>
  </si>
  <si>
    <t>983,85*4,5</t>
  </si>
  <si>
    <t>983,85*1,05*(3,5-0,45)</t>
  </si>
  <si>
    <t>(1755,939+1755,939)*0,2</t>
  </si>
  <si>
    <t>1755,939+1755,939</t>
  </si>
  <si>
    <t>3511,878*5</t>
  </si>
  <si>
    <t>3511,878*1,8</t>
  </si>
  <si>
    <t>983,85*1,05*0,55</t>
  </si>
  <si>
    <t>568,173*2</t>
  </si>
  <si>
    <t>983,85*1,05*0,1</t>
  </si>
  <si>
    <t>1139,963*(0,45-0,05)</t>
  </si>
  <si>
    <t>983,85-984</t>
  </si>
  <si>
    <t>4,76*1</t>
  </si>
  <si>
    <t>78,44*1,05</t>
  </si>
  <si>
    <t>(78,44+4,76)*4,5</t>
  </si>
  <si>
    <t>4,76*1*(2,6-0,45)</t>
  </si>
  <si>
    <t>78,44*1,05*(2,6-0,45)</t>
  </si>
  <si>
    <t>4,76*2,6*2</t>
  </si>
  <si>
    <t>78,44*2,6*2</t>
  </si>
  <si>
    <t>2,41*1,8</t>
  </si>
  <si>
    <t>110,211+110,211</t>
  </si>
  <si>
    <t>4,76*1*0,5</t>
  </si>
  <si>
    <t>78,44*1,05*0,55</t>
  </si>
  <si>
    <t>4,76*1*0,1</t>
  </si>
  <si>
    <t>78,44*1,05*0,1</t>
  </si>
  <si>
    <t>100,487*(0,45-0,05)</t>
  </si>
  <si>
    <t>78,44+4,76</t>
  </si>
  <si>
    <t>Doněrkový ZL</t>
  </si>
  <si>
    <t>Doměrkový ZL</t>
  </si>
  <si>
    <t>3,32*1</t>
  </si>
  <si>
    <t>52,06*1,05</t>
  </si>
  <si>
    <t>(52,06+3,32)*3,5</t>
  </si>
  <si>
    <t>3,32*1*(2,6-0,45)</t>
  </si>
  <si>
    <t>52,06*1,05*(2,6-0,45)</t>
  </si>
  <si>
    <t>(70,368+70,368)*0,2</t>
  </si>
  <si>
    <t>3,32*2,6*2</t>
  </si>
  <si>
    <t>52,06*2,6*2</t>
  </si>
  <si>
    <t>73,368+73,368</t>
  </si>
  <si>
    <t>146,736*5</t>
  </si>
  <si>
    <t>146,736*1,8</t>
  </si>
  <si>
    <t>3,32*1*0,5</t>
  </si>
  <si>
    <t>52,06*1,05*0,55</t>
  </si>
  <si>
    <t>1,561*2</t>
  </si>
  <si>
    <t>3,32*1*0,1</t>
  </si>
  <si>
    <t>52,06*1,05*0,1</t>
  </si>
  <si>
    <t>66,893*(0,45-0,05)</t>
  </si>
  <si>
    <t>11,19*2</t>
  </si>
  <si>
    <t>22,38+3,1213</t>
  </si>
  <si>
    <t>52,06+3,32</t>
  </si>
  <si>
    <t>52,06-50,5</t>
  </si>
  <si>
    <t>3,32-2</t>
  </si>
  <si>
    <t>55,38-52,5</t>
  </si>
  <si>
    <t>166,78*1,05</t>
  </si>
  <si>
    <t>166,78*4,5</t>
  </si>
  <si>
    <t>166,78*1,05*(3,3-0,45)</t>
  </si>
  <si>
    <t>(277,854+277,854)*0,2</t>
  </si>
  <si>
    <t>166,78*3,3*2</t>
  </si>
  <si>
    <t>277,854+277,854</t>
  </si>
  <si>
    <t>555,708*5</t>
  </si>
  <si>
    <t>555,708*1,8</t>
  </si>
  <si>
    <t>166,78*1,05*0,55</t>
  </si>
  <si>
    <t>0,128*2</t>
  </si>
  <si>
    <t>166,78*1,05*0,1</t>
  </si>
  <si>
    <t>192,939*(0,45-0,05)</t>
  </si>
  <si>
    <t>0,602*2</t>
  </si>
  <si>
    <t>1,204+0,256</t>
  </si>
  <si>
    <t>166,78-167</t>
  </si>
  <si>
    <t>356,86*1,05</t>
  </si>
  <si>
    <t>356,86*4,5</t>
  </si>
  <si>
    <t>356,86*1,05*(2,7-0,45)</t>
  </si>
  <si>
    <t>479,934+479,934</t>
  </si>
  <si>
    <t>(479,934+479,934)*0,2</t>
  </si>
  <si>
    <t xml:space="preserve"> 356,86*2,7*2</t>
  </si>
  <si>
    <t>959,868*5</t>
  </si>
  <si>
    <t>959,868*1,8</t>
  </si>
  <si>
    <t>356,86*1,05*0,55</t>
  </si>
  <si>
    <t>0,093*2</t>
  </si>
  <si>
    <t>356,86-356,7</t>
  </si>
  <si>
    <t xml:space="preserve"> 356,86*1,05*0,1</t>
  </si>
  <si>
    <t>419,928*(0,45-0,05)</t>
  </si>
  <si>
    <t>0,334*2</t>
  </si>
  <si>
    <t>0,668+0,186</t>
  </si>
  <si>
    <t>60,06*1,05</t>
  </si>
  <si>
    <t>60,06*3,2</t>
  </si>
  <si>
    <t>60,06*1,05*(2,6-0,45)</t>
  </si>
  <si>
    <t>(205,153+205,153)*0,2</t>
  </si>
  <si>
    <t>153,36*2,6*2</t>
  </si>
  <si>
    <t>205,153+205,153</t>
  </si>
  <si>
    <t>438,296*5</t>
  </si>
  <si>
    <t>153,36*1,05</t>
  </si>
  <si>
    <t>153,36*1,05*0,55</t>
  </si>
  <si>
    <t>153,36*1,05*0,1</t>
  </si>
  <si>
    <t>68,193*(0,45-0,05)</t>
  </si>
  <si>
    <t>7,262*2</t>
  </si>
  <si>
    <t>2,103*2</t>
  </si>
  <si>
    <t>153,36-157</t>
  </si>
  <si>
    <t>66,44*1,05</t>
  </si>
  <si>
    <t>66,44*3</t>
  </si>
  <si>
    <t>66,44*1,05*(2,6-0,45)</t>
  </si>
  <si>
    <t>(76,738+76,738)*0,2</t>
  </si>
  <si>
    <t>66,44*2,6*2</t>
  </si>
  <si>
    <t>76,738+76,738</t>
  </si>
  <si>
    <t>153,476*5</t>
  </si>
  <si>
    <t>153,476*1,8</t>
  </si>
  <si>
    <t>66,44*1,05*0,55</t>
  </si>
  <si>
    <t>8,409*2</t>
  </si>
  <si>
    <t>66,44-81</t>
  </si>
  <si>
    <t>66,44*1,05*0,1</t>
  </si>
  <si>
    <t>71,112*(0,45-0,05)</t>
  </si>
  <si>
    <t>29,048*2</t>
  </si>
  <si>
    <t>58,096+16,818</t>
  </si>
  <si>
    <t>3,3*1</t>
  </si>
  <si>
    <t>1552,77*1,05</t>
  </si>
  <si>
    <t>40,13*1,05</t>
  </si>
  <si>
    <t>13,52*1,2</t>
  </si>
  <si>
    <t>49,15*1,2</t>
  </si>
  <si>
    <t>3,3*4</t>
  </si>
  <si>
    <t>1552,77*4</t>
  </si>
  <si>
    <t>13,52*4</t>
  </si>
  <si>
    <t>40,13*4</t>
  </si>
  <si>
    <t>49,15*4</t>
  </si>
  <si>
    <t>3,3*1*(3,2-0,45)</t>
  </si>
  <si>
    <t>1552,77*1,05*(3,2-0,45)</t>
  </si>
  <si>
    <t>40,13*1,05*(3,2-0,45)</t>
  </si>
  <si>
    <t>13,52*1,2*(3,2-0,45)</t>
  </si>
  <si>
    <t>49,15*1,2*(3,2-0,45)</t>
  </si>
  <si>
    <t>2764,949+2764,949</t>
  </si>
  <si>
    <t>(2764,949+2764,949)*0,2</t>
  </si>
  <si>
    <t>3,3*3,2*2</t>
  </si>
  <si>
    <t>1552,77*3,2*2</t>
  </si>
  <si>
    <t>13,52*3,2*2</t>
  </si>
  <si>
    <t xml:space="preserve"> 40,13*3,2*2</t>
  </si>
  <si>
    <t>49,15*3,2*2</t>
  </si>
  <si>
    <t>5529,898*5</t>
  </si>
  <si>
    <t>5529,898*1,8</t>
  </si>
  <si>
    <t>3,3*1*0,5</t>
  </si>
  <si>
    <t>1552,77*1,05*0,55</t>
  </si>
  <si>
    <t>13,52*1,2*0,7</t>
  </si>
  <si>
    <t>40,13*1,05*0,55</t>
  </si>
  <si>
    <t>49,15*1,2*0,7</t>
  </si>
  <si>
    <t>3,3*1*0,1</t>
  </si>
  <si>
    <t>1552,77*1,05*0,1</t>
  </si>
  <si>
    <t>13,52*1,2*0,1</t>
  </si>
  <si>
    <t>40,13*1,05*0,1</t>
  </si>
  <si>
    <t>49,15*1,2*0,1</t>
  </si>
  <si>
    <t>1983,519*(0,45-0,05)</t>
  </si>
  <si>
    <t>27,281*2</t>
  </si>
  <si>
    <t>6,732*2</t>
  </si>
  <si>
    <t>54,562+13,464</t>
  </si>
  <si>
    <t>1658,87-1669</t>
  </si>
  <si>
    <t>3,3-1,5</t>
  </si>
  <si>
    <t>40,13-40</t>
  </si>
  <si>
    <t>1552,77-1562</t>
  </si>
  <si>
    <t>49,15-50</t>
  </si>
  <si>
    <t>49,15*1,05</t>
  </si>
  <si>
    <t>13,52-15,5</t>
  </si>
  <si>
    <t>1592,9-1602</t>
  </si>
  <si>
    <t>62,67-65,5</t>
  </si>
  <si>
    <t>122,44*1,05</t>
  </si>
  <si>
    <t>122,44*4</t>
  </si>
  <si>
    <t>122,44*1,05*(2,7-0,45)</t>
  </si>
  <si>
    <t>(161,855+161,855)*0,2</t>
  </si>
  <si>
    <t>122,44*3,3*2</t>
  </si>
  <si>
    <t>161,855+161,855</t>
  </si>
  <si>
    <t>41,2*5</t>
  </si>
  <si>
    <t>323,71*1,8</t>
  </si>
  <si>
    <t>122,44*1,05*0,55</t>
  </si>
  <si>
    <t>122,44-105</t>
  </si>
  <si>
    <t>122,44*1,05*0,1</t>
  </si>
  <si>
    <t>141,927*(0,45-0,05)</t>
  </si>
  <si>
    <t>36,625*2</t>
  </si>
  <si>
    <t>10,071*2</t>
  </si>
  <si>
    <t>73,25+20,142</t>
  </si>
  <si>
    <t>3,59*1</t>
  </si>
  <si>
    <t>3,59*4</t>
  </si>
  <si>
    <t>3,59*1*(2,8-0,45)</t>
  </si>
  <si>
    <t>3,59*2,8*2</t>
  </si>
  <si>
    <t>3,59*1*0,5</t>
  </si>
  <si>
    <t>3,59*1*0,1</t>
  </si>
  <si>
    <t>3,59-2</t>
  </si>
  <si>
    <t>109,39*0,9</t>
  </si>
  <si>
    <t>(76,3+76,3)*0,2</t>
  </si>
  <si>
    <t>109,39*2*2</t>
  </si>
  <si>
    <t>76,3+76,3</t>
  </si>
  <si>
    <t>152,6*5</t>
  </si>
  <si>
    <t>152,6*1,8</t>
  </si>
  <si>
    <t>109,39*0,9*0,41</t>
  </si>
  <si>
    <t>0,151*2</t>
  </si>
  <si>
    <t>109,39-109,8</t>
  </si>
  <si>
    <t>109,39*0,9*0,1</t>
  </si>
  <si>
    <t>109,39*0,9*(0,45-0,05)</t>
  </si>
  <si>
    <t>0,532*2</t>
  </si>
  <si>
    <t>109,39*1,05</t>
  </si>
  <si>
    <t>191,81*1,05</t>
  </si>
  <si>
    <t>191,81*4</t>
  </si>
  <si>
    <t>191,81*1,05*(2,8-0,45)</t>
  </si>
  <si>
    <t>(256,864+256,864)*0,2</t>
  </si>
  <si>
    <t>191,81*2,8*2</t>
  </si>
  <si>
    <t>256,864+256,864</t>
  </si>
  <si>
    <t>32,878*5</t>
  </si>
  <si>
    <t>513,728*1,8</t>
  </si>
  <si>
    <t>216,601*(0,45-0,05)</t>
  </si>
  <si>
    <t>29,453*2</t>
  </si>
  <si>
    <t>191,81*1,05*0,55</t>
  </si>
  <si>
    <t>7,615*2</t>
  </si>
  <si>
    <t>58,906+15,23</t>
  </si>
  <si>
    <t>195,4-182</t>
  </si>
  <si>
    <t>191,81*1,05*0,1</t>
  </si>
  <si>
    <t>191,81-180</t>
  </si>
  <si>
    <t>195,4*0,5</t>
  </si>
  <si>
    <t>32,27*0,9</t>
  </si>
  <si>
    <t>227,67*0,9</t>
  </si>
  <si>
    <t>195,4*(0,9-0,5)</t>
  </si>
  <si>
    <t>32,27*4</t>
  </si>
  <si>
    <t>32,27*0,9*(2,1-0,45)</t>
  </si>
  <si>
    <t>195,4*0,9*(2,1-0,45)</t>
  </si>
  <si>
    <t>(169,045+169,045)*0,2</t>
  </si>
  <si>
    <t>227,67*2,1*2</t>
  </si>
  <si>
    <t>169,045+169,045</t>
  </si>
  <si>
    <t>338,09*5</t>
  </si>
  <si>
    <t>338,09*1,8</t>
  </si>
  <si>
    <t>227,67*0,9*0,41</t>
  </si>
  <si>
    <t>0,727*2</t>
  </si>
  <si>
    <t>227,67-225,7</t>
  </si>
  <si>
    <t>227,67*0,9*0,1</t>
  </si>
  <si>
    <t>227,67*0,9*(0,45-0,05)</t>
  </si>
  <si>
    <t>2,729*2</t>
  </si>
  <si>
    <t>5,458+1,454</t>
  </si>
  <si>
    <t>227,67*1,05</t>
  </si>
  <si>
    <t>228-226</t>
  </si>
  <si>
    <t>83,2*(0,9-0,5)</t>
  </si>
  <si>
    <t xml:space="preserve"> 83,2*0,5</t>
  </si>
  <si>
    <t>26,19*0,9</t>
  </si>
  <si>
    <t>26,19*3,5</t>
  </si>
  <si>
    <t>26,19*0,9*(2-0,45)</t>
  </si>
  <si>
    <t>83,2*0,9*(2-0,45)</t>
  </si>
  <si>
    <t>(203,56+123,71)*0,9</t>
  </si>
  <si>
    <t>203,56*(0,9-0,5)</t>
  </si>
  <si>
    <t>123,71*0,9</t>
  </si>
  <si>
    <t>203,56*0,5</t>
  </si>
  <si>
    <t>123,71*3,5</t>
  </si>
  <si>
    <t>123,71*0,9*(1,8-0,45)</t>
  </si>
  <si>
    <t>203,56*0,9*(1,8-0,45)</t>
  </si>
  <si>
    <t>(289,293+289,293)*0,2</t>
  </si>
  <si>
    <t>97,72-97,6</t>
  </si>
  <si>
    <t>0,12*1,05</t>
  </si>
  <si>
    <t>(517,19-97,72)*1,8*2</t>
  </si>
  <si>
    <t>289,293+289,293</t>
  </si>
  <si>
    <t>650,648*5</t>
  </si>
  <si>
    <t xml:space="preserve"> (517,19-97,72)*0,9</t>
  </si>
  <si>
    <t>(517,19-97,72)*0,9*0,41</t>
  </si>
  <si>
    <t>2,97*1,05*0,55</t>
  </si>
  <si>
    <t>0,894*2</t>
  </si>
  <si>
    <t>517,19-97,72</t>
  </si>
  <si>
    <t>(517,19-97,72)*0,9*0,1</t>
  </si>
  <si>
    <t>223,297*0,9*(0,45-0,05)</t>
  </si>
  <si>
    <t>502,07-99,881</t>
  </si>
  <si>
    <t>402,189*2</t>
  </si>
  <si>
    <t>419,47*1,05</t>
  </si>
  <si>
    <t>517,19-514,6</t>
  </si>
  <si>
    <t>2,97-3</t>
  </si>
  <si>
    <t>518-515</t>
  </si>
  <si>
    <t>30,33*0,9</t>
  </si>
  <si>
    <t>55,38*0,5</t>
  </si>
  <si>
    <t>85,71*0,9</t>
  </si>
  <si>
    <t>55,38*(0,9-0,5)</t>
  </si>
  <si>
    <t>30,33*3,5</t>
  </si>
  <si>
    <t>55,38*0,9*(2-0,45)</t>
  </si>
  <si>
    <t>30,33*0,9*(2-0,45)</t>
  </si>
  <si>
    <t>(59,782+59,782)*0,2</t>
  </si>
  <si>
    <t>85,71*2*2</t>
  </si>
  <si>
    <t>59,782+59,782</t>
  </si>
  <si>
    <t>119,564*5</t>
  </si>
  <si>
    <t>119,564*1,8</t>
  </si>
  <si>
    <t>85,71*0,9*0,41</t>
  </si>
  <si>
    <t>0,705*2</t>
  </si>
  <si>
    <t>85,71-83,8</t>
  </si>
  <si>
    <t>85,71*0,9*0,1</t>
  </si>
  <si>
    <t>85,71*0,9*(0,45-0,05)</t>
  </si>
  <si>
    <t>2,473*2</t>
  </si>
  <si>
    <t>4,946+1,41</t>
  </si>
  <si>
    <t>85,17*1,05</t>
  </si>
  <si>
    <t>86-84</t>
  </si>
  <si>
    <t>156,85*1</t>
  </si>
  <si>
    <t>1,5*1,5*8-1,5*1*8</t>
  </si>
  <si>
    <t>156,85*3*0,1</t>
  </si>
  <si>
    <t>156,85*1*(2,2-0,45)*0,9</t>
  </si>
  <si>
    <t>1,5*1,5*(2,4-0,45)*8-1,5*1*(2,2-0,45)*8</t>
  </si>
  <si>
    <t>156,85*1*(2,2-0,1)*0,1</t>
  </si>
  <si>
    <t>(147,039+147,039)*0,2</t>
  </si>
  <si>
    <t>156,85*2,2*2</t>
  </si>
  <si>
    <t>147,039+147,039</t>
  </si>
  <si>
    <t>298,431*5</t>
  </si>
  <si>
    <t>156,85*1*(2,2-0,1-0,45-0,1)*0,1</t>
  </si>
  <si>
    <t>156,85*1*0,45</t>
  </si>
  <si>
    <t>5,287*2</t>
  </si>
  <si>
    <t>156,85-145,1</t>
  </si>
  <si>
    <t>156,85*1*0,1</t>
  </si>
  <si>
    <t>1,5*1,5*0,1*8</t>
  </si>
  <si>
    <t>3,14*0,21*0,21*2,2*20</t>
  </si>
  <si>
    <t>146,565*(0,45-0,05)</t>
  </si>
  <si>
    <t>1,1*1,1*0,1*8</t>
  </si>
  <si>
    <t>3,14*0,21*0,21*2,2*30</t>
  </si>
  <si>
    <t>3,14*0,5*0,5*2,2*8</t>
  </si>
  <si>
    <t>24,455+10,574</t>
  </si>
  <si>
    <t>36,54*1*0,9</t>
  </si>
  <si>
    <t>36,54*3*0,1</t>
  </si>
  <si>
    <t>36,54*1*(2,2-0,45)*0,9</t>
  </si>
  <si>
    <t>36,54*1*(2,2-0,1)*0,1</t>
  </si>
  <si>
    <t>32,612*0,2</t>
  </si>
  <si>
    <t>36,54*2,2*2</t>
  </si>
  <si>
    <t>32,612+32,612</t>
  </si>
  <si>
    <t>10,962*0,1</t>
  </si>
  <si>
    <t>66,32*5</t>
  </si>
  <si>
    <t>36,54*1*(2,2-0,1-0,45-0,1)*0,1</t>
  </si>
  <si>
    <t>36,54*1</t>
  </si>
  <si>
    <t>36,54*1*0,45</t>
  </si>
  <si>
    <t>2,907*2</t>
  </si>
  <si>
    <t>36,54-43</t>
  </si>
  <si>
    <t>36,54*1*0,1</t>
  </si>
  <si>
    <t>32,886*(0,45-0,05)</t>
  </si>
  <si>
    <t>18,607+5,814</t>
  </si>
  <si>
    <t>29,34*1*0,9</t>
  </si>
  <si>
    <t>29,34*3*0,1</t>
  </si>
  <si>
    <t>29,34*1*(2,2-0,45)*0,9</t>
  </si>
  <si>
    <t>29,34*1*(2,2-0,1)*0,1</t>
  </si>
  <si>
    <t>(26,186+26,186)*0,2</t>
  </si>
  <si>
    <t>29,34*2,2*2</t>
  </si>
  <si>
    <t>26,186+26,186</t>
  </si>
  <si>
    <t>8,802*0,1</t>
  </si>
  <si>
    <t>53,252*5</t>
  </si>
  <si>
    <t>29,34*1*(2,2-0,1-0,45-0,1)*0,1</t>
  </si>
  <si>
    <t>1,047*5</t>
  </si>
  <si>
    <t>29,34*1</t>
  </si>
  <si>
    <t>29,34*1*0,45</t>
  </si>
  <si>
    <t>2,547*2</t>
  </si>
  <si>
    <t>29,34-35</t>
  </si>
  <si>
    <t>29,34*1*0,1</t>
  </si>
  <si>
    <t>26,406*(0,45-0,05)</t>
  </si>
  <si>
    <t>16,303+5,094</t>
  </si>
  <si>
    <t>41,49*1</t>
  </si>
  <si>
    <t xml:space="preserve"> 1,5*1,5*2-1,5*1*2</t>
  </si>
  <si>
    <t>41,49*3*0,1</t>
  </si>
  <si>
    <t>41,49*1*(2,2-0,45)*0,9</t>
  </si>
  <si>
    <t>1,5*1,5*(2,4-0,45)*2-1,5*1*(2,2-0,45)*2</t>
  </si>
  <si>
    <t>41,49*1*(2,2-0,1)*0,1</t>
  </si>
  <si>
    <t>(38,792+38,792)*0,2</t>
  </si>
  <si>
    <t>41,49*2,2*2</t>
  </si>
  <si>
    <t>38,792+38,792</t>
  </si>
  <si>
    <t>12,447*0,1</t>
  </si>
  <si>
    <t>78,828*5</t>
  </si>
  <si>
    <t>41,49*1*(2,2-0,1-0,45-0,1)*0,1</t>
  </si>
  <si>
    <t>1,5*1,5*2-1,5*1*2</t>
  </si>
  <si>
    <t>41,49*1*0,45</t>
  </si>
  <si>
    <t>5,4*2</t>
  </si>
  <si>
    <t>41,49-53,5</t>
  </si>
  <si>
    <t>41,49*1*0,1</t>
  </si>
  <si>
    <t>1*1*0,1*10</t>
  </si>
  <si>
    <t>3,14*0,21*0,21*2,2*10</t>
  </si>
  <si>
    <t>3,14*0,5*0,5*2,2*2</t>
  </si>
  <si>
    <t>38,691*(0,45-0,05)</t>
  </si>
  <si>
    <t>12,5+10,8</t>
  </si>
  <si>
    <t>35,76*1*0,9</t>
  </si>
  <si>
    <t>35,76*3*0,1</t>
  </si>
  <si>
    <t>35,76*1*(2,2-0,45)*0,9</t>
  </si>
  <si>
    <t>35,76*1*(2,2-0,1)*0,1</t>
  </si>
  <si>
    <t>(31,916+31,916)*0,2</t>
  </si>
  <si>
    <t>35,76*2,2*2</t>
  </si>
  <si>
    <t>31,916+31,916</t>
  </si>
  <si>
    <t>10,728*0,1</t>
  </si>
  <si>
    <t>64,905*5</t>
  </si>
  <si>
    <t xml:space="preserve"> 35,76*1*(2,2-0,1-0,45-0,1)*0,1</t>
  </si>
  <si>
    <t>35,76*1</t>
  </si>
  <si>
    <t>35,76*1*0,45</t>
  </si>
  <si>
    <t>35,76-39</t>
  </si>
  <si>
    <t>35,76*1*0,1</t>
  </si>
  <si>
    <t>32,184*(0,45-0,05)</t>
  </si>
  <si>
    <t>35,76*1*(2,2-0,1-0,45-0,1)*0,1</t>
  </si>
  <si>
    <t>1,458*2</t>
  </si>
  <si>
    <t>9,332+2,916</t>
  </si>
  <si>
    <t>10,28*1*0,9</t>
  </si>
  <si>
    <t>10,28*3*0,1</t>
  </si>
  <si>
    <t>10,28*1*(2,2-0,45)*0,9</t>
  </si>
  <si>
    <t>10,28*1*(2,2-0,1)*0,1</t>
  </si>
  <si>
    <t>(9,175+9,175)*0,2</t>
  </si>
  <si>
    <t>10,28*2,2*2</t>
  </si>
  <si>
    <t>9,175+9,175</t>
  </si>
  <si>
    <t>3,084*0,1</t>
  </si>
  <si>
    <t>18,658*5</t>
  </si>
  <si>
    <t>10,28*1*(2,2-0,1-0,45-0,1)*0,1</t>
  </si>
  <si>
    <t>10,28*1</t>
  </si>
  <si>
    <t>10,28*1*0,45</t>
  </si>
  <si>
    <t>0,189*2</t>
  </si>
  <si>
    <t>10,28-10,7</t>
  </si>
  <si>
    <t>10,28*1*0,1</t>
  </si>
  <si>
    <t>9,252*(0,45-0,05)</t>
  </si>
  <si>
    <t>1,209+0,378</t>
  </si>
  <si>
    <t>9,81*1*0,9</t>
  </si>
  <si>
    <t>9,81*3*0,1</t>
  </si>
  <si>
    <t>9,81*1*(2,2-0,45)*0,9</t>
  </si>
  <si>
    <t>9,81*1*(2,2-0,1)*0,1</t>
  </si>
  <si>
    <t>(8,755+8,755)*0,2</t>
  </si>
  <si>
    <t>9,81*2,2*2</t>
  </si>
  <si>
    <t>8,755+8,755</t>
  </si>
  <si>
    <t>2,943*0,1</t>
  </si>
  <si>
    <t>17,804*5</t>
  </si>
  <si>
    <t>9,81*1*(2,2-0,1-0,45-0,1)*0,1</t>
  </si>
  <si>
    <t>9,81*1</t>
  </si>
  <si>
    <t>9,81*1*0,45</t>
  </si>
  <si>
    <t>9,81-12,5</t>
  </si>
  <si>
    <t>9,81*1*0,1</t>
  </si>
  <si>
    <t>3,14*0,21*0,21*2,2*3</t>
  </si>
  <si>
    <t>8,829*(0,45-0,05)</t>
  </si>
  <si>
    <t>1,211*2</t>
  </si>
  <si>
    <t>6,741+2,422</t>
  </si>
  <si>
    <t>129,6*1</t>
  </si>
  <si>
    <t>1,5*1,5*24-1,5*1*24</t>
  </si>
  <si>
    <t>129,6*3*0,1</t>
  </si>
  <si>
    <t>129,6*1*(2,2-0,45)*0,9</t>
  </si>
  <si>
    <t xml:space="preserve"> 1,5*1,5*(2,4-0,45)*24-1,5*1*(2,2-0,45)*24</t>
  </si>
  <si>
    <t>129,6*1*(2,2-0,1)*0,1</t>
  </si>
  <si>
    <t>(136,818+136,818)*0,2</t>
  </si>
  <si>
    <t>129,6*2,2*2</t>
  </si>
  <si>
    <t>136,818+136,818</t>
  </si>
  <si>
    <t>38,88*0,1</t>
  </si>
  <si>
    <t>277,524*5</t>
  </si>
  <si>
    <t>129,6*1*(2,2-0,1-0,45-0,1)*0,1</t>
  </si>
  <si>
    <t>129,6*1*0,45</t>
  </si>
  <si>
    <t>9,225*2</t>
  </si>
  <si>
    <t>129,6-150,1</t>
  </si>
  <si>
    <t>129,6*1*0,1</t>
  </si>
  <si>
    <t>1,5*1,5*0,1*24</t>
  </si>
  <si>
    <t>1,1*1,1*0,1*24</t>
  </si>
  <si>
    <t>3,14*0,5*0,5*2,2*24</t>
  </si>
  <si>
    <t>132,84*(0,45-0,05)</t>
  </si>
  <si>
    <t>49,274+18,45</t>
  </si>
  <si>
    <t>39*1+2*1</t>
  </si>
  <si>
    <t>44*2</t>
  </si>
  <si>
    <t>15,61*1*0,9</t>
  </si>
  <si>
    <t>15,61*3*0,1</t>
  </si>
  <si>
    <t>15,61*1*(2,2-0,45)*0,9</t>
  </si>
  <si>
    <t>15,61*1*(2,2-0,1)*0,1</t>
  </si>
  <si>
    <t>(13,932+13,932)*0,2</t>
  </si>
  <si>
    <t>15,61*2,2*2</t>
  </si>
  <si>
    <t>13,932+13,932</t>
  </si>
  <si>
    <t>4,683*0,1</t>
  </si>
  <si>
    <t>28,332*5</t>
  </si>
  <si>
    <t>15,61*1*(2,2-0,1-0,45-0,1)*0,1</t>
  </si>
  <si>
    <t>15,61*1</t>
  </si>
  <si>
    <t>15,61*1*0,45</t>
  </si>
  <si>
    <t>4,406*2</t>
  </si>
  <si>
    <t>15,61-25,4</t>
  </si>
  <si>
    <t>15,61*1*0,1</t>
  </si>
  <si>
    <t>14,049*(0,45-0,05)</t>
  </si>
  <si>
    <t>32,045+8,812</t>
  </si>
  <si>
    <t>35,2*1</t>
  </si>
  <si>
    <t>1,5*1,5*6-1,5*1*6</t>
  </si>
  <si>
    <t>35,2*3*0,1</t>
  </si>
  <si>
    <t>35,2*1*(2,2-0,45)*0,9</t>
  </si>
  <si>
    <t>1,5*1,5*(2,4-0,45)*6-1,5*1*(2,2-0,45)*6</t>
  </si>
  <si>
    <t>35,2*1*(2,2-0,1)*0,1</t>
  </si>
  <si>
    <t>(36,704+36,704)*0,2</t>
  </si>
  <si>
    <t>35,2*2,2*2</t>
  </si>
  <si>
    <t>36,704+36,704</t>
  </si>
  <si>
    <t>10,56*0,1</t>
  </si>
  <si>
    <t>74,464*5</t>
  </si>
  <si>
    <t>35,2*1*(2,2-0,1-0,45-0,1)*0,1</t>
  </si>
  <si>
    <t>5,456*5</t>
  </si>
  <si>
    <t>35,2*1*0,45</t>
  </si>
  <si>
    <t>1,62*2</t>
  </si>
  <si>
    <t>35,2-31,6</t>
  </si>
  <si>
    <t>35,2*1*0,1</t>
  </si>
  <si>
    <t>1,5*1,5*0,1*6</t>
  </si>
  <si>
    <t>1,1*1,1*0,1*6</t>
  </si>
  <si>
    <t>3,14*0,21*0,21*2,2*7</t>
  </si>
  <si>
    <t>3,14*0,5*0,5*2,2*6</t>
  </si>
  <si>
    <t>35,73*(0,45-0,05)</t>
  </si>
  <si>
    <t>12,228+3,24</t>
  </si>
  <si>
    <t>108,57*0,9</t>
  </si>
  <si>
    <t>98,26*0,9</t>
  </si>
  <si>
    <t>98,26*(0,9-0,6)</t>
  </si>
  <si>
    <t>98,26*0,6</t>
  </si>
  <si>
    <t>98,26*0,9*(1,6-0,45)</t>
  </si>
  <si>
    <t>10,31*0,9*(1,6-0,1)</t>
  </si>
  <si>
    <t>(57,809+57,809)*0,2</t>
  </si>
  <si>
    <t>108,57*1,6*2</t>
  </si>
  <si>
    <t>57,809+57,809</t>
  </si>
  <si>
    <t>137,424*5</t>
  </si>
  <si>
    <t>10,31*3</t>
  </si>
  <si>
    <t>46,93*0,1</t>
  </si>
  <si>
    <t>10,31*0,9*(1,6-0,1-0,34-0,1)</t>
  </si>
  <si>
    <t>108,57*0,9*0,34</t>
  </si>
  <si>
    <t>6,711*2</t>
  </si>
  <si>
    <t>108,57*0,9*0,1</t>
  </si>
  <si>
    <t>108,57*0,9*(0,45-0,05)</t>
  </si>
  <si>
    <t>13,422+26,833</t>
  </si>
  <si>
    <t>108,57-130,5</t>
  </si>
  <si>
    <t>21,93*1,05</t>
  </si>
  <si>
    <t>108,57*1,05</t>
  </si>
  <si>
    <t>0,999*1943,491</t>
  </si>
  <si>
    <t>1941,548*14</t>
  </si>
  <si>
    <t>0,999*1322,54</t>
  </si>
  <si>
    <t>0,999*620,951</t>
  </si>
  <si>
    <t>0,999*437,604</t>
  </si>
  <si>
    <t>1,015*167,436</t>
  </si>
  <si>
    <t>1,015*2344,104</t>
  </si>
  <si>
    <t>1,015*115,264</t>
  </si>
  <si>
    <t>1,015*52,172</t>
  </si>
  <si>
    <t>1,015*34,32</t>
  </si>
  <si>
    <t>1,055*101,561</t>
  </si>
  <si>
    <t>1,055*1421,854</t>
  </si>
  <si>
    <t>1,055*74,164</t>
  </si>
  <si>
    <t>1,055*27,397</t>
  </si>
  <si>
    <t>1,055*19,864</t>
  </si>
  <si>
    <t>0,999*329,43</t>
  </si>
  <si>
    <t>0,999*4612,02</t>
  </si>
  <si>
    <t>0,999*224,076</t>
  </si>
  <si>
    <t>0,999*105,354</t>
  </si>
  <si>
    <t>0,999*56,25</t>
  </si>
  <si>
    <t>1,001*712,65</t>
  </si>
  <si>
    <t>1,001*9977,1</t>
  </si>
  <si>
    <t>1,001*486,922</t>
  </si>
  <si>
    <t>1,001*225,728</t>
  </si>
  <si>
    <t>1,001*124,524</t>
  </si>
  <si>
    <t>0,977*114,036</t>
  </si>
  <si>
    <t>0,977*1596,504</t>
  </si>
  <si>
    <t>0,977*83,538</t>
  </si>
  <si>
    <t>0,977*30,498</t>
  </si>
  <si>
    <t>0,977*43,744</t>
  </si>
  <si>
    <t>0,82*136,636</t>
  </si>
  <si>
    <t>0,82*1912,904</t>
  </si>
  <si>
    <t>0,82*100,224</t>
  </si>
  <si>
    <t>0,82*36,412</t>
  </si>
  <si>
    <t>0,82*18,759</t>
  </si>
  <si>
    <t>1,032*178,718</t>
  </si>
  <si>
    <t>1,032*2502,052</t>
  </si>
  <si>
    <t>1,032*164,796</t>
  </si>
  <si>
    <t>1,032*13,922</t>
  </si>
  <si>
    <t>1,032*39,158</t>
  </si>
  <si>
    <t>0,845*48,685</t>
  </si>
  <si>
    <t>0,845*681,59</t>
  </si>
  <si>
    <t>0,845*44,892</t>
  </si>
  <si>
    <t>0,845*3,793</t>
  </si>
  <si>
    <t>0,845*10,023</t>
  </si>
  <si>
    <t>0,838*39,627</t>
  </si>
  <si>
    <t>0,838*554,778</t>
  </si>
  <si>
    <t>0,838*36,54</t>
  </si>
  <si>
    <t>0,838*3,087</t>
  </si>
  <si>
    <t>0,838*8,199</t>
  </si>
  <si>
    <t>0,732*66,18</t>
  </si>
  <si>
    <t>0,732*931,252</t>
  </si>
  <si>
    <t>0,732*61,336</t>
  </si>
  <si>
    <t>0,732*5,182</t>
  </si>
  <si>
    <t>0,732*14,504</t>
  </si>
  <si>
    <t>0,917*44,156</t>
  </si>
  <si>
    <t>0,917*618,184</t>
  </si>
  <si>
    <t>0,917*40,716</t>
  </si>
  <si>
    <t>0,917*3,44</t>
  </si>
  <si>
    <t>0,917*9,707</t>
  </si>
  <si>
    <t>0,961*12,115</t>
  </si>
  <si>
    <t>0,961*169,61</t>
  </si>
  <si>
    <t>0,961*11,17</t>
  </si>
  <si>
    <t>0,961*0,945</t>
  </si>
  <si>
    <t>0,961*2,662</t>
  </si>
  <si>
    <t>0,785*14,153</t>
  </si>
  <si>
    <t>0,785*198,142</t>
  </si>
  <si>
    <t>0,785*13,05</t>
  </si>
  <si>
    <t>0,785*1,103</t>
  </si>
  <si>
    <t>0,785*3,173</t>
  </si>
  <si>
    <t>0,994*3277,035</t>
  </si>
  <si>
    <t>0,994*45878,49</t>
  </si>
  <si>
    <t>0,994*2313,818</t>
  </si>
  <si>
    <t>0,994*963,217</t>
  </si>
  <si>
    <t>0,994*644,912</t>
  </si>
  <si>
    <t>1,148*203,808</t>
  </si>
  <si>
    <t>1,148*2853,312</t>
  </si>
  <si>
    <t>1,148*143,394</t>
  </si>
  <si>
    <t>1,148*60,414</t>
  </si>
  <si>
    <t>1,148*43,247</t>
  </si>
  <si>
    <t>1,069*338,603</t>
  </si>
  <si>
    <t>1,069*4740,442</t>
  </si>
  <si>
    <t>1,069*235,028</t>
  </si>
  <si>
    <t>1,069*103,575</t>
  </si>
  <si>
    <t>1,069*50,186</t>
  </si>
  <si>
    <t>0,894*186,926</t>
  </si>
  <si>
    <t>0,894*2616,964</t>
  </si>
  <si>
    <t>0,894*172,364</t>
  </si>
  <si>
    <t>0,894*14,562</t>
  </si>
  <si>
    <t>0,894*42,564</t>
  </si>
  <si>
    <t>0,615*28,758</t>
  </si>
  <si>
    <t>0,615*402,612</t>
  </si>
  <si>
    <t>0,615*26,518</t>
  </si>
  <si>
    <t>0,615*2,24</t>
  </si>
  <si>
    <t>0,615*6,022</t>
  </si>
  <si>
    <t>1,147*39,174</t>
  </si>
  <si>
    <t>1,147*548,436</t>
  </si>
  <si>
    <t>1,147*36,122</t>
  </si>
  <si>
    <t>1,147*3,052</t>
  </si>
  <si>
    <t>1,147*9,244</t>
  </si>
  <si>
    <t>1,015*132,291</t>
  </si>
  <si>
    <t>1,015*1852,074</t>
  </si>
  <si>
    <t>1,015*114,631</t>
  </si>
  <si>
    <t>1,015*17,66</t>
  </si>
  <si>
    <t>1,015*23,148</t>
  </si>
  <si>
    <t>1,009*268,5005</t>
  </si>
  <si>
    <t>1,009*3759,07</t>
  </si>
  <si>
    <t>1,009*235,63</t>
  </si>
  <si>
    <t>1,009*32,875</t>
  </si>
  <si>
    <t>1,009*47,929</t>
  </si>
  <si>
    <t>1,008*416,978</t>
  </si>
  <si>
    <t>1,008*5837,692</t>
  </si>
  <si>
    <t>1,008*339,092</t>
  </si>
  <si>
    <t>1,008*77,886</t>
  </si>
  <si>
    <t>1,008*112,985</t>
  </si>
  <si>
    <t>1,023*105,419</t>
  </si>
  <si>
    <t>1,023*1475,866</t>
  </si>
  <si>
    <t>1,023*87,488</t>
  </si>
  <si>
    <t>1,023*17,931</t>
  </si>
  <si>
    <t>1,023*17,756</t>
  </si>
  <si>
    <t>0,919*117,889</t>
  </si>
  <si>
    <t>0,919*1650,446</t>
  </si>
  <si>
    <t>0,919*74,403</t>
  </si>
  <si>
    <t>0,919*43,486</t>
  </si>
  <si>
    <t>0,919*3,457</t>
  </si>
  <si>
    <t xml:space="preserve">celkem uznatelné náklady </t>
  </si>
  <si>
    <t>Kč</t>
  </si>
  <si>
    <t xml:space="preserve">Kč </t>
  </si>
  <si>
    <t>celkem  neuznatelné náklady  ( odbočení )</t>
  </si>
  <si>
    <t>( stoky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</si>
</sst>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0000"/>
    <numFmt numFmtId="169" formatCode="0.000"/>
  </numFmts>
  <fonts count="5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  <family val="1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name val="Arial CE"/>
      <charset val="238"/>
    </font>
    <font>
      <sz val="8"/>
      <name val="Arial CE"/>
    </font>
    <font>
      <b/>
      <sz val="10"/>
      <color rgb="FFFF0000"/>
      <name val="Arial CE"/>
      <charset val="238"/>
    </font>
    <font>
      <b/>
      <sz val="8"/>
      <color rgb="FFFF0000"/>
      <name val="Arial CE"/>
      <charset val="238"/>
    </font>
    <font>
      <b/>
      <sz val="8"/>
      <color rgb="FF003366"/>
      <name val="Arial CE"/>
      <charset val="238"/>
    </font>
    <font>
      <b/>
      <sz val="10"/>
      <name val="Arial CE"/>
      <charset val="238"/>
    </font>
    <font>
      <b/>
      <sz val="11"/>
      <color rgb="FFC00000"/>
      <name val="Arial CE"/>
      <charset val="238"/>
    </font>
    <font>
      <b/>
      <sz val="12"/>
      <name val="Arial CE"/>
      <charset val="238"/>
    </font>
    <font>
      <sz val="10"/>
      <name val="Arial CE"/>
      <family val="2"/>
    </font>
    <font>
      <b/>
      <sz val="8"/>
      <name val="Arial CE"/>
      <charset val="238"/>
    </font>
    <font>
      <b/>
      <sz val="8"/>
      <color rgb="FF800080"/>
      <name val="Arial CE"/>
      <charset val="238"/>
    </font>
    <font>
      <b/>
      <sz val="8"/>
      <color rgb="FF505050"/>
      <name val="Arial CE"/>
      <charset val="238"/>
    </font>
    <font>
      <sz val="16"/>
      <name val="Arial CE"/>
      <family val="2"/>
    </font>
    <font>
      <sz val="14"/>
      <name val="Arial CE"/>
      <family val="2"/>
    </font>
    <font>
      <b/>
      <sz val="14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4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40" fillId="0" borderId="0" xfId="0" applyFont="1" applyAlignment="1">
      <alignment vertical="center"/>
    </xf>
    <xf numFmtId="0" fontId="43" fillId="0" borderId="27" xfId="0" applyFont="1" applyBorder="1" applyAlignment="1">
      <alignment horizontal="justify"/>
    </xf>
    <xf numFmtId="0" fontId="8" fillId="0" borderId="27" xfId="0" applyFont="1" applyBorder="1"/>
    <xf numFmtId="167" fontId="44" fillId="0" borderId="27" xfId="0" applyNumberFormat="1" applyFont="1" applyBorder="1"/>
    <xf numFmtId="0" fontId="43" fillId="0" borderId="32" xfId="0" applyFont="1" applyBorder="1" applyAlignment="1">
      <alignment horizontal="justify"/>
    </xf>
    <xf numFmtId="0" fontId="43" fillId="0" borderId="28" xfId="0" applyFont="1" applyBorder="1" applyAlignment="1">
      <alignment horizontal="justify"/>
    </xf>
    <xf numFmtId="0" fontId="43" fillId="0" borderId="33" xfId="0" applyFont="1" applyBorder="1" applyAlignment="1">
      <alignment horizontal="justify"/>
    </xf>
    <xf numFmtId="0" fontId="43" fillId="0" borderId="34" xfId="0" applyFont="1" applyBorder="1"/>
    <xf numFmtId="167" fontId="45" fillId="0" borderId="35" xfId="0" applyNumberFormat="1" applyFont="1" applyBorder="1"/>
    <xf numFmtId="167" fontId="0" fillId="0" borderId="36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27" xfId="0" applyNumberFormat="1" applyBorder="1" applyAlignment="1">
      <alignment vertical="center"/>
    </xf>
    <xf numFmtId="167" fontId="40" fillId="0" borderId="27" xfId="0" applyNumberFormat="1" applyFont="1" applyBorder="1" applyAlignment="1">
      <alignment vertical="center"/>
    </xf>
    <xf numFmtId="167" fontId="46" fillId="0" borderId="0" xfId="0" applyNumberFormat="1" applyFont="1"/>
    <xf numFmtId="167" fontId="23" fillId="0" borderId="27" xfId="0" applyNumberFormat="1" applyFont="1" applyBorder="1" applyAlignment="1" applyProtection="1">
      <alignment horizontal="left" vertical="center" wrapText="1"/>
      <protection locked="0"/>
    </xf>
    <xf numFmtId="166" fontId="23" fillId="0" borderId="27" xfId="0" applyNumberFormat="1" applyFont="1" applyBorder="1" applyAlignment="1" applyProtection="1">
      <alignment horizontal="left" vertical="center" wrapText="1"/>
      <protection locked="0"/>
    </xf>
    <xf numFmtId="168" fontId="0" fillId="0" borderId="27" xfId="0" applyNumberFormat="1" applyBorder="1" applyAlignment="1">
      <alignment vertical="center"/>
    </xf>
    <xf numFmtId="167" fontId="0" fillId="0" borderId="37" xfId="0" applyNumberFormat="1" applyBorder="1" applyAlignment="1">
      <alignment vertical="center"/>
    </xf>
    <xf numFmtId="167" fontId="0" fillId="0" borderId="38" xfId="0" applyNumberFormat="1" applyBorder="1" applyAlignment="1">
      <alignment vertical="center"/>
    </xf>
    <xf numFmtId="167" fontId="44" fillId="0" borderId="28" xfId="0" applyNumberFormat="1" applyFont="1" applyBorder="1"/>
    <xf numFmtId="167" fontId="46" fillId="6" borderId="39" xfId="0" applyNumberFormat="1" applyFont="1" applyFill="1" applyBorder="1"/>
    <xf numFmtId="167" fontId="46" fillId="6" borderId="40" xfId="0" applyNumberFormat="1" applyFont="1" applyFill="1" applyBorder="1"/>
    <xf numFmtId="167" fontId="0" fillId="6" borderId="41" xfId="0" applyNumberFormat="1" applyFill="1" applyBorder="1" applyAlignment="1">
      <alignment vertical="center"/>
    </xf>
    <xf numFmtId="167" fontId="0" fillId="6" borderId="42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9" fillId="6" borderId="43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10" fillId="6" borderId="43" xfId="0" applyFont="1" applyFill="1" applyBorder="1" applyAlignment="1">
      <alignment vertical="center"/>
    </xf>
    <xf numFmtId="0" fontId="10" fillId="6" borderId="44" xfId="0" applyFont="1" applyFill="1" applyBorder="1" applyAlignment="1">
      <alignment vertical="center"/>
    </xf>
    <xf numFmtId="0" fontId="11" fillId="6" borderId="43" xfId="0" applyFont="1" applyFill="1" applyBorder="1" applyAlignment="1">
      <alignment vertical="center"/>
    </xf>
    <xf numFmtId="0" fontId="11" fillId="6" borderId="44" xfId="0" applyFont="1" applyFill="1" applyBorder="1" applyAlignment="1">
      <alignment vertical="center"/>
    </xf>
    <xf numFmtId="0" fontId="12" fillId="6" borderId="43" xfId="0" applyFont="1" applyFill="1" applyBorder="1" applyAlignment="1">
      <alignment vertical="center"/>
    </xf>
    <xf numFmtId="0" fontId="12" fillId="6" borderId="44" xfId="0" applyFont="1" applyFill="1" applyBorder="1" applyAlignment="1">
      <alignment vertical="center"/>
    </xf>
    <xf numFmtId="167" fontId="46" fillId="6" borderId="43" xfId="0" applyNumberFormat="1" applyFont="1" applyFill="1" applyBorder="1"/>
    <xf numFmtId="167" fontId="46" fillId="6" borderId="44" xfId="0" applyNumberFormat="1" applyFont="1" applyFill="1" applyBorder="1"/>
    <xf numFmtId="167" fontId="0" fillId="6" borderId="45" xfId="0" applyNumberFormat="1" applyFill="1" applyBorder="1" applyAlignment="1">
      <alignment vertical="center"/>
    </xf>
    <xf numFmtId="167" fontId="0" fillId="6" borderId="46" xfId="0" applyNumberFormat="1" applyFill="1" applyBorder="1" applyAlignment="1">
      <alignment vertical="center"/>
    </xf>
    <xf numFmtId="167" fontId="46" fillId="0" borderId="47" xfId="0" applyNumberFormat="1" applyFont="1" applyBorder="1"/>
    <xf numFmtId="167" fontId="0" fillId="0" borderId="48" xfId="0" applyNumberFormat="1" applyBorder="1" applyAlignment="1">
      <alignment vertical="center"/>
    </xf>
    <xf numFmtId="0" fontId="0" fillId="0" borderId="49" xfId="0" applyBorder="1" applyAlignment="1">
      <alignment vertical="center"/>
    </xf>
    <xf numFmtId="0" fontId="9" fillId="0" borderId="49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167" fontId="46" fillId="0" borderId="49" xfId="0" applyNumberFormat="1" applyFont="1" applyBorder="1"/>
    <xf numFmtId="0" fontId="0" fillId="0" borderId="3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6" borderId="45" xfId="0" applyFill="1" applyBorder="1" applyAlignment="1">
      <alignment vertical="center"/>
    </xf>
    <xf numFmtId="0" fontId="0" fillId="6" borderId="46" xfId="0" applyFill="1" applyBorder="1" applyAlignment="1">
      <alignment vertical="center"/>
    </xf>
    <xf numFmtId="0" fontId="0" fillId="0" borderId="48" xfId="0" applyBorder="1" applyAlignment="1">
      <alignment vertical="center"/>
    </xf>
    <xf numFmtId="167" fontId="45" fillId="0" borderId="50" xfId="0" applyNumberFormat="1" applyFont="1" applyBorder="1"/>
    <xf numFmtId="4" fontId="0" fillId="6" borderId="41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8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justify" vertical="top"/>
    </xf>
    <xf numFmtId="0" fontId="2" fillId="7" borderId="3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2" fillId="8" borderId="3" xfId="0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5" fillId="6" borderId="3" xfId="0" applyFont="1" applyFill="1" applyBorder="1" applyAlignment="1">
      <alignment vertical="center"/>
    </xf>
    <xf numFmtId="0" fontId="27" fillId="6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4" fontId="25" fillId="0" borderId="52" xfId="0" applyNumberFormat="1" applyFont="1" applyBorder="1" applyAlignment="1">
      <alignment vertical="center"/>
    </xf>
    <xf numFmtId="4" fontId="28" fillId="6" borderId="53" xfId="0" applyNumberFormat="1" applyFont="1" applyFill="1" applyBorder="1" applyAlignment="1">
      <alignment vertical="center"/>
    </xf>
    <xf numFmtId="4" fontId="7" fillId="8" borderId="53" xfId="0" applyNumberFormat="1" applyFont="1" applyFill="1" applyBorder="1" applyAlignment="1">
      <alignment vertical="center"/>
    </xf>
    <xf numFmtId="4" fontId="7" fillId="7" borderId="53" xfId="0" applyNumberFormat="1" applyFont="1" applyFill="1" applyBorder="1" applyAlignment="1">
      <alignment vertical="center"/>
    </xf>
    <xf numFmtId="4" fontId="7" fillId="0" borderId="53" xfId="0" applyNumberFormat="1" applyFont="1" applyBorder="1" applyAlignment="1">
      <alignment vertical="center"/>
    </xf>
    <xf numFmtId="4" fontId="0" fillId="0" borderId="53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4" fontId="0" fillId="0" borderId="36" xfId="0" applyNumberFormat="1" applyBorder="1" applyAlignment="1">
      <alignment vertical="center"/>
    </xf>
    <xf numFmtId="4" fontId="0" fillId="0" borderId="27" xfId="0" applyNumberFormat="1" applyBorder="1" applyAlignment="1">
      <alignment vertical="center"/>
    </xf>
    <xf numFmtId="4" fontId="8" fillId="0" borderId="0" xfId="0" applyNumberFormat="1" applyFont="1"/>
    <xf numFmtId="4" fontId="48" fillId="7" borderId="36" xfId="0" applyNumberFormat="1" applyFont="1" applyFill="1" applyBorder="1" applyAlignment="1">
      <alignment horizontal="right" vertical="center"/>
    </xf>
    <xf numFmtId="4" fontId="0" fillId="0" borderId="37" xfId="0" applyNumberFormat="1" applyBorder="1" applyAlignment="1">
      <alignment vertical="center"/>
    </xf>
    <xf numFmtId="4" fontId="0" fillId="0" borderId="38" xfId="0" applyNumberFormat="1" applyBorder="1" applyAlignment="1">
      <alignment vertical="center"/>
    </xf>
    <xf numFmtId="4" fontId="8" fillId="6" borderId="57" xfId="0" applyNumberFormat="1" applyFont="1" applyFill="1" applyBorder="1"/>
    <xf numFmtId="4" fontId="8" fillId="6" borderId="58" xfId="0" applyNumberFormat="1" applyFont="1" applyFill="1" applyBorder="1"/>
    <xf numFmtId="4" fontId="0" fillId="6" borderId="59" xfId="0" applyNumberFormat="1" applyFill="1" applyBorder="1" applyAlignment="1">
      <alignment vertical="center"/>
    </xf>
    <xf numFmtId="4" fontId="0" fillId="6" borderId="60" xfId="0" applyNumberFormat="1" applyFill="1" applyBorder="1" applyAlignment="1">
      <alignment vertical="center"/>
    </xf>
    <xf numFmtId="0" fontId="0" fillId="6" borderId="61" xfId="0" applyFill="1" applyBorder="1" applyAlignment="1">
      <alignment vertical="center"/>
    </xf>
    <xf numFmtId="0" fontId="0" fillId="6" borderId="62" xfId="0" applyFill="1" applyBorder="1" applyAlignment="1">
      <alignment vertical="center"/>
    </xf>
    <xf numFmtId="4" fontId="8" fillId="6" borderId="61" xfId="0" applyNumberFormat="1" applyFont="1" applyFill="1" applyBorder="1"/>
    <xf numFmtId="4" fontId="8" fillId="6" borderId="62" xfId="0" applyNumberFormat="1" applyFont="1" applyFill="1" applyBorder="1"/>
    <xf numFmtId="0" fontId="8" fillId="6" borderId="61" xfId="0" applyFont="1" applyFill="1" applyBorder="1"/>
    <xf numFmtId="0" fontId="8" fillId="6" borderId="62" xfId="0" applyFont="1" applyFill="1" applyBorder="1"/>
    <xf numFmtId="0" fontId="0" fillId="6" borderId="63" xfId="0" applyFill="1" applyBorder="1" applyAlignment="1">
      <alignment vertical="center"/>
    </xf>
    <xf numFmtId="0" fontId="0" fillId="6" borderId="64" xfId="0" applyFill="1" applyBorder="1" applyAlignment="1">
      <alignment vertical="center"/>
    </xf>
    <xf numFmtId="4" fontId="8" fillId="0" borderId="47" xfId="0" applyNumberFormat="1" applyFont="1" applyBorder="1"/>
    <xf numFmtId="4" fontId="0" fillId="0" borderId="48" xfId="0" applyNumberFormat="1" applyBorder="1" applyAlignment="1">
      <alignment vertical="center"/>
    </xf>
    <xf numFmtId="4" fontId="8" fillId="0" borderId="49" xfId="0" applyNumberFormat="1" applyFont="1" applyBorder="1"/>
    <xf numFmtId="0" fontId="8" fillId="0" borderId="49" xfId="0" applyFont="1" applyBorder="1"/>
    <xf numFmtId="4" fontId="40" fillId="0" borderId="27" xfId="0" applyNumberFormat="1" applyFont="1" applyBorder="1" applyAlignment="1">
      <alignment vertical="center"/>
    </xf>
    <xf numFmtId="4" fontId="46" fillId="0" borderId="0" xfId="0" applyNumberFormat="1" applyFont="1"/>
    <xf numFmtId="4" fontId="46" fillId="6" borderId="39" xfId="0" applyNumberFormat="1" applyFont="1" applyFill="1" applyBorder="1"/>
    <xf numFmtId="4" fontId="46" fillId="6" borderId="40" xfId="0" applyNumberFormat="1" applyFont="1" applyFill="1" applyBorder="1"/>
    <xf numFmtId="4" fontId="0" fillId="6" borderId="42" xfId="0" applyNumberFormat="1" applyFill="1" applyBorder="1" applyAlignment="1">
      <alignment vertical="center"/>
    </xf>
    <xf numFmtId="4" fontId="46" fillId="6" borderId="43" xfId="0" applyNumberFormat="1" applyFont="1" applyFill="1" applyBorder="1"/>
    <xf numFmtId="4" fontId="46" fillId="6" borderId="44" xfId="0" applyNumberFormat="1" applyFont="1" applyFill="1" applyBorder="1"/>
    <xf numFmtId="4" fontId="46" fillId="0" borderId="47" xfId="0" applyNumberFormat="1" applyFont="1" applyBorder="1"/>
    <xf numFmtId="4" fontId="46" fillId="0" borderId="49" xfId="0" applyNumberFormat="1" applyFont="1" applyBorder="1"/>
    <xf numFmtId="4" fontId="8" fillId="6" borderId="39" xfId="0" applyNumberFormat="1" applyFont="1" applyFill="1" applyBorder="1"/>
    <xf numFmtId="4" fontId="8" fillId="6" borderId="40" xfId="0" applyNumberFormat="1" applyFont="1" applyFill="1" applyBorder="1"/>
    <xf numFmtId="4" fontId="8" fillId="6" borderId="43" xfId="0" applyNumberFormat="1" applyFont="1" applyFill="1" applyBorder="1"/>
    <xf numFmtId="4" fontId="8" fillId="6" borderId="44" xfId="0" applyNumberFormat="1" applyFont="1" applyFill="1" applyBorder="1"/>
    <xf numFmtId="0" fontId="49" fillId="0" borderId="0" xfId="0" applyFont="1" applyAlignment="1">
      <alignment horizontal="left" vertical="center"/>
    </xf>
    <xf numFmtId="4" fontId="0" fillId="6" borderId="45" xfId="0" applyNumberFormat="1" applyFill="1" applyBorder="1" applyAlignment="1">
      <alignment vertical="center"/>
    </xf>
    <xf numFmtId="4" fontId="0" fillId="6" borderId="46" xfId="0" applyNumberFormat="1" applyFill="1" applyBorder="1" applyAlignment="1">
      <alignment vertical="center"/>
    </xf>
    <xf numFmtId="0" fontId="42" fillId="0" borderId="0" xfId="0" applyFont="1" applyAlignment="1">
      <alignment horizontal="left" vertical="center"/>
    </xf>
    <xf numFmtId="4" fontId="46" fillId="6" borderId="65" xfId="0" applyNumberFormat="1" applyFont="1" applyFill="1" applyBorder="1"/>
    <xf numFmtId="4" fontId="46" fillId="6" borderId="66" xfId="0" applyNumberFormat="1" applyFont="1" applyFill="1" applyBorder="1"/>
    <xf numFmtId="167" fontId="7" fillId="0" borderId="0" xfId="0" applyNumberFormat="1" applyFont="1" applyAlignment="1">
      <alignment vertical="center"/>
    </xf>
    <xf numFmtId="167" fontId="10" fillId="6" borderId="43" xfId="0" applyNumberFormat="1" applyFont="1" applyFill="1" applyBorder="1" applyAlignment="1">
      <alignment vertical="center"/>
    </xf>
    <xf numFmtId="167" fontId="11" fillId="6" borderId="43" xfId="0" applyNumberFormat="1" applyFont="1" applyFill="1" applyBorder="1" applyAlignment="1">
      <alignment vertical="center"/>
    </xf>
    <xf numFmtId="167" fontId="0" fillId="6" borderId="43" xfId="0" applyNumberFormat="1" applyFill="1" applyBorder="1" applyAlignment="1">
      <alignment vertical="center"/>
    </xf>
    <xf numFmtId="169" fontId="10" fillId="6" borderId="43" xfId="0" applyNumberFormat="1" applyFont="1" applyFill="1" applyBorder="1" applyAlignment="1">
      <alignment vertical="center"/>
    </xf>
    <xf numFmtId="169" fontId="12" fillId="6" borderId="43" xfId="0" applyNumberFormat="1" applyFont="1" applyFill="1" applyBorder="1" applyAlignment="1">
      <alignment vertical="center"/>
    </xf>
    <xf numFmtId="169" fontId="9" fillId="6" borderId="43" xfId="0" applyNumberFormat="1" applyFont="1" applyFill="1" applyBorder="1" applyAlignment="1">
      <alignment vertical="center"/>
    </xf>
    <xf numFmtId="169" fontId="11" fillId="6" borderId="43" xfId="0" applyNumberFormat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7" fontId="12" fillId="6" borderId="43" xfId="0" applyNumberFormat="1" applyFont="1" applyFill="1" applyBorder="1" applyAlignment="1">
      <alignment vertical="center"/>
    </xf>
    <xf numFmtId="167" fontId="9" fillId="6" borderId="43" xfId="0" applyNumberFormat="1" applyFont="1" applyFill="1" applyBorder="1" applyAlignment="1">
      <alignment vertical="center"/>
    </xf>
    <xf numFmtId="167" fontId="8" fillId="0" borderId="0" xfId="0" applyNumberFormat="1" applyFont="1"/>
    <xf numFmtId="167" fontId="8" fillId="6" borderId="39" xfId="0" applyNumberFormat="1" applyFont="1" applyFill="1" applyBorder="1"/>
    <xf numFmtId="167" fontId="8" fillId="6" borderId="40" xfId="0" applyNumberFormat="1" applyFont="1" applyFill="1" applyBorder="1"/>
    <xf numFmtId="167" fontId="8" fillId="6" borderId="43" xfId="0" applyNumberFormat="1" applyFont="1" applyFill="1" applyBorder="1"/>
    <xf numFmtId="167" fontId="8" fillId="6" borderId="44" xfId="0" applyNumberFormat="1" applyFont="1" applyFill="1" applyBorder="1"/>
    <xf numFmtId="167" fontId="8" fillId="0" borderId="47" xfId="0" applyNumberFormat="1" applyFont="1" applyBorder="1"/>
    <xf numFmtId="167" fontId="8" fillId="0" borderId="49" xfId="0" applyNumberFormat="1" applyFont="1" applyBorder="1"/>
    <xf numFmtId="0" fontId="10" fillId="0" borderId="67" xfId="0" applyFont="1" applyBorder="1" applyAlignment="1">
      <alignment vertical="center"/>
    </xf>
    <xf numFmtId="166" fontId="0" fillId="0" borderId="38" xfId="0" applyNumberFormat="1" applyBorder="1" applyAlignment="1">
      <alignment vertical="center"/>
    </xf>
    <xf numFmtId="167" fontId="9" fillId="6" borderId="44" xfId="0" applyNumberFormat="1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9" fillId="0" borderId="68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4" fontId="8" fillId="0" borderId="68" xfId="0" applyNumberFormat="1" applyFont="1" applyBorder="1"/>
    <xf numFmtId="0" fontId="23" fillId="9" borderId="22" xfId="0" applyFont="1" applyFill="1" applyBorder="1" applyAlignment="1" applyProtection="1">
      <alignment horizontal="center" vertical="center"/>
      <protection locked="0"/>
    </xf>
    <xf numFmtId="49" fontId="23" fillId="9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9" borderId="22" xfId="0" applyFont="1" applyFill="1" applyBorder="1" applyAlignment="1" applyProtection="1">
      <alignment horizontal="left" vertical="center" wrapText="1"/>
      <protection locked="0"/>
    </xf>
    <xf numFmtId="0" fontId="23" fillId="9" borderId="22" xfId="0" applyFont="1" applyFill="1" applyBorder="1" applyAlignment="1" applyProtection="1">
      <alignment horizontal="center" vertical="center" wrapText="1"/>
      <protection locked="0"/>
    </xf>
    <xf numFmtId="167" fontId="23" fillId="9" borderId="22" xfId="0" applyNumberFormat="1" applyFont="1" applyFill="1" applyBorder="1" applyAlignment="1" applyProtection="1">
      <alignment vertical="center"/>
      <protection locked="0"/>
    </xf>
    <xf numFmtId="4" fontId="23" fillId="9" borderId="22" xfId="0" applyNumberFormat="1" applyFont="1" applyFill="1" applyBorder="1" applyAlignment="1" applyProtection="1">
      <alignment vertical="center"/>
      <protection locked="0"/>
    </xf>
    <xf numFmtId="167" fontId="0" fillId="9" borderId="36" xfId="0" applyNumberFormat="1" applyFill="1" applyBorder="1" applyAlignment="1">
      <alignment vertical="center"/>
    </xf>
    <xf numFmtId="167" fontId="0" fillId="9" borderId="37" xfId="0" applyNumberFormat="1" applyFill="1" applyBorder="1" applyAlignment="1">
      <alignment vertical="center"/>
    </xf>
    <xf numFmtId="167" fontId="0" fillId="9" borderId="41" xfId="0" applyNumberFormat="1" applyFill="1" applyBorder="1" applyAlignment="1">
      <alignment vertical="center"/>
    </xf>
    <xf numFmtId="167" fontId="0" fillId="9" borderId="42" xfId="0" applyNumberFormat="1" applyFill="1" applyBorder="1" applyAlignment="1">
      <alignment vertical="center"/>
    </xf>
    <xf numFmtId="167" fontId="0" fillId="9" borderId="38" xfId="0" applyNumberFormat="1" applyFill="1" applyBorder="1" applyAlignment="1">
      <alignment vertical="center"/>
    </xf>
    <xf numFmtId="167" fontId="0" fillId="9" borderId="48" xfId="0" applyNumberFormat="1" applyFill="1" applyBorder="1" applyAlignment="1">
      <alignment vertical="center"/>
    </xf>
    <xf numFmtId="0" fontId="39" fillId="9" borderId="22" xfId="0" applyFont="1" applyFill="1" applyBorder="1" applyAlignment="1" applyProtection="1">
      <alignment horizontal="center" vertical="center"/>
      <protection locked="0"/>
    </xf>
    <xf numFmtId="49" fontId="39" fillId="9" borderId="22" xfId="0" applyNumberFormat="1" applyFont="1" applyFill="1" applyBorder="1" applyAlignment="1" applyProtection="1">
      <alignment horizontal="left" vertical="center" wrapText="1"/>
      <protection locked="0"/>
    </xf>
    <xf numFmtId="0" fontId="39" fillId="9" borderId="22" xfId="0" applyFont="1" applyFill="1" applyBorder="1" applyAlignment="1" applyProtection="1">
      <alignment horizontal="left" vertical="center" wrapText="1"/>
      <protection locked="0"/>
    </xf>
    <xf numFmtId="0" fontId="39" fillId="9" borderId="22" xfId="0" applyFont="1" applyFill="1" applyBorder="1" applyAlignment="1" applyProtection="1">
      <alignment horizontal="center" vertical="center" wrapText="1"/>
      <protection locked="0"/>
    </xf>
    <xf numFmtId="167" fontId="39" fillId="9" borderId="22" xfId="0" applyNumberFormat="1" applyFont="1" applyFill="1" applyBorder="1" applyAlignment="1" applyProtection="1">
      <alignment vertical="center"/>
      <protection locked="0"/>
    </xf>
    <xf numFmtId="4" fontId="39" fillId="9" borderId="22" xfId="0" applyNumberFormat="1" applyFont="1" applyFill="1" applyBorder="1" applyAlignment="1" applyProtection="1">
      <alignment vertical="center"/>
      <protection locked="0"/>
    </xf>
    <xf numFmtId="4" fontId="0" fillId="6" borderId="69" xfId="0" applyNumberFormat="1" applyFill="1" applyBorder="1" applyAlignment="1">
      <alignment vertical="center"/>
    </xf>
    <xf numFmtId="4" fontId="0" fillId="6" borderId="70" xfId="0" applyNumberFormat="1" applyFill="1" applyBorder="1" applyAlignment="1">
      <alignment vertical="center"/>
    </xf>
    <xf numFmtId="0" fontId="8" fillId="6" borderId="43" xfId="0" applyFont="1" applyFill="1" applyBorder="1"/>
    <xf numFmtId="0" fontId="8" fillId="6" borderId="44" xfId="0" applyFont="1" applyFill="1" applyBorder="1"/>
    <xf numFmtId="9" fontId="0" fillId="0" borderId="0" xfId="0" applyNumberFormat="1" applyAlignment="1">
      <alignment vertical="center"/>
    </xf>
    <xf numFmtId="0" fontId="10" fillId="6" borderId="44" xfId="0" applyFont="1" applyFill="1" applyBorder="1" applyAlignment="1">
      <alignment horizontal="right" vertical="center"/>
    </xf>
    <xf numFmtId="167" fontId="10" fillId="6" borderId="43" xfId="0" applyNumberFormat="1" applyFont="1" applyFill="1" applyBorder="1" applyAlignment="1">
      <alignment horizontal="left" vertical="center"/>
    </xf>
    <xf numFmtId="0" fontId="10" fillId="6" borderId="44" xfId="0" applyFont="1" applyFill="1" applyBorder="1" applyAlignment="1">
      <alignment vertical="top"/>
    </xf>
    <xf numFmtId="167" fontId="12" fillId="6" borderId="43" xfId="0" applyNumberFormat="1" applyFont="1" applyFill="1" applyBorder="1" applyAlignment="1">
      <alignment horizontal="left" vertical="center"/>
    </xf>
    <xf numFmtId="167" fontId="52" fillId="6" borderId="43" xfId="0" applyNumberFormat="1" applyFont="1" applyFill="1" applyBorder="1" applyAlignment="1">
      <alignment vertical="center"/>
    </xf>
    <xf numFmtId="167" fontId="53" fillId="6" borderId="43" xfId="0" applyNumberFormat="1" applyFont="1" applyFill="1" applyBorder="1" applyAlignment="1">
      <alignment vertical="center"/>
    </xf>
    <xf numFmtId="4" fontId="9" fillId="6" borderId="43" xfId="0" applyNumberFormat="1" applyFont="1" applyFill="1" applyBorder="1" applyAlignment="1">
      <alignment vertical="center"/>
    </xf>
    <xf numFmtId="0" fontId="0" fillId="6" borderId="44" xfId="0" applyFill="1" applyBorder="1" applyAlignment="1">
      <alignment horizontal="right" vertical="center"/>
    </xf>
    <xf numFmtId="0" fontId="9" fillId="6" borderId="44" xfId="0" applyFont="1" applyFill="1" applyBorder="1" applyAlignment="1">
      <alignment horizontal="right" vertical="center"/>
    </xf>
    <xf numFmtId="0" fontId="11" fillId="6" borderId="44" xfId="0" applyFont="1" applyFill="1" applyBorder="1" applyAlignment="1">
      <alignment horizontal="right" vertical="center"/>
    </xf>
    <xf numFmtId="4" fontId="10" fillId="6" borderId="43" xfId="0" applyNumberFormat="1" applyFont="1" applyFill="1" applyBorder="1" applyAlignment="1">
      <alignment vertical="center"/>
    </xf>
    <xf numFmtId="0" fontId="12" fillId="6" borderId="44" xfId="0" applyFont="1" applyFill="1" applyBorder="1" applyAlignment="1">
      <alignment horizontal="right" vertical="center"/>
    </xf>
    <xf numFmtId="16" fontId="10" fillId="6" borderId="44" xfId="0" applyNumberFormat="1" applyFont="1" applyFill="1" applyBorder="1" applyAlignment="1">
      <alignment vertical="center"/>
    </xf>
    <xf numFmtId="16" fontId="0" fillId="6" borderId="44" xfId="0" applyNumberFormat="1" applyFill="1" applyBorder="1" applyAlignment="1">
      <alignment vertical="center"/>
    </xf>
    <xf numFmtId="0" fontId="10" fillId="6" borderId="0" xfId="0" applyFont="1" applyFill="1" applyAlignment="1">
      <alignment horizontal="left" vertical="center" wrapText="1"/>
    </xf>
    <xf numFmtId="0" fontId="10" fillId="6" borderId="43" xfId="0" applyFont="1" applyFill="1" applyBorder="1" applyAlignment="1">
      <alignment horizontal="right" vertical="center"/>
    </xf>
    <xf numFmtId="0" fontId="54" fillId="0" borderId="0" xfId="0" applyFont="1"/>
    <xf numFmtId="0" fontId="55" fillId="0" borderId="0" xfId="0" applyFont="1"/>
    <xf numFmtId="4" fontId="56" fillId="0" borderId="0" xfId="0" applyNumberFormat="1" applyFont="1"/>
    <xf numFmtId="0" fontId="30" fillId="0" borderId="0" xfId="0" applyFont="1" applyAlignment="1">
      <alignment horizontal="left" vertical="center" wrapText="1"/>
    </xf>
    <xf numFmtId="0" fontId="30" fillId="7" borderId="0" xfId="0" applyFont="1" applyFill="1" applyAlignment="1">
      <alignment horizontal="left" vertical="center" wrapText="1"/>
    </xf>
    <xf numFmtId="0" fontId="30" fillId="8" borderId="0" xfId="0" applyFont="1" applyFill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7" borderId="0" xfId="0" applyNumberFormat="1" applyFont="1" applyFill="1" applyAlignment="1">
      <alignment vertical="center"/>
    </xf>
    <xf numFmtId="0" fontId="7" fillId="7" borderId="0" xfId="0" applyFont="1" applyFill="1" applyAlignment="1">
      <alignment vertical="center"/>
    </xf>
    <xf numFmtId="4" fontId="7" fillId="7" borderId="0" xfId="0" applyNumberFormat="1" applyFont="1" applyFill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5" fillId="0" borderId="2" xfId="0" applyNumberFormat="1" applyFont="1" applyBorder="1" applyAlignment="1">
      <alignment horizontal="right" vertical="center"/>
    </xf>
    <xf numFmtId="4" fontId="25" fillId="0" borderId="2" xfId="0" applyNumberFormat="1" applyFont="1" applyBorder="1" applyAlignment="1">
      <alignment vertical="center"/>
    </xf>
    <xf numFmtId="4" fontId="25" fillId="0" borderId="55" xfId="0" applyNumberFormat="1" applyFont="1" applyBorder="1" applyAlignment="1">
      <alignment vertical="center"/>
    </xf>
    <xf numFmtId="0" fontId="42" fillId="0" borderId="5" xfId="0" applyFont="1" applyBorder="1" applyAlignment="1">
      <alignment horizontal="left" vertical="center"/>
    </xf>
    <xf numFmtId="0" fontId="42" fillId="0" borderId="51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8" fillId="6" borderId="0" xfId="0" applyNumberFormat="1" applyFont="1" applyFill="1" applyAlignment="1">
      <alignment vertical="center"/>
    </xf>
    <xf numFmtId="0" fontId="28" fillId="6" borderId="0" xfId="0" applyFont="1" applyFill="1" applyAlignment="1">
      <alignment vertical="center"/>
    </xf>
    <xf numFmtId="4" fontId="28" fillId="6" borderId="0" xfId="0" applyNumberFormat="1" applyFont="1" applyFill="1" applyAlignment="1">
      <alignment horizontal="right" vertical="center"/>
    </xf>
    <xf numFmtId="4" fontId="7" fillId="8" borderId="0" xfId="0" applyNumberFormat="1" applyFont="1" applyFill="1" applyAlignment="1">
      <alignment vertical="center"/>
    </xf>
    <xf numFmtId="0" fontId="7" fillId="8" borderId="0" xfId="0" applyFont="1" applyFill="1" applyAlignment="1">
      <alignment vertical="center"/>
    </xf>
    <xf numFmtId="4" fontId="7" fillId="8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2" fillId="0" borderId="20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justify" vertical="top"/>
    </xf>
    <xf numFmtId="0" fontId="0" fillId="0" borderId="30" xfId="0" applyBorder="1" applyAlignment="1">
      <alignment horizontal="justify" vertical="top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56"/>
  <sheetViews>
    <sheetView windowProtection="1" showGridLines="0" tabSelected="1" topLeftCell="A130" workbookViewId="0">
      <selection activeCell="AY145" sqref="AY14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hidden="1" customWidth="1"/>
    <col min="41" max="41" width="7.5" hidden="1" customWidth="1"/>
    <col min="42" max="42" width="4.1640625" hidden="1" customWidth="1"/>
    <col min="43" max="43" width="22.5" customWidth="1"/>
    <col min="44" max="44" width="26" customWidth="1"/>
    <col min="45" max="45" width="23.1640625" customWidth="1"/>
    <col min="46" max="46" width="10.5" customWidth="1"/>
    <col min="47" max="48" width="15" customWidth="1"/>
    <col min="49" max="49" width="18" customWidth="1"/>
    <col min="50" max="50" width="15.6640625" hidden="1" customWidth="1"/>
    <col min="51" max="51" width="13.6640625" customWidth="1"/>
    <col min="52" max="54" width="25.83203125" hidden="1" customWidth="1"/>
    <col min="55" max="56" width="21.6640625" hidden="1" customWidth="1"/>
    <col min="57" max="58" width="25" hidden="1" customWidth="1"/>
    <col min="59" max="59" width="21.6640625" hidden="1" customWidth="1"/>
    <col min="60" max="60" width="19.1640625" hidden="1" customWidth="1"/>
    <col min="61" max="61" width="25" hidden="1" customWidth="1"/>
    <col min="62" max="62" width="21.6640625" hidden="1" customWidth="1"/>
    <col min="63" max="63" width="19.1640625" hidden="1" customWidth="1"/>
    <col min="64" max="64" width="66.5" customWidth="1"/>
    <col min="78" max="98" width="9.33203125" hidden="1"/>
  </cols>
  <sheetData>
    <row r="1" spans="1:81" hidden="1" x14ac:dyDescent="0.2">
      <c r="A1" s="15" t="s">
        <v>0</v>
      </c>
      <c r="BG1" s="15" t="s">
        <v>1</v>
      </c>
      <c r="BH1" s="15" t="s">
        <v>2</v>
      </c>
      <c r="BI1" s="15" t="s">
        <v>1</v>
      </c>
      <c r="CA1" s="15" t="s">
        <v>3</v>
      </c>
      <c r="CB1" s="15" t="s">
        <v>3</v>
      </c>
      <c r="CC1" s="15" t="s">
        <v>4</v>
      </c>
    </row>
    <row r="2" spans="1:81" ht="36.950000000000003" hidden="1" customHeight="1" x14ac:dyDescent="0.2">
      <c r="AY2" s="398" t="s">
        <v>5</v>
      </c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Z2" s="16" t="s">
        <v>6</v>
      </c>
      <c r="CA2" s="16" t="s">
        <v>7</v>
      </c>
    </row>
    <row r="3" spans="1:81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7"/>
      <c r="AR3" s="18"/>
      <c r="AS3" s="18"/>
      <c r="AT3" s="18"/>
      <c r="AU3" s="18"/>
      <c r="AV3" s="18"/>
      <c r="AW3" s="18"/>
      <c r="AX3" s="18"/>
      <c r="AY3" s="19"/>
      <c r="BZ3" s="16" t="s">
        <v>6</v>
      </c>
      <c r="CA3" s="16" t="s">
        <v>8</v>
      </c>
    </row>
    <row r="4" spans="1:81" ht="24.95" hidden="1" customHeight="1" x14ac:dyDescent="0.2">
      <c r="B4" s="19"/>
      <c r="D4" s="20" t="s">
        <v>9</v>
      </c>
      <c r="AQ4" s="19"/>
      <c r="AY4" s="19"/>
      <c r="AZ4" s="21" t="s">
        <v>10</v>
      </c>
      <c r="BL4" s="22" t="s">
        <v>11</v>
      </c>
      <c r="BZ4" s="16" t="s">
        <v>12</v>
      </c>
    </row>
    <row r="5" spans="1:81" ht="12" hidden="1" customHeight="1" x14ac:dyDescent="0.2">
      <c r="B5" s="19"/>
      <c r="D5" s="23" t="s">
        <v>13</v>
      </c>
      <c r="K5" s="418" t="s">
        <v>14</v>
      </c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Q5" s="19"/>
      <c r="AY5" s="19"/>
      <c r="BL5" s="409" t="s">
        <v>15</v>
      </c>
      <c r="BZ5" s="16" t="s">
        <v>6</v>
      </c>
    </row>
    <row r="6" spans="1:81" ht="36.950000000000003" hidden="1" customHeight="1" x14ac:dyDescent="0.2">
      <c r="B6" s="19"/>
      <c r="D6" s="25" t="s">
        <v>16</v>
      </c>
      <c r="K6" s="419" t="s">
        <v>17</v>
      </c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Q6" s="19"/>
      <c r="AY6" s="19"/>
      <c r="BL6" s="410"/>
      <c r="BZ6" s="16" t="s">
        <v>6</v>
      </c>
    </row>
    <row r="7" spans="1:81" ht="12" hidden="1" customHeight="1" x14ac:dyDescent="0.2">
      <c r="B7" s="19"/>
      <c r="D7" s="26" t="s">
        <v>18</v>
      </c>
      <c r="K7" s="24" t="s">
        <v>1</v>
      </c>
      <c r="AK7" s="26" t="s">
        <v>19</v>
      </c>
      <c r="AN7" s="24" t="s">
        <v>1</v>
      </c>
      <c r="AQ7" s="19"/>
      <c r="AY7" s="19"/>
      <c r="BL7" s="410"/>
      <c r="BZ7" s="16" t="s">
        <v>6</v>
      </c>
    </row>
    <row r="8" spans="1:81" ht="12" hidden="1" customHeight="1" x14ac:dyDescent="0.2">
      <c r="B8" s="19"/>
      <c r="D8" s="26" t="s">
        <v>20</v>
      </c>
      <c r="K8" s="24" t="s">
        <v>21</v>
      </c>
      <c r="AK8" s="26" t="s">
        <v>22</v>
      </c>
      <c r="AN8" s="27" t="s">
        <v>23</v>
      </c>
      <c r="AQ8" s="19"/>
      <c r="AY8" s="19"/>
      <c r="BL8" s="410"/>
      <c r="BZ8" s="16" t="s">
        <v>6</v>
      </c>
    </row>
    <row r="9" spans="1:81" ht="14.45" hidden="1" customHeight="1" x14ac:dyDescent="0.2">
      <c r="B9" s="19"/>
      <c r="AQ9" s="19"/>
      <c r="AY9" s="19"/>
      <c r="BL9" s="410"/>
      <c r="BZ9" s="16" t="s">
        <v>6</v>
      </c>
    </row>
    <row r="10" spans="1:81" ht="12" hidden="1" customHeight="1" x14ac:dyDescent="0.2">
      <c r="B10" s="19"/>
      <c r="D10" s="26" t="s">
        <v>24</v>
      </c>
      <c r="AK10" s="26" t="s">
        <v>25</v>
      </c>
      <c r="AN10" s="24" t="s">
        <v>1</v>
      </c>
      <c r="AQ10" s="19"/>
      <c r="AY10" s="19"/>
      <c r="BL10" s="410"/>
      <c r="BZ10" s="16" t="s">
        <v>6</v>
      </c>
    </row>
    <row r="11" spans="1:81" ht="18.399999999999999" hidden="1" customHeight="1" x14ac:dyDescent="0.2">
      <c r="B11" s="19"/>
      <c r="E11" s="24" t="s">
        <v>26</v>
      </c>
      <c r="AK11" s="26" t="s">
        <v>27</v>
      </c>
      <c r="AN11" s="24" t="s">
        <v>1</v>
      </c>
      <c r="AQ11" s="19"/>
      <c r="AY11" s="19"/>
      <c r="BL11" s="410"/>
      <c r="BZ11" s="16" t="s">
        <v>6</v>
      </c>
    </row>
    <row r="12" spans="1:81" ht="6.95" hidden="1" customHeight="1" x14ac:dyDescent="0.2">
      <c r="B12" s="19"/>
      <c r="AQ12" s="19"/>
      <c r="AY12" s="19"/>
      <c r="BL12" s="410"/>
      <c r="BZ12" s="16" t="s">
        <v>6</v>
      </c>
    </row>
    <row r="13" spans="1:81" ht="12" hidden="1" customHeight="1" x14ac:dyDescent="0.2">
      <c r="B13" s="19"/>
      <c r="D13" s="26" t="s">
        <v>28</v>
      </c>
      <c r="AK13" s="26" t="s">
        <v>25</v>
      </c>
      <c r="AN13" s="28" t="s">
        <v>29</v>
      </c>
      <c r="AQ13" s="19"/>
      <c r="AY13" s="19"/>
      <c r="BL13" s="410"/>
      <c r="BZ13" s="16" t="s">
        <v>6</v>
      </c>
    </row>
    <row r="14" spans="1:81" ht="12.75" hidden="1" x14ac:dyDescent="0.2">
      <c r="B14" s="19"/>
      <c r="E14" s="420" t="s">
        <v>3304</v>
      </c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26" t="s">
        <v>27</v>
      </c>
      <c r="AN14" s="28" t="s">
        <v>29</v>
      </c>
      <c r="AQ14" s="19"/>
      <c r="AY14" s="19"/>
      <c r="BL14" s="410"/>
      <c r="BZ14" s="16" t="s">
        <v>6</v>
      </c>
    </row>
    <row r="15" spans="1:81" ht="6.95" hidden="1" customHeight="1" x14ac:dyDescent="0.2">
      <c r="B15" s="19"/>
      <c r="AQ15" s="19"/>
      <c r="AY15" s="19"/>
      <c r="BL15" s="410"/>
      <c r="BZ15" s="16" t="s">
        <v>3</v>
      </c>
    </row>
    <row r="16" spans="1:81" ht="12" hidden="1" customHeight="1" x14ac:dyDescent="0.2">
      <c r="B16" s="19"/>
      <c r="D16" s="26" t="s">
        <v>30</v>
      </c>
      <c r="AK16" s="26" t="s">
        <v>25</v>
      </c>
      <c r="AN16" s="24" t="s">
        <v>1</v>
      </c>
      <c r="AQ16" s="19"/>
      <c r="AY16" s="19"/>
      <c r="BL16" s="410"/>
      <c r="BZ16" s="16" t="s">
        <v>3</v>
      </c>
    </row>
    <row r="17" spans="2:78" ht="18.399999999999999" hidden="1" customHeight="1" x14ac:dyDescent="0.2">
      <c r="B17" s="19"/>
      <c r="E17" s="24" t="s">
        <v>31</v>
      </c>
      <c r="AK17" s="26" t="s">
        <v>27</v>
      </c>
      <c r="AN17" s="24" t="s">
        <v>1</v>
      </c>
      <c r="AQ17" s="19"/>
      <c r="AY17" s="19"/>
      <c r="BL17" s="410"/>
      <c r="BZ17" s="16" t="s">
        <v>32</v>
      </c>
    </row>
    <row r="18" spans="2:78" ht="6.95" hidden="1" customHeight="1" x14ac:dyDescent="0.2">
      <c r="B18" s="19"/>
      <c r="AQ18" s="19"/>
      <c r="AY18" s="19"/>
      <c r="BL18" s="410"/>
      <c r="BZ18" s="16" t="s">
        <v>6</v>
      </c>
    </row>
    <row r="19" spans="2:78" ht="12" hidden="1" customHeight="1" x14ac:dyDescent="0.2">
      <c r="B19" s="19"/>
      <c r="D19" s="26" t="s">
        <v>33</v>
      </c>
      <c r="AK19" s="26" t="s">
        <v>25</v>
      </c>
      <c r="AN19" s="24" t="s">
        <v>1</v>
      </c>
      <c r="AQ19" s="19"/>
      <c r="AY19" s="19"/>
      <c r="BL19" s="410"/>
      <c r="BZ19" s="16" t="s">
        <v>6</v>
      </c>
    </row>
    <row r="20" spans="2:78" ht="18.399999999999999" hidden="1" customHeight="1" x14ac:dyDescent="0.2">
      <c r="B20" s="19"/>
      <c r="E20" s="24" t="s">
        <v>21</v>
      </c>
      <c r="AK20" s="26" t="s">
        <v>27</v>
      </c>
      <c r="AN20" s="24" t="s">
        <v>1</v>
      </c>
      <c r="AQ20" s="19"/>
      <c r="AY20" s="19"/>
      <c r="BL20" s="410"/>
      <c r="BZ20" s="16" t="s">
        <v>32</v>
      </c>
    </row>
    <row r="21" spans="2:78" ht="6.95" hidden="1" customHeight="1" x14ac:dyDescent="0.2">
      <c r="B21" s="19"/>
      <c r="AQ21" s="19"/>
      <c r="AY21" s="19"/>
      <c r="BL21" s="410"/>
    </row>
    <row r="22" spans="2:78" ht="12" hidden="1" customHeight="1" x14ac:dyDescent="0.2">
      <c r="B22" s="19"/>
      <c r="D22" s="26" t="s">
        <v>34</v>
      </c>
      <c r="AQ22" s="19"/>
      <c r="AY22" s="19"/>
      <c r="BL22" s="410"/>
    </row>
    <row r="23" spans="2:78" ht="16.5" hidden="1" customHeight="1" x14ac:dyDescent="0.2">
      <c r="B23" s="19"/>
      <c r="E23" s="422" t="s">
        <v>1</v>
      </c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Q23" s="19"/>
      <c r="AY23" s="19"/>
      <c r="BL23" s="410"/>
    </row>
    <row r="24" spans="2:78" ht="6.95" hidden="1" customHeight="1" x14ac:dyDescent="0.2">
      <c r="B24" s="19"/>
      <c r="AQ24" s="19"/>
      <c r="AY24" s="19"/>
      <c r="BL24" s="410"/>
    </row>
    <row r="25" spans="2:78" ht="6.95" hidden="1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Q25" s="19"/>
      <c r="AY25" s="19"/>
      <c r="BL25" s="410"/>
    </row>
    <row r="26" spans="2:78" s="1" customFormat="1" ht="25.9" hidden="1" customHeight="1" x14ac:dyDescent="0.2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24">
        <f>ROUND(AG86,2)</f>
        <v>89914546.239999995</v>
      </c>
      <c r="AL26" s="425"/>
      <c r="AM26" s="425"/>
      <c r="AN26" s="425"/>
      <c r="AO26" s="425"/>
      <c r="AQ26" s="31"/>
      <c r="AY26" s="31"/>
      <c r="BL26" s="410"/>
    </row>
    <row r="27" spans="2:78" s="1" customFormat="1" ht="6.95" hidden="1" customHeight="1" x14ac:dyDescent="0.2">
      <c r="B27" s="31"/>
      <c r="AQ27" s="31"/>
      <c r="AY27" s="31"/>
      <c r="BL27" s="410"/>
    </row>
    <row r="28" spans="2:78" s="1" customFormat="1" ht="12.75" hidden="1" x14ac:dyDescent="0.2">
      <c r="B28" s="31"/>
      <c r="L28" s="426" t="s">
        <v>36</v>
      </c>
      <c r="M28" s="426"/>
      <c r="N28" s="426"/>
      <c r="O28" s="426"/>
      <c r="P28" s="426"/>
      <c r="W28" s="426" t="s">
        <v>37</v>
      </c>
      <c r="X28" s="426"/>
      <c r="Y28" s="426"/>
      <c r="Z28" s="426"/>
      <c r="AA28" s="426"/>
      <c r="AB28" s="426"/>
      <c r="AC28" s="426"/>
      <c r="AD28" s="426"/>
      <c r="AE28" s="426"/>
      <c r="AK28" s="426" t="s">
        <v>38</v>
      </c>
      <c r="AL28" s="426"/>
      <c r="AM28" s="426"/>
      <c r="AN28" s="426"/>
      <c r="AO28" s="426"/>
      <c r="AQ28" s="31"/>
      <c r="AY28" s="31"/>
      <c r="BL28" s="410"/>
    </row>
    <row r="29" spans="2:78" s="2" customFormat="1" ht="14.45" hidden="1" customHeight="1" x14ac:dyDescent="0.2">
      <c r="B29" s="35"/>
      <c r="D29" s="26" t="s">
        <v>39</v>
      </c>
      <c r="F29" s="26" t="s">
        <v>40</v>
      </c>
      <c r="L29" s="429">
        <v>0.21</v>
      </c>
      <c r="M29" s="428"/>
      <c r="N29" s="428"/>
      <c r="O29" s="428"/>
      <c r="P29" s="428"/>
      <c r="W29" s="427">
        <f>ROUND(BG86, 2)</f>
        <v>89914546.239999995</v>
      </c>
      <c r="X29" s="428"/>
      <c r="Y29" s="428"/>
      <c r="Z29" s="428"/>
      <c r="AA29" s="428"/>
      <c r="AB29" s="428"/>
      <c r="AC29" s="428"/>
      <c r="AD29" s="428"/>
      <c r="AE29" s="428"/>
      <c r="AK29" s="427">
        <f>ROUND(BC86, 2)</f>
        <v>18882054.710000001</v>
      </c>
      <c r="AL29" s="428"/>
      <c r="AM29" s="428"/>
      <c r="AN29" s="428"/>
      <c r="AO29" s="428"/>
      <c r="AQ29" s="35"/>
      <c r="AY29" s="35"/>
      <c r="BL29" s="411"/>
    </row>
    <row r="30" spans="2:78" s="2" customFormat="1" ht="14.45" hidden="1" customHeight="1" x14ac:dyDescent="0.2">
      <c r="B30" s="35"/>
      <c r="F30" s="26" t="s">
        <v>41</v>
      </c>
      <c r="L30" s="429">
        <v>0.15</v>
      </c>
      <c r="M30" s="428"/>
      <c r="N30" s="428"/>
      <c r="O30" s="428"/>
      <c r="P30" s="428"/>
      <c r="W30" s="427">
        <f>ROUND(BH86, 2)</f>
        <v>0</v>
      </c>
      <c r="X30" s="428"/>
      <c r="Y30" s="428"/>
      <c r="Z30" s="428"/>
      <c r="AA30" s="428"/>
      <c r="AB30" s="428"/>
      <c r="AC30" s="428"/>
      <c r="AD30" s="428"/>
      <c r="AE30" s="428"/>
      <c r="AK30" s="427">
        <f>ROUND(BD86, 2)</f>
        <v>0</v>
      </c>
      <c r="AL30" s="428"/>
      <c r="AM30" s="428"/>
      <c r="AN30" s="428"/>
      <c r="AO30" s="428"/>
      <c r="AQ30" s="35"/>
      <c r="AY30" s="35"/>
      <c r="BL30" s="411"/>
    </row>
    <row r="31" spans="2:78" s="2" customFormat="1" ht="14.45" hidden="1" customHeight="1" x14ac:dyDescent="0.2">
      <c r="B31" s="35"/>
      <c r="F31" s="26" t="s">
        <v>42</v>
      </c>
      <c r="L31" s="429">
        <v>0.21</v>
      </c>
      <c r="M31" s="428"/>
      <c r="N31" s="428"/>
      <c r="O31" s="428"/>
      <c r="P31" s="428"/>
      <c r="W31" s="427">
        <f>ROUND(BI86, 2)</f>
        <v>0</v>
      </c>
      <c r="X31" s="428"/>
      <c r="Y31" s="428"/>
      <c r="Z31" s="428"/>
      <c r="AA31" s="428"/>
      <c r="AB31" s="428"/>
      <c r="AC31" s="428"/>
      <c r="AD31" s="428"/>
      <c r="AE31" s="428"/>
      <c r="AK31" s="427">
        <v>0</v>
      </c>
      <c r="AL31" s="428"/>
      <c r="AM31" s="428"/>
      <c r="AN31" s="428"/>
      <c r="AO31" s="428"/>
      <c r="AQ31" s="35"/>
      <c r="AY31" s="35"/>
      <c r="BL31" s="411"/>
    </row>
    <row r="32" spans="2:78" s="2" customFormat="1" ht="14.45" hidden="1" customHeight="1" x14ac:dyDescent="0.2">
      <c r="B32" s="35"/>
      <c r="F32" s="26" t="s">
        <v>43</v>
      </c>
      <c r="L32" s="429">
        <v>0.15</v>
      </c>
      <c r="M32" s="428"/>
      <c r="N32" s="428"/>
      <c r="O32" s="428"/>
      <c r="P32" s="428"/>
      <c r="W32" s="427">
        <f>ROUND(BJ86, 2)</f>
        <v>0</v>
      </c>
      <c r="X32" s="428"/>
      <c r="Y32" s="428"/>
      <c r="Z32" s="428"/>
      <c r="AA32" s="428"/>
      <c r="AB32" s="428"/>
      <c r="AC32" s="428"/>
      <c r="AD32" s="428"/>
      <c r="AE32" s="428"/>
      <c r="AK32" s="427">
        <v>0</v>
      </c>
      <c r="AL32" s="428"/>
      <c r="AM32" s="428"/>
      <c r="AN32" s="428"/>
      <c r="AO32" s="428"/>
      <c r="AQ32" s="35"/>
      <c r="AY32" s="35"/>
      <c r="BL32" s="411"/>
    </row>
    <row r="33" spans="2:64" s="2" customFormat="1" ht="14.45" hidden="1" customHeight="1" x14ac:dyDescent="0.2">
      <c r="B33" s="35"/>
      <c r="F33" s="26" t="s">
        <v>44</v>
      </c>
      <c r="L33" s="429">
        <v>0</v>
      </c>
      <c r="M33" s="428"/>
      <c r="N33" s="428"/>
      <c r="O33" s="428"/>
      <c r="P33" s="428"/>
      <c r="W33" s="427">
        <f>ROUND(BK86, 2)</f>
        <v>0</v>
      </c>
      <c r="X33" s="428"/>
      <c r="Y33" s="428"/>
      <c r="Z33" s="428"/>
      <c r="AA33" s="428"/>
      <c r="AB33" s="428"/>
      <c r="AC33" s="428"/>
      <c r="AD33" s="428"/>
      <c r="AE33" s="428"/>
      <c r="AK33" s="427">
        <v>0</v>
      </c>
      <c r="AL33" s="428"/>
      <c r="AM33" s="428"/>
      <c r="AN33" s="428"/>
      <c r="AO33" s="428"/>
      <c r="AQ33" s="35"/>
      <c r="AY33" s="35"/>
      <c r="BL33" s="411"/>
    </row>
    <row r="34" spans="2:64" s="1" customFormat="1" ht="6.95" hidden="1" customHeight="1" x14ac:dyDescent="0.2">
      <c r="B34" s="31"/>
      <c r="AQ34" s="31"/>
      <c r="AY34" s="31"/>
      <c r="BL34" s="410"/>
    </row>
    <row r="35" spans="2:64" s="1" customFormat="1" ht="25.9" hidden="1" customHeight="1" x14ac:dyDescent="0.2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423" t="s">
        <v>47</v>
      </c>
      <c r="Y35" s="387"/>
      <c r="Z35" s="387"/>
      <c r="AA35" s="387"/>
      <c r="AB35" s="387"/>
      <c r="AC35" s="38"/>
      <c r="AD35" s="38"/>
      <c r="AE35" s="38"/>
      <c r="AF35" s="38"/>
      <c r="AG35" s="38"/>
      <c r="AH35" s="38"/>
      <c r="AI35" s="38"/>
      <c r="AJ35" s="38"/>
      <c r="AK35" s="386">
        <f>SUM(AK26:AK33)</f>
        <v>108796600.94999999</v>
      </c>
      <c r="AL35" s="387"/>
      <c r="AM35" s="387"/>
      <c r="AN35" s="387"/>
      <c r="AO35" s="388"/>
      <c r="AP35" s="36"/>
      <c r="AQ35" s="244"/>
      <c r="AR35" s="36"/>
      <c r="AS35" s="36"/>
      <c r="AT35" s="36"/>
      <c r="AU35" s="36"/>
      <c r="AV35" s="36"/>
      <c r="AW35" s="36"/>
      <c r="AX35" s="36"/>
      <c r="AY35" s="31"/>
    </row>
    <row r="36" spans="2:64" s="1" customFormat="1" ht="6.95" hidden="1" customHeight="1" x14ac:dyDescent="0.2">
      <c r="B36" s="31"/>
      <c r="AQ36" s="31"/>
      <c r="AY36" s="31"/>
    </row>
    <row r="37" spans="2:64" s="1" customFormat="1" ht="14.45" hidden="1" customHeight="1" x14ac:dyDescent="0.2">
      <c r="B37" s="31"/>
      <c r="AQ37" s="31"/>
      <c r="AY37" s="31"/>
    </row>
    <row r="38" spans="2:64" ht="14.45" hidden="1" customHeight="1" x14ac:dyDescent="0.2">
      <c r="B38" s="19"/>
      <c r="AQ38" s="19"/>
      <c r="AY38" s="19"/>
    </row>
    <row r="39" spans="2:64" ht="14.45" hidden="1" customHeight="1" x14ac:dyDescent="0.2">
      <c r="B39" s="19"/>
      <c r="AQ39" s="19"/>
      <c r="AY39" s="19"/>
    </row>
    <row r="40" spans="2:64" ht="14.45" hidden="1" customHeight="1" x14ac:dyDescent="0.2">
      <c r="B40" s="19"/>
      <c r="AQ40" s="19"/>
      <c r="AY40" s="19"/>
    </row>
    <row r="41" spans="2:64" ht="14.45" hidden="1" customHeight="1" x14ac:dyDescent="0.2">
      <c r="B41" s="19"/>
      <c r="AQ41" s="19"/>
      <c r="AY41" s="19"/>
    </row>
    <row r="42" spans="2:64" ht="14.45" hidden="1" customHeight="1" x14ac:dyDescent="0.2">
      <c r="B42" s="19"/>
      <c r="AQ42" s="19"/>
      <c r="AY42" s="19"/>
    </row>
    <row r="43" spans="2:64" ht="14.45" hidden="1" customHeight="1" x14ac:dyDescent="0.2">
      <c r="B43" s="19"/>
      <c r="AQ43" s="19"/>
      <c r="AY43" s="19"/>
    </row>
    <row r="44" spans="2:64" ht="14.45" hidden="1" customHeight="1" x14ac:dyDescent="0.2">
      <c r="B44" s="19"/>
      <c r="AQ44" s="19"/>
      <c r="AY44" s="19"/>
    </row>
    <row r="45" spans="2:64" ht="14.45" hidden="1" customHeight="1" x14ac:dyDescent="0.2">
      <c r="B45" s="19"/>
      <c r="AQ45" s="19"/>
      <c r="AY45" s="19"/>
    </row>
    <row r="46" spans="2:64" ht="14.45" hidden="1" customHeight="1" x14ac:dyDescent="0.2">
      <c r="B46" s="19"/>
      <c r="AQ46" s="19"/>
      <c r="AY46" s="19"/>
    </row>
    <row r="47" spans="2:64" ht="14.45" hidden="1" customHeight="1" x14ac:dyDescent="0.2">
      <c r="B47" s="19"/>
      <c r="AQ47" s="19"/>
      <c r="AY47" s="19"/>
    </row>
    <row r="48" spans="2:64" ht="14.45" hidden="1" customHeight="1" x14ac:dyDescent="0.2">
      <c r="B48" s="19"/>
      <c r="AQ48" s="19"/>
      <c r="AY48" s="19"/>
    </row>
    <row r="49" spans="2:51" s="1" customFormat="1" ht="14.45" hidden="1" customHeight="1" x14ac:dyDescent="0.2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Q49" s="31"/>
      <c r="AY49" s="31"/>
    </row>
    <row r="50" spans="2:51" hidden="1" x14ac:dyDescent="0.2">
      <c r="B50" s="19"/>
      <c r="AQ50" s="19"/>
      <c r="AY50" s="19"/>
    </row>
    <row r="51" spans="2:51" hidden="1" x14ac:dyDescent="0.2">
      <c r="B51" s="19"/>
      <c r="AQ51" s="19"/>
      <c r="AY51" s="19"/>
    </row>
    <row r="52" spans="2:51" hidden="1" x14ac:dyDescent="0.2">
      <c r="B52" s="19"/>
      <c r="AQ52" s="19"/>
      <c r="AY52" s="19"/>
    </row>
    <row r="53" spans="2:51" hidden="1" x14ac:dyDescent="0.2">
      <c r="B53" s="19"/>
      <c r="AQ53" s="19"/>
      <c r="AY53" s="19"/>
    </row>
    <row r="54" spans="2:51" hidden="1" x14ac:dyDescent="0.2">
      <c r="B54" s="19"/>
      <c r="AQ54" s="19"/>
      <c r="AY54" s="19"/>
    </row>
    <row r="55" spans="2:51" hidden="1" x14ac:dyDescent="0.2">
      <c r="B55" s="19"/>
      <c r="AQ55" s="19"/>
      <c r="AY55" s="19"/>
    </row>
    <row r="56" spans="2:51" hidden="1" x14ac:dyDescent="0.2">
      <c r="B56" s="19"/>
      <c r="AQ56" s="19"/>
      <c r="AY56" s="19"/>
    </row>
    <row r="57" spans="2:51" hidden="1" x14ac:dyDescent="0.2">
      <c r="B57" s="19"/>
      <c r="AQ57" s="19"/>
      <c r="AY57" s="19"/>
    </row>
    <row r="58" spans="2:51" hidden="1" x14ac:dyDescent="0.2">
      <c r="B58" s="19"/>
      <c r="AQ58" s="19"/>
      <c r="AY58" s="19"/>
    </row>
    <row r="59" spans="2:51" hidden="1" x14ac:dyDescent="0.2">
      <c r="B59" s="19"/>
      <c r="AQ59" s="19"/>
      <c r="AY59" s="19"/>
    </row>
    <row r="60" spans="2:51" s="1" customFormat="1" ht="12.75" hidden="1" x14ac:dyDescent="0.2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Q60" s="31"/>
      <c r="AY60" s="31"/>
    </row>
    <row r="61" spans="2:51" hidden="1" x14ac:dyDescent="0.2">
      <c r="B61" s="19"/>
      <c r="AQ61" s="19"/>
      <c r="AY61" s="19"/>
    </row>
    <row r="62" spans="2:51" hidden="1" x14ac:dyDescent="0.2">
      <c r="B62" s="19"/>
      <c r="AQ62" s="19"/>
      <c r="AY62" s="19"/>
    </row>
    <row r="63" spans="2:51" hidden="1" x14ac:dyDescent="0.2">
      <c r="B63" s="19"/>
      <c r="AQ63" s="19"/>
      <c r="AY63" s="19"/>
    </row>
    <row r="64" spans="2:51" s="1" customFormat="1" ht="12.75" hidden="1" x14ac:dyDescent="0.2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Q64" s="31"/>
      <c r="AY64" s="31"/>
    </row>
    <row r="65" spans="2:51" hidden="1" x14ac:dyDescent="0.2">
      <c r="B65" s="19"/>
      <c r="AQ65" s="19"/>
      <c r="AY65" s="19"/>
    </row>
    <row r="66" spans="2:51" hidden="1" x14ac:dyDescent="0.2">
      <c r="B66" s="19"/>
      <c r="AQ66" s="19"/>
      <c r="AY66" s="19"/>
    </row>
    <row r="67" spans="2:51" hidden="1" x14ac:dyDescent="0.2">
      <c r="B67" s="19"/>
      <c r="AQ67" s="19"/>
      <c r="AY67" s="19"/>
    </row>
    <row r="68" spans="2:51" hidden="1" x14ac:dyDescent="0.2">
      <c r="B68" s="19"/>
      <c r="AQ68" s="19"/>
      <c r="AY68" s="19"/>
    </row>
    <row r="69" spans="2:51" hidden="1" x14ac:dyDescent="0.2">
      <c r="B69" s="19"/>
      <c r="AQ69" s="19"/>
      <c r="AY69" s="19"/>
    </row>
    <row r="70" spans="2:51" hidden="1" x14ac:dyDescent="0.2">
      <c r="B70" s="19"/>
      <c r="AQ70" s="19"/>
      <c r="AY70" s="19"/>
    </row>
    <row r="71" spans="2:51" hidden="1" x14ac:dyDescent="0.2">
      <c r="B71" s="19"/>
      <c r="AQ71" s="19"/>
      <c r="AY71" s="19"/>
    </row>
    <row r="72" spans="2:51" hidden="1" x14ac:dyDescent="0.2">
      <c r="B72" s="19"/>
      <c r="AQ72" s="19"/>
      <c r="AY72" s="19"/>
    </row>
    <row r="73" spans="2:51" hidden="1" x14ac:dyDescent="0.2">
      <c r="B73" s="19"/>
      <c r="AQ73" s="19"/>
      <c r="AY73" s="19"/>
    </row>
    <row r="74" spans="2:51" hidden="1" x14ac:dyDescent="0.2">
      <c r="B74" s="19"/>
      <c r="AQ74" s="19"/>
      <c r="AY74" s="19"/>
    </row>
    <row r="75" spans="2:51" s="1" customFormat="1" ht="12.75" hidden="1" x14ac:dyDescent="0.2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Q75" s="31"/>
      <c r="AY75" s="31"/>
    </row>
    <row r="76" spans="2:51" s="1" customFormat="1" hidden="1" x14ac:dyDescent="0.2">
      <c r="B76" s="31"/>
      <c r="AQ76" s="31"/>
      <c r="AY76" s="31"/>
    </row>
    <row r="77" spans="2:51" s="1" customFormat="1" ht="6.9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3"/>
      <c r="AR77" s="44"/>
      <c r="AS77" s="44"/>
      <c r="AT77" s="44"/>
      <c r="AU77" s="44"/>
      <c r="AV77" s="44"/>
      <c r="AW77" s="44"/>
      <c r="AX77" s="44"/>
      <c r="AY77" s="31"/>
    </row>
    <row r="78" spans="2:51" hidden="1" x14ac:dyDescent="0.2">
      <c r="AQ78" s="19"/>
    </row>
    <row r="79" spans="2:51" hidden="1" x14ac:dyDescent="0.2">
      <c r="AQ79" s="19"/>
    </row>
    <row r="80" spans="2:51" x14ac:dyDescent="0.2">
      <c r="AQ80" s="19"/>
    </row>
    <row r="81" spans="1:98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12" t="s">
        <v>3307</v>
      </c>
      <c r="AR81" s="413"/>
      <c r="AS81" s="414"/>
    </row>
    <row r="82" spans="1:98" s="1" customFormat="1" ht="29.25" customHeight="1" x14ac:dyDescent="0.2">
      <c r="B82" s="31"/>
      <c r="C82" s="20" t="s">
        <v>54</v>
      </c>
      <c r="AQ82" s="415"/>
      <c r="AR82" s="416"/>
      <c r="AS82" s="417"/>
    </row>
    <row r="83" spans="1:98" s="1" customFormat="1" ht="57" customHeight="1" x14ac:dyDescent="0.2">
      <c r="B83" s="31"/>
      <c r="C83" s="392" t="s">
        <v>3332</v>
      </c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3"/>
      <c r="AQ83" s="250" t="s">
        <v>3333</v>
      </c>
      <c r="AR83" s="250" t="s">
        <v>3334</v>
      </c>
      <c r="AS83" s="250" t="s">
        <v>3335</v>
      </c>
      <c r="AT83" s="3"/>
      <c r="AU83" s="3"/>
      <c r="AV83" s="3"/>
      <c r="AW83" s="3"/>
      <c r="AZ83" s="400"/>
      <c r="BA83" s="401"/>
      <c r="BK83" s="50"/>
    </row>
    <row r="84" spans="1:98" s="1" customFormat="1" ht="18" customHeight="1" x14ac:dyDescent="0.2">
      <c r="B84" s="31"/>
      <c r="C84" s="394" t="s">
        <v>55</v>
      </c>
      <c r="D84" s="395"/>
      <c r="E84" s="395"/>
      <c r="F84" s="395"/>
      <c r="G84" s="395"/>
      <c r="H84" s="51"/>
      <c r="I84" s="396" t="s">
        <v>56</v>
      </c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402" t="s">
        <v>57</v>
      </c>
      <c r="AH84" s="395"/>
      <c r="AI84" s="395"/>
      <c r="AJ84" s="395"/>
      <c r="AK84" s="395"/>
      <c r="AL84" s="395"/>
      <c r="AM84" s="395"/>
      <c r="AN84" s="396" t="s">
        <v>58</v>
      </c>
      <c r="AO84" s="395"/>
      <c r="AP84" s="395"/>
      <c r="AQ84" s="271">
        <f>AQ87</f>
        <v>0</v>
      </c>
      <c r="AR84" s="271">
        <f>AR87</f>
        <v>-687021.06900000002</v>
      </c>
      <c r="AS84" s="271">
        <f>AS87</f>
        <v>90602564.180000007</v>
      </c>
      <c r="AT84" s="136"/>
      <c r="AU84" s="136"/>
      <c r="AV84" s="136"/>
      <c r="AW84" s="136"/>
      <c r="AX84" s="246" t="s">
        <v>59</v>
      </c>
      <c r="AZ84" s="52" t="s">
        <v>60</v>
      </c>
      <c r="BA84" s="53" t="s">
        <v>61</v>
      </c>
      <c r="BB84" s="53" t="s">
        <v>62</v>
      </c>
      <c r="BC84" s="53" t="s">
        <v>63</v>
      </c>
      <c r="BD84" s="53" t="s">
        <v>64</v>
      </c>
      <c r="BE84" s="53" t="s">
        <v>65</v>
      </c>
      <c r="BF84" s="53" t="s">
        <v>66</v>
      </c>
      <c r="BG84" s="53" t="s">
        <v>67</v>
      </c>
      <c r="BH84" s="53" t="s">
        <v>68</v>
      </c>
      <c r="BI84" s="53" t="s">
        <v>69</v>
      </c>
      <c r="BJ84" s="53" t="s">
        <v>70</v>
      </c>
      <c r="BK84" s="54" t="s">
        <v>71</v>
      </c>
    </row>
    <row r="85" spans="1:98" s="1" customFormat="1" ht="10.9" customHeight="1" x14ac:dyDescent="0.2">
      <c r="B85" s="31"/>
      <c r="AQ85" s="31"/>
      <c r="AZ85" s="55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56"/>
    </row>
    <row r="86" spans="1:98" s="4" customFormat="1" ht="32.450000000000003" customHeight="1" x14ac:dyDescent="0.2">
      <c r="B86" s="265"/>
      <c r="C86" s="266" t="s">
        <v>72</v>
      </c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389">
        <f>ROUND(AG87,2)</f>
        <v>89914546.239999995</v>
      </c>
      <c r="AH86" s="389"/>
      <c r="AI86" s="389"/>
      <c r="AJ86" s="389"/>
      <c r="AK86" s="389"/>
      <c r="AL86" s="389"/>
      <c r="AM86" s="389"/>
      <c r="AN86" s="390">
        <f t="shared" ref="AN86:AN117" si="0">SUM(AG86,BA86)</f>
        <v>108796600.94999999</v>
      </c>
      <c r="AO86" s="390"/>
      <c r="AP86" s="391"/>
      <c r="AQ86" s="258"/>
      <c r="AR86" s="258"/>
      <c r="AS86" s="258"/>
      <c r="AT86" s="58"/>
      <c r="AU86" s="58"/>
      <c r="AV86" s="58"/>
      <c r="AW86" s="58"/>
      <c r="AX86" s="247" t="s">
        <v>1</v>
      </c>
      <c r="AZ86" s="59">
        <f>ROUND(AZ87,2)</f>
        <v>0</v>
      </c>
      <c r="BA86" s="60">
        <f t="shared" ref="BA86:BA117" si="1">ROUND(SUM(BC86:BD86),2)</f>
        <v>18882054.710000001</v>
      </c>
      <c r="BB86" s="61">
        <f>ROUND(BB87,5)</f>
        <v>0</v>
      </c>
      <c r="BC86" s="60">
        <f>ROUND(BG86*L29,2)</f>
        <v>18882054.710000001</v>
      </c>
      <c r="BD86" s="60">
        <f>ROUND(BH86*L30,2)</f>
        <v>0</v>
      </c>
      <c r="BE86" s="60">
        <f>ROUND(BI86*L29,2)</f>
        <v>0</v>
      </c>
      <c r="BF86" s="60">
        <f>ROUND(BJ86*L30,2)</f>
        <v>0</v>
      </c>
      <c r="BG86" s="60">
        <f>ROUND(BG87,2)</f>
        <v>89914546.239999995</v>
      </c>
      <c r="BH86" s="60">
        <f>ROUND(BH87,2)</f>
        <v>0</v>
      </c>
      <c r="BI86" s="60">
        <f>ROUND(BI87,2)</f>
        <v>0</v>
      </c>
      <c r="BJ86" s="60">
        <f>ROUND(BJ87,2)</f>
        <v>0</v>
      </c>
      <c r="BK86" s="62">
        <f>ROUND(BK87,2)</f>
        <v>0</v>
      </c>
      <c r="BZ86" s="63" t="s">
        <v>73</v>
      </c>
      <c r="CA86" s="63" t="s">
        <v>74</v>
      </c>
      <c r="CB86" s="64" t="s">
        <v>75</v>
      </c>
      <c r="CC86" s="63" t="s">
        <v>76</v>
      </c>
      <c r="CD86" s="63" t="s">
        <v>4</v>
      </c>
      <c r="CE86" s="63" t="s">
        <v>77</v>
      </c>
      <c r="CS86" s="63" t="s">
        <v>1</v>
      </c>
    </row>
    <row r="87" spans="1:98" s="5" customFormat="1" ht="16.5" customHeight="1" x14ac:dyDescent="0.2">
      <c r="B87" s="255"/>
      <c r="C87" s="256"/>
      <c r="D87" s="397" t="s">
        <v>78</v>
      </c>
      <c r="E87" s="397"/>
      <c r="F87" s="397"/>
      <c r="G87" s="397"/>
      <c r="H87" s="397"/>
      <c r="I87" s="257"/>
      <c r="J87" s="397" t="s">
        <v>79</v>
      </c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405">
        <f>ROUND(AG88+AG113+AG117+AG121+AG125+AG129+AG134+AG137+AG139+AG141+AG143+AG145+AG147+AG149+AG150,2)</f>
        <v>89914546.239999995</v>
      </c>
      <c r="AH87" s="404"/>
      <c r="AI87" s="404"/>
      <c r="AJ87" s="404"/>
      <c r="AK87" s="404"/>
      <c r="AL87" s="404"/>
      <c r="AM87" s="404"/>
      <c r="AN87" s="403">
        <f t="shared" si="0"/>
        <v>108796600.94999999</v>
      </c>
      <c r="AO87" s="404"/>
      <c r="AP87" s="404"/>
      <c r="AQ87" s="259">
        <f>AQ88+AQ113+AQ117+AQ121+AQ125+AQ129+AQ134+AQ137+AQ139+AQ141+AQ143+AQ145+AQ147+AQ149+AQ150</f>
        <v>0</v>
      </c>
      <c r="AR87" s="259">
        <f t="shared" ref="AR87:AS87" si="2">AR88+AR113+AR117+AR121+AR125+AR129+AR134+AR137+AR139+AR141+AR143+AR145+AR147+AR149+AR150</f>
        <v>-687021.06900000002</v>
      </c>
      <c r="AS87" s="259">
        <f t="shared" si="2"/>
        <v>90602564.180000007</v>
      </c>
      <c r="AT87" s="245"/>
      <c r="AU87" s="245"/>
      <c r="AV87" s="245"/>
      <c r="AW87" s="245"/>
      <c r="AX87" s="248" t="s">
        <v>80</v>
      </c>
      <c r="AZ87" s="65">
        <f>ROUND(AZ88+AZ113+AZ117+AZ121+AZ125+AZ129+AZ134+AZ137+AZ139+AZ141+AZ143+AZ145+AZ147+AZ149+AZ150,2)</f>
        <v>0</v>
      </c>
      <c r="BA87" s="66">
        <f t="shared" si="1"/>
        <v>18882054.710000001</v>
      </c>
      <c r="BB87" s="67">
        <f>ROUND(BB88+BB113+BB117+BB121+BB125+BB129+BB134+BB137+BB139+BB141+BB143+BB145+BB147+BB149+BB150,5)</f>
        <v>0</v>
      </c>
      <c r="BC87" s="66">
        <f>ROUND(BG87*L29,2)</f>
        <v>18882054.710000001</v>
      </c>
      <c r="BD87" s="66">
        <f>ROUND(BH87*L30,2)</f>
        <v>0</v>
      </c>
      <c r="BE87" s="66">
        <f>ROUND(BI87*L29,2)</f>
        <v>0</v>
      </c>
      <c r="BF87" s="66">
        <f>ROUND(BJ87*L30,2)</f>
        <v>0</v>
      </c>
      <c r="BG87" s="66">
        <f>ROUND(BG88+BG113+BG117+BG121+BG125+BG129+BG134+BG137+BG139+BG141+BG143+BG145+BG147+BG149+BG150,2)</f>
        <v>89914546.239999995</v>
      </c>
      <c r="BH87" s="66">
        <f>ROUND(BH88+BH113+BH117+BH121+BH125+BH129+BH134+BH137+BH139+BH141+BH143+BH145+BH147+BH149+BH150,2)</f>
        <v>0</v>
      </c>
      <c r="BI87" s="66">
        <f>ROUND(BI88+BI113+BI117+BI121+BI125+BI129+BI134+BI137+BI139+BI141+BI143+BI145+BI147+BI149+BI150,2)</f>
        <v>0</v>
      </c>
      <c r="BJ87" s="66">
        <f>ROUND(BJ88+BJ113+BJ117+BJ121+BJ125+BJ129+BJ134+BJ137+BJ139+BJ141+BJ143+BJ145+BJ147+BJ149+BJ150,2)</f>
        <v>0</v>
      </c>
      <c r="BK87" s="68">
        <f>ROUND(BK88+BK113+BK117+BK121+BK125+BK129+BK134+BK137+BK139+BK141+BK143+BK145+BK147+BK149+BK150,2)</f>
        <v>0</v>
      </c>
      <c r="BZ87" s="69" t="s">
        <v>73</v>
      </c>
      <c r="CA87" s="69" t="s">
        <v>81</v>
      </c>
      <c r="CB87" s="69" t="s">
        <v>75</v>
      </c>
      <c r="CC87" s="69" t="s">
        <v>76</v>
      </c>
      <c r="CD87" s="69" t="s">
        <v>82</v>
      </c>
      <c r="CE87" s="69" t="s">
        <v>4</v>
      </c>
      <c r="CS87" s="69" t="s">
        <v>1</v>
      </c>
      <c r="CT87" s="69" t="s">
        <v>83</v>
      </c>
    </row>
    <row r="88" spans="1:98" s="3" customFormat="1" ht="16.5" customHeight="1" x14ac:dyDescent="0.2">
      <c r="B88" s="253"/>
      <c r="C88" s="254"/>
      <c r="D88" s="254"/>
      <c r="E88" s="380" t="s">
        <v>84</v>
      </c>
      <c r="F88" s="380"/>
      <c r="G88" s="380"/>
      <c r="H88" s="380"/>
      <c r="I88" s="380"/>
      <c r="J88" s="254"/>
      <c r="K88" s="380" t="s">
        <v>85</v>
      </c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408">
        <f>ROUND(AG89+AG97+AG105+AG109,2)</f>
        <v>64580407.32</v>
      </c>
      <c r="AH88" s="407"/>
      <c r="AI88" s="407"/>
      <c r="AJ88" s="407"/>
      <c r="AK88" s="407"/>
      <c r="AL88" s="407"/>
      <c r="AM88" s="407"/>
      <c r="AN88" s="406">
        <f t="shared" si="0"/>
        <v>78142292.859999999</v>
      </c>
      <c r="AO88" s="407"/>
      <c r="AP88" s="407"/>
      <c r="AQ88" s="260">
        <f>AQ89+AQ97+AQ105+AQ109</f>
        <v>0</v>
      </c>
      <c r="AR88" s="260">
        <f t="shared" ref="AR88:AS88" si="3">AR89+AR97+AR105+AR109</f>
        <v>-571094.56499999994</v>
      </c>
      <c r="AS88" s="260">
        <f t="shared" si="3"/>
        <v>65151848.100000001</v>
      </c>
      <c r="AT88" s="8"/>
      <c r="AU88" s="8"/>
      <c r="AV88" s="8"/>
      <c r="AW88" s="8"/>
      <c r="AX88" s="249" t="s">
        <v>86</v>
      </c>
      <c r="AZ88" s="70">
        <f>ROUND(AZ89+AZ97+AZ105+AZ109,2)</f>
        <v>0</v>
      </c>
      <c r="BA88" s="71">
        <f t="shared" si="1"/>
        <v>13561885.539999999</v>
      </c>
      <c r="BB88" s="72">
        <f>ROUND(BB89+BB97+BB105+BB109,5)</f>
        <v>0</v>
      </c>
      <c r="BC88" s="71">
        <f>ROUND(BG88*L29,2)</f>
        <v>13561885.539999999</v>
      </c>
      <c r="BD88" s="71">
        <f>ROUND(BH88*L30,2)</f>
        <v>0</v>
      </c>
      <c r="BE88" s="71">
        <f>ROUND(BI88*L29,2)</f>
        <v>0</v>
      </c>
      <c r="BF88" s="71">
        <f>ROUND(BJ88*L30,2)</f>
        <v>0</v>
      </c>
      <c r="BG88" s="71">
        <f>ROUND(BG89+BG97+BG105+BG109,2)</f>
        <v>64580407.32</v>
      </c>
      <c r="BH88" s="71">
        <f>ROUND(BH89+BH97+BH105+BH109,2)</f>
        <v>0</v>
      </c>
      <c r="BI88" s="71">
        <f>ROUND(BI89+BI97+BI105+BI109,2)</f>
        <v>0</v>
      </c>
      <c r="BJ88" s="71">
        <f>ROUND(BJ89+BJ97+BJ105+BJ109,2)</f>
        <v>0</v>
      </c>
      <c r="BK88" s="73">
        <f>ROUND(BK89+BK97+BK105+BK109,2)</f>
        <v>0</v>
      </c>
      <c r="BZ88" s="24" t="s">
        <v>73</v>
      </c>
      <c r="CA88" s="24" t="s">
        <v>83</v>
      </c>
      <c r="CB88" s="24" t="s">
        <v>75</v>
      </c>
      <c r="CC88" s="24" t="s">
        <v>76</v>
      </c>
      <c r="CD88" s="24" t="s">
        <v>87</v>
      </c>
      <c r="CE88" s="24" t="s">
        <v>82</v>
      </c>
      <c r="CS88" s="24" t="s">
        <v>1</v>
      </c>
    </row>
    <row r="89" spans="1:98" s="3" customFormat="1" ht="23.25" customHeight="1" x14ac:dyDescent="0.2">
      <c r="B89" s="251"/>
      <c r="C89" s="252"/>
      <c r="D89" s="252"/>
      <c r="E89" s="252"/>
      <c r="F89" s="379" t="s">
        <v>88</v>
      </c>
      <c r="G89" s="379"/>
      <c r="H89" s="379"/>
      <c r="I89" s="379"/>
      <c r="J89" s="379"/>
      <c r="K89" s="252"/>
      <c r="L89" s="379" t="s">
        <v>89</v>
      </c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79"/>
      <c r="AF89" s="379"/>
      <c r="AG89" s="385">
        <f>ROUND(SUM(AG90:AG96),2)</f>
        <v>28252123.440000001</v>
      </c>
      <c r="AH89" s="384"/>
      <c r="AI89" s="384"/>
      <c r="AJ89" s="384"/>
      <c r="AK89" s="384"/>
      <c r="AL89" s="384"/>
      <c r="AM89" s="384"/>
      <c r="AN89" s="383">
        <f t="shared" si="0"/>
        <v>34185069.359999999</v>
      </c>
      <c r="AO89" s="384"/>
      <c r="AP89" s="384"/>
      <c r="AQ89" s="261">
        <f>SUM(AQ90:AQ96)</f>
        <v>0</v>
      </c>
      <c r="AR89" s="261">
        <f t="shared" ref="AR89:AS89" si="4">SUM(AR90:AR96)</f>
        <v>-291551.2</v>
      </c>
      <c r="AS89" s="261">
        <f t="shared" si="4"/>
        <v>28543758.029999997</v>
      </c>
      <c r="AT89" s="8"/>
      <c r="AU89" s="8"/>
      <c r="AV89" s="8"/>
      <c r="AW89" s="8"/>
      <c r="AX89" s="249" t="s">
        <v>86</v>
      </c>
      <c r="AZ89" s="70">
        <f>ROUND(SUM(AZ90:AZ96),2)</f>
        <v>0</v>
      </c>
      <c r="BA89" s="71">
        <f t="shared" si="1"/>
        <v>5932945.9199999999</v>
      </c>
      <c r="BB89" s="72">
        <f>ROUND(SUM(BB90:BB96),5)</f>
        <v>0</v>
      </c>
      <c r="BC89" s="71">
        <f>ROUND(BG89*L29,2)</f>
        <v>5932945.9199999999</v>
      </c>
      <c r="BD89" s="71">
        <f>ROUND(BH89*L30,2)</f>
        <v>0</v>
      </c>
      <c r="BE89" s="71">
        <f>ROUND(BI89*L29,2)</f>
        <v>0</v>
      </c>
      <c r="BF89" s="71">
        <f>ROUND(BJ89*L30,2)</f>
        <v>0</v>
      </c>
      <c r="BG89" s="71">
        <f>ROUND(SUM(BG90:BG96),2)</f>
        <v>28252123.440000001</v>
      </c>
      <c r="BH89" s="71">
        <f>ROUND(SUM(BH90:BH96),2)</f>
        <v>0</v>
      </c>
      <c r="BI89" s="71">
        <f>ROUND(SUM(BI90:BI96),2)</f>
        <v>0</v>
      </c>
      <c r="BJ89" s="71">
        <f>ROUND(SUM(BJ90:BJ96),2)</f>
        <v>0</v>
      </c>
      <c r="BK89" s="73">
        <f>ROUND(SUM(BK90:BK96),2)</f>
        <v>0</v>
      </c>
      <c r="BZ89" s="24" t="s">
        <v>73</v>
      </c>
      <c r="CA89" s="24" t="s">
        <v>90</v>
      </c>
      <c r="CB89" s="24" t="s">
        <v>75</v>
      </c>
      <c r="CC89" s="24" t="s">
        <v>76</v>
      </c>
      <c r="CD89" s="24" t="s">
        <v>91</v>
      </c>
      <c r="CE89" s="24" t="s">
        <v>87</v>
      </c>
      <c r="CS89" s="24" t="s">
        <v>1</v>
      </c>
    </row>
    <row r="90" spans="1:98" s="3" customFormat="1" ht="16.5" customHeight="1" x14ac:dyDescent="0.2">
      <c r="A90" s="74" t="s">
        <v>92</v>
      </c>
      <c r="B90" s="47"/>
      <c r="C90" s="8"/>
      <c r="D90" s="8"/>
      <c r="E90" s="8"/>
      <c r="F90" s="8"/>
      <c r="G90" s="378" t="s">
        <v>93</v>
      </c>
      <c r="H90" s="378"/>
      <c r="I90" s="378"/>
      <c r="J90" s="378"/>
      <c r="K90" s="378"/>
      <c r="L90" s="8"/>
      <c r="M90" s="378" t="s">
        <v>94</v>
      </c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81">
        <f>'00001 - DSO 01.1a Stoka A'!J34</f>
        <v>15915071.16</v>
      </c>
      <c r="AH90" s="382"/>
      <c r="AI90" s="382"/>
      <c r="AJ90" s="382"/>
      <c r="AK90" s="382"/>
      <c r="AL90" s="382"/>
      <c r="AM90" s="382"/>
      <c r="AN90" s="381">
        <f t="shared" si="0"/>
        <v>19257236.100000001</v>
      </c>
      <c r="AO90" s="382"/>
      <c r="AP90" s="382"/>
      <c r="AQ90" s="262">
        <f>'00001 - DSO 01.1a Stoka A'!M127</f>
        <v>0</v>
      </c>
      <c r="AR90" s="262">
        <f>'00001 - DSO 01.1a Stoka A'!O127</f>
        <v>-55896.97</v>
      </c>
      <c r="AS90" s="262">
        <f>'00001 - DSO 01.1a Stoka A'!Q127</f>
        <v>15970968.170000004</v>
      </c>
      <c r="AT90" s="8"/>
      <c r="AU90" s="8"/>
      <c r="AV90" s="8"/>
      <c r="AW90" s="8"/>
      <c r="AX90" s="249" t="s">
        <v>86</v>
      </c>
      <c r="AZ90" s="70">
        <v>0</v>
      </c>
      <c r="BA90" s="71">
        <f t="shared" si="1"/>
        <v>3342164.94</v>
      </c>
      <c r="BB90" s="72">
        <f>'00001 - DSO 01.1a Stoka A'!CZ125</f>
        <v>0</v>
      </c>
      <c r="BC90" s="71">
        <f>'00001 - DSO 01.1a Stoka A'!J37</f>
        <v>3342164.94</v>
      </c>
      <c r="BD90" s="71">
        <f>'00001 - DSO 01.1a Stoka A'!J38</f>
        <v>0</v>
      </c>
      <c r="BE90" s="71">
        <f>'00001 - DSO 01.1a Stoka A'!J39</f>
        <v>0</v>
      </c>
      <c r="BF90" s="71">
        <f>'00001 - DSO 01.1a Stoka A'!J40</f>
        <v>0</v>
      </c>
      <c r="BG90" s="71">
        <f>'00001 - DSO 01.1a Stoka A'!F37</f>
        <v>15915071.16</v>
      </c>
      <c r="BH90" s="71">
        <f>'00001 - DSO 01.1a Stoka A'!F38</f>
        <v>0</v>
      </c>
      <c r="BI90" s="71">
        <f>'00001 - DSO 01.1a Stoka A'!F39</f>
        <v>0</v>
      </c>
      <c r="BJ90" s="71">
        <f>'00001 - DSO 01.1a Stoka A'!F40</f>
        <v>0</v>
      </c>
      <c r="BK90" s="73">
        <f>'00001 - DSO 01.1a Stoka A'!F41</f>
        <v>0</v>
      </c>
      <c r="CA90" s="24" t="s">
        <v>95</v>
      </c>
      <c r="CC90" s="24" t="s">
        <v>76</v>
      </c>
      <c r="CD90" s="24" t="s">
        <v>96</v>
      </c>
      <c r="CE90" s="24" t="s">
        <v>91</v>
      </c>
      <c r="CS90" s="24" t="s">
        <v>1</v>
      </c>
    </row>
    <row r="91" spans="1:98" s="3" customFormat="1" ht="16.5" customHeight="1" x14ac:dyDescent="0.2">
      <c r="A91" s="74" t="s">
        <v>92</v>
      </c>
      <c r="B91" s="47"/>
      <c r="C91" s="8"/>
      <c r="D91" s="8"/>
      <c r="E91" s="8"/>
      <c r="F91" s="8"/>
      <c r="G91" s="378" t="s">
        <v>97</v>
      </c>
      <c r="H91" s="378"/>
      <c r="I91" s="378"/>
      <c r="J91" s="378"/>
      <c r="K91" s="378"/>
      <c r="L91" s="8"/>
      <c r="M91" s="378" t="s">
        <v>98</v>
      </c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81">
        <f>'00002 - DSO 01.1b Stoka A1'!J34</f>
        <v>1217434.79</v>
      </c>
      <c r="AH91" s="382"/>
      <c r="AI91" s="382"/>
      <c r="AJ91" s="382"/>
      <c r="AK91" s="382"/>
      <c r="AL91" s="382"/>
      <c r="AM91" s="382"/>
      <c r="AN91" s="381">
        <f t="shared" si="0"/>
        <v>1473096.1</v>
      </c>
      <c r="AO91" s="382"/>
      <c r="AP91" s="382"/>
      <c r="AQ91" s="262">
        <f>'00002 - DSO 01.1b Stoka A1'!M127</f>
        <v>0</v>
      </c>
      <c r="AR91" s="262">
        <f>'00002 - DSO 01.1b Stoka A1'!O127</f>
        <v>13291.420000000002</v>
      </c>
      <c r="AS91" s="262">
        <f>'00002 - DSO 01.1b Stoka A1'!Q127</f>
        <v>1204226.57</v>
      </c>
      <c r="AT91" s="8"/>
      <c r="AU91" s="8"/>
      <c r="AV91" s="8"/>
      <c r="AW91" s="8"/>
      <c r="AX91" s="249"/>
      <c r="AZ91" s="70">
        <v>0</v>
      </c>
      <c r="BA91" s="71">
        <f t="shared" si="1"/>
        <v>255661.31</v>
      </c>
      <c r="BB91" s="72">
        <f>'00002 - DSO 01.1b Stoka A1'!BS125</f>
        <v>0</v>
      </c>
      <c r="BC91" s="71">
        <f>'00002 - DSO 01.1b Stoka A1'!J37</f>
        <v>255661.31</v>
      </c>
      <c r="BD91" s="71">
        <f>'00002 - DSO 01.1b Stoka A1'!J38</f>
        <v>0</v>
      </c>
      <c r="BE91" s="71">
        <f>'00002 - DSO 01.1b Stoka A1'!J39</f>
        <v>0</v>
      </c>
      <c r="BF91" s="71">
        <f>'00002 - DSO 01.1b Stoka A1'!J40</f>
        <v>0</v>
      </c>
      <c r="BG91" s="71">
        <f>'00002 - DSO 01.1b Stoka A1'!F37</f>
        <v>1217434.79</v>
      </c>
      <c r="BH91" s="71">
        <f>'00002 - DSO 01.1b Stoka A1'!F38</f>
        <v>0</v>
      </c>
      <c r="BI91" s="71">
        <f>'00002 - DSO 01.1b Stoka A1'!F39</f>
        <v>0</v>
      </c>
      <c r="BJ91" s="71">
        <f>'00002 - DSO 01.1b Stoka A1'!F40</f>
        <v>0</v>
      </c>
      <c r="BK91" s="73">
        <f>'00002 - DSO 01.1b Stoka A1'!F41</f>
        <v>0</v>
      </c>
      <c r="CA91" s="24" t="s">
        <v>95</v>
      </c>
      <c r="CC91" s="24" t="s">
        <v>76</v>
      </c>
      <c r="CD91" s="24" t="s">
        <v>99</v>
      </c>
      <c r="CE91" s="24" t="s">
        <v>91</v>
      </c>
      <c r="CS91" s="24" t="s">
        <v>1</v>
      </c>
    </row>
    <row r="92" spans="1:98" s="3" customFormat="1" ht="16.5" customHeight="1" x14ac:dyDescent="0.2">
      <c r="A92" s="74" t="s">
        <v>92</v>
      </c>
      <c r="B92" s="47"/>
      <c r="C92" s="8"/>
      <c r="D92" s="8"/>
      <c r="E92" s="8"/>
      <c r="F92" s="8"/>
      <c r="G92" s="378" t="s">
        <v>100</v>
      </c>
      <c r="H92" s="378"/>
      <c r="I92" s="378"/>
      <c r="J92" s="378"/>
      <c r="K92" s="378"/>
      <c r="L92" s="8"/>
      <c r="M92" s="378" t="s">
        <v>101</v>
      </c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81">
        <f>'00003 - DSO 01.1c Stoka A2a'!J34</f>
        <v>877894.11</v>
      </c>
      <c r="AH92" s="382"/>
      <c r="AI92" s="382"/>
      <c r="AJ92" s="382"/>
      <c r="AK92" s="382"/>
      <c r="AL92" s="382"/>
      <c r="AM92" s="382"/>
      <c r="AN92" s="381">
        <f t="shared" si="0"/>
        <v>1062251.8700000001</v>
      </c>
      <c r="AO92" s="382"/>
      <c r="AP92" s="382"/>
      <c r="AQ92" s="262">
        <f>'00003 - DSO 01.1c Stoka A2a'!M123</f>
        <v>0</v>
      </c>
      <c r="AR92" s="262">
        <f>'00003 - DSO 01.1c Stoka A2a'!O123</f>
        <v>1323.1799999999955</v>
      </c>
      <c r="AS92" s="262">
        <f>'00003 - DSO 01.1c Stoka A2a'!Q123</f>
        <v>876570.97999999986</v>
      </c>
      <c r="AT92" s="8"/>
      <c r="AU92" s="8"/>
      <c r="AV92" s="8"/>
      <c r="AW92" s="8"/>
      <c r="AX92" s="249"/>
      <c r="AZ92" s="70">
        <v>0</v>
      </c>
      <c r="BA92" s="71">
        <f t="shared" si="1"/>
        <v>184357.76000000001</v>
      </c>
      <c r="BB92" s="72">
        <f>'00003 - DSO 01.1c Stoka A2a'!DI121</f>
        <v>0</v>
      </c>
      <c r="BC92" s="71">
        <f>'00003 - DSO 01.1c Stoka A2a'!J37</f>
        <v>184357.76000000001</v>
      </c>
      <c r="BD92" s="71">
        <f>'00003 - DSO 01.1c Stoka A2a'!J38</f>
        <v>0</v>
      </c>
      <c r="BE92" s="71">
        <f>'00003 - DSO 01.1c Stoka A2a'!J39</f>
        <v>0</v>
      </c>
      <c r="BF92" s="71">
        <f>'00003 - DSO 01.1c Stoka A2a'!J40</f>
        <v>0</v>
      </c>
      <c r="BG92" s="71">
        <f>'00003 - DSO 01.1c Stoka A2a'!F37</f>
        <v>877894.11</v>
      </c>
      <c r="BH92" s="71">
        <f>'00003 - DSO 01.1c Stoka A2a'!F38</f>
        <v>0</v>
      </c>
      <c r="BI92" s="71">
        <f>'00003 - DSO 01.1c Stoka A2a'!F39</f>
        <v>0</v>
      </c>
      <c r="BJ92" s="71">
        <f>'00003 - DSO 01.1c Stoka A2a'!F40</f>
        <v>0</v>
      </c>
      <c r="BK92" s="73">
        <f>'00003 - DSO 01.1c Stoka A2a'!F41</f>
        <v>0</v>
      </c>
      <c r="CA92" s="24" t="s">
        <v>95</v>
      </c>
      <c r="CC92" s="24" t="s">
        <v>76</v>
      </c>
      <c r="CD92" s="24" t="s">
        <v>102</v>
      </c>
      <c r="CE92" s="24" t="s">
        <v>91</v>
      </c>
      <c r="CS92" s="24" t="s">
        <v>1</v>
      </c>
    </row>
    <row r="93" spans="1:98" s="3" customFormat="1" ht="16.5" customHeight="1" x14ac:dyDescent="0.2">
      <c r="A93" s="74" t="s">
        <v>92</v>
      </c>
      <c r="B93" s="47"/>
      <c r="C93" s="8"/>
      <c r="D93" s="8"/>
      <c r="E93" s="8"/>
      <c r="F93" s="8"/>
      <c r="G93" s="378" t="s">
        <v>103</v>
      </c>
      <c r="H93" s="378"/>
      <c r="I93" s="378"/>
      <c r="J93" s="378"/>
      <c r="K93" s="378"/>
      <c r="L93" s="8"/>
      <c r="M93" s="378" t="s">
        <v>104</v>
      </c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81">
        <f>'00004 - DSO 01.1d Stoka A3'!J34</f>
        <v>2600575.08</v>
      </c>
      <c r="AH93" s="382"/>
      <c r="AI93" s="382"/>
      <c r="AJ93" s="382"/>
      <c r="AK93" s="382"/>
      <c r="AL93" s="382"/>
      <c r="AM93" s="382"/>
      <c r="AN93" s="381">
        <f t="shared" si="0"/>
        <v>3146695.85</v>
      </c>
      <c r="AO93" s="382"/>
      <c r="AP93" s="382"/>
      <c r="AQ93" s="262">
        <f>'00004 - DSO 01.1d Stoka A3'!M124</f>
        <v>0</v>
      </c>
      <c r="AR93" s="262">
        <f>'00004 - DSO 01.1d Stoka A3'!O124</f>
        <v>-2963.8099999999995</v>
      </c>
      <c r="AS93" s="262">
        <f>'00004 - DSO 01.1d Stoka A3'!Q124</f>
        <v>2603538.9</v>
      </c>
      <c r="AT93" s="8"/>
      <c r="AU93" s="8"/>
      <c r="AV93" s="8"/>
      <c r="AW93" s="8"/>
      <c r="AX93" s="249"/>
      <c r="AZ93" s="70">
        <v>0</v>
      </c>
      <c r="BA93" s="71">
        <f t="shared" si="1"/>
        <v>546120.77</v>
      </c>
      <c r="BB93" s="72">
        <f>'00004 - DSO 01.1d Stoka A3'!CF122</f>
        <v>0</v>
      </c>
      <c r="BC93" s="71">
        <f>'00004 - DSO 01.1d Stoka A3'!J37</f>
        <v>546120.77</v>
      </c>
      <c r="BD93" s="71">
        <f>'00004 - DSO 01.1d Stoka A3'!J38</f>
        <v>0</v>
      </c>
      <c r="BE93" s="71">
        <f>'00004 - DSO 01.1d Stoka A3'!J39</f>
        <v>0</v>
      </c>
      <c r="BF93" s="71">
        <f>'00004 - DSO 01.1d Stoka A3'!J40</f>
        <v>0</v>
      </c>
      <c r="BG93" s="71">
        <f>'00004 - DSO 01.1d Stoka A3'!F37</f>
        <v>2600575.08</v>
      </c>
      <c r="BH93" s="71">
        <f>'00004 - DSO 01.1d Stoka A3'!F38</f>
        <v>0</v>
      </c>
      <c r="BI93" s="71">
        <f>'00004 - DSO 01.1d Stoka A3'!F39</f>
        <v>0</v>
      </c>
      <c r="BJ93" s="71">
        <f>'00004 - DSO 01.1d Stoka A3'!F40</f>
        <v>0</v>
      </c>
      <c r="BK93" s="73">
        <f>'00004 - DSO 01.1d Stoka A3'!F41</f>
        <v>0</v>
      </c>
      <c r="CA93" s="24" t="s">
        <v>95</v>
      </c>
      <c r="CC93" s="24" t="s">
        <v>76</v>
      </c>
      <c r="CD93" s="24" t="s">
        <v>105</v>
      </c>
      <c r="CE93" s="24" t="s">
        <v>91</v>
      </c>
      <c r="CS93" s="24" t="s">
        <v>1</v>
      </c>
    </row>
    <row r="94" spans="1:98" s="3" customFormat="1" ht="16.5" customHeight="1" x14ac:dyDescent="0.2">
      <c r="A94" s="74" t="s">
        <v>92</v>
      </c>
      <c r="B94" s="47"/>
      <c r="C94" s="8"/>
      <c r="D94" s="8"/>
      <c r="E94" s="8"/>
      <c r="F94" s="8"/>
      <c r="G94" s="378" t="s">
        <v>106</v>
      </c>
      <c r="H94" s="378"/>
      <c r="I94" s="378"/>
      <c r="J94" s="378"/>
      <c r="K94" s="378"/>
      <c r="L94" s="8"/>
      <c r="M94" s="378" t="s">
        <v>107</v>
      </c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81">
        <f>'00005 - DSO 01.1e Stoka A4'!J34</f>
        <v>5042597.17</v>
      </c>
      <c r="AH94" s="382"/>
      <c r="AI94" s="382"/>
      <c r="AJ94" s="382"/>
      <c r="AK94" s="382"/>
      <c r="AL94" s="382"/>
      <c r="AM94" s="382"/>
      <c r="AN94" s="381">
        <f t="shared" si="0"/>
        <v>6101542.5800000001</v>
      </c>
      <c r="AO94" s="382"/>
      <c r="AP94" s="382"/>
      <c r="AQ94" s="262">
        <f>'00005 - DSO 01.1e Stoka A4'!M127</f>
        <v>0</v>
      </c>
      <c r="AR94" s="262">
        <f>'00005 - DSO 01.1e Stoka A4'!O127</f>
        <v>-50056.520000000011</v>
      </c>
      <c r="AS94" s="262">
        <f>'00005 - DSO 01.1e Stoka A4'!Q127</f>
        <v>5092653.7399999993</v>
      </c>
      <c r="AT94" s="8"/>
      <c r="AU94" s="8"/>
      <c r="AV94" s="8"/>
      <c r="AW94" s="8"/>
      <c r="AX94" s="249" t="s">
        <v>86</v>
      </c>
      <c r="AZ94" s="70">
        <v>0</v>
      </c>
      <c r="BA94" s="71">
        <f t="shared" si="1"/>
        <v>1058945.4099999999</v>
      </c>
      <c r="BB94" s="72">
        <f>'00005 - DSO 01.1e Stoka A4'!CE125</f>
        <v>0</v>
      </c>
      <c r="BC94" s="71">
        <f>'00005 - DSO 01.1e Stoka A4'!J37</f>
        <v>1058945.4099999999</v>
      </c>
      <c r="BD94" s="71">
        <f>'00005 - DSO 01.1e Stoka A4'!J38</f>
        <v>0</v>
      </c>
      <c r="BE94" s="71">
        <f>'00005 - DSO 01.1e Stoka A4'!J39</f>
        <v>0</v>
      </c>
      <c r="BF94" s="71">
        <f>'00005 - DSO 01.1e Stoka A4'!J40</f>
        <v>0</v>
      </c>
      <c r="BG94" s="71">
        <f>'00005 - DSO 01.1e Stoka A4'!F37</f>
        <v>5042597.17</v>
      </c>
      <c r="BH94" s="71">
        <f>'00005 - DSO 01.1e Stoka A4'!F38</f>
        <v>0</v>
      </c>
      <c r="BI94" s="71">
        <f>'00005 - DSO 01.1e Stoka A4'!F39</f>
        <v>0</v>
      </c>
      <c r="BJ94" s="71">
        <f>'00005 - DSO 01.1e Stoka A4'!F40</f>
        <v>0</v>
      </c>
      <c r="BK94" s="73">
        <f>'00005 - DSO 01.1e Stoka A4'!F41</f>
        <v>0</v>
      </c>
      <c r="CA94" s="24" t="s">
        <v>95</v>
      </c>
      <c r="CC94" s="24" t="s">
        <v>76</v>
      </c>
      <c r="CD94" s="24" t="s">
        <v>108</v>
      </c>
      <c r="CE94" s="24" t="s">
        <v>91</v>
      </c>
      <c r="CS94" s="24" t="s">
        <v>1</v>
      </c>
    </row>
    <row r="95" spans="1:98" s="3" customFormat="1" ht="16.5" customHeight="1" x14ac:dyDescent="0.2">
      <c r="A95" s="74" t="s">
        <v>92</v>
      </c>
      <c r="B95" s="47"/>
      <c r="C95" s="8"/>
      <c r="D95" s="8"/>
      <c r="E95" s="8"/>
      <c r="F95" s="8"/>
      <c r="G95" s="378" t="s">
        <v>109</v>
      </c>
      <c r="H95" s="378"/>
      <c r="I95" s="378"/>
      <c r="J95" s="378"/>
      <c r="K95" s="378"/>
      <c r="L95" s="8"/>
      <c r="M95" s="378" t="s">
        <v>110</v>
      </c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81">
        <f>'00006 - DSO 01.1f Stoka A4a'!J34</f>
        <v>1622334.42</v>
      </c>
      <c r="AH95" s="382"/>
      <c r="AI95" s="382"/>
      <c r="AJ95" s="382"/>
      <c r="AK95" s="382"/>
      <c r="AL95" s="382"/>
      <c r="AM95" s="382"/>
      <c r="AN95" s="381">
        <f t="shared" si="0"/>
        <v>1963024.65</v>
      </c>
      <c r="AO95" s="382"/>
      <c r="AP95" s="382"/>
      <c r="AQ95" s="262">
        <f>'00006 - DSO 01.1f Stoka A4a'!M123</f>
        <v>0</v>
      </c>
      <c r="AR95" s="262">
        <f>'00006 - DSO 01.1f Stoka A4a'!O123</f>
        <v>-37687.72</v>
      </c>
      <c r="AS95" s="262">
        <f>'00006 - DSO 01.1f Stoka A4a'!Q123</f>
        <v>1660022.11</v>
      </c>
      <c r="AT95" s="8"/>
      <c r="AU95" s="8"/>
      <c r="AV95" s="8"/>
      <c r="AW95" s="8"/>
      <c r="AX95" s="249"/>
      <c r="AZ95" s="70">
        <v>0</v>
      </c>
      <c r="BA95" s="71">
        <f t="shared" si="1"/>
        <v>340690.23</v>
      </c>
      <c r="BB95" s="72">
        <f>'00006 - DSO 01.1f Stoka A4a'!DT121</f>
        <v>0</v>
      </c>
      <c r="BC95" s="71">
        <f>'00006 - DSO 01.1f Stoka A4a'!J37</f>
        <v>340690.23</v>
      </c>
      <c r="BD95" s="71">
        <f>'00006 - DSO 01.1f Stoka A4a'!J38</f>
        <v>0</v>
      </c>
      <c r="BE95" s="71">
        <f>'00006 - DSO 01.1f Stoka A4a'!J39</f>
        <v>0</v>
      </c>
      <c r="BF95" s="71">
        <f>'00006 - DSO 01.1f Stoka A4a'!J40</f>
        <v>0</v>
      </c>
      <c r="BG95" s="71">
        <f>'00006 - DSO 01.1f Stoka A4a'!F37</f>
        <v>1622334.42</v>
      </c>
      <c r="BH95" s="71">
        <f>'00006 - DSO 01.1f Stoka A4a'!F38</f>
        <v>0</v>
      </c>
      <c r="BI95" s="71">
        <f>'00006 - DSO 01.1f Stoka A4a'!F39</f>
        <v>0</v>
      </c>
      <c r="BJ95" s="71">
        <f>'00006 - DSO 01.1f Stoka A4a'!F40</f>
        <v>0</v>
      </c>
      <c r="BK95" s="73">
        <f>'00006 - DSO 01.1f Stoka A4a'!F41</f>
        <v>0</v>
      </c>
      <c r="CA95" s="24" t="s">
        <v>95</v>
      </c>
      <c r="CC95" s="24" t="s">
        <v>76</v>
      </c>
      <c r="CD95" s="24" t="s">
        <v>111</v>
      </c>
      <c r="CE95" s="24" t="s">
        <v>91</v>
      </c>
      <c r="CS95" s="24" t="s">
        <v>1</v>
      </c>
    </row>
    <row r="96" spans="1:98" s="3" customFormat="1" ht="16.5" customHeight="1" x14ac:dyDescent="0.2">
      <c r="A96" s="74" t="s">
        <v>92</v>
      </c>
      <c r="B96" s="47"/>
      <c r="C96" s="8"/>
      <c r="D96" s="8"/>
      <c r="E96" s="8"/>
      <c r="F96" s="8"/>
      <c r="G96" s="378" t="s">
        <v>112</v>
      </c>
      <c r="H96" s="378"/>
      <c r="I96" s="378"/>
      <c r="J96" s="378"/>
      <c r="K96" s="378"/>
      <c r="L96" s="8"/>
      <c r="M96" s="378" t="s">
        <v>113</v>
      </c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81">
        <f>'00007 - DSO 01.1g Stoka A4b'!J34</f>
        <v>976216.71</v>
      </c>
      <c r="AH96" s="382"/>
      <c r="AI96" s="382"/>
      <c r="AJ96" s="382"/>
      <c r="AK96" s="382"/>
      <c r="AL96" s="382"/>
      <c r="AM96" s="382"/>
      <c r="AN96" s="381">
        <f t="shared" si="0"/>
        <v>1181222.22</v>
      </c>
      <c r="AO96" s="382"/>
      <c r="AP96" s="382"/>
      <c r="AQ96" s="262">
        <f>'00007 - DSO 01.1g Stoka A4b'!M123</f>
        <v>0</v>
      </c>
      <c r="AR96" s="262">
        <f>'00007 - DSO 01.1g Stoka A4b'!O123</f>
        <v>-159560.78</v>
      </c>
      <c r="AS96" s="262">
        <f>'00007 - DSO 01.1g Stoka A4b'!Q123</f>
        <v>1135777.5599999998</v>
      </c>
      <c r="AT96" s="8"/>
      <c r="AU96" s="8"/>
      <c r="AV96" s="8"/>
      <c r="AW96" s="8"/>
      <c r="AX96" s="249"/>
      <c r="AZ96" s="70">
        <v>0</v>
      </c>
      <c r="BA96" s="71">
        <f t="shared" si="1"/>
        <v>205005.51</v>
      </c>
      <c r="BB96" s="72">
        <f>'00007 - DSO 01.1g Stoka A4b'!CQ121</f>
        <v>0</v>
      </c>
      <c r="BC96" s="71">
        <f>'00007 - DSO 01.1g Stoka A4b'!J37</f>
        <v>205005.51</v>
      </c>
      <c r="BD96" s="71">
        <f>'00007 - DSO 01.1g Stoka A4b'!J38</f>
        <v>0</v>
      </c>
      <c r="BE96" s="71">
        <f>'00007 - DSO 01.1g Stoka A4b'!J39</f>
        <v>0</v>
      </c>
      <c r="BF96" s="71">
        <f>'00007 - DSO 01.1g Stoka A4b'!J40</f>
        <v>0</v>
      </c>
      <c r="BG96" s="71">
        <f>'00007 - DSO 01.1g Stoka A4b'!F37</f>
        <v>976216.71</v>
      </c>
      <c r="BH96" s="71">
        <f>'00007 - DSO 01.1g Stoka A4b'!F38</f>
        <v>0</v>
      </c>
      <c r="BI96" s="71">
        <f>'00007 - DSO 01.1g Stoka A4b'!F39</f>
        <v>0</v>
      </c>
      <c r="BJ96" s="71">
        <f>'00007 - DSO 01.1g Stoka A4b'!F40</f>
        <v>0</v>
      </c>
      <c r="BK96" s="73">
        <f>'00007 - DSO 01.1g Stoka A4b'!F41</f>
        <v>0</v>
      </c>
      <c r="CA96" s="24" t="s">
        <v>95</v>
      </c>
      <c r="CC96" s="24" t="s">
        <v>76</v>
      </c>
      <c r="CD96" s="24" t="s">
        <v>114</v>
      </c>
      <c r="CE96" s="24" t="s">
        <v>91</v>
      </c>
      <c r="CS96" s="24" t="s">
        <v>1</v>
      </c>
    </row>
    <row r="97" spans="1:97" s="3" customFormat="1" ht="16.5" customHeight="1" x14ac:dyDescent="0.2">
      <c r="B97" s="251"/>
      <c r="C97" s="252"/>
      <c r="D97" s="252"/>
      <c r="E97" s="252"/>
      <c r="F97" s="379" t="s">
        <v>115</v>
      </c>
      <c r="G97" s="379"/>
      <c r="H97" s="379"/>
      <c r="I97" s="379"/>
      <c r="J97" s="379"/>
      <c r="K97" s="252"/>
      <c r="L97" s="379" t="s">
        <v>116</v>
      </c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85">
        <f>ROUND(SUM(AG98:AG104),2)</f>
        <v>3822201.93</v>
      </c>
      <c r="AH97" s="384"/>
      <c r="AI97" s="384"/>
      <c r="AJ97" s="384"/>
      <c r="AK97" s="384"/>
      <c r="AL97" s="384"/>
      <c r="AM97" s="384"/>
      <c r="AN97" s="383">
        <f t="shared" si="0"/>
        <v>4624864.34</v>
      </c>
      <c r="AO97" s="384"/>
      <c r="AP97" s="384"/>
      <c r="AQ97" s="261">
        <f>SUM(AQ98:AQ104)</f>
        <v>0</v>
      </c>
      <c r="AR97" s="261">
        <f t="shared" ref="AR97:AS97" si="5">SUM(AR98:AR104)</f>
        <v>-309652.967</v>
      </c>
      <c r="AS97" s="261">
        <f t="shared" si="5"/>
        <v>4132089.49</v>
      </c>
      <c r="AT97" s="8"/>
      <c r="AU97" s="8"/>
      <c r="AV97" s="8"/>
      <c r="AW97" s="8"/>
      <c r="AX97" s="249" t="s">
        <v>86</v>
      </c>
      <c r="AZ97" s="70">
        <f>ROUND(SUM(AZ98:AZ104),2)</f>
        <v>0</v>
      </c>
      <c r="BA97" s="71">
        <f t="shared" si="1"/>
        <v>802662.41</v>
      </c>
      <c r="BB97" s="72">
        <f>ROUND(SUM(BB98:BB104),5)</f>
        <v>0</v>
      </c>
      <c r="BC97" s="71">
        <f>ROUND(BG97*L29,2)</f>
        <v>802662.41</v>
      </c>
      <c r="BD97" s="71">
        <f>ROUND(BH97*L30,2)</f>
        <v>0</v>
      </c>
      <c r="BE97" s="71">
        <f>ROUND(BI97*L29,2)</f>
        <v>0</v>
      </c>
      <c r="BF97" s="71">
        <f>ROUND(BJ97*L30,2)</f>
        <v>0</v>
      </c>
      <c r="BG97" s="71">
        <f>ROUND(SUM(BG98:BG104),2)</f>
        <v>3822201.93</v>
      </c>
      <c r="BH97" s="71">
        <f>ROUND(SUM(BH98:BH104),2)</f>
        <v>0</v>
      </c>
      <c r="BI97" s="71">
        <f>ROUND(SUM(BI98:BI104),2)</f>
        <v>0</v>
      </c>
      <c r="BJ97" s="71">
        <f>ROUND(SUM(BJ98:BJ104),2)</f>
        <v>0</v>
      </c>
      <c r="BK97" s="73">
        <f>ROUND(SUM(BK98:BK104),2)</f>
        <v>0</v>
      </c>
      <c r="BZ97" s="24" t="s">
        <v>73</v>
      </c>
      <c r="CA97" s="24" t="s">
        <v>90</v>
      </c>
      <c r="CB97" s="24" t="s">
        <v>75</v>
      </c>
      <c r="CC97" s="24" t="s">
        <v>76</v>
      </c>
      <c r="CD97" s="24" t="s">
        <v>117</v>
      </c>
      <c r="CE97" s="24" t="s">
        <v>87</v>
      </c>
      <c r="CS97" s="24" t="s">
        <v>1</v>
      </c>
    </row>
    <row r="98" spans="1:97" s="3" customFormat="1" ht="23.25" customHeight="1" x14ac:dyDescent="0.2">
      <c r="A98" s="74" t="s">
        <v>92</v>
      </c>
      <c r="B98" s="47"/>
      <c r="C98" s="8"/>
      <c r="D98" s="8"/>
      <c r="E98" s="8"/>
      <c r="F98" s="8"/>
      <c r="G98" s="378" t="s">
        <v>93</v>
      </c>
      <c r="H98" s="378"/>
      <c r="I98" s="378"/>
      <c r="J98" s="378"/>
      <c r="K98" s="378"/>
      <c r="L98" s="8"/>
      <c r="M98" s="378" t="s">
        <v>118</v>
      </c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81">
        <f>'Odbočení stoka A'!J34</f>
        <v>1788086.23</v>
      </c>
      <c r="AH98" s="382"/>
      <c r="AI98" s="382"/>
      <c r="AJ98" s="382"/>
      <c r="AK98" s="382"/>
      <c r="AL98" s="382"/>
      <c r="AM98" s="382"/>
      <c r="AN98" s="381">
        <f t="shared" si="0"/>
        <v>2163584.34</v>
      </c>
      <c r="AO98" s="382"/>
      <c r="AP98" s="382"/>
      <c r="AQ98" s="262">
        <f>'Odbočení stoka A'!M124</f>
        <v>0</v>
      </c>
      <c r="AR98" s="262">
        <f>'Odbočení stoka A'!O124</f>
        <v>-11417.456999999984</v>
      </c>
      <c r="AS98" s="262">
        <f>'Odbočení stoka A'!Q124</f>
        <v>1799738.33</v>
      </c>
      <c r="AT98" s="8"/>
      <c r="AU98" s="8"/>
      <c r="AV98" s="8"/>
      <c r="AW98" s="8"/>
      <c r="AX98" s="249"/>
      <c r="AZ98" s="70">
        <v>0</v>
      </c>
      <c r="BA98" s="71">
        <f t="shared" si="1"/>
        <v>375498.11</v>
      </c>
      <c r="BB98" s="72">
        <f>'Odbočení stoka A'!CI122</f>
        <v>0</v>
      </c>
      <c r="BC98" s="71">
        <f>'Odbočení stoka A'!J37</f>
        <v>375498.11</v>
      </c>
      <c r="BD98" s="71">
        <f>'Odbočení stoka A'!J38</f>
        <v>0</v>
      </c>
      <c r="BE98" s="71">
        <f>'Odbočení stoka A'!J39</f>
        <v>0</v>
      </c>
      <c r="BF98" s="71">
        <f>'Odbočení stoka A'!J40</f>
        <v>0</v>
      </c>
      <c r="BG98" s="71">
        <f>'Odbočení stoka A'!F37</f>
        <v>1788086.23</v>
      </c>
      <c r="BH98" s="71">
        <f>'Odbočení stoka A'!F38</f>
        <v>0</v>
      </c>
      <c r="BI98" s="71">
        <f>'Odbočení stoka A'!F39</f>
        <v>0</v>
      </c>
      <c r="BJ98" s="71">
        <f>'Odbočení stoka A'!F40</f>
        <v>0</v>
      </c>
      <c r="BK98" s="73">
        <f>'Odbočení stoka A'!F41</f>
        <v>0</v>
      </c>
      <c r="CA98" s="24" t="s">
        <v>95</v>
      </c>
      <c r="CC98" s="24" t="s">
        <v>76</v>
      </c>
      <c r="CD98" s="24" t="s">
        <v>119</v>
      </c>
      <c r="CE98" s="24" t="s">
        <v>117</v>
      </c>
      <c r="CS98" s="24" t="s">
        <v>1</v>
      </c>
    </row>
    <row r="99" spans="1:97" s="3" customFormat="1" ht="23.25" customHeight="1" x14ac:dyDescent="0.2">
      <c r="A99" s="74" t="s">
        <v>92</v>
      </c>
      <c r="B99" s="47"/>
      <c r="C99" s="8"/>
      <c r="D99" s="8"/>
      <c r="E99" s="8"/>
      <c r="F99" s="8"/>
      <c r="G99" s="378" t="s">
        <v>97</v>
      </c>
      <c r="H99" s="378"/>
      <c r="I99" s="378"/>
      <c r="J99" s="378"/>
      <c r="K99" s="378"/>
      <c r="L99" s="8"/>
      <c r="M99" s="378" t="s">
        <v>120</v>
      </c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81">
        <f>'Odbočení stoka A1'!J34</f>
        <v>397793.66</v>
      </c>
      <c r="AH99" s="382"/>
      <c r="AI99" s="382"/>
      <c r="AJ99" s="382"/>
      <c r="AK99" s="382"/>
      <c r="AL99" s="382"/>
      <c r="AM99" s="382"/>
      <c r="AN99" s="381">
        <f t="shared" si="0"/>
        <v>481330.32999999996</v>
      </c>
      <c r="AO99" s="382"/>
      <c r="AP99" s="382"/>
      <c r="AQ99" s="262">
        <f>'Odbočení stoka A1'!M123</f>
        <v>0</v>
      </c>
      <c r="AR99" s="262">
        <f>'Odbočení stoka A1'!O123</f>
        <v>-47992</v>
      </c>
      <c r="AS99" s="262">
        <f>'Odbočení stoka A1'!Q123</f>
        <v>445785.66000000009</v>
      </c>
      <c r="AT99" s="8"/>
      <c r="AU99" s="8"/>
      <c r="AV99" s="8"/>
      <c r="AW99" s="8"/>
      <c r="AX99" s="249"/>
      <c r="AZ99" s="70">
        <v>0</v>
      </c>
      <c r="BA99" s="71">
        <f t="shared" si="1"/>
        <v>83536.67</v>
      </c>
      <c r="BB99" s="72">
        <f>'Odbočení stoka A1'!CA121</f>
        <v>0</v>
      </c>
      <c r="BC99" s="71">
        <f>'Odbočení stoka A1'!J37</f>
        <v>83536.67</v>
      </c>
      <c r="BD99" s="71">
        <f>'Odbočení stoka A1'!J38</f>
        <v>0</v>
      </c>
      <c r="BE99" s="71">
        <f>'Odbočení stoka A1'!J39</f>
        <v>0</v>
      </c>
      <c r="BF99" s="71">
        <f>'Odbočení stoka A1'!J40</f>
        <v>0</v>
      </c>
      <c r="BG99" s="71">
        <f>'Odbočení stoka A1'!F37</f>
        <v>397793.66</v>
      </c>
      <c r="BH99" s="71">
        <f>'Odbočení stoka A1'!F38</f>
        <v>0</v>
      </c>
      <c r="BI99" s="71">
        <f>'Odbočení stoka A1'!F39</f>
        <v>0</v>
      </c>
      <c r="BJ99" s="71">
        <f>'Odbočení stoka A1'!F40</f>
        <v>0</v>
      </c>
      <c r="BK99" s="73">
        <f>'Odbočení stoka A1'!F41</f>
        <v>0</v>
      </c>
      <c r="CA99" s="24" t="s">
        <v>95</v>
      </c>
      <c r="CC99" s="24" t="s">
        <v>76</v>
      </c>
      <c r="CD99" s="24" t="s">
        <v>121</v>
      </c>
      <c r="CE99" s="24" t="s">
        <v>117</v>
      </c>
      <c r="CS99" s="24" t="s">
        <v>1</v>
      </c>
    </row>
    <row r="100" spans="1:97" s="3" customFormat="1" ht="23.25" customHeight="1" x14ac:dyDescent="0.2">
      <c r="A100" s="74" t="s">
        <v>92</v>
      </c>
      <c r="B100" s="47"/>
      <c r="C100" s="8"/>
      <c r="D100" s="8"/>
      <c r="E100" s="8"/>
      <c r="F100" s="8"/>
      <c r="G100" s="378" t="s">
        <v>100</v>
      </c>
      <c r="H100" s="378"/>
      <c r="I100" s="378"/>
      <c r="J100" s="378"/>
      <c r="K100" s="378"/>
      <c r="L100" s="8"/>
      <c r="M100" s="378" t="s">
        <v>122</v>
      </c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81">
        <f>'Odbočení stoka A2a'!J34</f>
        <v>331234.83</v>
      </c>
      <c r="AH100" s="382"/>
      <c r="AI100" s="382"/>
      <c r="AJ100" s="382"/>
      <c r="AK100" s="382"/>
      <c r="AL100" s="382"/>
      <c r="AM100" s="382"/>
      <c r="AN100" s="381">
        <f t="shared" si="0"/>
        <v>400794.14</v>
      </c>
      <c r="AO100" s="382"/>
      <c r="AP100" s="382"/>
      <c r="AQ100" s="262">
        <f>'Odbočení stoka A2a'!M122</f>
        <v>0</v>
      </c>
      <c r="AR100" s="262">
        <f>'Odbočení stoka A2a'!O122</f>
        <v>-42425.16</v>
      </c>
      <c r="AS100" s="262">
        <f>'Odbočení stoka A2a'!Q122</f>
        <v>373659.97000000003</v>
      </c>
      <c r="AT100" s="8"/>
      <c r="AU100" s="8"/>
      <c r="AV100" s="8"/>
      <c r="AW100" s="8"/>
      <c r="AX100" s="249"/>
      <c r="AZ100" s="70">
        <v>0</v>
      </c>
      <c r="BA100" s="71">
        <f t="shared" si="1"/>
        <v>69559.31</v>
      </c>
      <c r="BB100" s="72">
        <f>'Odbočení stoka A2a'!DG120</f>
        <v>0</v>
      </c>
      <c r="BC100" s="71">
        <f>'Odbočení stoka A2a'!J37</f>
        <v>69559.31</v>
      </c>
      <c r="BD100" s="71">
        <f>'Odbočení stoka A2a'!J38</f>
        <v>0</v>
      </c>
      <c r="BE100" s="71">
        <f>'Odbočení stoka A2a'!J39</f>
        <v>0</v>
      </c>
      <c r="BF100" s="71">
        <f>'Odbočení stoka A2a'!J40</f>
        <v>0</v>
      </c>
      <c r="BG100" s="71">
        <f>'Odbočení stoka A2a'!F37</f>
        <v>331234.83</v>
      </c>
      <c r="BH100" s="71">
        <f>'Odbočení stoka A2a'!F38</f>
        <v>0</v>
      </c>
      <c r="BI100" s="71">
        <f>'Odbočení stoka A2a'!F39</f>
        <v>0</v>
      </c>
      <c r="BJ100" s="71">
        <f>'Odbočení stoka A2a'!F40</f>
        <v>0</v>
      </c>
      <c r="BK100" s="73">
        <f>'Odbočení stoka A2a'!F41</f>
        <v>0</v>
      </c>
      <c r="CA100" s="24" t="s">
        <v>95</v>
      </c>
      <c r="CC100" s="24" t="s">
        <v>76</v>
      </c>
      <c r="CD100" s="24" t="s">
        <v>123</v>
      </c>
      <c r="CE100" s="24" t="s">
        <v>117</v>
      </c>
      <c r="CS100" s="24" t="s">
        <v>1</v>
      </c>
    </row>
    <row r="101" spans="1:97" s="3" customFormat="1" ht="23.25" customHeight="1" x14ac:dyDescent="0.2">
      <c r="A101" s="74" t="s">
        <v>92</v>
      </c>
      <c r="B101" s="47"/>
      <c r="C101" s="8"/>
      <c r="D101" s="8"/>
      <c r="E101" s="8"/>
      <c r="F101" s="8"/>
      <c r="G101" s="378" t="s">
        <v>103</v>
      </c>
      <c r="H101" s="378"/>
      <c r="I101" s="378"/>
      <c r="J101" s="378"/>
      <c r="K101" s="378"/>
      <c r="L101" s="8"/>
      <c r="M101" s="378" t="s">
        <v>124</v>
      </c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81">
        <f>'Odbočení stoka A3'!J34</f>
        <v>632860.53</v>
      </c>
      <c r="AH101" s="382"/>
      <c r="AI101" s="382"/>
      <c r="AJ101" s="382"/>
      <c r="AK101" s="382"/>
      <c r="AL101" s="382"/>
      <c r="AM101" s="382"/>
      <c r="AN101" s="381">
        <f t="shared" si="0"/>
        <v>765761.24</v>
      </c>
      <c r="AO101" s="382"/>
      <c r="AP101" s="382"/>
      <c r="AQ101" s="262">
        <f>'Odbočení stoka A3'!M122</f>
        <v>0</v>
      </c>
      <c r="AR101" s="262">
        <f>'Odbočení stoka A3'!O122</f>
        <v>-148846.34</v>
      </c>
      <c r="AS101" s="262">
        <f>'Odbočení stoka A3'!Q122</f>
        <v>781706.87</v>
      </c>
      <c r="AT101" s="8"/>
      <c r="AU101" s="8"/>
      <c r="AV101" s="8"/>
      <c r="AW101" s="8"/>
      <c r="AX101" s="249"/>
      <c r="AZ101" s="70">
        <v>0</v>
      </c>
      <c r="BA101" s="71">
        <f t="shared" si="1"/>
        <v>132900.71</v>
      </c>
      <c r="BB101" s="72">
        <f>'Odbočení stoka A3'!AR120</f>
        <v>0</v>
      </c>
      <c r="BC101" s="71">
        <f>'Odbočení stoka A3'!J37</f>
        <v>132900.71</v>
      </c>
      <c r="BD101" s="71">
        <f>'Odbočení stoka A3'!J38</f>
        <v>0</v>
      </c>
      <c r="BE101" s="71">
        <f>'Odbočení stoka A3'!J39</f>
        <v>0</v>
      </c>
      <c r="BF101" s="71">
        <f>'Odbočení stoka A3'!J40</f>
        <v>0</v>
      </c>
      <c r="BG101" s="71">
        <f>'Odbočení stoka A3'!F37</f>
        <v>632860.53</v>
      </c>
      <c r="BH101" s="71">
        <f>'Odbočení stoka A3'!F38</f>
        <v>0</v>
      </c>
      <c r="BI101" s="71">
        <f>'Odbočení stoka A3'!F39</f>
        <v>0</v>
      </c>
      <c r="BJ101" s="71">
        <f>'Odbočení stoka A3'!F40</f>
        <v>0</v>
      </c>
      <c r="BK101" s="73">
        <f>'Odbočení stoka A3'!F41</f>
        <v>0</v>
      </c>
      <c r="CA101" s="24" t="s">
        <v>95</v>
      </c>
      <c r="CC101" s="24" t="s">
        <v>76</v>
      </c>
      <c r="CD101" s="24" t="s">
        <v>125</v>
      </c>
      <c r="CE101" s="24" t="s">
        <v>117</v>
      </c>
      <c r="CS101" s="24" t="s">
        <v>1</v>
      </c>
    </row>
    <row r="102" spans="1:97" s="3" customFormat="1" ht="23.25" customHeight="1" x14ac:dyDescent="0.2">
      <c r="A102" s="74" t="s">
        <v>92</v>
      </c>
      <c r="B102" s="47"/>
      <c r="C102" s="8"/>
      <c r="D102" s="8"/>
      <c r="E102" s="8"/>
      <c r="F102" s="8"/>
      <c r="G102" s="378" t="s">
        <v>106</v>
      </c>
      <c r="H102" s="378"/>
      <c r="I102" s="378"/>
      <c r="J102" s="378"/>
      <c r="K102" s="378"/>
      <c r="L102" s="8"/>
      <c r="M102" s="378" t="s">
        <v>126</v>
      </c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81">
        <f>'Odbočení stoka A4'!J34</f>
        <v>417869.73</v>
      </c>
      <c r="AH102" s="382"/>
      <c r="AI102" s="382"/>
      <c r="AJ102" s="382"/>
      <c r="AK102" s="382"/>
      <c r="AL102" s="382"/>
      <c r="AM102" s="382"/>
      <c r="AN102" s="381">
        <f t="shared" si="0"/>
        <v>505622.37</v>
      </c>
      <c r="AO102" s="382"/>
      <c r="AP102" s="382"/>
      <c r="AQ102" s="262">
        <f>'Odbočení stoka A4'!M123</f>
        <v>0</v>
      </c>
      <c r="AR102" s="262">
        <f>'Odbočení stoka A4'!O123</f>
        <v>-24257.700000000008</v>
      </c>
      <c r="AS102" s="262">
        <f>'Odbočení stoka A4'!Q123</f>
        <v>442127.39999999997</v>
      </c>
      <c r="AT102" s="8"/>
      <c r="AU102" s="8"/>
      <c r="AV102" s="8"/>
      <c r="AW102" s="8"/>
      <c r="AX102" s="249"/>
      <c r="AZ102" s="70">
        <v>0</v>
      </c>
      <c r="BA102" s="71">
        <f t="shared" si="1"/>
        <v>87752.639999999999</v>
      </c>
      <c r="BB102" s="72">
        <f>'Odbočení stoka A4'!CX121</f>
        <v>0</v>
      </c>
      <c r="BC102" s="71">
        <f>'Odbočení stoka A4'!J37</f>
        <v>87752.639999999999</v>
      </c>
      <c r="BD102" s="71">
        <f>'Odbočení stoka A4'!J38</f>
        <v>0</v>
      </c>
      <c r="BE102" s="71">
        <f>'Odbočení stoka A4'!J39</f>
        <v>0</v>
      </c>
      <c r="BF102" s="71">
        <f>'Odbočení stoka A4'!J40</f>
        <v>0</v>
      </c>
      <c r="BG102" s="71">
        <f>'Odbočení stoka A4'!F37</f>
        <v>417869.73</v>
      </c>
      <c r="BH102" s="71">
        <f>'Odbočení stoka A4'!F38</f>
        <v>0</v>
      </c>
      <c r="BI102" s="71">
        <f>'Odbočení stoka A4'!F39</f>
        <v>0</v>
      </c>
      <c r="BJ102" s="71">
        <f>'Odbočení stoka A4'!F40</f>
        <v>0</v>
      </c>
      <c r="BK102" s="73">
        <f>'Odbočení stoka A4'!F41</f>
        <v>0</v>
      </c>
      <c r="CA102" s="24" t="s">
        <v>95</v>
      </c>
      <c r="CC102" s="24" t="s">
        <v>76</v>
      </c>
      <c r="CD102" s="24" t="s">
        <v>127</v>
      </c>
      <c r="CE102" s="24" t="s">
        <v>117</v>
      </c>
      <c r="CS102" s="24" t="s">
        <v>1</v>
      </c>
    </row>
    <row r="103" spans="1:97" s="3" customFormat="1" ht="23.25" customHeight="1" x14ac:dyDescent="0.2">
      <c r="A103" s="74" t="s">
        <v>92</v>
      </c>
      <c r="B103" s="47"/>
      <c r="C103" s="8"/>
      <c r="D103" s="8"/>
      <c r="E103" s="8"/>
      <c r="F103" s="8"/>
      <c r="G103" s="378" t="s">
        <v>109</v>
      </c>
      <c r="H103" s="378"/>
      <c r="I103" s="378"/>
      <c r="J103" s="378"/>
      <c r="K103" s="378"/>
      <c r="L103" s="8"/>
      <c r="M103" s="378" t="s">
        <v>128</v>
      </c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81">
        <f>'Odbočení stoka A4a'!J34</f>
        <v>114186.27</v>
      </c>
      <c r="AH103" s="382"/>
      <c r="AI103" s="382"/>
      <c r="AJ103" s="382"/>
      <c r="AK103" s="382"/>
      <c r="AL103" s="382"/>
      <c r="AM103" s="382"/>
      <c r="AN103" s="381">
        <f t="shared" si="0"/>
        <v>138165.39000000001</v>
      </c>
      <c r="AO103" s="382"/>
      <c r="AP103" s="382"/>
      <c r="AQ103" s="262">
        <f>'Odbočení stoka A4a'!M123</f>
        <v>0</v>
      </c>
      <c r="AR103" s="262">
        <f>'Odbočení stoka A4a'!O123</f>
        <v>-3143</v>
      </c>
      <c r="AS103" s="262">
        <f>'Odbočení stoka A4a'!Q123</f>
        <v>117329.27000000002</v>
      </c>
      <c r="AT103" s="8"/>
      <c r="AU103" s="8"/>
      <c r="AV103" s="8"/>
      <c r="AW103" s="8"/>
      <c r="AX103" s="249"/>
      <c r="AZ103" s="70">
        <v>0</v>
      </c>
      <c r="BA103" s="71">
        <f t="shared" si="1"/>
        <v>23979.119999999999</v>
      </c>
      <c r="BB103" s="72">
        <f>'Odbočení stoka A4a'!BI121</f>
        <v>0</v>
      </c>
      <c r="BC103" s="71">
        <f>'Odbočení stoka A4a'!J37</f>
        <v>23979.119999999999</v>
      </c>
      <c r="BD103" s="71">
        <f>'Odbočení stoka A4a'!J38</f>
        <v>0</v>
      </c>
      <c r="BE103" s="71">
        <f>'Odbočení stoka A4a'!J39</f>
        <v>0</v>
      </c>
      <c r="BF103" s="71">
        <f>'Odbočení stoka A4a'!J40</f>
        <v>0</v>
      </c>
      <c r="BG103" s="71">
        <f>'Odbočení stoka A4a'!F37</f>
        <v>114186.27</v>
      </c>
      <c r="BH103" s="71">
        <f>'Odbočení stoka A4a'!F38</f>
        <v>0</v>
      </c>
      <c r="BI103" s="71">
        <f>'Odbočení stoka A4a'!F39</f>
        <v>0</v>
      </c>
      <c r="BJ103" s="71">
        <f>'Odbočení stoka A4a'!F40</f>
        <v>0</v>
      </c>
      <c r="BK103" s="73">
        <f>'Odbočení stoka A4a'!F41</f>
        <v>0</v>
      </c>
      <c r="CA103" s="24" t="s">
        <v>95</v>
      </c>
      <c r="CC103" s="24" t="s">
        <v>76</v>
      </c>
      <c r="CD103" s="24" t="s">
        <v>129</v>
      </c>
      <c r="CE103" s="24" t="s">
        <v>117</v>
      </c>
      <c r="CS103" s="24" t="s">
        <v>1</v>
      </c>
    </row>
    <row r="104" spans="1:97" s="3" customFormat="1" ht="23.25" customHeight="1" x14ac:dyDescent="0.2">
      <c r="A104" s="74" t="s">
        <v>92</v>
      </c>
      <c r="B104" s="47"/>
      <c r="C104" s="8"/>
      <c r="D104" s="8"/>
      <c r="E104" s="8"/>
      <c r="F104" s="8"/>
      <c r="G104" s="378" t="s">
        <v>112</v>
      </c>
      <c r="H104" s="378"/>
      <c r="I104" s="378"/>
      <c r="J104" s="378"/>
      <c r="K104" s="378"/>
      <c r="L104" s="8"/>
      <c r="M104" s="378" t="s">
        <v>130</v>
      </c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81">
        <f>'Odbočení stoka A4b'!J34</f>
        <v>140170.68</v>
      </c>
      <c r="AH104" s="382"/>
      <c r="AI104" s="382"/>
      <c r="AJ104" s="382"/>
      <c r="AK104" s="382"/>
      <c r="AL104" s="382"/>
      <c r="AM104" s="382"/>
      <c r="AN104" s="381">
        <f t="shared" si="0"/>
        <v>169606.52</v>
      </c>
      <c r="AO104" s="382"/>
      <c r="AP104" s="382"/>
      <c r="AQ104" s="262">
        <f>'Odbočení stoka A4b'!M123</f>
        <v>0</v>
      </c>
      <c r="AR104" s="262">
        <f>'Odbočení stoka A4b'!O123</f>
        <v>-31571.31</v>
      </c>
      <c r="AS104" s="262">
        <f>'Odbočení stoka A4b'!Q123</f>
        <v>171741.99</v>
      </c>
      <c r="AT104" s="8"/>
      <c r="AU104" s="8"/>
      <c r="AV104" s="8"/>
      <c r="AW104" s="8"/>
      <c r="AX104" s="249"/>
      <c r="AZ104" s="70">
        <v>0</v>
      </c>
      <c r="BA104" s="71">
        <f t="shared" si="1"/>
        <v>29435.84</v>
      </c>
      <c r="BB104" s="72">
        <f>'Odbočení stoka A4b'!CA121</f>
        <v>0</v>
      </c>
      <c r="BC104" s="71">
        <f>'Odbočení stoka A4b'!J37</f>
        <v>29435.84</v>
      </c>
      <c r="BD104" s="71">
        <f>'Odbočení stoka A4b'!J38</f>
        <v>0</v>
      </c>
      <c r="BE104" s="71">
        <f>'Odbočení stoka A4b'!J39</f>
        <v>0</v>
      </c>
      <c r="BF104" s="71">
        <f>'Odbočení stoka A4b'!J40</f>
        <v>0</v>
      </c>
      <c r="BG104" s="71">
        <f>'Odbočení stoka A4b'!F37</f>
        <v>140170.68</v>
      </c>
      <c r="BH104" s="71">
        <f>'Odbočení stoka A4b'!F38</f>
        <v>0</v>
      </c>
      <c r="BI104" s="71">
        <f>'Odbočení stoka A4b'!F39</f>
        <v>0</v>
      </c>
      <c r="BJ104" s="71">
        <f>'Odbočení stoka A4b'!F40</f>
        <v>0</v>
      </c>
      <c r="BK104" s="73">
        <f>'Odbočení stoka A4b'!F41</f>
        <v>0</v>
      </c>
      <c r="CA104" s="24" t="s">
        <v>95</v>
      </c>
      <c r="CC104" s="24" t="s">
        <v>76</v>
      </c>
      <c r="CD104" s="24" t="s">
        <v>131</v>
      </c>
      <c r="CE104" s="24" t="s">
        <v>117</v>
      </c>
      <c r="CS104" s="24" t="s">
        <v>1</v>
      </c>
    </row>
    <row r="105" spans="1:97" s="3" customFormat="1" ht="23.25" customHeight="1" x14ac:dyDescent="0.2">
      <c r="B105" s="251"/>
      <c r="C105" s="252"/>
      <c r="D105" s="252"/>
      <c r="E105" s="252"/>
      <c r="F105" s="379" t="s">
        <v>132</v>
      </c>
      <c r="G105" s="379"/>
      <c r="H105" s="379"/>
      <c r="I105" s="379"/>
      <c r="J105" s="379"/>
      <c r="K105" s="252"/>
      <c r="L105" s="379" t="s">
        <v>133</v>
      </c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85">
        <f>ROUND(SUM(AG106:AG108),2)</f>
        <v>29845194.98</v>
      </c>
      <c r="AH105" s="384"/>
      <c r="AI105" s="384"/>
      <c r="AJ105" s="384"/>
      <c r="AK105" s="384"/>
      <c r="AL105" s="384"/>
      <c r="AM105" s="384"/>
      <c r="AN105" s="383">
        <f t="shared" si="0"/>
        <v>36112685.93</v>
      </c>
      <c r="AO105" s="384"/>
      <c r="AP105" s="384"/>
      <c r="AQ105" s="261">
        <f>AQ106+AQ107+AQ108</f>
        <v>0</v>
      </c>
      <c r="AR105" s="261">
        <f t="shared" ref="AR105:AS105" si="6">AR106+AR107+AR108</f>
        <v>225165.17</v>
      </c>
      <c r="AS105" s="261">
        <f t="shared" si="6"/>
        <v>29620029.760000009</v>
      </c>
      <c r="AT105" s="8"/>
      <c r="AU105" s="8"/>
      <c r="AV105" s="8"/>
      <c r="AW105" s="8"/>
      <c r="AX105" s="249" t="s">
        <v>86</v>
      </c>
      <c r="AZ105" s="70">
        <f>ROUND(SUM(AZ106:AZ108),2)</f>
        <v>0</v>
      </c>
      <c r="BA105" s="71">
        <f t="shared" si="1"/>
        <v>6267490.9500000002</v>
      </c>
      <c r="BB105" s="72">
        <f>ROUND(SUM(BB106:BB108),5)</f>
        <v>0</v>
      </c>
      <c r="BC105" s="71">
        <f>ROUND(BG105*L29,2)</f>
        <v>6267490.9500000002</v>
      </c>
      <c r="BD105" s="71">
        <f>ROUND(BH105*L30,2)</f>
        <v>0</v>
      </c>
      <c r="BE105" s="71">
        <f>ROUND(BI105*L29,2)</f>
        <v>0</v>
      </c>
      <c r="BF105" s="71">
        <f>ROUND(BJ105*L30,2)</f>
        <v>0</v>
      </c>
      <c r="BG105" s="71">
        <f>ROUND(SUM(BG106:BG108),2)</f>
        <v>29845194.98</v>
      </c>
      <c r="BH105" s="71">
        <f>ROUND(SUM(BH106:BH108),2)</f>
        <v>0</v>
      </c>
      <c r="BI105" s="71">
        <f>ROUND(SUM(BI106:BI108),2)</f>
        <v>0</v>
      </c>
      <c r="BJ105" s="71">
        <f>ROUND(SUM(BJ106:BJ108),2)</f>
        <v>0</v>
      </c>
      <c r="BK105" s="73">
        <f>ROUND(SUM(BK106:BK108),2)</f>
        <v>0</v>
      </c>
      <c r="BZ105" s="24" t="s">
        <v>73</v>
      </c>
      <c r="CA105" s="24" t="s">
        <v>90</v>
      </c>
      <c r="CB105" s="24" t="s">
        <v>75</v>
      </c>
      <c r="CC105" s="24" t="s">
        <v>76</v>
      </c>
      <c r="CD105" s="24" t="s">
        <v>134</v>
      </c>
      <c r="CE105" s="24" t="s">
        <v>87</v>
      </c>
      <c r="CS105" s="24" t="s">
        <v>1</v>
      </c>
    </row>
    <row r="106" spans="1:97" s="3" customFormat="1" ht="16.5" customHeight="1" x14ac:dyDescent="0.2">
      <c r="A106" s="74" t="s">
        <v>92</v>
      </c>
      <c r="B106" s="47"/>
      <c r="C106" s="8"/>
      <c r="D106" s="8"/>
      <c r="E106" s="8"/>
      <c r="F106" s="8"/>
      <c r="G106" s="378" t="s">
        <v>93</v>
      </c>
      <c r="H106" s="378"/>
      <c r="I106" s="378"/>
      <c r="J106" s="378"/>
      <c r="K106" s="378"/>
      <c r="L106" s="8"/>
      <c r="M106" s="378" t="s">
        <v>135</v>
      </c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81">
        <f>'00001 - DSO 01.3a Stoka D'!J34</f>
        <v>25825576.879999999</v>
      </c>
      <c r="AH106" s="382"/>
      <c r="AI106" s="382"/>
      <c r="AJ106" s="382"/>
      <c r="AK106" s="382"/>
      <c r="AL106" s="382"/>
      <c r="AM106" s="382"/>
      <c r="AN106" s="381">
        <f t="shared" si="0"/>
        <v>31248948.02</v>
      </c>
      <c r="AO106" s="382"/>
      <c r="AP106" s="382"/>
      <c r="AQ106" s="262">
        <f>'00001 - DSO 01.3a Stoka D'!M127</f>
        <v>0</v>
      </c>
      <c r="AR106" s="262">
        <f>'00001 - DSO 01.3a Stoka D'!O127</f>
        <v>-149084.51999999999</v>
      </c>
      <c r="AS106" s="262">
        <f>'00001 - DSO 01.3a Stoka D'!Q127</f>
        <v>25974661.370000008</v>
      </c>
      <c r="AT106" s="8"/>
      <c r="AU106" s="8"/>
      <c r="AV106" s="8"/>
      <c r="AW106" s="8"/>
      <c r="AX106" s="249" t="s">
        <v>86</v>
      </c>
      <c r="AZ106" s="70">
        <v>0</v>
      </c>
      <c r="BA106" s="71">
        <f t="shared" si="1"/>
        <v>5423371.1399999997</v>
      </c>
      <c r="BB106" s="72">
        <f>'00001 - DSO 01.3a Stoka D'!CJ125</f>
        <v>0</v>
      </c>
      <c r="BC106" s="71">
        <f>'00001 - DSO 01.3a Stoka D'!J37</f>
        <v>5423371.1399999997</v>
      </c>
      <c r="BD106" s="71">
        <f>'00001 - DSO 01.3a Stoka D'!J38</f>
        <v>0</v>
      </c>
      <c r="BE106" s="71">
        <f>'00001 - DSO 01.3a Stoka D'!J39</f>
        <v>0</v>
      </c>
      <c r="BF106" s="71">
        <f>'00001 - DSO 01.3a Stoka D'!J40</f>
        <v>0</v>
      </c>
      <c r="BG106" s="71">
        <f>'00001 - DSO 01.3a Stoka D'!F37</f>
        <v>25825576.879999999</v>
      </c>
      <c r="BH106" s="71">
        <f>'00001 - DSO 01.3a Stoka D'!F38</f>
        <v>0</v>
      </c>
      <c r="BI106" s="71">
        <f>'00001 - DSO 01.3a Stoka D'!F39</f>
        <v>0</v>
      </c>
      <c r="BJ106" s="71">
        <f>'00001 - DSO 01.3a Stoka D'!F40</f>
        <v>0</v>
      </c>
      <c r="BK106" s="73">
        <f>'00001 - DSO 01.3a Stoka D'!F41</f>
        <v>0</v>
      </c>
      <c r="CA106" s="24" t="s">
        <v>95</v>
      </c>
      <c r="CC106" s="24" t="s">
        <v>76</v>
      </c>
      <c r="CD106" s="24" t="s">
        <v>136</v>
      </c>
      <c r="CE106" s="24" t="s">
        <v>134</v>
      </c>
      <c r="CS106" s="24" t="s">
        <v>1</v>
      </c>
    </row>
    <row r="107" spans="1:97" s="3" customFormat="1" ht="16.5" customHeight="1" x14ac:dyDescent="0.2">
      <c r="A107" s="74" t="s">
        <v>92</v>
      </c>
      <c r="B107" s="47"/>
      <c r="C107" s="8"/>
      <c r="D107" s="8"/>
      <c r="E107" s="8"/>
      <c r="F107" s="8"/>
      <c r="G107" s="378" t="s">
        <v>97</v>
      </c>
      <c r="H107" s="378"/>
      <c r="I107" s="378"/>
      <c r="J107" s="378"/>
      <c r="K107" s="378"/>
      <c r="L107" s="8"/>
      <c r="M107" s="378" t="s">
        <v>137</v>
      </c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81">
        <f>'00002 - DSO 01.3b Stoka DA'!J34</f>
        <v>1490317.25</v>
      </c>
      <c r="AH107" s="382"/>
      <c r="AI107" s="382"/>
      <c r="AJ107" s="382"/>
      <c r="AK107" s="382"/>
      <c r="AL107" s="382"/>
      <c r="AM107" s="382"/>
      <c r="AN107" s="381">
        <f t="shared" si="0"/>
        <v>1803283.87</v>
      </c>
      <c r="AO107" s="382"/>
      <c r="AP107" s="382"/>
      <c r="AQ107" s="262">
        <f>'00002 - DSO 01.3b Stoka DA'!M123</f>
        <v>0</v>
      </c>
      <c r="AR107" s="262">
        <f>'00002 - DSO 01.3b Stoka DA'!O123</f>
        <v>214158.59</v>
      </c>
      <c r="AS107" s="262">
        <f>'00002 - DSO 01.3b Stoka DA'!Q123</f>
        <v>1276158.6399999999</v>
      </c>
      <c r="AT107" s="8"/>
      <c r="AU107" s="8"/>
      <c r="AV107" s="8"/>
      <c r="AW107" s="8"/>
      <c r="AX107" s="249"/>
      <c r="AZ107" s="70">
        <v>0</v>
      </c>
      <c r="BA107" s="71">
        <f t="shared" si="1"/>
        <v>312966.62</v>
      </c>
      <c r="BB107" s="72">
        <f>'00002 - DSO 01.3b Stoka DA'!DE121</f>
        <v>0</v>
      </c>
      <c r="BC107" s="71">
        <f>'00002 - DSO 01.3b Stoka DA'!J37</f>
        <v>312966.62</v>
      </c>
      <c r="BD107" s="71">
        <f>'00002 - DSO 01.3b Stoka DA'!J38</f>
        <v>0</v>
      </c>
      <c r="BE107" s="71">
        <f>'00002 - DSO 01.3b Stoka DA'!J39</f>
        <v>0</v>
      </c>
      <c r="BF107" s="71">
        <f>'00002 - DSO 01.3b Stoka DA'!J40</f>
        <v>0</v>
      </c>
      <c r="BG107" s="71">
        <f>'00002 - DSO 01.3b Stoka DA'!F37</f>
        <v>1490317.25</v>
      </c>
      <c r="BH107" s="71">
        <f>'00002 - DSO 01.3b Stoka DA'!F38</f>
        <v>0</v>
      </c>
      <c r="BI107" s="71">
        <f>'00002 - DSO 01.3b Stoka DA'!F39</f>
        <v>0</v>
      </c>
      <c r="BJ107" s="71">
        <f>'00002 - DSO 01.3b Stoka DA'!F40</f>
        <v>0</v>
      </c>
      <c r="BK107" s="73">
        <f>'00002 - DSO 01.3b Stoka DA'!F41</f>
        <v>0</v>
      </c>
      <c r="CA107" s="24" t="s">
        <v>95</v>
      </c>
      <c r="CC107" s="24" t="s">
        <v>76</v>
      </c>
      <c r="CD107" s="24" t="s">
        <v>138</v>
      </c>
      <c r="CE107" s="24" t="s">
        <v>134</v>
      </c>
      <c r="CS107" s="24" t="s">
        <v>1</v>
      </c>
    </row>
    <row r="108" spans="1:97" s="3" customFormat="1" ht="16.5" customHeight="1" x14ac:dyDescent="0.2">
      <c r="A108" s="74" t="s">
        <v>92</v>
      </c>
      <c r="B108" s="47"/>
      <c r="C108" s="8"/>
      <c r="D108" s="8"/>
      <c r="E108" s="8"/>
      <c r="F108" s="8"/>
      <c r="G108" s="378" t="s">
        <v>112</v>
      </c>
      <c r="H108" s="378"/>
      <c r="I108" s="378"/>
      <c r="J108" s="378"/>
      <c r="K108" s="378"/>
      <c r="L108" s="8"/>
      <c r="M108" s="378" t="s">
        <v>139</v>
      </c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81">
        <f>'00007 - DSO 01.3g Stoka D3'!J34</f>
        <v>2529300.85</v>
      </c>
      <c r="AH108" s="382"/>
      <c r="AI108" s="382"/>
      <c r="AJ108" s="382"/>
      <c r="AK108" s="382"/>
      <c r="AL108" s="382"/>
      <c r="AM108" s="382"/>
      <c r="AN108" s="381">
        <f t="shared" si="0"/>
        <v>3060454.0300000003</v>
      </c>
      <c r="AO108" s="382"/>
      <c r="AP108" s="382"/>
      <c r="AQ108" s="262">
        <f>'00007 - DSO 01.3g Stoka D3'!M124</f>
        <v>0</v>
      </c>
      <c r="AR108" s="262">
        <f>'00007 - DSO 01.3g Stoka D3'!O124</f>
        <v>160091.1</v>
      </c>
      <c r="AS108" s="262">
        <f>'00007 - DSO 01.3g Stoka D3'!Q124</f>
        <v>2369209.75</v>
      </c>
      <c r="AT108" s="8"/>
      <c r="AU108" s="8"/>
      <c r="AV108" s="8"/>
      <c r="AW108" s="8"/>
      <c r="AX108" s="249"/>
      <c r="AZ108" s="70">
        <v>0</v>
      </c>
      <c r="BA108" s="71">
        <f t="shared" si="1"/>
        <v>531153.18000000005</v>
      </c>
      <c r="BB108" s="72">
        <f>'00007 - DSO 01.3g Stoka D3'!CK122</f>
        <v>0</v>
      </c>
      <c r="BC108" s="71">
        <f>'00007 - DSO 01.3g Stoka D3'!J37</f>
        <v>531153.18000000005</v>
      </c>
      <c r="BD108" s="71">
        <f>'00007 - DSO 01.3g Stoka D3'!J38</f>
        <v>0</v>
      </c>
      <c r="BE108" s="71">
        <f>'00007 - DSO 01.3g Stoka D3'!J39</f>
        <v>0</v>
      </c>
      <c r="BF108" s="71">
        <f>'00007 - DSO 01.3g Stoka D3'!J40</f>
        <v>0</v>
      </c>
      <c r="BG108" s="71">
        <f>'00007 - DSO 01.3g Stoka D3'!F37</f>
        <v>2529300.85</v>
      </c>
      <c r="BH108" s="71">
        <f>'00007 - DSO 01.3g Stoka D3'!F38</f>
        <v>0</v>
      </c>
      <c r="BI108" s="71">
        <f>'00007 - DSO 01.3g Stoka D3'!F39</f>
        <v>0</v>
      </c>
      <c r="BJ108" s="71">
        <f>'00007 - DSO 01.3g Stoka D3'!F40</f>
        <v>0</v>
      </c>
      <c r="BK108" s="73">
        <f>'00007 - DSO 01.3g Stoka D3'!F41</f>
        <v>0</v>
      </c>
      <c r="CA108" s="24" t="s">
        <v>95</v>
      </c>
      <c r="CC108" s="24" t="s">
        <v>76</v>
      </c>
      <c r="CD108" s="24" t="s">
        <v>140</v>
      </c>
      <c r="CE108" s="24" t="s">
        <v>134</v>
      </c>
      <c r="CS108" s="24" t="s">
        <v>1</v>
      </c>
    </row>
    <row r="109" spans="1:97" s="3" customFormat="1" ht="16.5" customHeight="1" x14ac:dyDescent="0.2">
      <c r="B109" s="251"/>
      <c r="C109" s="252"/>
      <c r="D109" s="252"/>
      <c r="E109" s="252"/>
      <c r="F109" s="379" t="s">
        <v>141</v>
      </c>
      <c r="G109" s="379"/>
      <c r="H109" s="379"/>
      <c r="I109" s="379"/>
      <c r="J109" s="379"/>
      <c r="K109" s="252"/>
      <c r="L109" s="379" t="s">
        <v>142</v>
      </c>
      <c r="M109" s="379"/>
      <c r="N109" s="379"/>
      <c r="O109" s="379"/>
      <c r="P109" s="379"/>
      <c r="Q109" s="379"/>
      <c r="R109" s="379"/>
      <c r="S109" s="379"/>
      <c r="T109" s="379"/>
      <c r="U109" s="379"/>
      <c r="V109" s="379"/>
      <c r="W109" s="379"/>
      <c r="X109" s="379"/>
      <c r="Y109" s="379"/>
      <c r="Z109" s="379"/>
      <c r="AA109" s="379"/>
      <c r="AB109" s="379"/>
      <c r="AC109" s="379"/>
      <c r="AD109" s="379"/>
      <c r="AE109" s="379"/>
      <c r="AF109" s="379"/>
      <c r="AG109" s="385">
        <f>ROUND(SUM(AG110:AG112),2)</f>
        <v>2660886.9700000002</v>
      </c>
      <c r="AH109" s="384"/>
      <c r="AI109" s="384"/>
      <c r="AJ109" s="384"/>
      <c r="AK109" s="384"/>
      <c r="AL109" s="384"/>
      <c r="AM109" s="384"/>
      <c r="AN109" s="383">
        <f t="shared" si="0"/>
        <v>3219673.2300000004</v>
      </c>
      <c r="AO109" s="384"/>
      <c r="AP109" s="384"/>
      <c r="AQ109" s="261">
        <f>AQ110+AQ111+AQ112</f>
        <v>0</v>
      </c>
      <c r="AR109" s="261">
        <f t="shared" ref="AR109:AS109" si="7">AR110+AR111+AR112</f>
        <v>-195055.568</v>
      </c>
      <c r="AS109" s="261">
        <f t="shared" si="7"/>
        <v>2855970.82</v>
      </c>
      <c r="AT109" s="8"/>
      <c r="AU109" s="8"/>
      <c r="AV109" s="8"/>
      <c r="AW109" s="8"/>
      <c r="AX109" s="249" t="s">
        <v>86</v>
      </c>
      <c r="AZ109" s="70">
        <f>ROUND(SUM(AZ110:AZ112),2)</f>
        <v>0</v>
      </c>
      <c r="BA109" s="71">
        <f t="shared" si="1"/>
        <v>558786.26</v>
      </c>
      <c r="BB109" s="72">
        <f>ROUND(SUM(BB110:BB112),5)</f>
        <v>0</v>
      </c>
      <c r="BC109" s="71">
        <f>ROUND(BG109*L29,2)</f>
        <v>558786.26</v>
      </c>
      <c r="BD109" s="71">
        <f>ROUND(BH109*L30,2)</f>
        <v>0</v>
      </c>
      <c r="BE109" s="71">
        <f>ROUND(BI109*L29,2)</f>
        <v>0</v>
      </c>
      <c r="BF109" s="71">
        <f>ROUND(BJ109*L30,2)</f>
        <v>0</v>
      </c>
      <c r="BG109" s="71">
        <f>ROUND(SUM(BG110:BG112),2)</f>
        <v>2660886.9700000002</v>
      </c>
      <c r="BH109" s="71">
        <f>ROUND(SUM(BH110:BH112),2)</f>
        <v>0</v>
      </c>
      <c r="BI109" s="71">
        <f>ROUND(SUM(BI110:BI112),2)</f>
        <v>0</v>
      </c>
      <c r="BJ109" s="71">
        <f>ROUND(SUM(BJ110:BJ112),2)</f>
        <v>0</v>
      </c>
      <c r="BK109" s="73">
        <f>ROUND(SUM(BK110:BK112),2)</f>
        <v>0</v>
      </c>
      <c r="BZ109" s="24" t="s">
        <v>73</v>
      </c>
      <c r="CA109" s="24" t="s">
        <v>90</v>
      </c>
      <c r="CB109" s="24" t="s">
        <v>75</v>
      </c>
      <c r="CC109" s="24" t="s">
        <v>76</v>
      </c>
      <c r="CD109" s="24" t="s">
        <v>143</v>
      </c>
      <c r="CE109" s="24" t="s">
        <v>87</v>
      </c>
      <c r="CS109" s="24" t="s">
        <v>1</v>
      </c>
    </row>
    <row r="110" spans="1:97" s="3" customFormat="1" ht="23.25" customHeight="1" x14ac:dyDescent="0.2">
      <c r="A110" s="74" t="s">
        <v>92</v>
      </c>
      <c r="B110" s="47"/>
      <c r="C110" s="8"/>
      <c r="D110" s="8"/>
      <c r="E110" s="8"/>
      <c r="F110" s="8"/>
      <c r="G110" s="378" t="s">
        <v>93</v>
      </c>
      <c r="H110" s="378"/>
      <c r="I110" s="378"/>
      <c r="J110" s="378"/>
      <c r="K110" s="378"/>
      <c r="L110" s="8"/>
      <c r="M110" s="378" t="s">
        <v>144</v>
      </c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81">
        <f>'00001 - DSO 01.3.1a Kanal...'!J34</f>
        <v>1970384.99</v>
      </c>
      <c r="AH110" s="382"/>
      <c r="AI110" s="382"/>
      <c r="AJ110" s="382"/>
      <c r="AK110" s="382"/>
      <c r="AL110" s="382"/>
      <c r="AM110" s="382"/>
      <c r="AN110" s="381">
        <f t="shared" si="0"/>
        <v>2384165.84</v>
      </c>
      <c r="AO110" s="382"/>
      <c r="AP110" s="382"/>
      <c r="AQ110" s="262">
        <f>'00001 - DSO 01.3.1a Kanal...'!M125</f>
        <v>0</v>
      </c>
      <c r="AR110" s="262">
        <f>'00001 - DSO 01.3.1a Kanal...'!O125</f>
        <v>-171900.05999999997</v>
      </c>
      <c r="AS110" s="262">
        <f>'00001 - DSO 01.3.1a Kanal...'!Q125</f>
        <v>2142285.0499999998</v>
      </c>
      <c r="AT110" s="8"/>
      <c r="AU110" s="8"/>
      <c r="AV110" s="8"/>
      <c r="AW110" s="8"/>
      <c r="AX110" s="249"/>
      <c r="AZ110" s="70">
        <v>0</v>
      </c>
      <c r="BA110" s="71">
        <f t="shared" si="1"/>
        <v>413780.85</v>
      </c>
      <c r="BB110" s="72">
        <f>'00001 - DSO 01.3.1a Kanal...'!BK123</f>
        <v>0</v>
      </c>
      <c r="BC110" s="71">
        <f>'00001 - DSO 01.3.1a Kanal...'!J37</f>
        <v>413780.85</v>
      </c>
      <c r="BD110" s="71">
        <f>'00001 - DSO 01.3.1a Kanal...'!J38</f>
        <v>0</v>
      </c>
      <c r="BE110" s="71">
        <f>'00001 - DSO 01.3.1a Kanal...'!J39</f>
        <v>0</v>
      </c>
      <c r="BF110" s="71">
        <f>'00001 - DSO 01.3.1a Kanal...'!J40</f>
        <v>0</v>
      </c>
      <c r="BG110" s="71">
        <f>'00001 - DSO 01.3.1a Kanal...'!F37</f>
        <v>1970384.99</v>
      </c>
      <c r="BH110" s="71">
        <f>'00001 - DSO 01.3.1a Kanal...'!F38</f>
        <v>0</v>
      </c>
      <c r="BI110" s="71">
        <f>'00001 - DSO 01.3.1a Kanal...'!F39</f>
        <v>0</v>
      </c>
      <c r="BJ110" s="71">
        <f>'00001 - DSO 01.3.1a Kanal...'!F40</f>
        <v>0</v>
      </c>
      <c r="BK110" s="73">
        <f>'00001 - DSO 01.3.1a Kanal...'!F41</f>
        <v>0</v>
      </c>
      <c r="CA110" s="24" t="s">
        <v>95</v>
      </c>
      <c r="CC110" s="24" t="s">
        <v>76</v>
      </c>
      <c r="CD110" s="24" t="s">
        <v>145</v>
      </c>
      <c r="CE110" s="24" t="s">
        <v>143</v>
      </c>
      <c r="CS110" s="24" t="s">
        <v>1</v>
      </c>
    </row>
    <row r="111" spans="1:97" s="3" customFormat="1" ht="23.25" customHeight="1" x14ac:dyDescent="0.2">
      <c r="A111" s="74" t="s">
        <v>92</v>
      </c>
      <c r="B111" s="47"/>
      <c r="C111" s="8"/>
      <c r="D111" s="8"/>
      <c r="E111" s="8"/>
      <c r="F111" s="8"/>
      <c r="G111" s="378" t="s">
        <v>97</v>
      </c>
      <c r="H111" s="378"/>
      <c r="I111" s="378"/>
      <c r="J111" s="378"/>
      <c r="K111" s="378"/>
      <c r="L111" s="8"/>
      <c r="M111" s="378" t="s">
        <v>146</v>
      </c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81">
        <f>'00002 - DSO 01.3.1b Kanal...'!J34</f>
        <v>249156.28</v>
      </c>
      <c r="AH111" s="382"/>
      <c r="AI111" s="382"/>
      <c r="AJ111" s="382"/>
      <c r="AK111" s="382"/>
      <c r="AL111" s="382"/>
      <c r="AM111" s="382"/>
      <c r="AN111" s="381">
        <f t="shared" si="0"/>
        <v>301479.09999999998</v>
      </c>
      <c r="AO111" s="382"/>
      <c r="AP111" s="382"/>
      <c r="AQ111" s="262">
        <f>'00002 - DSO 01.3.1b Kanal...'!M124</f>
        <v>0</v>
      </c>
      <c r="AR111" s="262">
        <f>'00002 - DSO 01.3.1b Kanal...'!O124</f>
        <v>-74890.438000000024</v>
      </c>
      <c r="AS111" s="262">
        <f>'00002 - DSO 01.3.1b Kanal...'!Q124</f>
        <v>324075.02</v>
      </c>
      <c r="AT111" s="8"/>
      <c r="AU111" s="8"/>
      <c r="AV111" s="8"/>
      <c r="AW111" s="8"/>
      <c r="AX111" s="249"/>
      <c r="AZ111" s="70">
        <v>0</v>
      </c>
      <c r="BA111" s="71">
        <f t="shared" si="1"/>
        <v>52322.82</v>
      </c>
      <c r="BB111" s="72">
        <f>'00002 - DSO 01.3.1b Kanal...'!BK122</f>
        <v>0</v>
      </c>
      <c r="BC111" s="71">
        <f>'00002 - DSO 01.3.1b Kanal...'!J37</f>
        <v>52322.82</v>
      </c>
      <c r="BD111" s="71">
        <f>'00002 - DSO 01.3.1b Kanal...'!J38</f>
        <v>0</v>
      </c>
      <c r="BE111" s="71">
        <f>'00002 - DSO 01.3.1b Kanal...'!J39</f>
        <v>0</v>
      </c>
      <c r="BF111" s="71">
        <f>'00002 - DSO 01.3.1b Kanal...'!J40</f>
        <v>0</v>
      </c>
      <c r="BG111" s="71">
        <f>'00002 - DSO 01.3.1b Kanal...'!F37</f>
        <v>249156.28</v>
      </c>
      <c r="BH111" s="71">
        <f>'00002 - DSO 01.3.1b Kanal...'!F38</f>
        <v>0</v>
      </c>
      <c r="BI111" s="71">
        <f>'00002 - DSO 01.3.1b Kanal...'!F39</f>
        <v>0</v>
      </c>
      <c r="BJ111" s="71">
        <f>'00002 - DSO 01.3.1b Kanal...'!F40</f>
        <v>0</v>
      </c>
      <c r="BK111" s="73">
        <f>'00002 - DSO 01.3.1b Kanal...'!F41</f>
        <v>0</v>
      </c>
      <c r="CA111" s="24" t="s">
        <v>95</v>
      </c>
      <c r="CC111" s="24" t="s">
        <v>76</v>
      </c>
      <c r="CD111" s="24" t="s">
        <v>147</v>
      </c>
      <c r="CE111" s="24" t="s">
        <v>143</v>
      </c>
      <c r="CS111" s="24" t="s">
        <v>1</v>
      </c>
    </row>
    <row r="112" spans="1:97" s="3" customFormat="1" ht="23.25" customHeight="1" x14ac:dyDescent="0.2">
      <c r="A112" s="74" t="s">
        <v>92</v>
      </c>
      <c r="B112" s="47"/>
      <c r="C112" s="8"/>
      <c r="D112" s="8"/>
      <c r="E112" s="8"/>
      <c r="F112" s="8"/>
      <c r="G112" s="378" t="s">
        <v>112</v>
      </c>
      <c r="H112" s="378"/>
      <c r="I112" s="378"/>
      <c r="J112" s="378"/>
      <c r="K112" s="378"/>
      <c r="L112" s="8"/>
      <c r="M112" s="378" t="s">
        <v>148</v>
      </c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81">
        <f>'00007 - DSO 01.3.1g Kanal...'!J34</f>
        <v>441345.7</v>
      </c>
      <c r="AH112" s="382"/>
      <c r="AI112" s="382"/>
      <c r="AJ112" s="382"/>
      <c r="AK112" s="382"/>
      <c r="AL112" s="382"/>
      <c r="AM112" s="382"/>
      <c r="AN112" s="381">
        <f t="shared" si="0"/>
        <v>534028.30000000005</v>
      </c>
      <c r="AO112" s="382"/>
      <c r="AP112" s="382"/>
      <c r="AQ112" s="262">
        <f>'00007 - DSO 01.3.1g Kanal...'!M124</f>
        <v>0</v>
      </c>
      <c r="AR112" s="262">
        <f>'00007 - DSO 01.3.1g Kanal...'!O124</f>
        <v>51734.93</v>
      </c>
      <c r="AS112" s="262">
        <f>'00007 - DSO 01.3.1g Kanal...'!Q124</f>
        <v>389610.74999999994</v>
      </c>
      <c r="AT112" s="8"/>
      <c r="AU112" s="8"/>
      <c r="AV112" s="8"/>
      <c r="AW112" s="8"/>
      <c r="AX112" s="249"/>
      <c r="AZ112" s="70">
        <v>0</v>
      </c>
      <c r="BA112" s="71">
        <f t="shared" si="1"/>
        <v>92682.6</v>
      </c>
      <c r="BB112" s="72">
        <f>'00007 - DSO 01.3.1g Kanal...'!CA122</f>
        <v>0</v>
      </c>
      <c r="BC112" s="71">
        <f>'00007 - DSO 01.3.1g Kanal...'!J37</f>
        <v>92682.6</v>
      </c>
      <c r="BD112" s="71">
        <f>'00007 - DSO 01.3.1g Kanal...'!J38</f>
        <v>0</v>
      </c>
      <c r="BE112" s="71">
        <f>'00007 - DSO 01.3.1g Kanal...'!J39</f>
        <v>0</v>
      </c>
      <c r="BF112" s="71">
        <f>'00007 - DSO 01.3.1g Kanal...'!J40</f>
        <v>0</v>
      </c>
      <c r="BG112" s="71">
        <f>'00007 - DSO 01.3.1g Kanal...'!F37</f>
        <v>441345.7</v>
      </c>
      <c r="BH112" s="71">
        <f>'00007 - DSO 01.3.1g Kanal...'!F38</f>
        <v>0</v>
      </c>
      <c r="BI112" s="71">
        <f>'00007 - DSO 01.3.1g Kanal...'!F39</f>
        <v>0</v>
      </c>
      <c r="BJ112" s="71">
        <f>'00007 - DSO 01.3.1g Kanal...'!F40</f>
        <v>0</v>
      </c>
      <c r="BK112" s="73">
        <f>'00007 - DSO 01.3.1g Kanal...'!F41</f>
        <v>0</v>
      </c>
      <c r="CA112" s="24" t="s">
        <v>95</v>
      </c>
      <c r="CC112" s="24" t="s">
        <v>76</v>
      </c>
      <c r="CD112" s="24" t="s">
        <v>149</v>
      </c>
      <c r="CE112" s="24" t="s">
        <v>143</v>
      </c>
      <c r="CS112" s="24" t="s">
        <v>1</v>
      </c>
    </row>
    <row r="113" spans="1:97" s="3" customFormat="1" ht="16.5" customHeight="1" x14ac:dyDescent="0.2">
      <c r="B113" s="251"/>
      <c r="C113" s="252"/>
      <c r="D113" s="252"/>
      <c r="E113" s="379" t="s">
        <v>150</v>
      </c>
      <c r="F113" s="379"/>
      <c r="G113" s="379"/>
      <c r="H113" s="379"/>
      <c r="I113" s="379"/>
      <c r="J113" s="252"/>
      <c r="K113" s="379" t="s">
        <v>151</v>
      </c>
      <c r="L113" s="379"/>
      <c r="M113" s="379"/>
      <c r="N113" s="379"/>
      <c r="O113" s="379"/>
      <c r="P113" s="379"/>
      <c r="Q113" s="379"/>
      <c r="R113" s="379"/>
      <c r="S113" s="379"/>
      <c r="T113" s="379"/>
      <c r="U113" s="379"/>
      <c r="V113" s="379"/>
      <c r="W113" s="379"/>
      <c r="X113" s="379"/>
      <c r="Y113" s="379"/>
      <c r="Z113" s="379"/>
      <c r="AA113" s="379"/>
      <c r="AB113" s="379"/>
      <c r="AC113" s="379"/>
      <c r="AD113" s="379"/>
      <c r="AE113" s="379"/>
      <c r="AF113" s="379"/>
      <c r="AG113" s="385">
        <f>ROUND(SUM(AG114:AG116),2)</f>
        <v>3276105.8</v>
      </c>
      <c r="AH113" s="384"/>
      <c r="AI113" s="384"/>
      <c r="AJ113" s="384"/>
      <c r="AK113" s="384"/>
      <c r="AL113" s="384"/>
      <c r="AM113" s="384"/>
      <c r="AN113" s="383">
        <f t="shared" si="0"/>
        <v>3964088.0199999996</v>
      </c>
      <c r="AO113" s="384"/>
      <c r="AP113" s="384"/>
      <c r="AQ113" s="261">
        <f>AQ114+AQ115+AQ116</f>
        <v>0</v>
      </c>
      <c r="AR113" s="261">
        <f t="shared" ref="AR113:AS113" si="8">AR114+AR115+AR116</f>
        <v>0</v>
      </c>
      <c r="AS113" s="261">
        <f t="shared" si="8"/>
        <v>3276105.8000000003</v>
      </c>
      <c r="AT113" s="8"/>
      <c r="AU113" s="8"/>
      <c r="AV113" s="8"/>
      <c r="AW113" s="8"/>
      <c r="AX113" s="249" t="s">
        <v>86</v>
      </c>
      <c r="AZ113" s="70">
        <f>ROUND(SUM(AZ114:AZ116),2)</f>
        <v>0</v>
      </c>
      <c r="BA113" s="71">
        <f t="shared" si="1"/>
        <v>687982.22</v>
      </c>
      <c r="BB113" s="72">
        <f>ROUND(SUM(BB114:BB116),5)</f>
        <v>0</v>
      </c>
      <c r="BC113" s="71">
        <f>ROUND(BG113*L29,2)</f>
        <v>687982.22</v>
      </c>
      <c r="BD113" s="71">
        <f>ROUND(BH113*L30,2)</f>
        <v>0</v>
      </c>
      <c r="BE113" s="71">
        <f>ROUND(BI113*L29,2)</f>
        <v>0</v>
      </c>
      <c r="BF113" s="71">
        <f>ROUND(BJ113*L30,2)</f>
        <v>0</v>
      </c>
      <c r="BG113" s="71">
        <f>ROUND(SUM(BG114:BG116),2)</f>
        <v>3276105.8</v>
      </c>
      <c r="BH113" s="71">
        <f>ROUND(SUM(BH114:BH116),2)</f>
        <v>0</v>
      </c>
      <c r="BI113" s="71">
        <f>ROUND(SUM(BI114:BI116),2)</f>
        <v>0</v>
      </c>
      <c r="BJ113" s="71">
        <f>ROUND(SUM(BJ114:BJ116),2)</f>
        <v>0</v>
      </c>
      <c r="BK113" s="73">
        <f>ROUND(SUM(BK114:BK116),2)</f>
        <v>0</v>
      </c>
      <c r="BZ113" s="24" t="s">
        <v>73</v>
      </c>
      <c r="CA113" s="24" t="s">
        <v>83</v>
      </c>
      <c r="CB113" s="24" t="s">
        <v>75</v>
      </c>
      <c r="CC113" s="24" t="s">
        <v>76</v>
      </c>
      <c r="CD113" s="24" t="s">
        <v>152</v>
      </c>
      <c r="CE113" s="24" t="s">
        <v>82</v>
      </c>
      <c r="CS113" s="24" t="s">
        <v>1</v>
      </c>
    </row>
    <row r="114" spans="1:97" s="3" customFormat="1" ht="23.25" customHeight="1" x14ac:dyDescent="0.2">
      <c r="A114" s="74" t="s">
        <v>92</v>
      </c>
      <c r="B114" s="47"/>
      <c r="C114" s="8"/>
      <c r="D114" s="8"/>
      <c r="E114" s="8"/>
      <c r="F114" s="378" t="s">
        <v>88</v>
      </c>
      <c r="G114" s="378"/>
      <c r="H114" s="378"/>
      <c r="I114" s="378"/>
      <c r="J114" s="378"/>
      <c r="K114" s="8"/>
      <c r="L114" s="378" t="s">
        <v>153</v>
      </c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81">
        <f>'0001 - DSO 02.1 Čerpací s...'!J34</f>
        <v>3165933.02</v>
      </c>
      <c r="AH114" s="382"/>
      <c r="AI114" s="382"/>
      <c r="AJ114" s="382"/>
      <c r="AK114" s="382"/>
      <c r="AL114" s="382"/>
      <c r="AM114" s="382"/>
      <c r="AN114" s="381">
        <f t="shared" si="0"/>
        <v>3830778.95</v>
      </c>
      <c r="AO114" s="382"/>
      <c r="AP114" s="382"/>
      <c r="AQ114" s="262">
        <f>'0001 - DSO 02.1 Čerpací s...'!M124</f>
        <v>0</v>
      </c>
      <c r="AR114" s="262">
        <f>'0001 - DSO 02.1 Čerpací s...'!O124</f>
        <v>0</v>
      </c>
      <c r="AS114" s="262">
        <f>'0001 - DSO 02.1 Čerpací s...'!Q124</f>
        <v>3165933.0200000005</v>
      </c>
      <c r="AT114" s="8"/>
      <c r="AU114" s="8"/>
      <c r="AV114" s="8"/>
      <c r="AW114" s="8"/>
      <c r="AX114" s="249"/>
      <c r="AZ114" s="70">
        <v>0</v>
      </c>
      <c r="BA114" s="71">
        <f t="shared" si="1"/>
        <v>664845.93000000005</v>
      </c>
      <c r="BB114" s="72">
        <f>'0001 - DSO 02.1 Čerpací s...'!DI122</f>
        <v>0</v>
      </c>
      <c r="BC114" s="71">
        <f>'0001 - DSO 02.1 Čerpací s...'!J37</f>
        <v>664845.93000000005</v>
      </c>
      <c r="BD114" s="71">
        <f>'0001 - DSO 02.1 Čerpací s...'!J38</f>
        <v>0</v>
      </c>
      <c r="BE114" s="71">
        <f>'0001 - DSO 02.1 Čerpací s...'!J39</f>
        <v>0</v>
      </c>
      <c r="BF114" s="71">
        <f>'0001 - DSO 02.1 Čerpací s...'!J40</f>
        <v>0</v>
      </c>
      <c r="BG114" s="71">
        <f>'0001 - DSO 02.1 Čerpací s...'!F37</f>
        <v>3165933.02</v>
      </c>
      <c r="BH114" s="71">
        <f>'0001 - DSO 02.1 Čerpací s...'!F38</f>
        <v>0</v>
      </c>
      <c r="BI114" s="71">
        <f>'0001 - DSO 02.1 Čerpací s...'!F39</f>
        <v>0</v>
      </c>
      <c r="BJ114" s="71">
        <f>'0001 - DSO 02.1 Čerpací s...'!F40</f>
        <v>0</v>
      </c>
      <c r="BK114" s="73">
        <f>'0001 - DSO 02.1 Čerpací s...'!F41</f>
        <v>0</v>
      </c>
      <c r="CA114" s="24" t="s">
        <v>90</v>
      </c>
      <c r="CC114" s="24" t="s">
        <v>76</v>
      </c>
      <c r="CD114" s="24" t="s">
        <v>154</v>
      </c>
      <c r="CE114" s="24" t="s">
        <v>152</v>
      </c>
      <c r="CS114" s="24" t="s">
        <v>1</v>
      </c>
    </row>
    <row r="115" spans="1:97" s="3" customFormat="1" ht="35.25" customHeight="1" x14ac:dyDescent="0.2">
      <c r="A115" s="74" t="s">
        <v>92</v>
      </c>
      <c r="B115" s="47"/>
      <c r="C115" s="8"/>
      <c r="D115" s="8"/>
      <c r="E115" s="8"/>
      <c r="F115" s="378" t="s">
        <v>115</v>
      </c>
      <c r="G115" s="378"/>
      <c r="H115" s="378"/>
      <c r="I115" s="378"/>
      <c r="J115" s="378"/>
      <c r="K115" s="8"/>
      <c r="L115" s="378" t="s">
        <v>155</v>
      </c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81">
        <f>'0002 - DSO 02.2 Čerpací s...'!J34</f>
        <v>0</v>
      </c>
      <c r="AH115" s="382"/>
      <c r="AI115" s="382"/>
      <c r="AJ115" s="382"/>
      <c r="AK115" s="382"/>
      <c r="AL115" s="382"/>
      <c r="AM115" s="382"/>
      <c r="AN115" s="381">
        <f t="shared" si="0"/>
        <v>0</v>
      </c>
      <c r="AO115" s="382"/>
      <c r="AP115" s="382"/>
      <c r="AQ115" s="262">
        <v>0</v>
      </c>
      <c r="AR115" s="262">
        <v>0</v>
      </c>
      <c r="AS115" s="262">
        <v>0</v>
      </c>
      <c r="AT115" s="8"/>
      <c r="AU115" s="8"/>
      <c r="AV115" s="8"/>
      <c r="AW115" s="8"/>
      <c r="AX115" s="249"/>
      <c r="AZ115" s="70">
        <v>0</v>
      </c>
      <c r="BA115" s="71">
        <f t="shared" si="1"/>
        <v>0</v>
      </c>
      <c r="BB115" s="72">
        <f>'0002 - DSO 02.2 Čerpací s...'!P126</f>
        <v>0</v>
      </c>
      <c r="BC115" s="71">
        <f>'0002 - DSO 02.2 Čerpací s...'!J37</f>
        <v>0</v>
      </c>
      <c r="BD115" s="71">
        <f>'0002 - DSO 02.2 Čerpací s...'!J38</f>
        <v>0</v>
      </c>
      <c r="BE115" s="71">
        <f>'0002 - DSO 02.2 Čerpací s...'!J39</f>
        <v>0</v>
      </c>
      <c r="BF115" s="71">
        <f>'0002 - DSO 02.2 Čerpací s...'!J40</f>
        <v>0</v>
      </c>
      <c r="BG115" s="71">
        <f>'0002 - DSO 02.2 Čerpací s...'!F37</f>
        <v>0</v>
      </c>
      <c r="BH115" s="71">
        <f>'0002 - DSO 02.2 Čerpací s...'!F38</f>
        <v>0</v>
      </c>
      <c r="BI115" s="71">
        <f>'0002 - DSO 02.2 Čerpací s...'!F39</f>
        <v>0</v>
      </c>
      <c r="BJ115" s="71">
        <f>'0002 - DSO 02.2 Čerpací s...'!F40</f>
        <v>0</v>
      </c>
      <c r="BK115" s="73">
        <f>'0002 - DSO 02.2 Čerpací s...'!F41</f>
        <v>0</v>
      </c>
      <c r="CA115" s="24" t="s">
        <v>90</v>
      </c>
      <c r="CC115" s="24" t="s">
        <v>76</v>
      </c>
      <c r="CD115" s="24" t="s">
        <v>156</v>
      </c>
      <c r="CE115" s="24" t="s">
        <v>152</v>
      </c>
      <c r="CS115" s="24" t="s">
        <v>1</v>
      </c>
    </row>
    <row r="116" spans="1:97" s="3" customFormat="1" ht="23.25" customHeight="1" x14ac:dyDescent="0.2">
      <c r="A116" s="74" t="s">
        <v>92</v>
      </c>
      <c r="B116" s="47"/>
      <c r="C116" s="8"/>
      <c r="D116" s="8"/>
      <c r="E116" s="8"/>
      <c r="F116" s="378" t="s">
        <v>157</v>
      </c>
      <c r="G116" s="378"/>
      <c r="H116" s="378"/>
      <c r="I116" s="378"/>
      <c r="J116" s="378"/>
      <c r="K116" s="8"/>
      <c r="L116" s="378" t="s">
        <v>158</v>
      </c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81">
        <f>'0003 - DSO 02.3 Čerpací s...'!J34</f>
        <v>110172.78</v>
      </c>
      <c r="AH116" s="382"/>
      <c r="AI116" s="382"/>
      <c r="AJ116" s="382"/>
      <c r="AK116" s="382"/>
      <c r="AL116" s="382"/>
      <c r="AM116" s="382"/>
      <c r="AN116" s="381">
        <f t="shared" si="0"/>
        <v>133309.06</v>
      </c>
      <c r="AO116" s="382"/>
      <c r="AP116" s="382"/>
      <c r="AQ116" s="262">
        <v>0</v>
      </c>
      <c r="AR116" s="262">
        <v>0</v>
      </c>
      <c r="AS116" s="262">
        <v>110172.78</v>
      </c>
      <c r="AT116" s="8"/>
      <c r="AU116" s="8"/>
      <c r="AV116" s="8"/>
      <c r="AW116" s="8"/>
      <c r="AX116" s="249"/>
      <c r="AZ116" s="70">
        <v>0</v>
      </c>
      <c r="BA116" s="71">
        <f t="shared" si="1"/>
        <v>23136.28</v>
      </c>
      <c r="BB116" s="72">
        <f>'0003 - DSO 02.3 Čerpací s...'!P129</f>
        <v>0</v>
      </c>
      <c r="BC116" s="71">
        <f>'0003 - DSO 02.3 Čerpací s...'!J37</f>
        <v>23136.28</v>
      </c>
      <c r="BD116" s="71">
        <f>'0003 - DSO 02.3 Čerpací s...'!J38</f>
        <v>0</v>
      </c>
      <c r="BE116" s="71">
        <f>'0003 - DSO 02.3 Čerpací s...'!J39</f>
        <v>0</v>
      </c>
      <c r="BF116" s="71">
        <f>'0003 - DSO 02.3 Čerpací s...'!J40</f>
        <v>0</v>
      </c>
      <c r="BG116" s="71">
        <f>'0003 - DSO 02.3 Čerpací s...'!F37</f>
        <v>110172.78</v>
      </c>
      <c r="BH116" s="71">
        <f>'0003 - DSO 02.3 Čerpací s...'!F38</f>
        <v>0</v>
      </c>
      <c r="BI116" s="71">
        <f>'0003 - DSO 02.3 Čerpací s...'!F39</f>
        <v>0</v>
      </c>
      <c r="BJ116" s="71">
        <f>'0003 - DSO 02.3 Čerpací s...'!F40</f>
        <v>0</v>
      </c>
      <c r="BK116" s="73">
        <f>'0003 - DSO 02.3 Čerpací s...'!F41</f>
        <v>0</v>
      </c>
      <c r="CA116" s="24" t="s">
        <v>90</v>
      </c>
      <c r="CC116" s="24" t="s">
        <v>76</v>
      </c>
      <c r="CD116" s="24" t="s">
        <v>159</v>
      </c>
      <c r="CE116" s="24" t="s">
        <v>152</v>
      </c>
      <c r="CS116" s="24" t="s">
        <v>1</v>
      </c>
    </row>
    <row r="117" spans="1:97" s="3" customFormat="1" ht="16.5" customHeight="1" x14ac:dyDescent="0.2">
      <c r="B117" s="251"/>
      <c r="C117" s="252"/>
      <c r="D117" s="252"/>
      <c r="E117" s="379" t="s">
        <v>160</v>
      </c>
      <c r="F117" s="379"/>
      <c r="G117" s="379"/>
      <c r="H117" s="379"/>
      <c r="I117" s="379"/>
      <c r="J117" s="252"/>
      <c r="K117" s="379" t="s">
        <v>161</v>
      </c>
      <c r="L117" s="379"/>
      <c r="M117" s="379"/>
      <c r="N117" s="379"/>
      <c r="O117" s="379"/>
      <c r="P117" s="379"/>
      <c r="Q117" s="379"/>
      <c r="R117" s="379"/>
      <c r="S117" s="379"/>
      <c r="T117" s="379"/>
      <c r="U117" s="379"/>
      <c r="V117" s="379"/>
      <c r="W117" s="379"/>
      <c r="X117" s="379"/>
      <c r="Y117" s="379"/>
      <c r="Z117" s="379"/>
      <c r="AA117" s="379"/>
      <c r="AB117" s="379"/>
      <c r="AC117" s="379"/>
      <c r="AD117" s="379"/>
      <c r="AE117" s="379"/>
      <c r="AF117" s="379"/>
      <c r="AG117" s="385">
        <f>ROUND(SUM(AG118:AG120),2)</f>
        <v>3000765.83</v>
      </c>
      <c r="AH117" s="384"/>
      <c r="AI117" s="384"/>
      <c r="AJ117" s="384"/>
      <c r="AK117" s="384"/>
      <c r="AL117" s="384"/>
      <c r="AM117" s="384"/>
      <c r="AN117" s="383">
        <f t="shared" si="0"/>
        <v>3630926.65</v>
      </c>
      <c r="AO117" s="384"/>
      <c r="AP117" s="384"/>
      <c r="AQ117" s="261">
        <f>AQ118+AQ119+AQ120</f>
        <v>0</v>
      </c>
      <c r="AR117" s="261">
        <f t="shared" ref="AR117:AS117" si="9">AR118+AR119+AR120</f>
        <v>0</v>
      </c>
      <c r="AS117" s="261">
        <f t="shared" si="9"/>
        <v>3000765.8299999996</v>
      </c>
      <c r="AT117" s="8"/>
      <c r="AU117" s="8"/>
      <c r="AV117" s="8"/>
      <c r="AW117" s="8"/>
      <c r="AX117" s="249" t="s">
        <v>86</v>
      </c>
      <c r="AZ117" s="70">
        <f>ROUND(SUM(AZ118:AZ120),2)</f>
        <v>0</v>
      </c>
      <c r="BA117" s="71">
        <f t="shared" si="1"/>
        <v>630160.81999999995</v>
      </c>
      <c r="BB117" s="72">
        <f>ROUND(SUM(BB118:BB120),5)</f>
        <v>0</v>
      </c>
      <c r="BC117" s="71">
        <f>ROUND(BG117*L29,2)</f>
        <v>630160.81999999995</v>
      </c>
      <c r="BD117" s="71">
        <f>ROUND(BH117*L30,2)</f>
        <v>0</v>
      </c>
      <c r="BE117" s="71">
        <f>ROUND(BI117*L29,2)</f>
        <v>0</v>
      </c>
      <c r="BF117" s="71">
        <f>ROUND(BJ117*L30,2)</f>
        <v>0</v>
      </c>
      <c r="BG117" s="71">
        <f>ROUND(SUM(BG118:BG120),2)</f>
        <v>3000765.83</v>
      </c>
      <c r="BH117" s="71">
        <f>ROUND(SUM(BH118:BH120),2)</f>
        <v>0</v>
      </c>
      <c r="BI117" s="71">
        <f>ROUND(SUM(BI118:BI120),2)</f>
        <v>0</v>
      </c>
      <c r="BJ117" s="71">
        <f>ROUND(SUM(BJ118:BJ120),2)</f>
        <v>0</v>
      </c>
      <c r="BK117" s="73">
        <f>ROUND(SUM(BK118:BK120),2)</f>
        <v>0</v>
      </c>
      <c r="BZ117" s="24" t="s">
        <v>73</v>
      </c>
      <c r="CA117" s="24" t="s">
        <v>83</v>
      </c>
      <c r="CB117" s="24" t="s">
        <v>75</v>
      </c>
      <c r="CC117" s="24" t="s">
        <v>76</v>
      </c>
      <c r="CD117" s="24" t="s">
        <v>162</v>
      </c>
      <c r="CE117" s="24" t="s">
        <v>82</v>
      </c>
      <c r="CS117" s="24" t="s">
        <v>1</v>
      </c>
    </row>
    <row r="118" spans="1:97" s="3" customFormat="1" ht="23.25" customHeight="1" x14ac:dyDescent="0.2">
      <c r="A118" s="74" t="s">
        <v>92</v>
      </c>
      <c r="B118" s="47"/>
      <c r="C118" s="8"/>
      <c r="D118" s="8"/>
      <c r="E118" s="8"/>
      <c r="F118" s="378" t="s">
        <v>88</v>
      </c>
      <c r="G118" s="378"/>
      <c r="H118" s="378"/>
      <c r="I118" s="378"/>
      <c r="J118" s="378"/>
      <c r="K118" s="8"/>
      <c r="L118" s="378" t="s">
        <v>163</v>
      </c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81">
        <f>'0001 - DSO 05.1 Čerpací s...'!J34</f>
        <v>2935896.72</v>
      </c>
      <c r="AH118" s="382"/>
      <c r="AI118" s="382"/>
      <c r="AJ118" s="382"/>
      <c r="AK118" s="382"/>
      <c r="AL118" s="382"/>
      <c r="AM118" s="382"/>
      <c r="AN118" s="381">
        <f t="shared" ref="AN118:AN150" si="10">SUM(AG118,BA118)</f>
        <v>3552435.0300000003</v>
      </c>
      <c r="AO118" s="382"/>
      <c r="AP118" s="382"/>
      <c r="AQ118" s="262">
        <f>'0001 - DSO 05.1 Čerpací s...'!M124</f>
        <v>0</v>
      </c>
      <c r="AR118" s="262">
        <f>'0001 - DSO 05.1 Čerpací s...'!O124</f>
        <v>0</v>
      </c>
      <c r="AS118" s="262">
        <f>'0001 - DSO 05.1 Čerpací s...'!Q124</f>
        <v>2935896.7199999997</v>
      </c>
      <c r="AT118" s="8"/>
      <c r="AU118" s="8"/>
      <c r="AV118" s="8"/>
      <c r="AW118" s="8"/>
      <c r="AX118" s="249"/>
      <c r="AZ118" s="70">
        <v>0</v>
      </c>
      <c r="BA118" s="71">
        <f t="shared" ref="BA118:BA150" si="11">ROUND(SUM(BC118:BD118),2)</f>
        <v>616538.31000000006</v>
      </c>
      <c r="BB118" s="72">
        <f>'0001 - DSO 05.1 Čerpací s...'!CQ122</f>
        <v>0</v>
      </c>
      <c r="BC118" s="71">
        <f>'0001 - DSO 05.1 Čerpací s...'!J37</f>
        <v>616538.31000000006</v>
      </c>
      <c r="BD118" s="71">
        <f>'0001 - DSO 05.1 Čerpací s...'!J38</f>
        <v>0</v>
      </c>
      <c r="BE118" s="71">
        <f>'0001 - DSO 05.1 Čerpací s...'!J39</f>
        <v>0</v>
      </c>
      <c r="BF118" s="71">
        <f>'0001 - DSO 05.1 Čerpací s...'!J40</f>
        <v>0</v>
      </c>
      <c r="BG118" s="71">
        <f>'0001 - DSO 05.1 Čerpací s...'!F37</f>
        <v>2935896.72</v>
      </c>
      <c r="BH118" s="71">
        <f>'0001 - DSO 05.1 Čerpací s...'!F38</f>
        <v>0</v>
      </c>
      <c r="BI118" s="71">
        <f>'0001 - DSO 05.1 Čerpací s...'!F39</f>
        <v>0</v>
      </c>
      <c r="BJ118" s="71">
        <f>'0001 - DSO 05.1 Čerpací s...'!F40</f>
        <v>0</v>
      </c>
      <c r="BK118" s="73">
        <f>'0001 - DSO 05.1 Čerpací s...'!F41</f>
        <v>0</v>
      </c>
      <c r="CA118" s="24" t="s">
        <v>90</v>
      </c>
      <c r="CC118" s="24" t="s">
        <v>76</v>
      </c>
      <c r="CD118" s="24" t="s">
        <v>164</v>
      </c>
      <c r="CE118" s="24" t="s">
        <v>162</v>
      </c>
      <c r="CS118" s="24" t="s">
        <v>1</v>
      </c>
    </row>
    <row r="119" spans="1:97" s="3" customFormat="1" ht="35.25" customHeight="1" x14ac:dyDescent="0.2">
      <c r="A119" s="74" t="s">
        <v>92</v>
      </c>
      <c r="B119" s="47"/>
      <c r="C119" s="8"/>
      <c r="D119" s="8"/>
      <c r="E119" s="8"/>
      <c r="F119" s="378" t="s">
        <v>115</v>
      </c>
      <c r="G119" s="378"/>
      <c r="H119" s="378"/>
      <c r="I119" s="378"/>
      <c r="J119" s="378"/>
      <c r="K119" s="8"/>
      <c r="L119" s="378" t="s">
        <v>165</v>
      </c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81">
        <f>'0002 - DSO 05.2 Čerpací s...'!J34</f>
        <v>0</v>
      </c>
      <c r="AH119" s="382"/>
      <c r="AI119" s="382"/>
      <c r="AJ119" s="382"/>
      <c r="AK119" s="382"/>
      <c r="AL119" s="382"/>
      <c r="AM119" s="382"/>
      <c r="AN119" s="381">
        <f t="shared" si="10"/>
        <v>0</v>
      </c>
      <c r="AO119" s="382"/>
      <c r="AP119" s="382"/>
      <c r="AQ119" s="262">
        <v>0</v>
      </c>
      <c r="AR119" s="262">
        <v>0</v>
      </c>
      <c r="AS119" s="262">
        <v>0</v>
      </c>
      <c r="AT119" s="8"/>
      <c r="AU119" s="8"/>
      <c r="AV119" s="8"/>
      <c r="AW119" s="8"/>
      <c r="AX119" s="249"/>
      <c r="AZ119" s="70">
        <v>0</v>
      </c>
      <c r="BA119" s="71">
        <f t="shared" si="11"/>
        <v>0</v>
      </c>
      <c r="BB119" s="72">
        <f>'0002 - DSO 05.2 Čerpací s...'!P126</f>
        <v>0</v>
      </c>
      <c r="BC119" s="71">
        <f>'0002 - DSO 05.2 Čerpací s...'!J37</f>
        <v>0</v>
      </c>
      <c r="BD119" s="71">
        <f>'0002 - DSO 05.2 Čerpací s...'!J38</f>
        <v>0</v>
      </c>
      <c r="BE119" s="71">
        <f>'0002 - DSO 05.2 Čerpací s...'!J39</f>
        <v>0</v>
      </c>
      <c r="BF119" s="71">
        <f>'0002 - DSO 05.2 Čerpací s...'!J40</f>
        <v>0</v>
      </c>
      <c r="BG119" s="71">
        <f>'0002 - DSO 05.2 Čerpací s...'!F37</f>
        <v>0</v>
      </c>
      <c r="BH119" s="71">
        <f>'0002 - DSO 05.2 Čerpací s...'!F38</f>
        <v>0</v>
      </c>
      <c r="BI119" s="71">
        <f>'0002 - DSO 05.2 Čerpací s...'!F39</f>
        <v>0</v>
      </c>
      <c r="BJ119" s="71">
        <f>'0002 - DSO 05.2 Čerpací s...'!F40</f>
        <v>0</v>
      </c>
      <c r="BK119" s="73">
        <f>'0002 - DSO 05.2 Čerpací s...'!F41</f>
        <v>0</v>
      </c>
      <c r="CA119" s="24" t="s">
        <v>90</v>
      </c>
      <c r="CC119" s="24" t="s">
        <v>76</v>
      </c>
      <c r="CD119" s="24" t="s">
        <v>166</v>
      </c>
      <c r="CE119" s="24" t="s">
        <v>162</v>
      </c>
      <c r="CS119" s="24" t="s">
        <v>1</v>
      </c>
    </row>
    <row r="120" spans="1:97" s="3" customFormat="1" ht="23.25" customHeight="1" x14ac:dyDescent="0.2">
      <c r="A120" s="74" t="s">
        <v>92</v>
      </c>
      <c r="B120" s="47"/>
      <c r="C120" s="8"/>
      <c r="D120" s="8"/>
      <c r="E120" s="8"/>
      <c r="F120" s="378" t="s">
        <v>157</v>
      </c>
      <c r="G120" s="378"/>
      <c r="H120" s="378"/>
      <c r="I120" s="378"/>
      <c r="J120" s="378"/>
      <c r="K120" s="8"/>
      <c r="L120" s="378" t="s">
        <v>167</v>
      </c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81">
        <f>'0003 - DSO 05.3 Čerpací s...'!J34</f>
        <v>64869.11</v>
      </c>
      <c r="AH120" s="382"/>
      <c r="AI120" s="382"/>
      <c r="AJ120" s="382"/>
      <c r="AK120" s="382"/>
      <c r="AL120" s="382"/>
      <c r="AM120" s="382"/>
      <c r="AN120" s="381">
        <f t="shared" si="10"/>
        <v>78491.62</v>
      </c>
      <c r="AO120" s="382"/>
      <c r="AP120" s="382"/>
      <c r="AQ120" s="262">
        <f>'0003 - DSO 05.3 Čerpací s...'!M121</f>
        <v>0</v>
      </c>
      <c r="AR120" s="262">
        <f>'0003 - DSO 05.3 Čerpací s...'!O121</f>
        <v>0</v>
      </c>
      <c r="AS120" s="262">
        <f>'0003 - DSO 05.3 Čerpací s...'!Q121</f>
        <v>64869.11</v>
      </c>
      <c r="AT120" s="8"/>
      <c r="AU120" s="8"/>
      <c r="AV120" s="8"/>
      <c r="AW120" s="8"/>
      <c r="AX120" s="249"/>
      <c r="AZ120" s="70">
        <v>0</v>
      </c>
      <c r="BA120" s="71">
        <f t="shared" si="11"/>
        <v>13622.51</v>
      </c>
      <c r="BB120" s="72">
        <f>'0003 - DSO 05.3 Čerpací s...'!CA119</f>
        <v>0</v>
      </c>
      <c r="BC120" s="71">
        <f>'0003 - DSO 05.3 Čerpací s...'!J37</f>
        <v>13622.51</v>
      </c>
      <c r="BD120" s="71">
        <f>'0003 - DSO 05.3 Čerpací s...'!J38</f>
        <v>0</v>
      </c>
      <c r="BE120" s="71">
        <f>'0003 - DSO 05.3 Čerpací s...'!J39</f>
        <v>0</v>
      </c>
      <c r="BF120" s="71">
        <f>'0003 - DSO 05.3 Čerpací s...'!J40</f>
        <v>0</v>
      </c>
      <c r="BG120" s="71">
        <f>'0003 - DSO 05.3 Čerpací s...'!F37</f>
        <v>64869.11</v>
      </c>
      <c r="BH120" s="71">
        <f>'0003 - DSO 05.3 Čerpací s...'!F38</f>
        <v>0</v>
      </c>
      <c r="BI120" s="71">
        <f>'0003 - DSO 05.3 Čerpací s...'!F39</f>
        <v>0</v>
      </c>
      <c r="BJ120" s="71">
        <f>'0003 - DSO 05.3 Čerpací s...'!F40</f>
        <v>0</v>
      </c>
      <c r="BK120" s="73">
        <f>'0003 - DSO 05.3 Čerpací s...'!F41</f>
        <v>0</v>
      </c>
      <c r="CA120" s="24" t="s">
        <v>90</v>
      </c>
      <c r="CC120" s="24" t="s">
        <v>76</v>
      </c>
      <c r="CD120" s="24" t="s">
        <v>168</v>
      </c>
      <c r="CE120" s="24" t="s">
        <v>162</v>
      </c>
      <c r="CS120" s="24" t="s">
        <v>1</v>
      </c>
    </row>
    <row r="121" spans="1:97" s="3" customFormat="1" ht="16.5" customHeight="1" x14ac:dyDescent="0.2">
      <c r="B121" s="251"/>
      <c r="C121" s="252"/>
      <c r="D121" s="252"/>
      <c r="E121" s="379" t="s">
        <v>169</v>
      </c>
      <c r="F121" s="379"/>
      <c r="G121" s="379"/>
      <c r="H121" s="379"/>
      <c r="I121" s="379"/>
      <c r="J121" s="252"/>
      <c r="K121" s="379" t="s">
        <v>170</v>
      </c>
      <c r="L121" s="379"/>
      <c r="M121" s="379"/>
      <c r="N121" s="379"/>
      <c r="O121" s="379"/>
      <c r="P121" s="379"/>
      <c r="Q121" s="379"/>
      <c r="R121" s="379"/>
      <c r="S121" s="379"/>
      <c r="T121" s="379"/>
      <c r="U121" s="379"/>
      <c r="V121" s="379"/>
      <c r="W121" s="379"/>
      <c r="X121" s="379"/>
      <c r="Y121" s="379"/>
      <c r="Z121" s="379"/>
      <c r="AA121" s="379"/>
      <c r="AB121" s="379"/>
      <c r="AC121" s="379"/>
      <c r="AD121" s="379"/>
      <c r="AE121" s="379"/>
      <c r="AF121" s="379"/>
      <c r="AG121" s="385">
        <f>ROUND(SUM(AG122:AG124),2)</f>
        <v>2982416.88</v>
      </c>
      <c r="AH121" s="384"/>
      <c r="AI121" s="384"/>
      <c r="AJ121" s="384"/>
      <c r="AK121" s="384"/>
      <c r="AL121" s="384"/>
      <c r="AM121" s="384"/>
      <c r="AN121" s="383">
        <f t="shared" si="10"/>
        <v>3608724.42</v>
      </c>
      <c r="AO121" s="384"/>
      <c r="AP121" s="384"/>
      <c r="AQ121" s="261">
        <f>AQ122+AQ123+AQ124</f>
        <v>0</v>
      </c>
      <c r="AR121" s="261">
        <f t="shared" ref="AR121:AS121" si="12">AR122+AR123+AR124</f>
        <v>0</v>
      </c>
      <c r="AS121" s="261">
        <f t="shared" si="12"/>
        <v>2982416.8800000004</v>
      </c>
      <c r="AT121" s="8"/>
      <c r="AU121" s="8"/>
      <c r="AV121" s="8"/>
      <c r="AW121" s="8"/>
      <c r="AX121" s="249" t="s">
        <v>86</v>
      </c>
      <c r="AZ121" s="70">
        <f>ROUND(SUM(AZ122:AZ124),2)</f>
        <v>0</v>
      </c>
      <c r="BA121" s="71">
        <f t="shared" si="11"/>
        <v>626307.54</v>
      </c>
      <c r="BB121" s="72">
        <f>ROUND(SUM(BB122:BB124),5)</f>
        <v>0</v>
      </c>
      <c r="BC121" s="71">
        <f>ROUND(BG121*L29,2)</f>
        <v>626307.54</v>
      </c>
      <c r="BD121" s="71">
        <f>ROUND(BH121*L30,2)</f>
        <v>0</v>
      </c>
      <c r="BE121" s="71">
        <f>ROUND(BI121*L29,2)</f>
        <v>0</v>
      </c>
      <c r="BF121" s="71">
        <f>ROUND(BJ121*L30,2)</f>
        <v>0</v>
      </c>
      <c r="BG121" s="71">
        <f>ROUND(SUM(BG122:BG124),2)</f>
        <v>2982416.88</v>
      </c>
      <c r="BH121" s="71">
        <f>ROUND(SUM(BH122:BH124),2)</f>
        <v>0</v>
      </c>
      <c r="BI121" s="71">
        <f>ROUND(SUM(BI122:BI124),2)</f>
        <v>0</v>
      </c>
      <c r="BJ121" s="71">
        <f>ROUND(SUM(BJ122:BJ124),2)</f>
        <v>0</v>
      </c>
      <c r="BK121" s="73">
        <f>ROUND(SUM(BK122:BK124),2)</f>
        <v>0</v>
      </c>
      <c r="BZ121" s="24" t="s">
        <v>73</v>
      </c>
      <c r="CA121" s="24" t="s">
        <v>83</v>
      </c>
      <c r="CB121" s="24" t="s">
        <v>75</v>
      </c>
      <c r="CC121" s="24" t="s">
        <v>76</v>
      </c>
      <c r="CD121" s="24" t="s">
        <v>171</v>
      </c>
      <c r="CE121" s="24" t="s">
        <v>82</v>
      </c>
      <c r="CS121" s="24" t="s">
        <v>1</v>
      </c>
    </row>
    <row r="122" spans="1:97" s="3" customFormat="1" ht="23.25" customHeight="1" x14ac:dyDescent="0.2">
      <c r="A122" s="74" t="s">
        <v>92</v>
      </c>
      <c r="B122" s="47"/>
      <c r="C122" s="8"/>
      <c r="D122" s="8"/>
      <c r="E122" s="8"/>
      <c r="F122" s="378" t="s">
        <v>88</v>
      </c>
      <c r="G122" s="378"/>
      <c r="H122" s="378"/>
      <c r="I122" s="378"/>
      <c r="J122" s="378"/>
      <c r="K122" s="8"/>
      <c r="L122" s="378" t="s">
        <v>172</v>
      </c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81">
        <f>'0001 - DSO 07.1 Čerpací s...'!J34</f>
        <v>2901856.95</v>
      </c>
      <c r="AH122" s="382"/>
      <c r="AI122" s="382"/>
      <c r="AJ122" s="382"/>
      <c r="AK122" s="382"/>
      <c r="AL122" s="382"/>
      <c r="AM122" s="382"/>
      <c r="AN122" s="381">
        <f t="shared" si="10"/>
        <v>3511246.91</v>
      </c>
      <c r="AO122" s="382"/>
      <c r="AP122" s="382"/>
      <c r="AQ122" s="262">
        <f>'0001 - DSO 07.1 Čerpací s...'!M126</f>
        <v>0</v>
      </c>
      <c r="AR122" s="262">
        <f>'0001 - DSO 07.1 Čerpací s...'!O126</f>
        <v>0</v>
      </c>
      <c r="AS122" s="262">
        <f>'0001 - DSO 07.1 Čerpací s...'!Q126</f>
        <v>2901856.95</v>
      </c>
      <c r="AT122" s="8"/>
      <c r="AU122" s="8"/>
      <c r="AV122" s="8"/>
      <c r="AW122" s="8"/>
      <c r="AX122" s="249"/>
      <c r="AZ122" s="70">
        <v>0</v>
      </c>
      <c r="BA122" s="71">
        <f t="shared" si="11"/>
        <v>609389.96</v>
      </c>
      <c r="BB122" s="72">
        <f>'0001 - DSO 07.1 Čerpací s...'!CQ124</f>
        <v>0</v>
      </c>
      <c r="BC122" s="71">
        <f>'0001 - DSO 07.1 Čerpací s...'!J37</f>
        <v>609389.96</v>
      </c>
      <c r="BD122" s="71">
        <f>'0001 - DSO 07.1 Čerpací s...'!J38</f>
        <v>0</v>
      </c>
      <c r="BE122" s="71">
        <f>'0001 - DSO 07.1 Čerpací s...'!J39</f>
        <v>0</v>
      </c>
      <c r="BF122" s="71">
        <f>'0001 - DSO 07.1 Čerpací s...'!J40</f>
        <v>0</v>
      </c>
      <c r="BG122" s="71">
        <f>'0001 - DSO 07.1 Čerpací s...'!F37</f>
        <v>2901856.95</v>
      </c>
      <c r="BH122" s="71">
        <f>'0001 - DSO 07.1 Čerpací s...'!F38</f>
        <v>0</v>
      </c>
      <c r="BI122" s="71">
        <f>'0001 - DSO 07.1 Čerpací s...'!F39</f>
        <v>0</v>
      </c>
      <c r="BJ122" s="71">
        <f>'0001 - DSO 07.1 Čerpací s...'!F40</f>
        <v>0</v>
      </c>
      <c r="BK122" s="73">
        <f>'0001 - DSO 07.1 Čerpací s...'!F41</f>
        <v>0</v>
      </c>
      <c r="CA122" s="24" t="s">
        <v>90</v>
      </c>
      <c r="CC122" s="24" t="s">
        <v>76</v>
      </c>
      <c r="CD122" s="24" t="s">
        <v>173</v>
      </c>
      <c r="CE122" s="24" t="s">
        <v>171</v>
      </c>
      <c r="CS122" s="24" t="s">
        <v>1</v>
      </c>
    </row>
    <row r="123" spans="1:97" s="3" customFormat="1" ht="35.25" customHeight="1" x14ac:dyDescent="0.2">
      <c r="A123" s="74" t="s">
        <v>92</v>
      </c>
      <c r="B123" s="47"/>
      <c r="C123" s="8"/>
      <c r="D123" s="8"/>
      <c r="E123" s="8"/>
      <c r="F123" s="378" t="s">
        <v>115</v>
      </c>
      <c r="G123" s="378"/>
      <c r="H123" s="378"/>
      <c r="I123" s="378"/>
      <c r="J123" s="378"/>
      <c r="K123" s="8"/>
      <c r="L123" s="378" t="s">
        <v>174</v>
      </c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81">
        <f>'0002 - DSO 07.2 Čerpací s...'!J34</f>
        <v>0</v>
      </c>
      <c r="AH123" s="382"/>
      <c r="AI123" s="382"/>
      <c r="AJ123" s="382"/>
      <c r="AK123" s="382"/>
      <c r="AL123" s="382"/>
      <c r="AM123" s="382"/>
      <c r="AN123" s="381">
        <f t="shared" si="10"/>
        <v>0</v>
      </c>
      <c r="AO123" s="382"/>
      <c r="AP123" s="382"/>
      <c r="AQ123" s="262">
        <v>0</v>
      </c>
      <c r="AR123" s="262">
        <v>0</v>
      </c>
      <c r="AS123" s="262">
        <v>0</v>
      </c>
      <c r="AT123" s="8"/>
      <c r="AU123" s="8"/>
      <c r="AV123" s="8"/>
      <c r="AW123" s="8"/>
      <c r="AX123" s="249"/>
      <c r="AZ123" s="70">
        <v>0</v>
      </c>
      <c r="BA123" s="71">
        <f t="shared" si="11"/>
        <v>0</v>
      </c>
      <c r="BB123" s="72">
        <f>'0002 - DSO 07.2 Čerpací s...'!P126</f>
        <v>0</v>
      </c>
      <c r="BC123" s="71">
        <f>'0002 - DSO 07.2 Čerpací s...'!J37</f>
        <v>0</v>
      </c>
      <c r="BD123" s="71">
        <f>'0002 - DSO 07.2 Čerpací s...'!J38</f>
        <v>0</v>
      </c>
      <c r="BE123" s="71">
        <f>'0002 - DSO 07.2 Čerpací s...'!J39</f>
        <v>0</v>
      </c>
      <c r="BF123" s="71">
        <f>'0002 - DSO 07.2 Čerpací s...'!J40</f>
        <v>0</v>
      </c>
      <c r="BG123" s="71">
        <f>'0002 - DSO 07.2 Čerpací s...'!F37</f>
        <v>0</v>
      </c>
      <c r="BH123" s="71">
        <f>'0002 - DSO 07.2 Čerpací s...'!F38</f>
        <v>0</v>
      </c>
      <c r="BI123" s="71">
        <f>'0002 - DSO 07.2 Čerpací s...'!F39</f>
        <v>0</v>
      </c>
      <c r="BJ123" s="71">
        <f>'0002 - DSO 07.2 Čerpací s...'!F40</f>
        <v>0</v>
      </c>
      <c r="BK123" s="73">
        <f>'0002 - DSO 07.2 Čerpací s...'!F41</f>
        <v>0</v>
      </c>
      <c r="CA123" s="24" t="s">
        <v>90</v>
      </c>
      <c r="CC123" s="24" t="s">
        <v>76</v>
      </c>
      <c r="CD123" s="24" t="s">
        <v>175</v>
      </c>
      <c r="CE123" s="24" t="s">
        <v>171</v>
      </c>
      <c r="CS123" s="24" t="s">
        <v>1</v>
      </c>
    </row>
    <row r="124" spans="1:97" s="3" customFormat="1" ht="23.25" customHeight="1" x14ac:dyDescent="0.2">
      <c r="A124" s="74" t="s">
        <v>92</v>
      </c>
      <c r="B124" s="47"/>
      <c r="C124" s="8"/>
      <c r="D124" s="8"/>
      <c r="E124" s="8"/>
      <c r="F124" s="378" t="s">
        <v>157</v>
      </c>
      <c r="G124" s="378"/>
      <c r="H124" s="378"/>
      <c r="I124" s="378"/>
      <c r="J124" s="378"/>
      <c r="K124" s="8"/>
      <c r="L124" s="378" t="s">
        <v>176</v>
      </c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81">
        <f>'0003 - DSO 07.3 Čerpací s...'!J34</f>
        <v>80559.929999999993</v>
      </c>
      <c r="AH124" s="382"/>
      <c r="AI124" s="382"/>
      <c r="AJ124" s="382"/>
      <c r="AK124" s="382"/>
      <c r="AL124" s="382"/>
      <c r="AM124" s="382"/>
      <c r="AN124" s="381">
        <f t="shared" si="10"/>
        <v>97477.51999999999</v>
      </c>
      <c r="AO124" s="382"/>
      <c r="AP124" s="382"/>
      <c r="AQ124" s="262">
        <f>'0003 - DSO 07.3 Čerpací s...'!M121</f>
        <v>0</v>
      </c>
      <c r="AR124" s="262">
        <f>'0003 - DSO 07.3 Čerpací s...'!O121</f>
        <v>0</v>
      </c>
      <c r="AS124" s="262">
        <f>'0003 - DSO 07.3 Čerpací s...'!Q121</f>
        <v>80559.929999999993</v>
      </c>
      <c r="AT124" s="8"/>
      <c r="AU124" s="8"/>
      <c r="AV124" s="8"/>
      <c r="AW124" s="8"/>
      <c r="AX124" s="249"/>
      <c r="AZ124" s="70">
        <v>0</v>
      </c>
      <c r="BA124" s="71">
        <f t="shared" si="11"/>
        <v>16917.59</v>
      </c>
      <c r="BB124" s="72">
        <f>'0003 - DSO 07.3 Čerpací s...'!BE119</f>
        <v>0</v>
      </c>
      <c r="BC124" s="71">
        <f>'0003 - DSO 07.3 Čerpací s...'!J37</f>
        <v>16917.59</v>
      </c>
      <c r="BD124" s="71">
        <f>'0003 - DSO 07.3 Čerpací s...'!J38</f>
        <v>0</v>
      </c>
      <c r="BE124" s="71">
        <f>'0003 - DSO 07.3 Čerpací s...'!J39</f>
        <v>0</v>
      </c>
      <c r="BF124" s="71">
        <f>'0003 - DSO 07.3 Čerpací s...'!J40</f>
        <v>0</v>
      </c>
      <c r="BG124" s="71">
        <f>'0003 - DSO 07.3 Čerpací s...'!F37</f>
        <v>80559.929999999993</v>
      </c>
      <c r="BH124" s="71">
        <f>'0003 - DSO 07.3 Čerpací s...'!F38</f>
        <v>0</v>
      </c>
      <c r="BI124" s="71">
        <f>'0003 - DSO 07.3 Čerpací s...'!F39</f>
        <v>0</v>
      </c>
      <c r="BJ124" s="71">
        <f>'0003 - DSO 07.3 Čerpací s...'!F40</f>
        <v>0</v>
      </c>
      <c r="BK124" s="73">
        <f>'0003 - DSO 07.3 Čerpací s...'!F41</f>
        <v>0</v>
      </c>
      <c r="CA124" s="24" t="s">
        <v>90</v>
      </c>
      <c r="CC124" s="24" t="s">
        <v>76</v>
      </c>
      <c r="CD124" s="24" t="s">
        <v>177</v>
      </c>
      <c r="CE124" s="24" t="s">
        <v>171</v>
      </c>
      <c r="CS124" s="24" t="s">
        <v>1</v>
      </c>
    </row>
    <row r="125" spans="1:97" s="3" customFormat="1" ht="16.5" customHeight="1" x14ac:dyDescent="0.2">
      <c r="B125" s="251"/>
      <c r="C125" s="252"/>
      <c r="D125" s="252"/>
      <c r="E125" s="379" t="s">
        <v>178</v>
      </c>
      <c r="F125" s="379"/>
      <c r="G125" s="379"/>
      <c r="H125" s="379"/>
      <c r="I125" s="379"/>
      <c r="J125" s="252"/>
      <c r="K125" s="379" t="s">
        <v>179</v>
      </c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79"/>
      <c r="AG125" s="385">
        <f>ROUND(SUM(AG126:AG128),2)</f>
        <v>3050247.48</v>
      </c>
      <c r="AH125" s="384"/>
      <c r="AI125" s="384"/>
      <c r="AJ125" s="384"/>
      <c r="AK125" s="384"/>
      <c r="AL125" s="384"/>
      <c r="AM125" s="384"/>
      <c r="AN125" s="383">
        <f t="shared" si="10"/>
        <v>3690799.45</v>
      </c>
      <c r="AO125" s="384"/>
      <c r="AP125" s="384"/>
      <c r="AQ125" s="261">
        <f>AQ126+AQ127+AQ128</f>
        <v>0</v>
      </c>
      <c r="AR125" s="261">
        <f t="shared" ref="AR125:AS125" si="13">AR126+AR127+AR128</f>
        <v>0</v>
      </c>
      <c r="AS125" s="261">
        <f t="shared" si="13"/>
        <v>3050247.48</v>
      </c>
      <c r="AT125" s="8"/>
      <c r="AU125" s="8"/>
      <c r="AV125" s="8"/>
      <c r="AW125" s="8"/>
      <c r="AX125" s="249" t="s">
        <v>86</v>
      </c>
      <c r="AZ125" s="70">
        <f>ROUND(SUM(AZ126:AZ128),2)</f>
        <v>0</v>
      </c>
      <c r="BA125" s="71">
        <f t="shared" si="11"/>
        <v>640551.97</v>
      </c>
      <c r="BB125" s="72">
        <f>ROUND(SUM(BB126:BB128),5)</f>
        <v>0</v>
      </c>
      <c r="BC125" s="71">
        <f>ROUND(BG125*L29,2)</f>
        <v>640551.97</v>
      </c>
      <c r="BD125" s="71">
        <f>ROUND(BH125*L30,2)</f>
        <v>0</v>
      </c>
      <c r="BE125" s="71">
        <f>ROUND(BI125*L29,2)</f>
        <v>0</v>
      </c>
      <c r="BF125" s="71">
        <f>ROUND(BJ125*L30,2)</f>
        <v>0</v>
      </c>
      <c r="BG125" s="71">
        <f>ROUND(SUM(BG126:BG128),2)</f>
        <v>3050247.48</v>
      </c>
      <c r="BH125" s="71">
        <f>ROUND(SUM(BH126:BH128),2)</f>
        <v>0</v>
      </c>
      <c r="BI125" s="71">
        <f>ROUND(SUM(BI126:BI128),2)</f>
        <v>0</v>
      </c>
      <c r="BJ125" s="71">
        <f>ROUND(SUM(BJ126:BJ128),2)</f>
        <v>0</v>
      </c>
      <c r="BK125" s="73">
        <f>ROUND(SUM(BK126:BK128),2)</f>
        <v>0</v>
      </c>
      <c r="BZ125" s="24" t="s">
        <v>73</v>
      </c>
      <c r="CA125" s="24" t="s">
        <v>83</v>
      </c>
      <c r="CB125" s="24" t="s">
        <v>75</v>
      </c>
      <c r="CC125" s="24" t="s">
        <v>76</v>
      </c>
      <c r="CD125" s="24" t="s">
        <v>180</v>
      </c>
      <c r="CE125" s="24" t="s">
        <v>82</v>
      </c>
      <c r="CS125" s="24" t="s">
        <v>1</v>
      </c>
    </row>
    <row r="126" spans="1:97" s="3" customFormat="1" ht="23.25" customHeight="1" x14ac:dyDescent="0.2">
      <c r="A126" s="74" t="s">
        <v>92</v>
      </c>
      <c r="B126" s="47"/>
      <c r="C126" s="8"/>
      <c r="D126" s="8"/>
      <c r="E126" s="8"/>
      <c r="F126" s="378" t="s">
        <v>88</v>
      </c>
      <c r="G126" s="378"/>
      <c r="H126" s="378"/>
      <c r="I126" s="378"/>
      <c r="J126" s="378"/>
      <c r="K126" s="8"/>
      <c r="L126" s="378" t="s">
        <v>181</v>
      </c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81">
        <f>'0001 - DSO 09.1 Čerpací s...'!J34</f>
        <v>2943814.55</v>
      </c>
      <c r="AH126" s="382"/>
      <c r="AI126" s="382"/>
      <c r="AJ126" s="382"/>
      <c r="AK126" s="382"/>
      <c r="AL126" s="382"/>
      <c r="AM126" s="382"/>
      <c r="AN126" s="381">
        <f t="shared" si="10"/>
        <v>3562015.61</v>
      </c>
      <c r="AO126" s="382"/>
      <c r="AP126" s="382"/>
      <c r="AQ126" s="262">
        <f>'0001 - DSO 09.1 Čerpací s...'!M126</f>
        <v>0</v>
      </c>
      <c r="AR126" s="262">
        <f>'0001 - DSO 09.1 Čerpací s...'!O126</f>
        <v>0</v>
      </c>
      <c r="AS126" s="262">
        <f>'0001 - DSO 09.1 Čerpací s...'!Q126</f>
        <v>2943814.55</v>
      </c>
      <c r="AT126" s="8"/>
      <c r="AU126" s="8"/>
      <c r="AV126" s="8"/>
      <c r="AW126" s="8"/>
      <c r="AX126" s="249"/>
      <c r="AZ126" s="70">
        <v>0</v>
      </c>
      <c r="BA126" s="71">
        <f t="shared" si="11"/>
        <v>618201.06000000006</v>
      </c>
      <c r="BB126" s="72">
        <f>'0001 - DSO 09.1 Čerpací s...'!DG124</f>
        <v>0</v>
      </c>
      <c r="BC126" s="71">
        <f>'0001 - DSO 09.1 Čerpací s...'!J37</f>
        <v>618201.06000000006</v>
      </c>
      <c r="BD126" s="71">
        <f>'0001 - DSO 09.1 Čerpací s...'!J38</f>
        <v>0</v>
      </c>
      <c r="BE126" s="71">
        <f>'0001 - DSO 09.1 Čerpací s...'!J39</f>
        <v>0</v>
      </c>
      <c r="BF126" s="71">
        <f>'0001 - DSO 09.1 Čerpací s...'!J40</f>
        <v>0</v>
      </c>
      <c r="BG126" s="71">
        <f>'0001 - DSO 09.1 Čerpací s...'!F37</f>
        <v>2943814.55</v>
      </c>
      <c r="BH126" s="71">
        <f>'0001 - DSO 09.1 Čerpací s...'!F38</f>
        <v>0</v>
      </c>
      <c r="BI126" s="71">
        <f>'0001 - DSO 09.1 Čerpací s...'!F39</f>
        <v>0</v>
      </c>
      <c r="BJ126" s="71">
        <f>'0001 - DSO 09.1 Čerpací s...'!F40</f>
        <v>0</v>
      </c>
      <c r="BK126" s="73">
        <f>'0001 - DSO 09.1 Čerpací s...'!F41</f>
        <v>0</v>
      </c>
      <c r="CA126" s="24" t="s">
        <v>90</v>
      </c>
      <c r="CC126" s="24" t="s">
        <v>76</v>
      </c>
      <c r="CD126" s="24" t="s">
        <v>182</v>
      </c>
      <c r="CE126" s="24" t="s">
        <v>180</v>
      </c>
      <c r="CS126" s="24" t="s">
        <v>1</v>
      </c>
    </row>
    <row r="127" spans="1:97" s="3" customFormat="1" ht="35.25" customHeight="1" x14ac:dyDescent="0.2">
      <c r="A127" s="74" t="s">
        <v>92</v>
      </c>
      <c r="B127" s="47"/>
      <c r="C127" s="8"/>
      <c r="D127" s="8"/>
      <c r="E127" s="8"/>
      <c r="F127" s="378" t="s">
        <v>115</v>
      </c>
      <c r="G127" s="378"/>
      <c r="H127" s="378"/>
      <c r="I127" s="378"/>
      <c r="J127" s="378"/>
      <c r="K127" s="8"/>
      <c r="L127" s="378" t="s">
        <v>183</v>
      </c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81">
        <f>'0002 - DSO 09.2 Čerpací s...'!J34</f>
        <v>0</v>
      </c>
      <c r="AH127" s="382"/>
      <c r="AI127" s="382"/>
      <c r="AJ127" s="382"/>
      <c r="AK127" s="382"/>
      <c r="AL127" s="382"/>
      <c r="AM127" s="382"/>
      <c r="AN127" s="381">
        <f t="shared" si="10"/>
        <v>0</v>
      </c>
      <c r="AO127" s="382"/>
      <c r="AP127" s="382"/>
      <c r="AQ127" s="262">
        <v>0</v>
      </c>
      <c r="AR127" s="262">
        <v>0</v>
      </c>
      <c r="AS127" s="262">
        <v>0</v>
      </c>
      <c r="AT127" s="8"/>
      <c r="AU127" s="8"/>
      <c r="AV127" s="8"/>
      <c r="AW127" s="8"/>
      <c r="AX127" s="249"/>
      <c r="AZ127" s="70">
        <v>0</v>
      </c>
      <c r="BA127" s="71">
        <f t="shared" si="11"/>
        <v>0</v>
      </c>
      <c r="BB127" s="72">
        <f>'0002 - DSO 09.2 Čerpací s...'!P126</f>
        <v>0</v>
      </c>
      <c r="BC127" s="71">
        <f>'0002 - DSO 09.2 Čerpací s...'!J37</f>
        <v>0</v>
      </c>
      <c r="BD127" s="71">
        <f>'0002 - DSO 09.2 Čerpací s...'!J38</f>
        <v>0</v>
      </c>
      <c r="BE127" s="71">
        <f>'0002 - DSO 09.2 Čerpací s...'!J39</f>
        <v>0</v>
      </c>
      <c r="BF127" s="71">
        <f>'0002 - DSO 09.2 Čerpací s...'!J40</f>
        <v>0</v>
      </c>
      <c r="BG127" s="71">
        <f>'0002 - DSO 09.2 Čerpací s...'!F37</f>
        <v>0</v>
      </c>
      <c r="BH127" s="71">
        <f>'0002 - DSO 09.2 Čerpací s...'!F38</f>
        <v>0</v>
      </c>
      <c r="BI127" s="71">
        <f>'0002 - DSO 09.2 Čerpací s...'!F39</f>
        <v>0</v>
      </c>
      <c r="BJ127" s="71">
        <f>'0002 - DSO 09.2 Čerpací s...'!F40</f>
        <v>0</v>
      </c>
      <c r="BK127" s="73">
        <f>'0002 - DSO 09.2 Čerpací s...'!F41</f>
        <v>0</v>
      </c>
      <c r="CA127" s="24" t="s">
        <v>90</v>
      </c>
      <c r="CC127" s="24" t="s">
        <v>76</v>
      </c>
      <c r="CD127" s="24" t="s">
        <v>184</v>
      </c>
      <c r="CE127" s="24" t="s">
        <v>180</v>
      </c>
      <c r="CS127" s="24" t="s">
        <v>1</v>
      </c>
    </row>
    <row r="128" spans="1:97" s="3" customFormat="1" ht="23.25" customHeight="1" x14ac:dyDescent="0.2">
      <c r="A128" s="74" t="s">
        <v>92</v>
      </c>
      <c r="B128" s="47"/>
      <c r="C128" s="8"/>
      <c r="D128" s="8"/>
      <c r="E128" s="8"/>
      <c r="F128" s="378" t="s">
        <v>157</v>
      </c>
      <c r="G128" s="378"/>
      <c r="H128" s="378"/>
      <c r="I128" s="378"/>
      <c r="J128" s="378"/>
      <c r="K128" s="8"/>
      <c r="L128" s="378" t="s">
        <v>185</v>
      </c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81">
        <f>'0003 - DSO 09.3 Čerpací s...'!J34</f>
        <v>106432.93</v>
      </c>
      <c r="AH128" s="382"/>
      <c r="AI128" s="382"/>
      <c r="AJ128" s="382"/>
      <c r="AK128" s="382"/>
      <c r="AL128" s="382"/>
      <c r="AM128" s="382"/>
      <c r="AN128" s="381">
        <f t="shared" si="10"/>
        <v>128783.84999999999</v>
      </c>
      <c r="AO128" s="382"/>
      <c r="AP128" s="382"/>
      <c r="AQ128" s="262">
        <f>'0003 - DSO 09.3 Čerpací s...'!M121</f>
        <v>0</v>
      </c>
      <c r="AR128" s="262">
        <f>'0003 - DSO 09.3 Čerpací s...'!O121</f>
        <v>0</v>
      </c>
      <c r="AS128" s="262">
        <f>'0003 - DSO 09.3 Čerpací s...'!Q121</f>
        <v>106432.93</v>
      </c>
      <c r="AT128" s="8"/>
      <c r="AU128" s="8"/>
      <c r="AV128" s="8"/>
      <c r="AW128" s="8"/>
      <c r="AX128" s="249"/>
      <c r="AZ128" s="70">
        <v>0</v>
      </c>
      <c r="BA128" s="71">
        <f t="shared" si="11"/>
        <v>22350.92</v>
      </c>
      <c r="BB128" s="72">
        <f>'0003 - DSO 09.3 Čerpací s...'!BK119</f>
        <v>0</v>
      </c>
      <c r="BC128" s="71">
        <f>'0003 - DSO 09.3 Čerpací s...'!J37</f>
        <v>22350.92</v>
      </c>
      <c r="BD128" s="71">
        <f>'0003 - DSO 09.3 Čerpací s...'!J38</f>
        <v>0</v>
      </c>
      <c r="BE128" s="71">
        <f>'0003 - DSO 09.3 Čerpací s...'!J39</f>
        <v>0</v>
      </c>
      <c r="BF128" s="71">
        <f>'0003 - DSO 09.3 Čerpací s...'!J40</f>
        <v>0</v>
      </c>
      <c r="BG128" s="71">
        <f>'0003 - DSO 09.3 Čerpací s...'!F37</f>
        <v>106432.93</v>
      </c>
      <c r="BH128" s="71">
        <f>'0003 - DSO 09.3 Čerpací s...'!F38</f>
        <v>0</v>
      </c>
      <c r="BI128" s="71">
        <f>'0003 - DSO 09.3 Čerpací s...'!F39</f>
        <v>0</v>
      </c>
      <c r="BJ128" s="71">
        <f>'0003 - DSO 09.3 Čerpací s...'!F40</f>
        <v>0</v>
      </c>
      <c r="BK128" s="73">
        <f>'0003 - DSO 09.3 Čerpací s...'!F41</f>
        <v>0</v>
      </c>
      <c r="CA128" s="24" t="s">
        <v>90</v>
      </c>
      <c r="CC128" s="24" t="s">
        <v>76</v>
      </c>
      <c r="CD128" s="24" t="s">
        <v>186</v>
      </c>
      <c r="CE128" s="24" t="s">
        <v>180</v>
      </c>
      <c r="CS128" s="24" t="s">
        <v>1</v>
      </c>
    </row>
    <row r="129" spans="1:97" s="3" customFormat="1" ht="16.5" customHeight="1" x14ac:dyDescent="0.2">
      <c r="B129" s="251"/>
      <c r="C129" s="252"/>
      <c r="D129" s="252"/>
      <c r="E129" s="379" t="s">
        <v>187</v>
      </c>
      <c r="F129" s="379"/>
      <c r="G129" s="379"/>
      <c r="H129" s="379"/>
      <c r="I129" s="379"/>
      <c r="J129" s="252"/>
      <c r="K129" s="379" t="s">
        <v>188</v>
      </c>
      <c r="L129" s="379"/>
      <c r="M129" s="379"/>
      <c r="N129" s="379"/>
      <c r="O129" s="379"/>
      <c r="P129" s="379"/>
      <c r="Q129" s="379"/>
      <c r="R129" s="379"/>
      <c r="S129" s="379"/>
      <c r="T129" s="379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85">
        <f>ROUND(SUM(AG130:AG133),2)</f>
        <v>6711827.4000000004</v>
      </c>
      <c r="AH129" s="384"/>
      <c r="AI129" s="384"/>
      <c r="AJ129" s="384"/>
      <c r="AK129" s="384"/>
      <c r="AL129" s="384"/>
      <c r="AM129" s="384"/>
      <c r="AN129" s="383">
        <f t="shared" si="10"/>
        <v>8121311.1500000004</v>
      </c>
      <c r="AO129" s="384"/>
      <c r="AP129" s="384"/>
      <c r="AQ129" s="261">
        <f>AQ130+AQ131+AQ132+AQ133</f>
        <v>0</v>
      </c>
      <c r="AR129" s="261">
        <f t="shared" ref="AR129:AS129" si="14">AR130+AR131+AR132+AR133</f>
        <v>-13578.234000000004</v>
      </c>
      <c r="AS129" s="261">
        <f t="shared" si="14"/>
        <v>6726056.2699999996</v>
      </c>
      <c r="AT129" s="8"/>
      <c r="AU129" s="8"/>
      <c r="AV129" s="8"/>
      <c r="AW129" s="8"/>
      <c r="AX129" s="249" t="s">
        <v>86</v>
      </c>
      <c r="AZ129" s="70">
        <f>ROUND(SUM(AZ130:AZ133),2)</f>
        <v>0</v>
      </c>
      <c r="BA129" s="71">
        <f t="shared" si="11"/>
        <v>1409483.75</v>
      </c>
      <c r="BB129" s="72">
        <f>ROUND(SUM(BB130:BB133),5)</f>
        <v>0</v>
      </c>
      <c r="BC129" s="71">
        <f>ROUND(BG129*L29,2)</f>
        <v>1409483.75</v>
      </c>
      <c r="BD129" s="71">
        <f>ROUND(BH129*L30,2)</f>
        <v>0</v>
      </c>
      <c r="BE129" s="71">
        <f>ROUND(BI129*L29,2)</f>
        <v>0</v>
      </c>
      <c r="BF129" s="71">
        <f>ROUND(BJ129*L30,2)</f>
        <v>0</v>
      </c>
      <c r="BG129" s="71">
        <f>ROUND(SUM(BG130:BG133),2)</f>
        <v>6711827.4000000004</v>
      </c>
      <c r="BH129" s="71">
        <f>ROUND(SUM(BH130:BH133),2)</f>
        <v>0</v>
      </c>
      <c r="BI129" s="71">
        <f>ROUND(SUM(BI130:BI133),2)</f>
        <v>0</v>
      </c>
      <c r="BJ129" s="71">
        <f>ROUND(SUM(BJ130:BJ133),2)</f>
        <v>0</v>
      </c>
      <c r="BK129" s="73">
        <f>ROUND(SUM(BK130:BK133),2)</f>
        <v>0</v>
      </c>
      <c r="BZ129" s="24" t="s">
        <v>73</v>
      </c>
      <c r="CA129" s="24" t="s">
        <v>83</v>
      </c>
      <c r="CB129" s="24" t="s">
        <v>75</v>
      </c>
      <c r="CC129" s="24" t="s">
        <v>76</v>
      </c>
      <c r="CD129" s="24" t="s">
        <v>189</v>
      </c>
      <c r="CE129" s="24" t="s">
        <v>82</v>
      </c>
      <c r="CS129" s="24" t="s">
        <v>1</v>
      </c>
    </row>
    <row r="130" spans="1:97" s="3" customFormat="1" ht="16.5" customHeight="1" x14ac:dyDescent="0.2">
      <c r="A130" s="74" t="s">
        <v>92</v>
      </c>
      <c r="B130" s="47"/>
      <c r="C130" s="8"/>
      <c r="D130" s="8"/>
      <c r="E130" s="8"/>
      <c r="F130" s="378" t="s">
        <v>88</v>
      </c>
      <c r="G130" s="378"/>
      <c r="H130" s="378"/>
      <c r="I130" s="378"/>
      <c r="J130" s="378"/>
      <c r="K130" s="8"/>
      <c r="L130" s="378" t="s">
        <v>190</v>
      </c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81">
        <f>'0001 - DSO 11.1 Výtlak V1'!J34</f>
        <v>801193.35</v>
      </c>
      <c r="AH130" s="382"/>
      <c r="AI130" s="382"/>
      <c r="AJ130" s="382"/>
      <c r="AK130" s="382"/>
      <c r="AL130" s="382"/>
      <c r="AM130" s="382"/>
      <c r="AN130" s="381">
        <f t="shared" si="10"/>
        <v>969443.95</v>
      </c>
      <c r="AO130" s="382"/>
      <c r="AP130" s="382"/>
      <c r="AQ130" s="262">
        <f>'0001 - DSO 11.1 Výtlak V1'!M127</f>
        <v>0</v>
      </c>
      <c r="AR130" s="262">
        <f>'0001 - DSO 11.1 Výtlak V1'!O127</f>
        <v>-4280.91</v>
      </c>
      <c r="AS130" s="262">
        <f>'0001 - DSO 11.1 Výtlak V1'!Q127</f>
        <v>805474.29999999981</v>
      </c>
      <c r="AT130" s="8"/>
      <c r="AU130" s="8"/>
      <c r="AV130" s="8"/>
      <c r="AW130" s="8"/>
      <c r="AX130" s="249"/>
      <c r="AZ130" s="70">
        <v>0</v>
      </c>
      <c r="BA130" s="71">
        <f t="shared" si="11"/>
        <v>168250.6</v>
      </c>
      <c r="BB130" s="72">
        <f>'0001 - DSO 11.1 Výtlak V1'!EV125</f>
        <v>0</v>
      </c>
      <c r="BC130" s="71">
        <f>'0001 - DSO 11.1 Výtlak V1'!J37</f>
        <v>168250.6</v>
      </c>
      <c r="BD130" s="71">
        <f>'0001 - DSO 11.1 Výtlak V1'!J38</f>
        <v>0</v>
      </c>
      <c r="BE130" s="71">
        <f>'0001 - DSO 11.1 Výtlak V1'!J39</f>
        <v>0</v>
      </c>
      <c r="BF130" s="71">
        <f>'0001 - DSO 11.1 Výtlak V1'!J40</f>
        <v>0</v>
      </c>
      <c r="BG130" s="71">
        <f>'0001 - DSO 11.1 Výtlak V1'!F37</f>
        <v>801193.35</v>
      </c>
      <c r="BH130" s="71">
        <f>'0001 - DSO 11.1 Výtlak V1'!F38</f>
        <v>0</v>
      </c>
      <c r="BI130" s="71">
        <f>'0001 - DSO 11.1 Výtlak V1'!F39</f>
        <v>0</v>
      </c>
      <c r="BJ130" s="71">
        <f>'0001 - DSO 11.1 Výtlak V1'!F40</f>
        <v>0</v>
      </c>
      <c r="BK130" s="73">
        <f>'0001 - DSO 11.1 Výtlak V1'!F41</f>
        <v>0</v>
      </c>
      <c r="CA130" s="24" t="s">
        <v>90</v>
      </c>
      <c r="CC130" s="24" t="s">
        <v>76</v>
      </c>
      <c r="CD130" s="24" t="s">
        <v>191</v>
      </c>
      <c r="CE130" s="24" t="s">
        <v>189</v>
      </c>
      <c r="CS130" s="24" t="s">
        <v>1</v>
      </c>
    </row>
    <row r="131" spans="1:97" s="3" customFormat="1" ht="16.5" customHeight="1" x14ac:dyDescent="0.2">
      <c r="A131" s="74" t="s">
        <v>92</v>
      </c>
      <c r="B131" s="47"/>
      <c r="C131" s="8"/>
      <c r="D131" s="8"/>
      <c r="E131" s="8"/>
      <c r="F131" s="378" t="s">
        <v>192</v>
      </c>
      <c r="G131" s="378"/>
      <c r="H131" s="378"/>
      <c r="I131" s="378"/>
      <c r="J131" s="378"/>
      <c r="K131" s="8"/>
      <c r="L131" s="378" t="s">
        <v>193</v>
      </c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81">
        <f>'0004 - DSO 11.4 Výtlak V5'!J34</f>
        <v>1650658.59</v>
      </c>
      <c r="AH131" s="382"/>
      <c r="AI131" s="382"/>
      <c r="AJ131" s="382"/>
      <c r="AK131" s="382"/>
      <c r="AL131" s="382"/>
      <c r="AM131" s="382"/>
      <c r="AN131" s="381">
        <f t="shared" si="10"/>
        <v>1997296.8900000001</v>
      </c>
      <c r="AO131" s="382"/>
      <c r="AP131" s="382"/>
      <c r="AQ131" s="262">
        <f>'0004 - DSO 11.4 Výtlak V5'!M123</f>
        <v>0</v>
      </c>
      <c r="AR131" s="262">
        <f>'0004 - DSO 11.4 Výtlak V5'!O123</f>
        <v>-11742.69</v>
      </c>
      <c r="AS131" s="262">
        <f>'0004 - DSO 11.4 Výtlak V5'!Q123</f>
        <v>1662401.23</v>
      </c>
      <c r="AT131" s="8"/>
      <c r="AU131" s="8"/>
      <c r="AV131" s="8"/>
      <c r="AW131" s="8"/>
      <c r="AX131" s="249"/>
      <c r="AZ131" s="70">
        <v>0</v>
      </c>
      <c r="BA131" s="71">
        <f t="shared" si="11"/>
        <v>346638.3</v>
      </c>
      <c r="BB131" s="72">
        <f>'0004 - DSO 11.4 Výtlak V5'!BG121</f>
        <v>0</v>
      </c>
      <c r="BC131" s="71">
        <f>'0004 - DSO 11.4 Výtlak V5'!J37</f>
        <v>346638.3</v>
      </c>
      <c r="BD131" s="71">
        <f>'0004 - DSO 11.4 Výtlak V5'!J38</f>
        <v>0</v>
      </c>
      <c r="BE131" s="71">
        <f>'0004 - DSO 11.4 Výtlak V5'!J39</f>
        <v>0</v>
      </c>
      <c r="BF131" s="71">
        <f>'0004 - DSO 11.4 Výtlak V5'!J40</f>
        <v>0</v>
      </c>
      <c r="BG131" s="71">
        <f>'0004 - DSO 11.4 Výtlak V5'!F37</f>
        <v>1650658.59</v>
      </c>
      <c r="BH131" s="71">
        <f>'0004 - DSO 11.4 Výtlak V5'!F38</f>
        <v>0</v>
      </c>
      <c r="BI131" s="71">
        <f>'0004 - DSO 11.4 Výtlak V5'!F39</f>
        <v>0</v>
      </c>
      <c r="BJ131" s="71">
        <f>'0004 - DSO 11.4 Výtlak V5'!F40</f>
        <v>0</v>
      </c>
      <c r="BK131" s="73">
        <f>'0004 - DSO 11.4 Výtlak V5'!F41</f>
        <v>0</v>
      </c>
      <c r="CA131" s="24" t="s">
        <v>90</v>
      </c>
      <c r="CC131" s="24" t="s">
        <v>76</v>
      </c>
      <c r="CD131" s="24" t="s">
        <v>194</v>
      </c>
      <c r="CE131" s="24" t="s">
        <v>189</v>
      </c>
      <c r="CS131" s="24" t="s">
        <v>1</v>
      </c>
    </row>
    <row r="132" spans="1:97" s="3" customFormat="1" ht="16.5" customHeight="1" x14ac:dyDescent="0.2">
      <c r="A132" s="74" t="s">
        <v>92</v>
      </c>
      <c r="B132" s="47"/>
      <c r="C132" s="8"/>
      <c r="D132" s="8"/>
      <c r="E132" s="8"/>
      <c r="F132" s="378" t="s">
        <v>141</v>
      </c>
      <c r="G132" s="378"/>
      <c r="H132" s="378"/>
      <c r="I132" s="378"/>
      <c r="J132" s="378"/>
      <c r="K132" s="8"/>
      <c r="L132" s="378" t="s">
        <v>195</v>
      </c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81">
        <f>'0006 - DSO 11.6 Výtlak V8'!J34</f>
        <v>3611662.13</v>
      </c>
      <c r="AH132" s="382"/>
      <c r="AI132" s="382"/>
      <c r="AJ132" s="382"/>
      <c r="AK132" s="382"/>
      <c r="AL132" s="382"/>
      <c r="AM132" s="382"/>
      <c r="AN132" s="381">
        <f t="shared" si="10"/>
        <v>4370111.18</v>
      </c>
      <c r="AO132" s="382"/>
      <c r="AP132" s="382"/>
      <c r="AQ132" s="262">
        <f>'0006 - DSO 11.6 Výtlak V8'!M127</f>
        <v>0</v>
      </c>
      <c r="AR132" s="262">
        <f>'0006 - DSO 11.6 Výtlak V8'!O127</f>
        <v>-7576.4240000000027</v>
      </c>
      <c r="AS132" s="262">
        <f>'0006 - DSO 11.6 Výtlak V8'!Q127</f>
        <v>3619889.2200000007</v>
      </c>
      <c r="AT132" s="8"/>
      <c r="AU132" s="8"/>
      <c r="AV132" s="8"/>
      <c r="AW132" s="8"/>
      <c r="AX132" s="249" t="s">
        <v>86</v>
      </c>
      <c r="AZ132" s="70">
        <v>0</v>
      </c>
      <c r="BA132" s="71">
        <f t="shared" si="11"/>
        <v>758449.05</v>
      </c>
      <c r="BB132" s="72">
        <f>'0006 - DSO 11.6 Výtlak V8'!CB125</f>
        <v>0</v>
      </c>
      <c r="BC132" s="71">
        <f>'0006 - DSO 11.6 Výtlak V8'!J37</f>
        <v>758449.05</v>
      </c>
      <c r="BD132" s="71">
        <f>'0006 - DSO 11.6 Výtlak V8'!J38</f>
        <v>0</v>
      </c>
      <c r="BE132" s="71">
        <f>'0006 - DSO 11.6 Výtlak V8'!J39</f>
        <v>0</v>
      </c>
      <c r="BF132" s="71">
        <f>'0006 - DSO 11.6 Výtlak V8'!J40</f>
        <v>0</v>
      </c>
      <c r="BG132" s="71">
        <f>'0006 - DSO 11.6 Výtlak V8'!F37</f>
        <v>3611662.13</v>
      </c>
      <c r="BH132" s="71">
        <f>'0006 - DSO 11.6 Výtlak V8'!F38</f>
        <v>0</v>
      </c>
      <c r="BI132" s="71">
        <f>'0006 - DSO 11.6 Výtlak V8'!F39</f>
        <v>0</v>
      </c>
      <c r="BJ132" s="71">
        <f>'0006 - DSO 11.6 Výtlak V8'!F40</f>
        <v>0</v>
      </c>
      <c r="BK132" s="73">
        <f>'0006 - DSO 11.6 Výtlak V8'!F41</f>
        <v>0</v>
      </c>
      <c r="CA132" s="24" t="s">
        <v>90</v>
      </c>
      <c r="CC132" s="24" t="s">
        <v>76</v>
      </c>
      <c r="CD132" s="24" t="s">
        <v>196</v>
      </c>
      <c r="CE132" s="24" t="s">
        <v>189</v>
      </c>
      <c r="CS132" s="24" t="s">
        <v>1</v>
      </c>
    </row>
    <row r="133" spans="1:97" s="3" customFormat="1" ht="16.5" customHeight="1" x14ac:dyDescent="0.2">
      <c r="A133" s="74" t="s">
        <v>92</v>
      </c>
      <c r="B133" s="47"/>
      <c r="C133" s="8"/>
      <c r="D133" s="8"/>
      <c r="E133" s="8"/>
      <c r="F133" s="378" t="s">
        <v>197</v>
      </c>
      <c r="G133" s="378"/>
      <c r="H133" s="378"/>
      <c r="I133" s="378"/>
      <c r="J133" s="378"/>
      <c r="K133" s="8"/>
      <c r="L133" s="378" t="s">
        <v>198</v>
      </c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81">
        <f>'0008 - DSO 11.8 Výtlak V11'!J34</f>
        <v>648313.32999999996</v>
      </c>
      <c r="AH133" s="382"/>
      <c r="AI133" s="382"/>
      <c r="AJ133" s="382"/>
      <c r="AK133" s="382"/>
      <c r="AL133" s="382"/>
      <c r="AM133" s="382"/>
      <c r="AN133" s="381">
        <f t="shared" si="10"/>
        <v>784459.12999999989</v>
      </c>
      <c r="AO133" s="382"/>
      <c r="AP133" s="382"/>
      <c r="AQ133" s="262">
        <f>'0008 - DSO 11.8 Výtlak V11'!M123</f>
        <v>0</v>
      </c>
      <c r="AR133" s="262">
        <f>'0008 - DSO 11.8 Výtlak V11'!O123</f>
        <v>10021.790000000001</v>
      </c>
      <c r="AS133" s="262">
        <f>'0008 - DSO 11.8 Výtlak V11'!Q123</f>
        <v>638291.52</v>
      </c>
      <c r="AT133" s="8"/>
      <c r="AU133" s="8"/>
      <c r="AV133" s="8"/>
      <c r="AW133" s="8"/>
      <c r="AX133" s="249"/>
      <c r="AZ133" s="70">
        <v>0</v>
      </c>
      <c r="BA133" s="71">
        <f t="shared" si="11"/>
        <v>136145.79999999999</v>
      </c>
      <c r="BB133" s="72">
        <f>'0008 - DSO 11.8 Výtlak V11'!DX121</f>
        <v>0</v>
      </c>
      <c r="BC133" s="71">
        <f>'0008 - DSO 11.8 Výtlak V11'!J37</f>
        <v>136145.79999999999</v>
      </c>
      <c r="BD133" s="71">
        <f>'0008 - DSO 11.8 Výtlak V11'!J38</f>
        <v>0</v>
      </c>
      <c r="BE133" s="71">
        <f>'0008 - DSO 11.8 Výtlak V11'!J39</f>
        <v>0</v>
      </c>
      <c r="BF133" s="71">
        <f>'0008 - DSO 11.8 Výtlak V11'!J40</f>
        <v>0</v>
      </c>
      <c r="BG133" s="71">
        <f>'0008 - DSO 11.8 Výtlak V11'!F37</f>
        <v>648313.32999999996</v>
      </c>
      <c r="BH133" s="71">
        <f>'0008 - DSO 11.8 Výtlak V11'!F38</f>
        <v>0</v>
      </c>
      <c r="BI133" s="71">
        <f>'0008 - DSO 11.8 Výtlak V11'!F39</f>
        <v>0</v>
      </c>
      <c r="BJ133" s="71">
        <f>'0008 - DSO 11.8 Výtlak V11'!F40</f>
        <v>0</v>
      </c>
      <c r="BK133" s="73">
        <f>'0008 - DSO 11.8 Výtlak V11'!F41</f>
        <v>0</v>
      </c>
      <c r="CA133" s="24" t="s">
        <v>90</v>
      </c>
      <c r="CC133" s="24" t="s">
        <v>76</v>
      </c>
      <c r="CD133" s="24" t="s">
        <v>199</v>
      </c>
      <c r="CE133" s="24" t="s">
        <v>189</v>
      </c>
      <c r="CS133" s="24" t="s">
        <v>1</v>
      </c>
    </row>
    <row r="134" spans="1:97" s="3" customFormat="1" ht="16.5" customHeight="1" x14ac:dyDescent="0.2">
      <c r="B134" s="251"/>
      <c r="C134" s="252"/>
      <c r="D134" s="252"/>
      <c r="E134" s="379" t="s">
        <v>200</v>
      </c>
      <c r="F134" s="379"/>
      <c r="G134" s="379"/>
      <c r="H134" s="379"/>
      <c r="I134" s="379"/>
      <c r="J134" s="252"/>
      <c r="K134" s="379" t="s">
        <v>201</v>
      </c>
      <c r="L134" s="379"/>
      <c r="M134" s="379"/>
      <c r="N134" s="379"/>
      <c r="O134" s="379"/>
      <c r="P134" s="379"/>
      <c r="Q134" s="379"/>
      <c r="R134" s="379"/>
      <c r="S134" s="379"/>
      <c r="T134" s="379"/>
      <c r="U134" s="379"/>
      <c r="V134" s="379"/>
      <c r="W134" s="379"/>
      <c r="X134" s="379"/>
      <c r="Y134" s="379"/>
      <c r="Z134" s="379"/>
      <c r="AA134" s="379"/>
      <c r="AB134" s="379"/>
      <c r="AC134" s="379"/>
      <c r="AD134" s="379"/>
      <c r="AE134" s="379"/>
      <c r="AF134" s="379"/>
      <c r="AG134" s="385">
        <f>ROUND(SUM(AG135:AG136),2)</f>
        <v>861793.03</v>
      </c>
      <c r="AH134" s="384"/>
      <c r="AI134" s="384"/>
      <c r="AJ134" s="384"/>
      <c r="AK134" s="384"/>
      <c r="AL134" s="384"/>
      <c r="AM134" s="384"/>
      <c r="AN134" s="383">
        <f t="shared" si="10"/>
        <v>1042769.5700000001</v>
      </c>
      <c r="AO134" s="384"/>
      <c r="AP134" s="384"/>
      <c r="AQ134" s="261">
        <f>AQ135+AQ136</f>
        <v>0</v>
      </c>
      <c r="AR134" s="261">
        <f t="shared" ref="AR134:AS134" si="15">AR135+AR136</f>
        <v>-102348.27</v>
      </c>
      <c r="AS134" s="261">
        <f t="shared" si="15"/>
        <v>964141.32000000007</v>
      </c>
      <c r="AT134" s="8"/>
      <c r="AU134" s="8"/>
      <c r="AV134" s="8"/>
      <c r="AW134" s="8"/>
      <c r="AX134" s="249" t="s">
        <v>86</v>
      </c>
      <c r="AZ134" s="70">
        <f>ROUND(SUM(AZ135:AZ136),2)</f>
        <v>0</v>
      </c>
      <c r="BA134" s="71">
        <f t="shared" si="11"/>
        <v>180976.54</v>
      </c>
      <c r="BB134" s="72">
        <f>ROUND(SUM(BB135:BB136),5)</f>
        <v>0</v>
      </c>
      <c r="BC134" s="71">
        <f>ROUND(BG134*L29,2)</f>
        <v>180976.54</v>
      </c>
      <c r="BD134" s="71">
        <f>ROUND(BH134*L30,2)</f>
        <v>0</v>
      </c>
      <c r="BE134" s="71">
        <f>ROUND(BI134*L29,2)</f>
        <v>0</v>
      </c>
      <c r="BF134" s="71">
        <f>ROUND(BJ134*L30,2)</f>
        <v>0</v>
      </c>
      <c r="BG134" s="71">
        <f>ROUND(SUM(BG135:BG136),2)</f>
        <v>861793.03</v>
      </c>
      <c r="BH134" s="71">
        <f>ROUND(SUM(BH135:BH136),2)</f>
        <v>0</v>
      </c>
      <c r="BI134" s="71">
        <f>ROUND(SUM(BI135:BI136),2)</f>
        <v>0</v>
      </c>
      <c r="BJ134" s="71">
        <f>ROUND(SUM(BJ135:BJ136),2)</f>
        <v>0</v>
      </c>
      <c r="BK134" s="73">
        <f>ROUND(SUM(BK135:BK136),2)</f>
        <v>0</v>
      </c>
      <c r="BZ134" s="24" t="s">
        <v>73</v>
      </c>
      <c r="CA134" s="24" t="s">
        <v>83</v>
      </c>
      <c r="CB134" s="24" t="s">
        <v>75</v>
      </c>
      <c r="CC134" s="24" t="s">
        <v>76</v>
      </c>
      <c r="CD134" s="24" t="s">
        <v>202</v>
      </c>
      <c r="CE134" s="24" t="s">
        <v>82</v>
      </c>
      <c r="CS134" s="24" t="s">
        <v>1</v>
      </c>
    </row>
    <row r="135" spans="1:97" s="3" customFormat="1" ht="23.25" customHeight="1" x14ac:dyDescent="0.2">
      <c r="A135" s="74" t="s">
        <v>92</v>
      </c>
      <c r="B135" s="47"/>
      <c r="C135" s="8"/>
      <c r="D135" s="8"/>
      <c r="E135" s="8"/>
      <c r="F135" s="378" t="s">
        <v>88</v>
      </c>
      <c r="G135" s="378"/>
      <c r="H135" s="378"/>
      <c r="I135" s="378"/>
      <c r="J135" s="378"/>
      <c r="K135" s="8"/>
      <c r="L135" s="378" t="s">
        <v>203</v>
      </c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81">
        <f>'0001 - DSO 12.1 Čerpací s...'!J34</f>
        <v>816173.19</v>
      </c>
      <c r="AH135" s="382"/>
      <c r="AI135" s="382"/>
      <c r="AJ135" s="382"/>
      <c r="AK135" s="382"/>
      <c r="AL135" s="382"/>
      <c r="AM135" s="382"/>
      <c r="AN135" s="381">
        <f t="shared" si="10"/>
        <v>987569.55999999994</v>
      </c>
      <c r="AO135" s="382"/>
      <c r="AP135" s="382"/>
      <c r="AQ135" s="262">
        <f>'0001 - DSO 12.1 Čerpací s...'!M124</f>
        <v>0</v>
      </c>
      <c r="AR135" s="262">
        <f>'0001 - DSO 12.1 Čerpací s...'!O124</f>
        <v>-102348.27</v>
      </c>
      <c r="AS135" s="262">
        <f>'0001 - DSO 12.1 Čerpací s...'!Q124</f>
        <v>918521.4800000001</v>
      </c>
      <c r="AT135" s="8"/>
      <c r="AU135" s="8"/>
      <c r="AV135" s="8"/>
      <c r="AW135" s="8"/>
      <c r="AX135" s="249"/>
      <c r="AZ135" s="70">
        <v>0</v>
      </c>
      <c r="BA135" s="71">
        <f t="shared" si="11"/>
        <v>171396.37</v>
      </c>
      <c r="BB135" s="72">
        <f>'0001 - DSO 12.1 Čerpací s...'!CW122</f>
        <v>0</v>
      </c>
      <c r="BC135" s="71">
        <f>'0001 - DSO 12.1 Čerpací s...'!J37</f>
        <v>171396.37</v>
      </c>
      <c r="BD135" s="71">
        <f>'0001 - DSO 12.1 Čerpací s...'!J38</f>
        <v>0</v>
      </c>
      <c r="BE135" s="71">
        <f>'0001 - DSO 12.1 Čerpací s...'!J39</f>
        <v>0</v>
      </c>
      <c r="BF135" s="71">
        <f>'0001 - DSO 12.1 Čerpací s...'!J40</f>
        <v>0</v>
      </c>
      <c r="BG135" s="71">
        <f>'0001 - DSO 12.1 Čerpací s...'!F37</f>
        <v>816173.19</v>
      </c>
      <c r="BH135" s="71">
        <f>'0001 - DSO 12.1 Čerpací s...'!F38</f>
        <v>0</v>
      </c>
      <c r="BI135" s="71">
        <f>'0001 - DSO 12.1 Čerpací s...'!F39</f>
        <v>0</v>
      </c>
      <c r="BJ135" s="71">
        <f>'0001 - DSO 12.1 Čerpací s...'!F40</f>
        <v>0</v>
      </c>
      <c r="BK135" s="73">
        <f>'0001 - DSO 12.1 Čerpací s...'!F41</f>
        <v>0</v>
      </c>
      <c r="CA135" s="24" t="s">
        <v>90</v>
      </c>
      <c r="CC135" s="24" t="s">
        <v>76</v>
      </c>
      <c r="CD135" s="24" t="s">
        <v>204</v>
      </c>
      <c r="CE135" s="24" t="s">
        <v>202</v>
      </c>
      <c r="CS135" s="24" t="s">
        <v>1</v>
      </c>
    </row>
    <row r="136" spans="1:97" s="3" customFormat="1" ht="23.25" customHeight="1" x14ac:dyDescent="0.2">
      <c r="A136" s="74" t="s">
        <v>92</v>
      </c>
      <c r="B136" s="47"/>
      <c r="C136" s="8"/>
      <c r="D136" s="8"/>
      <c r="E136" s="8"/>
      <c r="F136" s="378" t="s">
        <v>115</v>
      </c>
      <c r="G136" s="378"/>
      <c r="H136" s="378"/>
      <c r="I136" s="378"/>
      <c r="J136" s="378"/>
      <c r="K136" s="8"/>
      <c r="L136" s="378" t="s">
        <v>205</v>
      </c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81">
        <f>'0002 - DSO 12.3 Čerpací s...'!J34</f>
        <v>45619.839999999997</v>
      </c>
      <c r="AH136" s="382"/>
      <c r="AI136" s="382"/>
      <c r="AJ136" s="382"/>
      <c r="AK136" s="382"/>
      <c r="AL136" s="382"/>
      <c r="AM136" s="382"/>
      <c r="AN136" s="381">
        <f t="shared" si="10"/>
        <v>55200.009999999995</v>
      </c>
      <c r="AO136" s="382"/>
      <c r="AP136" s="382"/>
      <c r="AQ136" s="262">
        <v>0</v>
      </c>
      <c r="AR136" s="262">
        <v>0</v>
      </c>
      <c r="AS136" s="262">
        <v>45619.839999999997</v>
      </c>
      <c r="AT136" s="8"/>
      <c r="AU136" s="8"/>
      <c r="AV136" s="8"/>
      <c r="AW136" s="8"/>
      <c r="AX136" s="249"/>
      <c r="AZ136" s="70">
        <v>0</v>
      </c>
      <c r="BA136" s="71">
        <f t="shared" si="11"/>
        <v>9580.17</v>
      </c>
      <c r="BB136" s="72">
        <f>'0002 - DSO 12.3 Čerpací s...'!P128</f>
        <v>0</v>
      </c>
      <c r="BC136" s="71">
        <f>'0002 - DSO 12.3 Čerpací s...'!J37</f>
        <v>9580.17</v>
      </c>
      <c r="BD136" s="71">
        <f>'0002 - DSO 12.3 Čerpací s...'!J38</f>
        <v>0</v>
      </c>
      <c r="BE136" s="71">
        <f>'0002 - DSO 12.3 Čerpací s...'!J39</f>
        <v>0</v>
      </c>
      <c r="BF136" s="71">
        <f>'0002 - DSO 12.3 Čerpací s...'!J40</f>
        <v>0</v>
      </c>
      <c r="BG136" s="71">
        <f>'0002 - DSO 12.3 Čerpací s...'!F37</f>
        <v>45619.839999999997</v>
      </c>
      <c r="BH136" s="71">
        <f>'0002 - DSO 12.3 Čerpací s...'!F38</f>
        <v>0</v>
      </c>
      <c r="BI136" s="71">
        <f>'0002 - DSO 12.3 Čerpací s...'!F39</f>
        <v>0</v>
      </c>
      <c r="BJ136" s="71">
        <f>'0002 - DSO 12.3 Čerpací s...'!F40</f>
        <v>0</v>
      </c>
      <c r="BK136" s="73">
        <f>'0002 - DSO 12.3 Čerpací s...'!F41</f>
        <v>0</v>
      </c>
      <c r="CA136" s="24" t="s">
        <v>90</v>
      </c>
      <c r="CC136" s="24" t="s">
        <v>76</v>
      </c>
      <c r="CD136" s="24" t="s">
        <v>206</v>
      </c>
      <c r="CE136" s="24" t="s">
        <v>202</v>
      </c>
      <c r="CS136" s="24" t="s">
        <v>1</v>
      </c>
    </row>
    <row r="137" spans="1:97" s="3" customFormat="1" ht="16.5" customHeight="1" x14ac:dyDescent="0.2">
      <c r="B137" s="251"/>
      <c r="C137" s="252"/>
      <c r="D137" s="252"/>
      <c r="E137" s="379" t="s">
        <v>207</v>
      </c>
      <c r="F137" s="379"/>
      <c r="G137" s="379"/>
      <c r="H137" s="379"/>
      <c r="I137" s="379"/>
      <c r="J137" s="252"/>
      <c r="K137" s="379" t="s">
        <v>208</v>
      </c>
      <c r="L137" s="379"/>
      <c r="M137" s="379"/>
      <c r="N137" s="379"/>
      <c r="O137" s="379"/>
      <c r="P137" s="379"/>
      <c r="Q137" s="379"/>
      <c r="R137" s="379"/>
      <c r="S137" s="379"/>
      <c r="T137" s="379"/>
      <c r="U137" s="379"/>
      <c r="V137" s="379"/>
      <c r="W137" s="379"/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385">
        <f>ROUND(AG138,2)</f>
        <v>0</v>
      </c>
      <c r="AH137" s="384"/>
      <c r="AI137" s="384"/>
      <c r="AJ137" s="384"/>
      <c r="AK137" s="384"/>
      <c r="AL137" s="384"/>
      <c r="AM137" s="384"/>
      <c r="AN137" s="383">
        <f t="shared" si="10"/>
        <v>0</v>
      </c>
      <c r="AO137" s="384"/>
      <c r="AP137" s="384"/>
      <c r="AQ137" s="261">
        <f>AQ138</f>
        <v>0</v>
      </c>
      <c r="AR137" s="261">
        <f t="shared" ref="AR137:AS137" si="16">AR138</f>
        <v>0</v>
      </c>
      <c r="AS137" s="261">
        <f t="shared" si="16"/>
        <v>0</v>
      </c>
      <c r="AT137" s="8"/>
      <c r="AU137" s="8"/>
      <c r="AV137" s="8"/>
      <c r="AW137" s="8"/>
      <c r="AX137" s="249" t="s">
        <v>86</v>
      </c>
      <c r="AZ137" s="70">
        <f>ROUND(AZ138,2)</f>
        <v>0</v>
      </c>
      <c r="BA137" s="71">
        <f t="shared" si="11"/>
        <v>0</v>
      </c>
      <c r="BB137" s="72">
        <f>ROUND(BB138,5)</f>
        <v>0</v>
      </c>
      <c r="BC137" s="71">
        <f>ROUND(BG137*L29,2)</f>
        <v>0</v>
      </c>
      <c r="BD137" s="71">
        <f>ROUND(BH137*L30,2)</f>
        <v>0</v>
      </c>
      <c r="BE137" s="71">
        <f>ROUND(BI137*L29,2)</f>
        <v>0</v>
      </c>
      <c r="BF137" s="71">
        <f>ROUND(BJ137*L30,2)</f>
        <v>0</v>
      </c>
      <c r="BG137" s="71">
        <f>ROUND(BG138,2)</f>
        <v>0</v>
      </c>
      <c r="BH137" s="71">
        <f>ROUND(BH138,2)</f>
        <v>0</v>
      </c>
      <c r="BI137" s="71">
        <f>ROUND(BI138,2)</f>
        <v>0</v>
      </c>
      <c r="BJ137" s="71">
        <f>ROUND(BJ138,2)</f>
        <v>0</v>
      </c>
      <c r="BK137" s="73">
        <f>ROUND(BK138,2)</f>
        <v>0</v>
      </c>
      <c r="BZ137" s="24" t="s">
        <v>73</v>
      </c>
      <c r="CA137" s="24" t="s">
        <v>83</v>
      </c>
      <c r="CB137" s="24" t="s">
        <v>75</v>
      </c>
      <c r="CC137" s="24" t="s">
        <v>76</v>
      </c>
      <c r="CD137" s="24" t="s">
        <v>209</v>
      </c>
      <c r="CE137" s="24" t="s">
        <v>82</v>
      </c>
      <c r="CS137" s="24" t="s">
        <v>1</v>
      </c>
    </row>
    <row r="138" spans="1:97" s="3" customFormat="1" ht="35.25" customHeight="1" x14ac:dyDescent="0.2">
      <c r="A138" s="74" t="s">
        <v>92</v>
      </c>
      <c r="B138" s="47"/>
      <c r="C138" s="8"/>
      <c r="D138" s="8"/>
      <c r="E138" s="8"/>
      <c r="F138" s="378" t="s">
        <v>88</v>
      </c>
      <c r="G138" s="378"/>
      <c r="H138" s="378"/>
      <c r="I138" s="378"/>
      <c r="J138" s="378"/>
      <c r="K138" s="8"/>
      <c r="L138" s="378" t="s">
        <v>210</v>
      </c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81">
        <f>'0001 - PS Strojně-technol...'!J34</f>
        <v>0</v>
      </c>
      <c r="AH138" s="382"/>
      <c r="AI138" s="382"/>
      <c r="AJ138" s="382"/>
      <c r="AK138" s="382"/>
      <c r="AL138" s="382"/>
      <c r="AM138" s="382"/>
      <c r="AN138" s="381">
        <f t="shared" si="10"/>
        <v>0</v>
      </c>
      <c r="AO138" s="382"/>
      <c r="AP138" s="382"/>
      <c r="AQ138" s="262">
        <v>0</v>
      </c>
      <c r="AR138" s="262">
        <v>0</v>
      </c>
      <c r="AS138" s="262">
        <v>0</v>
      </c>
      <c r="AT138" s="8"/>
      <c r="AU138" s="8"/>
      <c r="AV138" s="8"/>
      <c r="AW138" s="8"/>
      <c r="AX138" s="249" t="s">
        <v>86</v>
      </c>
      <c r="AZ138" s="70">
        <v>0</v>
      </c>
      <c r="BA138" s="71">
        <f t="shared" si="11"/>
        <v>0</v>
      </c>
      <c r="BB138" s="72">
        <f>'0001 - PS Strojně-technol...'!P126</f>
        <v>0</v>
      </c>
      <c r="BC138" s="71">
        <f>'0001 - PS Strojně-technol...'!J37</f>
        <v>0</v>
      </c>
      <c r="BD138" s="71">
        <f>'0001 - PS Strojně-technol...'!J38</f>
        <v>0</v>
      </c>
      <c r="BE138" s="71">
        <f>'0001 - PS Strojně-technol...'!J39</f>
        <v>0</v>
      </c>
      <c r="BF138" s="71">
        <f>'0001 - PS Strojně-technol...'!J40</f>
        <v>0</v>
      </c>
      <c r="BG138" s="71">
        <f>'0001 - PS Strojně-technol...'!F37</f>
        <v>0</v>
      </c>
      <c r="BH138" s="71">
        <f>'0001 - PS Strojně-technol...'!F38</f>
        <v>0</v>
      </c>
      <c r="BI138" s="71">
        <f>'0001 - PS Strojně-technol...'!F39</f>
        <v>0</v>
      </c>
      <c r="BJ138" s="71">
        <f>'0001 - PS Strojně-technol...'!F40</f>
        <v>0</v>
      </c>
      <c r="BK138" s="73">
        <f>'0001 - PS Strojně-technol...'!F41</f>
        <v>0</v>
      </c>
      <c r="CA138" s="24" t="s">
        <v>90</v>
      </c>
      <c r="CC138" s="24" t="s">
        <v>76</v>
      </c>
      <c r="CD138" s="24" t="s">
        <v>211</v>
      </c>
      <c r="CE138" s="24" t="s">
        <v>209</v>
      </c>
      <c r="CS138" s="24" t="s">
        <v>1</v>
      </c>
    </row>
    <row r="139" spans="1:97" s="3" customFormat="1" ht="16.5" customHeight="1" x14ac:dyDescent="0.2">
      <c r="B139" s="251"/>
      <c r="C139" s="252"/>
      <c r="D139" s="252"/>
      <c r="E139" s="379" t="s">
        <v>212</v>
      </c>
      <c r="F139" s="379"/>
      <c r="G139" s="379"/>
      <c r="H139" s="379"/>
      <c r="I139" s="379"/>
      <c r="J139" s="252"/>
      <c r="K139" s="379" t="s">
        <v>213</v>
      </c>
      <c r="L139" s="379"/>
      <c r="M139" s="379"/>
      <c r="N139" s="379"/>
      <c r="O139" s="379"/>
      <c r="P139" s="379"/>
      <c r="Q139" s="379"/>
      <c r="R139" s="379"/>
      <c r="S139" s="379"/>
      <c r="T139" s="379"/>
      <c r="U139" s="379"/>
      <c r="V139" s="379"/>
      <c r="W139" s="379"/>
      <c r="X139" s="379"/>
      <c r="Y139" s="379"/>
      <c r="Z139" s="379"/>
      <c r="AA139" s="379"/>
      <c r="AB139" s="379"/>
      <c r="AC139" s="379"/>
      <c r="AD139" s="379"/>
      <c r="AE139" s="379"/>
      <c r="AF139" s="379"/>
      <c r="AG139" s="385">
        <f>ROUND(AG140,2)</f>
        <v>430582.61</v>
      </c>
      <c r="AH139" s="384"/>
      <c r="AI139" s="384"/>
      <c r="AJ139" s="384"/>
      <c r="AK139" s="384"/>
      <c r="AL139" s="384"/>
      <c r="AM139" s="384"/>
      <c r="AN139" s="383">
        <f t="shared" si="10"/>
        <v>521004.95999999996</v>
      </c>
      <c r="AO139" s="384"/>
      <c r="AP139" s="384"/>
      <c r="AQ139" s="261">
        <f>AQ140</f>
        <v>0</v>
      </c>
      <c r="AR139" s="261">
        <f t="shared" ref="AR139:AS139" si="17">AR140</f>
        <v>0</v>
      </c>
      <c r="AS139" s="261">
        <f t="shared" si="17"/>
        <v>430582.61</v>
      </c>
      <c r="AT139" s="8"/>
      <c r="AU139" s="8"/>
      <c r="AV139" s="8"/>
      <c r="AW139" s="8"/>
      <c r="AX139" s="249" t="s">
        <v>86</v>
      </c>
      <c r="AZ139" s="70">
        <f>ROUND(AZ140,2)</f>
        <v>0</v>
      </c>
      <c r="BA139" s="71">
        <f t="shared" si="11"/>
        <v>90422.35</v>
      </c>
      <c r="BB139" s="72">
        <f>ROUND(BB140,5)</f>
        <v>0</v>
      </c>
      <c r="BC139" s="71">
        <f>ROUND(BG139*L29,2)</f>
        <v>90422.35</v>
      </c>
      <c r="BD139" s="71">
        <f>ROUND(BH139*L30,2)</f>
        <v>0</v>
      </c>
      <c r="BE139" s="71">
        <f>ROUND(BI139*L29,2)</f>
        <v>0</v>
      </c>
      <c r="BF139" s="71">
        <f>ROUND(BJ139*L30,2)</f>
        <v>0</v>
      </c>
      <c r="BG139" s="71">
        <f>ROUND(BG140,2)</f>
        <v>430582.61</v>
      </c>
      <c r="BH139" s="71">
        <f>ROUND(BH140,2)</f>
        <v>0</v>
      </c>
      <c r="BI139" s="71">
        <f>ROUND(BI140,2)</f>
        <v>0</v>
      </c>
      <c r="BJ139" s="71">
        <f>ROUND(BJ140,2)</f>
        <v>0</v>
      </c>
      <c r="BK139" s="73">
        <f>ROUND(BK140,2)</f>
        <v>0</v>
      </c>
      <c r="BZ139" s="24" t="s">
        <v>73</v>
      </c>
      <c r="CA139" s="24" t="s">
        <v>83</v>
      </c>
      <c r="CB139" s="24" t="s">
        <v>75</v>
      </c>
      <c r="CC139" s="24" t="s">
        <v>76</v>
      </c>
      <c r="CD139" s="24" t="s">
        <v>214</v>
      </c>
      <c r="CE139" s="24" t="s">
        <v>82</v>
      </c>
      <c r="CS139" s="24" t="s">
        <v>1</v>
      </c>
    </row>
    <row r="140" spans="1:97" s="3" customFormat="1" ht="16.5" customHeight="1" x14ac:dyDescent="0.2">
      <c r="A140" s="74" t="s">
        <v>92</v>
      </c>
      <c r="B140" s="47"/>
      <c r="C140" s="8"/>
      <c r="D140" s="8"/>
      <c r="E140" s="8"/>
      <c r="F140" s="378" t="s">
        <v>88</v>
      </c>
      <c r="G140" s="378"/>
      <c r="H140" s="378"/>
      <c r="I140" s="378"/>
      <c r="J140" s="378"/>
      <c r="K140" s="8"/>
      <c r="L140" s="378" t="s">
        <v>215</v>
      </c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8"/>
      <c r="AF140" s="378"/>
      <c r="AG140" s="381">
        <f>'0001 - PS 01.1 ČS1 - elek...'!J34</f>
        <v>430582.61</v>
      </c>
      <c r="AH140" s="382"/>
      <c r="AI140" s="382"/>
      <c r="AJ140" s="382"/>
      <c r="AK140" s="382"/>
      <c r="AL140" s="382"/>
      <c r="AM140" s="382"/>
      <c r="AN140" s="381">
        <f t="shared" si="10"/>
        <v>521004.95999999996</v>
      </c>
      <c r="AO140" s="382"/>
      <c r="AP140" s="382"/>
      <c r="AQ140" s="262">
        <v>0</v>
      </c>
      <c r="AR140" s="262">
        <v>0</v>
      </c>
      <c r="AS140" s="262">
        <v>430582.61</v>
      </c>
      <c r="AT140" s="8"/>
      <c r="AU140" s="8"/>
      <c r="AV140" s="8"/>
      <c r="AW140" s="8"/>
      <c r="AX140" s="249"/>
      <c r="AZ140" s="70">
        <v>0</v>
      </c>
      <c r="BA140" s="71">
        <f t="shared" si="11"/>
        <v>90422.35</v>
      </c>
      <c r="BB140" s="72">
        <f>'0001 - PS 01.1 ČS1 - elek...'!P133</f>
        <v>0</v>
      </c>
      <c r="BC140" s="71">
        <f>'0001 - PS 01.1 ČS1 - elek...'!J37</f>
        <v>90422.35</v>
      </c>
      <c r="BD140" s="71">
        <f>'0001 - PS 01.1 ČS1 - elek...'!J38</f>
        <v>0</v>
      </c>
      <c r="BE140" s="71">
        <f>'0001 - PS 01.1 ČS1 - elek...'!J39</f>
        <v>0</v>
      </c>
      <c r="BF140" s="71">
        <f>'0001 - PS 01.1 ČS1 - elek...'!J40</f>
        <v>0</v>
      </c>
      <c r="BG140" s="71">
        <f>'0001 - PS 01.1 ČS1 - elek...'!F37</f>
        <v>430582.61</v>
      </c>
      <c r="BH140" s="71">
        <f>'0001 - PS 01.1 ČS1 - elek...'!F38</f>
        <v>0</v>
      </c>
      <c r="BI140" s="71">
        <f>'0001 - PS 01.1 ČS1 - elek...'!F39</f>
        <v>0</v>
      </c>
      <c r="BJ140" s="71">
        <f>'0001 - PS 01.1 ČS1 - elek...'!F40</f>
        <v>0</v>
      </c>
      <c r="BK140" s="73">
        <f>'0001 - PS 01.1 ČS1 - elek...'!F41</f>
        <v>0</v>
      </c>
      <c r="CA140" s="24" t="s">
        <v>90</v>
      </c>
      <c r="CC140" s="24" t="s">
        <v>76</v>
      </c>
      <c r="CD140" s="24" t="s">
        <v>216</v>
      </c>
      <c r="CE140" s="24" t="s">
        <v>214</v>
      </c>
      <c r="CS140" s="24" t="s">
        <v>1</v>
      </c>
    </row>
    <row r="141" spans="1:97" s="3" customFormat="1" ht="16.5" customHeight="1" x14ac:dyDescent="0.2">
      <c r="B141" s="251"/>
      <c r="C141" s="252"/>
      <c r="D141" s="252"/>
      <c r="E141" s="379" t="s">
        <v>217</v>
      </c>
      <c r="F141" s="379"/>
      <c r="G141" s="379"/>
      <c r="H141" s="379"/>
      <c r="I141" s="379"/>
      <c r="J141" s="252"/>
      <c r="K141" s="379" t="s">
        <v>218</v>
      </c>
      <c r="L141" s="379"/>
      <c r="M141" s="379"/>
      <c r="N141" s="379"/>
      <c r="O141" s="379"/>
      <c r="P141" s="379"/>
      <c r="Q141" s="379"/>
      <c r="R141" s="379"/>
      <c r="S141" s="379"/>
      <c r="T141" s="379"/>
      <c r="U141" s="379"/>
      <c r="V141" s="379"/>
      <c r="W141" s="379"/>
      <c r="X141" s="379"/>
      <c r="Y141" s="379"/>
      <c r="Z141" s="379"/>
      <c r="AA141" s="379"/>
      <c r="AB141" s="379"/>
      <c r="AC141" s="379"/>
      <c r="AD141" s="379"/>
      <c r="AE141" s="379"/>
      <c r="AF141" s="379"/>
      <c r="AG141" s="385">
        <f>ROUND(AG142,2)</f>
        <v>432927.15</v>
      </c>
      <c r="AH141" s="384"/>
      <c r="AI141" s="384"/>
      <c r="AJ141" s="384"/>
      <c r="AK141" s="384"/>
      <c r="AL141" s="384"/>
      <c r="AM141" s="384"/>
      <c r="AN141" s="383">
        <f t="shared" si="10"/>
        <v>523841.85000000003</v>
      </c>
      <c r="AO141" s="384"/>
      <c r="AP141" s="384"/>
      <c r="AQ141" s="261">
        <f>'0001 - PS 04.1 ČS5 - elek...'!M125</f>
        <v>0</v>
      </c>
      <c r="AR141" s="261">
        <f>'0001 - PS 04.1 ČS5 - elek...'!O125</f>
        <v>0</v>
      </c>
      <c r="AS141" s="261">
        <f>'0001 - PS 04.1 ČS5 - elek...'!Q125</f>
        <v>432927.15000000008</v>
      </c>
      <c r="AT141" s="8"/>
      <c r="AU141" s="8"/>
      <c r="AV141" s="8"/>
      <c r="AW141" s="8"/>
      <c r="AX141" s="249" t="s">
        <v>86</v>
      </c>
      <c r="AZ141" s="70">
        <f>ROUND(AZ142,2)</f>
        <v>0</v>
      </c>
      <c r="BA141" s="71">
        <f t="shared" si="11"/>
        <v>90914.7</v>
      </c>
      <c r="BB141" s="72">
        <f>ROUND(BB142,5)</f>
        <v>0</v>
      </c>
      <c r="BC141" s="71">
        <f>ROUND(BG141*L29,2)</f>
        <v>90914.7</v>
      </c>
      <c r="BD141" s="71">
        <f>ROUND(BH141*L30,2)</f>
        <v>0</v>
      </c>
      <c r="BE141" s="71">
        <f>ROUND(BI141*L29,2)</f>
        <v>0</v>
      </c>
      <c r="BF141" s="71">
        <f>ROUND(BJ141*L30,2)</f>
        <v>0</v>
      </c>
      <c r="BG141" s="71">
        <f>ROUND(BG142,2)</f>
        <v>432927.15</v>
      </c>
      <c r="BH141" s="71">
        <f>ROUND(BH142,2)</f>
        <v>0</v>
      </c>
      <c r="BI141" s="71">
        <f>ROUND(BI142,2)</f>
        <v>0</v>
      </c>
      <c r="BJ141" s="71">
        <f>ROUND(BJ142,2)</f>
        <v>0</v>
      </c>
      <c r="BK141" s="73">
        <f>ROUND(BK142,2)</f>
        <v>0</v>
      </c>
      <c r="BZ141" s="24" t="s">
        <v>73</v>
      </c>
      <c r="CA141" s="24" t="s">
        <v>83</v>
      </c>
      <c r="CB141" s="24" t="s">
        <v>75</v>
      </c>
      <c r="CC141" s="24" t="s">
        <v>76</v>
      </c>
      <c r="CD141" s="24" t="s">
        <v>219</v>
      </c>
      <c r="CE141" s="24" t="s">
        <v>82</v>
      </c>
      <c r="CS141" s="24" t="s">
        <v>1</v>
      </c>
    </row>
    <row r="142" spans="1:97" s="3" customFormat="1" ht="16.5" customHeight="1" x14ac:dyDescent="0.2">
      <c r="A142" s="74" t="s">
        <v>92</v>
      </c>
      <c r="B142" s="47"/>
      <c r="C142" s="8"/>
      <c r="D142" s="8"/>
      <c r="E142" s="8"/>
      <c r="F142" s="378" t="s">
        <v>88</v>
      </c>
      <c r="G142" s="378"/>
      <c r="H142" s="378"/>
      <c r="I142" s="378"/>
      <c r="J142" s="378"/>
      <c r="K142" s="8"/>
      <c r="L142" s="378" t="s">
        <v>220</v>
      </c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81">
        <f>'0001 - PS 04.1 ČS5 - elek...'!J34</f>
        <v>432927.15</v>
      </c>
      <c r="AH142" s="382"/>
      <c r="AI142" s="382"/>
      <c r="AJ142" s="382"/>
      <c r="AK142" s="382"/>
      <c r="AL142" s="382"/>
      <c r="AM142" s="382"/>
      <c r="AN142" s="381">
        <f t="shared" si="10"/>
        <v>523841.85000000003</v>
      </c>
      <c r="AO142" s="382"/>
      <c r="AP142" s="382"/>
      <c r="AQ142" s="262">
        <v>0</v>
      </c>
      <c r="AR142" s="262">
        <v>0</v>
      </c>
      <c r="AS142" s="262">
        <v>432927.15</v>
      </c>
      <c r="AT142" s="8"/>
      <c r="AU142" s="8"/>
      <c r="AV142" s="8"/>
      <c r="AW142" s="8"/>
      <c r="AX142" s="249"/>
      <c r="AZ142" s="70">
        <v>0</v>
      </c>
      <c r="BA142" s="71">
        <f t="shared" si="11"/>
        <v>90914.7</v>
      </c>
      <c r="BB142" s="72">
        <f>'0001 - PS 04.1 ČS5 - elek...'!CA123</f>
        <v>0</v>
      </c>
      <c r="BC142" s="71">
        <f>'0001 - PS 04.1 ČS5 - elek...'!J37</f>
        <v>90914.7</v>
      </c>
      <c r="BD142" s="71">
        <f>'0001 - PS 04.1 ČS5 - elek...'!J38</f>
        <v>0</v>
      </c>
      <c r="BE142" s="71">
        <f>'0001 - PS 04.1 ČS5 - elek...'!J39</f>
        <v>0</v>
      </c>
      <c r="BF142" s="71">
        <f>'0001 - PS 04.1 ČS5 - elek...'!J40</f>
        <v>0</v>
      </c>
      <c r="BG142" s="71">
        <f>'0001 - PS 04.1 ČS5 - elek...'!F37</f>
        <v>432927.15</v>
      </c>
      <c r="BH142" s="71">
        <f>'0001 - PS 04.1 ČS5 - elek...'!F38</f>
        <v>0</v>
      </c>
      <c r="BI142" s="71">
        <f>'0001 - PS 04.1 ČS5 - elek...'!F39</f>
        <v>0</v>
      </c>
      <c r="BJ142" s="71">
        <f>'0001 - PS 04.1 ČS5 - elek...'!F40</f>
        <v>0</v>
      </c>
      <c r="BK142" s="73">
        <f>'0001 - PS 04.1 ČS5 - elek...'!F41</f>
        <v>0</v>
      </c>
      <c r="CA142" s="24" t="s">
        <v>90</v>
      </c>
      <c r="CC142" s="24" t="s">
        <v>76</v>
      </c>
      <c r="CD142" s="24" t="s">
        <v>221</v>
      </c>
      <c r="CE142" s="24" t="s">
        <v>219</v>
      </c>
      <c r="CS142" s="24" t="s">
        <v>1</v>
      </c>
    </row>
    <row r="143" spans="1:97" s="3" customFormat="1" ht="16.5" customHeight="1" x14ac:dyDescent="0.2">
      <c r="B143" s="251"/>
      <c r="C143" s="252"/>
      <c r="D143" s="252"/>
      <c r="E143" s="379" t="s">
        <v>222</v>
      </c>
      <c r="F143" s="379"/>
      <c r="G143" s="379"/>
      <c r="H143" s="379"/>
      <c r="I143" s="379"/>
      <c r="J143" s="252"/>
      <c r="K143" s="379" t="s">
        <v>223</v>
      </c>
      <c r="L143" s="379"/>
      <c r="M143" s="379"/>
      <c r="N143" s="379"/>
      <c r="O143" s="379"/>
      <c r="P143" s="379"/>
      <c r="Q143" s="379"/>
      <c r="R143" s="379"/>
      <c r="S143" s="379"/>
      <c r="T143" s="379"/>
      <c r="U143" s="379"/>
      <c r="V143" s="379"/>
      <c r="W143" s="379"/>
      <c r="X143" s="379"/>
      <c r="Y143" s="379"/>
      <c r="Z143" s="379"/>
      <c r="AA143" s="379"/>
      <c r="AB143" s="379"/>
      <c r="AC143" s="379"/>
      <c r="AD143" s="379"/>
      <c r="AE143" s="379"/>
      <c r="AF143" s="379"/>
      <c r="AG143" s="385">
        <f>ROUND(AG144,2)</f>
        <v>431549.03</v>
      </c>
      <c r="AH143" s="384"/>
      <c r="AI143" s="384"/>
      <c r="AJ143" s="384"/>
      <c r="AK143" s="384"/>
      <c r="AL143" s="384"/>
      <c r="AM143" s="384"/>
      <c r="AN143" s="383">
        <f t="shared" si="10"/>
        <v>522174.33</v>
      </c>
      <c r="AO143" s="384"/>
      <c r="AP143" s="384"/>
      <c r="AQ143" s="261">
        <f>'0001 - PS 06.1 ČS8 - elek...'!M126</f>
        <v>0</v>
      </c>
      <c r="AR143" s="261">
        <f>'0001 - PS 06.1 ČS8 - elek...'!O126</f>
        <v>0</v>
      </c>
      <c r="AS143" s="261">
        <f>'0001 - PS 06.1 ČS8 - elek...'!Q126</f>
        <v>431549.02999999997</v>
      </c>
      <c r="AT143" s="8"/>
      <c r="AU143" s="8"/>
      <c r="AV143" s="8"/>
      <c r="AW143" s="8"/>
      <c r="AX143" s="249" t="s">
        <v>86</v>
      </c>
      <c r="AZ143" s="70">
        <f>ROUND(AZ144,2)</f>
        <v>0</v>
      </c>
      <c r="BA143" s="71">
        <f t="shared" si="11"/>
        <v>90625.3</v>
      </c>
      <c r="BB143" s="72">
        <f>ROUND(BB144,5)</f>
        <v>0</v>
      </c>
      <c r="BC143" s="71">
        <f>ROUND(BG143*L29,2)</f>
        <v>90625.3</v>
      </c>
      <c r="BD143" s="71">
        <f>ROUND(BH143*L30,2)</f>
        <v>0</v>
      </c>
      <c r="BE143" s="71">
        <f>ROUND(BI143*L29,2)</f>
        <v>0</v>
      </c>
      <c r="BF143" s="71">
        <f>ROUND(BJ143*L30,2)</f>
        <v>0</v>
      </c>
      <c r="BG143" s="71">
        <f>ROUND(BG144,2)</f>
        <v>431549.03</v>
      </c>
      <c r="BH143" s="71">
        <f>ROUND(BH144,2)</f>
        <v>0</v>
      </c>
      <c r="BI143" s="71">
        <f>ROUND(BI144,2)</f>
        <v>0</v>
      </c>
      <c r="BJ143" s="71">
        <f>ROUND(BJ144,2)</f>
        <v>0</v>
      </c>
      <c r="BK143" s="73">
        <f>ROUND(BK144,2)</f>
        <v>0</v>
      </c>
      <c r="BZ143" s="24" t="s">
        <v>73</v>
      </c>
      <c r="CA143" s="24" t="s">
        <v>83</v>
      </c>
      <c r="CB143" s="24" t="s">
        <v>75</v>
      </c>
      <c r="CC143" s="24" t="s">
        <v>76</v>
      </c>
      <c r="CD143" s="24" t="s">
        <v>224</v>
      </c>
      <c r="CE143" s="24" t="s">
        <v>82</v>
      </c>
      <c r="CS143" s="24" t="s">
        <v>1</v>
      </c>
    </row>
    <row r="144" spans="1:97" s="3" customFormat="1" ht="16.5" customHeight="1" x14ac:dyDescent="0.2">
      <c r="A144" s="74" t="s">
        <v>92</v>
      </c>
      <c r="B144" s="47"/>
      <c r="C144" s="8"/>
      <c r="D144" s="8"/>
      <c r="E144" s="8"/>
      <c r="F144" s="378" t="s">
        <v>88</v>
      </c>
      <c r="G144" s="378"/>
      <c r="H144" s="378"/>
      <c r="I144" s="378"/>
      <c r="J144" s="378"/>
      <c r="K144" s="8"/>
      <c r="L144" s="378" t="s">
        <v>225</v>
      </c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81">
        <f>'0001 - PS 06.1 ČS8 - elek...'!J34</f>
        <v>431549.03</v>
      </c>
      <c r="AH144" s="382"/>
      <c r="AI144" s="382"/>
      <c r="AJ144" s="382"/>
      <c r="AK144" s="382"/>
      <c r="AL144" s="382"/>
      <c r="AM144" s="382"/>
      <c r="AN144" s="381">
        <f t="shared" si="10"/>
        <v>522174.33</v>
      </c>
      <c r="AO144" s="382"/>
      <c r="AP144" s="382"/>
      <c r="AQ144" s="262">
        <v>0</v>
      </c>
      <c r="AR144" s="262">
        <v>0</v>
      </c>
      <c r="AS144" s="262">
        <v>431549.03</v>
      </c>
      <c r="AT144" s="8"/>
      <c r="AU144" s="8"/>
      <c r="AV144" s="8"/>
      <c r="AW144" s="8"/>
      <c r="AX144" s="249"/>
      <c r="AZ144" s="70">
        <v>0</v>
      </c>
      <c r="BA144" s="71">
        <f t="shared" si="11"/>
        <v>90625.3</v>
      </c>
      <c r="BB144" s="72">
        <f>'0001 - PS 06.1 ČS8 - elek...'!AU124</f>
        <v>0</v>
      </c>
      <c r="BC144" s="71">
        <f>'0001 - PS 06.1 ČS8 - elek...'!J37</f>
        <v>90625.3</v>
      </c>
      <c r="BD144" s="71">
        <f>'0001 - PS 06.1 ČS8 - elek...'!J38</f>
        <v>0</v>
      </c>
      <c r="BE144" s="71">
        <f>'0001 - PS 06.1 ČS8 - elek...'!J39</f>
        <v>0</v>
      </c>
      <c r="BF144" s="71">
        <f>'0001 - PS 06.1 ČS8 - elek...'!J40</f>
        <v>0</v>
      </c>
      <c r="BG144" s="71">
        <f>'0001 - PS 06.1 ČS8 - elek...'!F37</f>
        <v>431549.03</v>
      </c>
      <c r="BH144" s="71">
        <f>'0001 - PS 06.1 ČS8 - elek...'!F38</f>
        <v>0</v>
      </c>
      <c r="BI144" s="71">
        <f>'0001 - PS 06.1 ČS8 - elek...'!F39</f>
        <v>0</v>
      </c>
      <c r="BJ144" s="71">
        <f>'0001 - PS 06.1 ČS8 - elek...'!F40</f>
        <v>0</v>
      </c>
      <c r="BK144" s="73">
        <f>'0001 - PS 06.1 ČS8 - elek...'!F41</f>
        <v>0</v>
      </c>
      <c r="CA144" s="24" t="s">
        <v>90</v>
      </c>
      <c r="CC144" s="24" t="s">
        <v>76</v>
      </c>
      <c r="CD144" s="24" t="s">
        <v>226</v>
      </c>
      <c r="CE144" s="24" t="s">
        <v>224</v>
      </c>
      <c r="CS144" s="24" t="s">
        <v>1</v>
      </c>
    </row>
    <row r="145" spans="1:97" s="3" customFormat="1" ht="16.5" customHeight="1" x14ac:dyDescent="0.2">
      <c r="B145" s="251"/>
      <c r="C145" s="252"/>
      <c r="D145" s="252"/>
      <c r="E145" s="379" t="s">
        <v>227</v>
      </c>
      <c r="F145" s="379"/>
      <c r="G145" s="379"/>
      <c r="H145" s="379"/>
      <c r="I145" s="379"/>
      <c r="J145" s="252"/>
      <c r="K145" s="379" t="s">
        <v>228</v>
      </c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85">
        <f>ROUND(AG146,2)</f>
        <v>430527.14</v>
      </c>
      <c r="AH145" s="384"/>
      <c r="AI145" s="384"/>
      <c r="AJ145" s="384"/>
      <c r="AK145" s="384"/>
      <c r="AL145" s="384"/>
      <c r="AM145" s="384"/>
      <c r="AN145" s="383">
        <f t="shared" si="10"/>
        <v>520937.84</v>
      </c>
      <c r="AO145" s="384"/>
      <c r="AP145" s="384"/>
      <c r="AQ145" s="261">
        <f>'0001 - PS 08.1 ČS11 - ele...'!M125</f>
        <v>0</v>
      </c>
      <c r="AR145" s="261">
        <f>'0001 - PS 08.1 ČS11 - ele...'!O125</f>
        <v>0</v>
      </c>
      <c r="AS145" s="261">
        <f>'0001 - PS 08.1 ČS11 - ele...'!Q125</f>
        <v>430527.14</v>
      </c>
      <c r="AT145" s="8"/>
      <c r="AU145" s="8"/>
      <c r="AV145" s="8"/>
      <c r="AW145" s="8"/>
      <c r="AX145" s="249" t="s">
        <v>86</v>
      </c>
      <c r="AZ145" s="70">
        <f>ROUND(AZ146,2)</f>
        <v>0</v>
      </c>
      <c r="BA145" s="71">
        <f t="shared" si="11"/>
        <v>90410.7</v>
      </c>
      <c r="BB145" s="72">
        <f>ROUND(BB146,5)</f>
        <v>0</v>
      </c>
      <c r="BC145" s="71">
        <f>ROUND(BG145*L29,2)</f>
        <v>90410.7</v>
      </c>
      <c r="BD145" s="71">
        <f>ROUND(BH145*L30,2)</f>
        <v>0</v>
      </c>
      <c r="BE145" s="71">
        <f>ROUND(BI145*L29,2)</f>
        <v>0</v>
      </c>
      <c r="BF145" s="71">
        <f>ROUND(BJ145*L30,2)</f>
        <v>0</v>
      </c>
      <c r="BG145" s="71">
        <f>ROUND(BG146,2)</f>
        <v>430527.14</v>
      </c>
      <c r="BH145" s="71">
        <f>ROUND(BH146,2)</f>
        <v>0</v>
      </c>
      <c r="BI145" s="71">
        <f>ROUND(BI146,2)</f>
        <v>0</v>
      </c>
      <c r="BJ145" s="71">
        <f>ROUND(BJ146,2)</f>
        <v>0</v>
      </c>
      <c r="BK145" s="73">
        <f>ROUND(BK146,2)</f>
        <v>0</v>
      </c>
      <c r="BZ145" s="24" t="s">
        <v>73</v>
      </c>
      <c r="CA145" s="24" t="s">
        <v>83</v>
      </c>
      <c r="CB145" s="24" t="s">
        <v>75</v>
      </c>
      <c r="CC145" s="24" t="s">
        <v>76</v>
      </c>
      <c r="CD145" s="24" t="s">
        <v>229</v>
      </c>
      <c r="CE145" s="24" t="s">
        <v>82</v>
      </c>
      <c r="CS145" s="24" t="s">
        <v>1</v>
      </c>
    </row>
    <row r="146" spans="1:97" s="3" customFormat="1" ht="16.5" customHeight="1" x14ac:dyDescent="0.2">
      <c r="A146" s="74" t="s">
        <v>92</v>
      </c>
      <c r="B146" s="47"/>
      <c r="C146" s="8"/>
      <c r="D146" s="8"/>
      <c r="E146" s="8"/>
      <c r="F146" s="378" t="s">
        <v>88</v>
      </c>
      <c r="G146" s="378"/>
      <c r="H146" s="378"/>
      <c r="I146" s="378"/>
      <c r="J146" s="378"/>
      <c r="K146" s="8"/>
      <c r="L146" s="378" t="s">
        <v>230</v>
      </c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81">
        <f>'0001 - PS 08.1 ČS11 - ele...'!J34</f>
        <v>430527.14</v>
      </c>
      <c r="AH146" s="382"/>
      <c r="AI146" s="382"/>
      <c r="AJ146" s="382"/>
      <c r="AK146" s="382"/>
      <c r="AL146" s="382"/>
      <c r="AM146" s="382"/>
      <c r="AN146" s="381">
        <f t="shared" si="10"/>
        <v>520937.84</v>
      </c>
      <c r="AO146" s="382"/>
      <c r="AP146" s="382"/>
      <c r="AQ146" s="262">
        <v>0</v>
      </c>
      <c r="AR146" s="262">
        <v>0</v>
      </c>
      <c r="AS146" s="262">
        <v>430527.14</v>
      </c>
      <c r="AT146" s="8"/>
      <c r="AU146" s="8"/>
      <c r="AV146" s="8"/>
      <c r="AW146" s="8"/>
      <c r="AX146" s="249"/>
      <c r="AZ146" s="70">
        <v>0</v>
      </c>
      <c r="BA146" s="71">
        <f t="shared" si="11"/>
        <v>90410.7</v>
      </c>
      <c r="BB146" s="72">
        <f>'0001 - PS 08.1 ČS11 - ele...'!BK123</f>
        <v>0</v>
      </c>
      <c r="BC146" s="71">
        <f>'0001 - PS 08.1 ČS11 - ele...'!J37</f>
        <v>90410.7</v>
      </c>
      <c r="BD146" s="71">
        <f>'0001 - PS 08.1 ČS11 - ele...'!J38</f>
        <v>0</v>
      </c>
      <c r="BE146" s="71">
        <f>'0001 - PS 08.1 ČS11 - ele...'!J39</f>
        <v>0</v>
      </c>
      <c r="BF146" s="71">
        <f>'0001 - PS 08.1 ČS11 - ele...'!J40</f>
        <v>0</v>
      </c>
      <c r="BG146" s="71">
        <f>'0001 - PS 08.1 ČS11 - ele...'!F37</f>
        <v>430527.14</v>
      </c>
      <c r="BH146" s="71">
        <f>'0001 - PS 08.1 ČS11 - ele...'!F38</f>
        <v>0</v>
      </c>
      <c r="BI146" s="71">
        <f>'0001 - PS 08.1 ČS11 - ele...'!F39</f>
        <v>0</v>
      </c>
      <c r="BJ146" s="71">
        <f>'0001 - PS 08.1 ČS11 - ele...'!F40</f>
        <v>0</v>
      </c>
      <c r="BK146" s="73">
        <f>'0001 - PS 08.1 ČS11 - ele...'!F41</f>
        <v>0</v>
      </c>
      <c r="CA146" s="24" t="s">
        <v>90</v>
      </c>
      <c r="CC146" s="24" t="s">
        <v>76</v>
      </c>
      <c r="CD146" s="24" t="s">
        <v>231</v>
      </c>
      <c r="CE146" s="24" t="s">
        <v>229</v>
      </c>
      <c r="CS146" s="24" t="s">
        <v>1</v>
      </c>
    </row>
    <row r="147" spans="1:97" s="3" customFormat="1" ht="16.5" customHeight="1" x14ac:dyDescent="0.2">
      <c r="B147" s="251"/>
      <c r="C147" s="252"/>
      <c r="D147" s="252"/>
      <c r="E147" s="379" t="s">
        <v>232</v>
      </c>
      <c r="F147" s="379"/>
      <c r="G147" s="379"/>
      <c r="H147" s="379"/>
      <c r="I147" s="379"/>
      <c r="J147" s="252"/>
      <c r="K147" s="379" t="s">
        <v>233</v>
      </c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85">
        <f>ROUND(AG148,2)</f>
        <v>0</v>
      </c>
      <c r="AH147" s="384"/>
      <c r="AI147" s="384"/>
      <c r="AJ147" s="384"/>
      <c r="AK147" s="384"/>
      <c r="AL147" s="384"/>
      <c r="AM147" s="384"/>
      <c r="AN147" s="383">
        <f t="shared" si="10"/>
        <v>0</v>
      </c>
      <c r="AO147" s="384"/>
      <c r="AP147" s="384"/>
      <c r="AQ147" s="261">
        <f>AQ148</f>
        <v>0</v>
      </c>
      <c r="AR147" s="261">
        <f t="shared" ref="AR147:AS147" si="18">AR148</f>
        <v>0</v>
      </c>
      <c r="AS147" s="261">
        <f t="shared" si="18"/>
        <v>0</v>
      </c>
      <c r="AT147" s="8"/>
      <c r="AU147" s="8"/>
      <c r="AV147" s="8"/>
      <c r="AW147" s="8"/>
      <c r="AX147" s="249" t="s">
        <v>86</v>
      </c>
      <c r="AZ147" s="70">
        <f>ROUND(AZ148,2)</f>
        <v>0</v>
      </c>
      <c r="BA147" s="71">
        <f t="shared" si="11"/>
        <v>0</v>
      </c>
      <c r="BB147" s="72">
        <f>ROUND(BB148,5)</f>
        <v>0</v>
      </c>
      <c r="BC147" s="71">
        <f>ROUND(BG147*L29,2)</f>
        <v>0</v>
      </c>
      <c r="BD147" s="71">
        <f>ROUND(BH147*L30,2)</f>
        <v>0</v>
      </c>
      <c r="BE147" s="71">
        <f>ROUND(BI147*L29,2)</f>
        <v>0</v>
      </c>
      <c r="BF147" s="71">
        <f>ROUND(BJ147*L30,2)</f>
        <v>0</v>
      </c>
      <c r="BG147" s="71">
        <f>ROUND(BG148,2)</f>
        <v>0</v>
      </c>
      <c r="BH147" s="71">
        <f>ROUND(BH148,2)</f>
        <v>0</v>
      </c>
      <c r="BI147" s="71">
        <f>ROUND(BI148,2)</f>
        <v>0</v>
      </c>
      <c r="BJ147" s="71">
        <f>ROUND(BJ148,2)</f>
        <v>0</v>
      </c>
      <c r="BK147" s="73">
        <f>ROUND(BK148,2)</f>
        <v>0</v>
      </c>
      <c r="BZ147" s="24" t="s">
        <v>73</v>
      </c>
      <c r="CA147" s="24" t="s">
        <v>83</v>
      </c>
      <c r="CB147" s="24" t="s">
        <v>75</v>
      </c>
      <c r="CC147" s="24" t="s">
        <v>76</v>
      </c>
      <c r="CD147" s="24" t="s">
        <v>234</v>
      </c>
      <c r="CE147" s="24" t="s">
        <v>82</v>
      </c>
      <c r="CS147" s="24" t="s">
        <v>1</v>
      </c>
    </row>
    <row r="148" spans="1:97" s="3" customFormat="1" ht="23.25" customHeight="1" x14ac:dyDescent="0.2">
      <c r="A148" s="74" t="s">
        <v>92</v>
      </c>
      <c r="B148" s="47"/>
      <c r="C148" s="8"/>
      <c r="D148" s="8"/>
      <c r="E148" s="8"/>
      <c r="F148" s="378" t="s">
        <v>88</v>
      </c>
      <c r="G148" s="378"/>
      <c r="H148" s="378"/>
      <c r="I148" s="378"/>
      <c r="J148" s="378"/>
      <c r="K148" s="8"/>
      <c r="L148" s="378" t="s">
        <v>235</v>
      </c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81">
        <f>'0001 - PS 10 Domovní čerp...'!J34</f>
        <v>0</v>
      </c>
      <c r="AH148" s="382"/>
      <c r="AI148" s="382"/>
      <c r="AJ148" s="382"/>
      <c r="AK148" s="382"/>
      <c r="AL148" s="382"/>
      <c r="AM148" s="382"/>
      <c r="AN148" s="381">
        <f t="shared" si="10"/>
        <v>0</v>
      </c>
      <c r="AO148" s="382"/>
      <c r="AP148" s="382"/>
      <c r="AQ148" s="262">
        <v>0</v>
      </c>
      <c r="AR148" s="262">
        <v>0</v>
      </c>
      <c r="AS148" s="262">
        <v>0</v>
      </c>
      <c r="AT148" s="8"/>
      <c r="AU148" s="8"/>
      <c r="AV148" s="8"/>
      <c r="AW148" s="8"/>
      <c r="AX148" s="249" t="s">
        <v>86</v>
      </c>
      <c r="AZ148" s="70">
        <v>0</v>
      </c>
      <c r="BA148" s="71">
        <f t="shared" si="11"/>
        <v>0</v>
      </c>
      <c r="BB148" s="72">
        <f>'0001 - PS 10 Domovní čerp...'!P126</f>
        <v>0</v>
      </c>
      <c r="BC148" s="71">
        <f>'0001 - PS 10 Domovní čerp...'!J37</f>
        <v>0</v>
      </c>
      <c r="BD148" s="71">
        <f>'0001 - PS 10 Domovní čerp...'!J38</f>
        <v>0</v>
      </c>
      <c r="BE148" s="71">
        <f>'0001 - PS 10 Domovní čerp...'!J39</f>
        <v>0</v>
      </c>
      <c r="BF148" s="71">
        <f>'0001 - PS 10 Domovní čerp...'!J40</f>
        <v>0</v>
      </c>
      <c r="BG148" s="71">
        <f>'0001 - PS 10 Domovní čerp...'!F37</f>
        <v>0</v>
      </c>
      <c r="BH148" s="71">
        <f>'0001 - PS 10 Domovní čerp...'!F38</f>
        <v>0</v>
      </c>
      <c r="BI148" s="71">
        <f>'0001 - PS 10 Domovní čerp...'!F39</f>
        <v>0</v>
      </c>
      <c r="BJ148" s="71">
        <f>'0001 - PS 10 Domovní čerp...'!F40</f>
        <v>0</v>
      </c>
      <c r="BK148" s="73">
        <f>'0001 - PS 10 Domovní čerp...'!F41</f>
        <v>0</v>
      </c>
      <c r="CA148" s="24" t="s">
        <v>90</v>
      </c>
      <c r="CC148" s="24" t="s">
        <v>76</v>
      </c>
      <c r="CD148" s="24" t="s">
        <v>236</v>
      </c>
      <c r="CE148" s="24" t="s">
        <v>234</v>
      </c>
      <c r="CS148" s="24" t="s">
        <v>1</v>
      </c>
    </row>
    <row r="149" spans="1:97" s="3" customFormat="1" ht="23.25" customHeight="1" x14ac:dyDescent="0.2">
      <c r="A149" s="74" t="s">
        <v>92</v>
      </c>
      <c r="B149" s="47"/>
      <c r="C149" s="8"/>
      <c r="D149" s="8"/>
      <c r="E149" s="378" t="s">
        <v>237</v>
      </c>
      <c r="F149" s="378"/>
      <c r="G149" s="378"/>
      <c r="H149" s="378"/>
      <c r="I149" s="378"/>
      <c r="J149" s="8"/>
      <c r="K149" s="378" t="s">
        <v>238</v>
      </c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81">
        <f>'024 - PS11 Stávající čerp...'!J32</f>
        <v>119349.17</v>
      </c>
      <c r="AH149" s="382"/>
      <c r="AI149" s="382"/>
      <c r="AJ149" s="382"/>
      <c r="AK149" s="382"/>
      <c r="AL149" s="382"/>
      <c r="AM149" s="382"/>
      <c r="AN149" s="381">
        <f t="shared" si="10"/>
        <v>144412.5</v>
      </c>
      <c r="AO149" s="382"/>
      <c r="AP149" s="382"/>
      <c r="AQ149" s="262">
        <f>'024 - PS11 Stávající čerp...'!M116</f>
        <v>0</v>
      </c>
      <c r="AR149" s="262">
        <f>'024 - PS11 Stávající čerp...'!O116</f>
        <v>0</v>
      </c>
      <c r="AS149" s="262">
        <f>'024 - PS11 Stávající čerp...'!Q116</f>
        <v>119349.17</v>
      </c>
      <c r="AT149" s="8"/>
      <c r="AU149" s="8"/>
      <c r="AV149" s="8"/>
      <c r="AW149" s="8"/>
      <c r="AX149" s="249"/>
      <c r="AZ149" s="70">
        <v>0</v>
      </c>
      <c r="BA149" s="71">
        <f t="shared" si="11"/>
        <v>25063.33</v>
      </c>
      <c r="BB149" s="72">
        <f>'024 - PS11 Stávající čerp...'!CA114</f>
        <v>0</v>
      </c>
      <c r="BC149" s="71">
        <f>'024 - PS11 Stávající čerp...'!J35</f>
        <v>25063.33</v>
      </c>
      <c r="BD149" s="71">
        <f>'024 - PS11 Stávající čerp...'!J36</f>
        <v>0</v>
      </c>
      <c r="BE149" s="71">
        <f>'024 - PS11 Stávající čerp...'!J37</f>
        <v>0</v>
      </c>
      <c r="BF149" s="71">
        <f>'024 - PS11 Stávající čerp...'!J38</f>
        <v>0</v>
      </c>
      <c r="BG149" s="71">
        <f>'024 - PS11 Stávající čerp...'!F35</f>
        <v>119349.17</v>
      </c>
      <c r="BH149" s="71">
        <f>'024 - PS11 Stávající čerp...'!F36</f>
        <v>0</v>
      </c>
      <c r="BI149" s="71">
        <f>'024 - PS11 Stávající čerp...'!F37</f>
        <v>0</v>
      </c>
      <c r="BJ149" s="71">
        <f>'024 - PS11 Stávající čerp...'!F38</f>
        <v>0</v>
      </c>
      <c r="BK149" s="73">
        <f>'024 - PS11 Stávající čerp...'!F39</f>
        <v>0</v>
      </c>
      <c r="CA149" s="24" t="s">
        <v>83</v>
      </c>
      <c r="CC149" s="24" t="s">
        <v>76</v>
      </c>
      <c r="CD149" s="24" t="s">
        <v>239</v>
      </c>
      <c r="CE149" s="24" t="s">
        <v>82</v>
      </c>
      <c r="CS149" s="24" t="s">
        <v>1</v>
      </c>
    </row>
    <row r="150" spans="1:97" s="3" customFormat="1" ht="16.5" customHeight="1" x14ac:dyDescent="0.2">
      <c r="A150" s="74" t="s">
        <v>92</v>
      </c>
      <c r="B150" s="47"/>
      <c r="C150" s="8"/>
      <c r="D150" s="8"/>
      <c r="E150" s="378" t="s">
        <v>240</v>
      </c>
      <c r="F150" s="378"/>
      <c r="G150" s="378"/>
      <c r="H150" s="378"/>
      <c r="I150" s="378"/>
      <c r="J150" s="8"/>
      <c r="K150" s="378" t="s">
        <v>241</v>
      </c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81">
        <f>'025 - Ostatní a vedlejší ...'!J32</f>
        <v>3606047.4</v>
      </c>
      <c r="AH150" s="382"/>
      <c r="AI150" s="382"/>
      <c r="AJ150" s="382"/>
      <c r="AK150" s="382"/>
      <c r="AL150" s="382"/>
      <c r="AM150" s="382"/>
      <c r="AN150" s="381">
        <f t="shared" si="10"/>
        <v>4363317.3499999996</v>
      </c>
      <c r="AO150" s="382"/>
      <c r="AP150" s="382"/>
      <c r="AQ150" s="262">
        <f>'025 - Ostatní a vedlejší ...'!M135</f>
        <v>0</v>
      </c>
      <c r="AR150" s="262">
        <f>'025 - Ostatní a vedlejší ...'!O135</f>
        <v>0</v>
      </c>
      <c r="AS150" s="262">
        <f>'025 - Ostatní a vedlejší ...'!Q135</f>
        <v>3606047.4000000008</v>
      </c>
      <c r="AT150" s="8"/>
      <c r="AU150" s="8"/>
      <c r="AV150" s="8"/>
      <c r="AW150" s="8"/>
      <c r="AX150" s="249"/>
      <c r="AZ150" s="75">
        <v>0</v>
      </c>
      <c r="BA150" s="76">
        <f t="shared" si="11"/>
        <v>757269.95</v>
      </c>
      <c r="BB150" s="77">
        <f>'025 - Ostatní a vedlejší ...'!CI133</f>
        <v>0</v>
      </c>
      <c r="BC150" s="76">
        <f>'025 - Ostatní a vedlejší ...'!J35</f>
        <v>757269.95</v>
      </c>
      <c r="BD150" s="76">
        <f>'025 - Ostatní a vedlejší ...'!J36</f>
        <v>0</v>
      </c>
      <c r="BE150" s="76">
        <f>'025 - Ostatní a vedlejší ...'!J37</f>
        <v>0</v>
      </c>
      <c r="BF150" s="76">
        <f>'025 - Ostatní a vedlejší ...'!J38</f>
        <v>0</v>
      </c>
      <c r="BG150" s="76">
        <f>'025 - Ostatní a vedlejší ...'!F35</f>
        <v>3606047.4</v>
      </c>
      <c r="BH150" s="76">
        <f>'025 - Ostatní a vedlejší ...'!F36</f>
        <v>0</v>
      </c>
      <c r="BI150" s="76">
        <f>'025 - Ostatní a vedlejší ...'!F37</f>
        <v>0</v>
      </c>
      <c r="BJ150" s="76">
        <f>'025 - Ostatní a vedlejší ...'!F38</f>
        <v>0</v>
      </c>
      <c r="BK150" s="78">
        <f>'025 - Ostatní a vedlejší ...'!F39</f>
        <v>0</v>
      </c>
      <c r="CA150" s="24" t="s">
        <v>83</v>
      </c>
      <c r="CC150" s="24" t="s">
        <v>76</v>
      </c>
      <c r="CD150" s="24" t="s">
        <v>242</v>
      </c>
      <c r="CE150" s="24" t="s">
        <v>82</v>
      </c>
      <c r="CS150" s="24" t="s">
        <v>1</v>
      </c>
    </row>
    <row r="151" spans="1:97" s="1" customFormat="1" ht="30" customHeight="1" x14ac:dyDescent="0.2">
      <c r="B151" s="31"/>
      <c r="AQ151" s="263"/>
      <c r="AR151" s="263"/>
      <c r="AS151" s="263"/>
    </row>
    <row r="152" spans="1:97" s="1" customFormat="1" ht="6.95" customHeight="1" x14ac:dyDescent="0.2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264"/>
      <c r="AR152" s="264"/>
      <c r="AS152" s="264"/>
    </row>
    <row r="154" spans="1:97" ht="20.25" x14ac:dyDescent="0.3">
      <c r="M154" s="375" t="s">
        <v>3973</v>
      </c>
      <c r="N154" s="375"/>
      <c r="O154" s="375"/>
      <c r="P154" s="375"/>
      <c r="Q154" s="375"/>
      <c r="R154" s="375"/>
      <c r="S154" s="375"/>
      <c r="T154" s="375"/>
      <c r="U154" s="375"/>
      <c r="AE154" s="375" t="s">
        <v>3977</v>
      </c>
      <c r="AF154" s="375"/>
      <c r="AG154" s="375"/>
      <c r="AR154" s="377">
        <v>-79964.259999999995</v>
      </c>
      <c r="AS154" s="376" t="s">
        <v>3974</v>
      </c>
    </row>
    <row r="155" spans="1:97" ht="20.25" x14ac:dyDescent="0.3">
      <c r="M155" s="375" t="s">
        <v>3976</v>
      </c>
      <c r="N155" s="375"/>
      <c r="O155" s="375"/>
      <c r="P155" s="375"/>
      <c r="Q155" s="375"/>
      <c r="R155" s="375"/>
      <c r="S155" s="375"/>
      <c r="T155" s="375"/>
      <c r="U155" s="375"/>
      <c r="AR155" s="377">
        <v>-607056.81000000006</v>
      </c>
      <c r="AS155" s="376" t="s">
        <v>3975</v>
      </c>
    </row>
    <row r="156" spans="1:97" ht="20.25" x14ac:dyDescent="0.3">
      <c r="M156" s="375"/>
      <c r="N156" s="375"/>
      <c r="O156" s="375"/>
      <c r="P156" s="375"/>
      <c r="Q156" s="375"/>
      <c r="R156" s="375"/>
      <c r="S156" s="375"/>
      <c r="T156" s="375"/>
      <c r="U156" s="375"/>
    </row>
  </sheetData>
  <mergeCells count="292">
    <mergeCell ref="X35:AB35"/>
    <mergeCell ref="AK26:AO26"/>
    <mergeCell ref="L28:P28"/>
    <mergeCell ref="W28:AE28"/>
    <mergeCell ref="AK28:AO28"/>
    <mergeCell ref="AK29:AO29"/>
    <mergeCell ref="L29:P29"/>
    <mergeCell ref="W29:AE29"/>
    <mergeCell ref="L33:P33"/>
    <mergeCell ref="W33:AE33"/>
    <mergeCell ref="AK33:AO33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AY2:BL2"/>
    <mergeCell ref="AN93:AP93"/>
    <mergeCell ref="AG93:AM93"/>
    <mergeCell ref="AN94:AP94"/>
    <mergeCell ref="AG94:AM94"/>
    <mergeCell ref="AG95:AM95"/>
    <mergeCell ref="AN95:AP95"/>
    <mergeCell ref="M91:AF91"/>
    <mergeCell ref="AZ83:BA83"/>
    <mergeCell ref="AN84:AP84"/>
    <mergeCell ref="AG84:AM84"/>
    <mergeCell ref="AN87:AP87"/>
    <mergeCell ref="AG87:AM87"/>
    <mergeCell ref="AN88:AP88"/>
    <mergeCell ref="AG88:AM88"/>
    <mergeCell ref="AG89:AM89"/>
    <mergeCell ref="AN89:AP89"/>
    <mergeCell ref="AN90:AP90"/>
    <mergeCell ref="BL5:BL34"/>
    <mergeCell ref="AQ81:AS82"/>
    <mergeCell ref="K5:AO5"/>
    <mergeCell ref="K6:AO6"/>
    <mergeCell ref="E14:AJ14"/>
    <mergeCell ref="E23:AN23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K35:AO35"/>
    <mergeCell ref="AG90:AM90"/>
    <mergeCell ref="AG91:AM91"/>
    <mergeCell ref="AN91:AP91"/>
    <mergeCell ref="AN92:AP92"/>
    <mergeCell ref="AG92:AM92"/>
    <mergeCell ref="AG86:AM86"/>
    <mergeCell ref="AN86:AP86"/>
    <mergeCell ref="AG96:AM96"/>
    <mergeCell ref="AN96:AP96"/>
    <mergeCell ref="C83:AP83"/>
    <mergeCell ref="C84:G84"/>
    <mergeCell ref="I84:AF84"/>
    <mergeCell ref="J87:AF87"/>
    <mergeCell ref="D87:H87"/>
    <mergeCell ref="K88:AF88"/>
    <mergeCell ref="AG101:AM101"/>
    <mergeCell ref="AN101:AP101"/>
    <mergeCell ref="AG102:AM102"/>
    <mergeCell ref="AN102:AP102"/>
    <mergeCell ref="AN103:AP103"/>
    <mergeCell ref="AG103:AM103"/>
    <mergeCell ref="AN104:AP104"/>
    <mergeCell ref="AG104:AM104"/>
    <mergeCell ref="AG105:AM105"/>
    <mergeCell ref="AN105:AP105"/>
    <mergeCell ref="AG106:AM106"/>
    <mergeCell ref="AN106:AP106"/>
    <mergeCell ref="AG107:AM107"/>
    <mergeCell ref="AN107:AP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N113:AP113"/>
    <mergeCell ref="AG113:AM113"/>
    <mergeCell ref="AN114:AP114"/>
    <mergeCell ref="AG114:AM114"/>
    <mergeCell ref="AG115:AM115"/>
    <mergeCell ref="AN115:AP115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G125:AM125"/>
    <mergeCell ref="AN125:AP125"/>
    <mergeCell ref="AG126:AM126"/>
    <mergeCell ref="AN126:AP126"/>
    <mergeCell ref="AG127:AM127"/>
    <mergeCell ref="AN127:AP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G134:AM134"/>
    <mergeCell ref="AN134:AP134"/>
    <mergeCell ref="AG135:AM135"/>
    <mergeCell ref="AN135:AP135"/>
    <mergeCell ref="AG136:AM136"/>
    <mergeCell ref="AN136:AP136"/>
    <mergeCell ref="AG137:AM137"/>
    <mergeCell ref="AN137:AP137"/>
    <mergeCell ref="AN138:AP138"/>
    <mergeCell ref="AG138:AM138"/>
    <mergeCell ref="AG139:AM139"/>
    <mergeCell ref="AN139:AP139"/>
    <mergeCell ref="AG140:AM140"/>
    <mergeCell ref="AN140:AP140"/>
    <mergeCell ref="AN141:AP141"/>
    <mergeCell ref="AG141:AM141"/>
    <mergeCell ref="AG142:AM142"/>
    <mergeCell ref="AN142:AP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E88:I88"/>
    <mergeCell ref="F89:J89"/>
    <mergeCell ref="L89:AF89"/>
    <mergeCell ref="M90:AF90"/>
    <mergeCell ref="G90:K90"/>
    <mergeCell ref="M96:AF96"/>
    <mergeCell ref="G96:K96"/>
    <mergeCell ref="G91:K91"/>
    <mergeCell ref="M92:AF92"/>
    <mergeCell ref="G92:K92"/>
    <mergeCell ref="G93:K93"/>
    <mergeCell ref="M93:AF93"/>
    <mergeCell ref="M94:AF94"/>
    <mergeCell ref="G94:K94"/>
    <mergeCell ref="M95:AF95"/>
    <mergeCell ref="G95:K95"/>
    <mergeCell ref="L97:AF97"/>
    <mergeCell ref="F97:J97"/>
    <mergeCell ref="M98:AF98"/>
    <mergeCell ref="G98:K98"/>
    <mergeCell ref="M99:AF99"/>
    <mergeCell ref="G99:K99"/>
    <mergeCell ref="M100:AF100"/>
    <mergeCell ref="G100:K100"/>
    <mergeCell ref="M101:AF101"/>
    <mergeCell ref="G101:K101"/>
    <mergeCell ref="M102:AF102"/>
    <mergeCell ref="G102:K102"/>
    <mergeCell ref="G103:K103"/>
    <mergeCell ref="M103:AF103"/>
    <mergeCell ref="M104:AF104"/>
    <mergeCell ref="G104:K104"/>
    <mergeCell ref="L105:AF105"/>
    <mergeCell ref="F105:J105"/>
    <mergeCell ref="G106:K106"/>
    <mergeCell ref="M106:AF106"/>
    <mergeCell ref="G107:K107"/>
    <mergeCell ref="M107:AF107"/>
    <mergeCell ref="G108:K108"/>
    <mergeCell ref="M108:AF108"/>
    <mergeCell ref="F109:J109"/>
    <mergeCell ref="L109:AF109"/>
    <mergeCell ref="G110:K110"/>
    <mergeCell ref="M110:AF110"/>
    <mergeCell ref="M111:AF111"/>
    <mergeCell ref="G111:K111"/>
    <mergeCell ref="M112:AF112"/>
    <mergeCell ref="G112:K112"/>
    <mergeCell ref="E113:I113"/>
    <mergeCell ref="K113:AF113"/>
    <mergeCell ref="L114:AF114"/>
    <mergeCell ref="F114:J114"/>
    <mergeCell ref="L115:AF115"/>
    <mergeCell ref="F115:J115"/>
    <mergeCell ref="L116:AF116"/>
    <mergeCell ref="F116:J116"/>
    <mergeCell ref="E117:I117"/>
    <mergeCell ref="K117:AF117"/>
    <mergeCell ref="L118:AF118"/>
    <mergeCell ref="F118:J118"/>
    <mergeCell ref="F119:J119"/>
    <mergeCell ref="L119:AF119"/>
    <mergeCell ref="L120:AF120"/>
    <mergeCell ref="F120:J120"/>
    <mergeCell ref="K141:AF141"/>
    <mergeCell ref="K139:AF139"/>
    <mergeCell ref="K137:AF137"/>
    <mergeCell ref="K125:AF125"/>
    <mergeCell ref="K143:AF143"/>
    <mergeCell ref="K134:AF134"/>
    <mergeCell ref="K121:AF121"/>
    <mergeCell ref="K145:AF145"/>
    <mergeCell ref="K129:AF129"/>
    <mergeCell ref="L122:AF122"/>
    <mergeCell ref="L144:AF144"/>
    <mergeCell ref="L142:AF142"/>
    <mergeCell ref="L123:AF123"/>
    <mergeCell ref="L131:AF131"/>
    <mergeCell ref="L138:AF138"/>
    <mergeCell ref="L124:AF124"/>
    <mergeCell ref="L130:AF130"/>
    <mergeCell ref="L136:AF136"/>
    <mergeCell ref="L135:AF135"/>
    <mergeCell ref="L126:AF126"/>
    <mergeCell ref="L127:AF127"/>
    <mergeCell ref="L128:AF128"/>
    <mergeCell ref="L132:AF132"/>
    <mergeCell ref="L140:AF140"/>
    <mergeCell ref="L133:AF133"/>
    <mergeCell ref="L146:AF146"/>
    <mergeCell ref="K147:AF147"/>
    <mergeCell ref="L148:AF148"/>
    <mergeCell ref="K149:AF149"/>
    <mergeCell ref="K150:AF150"/>
    <mergeCell ref="E121:I121"/>
    <mergeCell ref="E129:I129"/>
    <mergeCell ref="E145:I145"/>
    <mergeCell ref="E134:I134"/>
    <mergeCell ref="E125:I125"/>
    <mergeCell ref="E139:I139"/>
    <mergeCell ref="E137:I137"/>
    <mergeCell ref="E141:I141"/>
    <mergeCell ref="E143:I143"/>
    <mergeCell ref="F138:J138"/>
    <mergeCell ref="F131:J131"/>
    <mergeCell ref="F136:J136"/>
    <mergeCell ref="F135:J135"/>
    <mergeCell ref="F142:J142"/>
    <mergeCell ref="F133:J133"/>
    <mergeCell ref="F132:J132"/>
    <mergeCell ref="F144:J144"/>
    <mergeCell ref="F140:J140"/>
    <mergeCell ref="F130:J130"/>
    <mergeCell ref="E149:I149"/>
    <mergeCell ref="E150:I150"/>
    <mergeCell ref="F146:J146"/>
    <mergeCell ref="F123:J123"/>
    <mergeCell ref="F128:J128"/>
    <mergeCell ref="F124:J124"/>
    <mergeCell ref="F127:J127"/>
    <mergeCell ref="F126:J126"/>
    <mergeCell ref="F122:J122"/>
    <mergeCell ref="E147:I147"/>
    <mergeCell ref="F148:J148"/>
  </mergeCells>
  <hyperlinks>
    <hyperlink ref="A90" location="'00001 - DSO 01.1a Stoka A'!C2" display="/"/>
    <hyperlink ref="A91" location="'00002 - DSO 01.1b Stoka A1'!C2" display="/"/>
    <hyperlink ref="A92" location="'00003 - DSO 01.1c Stoka A2a'!C2" display="/"/>
    <hyperlink ref="A93" location="'00004 - DSO 01.1d Stoka A3'!C2" display="/"/>
    <hyperlink ref="A94" location="'00005 - DSO 01.1e Stoka A4'!C2" display="/"/>
    <hyperlink ref="A95" location="'00006 - DSO 01.1f Stoka A4a'!C2" display="/"/>
    <hyperlink ref="A96" location="'00007 - DSO 01.1g Stoka A4b'!C2" display="/"/>
    <hyperlink ref="A98" location="'00001 - DSO 01.1.1a Kanal...'!C2" display="/"/>
    <hyperlink ref="A99" location="'00002 - DSO 01.1.1b Kanal...'!C2" display="/"/>
    <hyperlink ref="A100" location="'00003 - DSO 01.1.1c Kanal...'!C2" display="/"/>
    <hyperlink ref="A101" location="'00004 - DSO 01.1.1d Kanal...'!C2" display="/"/>
    <hyperlink ref="A102" location="'00005 - DSO 01.1.1e Kanal...'!C2" display="/"/>
    <hyperlink ref="A103" location="'00006 - DSO 01.1.1f Kanal...'!C2" display="/"/>
    <hyperlink ref="A104" location="'00007 - DSO 01.1.1g Kanal...'!C2" display="/"/>
    <hyperlink ref="A106" location="'00001 - DSO 01.3a Stoka D'!C2" display="/"/>
    <hyperlink ref="A107" location="'00002 - DSO 01.3b Stoka DA'!C2" display="/"/>
    <hyperlink ref="A108" location="'00007 - DSO 01.3g Stoka D3'!C2" display="/"/>
    <hyperlink ref="A110" location="'00001 - DSO 01.3.1a Kanal...'!C2" display="/"/>
    <hyperlink ref="A111" location="'00002 - DSO 01.3.1b Kanal...'!C2" display="/"/>
    <hyperlink ref="A112" location="'00007 - DSO 01.3.1g Kanal...'!C2" display="/"/>
    <hyperlink ref="A114" location="'0001 - DSO 02.1 Čerpací s...'!C2" display="/"/>
    <hyperlink ref="A115" location="'0002 - DSO 02.2 Čerpací s...'!C2" display="/"/>
    <hyperlink ref="A116" location="'0003 - DSO 02.3 Čerpací s...'!C2" display="/"/>
    <hyperlink ref="A118" location="'0001 - DSO 05.1 Čerpací s...'!C2" display="/"/>
    <hyperlink ref="A119" location="'0002 - DSO 05.2 Čerpací s...'!C2" display="/"/>
    <hyperlink ref="A120" location="'0003 - DSO 05.3 Čerpací s...'!C2" display="/"/>
    <hyperlink ref="A122" location="'0001 - DSO 07.1 Čerpací s...'!C2" display="/"/>
    <hyperlink ref="A123" location="'0002 - DSO 07.2 Čerpací s...'!C2" display="/"/>
    <hyperlink ref="A124" location="'0003 - DSO 07.3 Čerpací s...'!C2" display="/"/>
    <hyperlink ref="A126" location="'0001 - DSO 09.1 Čerpací s...'!C2" display="/"/>
    <hyperlink ref="A127" location="'0002 - DSO 09.2 Čerpací s...'!C2" display="/"/>
    <hyperlink ref="A128" location="'0003 - DSO 09.3 Čerpací s...'!C2" display="/"/>
    <hyperlink ref="A130" location="'0001 - DSO 11.1 Výtlak V1'!C2" display="/"/>
    <hyperlink ref="A131" location="'0004 - DSO 11.4 Výtlak V5'!C2" display="/"/>
    <hyperlink ref="A132" location="'0006 - DSO 11.6 Výtlak V8'!C2" display="/"/>
    <hyperlink ref="A133" location="'0008 - DSO 11.8 Výtlak V11'!C2" display="/"/>
    <hyperlink ref="A135" location="'0001 - DSO 12.1 Čerpací s...'!C2" display="/"/>
    <hyperlink ref="A136" location="'0002 - DSO 12.3 Čerpací s...'!C2" display="/"/>
    <hyperlink ref="A138" location="'0001 - PS Strojně-technol...'!C2" display="/"/>
    <hyperlink ref="A140" location="'0001 - PS 01.1 ČS1 - elek...'!C2" display="/"/>
    <hyperlink ref="A142" location="'0001 - PS 04.1 ČS5 - elek...'!C2" display="/"/>
    <hyperlink ref="A144" location="'0001 - PS 06.1 ČS8 - elek...'!C2" display="/"/>
    <hyperlink ref="A146" location="'0001 - PS 08.1 ČS11 - ele...'!C2" display="/"/>
    <hyperlink ref="A148" location="'0001 - PS 10 Domovní čerp...'!C2" display="/"/>
    <hyperlink ref="A149" location="'024 - PS11 Stávající čerp...'!C2" display="/"/>
    <hyperlink ref="A150" location="'025 - Ostatní a vedlejší ...'!C2" display="/"/>
  </hyperlinks>
  <pageMargins left="0.39370078740157483" right="0.39370078740157483" top="0.39370078740157483" bottom="0.39370078740157483" header="0" footer="0"/>
  <pageSetup paperSize="9" scale="45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EW429"/>
  <sheetViews>
    <sheetView windowProtection="1" showGridLines="0" topLeftCell="A113" zoomScale="85" zoomScaleNormal="85" workbookViewId="0">
      <selection activeCell="O136" sqref="O13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0.83203125" customWidth="1"/>
    <col min="13" max="13" width="16.6640625" customWidth="1"/>
    <col min="14" max="14" width="12.5" customWidth="1"/>
    <col min="15" max="15" width="23" customWidth="1"/>
    <col min="16" max="16" width="12.83203125" hidden="1" customWidth="1"/>
    <col min="17" max="17" width="22.1640625" hidden="1" customWidth="1"/>
    <col min="18" max="18" width="9.33203125" customWidth="1"/>
    <col min="19" max="19" width="12" customWidth="1"/>
    <col min="20" max="20" width="14.1640625" customWidth="1"/>
    <col min="21" max="21" width="11" customWidth="1"/>
    <col min="22" max="22" width="17.33203125" customWidth="1"/>
    <col min="23" max="23" width="11" customWidth="1"/>
    <col min="24" max="24" width="13.33203125" customWidth="1"/>
    <col min="25" max="25" width="13.1640625" customWidth="1"/>
    <col min="26" max="26" width="14.6640625" customWidth="1"/>
    <col min="27" max="27" width="9.33203125" customWidth="1"/>
    <col min="28" max="28" width="14.6640625" customWidth="1"/>
    <col min="29" max="29" width="10.83203125" customWidth="1"/>
    <col min="30" max="30" width="14.83203125" customWidth="1"/>
    <col min="31" max="31" width="9.33203125" customWidth="1"/>
    <col min="32" max="32" width="17.83203125" customWidth="1"/>
    <col min="33" max="33" width="9.33203125" customWidth="1"/>
    <col min="34" max="34" width="13.1640625" customWidth="1"/>
    <col min="35" max="37" width="9.33203125" customWidth="1"/>
    <col min="38" max="38" width="13" customWidth="1"/>
    <col min="39" max="39" width="9.33203125" customWidth="1"/>
    <col min="40" max="40" width="13" customWidth="1"/>
    <col min="41" max="41" width="9.33203125" customWidth="1"/>
    <col min="42" max="42" width="14.83203125" customWidth="1"/>
    <col min="43" max="43" width="9.33203125" customWidth="1"/>
    <col min="44" max="44" width="17.33203125" customWidth="1"/>
    <col min="45" max="100" width="9.33203125" customWidth="1"/>
    <col min="101" max="101" width="10.83203125" hidden="1" customWidth="1"/>
    <col min="102" max="102" width="0" hidden="1" customWidth="1"/>
    <col min="103" max="108" width="14.1640625" hidden="1" customWidth="1"/>
    <col min="109" max="109" width="16.33203125" customWidth="1"/>
    <col min="110" max="110" width="12.33203125" customWidth="1"/>
    <col min="111" max="111" width="16.33203125" customWidth="1"/>
    <col min="112" max="112" width="12.33203125" customWidth="1"/>
    <col min="113" max="113" width="15" customWidth="1"/>
    <col min="114" max="114" width="11" customWidth="1"/>
    <col min="115" max="115" width="15" customWidth="1"/>
    <col min="116" max="116" width="16.33203125" customWidth="1"/>
    <col min="117" max="117" width="11" customWidth="1"/>
    <col min="118" max="118" width="15" customWidth="1"/>
    <col min="119" max="119" width="16.33203125" customWidth="1"/>
    <col min="132" max="153" width="9.33203125" hidden="1"/>
  </cols>
  <sheetData>
    <row r="1" spans="2:134" hidden="1" x14ac:dyDescent="0.2"/>
    <row r="2" spans="2:134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9"/>
      <c r="CX2" s="399"/>
      <c r="CY2" s="399"/>
      <c r="CZ2" s="399"/>
      <c r="DA2" s="399"/>
      <c r="DB2" s="399"/>
      <c r="DC2" s="399"/>
      <c r="DD2" s="399"/>
      <c r="DE2" s="399"/>
      <c r="DF2" s="399"/>
      <c r="ED2" s="16" t="s">
        <v>96</v>
      </c>
    </row>
    <row r="3" spans="2:134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D3" s="16" t="s">
        <v>83</v>
      </c>
    </row>
    <row r="4" spans="2:134" ht="24.95" hidden="1" customHeight="1" x14ac:dyDescent="0.2">
      <c r="B4" s="19"/>
      <c r="D4" s="20" t="s">
        <v>243</v>
      </c>
      <c r="L4" s="19"/>
      <c r="CW4" s="79" t="s">
        <v>10</v>
      </c>
      <c r="ED4" s="16" t="s">
        <v>3</v>
      </c>
    </row>
    <row r="5" spans="2:134" ht="6.95" hidden="1" customHeight="1" x14ac:dyDescent="0.2">
      <c r="B5" s="19"/>
      <c r="L5" s="19"/>
    </row>
    <row r="6" spans="2:134" ht="12" hidden="1" customHeight="1" x14ac:dyDescent="0.2">
      <c r="B6" s="19"/>
      <c r="D6" s="26" t="s">
        <v>16</v>
      </c>
      <c r="L6" s="19"/>
    </row>
    <row r="7" spans="2:134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34" ht="12.75" hidden="1" x14ac:dyDescent="0.2">
      <c r="B8" s="19"/>
      <c r="D8" s="26" t="s">
        <v>244</v>
      </c>
      <c r="L8" s="19"/>
    </row>
    <row r="9" spans="2:134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34" ht="12" hidden="1" customHeight="1" x14ac:dyDescent="0.2">
      <c r="B10" s="19"/>
      <c r="D10" s="26" t="s">
        <v>246</v>
      </c>
      <c r="L10" s="19"/>
    </row>
    <row r="11" spans="2:134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34" s="1" customFormat="1" ht="12" hidden="1" customHeight="1" x14ac:dyDescent="0.2">
      <c r="B12" s="31"/>
      <c r="D12" s="26" t="s">
        <v>248</v>
      </c>
      <c r="L12" s="31"/>
    </row>
    <row r="13" spans="2:134" s="1" customFormat="1" ht="16.5" hidden="1" customHeight="1" x14ac:dyDescent="0.2">
      <c r="B13" s="31"/>
      <c r="E13" s="432" t="s">
        <v>249</v>
      </c>
      <c r="F13" s="433"/>
      <c r="G13" s="433"/>
      <c r="H13" s="433"/>
      <c r="L13" s="31"/>
    </row>
    <row r="14" spans="2:134" s="1" customFormat="1" hidden="1" x14ac:dyDescent="0.2">
      <c r="B14" s="31"/>
      <c r="L14" s="31"/>
    </row>
    <row r="15" spans="2:134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34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ROUND(J125, 2)</f>
        <v>15915071.16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ROUND((SUM(EO125:EO428)),  2)</f>
        <v>15915071.16</v>
      </c>
      <c r="I37" s="84">
        <v>0.21</v>
      </c>
      <c r="J37" s="71">
        <f>ROUND(((SUM(EO125:EO428))*I37),  2)</f>
        <v>3342164.94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ROUND((SUM(EP125:EP428)),  2)</f>
        <v>0</v>
      </c>
      <c r="I38" s="84">
        <v>0.15</v>
      </c>
      <c r="J38" s="71">
        <f>ROUND(((SUM(EP125:EP428))*I38),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ROUND((SUM(EQ125:EQ428)),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ROUND((SUM(ER125:ER428)),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ROUND((SUM(ES125:ES428)),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19257236.100000001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00001 - DSO 01.1a Stoka A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35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35" s="1" customFormat="1" ht="10.35" hidden="1" customHeight="1" x14ac:dyDescent="0.2">
      <c r="B98" s="31"/>
      <c r="L98" s="31"/>
    </row>
    <row r="99" spans="2:135" s="1" customFormat="1" ht="22.9" hidden="1" customHeight="1" x14ac:dyDescent="0.2">
      <c r="B99" s="31"/>
      <c r="C99" s="95" t="s">
        <v>256</v>
      </c>
      <c r="J99" s="58">
        <f>J125</f>
        <v>15915071.159999996</v>
      </c>
      <c r="L99" s="31"/>
      <c r="EE99" s="16" t="s">
        <v>257</v>
      </c>
    </row>
    <row r="100" spans="2:135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J126</f>
        <v>15915071.159999996</v>
      </c>
      <c r="L100" s="96"/>
    </row>
    <row r="101" spans="2:135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J128</f>
        <v>9881624.839999998</v>
      </c>
      <c r="L101" s="100"/>
    </row>
    <row r="102" spans="2:135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J255</f>
        <v>259843.22</v>
      </c>
      <c r="L102" s="100"/>
    </row>
    <row r="103" spans="2:135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J261</f>
        <v>185387.89000000004</v>
      </c>
      <c r="L103" s="100"/>
    </row>
    <row r="104" spans="2:135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J295</f>
        <v>2640197.54</v>
      </c>
      <c r="L104" s="100"/>
    </row>
    <row r="105" spans="2:135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J314</f>
        <v>1703259.8399999996</v>
      </c>
      <c r="L105" s="100"/>
    </row>
    <row r="106" spans="2:135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J387</f>
        <v>80347.179999999993</v>
      </c>
      <c r="L106" s="100"/>
    </row>
    <row r="107" spans="2:135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J402</f>
        <v>768474.79</v>
      </c>
      <c r="L107" s="100"/>
    </row>
    <row r="108" spans="2:135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J424</f>
        <v>395935.86</v>
      </c>
      <c r="L108" s="100"/>
    </row>
    <row r="109" spans="2:135" s="1" customFormat="1" ht="21.75" hidden="1" customHeight="1" x14ac:dyDescent="0.2">
      <c r="B109" s="31"/>
      <c r="L109" s="31"/>
    </row>
    <row r="110" spans="2:135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35" hidden="1" x14ac:dyDescent="0.2"/>
    <row r="112" spans="2:135" hidden="1" x14ac:dyDescent="0.2"/>
    <row r="114" spans="2:151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51" s="1" customFormat="1" ht="24.95" customHeight="1" x14ac:dyDescent="0.2">
      <c r="B115" s="31"/>
      <c r="C115" s="20" t="s">
        <v>3330</v>
      </c>
      <c r="L115" s="31"/>
    </row>
    <row r="116" spans="2:151" s="1" customFormat="1" ht="6.95" customHeight="1" x14ac:dyDescent="0.2">
      <c r="B116" s="31"/>
      <c r="L116" s="31"/>
    </row>
    <row r="117" spans="2:151" s="1" customFormat="1" ht="16.5" customHeight="1" x14ac:dyDescent="0.2">
      <c r="B117" s="31"/>
      <c r="E117" s="432" t="str">
        <f>E13</f>
        <v>00001 - DSO 01.1a Stoka A</v>
      </c>
      <c r="F117" s="433"/>
      <c r="G117" s="433"/>
      <c r="H117" s="433"/>
      <c r="L117" s="31"/>
    </row>
    <row r="118" spans="2:151" s="1" customFormat="1" ht="6.95" customHeight="1" x14ac:dyDescent="0.2">
      <c r="B118" s="31"/>
      <c r="L118" s="31"/>
    </row>
    <row r="119" spans="2:151" s="1" customFormat="1" ht="12" customHeight="1" x14ac:dyDescent="0.2">
      <c r="B119" s="31"/>
      <c r="C119" s="26"/>
      <c r="F119" s="24"/>
      <c r="I119" s="26"/>
      <c r="J119" s="48"/>
      <c r="L119" s="31"/>
    </row>
    <row r="120" spans="2:151" s="1" customFormat="1" ht="6.95" customHeight="1" x14ac:dyDescent="0.2">
      <c r="B120" s="31"/>
      <c r="L120" s="31"/>
    </row>
    <row r="121" spans="2:151" s="1" customFormat="1" ht="40.15" customHeight="1" x14ac:dyDescent="0.2">
      <c r="B121" s="31"/>
      <c r="C121" s="26"/>
      <c r="F121" s="24"/>
      <c r="I121" s="26"/>
      <c r="J121" s="29"/>
      <c r="L121" s="31"/>
    </row>
    <row r="122" spans="2:151" s="1" customFormat="1" ht="15.2" customHeight="1" x14ac:dyDescent="0.2">
      <c r="B122" s="31"/>
      <c r="C122" s="26"/>
      <c r="F122" s="24"/>
      <c r="I122" s="26"/>
      <c r="J122" s="29"/>
      <c r="L122" s="31"/>
    </row>
    <row r="123" spans="2:151" s="1" customFormat="1" ht="19.5" customHeight="1" x14ac:dyDescent="0.2">
      <c r="B123" s="31"/>
      <c r="I123" s="430" t="s">
        <v>3305</v>
      </c>
      <c r="J123" s="430"/>
      <c r="K123" s="431"/>
      <c r="L123" s="31"/>
    </row>
    <row r="124" spans="2:151" s="9" customFormat="1" ht="29.25" customHeight="1" thickBot="1" x14ac:dyDescent="0.25">
      <c r="B124" s="104"/>
      <c r="C124" s="105" t="s">
        <v>268</v>
      </c>
      <c r="D124" s="106" t="s">
        <v>59</v>
      </c>
      <c r="E124" s="106" t="s">
        <v>55</v>
      </c>
      <c r="F124" s="106" t="s">
        <v>56</v>
      </c>
      <c r="G124" s="106" t="s">
        <v>269</v>
      </c>
      <c r="H124" s="106" t="s">
        <v>270</v>
      </c>
      <c r="I124" s="106" t="s">
        <v>271</v>
      </c>
      <c r="J124" s="106" t="s">
        <v>255</v>
      </c>
      <c r="K124" s="107" t="s">
        <v>272</v>
      </c>
      <c r="L124" s="437" t="s">
        <v>3307</v>
      </c>
      <c r="M124" s="438"/>
      <c r="N124" s="438"/>
      <c r="O124" s="438"/>
      <c r="P124" s="438"/>
      <c r="Q124" s="439"/>
      <c r="CW124" s="52" t="s">
        <v>1</v>
      </c>
      <c r="CX124" s="53" t="s">
        <v>39</v>
      </c>
      <c r="CY124" s="53" t="s">
        <v>273</v>
      </c>
      <c r="CZ124" s="53" t="s">
        <v>274</v>
      </c>
      <c r="DA124" s="53" t="s">
        <v>275</v>
      </c>
      <c r="DB124" s="53" t="s">
        <v>276</v>
      </c>
      <c r="DC124" s="53" t="s">
        <v>277</v>
      </c>
      <c r="DD124" s="54" t="s">
        <v>278</v>
      </c>
    </row>
    <row r="125" spans="2:151" s="1" customFormat="1" ht="22.9" customHeight="1" x14ac:dyDescent="0.25">
      <c r="B125" s="31"/>
      <c r="C125" s="57" t="s">
        <v>279</v>
      </c>
      <c r="G125" s="1" t="s">
        <v>3306</v>
      </c>
      <c r="J125" s="108">
        <f>EU125</f>
        <v>15915071.159999996</v>
      </c>
      <c r="L125" s="440" t="s">
        <v>3308</v>
      </c>
      <c r="M125" s="441"/>
      <c r="N125" s="440" t="s">
        <v>3376</v>
      </c>
      <c r="O125" s="441"/>
      <c r="P125" s="440" t="s">
        <v>3309</v>
      </c>
      <c r="Q125" s="441"/>
      <c r="S125" s="442" t="s">
        <v>3312</v>
      </c>
      <c r="T125" s="443"/>
      <c r="U125" s="443" t="s">
        <v>3313</v>
      </c>
      <c r="V125" s="443"/>
      <c r="W125" s="444" t="s">
        <v>3314</v>
      </c>
      <c r="X125" s="444"/>
      <c r="Y125" s="444" t="s">
        <v>3315</v>
      </c>
      <c r="Z125" s="444"/>
      <c r="AA125" s="444" t="s">
        <v>3316</v>
      </c>
      <c r="AB125" s="444"/>
      <c r="AC125" s="444" t="s">
        <v>3317</v>
      </c>
      <c r="AD125" s="444"/>
      <c r="AE125" s="444" t="s">
        <v>3318</v>
      </c>
      <c r="AF125" s="444"/>
      <c r="AG125" s="444" t="s">
        <v>3319</v>
      </c>
      <c r="AH125" s="444"/>
      <c r="AI125" s="444" t="s">
        <v>3320</v>
      </c>
      <c r="AJ125" s="444"/>
      <c r="AK125" s="444" t="s">
        <v>3321</v>
      </c>
      <c r="AL125" s="444"/>
      <c r="AM125" s="444" t="s">
        <v>3322</v>
      </c>
      <c r="AN125" s="444"/>
      <c r="AO125" s="444" t="s">
        <v>3323</v>
      </c>
      <c r="AP125" s="444"/>
      <c r="AQ125" s="444" t="s">
        <v>3324</v>
      </c>
      <c r="AR125" s="444"/>
      <c r="AS125" s="444" t="s">
        <v>3325</v>
      </c>
      <c r="AT125" s="444"/>
      <c r="AU125" s="444" t="s">
        <v>3326</v>
      </c>
      <c r="AV125" s="444"/>
      <c r="AW125" s="444" t="s">
        <v>3327</v>
      </c>
      <c r="AX125" s="445"/>
      <c r="CW125" s="55"/>
      <c r="CX125" s="49"/>
      <c r="CY125" s="49"/>
      <c r="CZ125" s="109">
        <f>CZ126</f>
        <v>0</v>
      </c>
      <c r="DA125" s="49"/>
      <c r="DB125" s="109">
        <f>DB126</f>
        <v>7843.6133218999985</v>
      </c>
      <c r="DC125" s="49"/>
      <c r="DD125" s="110">
        <f>DD126</f>
        <v>1943.4909599999996</v>
      </c>
      <c r="ED125" s="16" t="s">
        <v>73</v>
      </c>
      <c r="EE125" s="16" t="s">
        <v>257</v>
      </c>
      <c r="EU125" s="111">
        <f>EU126</f>
        <v>15915071.159999996</v>
      </c>
    </row>
    <row r="126" spans="2:151" s="10" customFormat="1" ht="25.9" customHeight="1" thickBot="1" x14ac:dyDescent="0.25">
      <c r="B126" s="112"/>
      <c r="D126" s="113" t="s">
        <v>73</v>
      </c>
      <c r="E126" s="114" t="s">
        <v>280</v>
      </c>
      <c r="F126" s="114" t="s">
        <v>281</v>
      </c>
      <c r="G126" s="10" t="s">
        <v>3306</v>
      </c>
      <c r="I126" s="115"/>
      <c r="J126" s="116">
        <f>EU126</f>
        <v>15915071.159999996</v>
      </c>
      <c r="L126" s="190" t="s">
        <v>270</v>
      </c>
      <c r="M126" s="190" t="s">
        <v>3310</v>
      </c>
      <c r="N126" s="190" t="s">
        <v>270</v>
      </c>
      <c r="O126" s="190" t="s">
        <v>3310</v>
      </c>
      <c r="P126" s="190" t="s">
        <v>3311</v>
      </c>
      <c r="Q126" s="190" t="s">
        <v>3310</v>
      </c>
      <c r="S126" s="193" t="s">
        <v>270</v>
      </c>
      <c r="T126" s="194" t="s">
        <v>3310</v>
      </c>
      <c r="U126" s="194" t="s">
        <v>270</v>
      </c>
      <c r="V126" s="194" t="s">
        <v>3310</v>
      </c>
      <c r="W126" s="194" t="s">
        <v>270</v>
      </c>
      <c r="X126" s="194" t="s">
        <v>3328</v>
      </c>
      <c r="Y126" s="194" t="s">
        <v>270</v>
      </c>
      <c r="Z126" s="194" t="s">
        <v>3328</v>
      </c>
      <c r="AA126" s="194" t="s">
        <v>270</v>
      </c>
      <c r="AB126" s="194" t="s">
        <v>3328</v>
      </c>
      <c r="AC126" s="194" t="s">
        <v>270</v>
      </c>
      <c r="AD126" s="194" t="s">
        <v>3328</v>
      </c>
      <c r="AE126" s="194" t="s">
        <v>270</v>
      </c>
      <c r="AF126" s="194" t="s">
        <v>3328</v>
      </c>
      <c r="AG126" s="194" t="s">
        <v>270</v>
      </c>
      <c r="AH126" s="194" t="s">
        <v>3328</v>
      </c>
      <c r="AI126" s="194" t="s">
        <v>270</v>
      </c>
      <c r="AJ126" s="194" t="s">
        <v>3328</v>
      </c>
      <c r="AK126" s="194" t="s">
        <v>270</v>
      </c>
      <c r="AL126" s="194" t="s">
        <v>3328</v>
      </c>
      <c r="AM126" s="194" t="s">
        <v>270</v>
      </c>
      <c r="AN126" s="194" t="s">
        <v>3328</v>
      </c>
      <c r="AO126" s="194" t="s">
        <v>270</v>
      </c>
      <c r="AP126" s="194" t="s">
        <v>3328</v>
      </c>
      <c r="AQ126" s="194" t="s">
        <v>270</v>
      </c>
      <c r="AR126" s="194" t="s">
        <v>3328</v>
      </c>
      <c r="AS126" s="194" t="s">
        <v>270</v>
      </c>
      <c r="AT126" s="194" t="s">
        <v>3328</v>
      </c>
      <c r="AU126" s="194" t="s">
        <v>270</v>
      </c>
      <c r="AV126" s="194" t="s">
        <v>3328</v>
      </c>
      <c r="AW126" s="194" t="s">
        <v>270</v>
      </c>
      <c r="AX126" s="195" t="s">
        <v>3328</v>
      </c>
      <c r="CW126" s="117"/>
      <c r="CZ126" s="118">
        <f>CZ128+CZ255+CZ261+CZ295+CZ314+CZ387+CZ402+CZ424</f>
        <v>0</v>
      </c>
      <c r="DB126" s="118">
        <f>DB128+DB255+DB261+DB295+DB314+DB387+DB402+DB424</f>
        <v>7843.6133218999985</v>
      </c>
      <c r="DD126" s="119">
        <f>DD128+DD255+DD261+DD295+DD314+DD387+DD402+DD424</f>
        <v>1943.4909599999996</v>
      </c>
      <c r="EB126" s="113" t="s">
        <v>81</v>
      </c>
      <c r="ED126" s="120" t="s">
        <v>73</v>
      </c>
      <c r="EE126" s="120" t="s">
        <v>74</v>
      </c>
      <c r="EI126" s="113" t="s">
        <v>282</v>
      </c>
      <c r="EU126" s="121">
        <f>EU128+EU255+EU261+EU295+EU314+EU387+EU402+EU424</f>
        <v>15915071.159999996</v>
      </c>
    </row>
    <row r="127" spans="2:151" s="10" customFormat="1" ht="25.9" customHeight="1" thickBot="1" x14ac:dyDescent="0.25">
      <c r="B127" s="112"/>
      <c r="D127" s="113"/>
      <c r="E127" s="114"/>
      <c r="F127" s="114"/>
      <c r="G127" s="10" t="s">
        <v>3306</v>
      </c>
      <c r="I127" s="115"/>
      <c r="J127" s="116" t="s">
        <v>3306</v>
      </c>
      <c r="L127" s="191"/>
      <c r="M127" s="192">
        <f>M128+M255+M261+M295+M314+M387+M402+M424</f>
        <v>0</v>
      </c>
      <c r="N127" s="208"/>
      <c r="O127" s="208">
        <f>O128+O255+O261+O295+O314+O387+O402+O424</f>
        <v>-55896.97</v>
      </c>
      <c r="P127" s="192"/>
      <c r="Q127" s="192">
        <f>Q128+Q255+Q261+Q295+Q314+Q387+Q402+Q424</f>
        <v>15970968.170000004</v>
      </c>
      <c r="S127" s="196"/>
      <c r="T127" s="197">
        <f>T128+T255+T261+T295+T314+T387+T402+T424</f>
        <v>0</v>
      </c>
      <c r="U127" s="197">
        <f>U128+U255+U261+U295+U314+U387+U402+U424</f>
        <v>0</v>
      </c>
      <c r="V127" s="197">
        <f>V128+V255+V261+V295+V314+V387+V402+V424</f>
        <v>15915071.159999996</v>
      </c>
      <c r="W127" s="197"/>
      <c r="X127" s="197">
        <f>X128+X255+X261+X295+X314+X387+X402+X424</f>
        <v>0</v>
      </c>
      <c r="Y127" s="197"/>
      <c r="Z127" s="197">
        <f>Z128+Z255+Z261+Z295+Z314+Z387+Z402+Z424</f>
        <v>0</v>
      </c>
      <c r="AA127" s="197"/>
      <c r="AB127" s="197">
        <f>AB128+AB255+AB261+AB295+AB314+AB387+AB402+AB424</f>
        <v>0</v>
      </c>
      <c r="AC127" s="197"/>
      <c r="AD127" s="197">
        <f>AD128+AD255+AD261+AD295+AD314+AD387+AD402+AD424</f>
        <v>0</v>
      </c>
      <c r="AE127" s="197"/>
      <c r="AF127" s="197">
        <f>AF128+AF255+AF261+AF295+AF314+AF387+AF402+AF424</f>
        <v>0</v>
      </c>
      <c r="AG127" s="197"/>
      <c r="AH127" s="197">
        <f>AH128+AH255+AH261+AH295+AH314+AH387+AH402+AH424</f>
        <v>0</v>
      </c>
      <c r="AI127" s="197"/>
      <c r="AJ127" s="197">
        <f>AJ128+AJ255+AJ261+AJ295+AJ314+AJ387+AJ402+AJ424</f>
        <v>0</v>
      </c>
      <c r="AK127" s="197"/>
      <c r="AL127" s="197">
        <f>AL128+AL255+AL261+AL295+AL314+AL387+AL402+AL424</f>
        <v>0</v>
      </c>
      <c r="AM127" s="197"/>
      <c r="AN127" s="197">
        <f>AN128+AN255+AN261+AN295+AN314+AN387+AN402+AN424</f>
        <v>0</v>
      </c>
      <c r="AO127" s="197"/>
      <c r="AP127" s="197">
        <f>AP128+AP255+AP261+AP295+AP314+AP387+AP402+AP424</f>
        <v>0</v>
      </c>
      <c r="AQ127" s="197"/>
      <c r="AR127" s="197">
        <f>AR128+AR255+AR261+AR295+AR314+AR387+AR402+AR424</f>
        <v>0</v>
      </c>
      <c r="AS127" s="197"/>
      <c r="AT127" s="197">
        <f>AT128+AT255+AT261+AT295+AT314+AT387+AT402+AT424</f>
        <v>0</v>
      </c>
      <c r="AU127" s="197"/>
      <c r="AV127" s="197">
        <f>AV128+AV255+AV261+AV295+AV314+AV387+AV402+AV424</f>
        <v>0</v>
      </c>
      <c r="AW127" s="197"/>
      <c r="AX127" s="197">
        <f>AX128+AX255+AX261+AX295+AX314+AX387+AX402+AX424</f>
        <v>0</v>
      </c>
      <c r="CW127" s="117"/>
      <c r="CZ127" s="118"/>
      <c r="DB127" s="118"/>
      <c r="DD127" s="119"/>
      <c r="EB127" s="113"/>
      <c r="ED127" s="120"/>
      <c r="EE127" s="120"/>
      <c r="EI127" s="113"/>
      <c r="EU127" s="121"/>
    </row>
    <row r="128" spans="2:151" s="10" customFormat="1" ht="22.9" customHeight="1" x14ac:dyDescent="0.2">
      <c r="B128" s="112"/>
      <c r="D128" s="113" t="s">
        <v>73</v>
      </c>
      <c r="E128" s="122" t="s">
        <v>81</v>
      </c>
      <c r="F128" s="122" t="s">
        <v>283</v>
      </c>
      <c r="G128" s="10" t="s">
        <v>3306</v>
      </c>
      <c r="I128" s="115"/>
      <c r="J128" s="123">
        <f>EU128</f>
        <v>9881624.839999998</v>
      </c>
      <c r="L128" s="112"/>
      <c r="M128" s="202">
        <f>SUM(M129:M252)</f>
        <v>0</v>
      </c>
      <c r="N128" s="209"/>
      <c r="O128" s="210">
        <f>SUM(O129:O252)</f>
        <v>-1382.77</v>
      </c>
      <c r="P128" s="202"/>
      <c r="Q128" s="227">
        <f>SUM(Q129:Q252)</f>
        <v>9883007.620000001</v>
      </c>
      <c r="R128" s="202"/>
      <c r="S128" s="202"/>
      <c r="T128" s="202">
        <f>SUM(T129:T252)</f>
        <v>0</v>
      </c>
      <c r="U128" s="202"/>
      <c r="V128" s="202">
        <f>SUM(V129:V252)</f>
        <v>9881624.839999998</v>
      </c>
      <c r="W128" s="202"/>
      <c r="X128" s="202"/>
      <c r="Y128" s="202"/>
      <c r="Z128" s="202"/>
      <c r="CW128" s="117"/>
      <c r="CZ128" s="118">
        <f>SUM(CZ129:CZ254)</f>
        <v>0</v>
      </c>
      <c r="DB128" s="118">
        <f>SUM(DB129:DB254)</f>
        <v>7486.8944649999994</v>
      </c>
      <c r="DD128" s="119">
        <f>SUM(DD129:DD254)</f>
        <v>1943.4909599999996</v>
      </c>
      <c r="EB128" s="113" t="s">
        <v>81</v>
      </c>
      <c r="ED128" s="120" t="s">
        <v>73</v>
      </c>
      <c r="EE128" s="120" t="s">
        <v>81</v>
      </c>
      <c r="EI128" s="113" t="s">
        <v>282</v>
      </c>
      <c r="EU128" s="121">
        <f>SUM(EU129:EU254)</f>
        <v>9881624.839999998</v>
      </c>
    </row>
    <row r="129" spans="2:153" s="1" customFormat="1" ht="24.2" customHeight="1" x14ac:dyDescent="0.2">
      <c r="B129" s="124"/>
      <c r="C129" s="125" t="s">
        <v>81</v>
      </c>
      <c r="D129" s="125" t="s">
        <v>284</v>
      </c>
      <c r="E129" s="126" t="s">
        <v>285</v>
      </c>
      <c r="F129" s="127" t="s">
        <v>286</v>
      </c>
      <c r="G129" s="128" t="s">
        <v>287</v>
      </c>
      <c r="H129" s="129">
        <v>1140.1199999999999</v>
      </c>
      <c r="I129" s="130">
        <v>68.767172335543137</v>
      </c>
      <c r="J129" s="131">
        <f>ROUND(I129*H129,2)</f>
        <v>78402.83</v>
      </c>
      <c r="K129" s="127" t="s">
        <v>1</v>
      </c>
      <c r="L129" s="198">
        <f>S129</f>
        <v>0</v>
      </c>
      <c r="M129" s="206">
        <f>ROUND(L129*I129,2)</f>
        <v>0</v>
      </c>
      <c r="N129" s="211">
        <f>N131</f>
        <v>-0.15749999999979991</v>
      </c>
      <c r="O129" s="212">
        <f>ROUND(N129*I129,2)</f>
        <v>-10.83</v>
      </c>
      <c r="P129" s="207">
        <f>H129-L129-N129</f>
        <v>1140.2774999999997</v>
      </c>
      <c r="Q129" s="228">
        <f>ROUND(P129*I129,2)</f>
        <v>78413.66</v>
      </c>
      <c r="R129" s="199"/>
      <c r="S129" s="200">
        <f>W129+Y129+AA129+AC129+AE129+AG129+AI129+AK129+AM129+AO129+AQ129+AS129+AU129+AW129</f>
        <v>0</v>
      </c>
      <c r="T129" s="200">
        <f>ROUND(S129*I129,2)</f>
        <v>0</v>
      </c>
      <c r="U129" s="200">
        <f>H129-S129</f>
        <v>1140.1199999999999</v>
      </c>
      <c r="V129" s="200">
        <f>ROUND(U129*I129,2)</f>
        <v>78402.83</v>
      </c>
      <c r="W129" s="203"/>
      <c r="X129" s="203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CW129" s="132" t="s">
        <v>1</v>
      </c>
      <c r="CX129" s="133" t="s">
        <v>40</v>
      </c>
      <c r="CZ129" s="134">
        <f>CY129*H129</f>
        <v>0</v>
      </c>
      <c r="DA129" s="134">
        <v>0</v>
      </c>
      <c r="DB129" s="134">
        <f>DA129*H129</f>
        <v>0</v>
      </c>
      <c r="DC129" s="134">
        <v>0.57999999999999996</v>
      </c>
      <c r="DD129" s="135">
        <f>DC129*H129</f>
        <v>661.26959999999985</v>
      </c>
      <c r="EB129" s="136" t="s">
        <v>95</v>
      </c>
      <c r="ED129" s="136" t="s">
        <v>284</v>
      </c>
      <c r="EE129" s="136" t="s">
        <v>83</v>
      </c>
      <c r="EI129" s="16" t="s">
        <v>282</v>
      </c>
      <c r="EO129" s="137">
        <f>IF(CX129="základní",J129,0)</f>
        <v>78402.83</v>
      </c>
      <c r="EP129" s="137">
        <f>IF(CX129="snížená",J129,0)</f>
        <v>0</v>
      </c>
      <c r="EQ129" s="137">
        <f>IF(CX129="zákl. přenesená",J129,0)</f>
        <v>0</v>
      </c>
      <c r="ER129" s="137">
        <f>IF(CX129="sníž. přenesená",J129,0)</f>
        <v>0</v>
      </c>
      <c r="ES129" s="137">
        <f>IF(CX129="nulová",J129,0)</f>
        <v>0</v>
      </c>
      <c r="ET129" s="16" t="s">
        <v>81</v>
      </c>
      <c r="EU129" s="137">
        <f>ROUND(I129*H129,2)</f>
        <v>78402.83</v>
      </c>
      <c r="EV129" s="16" t="s">
        <v>95</v>
      </c>
      <c r="EW129" s="136" t="s">
        <v>288</v>
      </c>
    </row>
    <row r="130" spans="2:153" s="1" customFormat="1" ht="39" x14ac:dyDescent="0.2">
      <c r="B130" s="31"/>
      <c r="D130" s="138" t="s">
        <v>289</v>
      </c>
      <c r="F130" s="139" t="s">
        <v>290</v>
      </c>
      <c r="I130" s="140"/>
      <c r="L130" s="31"/>
      <c r="N130" s="213"/>
      <c r="O130" s="214"/>
      <c r="Q130" s="229"/>
      <c r="CW130" s="141"/>
      <c r="DD130" s="50"/>
      <c r="ED130" s="16" t="s">
        <v>289</v>
      </c>
      <c r="EE130" s="16" t="s">
        <v>83</v>
      </c>
    </row>
    <row r="131" spans="2:153" s="1" customFormat="1" ht="24.2" customHeight="1" x14ac:dyDescent="0.2">
      <c r="B131" s="124"/>
      <c r="C131" s="125" t="s">
        <v>83</v>
      </c>
      <c r="D131" s="125" t="s">
        <v>284</v>
      </c>
      <c r="E131" s="126" t="s">
        <v>291</v>
      </c>
      <c r="F131" s="127" t="s">
        <v>292</v>
      </c>
      <c r="G131" s="128" t="s">
        <v>287</v>
      </c>
      <c r="H131" s="129">
        <v>1140.1199999999999</v>
      </c>
      <c r="I131" s="130">
        <v>68.767172335543137</v>
      </c>
      <c r="J131" s="131">
        <f>ROUND(I131*H131,2)</f>
        <v>78402.83</v>
      </c>
      <c r="K131" s="127" t="s">
        <v>293</v>
      </c>
      <c r="L131" s="198">
        <f>S131</f>
        <v>0</v>
      </c>
      <c r="M131" s="206">
        <f>ROUND(L131*I131,2)</f>
        <v>0</v>
      </c>
      <c r="N131" s="211">
        <f>N133</f>
        <v>-0.15749999999979991</v>
      </c>
      <c r="O131" s="212">
        <f>ROUND(N131*I131,2)</f>
        <v>-10.83</v>
      </c>
      <c r="P131" s="207">
        <f>H131-L131-N131</f>
        <v>1140.2774999999997</v>
      </c>
      <c r="Q131" s="228">
        <f>ROUND(P131*I131,2)</f>
        <v>78413.66</v>
      </c>
      <c r="R131" s="199"/>
      <c r="S131" s="200">
        <f>W131+Y131+AA131+AC131+AE131+AG131+AI131+AK131+AM131+AO131+AQ131+AS131+AU131+AW131</f>
        <v>0</v>
      </c>
      <c r="T131" s="200">
        <f>ROUND(S131*I131,2)</f>
        <v>0</v>
      </c>
      <c r="U131" s="200">
        <f>H131-S131</f>
        <v>1140.1199999999999</v>
      </c>
      <c r="V131" s="200">
        <f>ROUND(U131*I131,2)</f>
        <v>78402.83</v>
      </c>
      <c r="W131" s="203"/>
      <c r="X131" s="203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CW131" s="132" t="s">
        <v>1</v>
      </c>
      <c r="CX131" s="133" t="s">
        <v>40</v>
      </c>
      <c r="CZ131" s="134">
        <f>CY131*H131</f>
        <v>0</v>
      </c>
      <c r="DA131" s="134">
        <v>0</v>
      </c>
      <c r="DB131" s="134">
        <f>DA131*H131</f>
        <v>0</v>
      </c>
      <c r="DC131" s="134">
        <v>0.57999999999999996</v>
      </c>
      <c r="DD131" s="135">
        <f>DC131*H131</f>
        <v>661.26959999999985</v>
      </c>
      <c r="EB131" s="136" t="s">
        <v>95</v>
      </c>
      <c r="ED131" s="136" t="s">
        <v>284</v>
      </c>
      <c r="EE131" s="136" t="s">
        <v>83</v>
      </c>
      <c r="EI131" s="16" t="s">
        <v>282</v>
      </c>
      <c r="EO131" s="137">
        <f>IF(CX131="základní",J131,0)</f>
        <v>78402.83</v>
      </c>
      <c r="EP131" s="137">
        <f>IF(CX131="snížená",J131,0)</f>
        <v>0</v>
      </c>
      <c r="EQ131" s="137">
        <f>IF(CX131="zákl. přenesená",J131,0)</f>
        <v>0</v>
      </c>
      <c r="ER131" s="137">
        <f>IF(CX131="sníž. přenesená",J131,0)</f>
        <v>0</v>
      </c>
      <c r="ES131" s="137">
        <f>IF(CX131="nulová",J131,0)</f>
        <v>0</v>
      </c>
      <c r="ET131" s="16" t="s">
        <v>81</v>
      </c>
      <c r="EU131" s="137">
        <f>ROUND(I131*H131,2)</f>
        <v>78402.83</v>
      </c>
      <c r="EV131" s="16" t="s">
        <v>95</v>
      </c>
      <c r="EW131" s="136" t="s">
        <v>294</v>
      </c>
    </row>
    <row r="132" spans="2:153" s="1" customFormat="1" ht="39" x14ac:dyDescent="0.2">
      <c r="B132" s="31"/>
      <c r="D132" s="138" t="s">
        <v>289</v>
      </c>
      <c r="F132" s="139" t="s">
        <v>290</v>
      </c>
      <c r="I132" s="140"/>
      <c r="L132" s="31"/>
      <c r="N132" s="213"/>
      <c r="O132" s="214"/>
      <c r="Q132" s="229"/>
      <c r="CW132" s="141"/>
      <c r="DD132" s="50"/>
      <c r="ED132" s="16" t="s">
        <v>289</v>
      </c>
      <c r="EE132" s="16" t="s">
        <v>83</v>
      </c>
    </row>
    <row r="133" spans="2:153" s="1" customFormat="1" ht="24.2" customHeight="1" x14ac:dyDescent="0.2">
      <c r="B133" s="124"/>
      <c r="C133" s="125" t="s">
        <v>90</v>
      </c>
      <c r="D133" s="125" t="s">
        <v>284</v>
      </c>
      <c r="E133" s="126" t="s">
        <v>295</v>
      </c>
      <c r="F133" s="127" t="s">
        <v>296</v>
      </c>
      <c r="G133" s="128" t="s">
        <v>287</v>
      </c>
      <c r="H133" s="129">
        <v>1140.1199999999999</v>
      </c>
      <c r="I133" s="130">
        <v>27.886826761540966</v>
      </c>
      <c r="J133" s="131">
        <f>ROUND(I133*H133,2)</f>
        <v>31794.33</v>
      </c>
      <c r="K133" s="127" t="s">
        <v>293</v>
      </c>
      <c r="L133" s="198">
        <f>S133</f>
        <v>0</v>
      </c>
      <c r="M133" s="206">
        <f>ROUND(L133*I133,2)</f>
        <v>0</v>
      </c>
      <c r="N133" s="211">
        <f>N140</f>
        <v>-0.15749999999979991</v>
      </c>
      <c r="O133" s="212">
        <f>ROUND(N133*I133,2)</f>
        <v>-4.3899999999999997</v>
      </c>
      <c r="P133" s="207">
        <f>H133-L133-N133</f>
        <v>1140.2774999999997</v>
      </c>
      <c r="Q133" s="228">
        <f>ROUND(P133*I133,2)</f>
        <v>31798.720000000001</v>
      </c>
      <c r="R133" s="199"/>
      <c r="S133" s="200">
        <f>W133+Y133+AA133+AC133+AE133+AG133+AI133+AK133+AM133+AO133+AQ133+AS133+AU133+AW133</f>
        <v>0</v>
      </c>
      <c r="T133" s="200">
        <f>ROUND(S133*I133,2)</f>
        <v>0</v>
      </c>
      <c r="U133" s="200">
        <f>H133-S133</f>
        <v>1140.1199999999999</v>
      </c>
      <c r="V133" s="200">
        <f>ROUND(U133*I133,2)</f>
        <v>31794.33</v>
      </c>
      <c r="W133" s="203"/>
      <c r="X133" s="203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CW133" s="132" t="s">
        <v>1</v>
      </c>
      <c r="CX133" s="133" t="s">
        <v>40</v>
      </c>
      <c r="CZ133" s="134">
        <f>CY133*H133</f>
        <v>0</v>
      </c>
      <c r="DA133" s="134">
        <v>0</v>
      </c>
      <c r="DB133" s="134">
        <f>DA133*H133</f>
        <v>0</v>
      </c>
      <c r="DC133" s="134">
        <v>9.8000000000000004E-2</v>
      </c>
      <c r="DD133" s="135">
        <f>DC133*H133</f>
        <v>111.73175999999999</v>
      </c>
      <c r="EB133" s="136" t="s">
        <v>95</v>
      </c>
      <c r="ED133" s="136" t="s">
        <v>284</v>
      </c>
      <c r="EE133" s="136" t="s">
        <v>83</v>
      </c>
      <c r="EI133" s="16" t="s">
        <v>282</v>
      </c>
      <c r="EO133" s="137">
        <f>IF(CX133="základní",J133,0)</f>
        <v>31794.33</v>
      </c>
      <c r="EP133" s="137">
        <f>IF(CX133="snížená",J133,0)</f>
        <v>0</v>
      </c>
      <c r="EQ133" s="137">
        <f>IF(CX133="zákl. přenesená",J133,0)</f>
        <v>0</v>
      </c>
      <c r="ER133" s="137">
        <f>IF(CX133="sníž. přenesená",J133,0)</f>
        <v>0</v>
      </c>
      <c r="ES133" s="137">
        <f>IF(CX133="nulová",J133,0)</f>
        <v>0</v>
      </c>
      <c r="ET133" s="16" t="s">
        <v>81</v>
      </c>
      <c r="EU133" s="137">
        <f>ROUND(I133*H133,2)</f>
        <v>31794.33</v>
      </c>
      <c r="EV133" s="16" t="s">
        <v>95</v>
      </c>
      <c r="EW133" s="136" t="s">
        <v>297</v>
      </c>
    </row>
    <row r="134" spans="2:153" s="1" customFormat="1" ht="29.25" x14ac:dyDescent="0.2">
      <c r="B134" s="31"/>
      <c r="D134" s="138" t="s">
        <v>289</v>
      </c>
      <c r="F134" s="139" t="s">
        <v>298</v>
      </c>
      <c r="I134" s="140"/>
      <c r="L134" s="31"/>
      <c r="N134" s="213"/>
      <c r="O134" s="214"/>
      <c r="Q134" s="229"/>
      <c r="CW134" s="141"/>
      <c r="DD134" s="50"/>
      <c r="ED134" s="16" t="s">
        <v>289</v>
      </c>
      <c r="EE134" s="16" t="s">
        <v>83</v>
      </c>
    </row>
    <row r="135" spans="2:153" s="1" customFormat="1" ht="29.25" x14ac:dyDescent="0.2">
      <c r="B135" s="31"/>
      <c r="D135" s="138" t="s">
        <v>299</v>
      </c>
      <c r="F135" s="142" t="s">
        <v>300</v>
      </c>
      <c r="I135" s="140"/>
      <c r="L135" s="31"/>
      <c r="N135" s="213"/>
      <c r="O135" s="214"/>
      <c r="Q135" s="229"/>
      <c r="CW135" s="141"/>
      <c r="DD135" s="50"/>
      <c r="ED135" s="16" t="s">
        <v>299</v>
      </c>
      <c r="EE135" s="16" t="s">
        <v>83</v>
      </c>
    </row>
    <row r="136" spans="2:153" s="11" customFormat="1" x14ac:dyDescent="0.2">
      <c r="B136" s="143"/>
      <c r="D136" s="138" t="s">
        <v>301</v>
      </c>
      <c r="E136" s="144" t="s">
        <v>1</v>
      </c>
      <c r="F136" s="145" t="s">
        <v>302</v>
      </c>
      <c r="H136" s="144" t="s">
        <v>1</v>
      </c>
      <c r="I136" s="146"/>
      <c r="L136" s="143"/>
      <c r="N136" s="215"/>
      <c r="O136" s="216"/>
      <c r="Q136" s="230"/>
      <c r="CW136" s="147"/>
      <c r="DD136" s="148"/>
      <c r="ED136" s="144" t="s">
        <v>301</v>
      </c>
      <c r="EE136" s="144" t="s">
        <v>83</v>
      </c>
      <c r="EF136" s="11" t="s">
        <v>81</v>
      </c>
      <c r="EG136" s="11" t="s">
        <v>32</v>
      </c>
      <c r="EH136" s="11" t="s">
        <v>74</v>
      </c>
      <c r="EI136" s="144" t="s">
        <v>282</v>
      </c>
    </row>
    <row r="137" spans="2:153" s="12" customFormat="1" x14ac:dyDescent="0.2">
      <c r="B137" s="149"/>
      <c r="D137" s="138" t="s">
        <v>301</v>
      </c>
      <c r="E137" s="150" t="s">
        <v>1</v>
      </c>
      <c r="F137" s="151" t="s">
        <v>303</v>
      </c>
      <c r="H137" s="152">
        <v>1033.2</v>
      </c>
      <c r="I137" s="153"/>
      <c r="L137" s="149"/>
      <c r="N137" s="310">
        <f>983.85*1.05</f>
        <v>1033.0425</v>
      </c>
      <c r="O137" s="359" t="s">
        <v>3349</v>
      </c>
      <c r="Q137" s="231"/>
      <c r="CW137" s="154"/>
      <c r="DD137" s="155"/>
      <c r="ED137" s="150" t="s">
        <v>301</v>
      </c>
      <c r="EE137" s="150" t="s">
        <v>83</v>
      </c>
      <c r="EF137" s="12" t="s">
        <v>83</v>
      </c>
      <c r="EG137" s="12" t="s">
        <v>32</v>
      </c>
      <c r="EH137" s="12" t="s">
        <v>74</v>
      </c>
      <c r="EI137" s="150" t="s">
        <v>282</v>
      </c>
    </row>
    <row r="138" spans="2:153" s="12" customFormat="1" x14ac:dyDescent="0.2">
      <c r="B138" s="149"/>
      <c r="D138" s="138" t="s">
        <v>301</v>
      </c>
      <c r="E138" s="150" t="s">
        <v>1</v>
      </c>
      <c r="F138" s="151" t="s">
        <v>304</v>
      </c>
      <c r="H138" s="152">
        <v>106.92</v>
      </c>
      <c r="I138" s="153"/>
      <c r="L138" s="149"/>
      <c r="N138" s="310">
        <v>106.92</v>
      </c>
      <c r="O138" s="218"/>
      <c r="Q138" s="231"/>
      <c r="CW138" s="154"/>
      <c r="DD138" s="155"/>
      <c r="ED138" s="150" t="s">
        <v>301</v>
      </c>
      <c r="EE138" s="150" t="s">
        <v>83</v>
      </c>
      <c r="EF138" s="12" t="s">
        <v>83</v>
      </c>
      <c r="EG138" s="12" t="s">
        <v>32</v>
      </c>
      <c r="EH138" s="12" t="s">
        <v>74</v>
      </c>
      <c r="EI138" s="150" t="s">
        <v>282</v>
      </c>
    </row>
    <row r="139" spans="2:153" s="13" customFormat="1" x14ac:dyDescent="0.2">
      <c r="B139" s="156"/>
      <c r="D139" s="138" t="s">
        <v>301</v>
      </c>
      <c r="E139" s="157" t="s">
        <v>1</v>
      </c>
      <c r="F139" s="158" t="s">
        <v>305</v>
      </c>
      <c r="H139" s="159">
        <v>1140.1200000000001</v>
      </c>
      <c r="I139" s="160"/>
      <c r="L139" s="156"/>
      <c r="N139" s="311">
        <f>N137+N138</f>
        <v>1139.9625000000001</v>
      </c>
      <c r="O139" s="220"/>
      <c r="Q139" s="232"/>
      <c r="CW139" s="161"/>
      <c r="DD139" s="162"/>
      <c r="ED139" s="157" t="s">
        <v>301</v>
      </c>
      <c r="EE139" s="157" t="s">
        <v>83</v>
      </c>
      <c r="EF139" s="13" t="s">
        <v>95</v>
      </c>
      <c r="EG139" s="13" t="s">
        <v>32</v>
      </c>
      <c r="EH139" s="13" t="s">
        <v>81</v>
      </c>
      <c r="EI139" s="157" t="s">
        <v>282</v>
      </c>
    </row>
    <row r="140" spans="2:153" s="13" customFormat="1" x14ac:dyDescent="0.2">
      <c r="B140" s="156"/>
      <c r="D140" s="138"/>
      <c r="E140" s="157"/>
      <c r="F140" s="158"/>
      <c r="H140" s="159"/>
      <c r="I140" s="160"/>
      <c r="L140" s="156"/>
      <c r="N140" s="311">
        <f>N139-H133</f>
        <v>-0.15749999999979991</v>
      </c>
      <c r="O140" s="220"/>
      <c r="Q140" s="232"/>
      <c r="CW140" s="161"/>
      <c r="DD140" s="162"/>
      <c r="ED140" s="157"/>
      <c r="EE140" s="157"/>
      <c r="EI140" s="157"/>
    </row>
    <row r="141" spans="2:153" s="1" customFormat="1" ht="24.2" customHeight="1" x14ac:dyDescent="0.2">
      <c r="B141" s="124"/>
      <c r="C141" s="125" t="s">
        <v>95</v>
      </c>
      <c r="D141" s="125" t="s">
        <v>284</v>
      </c>
      <c r="E141" s="126" t="s">
        <v>306</v>
      </c>
      <c r="F141" s="127" t="s">
        <v>307</v>
      </c>
      <c r="G141" s="128" t="s">
        <v>287</v>
      </c>
      <c r="H141" s="129">
        <v>4428</v>
      </c>
      <c r="I141" s="130">
        <v>55.31</v>
      </c>
      <c r="J141" s="131">
        <f>ROUND(I141*H141,2)</f>
        <v>244912.68</v>
      </c>
      <c r="K141" s="127" t="s">
        <v>293</v>
      </c>
      <c r="L141" s="198">
        <f>S141</f>
        <v>0</v>
      </c>
      <c r="M141" s="206">
        <f>ROUND(L141*I141,2)</f>
        <v>0</v>
      </c>
      <c r="N141" s="211">
        <f>N146</f>
        <v>-0.6750000000001819</v>
      </c>
      <c r="O141" s="212">
        <f>ROUND(N141*I141,2)</f>
        <v>-37.33</v>
      </c>
      <c r="P141" s="207">
        <f>H141-L141-N141</f>
        <v>4428.6750000000002</v>
      </c>
      <c r="Q141" s="228">
        <f>ROUND(P141*I141,2)</f>
        <v>244950.01</v>
      </c>
      <c r="R141" s="199"/>
      <c r="S141" s="200">
        <f>W141+Y141+AA141+AC141+AE141+AG141+AI141+AK141+AM141+AO141+AQ141+AS141+AU141+AW141</f>
        <v>0</v>
      </c>
      <c r="T141" s="200">
        <f>ROUND(S141*I141,2)</f>
        <v>0</v>
      </c>
      <c r="U141" s="200">
        <f>H141-S141</f>
        <v>4428</v>
      </c>
      <c r="V141" s="200">
        <f>ROUND(U141*I141,2)</f>
        <v>244912.68</v>
      </c>
      <c r="W141" s="203"/>
      <c r="X141" s="203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200"/>
      <c r="CW141" s="132" t="s">
        <v>1</v>
      </c>
      <c r="CX141" s="133" t="s">
        <v>40</v>
      </c>
      <c r="CZ141" s="134">
        <f>CY141*H141</f>
        <v>0</v>
      </c>
      <c r="DA141" s="134">
        <v>6.9999999999999994E-5</v>
      </c>
      <c r="DB141" s="134">
        <f>DA141*H141</f>
        <v>0.30995999999999996</v>
      </c>
      <c r="DC141" s="134">
        <v>0.115</v>
      </c>
      <c r="DD141" s="135">
        <f>DC141*H141</f>
        <v>509.22</v>
      </c>
      <c r="EB141" s="136" t="s">
        <v>95</v>
      </c>
      <c r="ED141" s="136" t="s">
        <v>284</v>
      </c>
      <c r="EE141" s="136" t="s">
        <v>83</v>
      </c>
      <c r="EI141" s="16" t="s">
        <v>282</v>
      </c>
      <c r="EO141" s="137">
        <f>IF(CX141="základní",J141,0)</f>
        <v>244912.68</v>
      </c>
      <c r="EP141" s="137">
        <f>IF(CX141="snížená",J141,0)</f>
        <v>0</v>
      </c>
      <c r="EQ141" s="137">
        <f>IF(CX141="zákl. přenesená",J141,0)</f>
        <v>0</v>
      </c>
      <c r="ER141" s="137">
        <f>IF(CX141="sníž. přenesená",J141,0)</f>
        <v>0</v>
      </c>
      <c r="ES141" s="137">
        <f>IF(CX141="nulová",J141,0)</f>
        <v>0</v>
      </c>
      <c r="ET141" s="16" t="s">
        <v>81</v>
      </c>
      <c r="EU141" s="137">
        <f>ROUND(I141*H141,2)</f>
        <v>244912.68</v>
      </c>
      <c r="EV141" s="16" t="s">
        <v>95</v>
      </c>
      <c r="EW141" s="136" t="s">
        <v>308</v>
      </c>
    </row>
    <row r="142" spans="2:153" s="1" customFormat="1" ht="29.25" x14ac:dyDescent="0.2">
      <c r="B142" s="31"/>
      <c r="D142" s="138" t="s">
        <v>289</v>
      </c>
      <c r="F142" s="139" t="s">
        <v>309</v>
      </c>
      <c r="I142" s="140"/>
      <c r="L142" s="31"/>
      <c r="N142" s="213"/>
      <c r="O142" s="214"/>
      <c r="Q142" s="229"/>
      <c r="CW142" s="141"/>
      <c r="DD142" s="50"/>
      <c r="ED142" s="16" t="s">
        <v>289</v>
      </c>
      <c r="EE142" s="16" t="s">
        <v>83</v>
      </c>
    </row>
    <row r="143" spans="2:153" s="1" customFormat="1" ht="29.25" x14ac:dyDescent="0.2">
      <c r="B143" s="31"/>
      <c r="D143" s="138" t="s">
        <v>299</v>
      </c>
      <c r="F143" s="142" t="s">
        <v>300</v>
      </c>
      <c r="I143" s="140"/>
      <c r="L143" s="31"/>
      <c r="N143" s="213"/>
      <c r="O143" s="214"/>
      <c r="Q143" s="229"/>
      <c r="CW143" s="141"/>
      <c r="DD143" s="50"/>
      <c r="ED143" s="16" t="s">
        <v>299</v>
      </c>
      <c r="EE143" s="16" t="s">
        <v>83</v>
      </c>
    </row>
    <row r="144" spans="2:153" s="11" customFormat="1" x14ac:dyDescent="0.2">
      <c r="B144" s="143"/>
      <c r="D144" s="138" t="s">
        <v>301</v>
      </c>
      <c r="E144" s="144" t="s">
        <v>1</v>
      </c>
      <c r="F144" s="145" t="s">
        <v>310</v>
      </c>
      <c r="H144" s="144" t="s">
        <v>1</v>
      </c>
      <c r="I144" s="146"/>
      <c r="L144" s="143"/>
      <c r="N144" s="319"/>
      <c r="O144" s="216"/>
      <c r="Q144" s="230"/>
      <c r="CW144" s="147"/>
      <c r="DD144" s="148"/>
      <c r="ED144" s="144" t="s">
        <v>301</v>
      </c>
      <c r="EE144" s="144" t="s">
        <v>83</v>
      </c>
      <c r="EF144" s="11" t="s">
        <v>81</v>
      </c>
      <c r="EG144" s="11" t="s">
        <v>32</v>
      </c>
      <c r="EH144" s="11" t="s">
        <v>74</v>
      </c>
      <c r="EI144" s="144" t="s">
        <v>282</v>
      </c>
    </row>
    <row r="145" spans="2:153" s="12" customFormat="1" x14ac:dyDescent="0.2">
      <c r="B145" s="149"/>
      <c r="D145" s="138" t="s">
        <v>301</v>
      </c>
      <c r="E145" s="150" t="s">
        <v>1</v>
      </c>
      <c r="F145" s="151" t="s">
        <v>311</v>
      </c>
      <c r="H145" s="152">
        <v>4428</v>
      </c>
      <c r="I145" s="153"/>
      <c r="L145" s="149"/>
      <c r="N145" s="217">
        <f>983.85*4.5</f>
        <v>4427.3249999999998</v>
      </c>
      <c r="O145" s="359" t="s">
        <v>3350</v>
      </c>
      <c r="Q145" s="231"/>
      <c r="CW145" s="154"/>
      <c r="DD145" s="155"/>
      <c r="ED145" s="150" t="s">
        <v>301</v>
      </c>
      <c r="EE145" s="150" t="s">
        <v>83</v>
      </c>
      <c r="EF145" s="12" t="s">
        <v>83</v>
      </c>
      <c r="EG145" s="12" t="s">
        <v>32</v>
      </c>
      <c r="EH145" s="12" t="s">
        <v>81</v>
      </c>
      <c r="EI145" s="150" t="s">
        <v>282</v>
      </c>
    </row>
    <row r="146" spans="2:153" s="12" customFormat="1" x14ac:dyDescent="0.2">
      <c r="B146" s="149"/>
      <c r="D146" s="138"/>
      <c r="E146" s="150"/>
      <c r="F146" s="151"/>
      <c r="H146" s="152"/>
      <c r="I146" s="153"/>
      <c r="L146" s="149"/>
      <c r="N146" s="310">
        <f>N145-H141</f>
        <v>-0.6750000000001819</v>
      </c>
      <c r="O146" s="218"/>
      <c r="Q146" s="231"/>
      <c r="CW146" s="154"/>
      <c r="DD146" s="155"/>
      <c r="ED146" s="150"/>
      <c r="EE146" s="150"/>
      <c r="EI146" s="150"/>
    </row>
    <row r="147" spans="2:153" s="1" customFormat="1" ht="24.2" customHeight="1" x14ac:dyDescent="0.2">
      <c r="B147" s="124"/>
      <c r="C147" s="125" t="s">
        <v>312</v>
      </c>
      <c r="D147" s="125" t="s">
        <v>284</v>
      </c>
      <c r="E147" s="126" t="s">
        <v>313</v>
      </c>
      <c r="F147" s="127" t="s">
        <v>314</v>
      </c>
      <c r="G147" s="128" t="s">
        <v>315</v>
      </c>
      <c r="H147" s="129">
        <v>1</v>
      </c>
      <c r="I147" s="130">
        <v>3788.8627999999999</v>
      </c>
      <c r="J147" s="131">
        <f>ROUND(I147*H147,2)</f>
        <v>3788.86</v>
      </c>
      <c r="K147" s="127" t="s">
        <v>1</v>
      </c>
      <c r="L147" s="198">
        <f>S147</f>
        <v>0</v>
      </c>
      <c r="M147" s="206">
        <f>ROUND(L147*I147,2)</f>
        <v>0</v>
      </c>
      <c r="N147" s="211"/>
      <c r="O147" s="212">
        <f>ROUND(N147*I147,2)</f>
        <v>0</v>
      </c>
      <c r="P147" s="207">
        <f>H147-L147-N147</f>
        <v>1</v>
      </c>
      <c r="Q147" s="228">
        <f>ROUND(P147*I147,2)</f>
        <v>3788.86</v>
      </c>
      <c r="R147" s="199"/>
      <c r="S147" s="200">
        <f>W147+Y147+AA147+AC147+AE147+AG147+AI147+AK147+AM147+AO147+AQ147+AS147+AU147+AW147</f>
        <v>0</v>
      </c>
      <c r="T147" s="200">
        <f>ROUND(S147*I147,2)</f>
        <v>0</v>
      </c>
      <c r="U147" s="200">
        <f>H147-S147</f>
        <v>1</v>
      </c>
      <c r="V147" s="200">
        <f>ROUND(U147*I147,2)</f>
        <v>3788.86</v>
      </c>
      <c r="W147" s="203"/>
      <c r="X147" s="203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CW147" s="132" t="s">
        <v>1</v>
      </c>
      <c r="CX147" s="133" t="s">
        <v>40</v>
      </c>
      <c r="CZ147" s="134">
        <f>CY147*H147</f>
        <v>0</v>
      </c>
      <c r="DA147" s="134">
        <v>0</v>
      </c>
      <c r="DB147" s="134">
        <f>DA147*H147</f>
        <v>0</v>
      </c>
      <c r="DC147" s="134">
        <v>0</v>
      </c>
      <c r="DD147" s="135">
        <f>DC147*H147</f>
        <v>0</v>
      </c>
      <c r="EB147" s="136" t="s">
        <v>95</v>
      </c>
      <c r="ED147" s="136" t="s">
        <v>284</v>
      </c>
      <c r="EE147" s="136" t="s">
        <v>83</v>
      </c>
      <c r="EI147" s="16" t="s">
        <v>282</v>
      </c>
      <c r="EO147" s="137">
        <f>IF(CX147="základní",J147,0)</f>
        <v>3788.86</v>
      </c>
      <c r="EP147" s="137">
        <f>IF(CX147="snížená",J147,0)</f>
        <v>0</v>
      </c>
      <c r="EQ147" s="137">
        <f>IF(CX147="zákl. přenesená",J147,0)</f>
        <v>0</v>
      </c>
      <c r="ER147" s="137">
        <f>IF(CX147="sníž. přenesená",J147,0)</f>
        <v>0</v>
      </c>
      <c r="ES147" s="137">
        <f>IF(CX147="nulová",J147,0)</f>
        <v>0</v>
      </c>
      <c r="ET147" s="16" t="s">
        <v>81</v>
      </c>
      <c r="EU147" s="137">
        <f>ROUND(I147*H147,2)</f>
        <v>3788.86</v>
      </c>
      <c r="EV147" s="16" t="s">
        <v>95</v>
      </c>
      <c r="EW147" s="136" t="s">
        <v>316</v>
      </c>
    </row>
    <row r="148" spans="2:153" s="1" customFormat="1" ht="19.5" x14ac:dyDescent="0.2">
      <c r="B148" s="31"/>
      <c r="D148" s="138" t="s">
        <v>289</v>
      </c>
      <c r="F148" s="139" t="s">
        <v>314</v>
      </c>
      <c r="I148" s="140"/>
      <c r="L148" s="31"/>
      <c r="N148" s="213"/>
      <c r="O148" s="214"/>
      <c r="Q148" s="229"/>
      <c r="CW148" s="141"/>
      <c r="DD148" s="50"/>
      <c r="ED148" s="16" t="s">
        <v>289</v>
      </c>
      <c r="EE148" s="16" t="s">
        <v>83</v>
      </c>
    </row>
    <row r="149" spans="2:153" s="1" customFormat="1" ht="19.5" x14ac:dyDescent="0.2">
      <c r="B149" s="31"/>
      <c r="D149" s="138" t="s">
        <v>299</v>
      </c>
      <c r="F149" s="142" t="s">
        <v>317</v>
      </c>
      <c r="I149" s="140"/>
      <c r="L149" s="31"/>
      <c r="N149" s="213"/>
      <c r="O149" s="214"/>
      <c r="Q149" s="229"/>
      <c r="CW149" s="141"/>
      <c r="DD149" s="50"/>
      <c r="ED149" s="16" t="s">
        <v>299</v>
      </c>
      <c r="EE149" s="16" t="s">
        <v>83</v>
      </c>
    </row>
    <row r="150" spans="2:153" s="12" customFormat="1" x14ac:dyDescent="0.2">
      <c r="B150" s="149"/>
      <c r="D150" s="138" t="s">
        <v>301</v>
      </c>
      <c r="E150" s="150" t="s">
        <v>1</v>
      </c>
      <c r="F150" s="151" t="s">
        <v>81</v>
      </c>
      <c r="H150" s="152">
        <v>1</v>
      </c>
      <c r="I150" s="153"/>
      <c r="L150" s="149"/>
      <c r="N150" s="217"/>
      <c r="O150" s="218"/>
      <c r="Q150" s="231"/>
      <c r="CW150" s="154"/>
      <c r="DD150" s="155"/>
      <c r="ED150" s="150" t="s">
        <v>301</v>
      </c>
      <c r="EE150" s="150" t="s">
        <v>83</v>
      </c>
      <c r="EF150" s="12" t="s">
        <v>83</v>
      </c>
      <c r="EG150" s="12" t="s">
        <v>32</v>
      </c>
      <c r="EH150" s="12" t="s">
        <v>81</v>
      </c>
      <c r="EI150" s="150" t="s">
        <v>282</v>
      </c>
    </row>
    <row r="151" spans="2:153" s="1" customFormat="1" ht="37.9" customHeight="1" x14ac:dyDescent="0.2">
      <c r="B151" s="124"/>
      <c r="C151" s="125" t="s">
        <v>318</v>
      </c>
      <c r="D151" s="125" t="s">
        <v>284</v>
      </c>
      <c r="E151" s="126" t="s">
        <v>319</v>
      </c>
      <c r="F151" s="127" t="s">
        <v>320</v>
      </c>
      <c r="G151" s="128" t="s">
        <v>321</v>
      </c>
      <c r="H151" s="129">
        <v>1</v>
      </c>
      <c r="I151" s="130">
        <v>14208.235500000001</v>
      </c>
      <c r="J151" s="131">
        <f>ROUND(I151*H151,2)</f>
        <v>14208.24</v>
      </c>
      <c r="K151" s="127" t="s">
        <v>1</v>
      </c>
      <c r="L151" s="198">
        <f>S151</f>
        <v>0</v>
      </c>
      <c r="M151" s="206">
        <f>ROUND(L151*I151,2)</f>
        <v>0</v>
      </c>
      <c r="N151" s="211"/>
      <c r="O151" s="212">
        <f>ROUND(N151*I151,2)</f>
        <v>0</v>
      </c>
      <c r="P151" s="207">
        <f>H151-L151-N151</f>
        <v>1</v>
      </c>
      <c r="Q151" s="228">
        <f>ROUND(P151*I151,2)</f>
        <v>14208.24</v>
      </c>
      <c r="R151" s="199"/>
      <c r="S151" s="200">
        <f>W151+Y151+AA151+AC151+AE151+AG151+AI151+AK151+AM151+AO151+AQ151+AS151+AU151+AW151</f>
        <v>0</v>
      </c>
      <c r="T151" s="200">
        <f>ROUND(S151*I151,2)</f>
        <v>0</v>
      </c>
      <c r="U151" s="200">
        <f>H151-S151</f>
        <v>1</v>
      </c>
      <c r="V151" s="200">
        <f>ROUND(U151*I151,2)</f>
        <v>14208.24</v>
      </c>
      <c r="W151" s="203"/>
      <c r="X151" s="203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CW151" s="132" t="s">
        <v>1</v>
      </c>
      <c r="CX151" s="133" t="s">
        <v>40</v>
      </c>
      <c r="CZ151" s="134">
        <f>CY151*H151</f>
        <v>0</v>
      </c>
      <c r="DA151" s="134">
        <v>0</v>
      </c>
      <c r="DB151" s="134">
        <f>DA151*H151</f>
        <v>0</v>
      </c>
      <c r="DC151" s="134">
        <v>0</v>
      </c>
      <c r="DD151" s="135">
        <f>DC151*H151</f>
        <v>0</v>
      </c>
      <c r="EB151" s="136" t="s">
        <v>95</v>
      </c>
      <c r="ED151" s="136" t="s">
        <v>284</v>
      </c>
      <c r="EE151" s="136" t="s">
        <v>83</v>
      </c>
      <c r="EI151" s="16" t="s">
        <v>282</v>
      </c>
      <c r="EO151" s="137">
        <f>IF(CX151="základní",J151,0)</f>
        <v>14208.24</v>
      </c>
      <c r="EP151" s="137">
        <f>IF(CX151="snížená",J151,0)</f>
        <v>0</v>
      </c>
      <c r="EQ151" s="137">
        <f>IF(CX151="zákl. přenesená",J151,0)</f>
        <v>0</v>
      </c>
      <c r="ER151" s="137">
        <f>IF(CX151="sníž. přenesená",J151,0)</f>
        <v>0</v>
      </c>
      <c r="ES151" s="137">
        <f>IF(CX151="nulová",J151,0)</f>
        <v>0</v>
      </c>
      <c r="ET151" s="16" t="s">
        <v>81</v>
      </c>
      <c r="EU151" s="137">
        <f>ROUND(I151*H151,2)</f>
        <v>14208.24</v>
      </c>
      <c r="EV151" s="16" t="s">
        <v>95</v>
      </c>
      <c r="EW151" s="136" t="s">
        <v>322</v>
      </c>
    </row>
    <row r="152" spans="2:153" s="1" customFormat="1" ht="19.5" x14ac:dyDescent="0.2">
      <c r="B152" s="31"/>
      <c r="D152" s="138" t="s">
        <v>289</v>
      </c>
      <c r="F152" s="139" t="s">
        <v>320</v>
      </c>
      <c r="I152" s="140"/>
      <c r="L152" s="31"/>
      <c r="N152" s="213"/>
      <c r="O152" s="214"/>
      <c r="Q152" s="229"/>
      <c r="CW152" s="141"/>
      <c r="DD152" s="50"/>
      <c r="ED152" s="16" t="s">
        <v>289</v>
      </c>
      <c r="EE152" s="16" t="s">
        <v>83</v>
      </c>
    </row>
    <row r="153" spans="2:153" s="1" customFormat="1" ht="19.5" x14ac:dyDescent="0.2">
      <c r="B153" s="31"/>
      <c r="D153" s="138" t="s">
        <v>299</v>
      </c>
      <c r="F153" s="142" t="s">
        <v>317</v>
      </c>
      <c r="I153" s="140"/>
      <c r="L153" s="31"/>
      <c r="N153" s="213"/>
      <c r="O153" s="214"/>
      <c r="Q153" s="229"/>
      <c r="CW153" s="141"/>
      <c r="DD153" s="50"/>
      <c r="ED153" s="16" t="s">
        <v>299</v>
      </c>
      <c r="EE153" s="16" t="s">
        <v>83</v>
      </c>
    </row>
    <row r="154" spans="2:153" s="1" customFormat="1" ht="24.2" customHeight="1" x14ac:dyDescent="0.2">
      <c r="B154" s="124"/>
      <c r="C154" s="125" t="s">
        <v>323</v>
      </c>
      <c r="D154" s="125" t="s">
        <v>284</v>
      </c>
      <c r="E154" s="126" t="s">
        <v>324</v>
      </c>
      <c r="F154" s="127" t="s">
        <v>325</v>
      </c>
      <c r="G154" s="128" t="s">
        <v>315</v>
      </c>
      <c r="H154" s="129">
        <v>12</v>
      </c>
      <c r="I154" s="130">
        <v>1847.0706150000001</v>
      </c>
      <c r="J154" s="131">
        <f>ROUND(I154*H154,2)</f>
        <v>22164.85</v>
      </c>
      <c r="K154" s="127" t="s">
        <v>1</v>
      </c>
      <c r="L154" s="198">
        <f>S154</f>
        <v>0</v>
      </c>
      <c r="M154" s="206">
        <f>ROUND(L154*I154,2)</f>
        <v>0</v>
      </c>
      <c r="N154" s="211"/>
      <c r="O154" s="212">
        <f>ROUND(N154*I154,2)</f>
        <v>0</v>
      </c>
      <c r="P154" s="207">
        <f>H154-L154-N154</f>
        <v>12</v>
      </c>
      <c r="Q154" s="228">
        <f>ROUND(P154*I154,2)</f>
        <v>22164.85</v>
      </c>
      <c r="R154" s="199"/>
      <c r="S154" s="200">
        <f>W154+Y154+AA154+AC154+AE154+AG154+AI154+AK154+AM154+AO154+AQ154+AS154+AU154+AW154</f>
        <v>0</v>
      </c>
      <c r="T154" s="200">
        <f>ROUND(S154*I154,2)</f>
        <v>0</v>
      </c>
      <c r="U154" s="200">
        <f>H154-S154</f>
        <v>12</v>
      </c>
      <c r="V154" s="200">
        <f>ROUND(U154*I154,2)</f>
        <v>22164.85</v>
      </c>
      <c r="W154" s="203"/>
      <c r="X154" s="203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CW154" s="132" t="s">
        <v>1</v>
      </c>
      <c r="CX154" s="133" t="s">
        <v>40</v>
      </c>
      <c r="CZ154" s="134">
        <f>CY154*H154</f>
        <v>0</v>
      </c>
      <c r="DA154" s="134">
        <v>0</v>
      </c>
      <c r="DB154" s="134">
        <f>DA154*H154</f>
        <v>0</v>
      </c>
      <c r="DC154" s="134">
        <v>0</v>
      </c>
      <c r="DD154" s="135">
        <f>DC154*H154</f>
        <v>0</v>
      </c>
      <c r="EB154" s="136" t="s">
        <v>95</v>
      </c>
      <c r="ED154" s="136" t="s">
        <v>284</v>
      </c>
      <c r="EE154" s="136" t="s">
        <v>83</v>
      </c>
      <c r="EI154" s="16" t="s">
        <v>282</v>
      </c>
      <c r="EO154" s="137">
        <f>IF(CX154="základní",J154,0)</f>
        <v>22164.85</v>
      </c>
      <c r="EP154" s="137">
        <f>IF(CX154="snížená",J154,0)</f>
        <v>0</v>
      </c>
      <c r="EQ154" s="137">
        <f>IF(CX154="zákl. přenesená",J154,0)</f>
        <v>0</v>
      </c>
      <c r="ER154" s="137">
        <f>IF(CX154="sníž. přenesená",J154,0)</f>
        <v>0</v>
      </c>
      <c r="ES154" s="137">
        <f>IF(CX154="nulová",J154,0)</f>
        <v>0</v>
      </c>
      <c r="ET154" s="16" t="s">
        <v>81</v>
      </c>
      <c r="EU154" s="137">
        <f>ROUND(I154*H154,2)</f>
        <v>22164.85</v>
      </c>
      <c r="EV154" s="16" t="s">
        <v>95</v>
      </c>
      <c r="EW154" s="136" t="s">
        <v>326</v>
      </c>
    </row>
    <row r="155" spans="2:153" s="1" customFormat="1" ht="19.5" x14ac:dyDescent="0.2">
      <c r="B155" s="31"/>
      <c r="D155" s="138" t="s">
        <v>289</v>
      </c>
      <c r="F155" s="139" t="s">
        <v>325</v>
      </c>
      <c r="I155" s="140"/>
      <c r="L155" s="31"/>
      <c r="N155" s="213"/>
      <c r="O155" s="214"/>
      <c r="Q155" s="229"/>
      <c r="CW155" s="141"/>
      <c r="DD155" s="50"/>
      <c r="ED155" s="16" t="s">
        <v>289</v>
      </c>
      <c r="EE155" s="16" t="s">
        <v>83</v>
      </c>
    </row>
    <row r="156" spans="2:153" s="1" customFormat="1" ht="19.5" x14ac:dyDescent="0.2">
      <c r="B156" s="31"/>
      <c r="D156" s="138" t="s">
        <v>299</v>
      </c>
      <c r="F156" s="142" t="s">
        <v>317</v>
      </c>
      <c r="I156" s="140"/>
      <c r="L156" s="31"/>
      <c r="N156" s="213"/>
      <c r="O156" s="214"/>
      <c r="Q156" s="229"/>
      <c r="CW156" s="141"/>
      <c r="DD156" s="50"/>
      <c r="ED156" s="16" t="s">
        <v>299</v>
      </c>
      <c r="EE156" s="16" t="s">
        <v>83</v>
      </c>
    </row>
    <row r="157" spans="2:153" s="12" customFormat="1" x14ac:dyDescent="0.2">
      <c r="B157" s="149"/>
      <c r="D157" s="138" t="s">
        <v>301</v>
      </c>
      <c r="E157" s="150" t="s">
        <v>1</v>
      </c>
      <c r="F157" s="151" t="s">
        <v>327</v>
      </c>
      <c r="H157" s="152">
        <v>12</v>
      </c>
      <c r="I157" s="153"/>
      <c r="L157" s="149"/>
      <c r="N157" s="217"/>
      <c r="O157" s="218"/>
      <c r="Q157" s="231"/>
      <c r="CW157" s="154"/>
      <c r="DD157" s="155"/>
      <c r="ED157" s="150" t="s">
        <v>301</v>
      </c>
      <c r="EE157" s="150" t="s">
        <v>83</v>
      </c>
      <c r="EF157" s="12" t="s">
        <v>83</v>
      </c>
      <c r="EG157" s="12" t="s">
        <v>32</v>
      </c>
      <c r="EH157" s="12" t="s">
        <v>81</v>
      </c>
      <c r="EI157" s="150" t="s">
        <v>282</v>
      </c>
    </row>
    <row r="158" spans="2:153" s="1" customFormat="1" ht="24.2" customHeight="1" x14ac:dyDescent="0.2">
      <c r="B158" s="124"/>
      <c r="C158" s="125" t="s">
        <v>328</v>
      </c>
      <c r="D158" s="125" t="s">
        <v>284</v>
      </c>
      <c r="E158" s="126" t="s">
        <v>329</v>
      </c>
      <c r="F158" s="127" t="s">
        <v>330</v>
      </c>
      <c r="G158" s="128" t="s">
        <v>331</v>
      </c>
      <c r="H158" s="129">
        <v>1200</v>
      </c>
      <c r="I158" s="130">
        <v>70.957591385341729</v>
      </c>
      <c r="J158" s="131">
        <f>ROUND(I158*H158,2)</f>
        <v>85149.11</v>
      </c>
      <c r="K158" s="127" t="s">
        <v>293</v>
      </c>
      <c r="L158" s="198">
        <f>S158</f>
        <v>0</v>
      </c>
      <c r="M158" s="206">
        <f>ROUND(L158*I158,2)</f>
        <v>0</v>
      </c>
      <c r="N158" s="211"/>
      <c r="O158" s="212">
        <f>ROUND(N158*I158,2)</f>
        <v>0</v>
      </c>
      <c r="P158" s="207">
        <f>H158-L158-N158</f>
        <v>1200</v>
      </c>
      <c r="Q158" s="228">
        <f>ROUND(P158*I158,2)</f>
        <v>85149.11</v>
      </c>
      <c r="R158" s="199"/>
      <c r="S158" s="200">
        <f>W158+Y158+AA158+AC158+AE158+AG158+AI158+AK158+AM158+AO158+AQ158+AS158+AU158+AW158</f>
        <v>0</v>
      </c>
      <c r="T158" s="200">
        <f>ROUND(S158*I158,2)</f>
        <v>0</v>
      </c>
      <c r="U158" s="200">
        <f>H158-S158</f>
        <v>1200</v>
      </c>
      <c r="V158" s="200">
        <f>ROUND(U158*I158,2)</f>
        <v>85149.11</v>
      </c>
      <c r="W158" s="203"/>
      <c r="X158" s="203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CW158" s="132" t="s">
        <v>1</v>
      </c>
      <c r="CX158" s="133" t="s">
        <v>40</v>
      </c>
      <c r="CZ158" s="134">
        <f>CY158*H158</f>
        <v>0</v>
      </c>
      <c r="DA158" s="134">
        <v>3.0000000000000001E-5</v>
      </c>
      <c r="DB158" s="134">
        <f>DA158*H158</f>
        <v>3.6000000000000004E-2</v>
      </c>
      <c r="DC158" s="134">
        <v>0</v>
      </c>
      <c r="DD158" s="135">
        <f>DC158*H158</f>
        <v>0</v>
      </c>
      <c r="EB158" s="136" t="s">
        <v>95</v>
      </c>
      <c r="ED158" s="136" t="s">
        <v>284</v>
      </c>
      <c r="EE158" s="136" t="s">
        <v>83</v>
      </c>
      <c r="EI158" s="16" t="s">
        <v>282</v>
      </c>
      <c r="EO158" s="137">
        <f>IF(CX158="základní",J158,0)</f>
        <v>85149.11</v>
      </c>
      <c r="EP158" s="137">
        <f>IF(CX158="snížená",J158,0)</f>
        <v>0</v>
      </c>
      <c r="EQ158" s="137">
        <f>IF(CX158="zákl. přenesená",J158,0)</f>
        <v>0</v>
      </c>
      <c r="ER158" s="137">
        <f>IF(CX158="sníž. přenesená",J158,0)</f>
        <v>0</v>
      </c>
      <c r="ES158" s="137">
        <f>IF(CX158="nulová",J158,0)</f>
        <v>0</v>
      </c>
      <c r="ET158" s="16" t="s">
        <v>81</v>
      </c>
      <c r="EU158" s="137">
        <f>ROUND(I158*H158,2)</f>
        <v>85149.11</v>
      </c>
      <c r="EV158" s="16" t="s">
        <v>95</v>
      </c>
      <c r="EW158" s="136" t="s">
        <v>332</v>
      </c>
    </row>
    <row r="159" spans="2:153" s="1" customFormat="1" ht="19.5" x14ac:dyDescent="0.2">
      <c r="B159" s="31"/>
      <c r="D159" s="138" t="s">
        <v>289</v>
      </c>
      <c r="F159" s="139" t="s">
        <v>333</v>
      </c>
      <c r="I159" s="140"/>
      <c r="L159" s="31"/>
      <c r="N159" s="213"/>
      <c r="O159" s="214"/>
      <c r="Q159" s="229"/>
      <c r="CW159" s="141"/>
      <c r="DD159" s="50"/>
      <c r="ED159" s="16" t="s">
        <v>289</v>
      </c>
      <c r="EE159" s="16" t="s">
        <v>83</v>
      </c>
    </row>
    <row r="160" spans="2:153" s="12" customFormat="1" x14ac:dyDescent="0.2">
      <c r="B160" s="149"/>
      <c r="D160" s="138" t="s">
        <v>301</v>
      </c>
      <c r="E160" s="150" t="s">
        <v>1</v>
      </c>
      <c r="F160" s="151" t="s">
        <v>334</v>
      </c>
      <c r="H160" s="152">
        <v>1200</v>
      </c>
      <c r="I160" s="153"/>
      <c r="L160" s="149"/>
      <c r="N160" s="217"/>
      <c r="O160" s="218"/>
      <c r="Q160" s="231"/>
      <c r="CW160" s="154"/>
      <c r="DD160" s="155"/>
      <c r="ED160" s="150" t="s">
        <v>301</v>
      </c>
      <c r="EE160" s="150" t="s">
        <v>83</v>
      </c>
      <c r="EF160" s="12" t="s">
        <v>83</v>
      </c>
      <c r="EG160" s="12" t="s">
        <v>32</v>
      </c>
      <c r="EH160" s="12" t="s">
        <v>81</v>
      </c>
      <c r="EI160" s="150" t="s">
        <v>282</v>
      </c>
    </row>
    <row r="161" spans="2:153" s="1" customFormat="1" ht="24.2" customHeight="1" x14ac:dyDescent="0.2">
      <c r="B161" s="124"/>
      <c r="C161" s="125" t="s">
        <v>335</v>
      </c>
      <c r="D161" s="125" t="s">
        <v>284</v>
      </c>
      <c r="E161" s="126" t="s">
        <v>336</v>
      </c>
      <c r="F161" s="127" t="s">
        <v>337</v>
      </c>
      <c r="G161" s="128" t="s">
        <v>338</v>
      </c>
      <c r="H161" s="129">
        <v>150</v>
      </c>
      <c r="I161" s="130">
        <v>41.621835247115101</v>
      </c>
      <c r="J161" s="131">
        <f>ROUND(I161*H161,2)</f>
        <v>6243.28</v>
      </c>
      <c r="K161" s="127" t="s">
        <v>293</v>
      </c>
      <c r="L161" s="198">
        <f>S161</f>
        <v>0</v>
      </c>
      <c r="M161" s="206">
        <f>ROUND(L161*I161,2)</f>
        <v>0</v>
      </c>
      <c r="N161" s="211"/>
      <c r="O161" s="212">
        <f>ROUND(N161*I161,2)</f>
        <v>0</v>
      </c>
      <c r="P161" s="207">
        <f>H161-L161-N161</f>
        <v>150</v>
      </c>
      <c r="Q161" s="228">
        <f>ROUND(P161*I161,2)</f>
        <v>6243.28</v>
      </c>
      <c r="R161" s="199"/>
      <c r="S161" s="200">
        <f>W161+Y161+AA161+AC161+AE161+AG161+AI161+AK161+AM161+AO161+AQ161+AS161+AU161+AW161</f>
        <v>0</v>
      </c>
      <c r="T161" s="200">
        <f>ROUND(S161*I161,2)</f>
        <v>0</v>
      </c>
      <c r="U161" s="200">
        <f>H161-S161</f>
        <v>150</v>
      </c>
      <c r="V161" s="200">
        <f>ROUND(U161*I161,2)</f>
        <v>6243.28</v>
      </c>
      <c r="W161" s="203"/>
      <c r="X161" s="203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200"/>
      <c r="AV161" s="200"/>
      <c r="AW161" s="200"/>
      <c r="AX161" s="200"/>
      <c r="CW161" s="132" t="s">
        <v>1</v>
      </c>
      <c r="CX161" s="133" t="s">
        <v>40</v>
      </c>
      <c r="CZ161" s="134">
        <f>CY161*H161</f>
        <v>0</v>
      </c>
      <c r="DA161" s="134">
        <v>0</v>
      </c>
      <c r="DB161" s="134">
        <f>DA161*H161</f>
        <v>0</v>
      </c>
      <c r="DC161" s="134">
        <v>0</v>
      </c>
      <c r="DD161" s="135">
        <f>DC161*H161</f>
        <v>0</v>
      </c>
      <c r="EB161" s="136" t="s">
        <v>95</v>
      </c>
      <c r="ED161" s="136" t="s">
        <v>284</v>
      </c>
      <c r="EE161" s="136" t="s">
        <v>83</v>
      </c>
      <c r="EI161" s="16" t="s">
        <v>282</v>
      </c>
      <c r="EO161" s="137">
        <f>IF(CX161="základní",J161,0)</f>
        <v>6243.28</v>
      </c>
      <c r="EP161" s="137">
        <f>IF(CX161="snížená",J161,0)</f>
        <v>0</v>
      </c>
      <c r="EQ161" s="137">
        <f>IF(CX161="zákl. přenesená",J161,0)</f>
        <v>0</v>
      </c>
      <c r="ER161" s="137">
        <f>IF(CX161="sníž. přenesená",J161,0)</f>
        <v>0</v>
      </c>
      <c r="ES161" s="137">
        <f>IF(CX161="nulová",J161,0)</f>
        <v>0</v>
      </c>
      <c r="ET161" s="16" t="s">
        <v>81</v>
      </c>
      <c r="EU161" s="137">
        <f>ROUND(I161*H161,2)</f>
        <v>6243.28</v>
      </c>
      <c r="EV161" s="16" t="s">
        <v>95</v>
      </c>
      <c r="EW161" s="136" t="s">
        <v>339</v>
      </c>
    </row>
    <row r="162" spans="2:153" s="1" customFormat="1" ht="19.5" x14ac:dyDescent="0.2">
      <c r="B162" s="31"/>
      <c r="D162" s="138" t="s">
        <v>289</v>
      </c>
      <c r="F162" s="139" t="s">
        <v>340</v>
      </c>
      <c r="I162" s="140"/>
      <c r="L162" s="31"/>
      <c r="N162" s="213"/>
      <c r="O162" s="214"/>
      <c r="Q162" s="229"/>
      <c r="CW162" s="141"/>
      <c r="DD162" s="50"/>
      <c r="ED162" s="16" t="s">
        <v>289</v>
      </c>
      <c r="EE162" s="16" t="s">
        <v>83</v>
      </c>
    </row>
    <row r="163" spans="2:153" s="1" customFormat="1" ht="14.45" customHeight="1" x14ac:dyDescent="0.2">
      <c r="B163" s="124"/>
      <c r="C163" s="125" t="s">
        <v>341</v>
      </c>
      <c r="D163" s="125" t="s">
        <v>284</v>
      </c>
      <c r="E163" s="126" t="s">
        <v>342</v>
      </c>
      <c r="F163" s="127" t="s">
        <v>343</v>
      </c>
      <c r="G163" s="128" t="s">
        <v>344</v>
      </c>
      <c r="H163" s="129">
        <v>19.95</v>
      </c>
      <c r="I163" s="130">
        <v>235.02024596209694</v>
      </c>
      <c r="J163" s="131">
        <f>ROUND(I163*H163,2)</f>
        <v>4688.6499999999996</v>
      </c>
      <c r="K163" s="127" t="s">
        <v>293</v>
      </c>
      <c r="L163" s="198">
        <f>S163</f>
        <v>0</v>
      </c>
      <c r="M163" s="206">
        <f>ROUND(L163*I163,2)</f>
        <v>0</v>
      </c>
      <c r="N163" s="211"/>
      <c r="O163" s="212">
        <f>ROUND(N163*I163,2)</f>
        <v>0</v>
      </c>
      <c r="P163" s="328">
        <f>H163-L163-N163</f>
        <v>19.95</v>
      </c>
      <c r="Q163" s="228">
        <f>ROUND(P163*I163,2)</f>
        <v>4688.6499999999996</v>
      </c>
      <c r="R163" s="199"/>
      <c r="S163" s="200">
        <f>W163+Y163+AA163+AC163+AE163+AG163+AI163+AK163+AM163+AO163+AQ163+AS163+AU163+AW163</f>
        <v>0</v>
      </c>
      <c r="T163" s="200">
        <f>ROUND(S163*I163,2)</f>
        <v>0</v>
      </c>
      <c r="U163" s="200">
        <f>H163-S163</f>
        <v>19.95</v>
      </c>
      <c r="V163" s="200">
        <f>ROUND(U163*I163,2)</f>
        <v>4688.6499999999996</v>
      </c>
      <c r="W163" s="203"/>
      <c r="X163" s="203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CW163" s="132" t="s">
        <v>1</v>
      </c>
      <c r="CX163" s="133" t="s">
        <v>40</v>
      </c>
      <c r="CZ163" s="134">
        <f>CY163*H163</f>
        <v>0</v>
      </c>
      <c r="DA163" s="134">
        <v>3.6900000000000002E-2</v>
      </c>
      <c r="DB163" s="134">
        <f>DA163*H163</f>
        <v>0.736155</v>
      </c>
      <c r="DC163" s="134">
        <v>0</v>
      </c>
      <c r="DD163" s="135">
        <f>DC163*H163</f>
        <v>0</v>
      </c>
      <c r="EB163" s="136" t="s">
        <v>95</v>
      </c>
      <c r="ED163" s="136" t="s">
        <v>284</v>
      </c>
      <c r="EE163" s="136" t="s">
        <v>83</v>
      </c>
      <c r="EI163" s="16" t="s">
        <v>282</v>
      </c>
      <c r="EO163" s="137">
        <f>IF(CX163="základní",J163,0)</f>
        <v>4688.6499999999996</v>
      </c>
      <c r="EP163" s="137">
        <f>IF(CX163="snížená",J163,0)</f>
        <v>0</v>
      </c>
      <c r="EQ163" s="137">
        <f>IF(CX163="zákl. přenesená",J163,0)</f>
        <v>0</v>
      </c>
      <c r="ER163" s="137">
        <f>IF(CX163="sníž. přenesená",J163,0)</f>
        <v>0</v>
      </c>
      <c r="ES163" s="137">
        <f>IF(CX163="nulová",J163,0)</f>
        <v>0</v>
      </c>
      <c r="ET163" s="16" t="s">
        <v>81</v>
      </c>
      <c r="EU163" s="137">
        <f>ROUND(I163*H163,2)</f>
        <v>4688.6499999999996</v>
      </c>
      <c r="EV163" s="16" t="s">
        <v>95</v>
      </c>
      <c r="EW163" s="136" t="s">
        <v>345</v>
      </c>
    </row>
    <row r="164" spans="2:153" s="1" customFormat="1" ht="58.5" x14ac:dyDescent="0.2">
      <c r="B164" s="31"/>
      <c r="D164" s="138" t="s">
        <v>289</v>
      </c>
      <c r="F164" s="139" t="s">
        <v>346</v>
      </c>
      <c r="I164" s="140"/>
      <c r="L164" s="31"/>
      <c r="N164" s="213"/>
      <c r="O164" s="214"/>
      <c r="Q164" s="229"/>
      <c r="CW164" s="141"/>
      <c r="DD164" s="50"/>
      <c r="ED164" s="16" t="s">
        <v>289</v>
      </c>
      <c r="EE164" s="16" t="s">
        <v>83</v>
      </c>
    </row>
    <row r="165" spans="2:153" s="1" customFormat="1" ht="29.25" x14ac:dyDescent="0.2">
      <c r="B165" s="31"/>
      <c r="D165" s="138" t="s">
        <v>299</v>
      </c>
      <c r="F165" s="142" t="s">
        <v>300</v>
      </c>
      <c r="I165" s="140"/>
      <c r="L165" s="31"/>
      <c r="N165" s="213"/>
      <c r="O165" s="214"/>
      <c r="Q165" s="229"/>
      <c r="CW165" s="141"/>
      <c r="DD165" s="50"/>
      <c r="ED165" s="16" t="s">
        <v>299</v>
      </c>
      <c r="EE165" s="16" t="s">
        <v>83</v>
      </c>
    </row>
    <row r="166" spans="2:153" s="12" customFormat="1" x14ac:dyDescent="0.2">
      <c r="B166" s="149"/>
      <c r="D166" s="138" t="s">
        <v>301</v>
      </c>
      <c r="E166" s="150" t="s">
        <v>1</v>
      </c>
      <c r="F166" s="151" t="s">
        <v>347</v>
      </c>
      <c r="H166" s="152">
        <v>19.95</v>
      </c>
      <c r="I166" s="153"/>
      <c r="L166" s="149"/>
      <c r="N166" s="217"/>
      <c r="O166" s="218"/>
      <c r="Q166" s="231"/>
      <c r="CW166" s="154"/>
      <c r="DD166" s="155"/>
      <c r="ED166" s="150" t="s">
        <v>301</v>
      </c>
      <c r="EE166" s="150" t="s">
        <v>83</v>
      </c>
      <c r="EF166" s="12" t="s">
        <v>83</v>
      </c>
      <c r="EG166" s="12" t="s">
        <v>32</v>
      </c>
      <c r="EH166" s="12" t="s">
        <v>81</v>
      </c>
      <c r="EI166" s="150" t="s">
        <v>282</v>
      </c>
    </row>
    <row r="167" spans="2:153" s="1" customFormat="1" ht="24.2" customHeight="1" x14ac:dyDescent="0.2">
      <c r="B167" s="124"/>
      <c r="C167" s="125" t="s">
        <v>348</v>
      </c>
      <c r="D167" s="125" t="s">
        <v>284</v>
      </c>
      <c r="E167" s="126" t="s">
        <v>349</v>
      </c>
      <c r="F167" s="127" t="s">
        <v>350</v>
      </c>
      <c r="G167" s="128" t="s">
        <v>344</v>
      </c>
      <c r="H167" s="129">
        <v>14.7</v>
      </c>
      <c r="I167" s="130">
        <v>225.71950862012659</v>
      </c>
      <c r="J167" s="131">
        <f>ROUND(I167*H167,2)</f>
        <v>3318.08</v>
      </c>
      <c r="K167" s="127" t="s">
        <v>293</v>
      </c>
      <c r="L167" s="198">
        <f>S167</f>
        <v>0</v>
      </c>
      <c r="M167" s="206">
        <f>ROUND(L167*I167,2)</f>
        <v>0</v>
      </c>
      <c r="N167" s="211"/>
      <c r="O167" s="212">
        <f>ROUND(N167*I167,2)</f>
        <v>0</v>
      </c>
      <c r="P167" s="328">
        <f>H167-L167-N167</f>
        <v>14.7</v>
      </c>
      <c r="Q167" s="228">
        <f>ROUND(P167*I167,2)</f>
        <v>3318.08</v>
      </c>
      <c r="R167" s="199"/>
      <c r="S167" s="200">
        <f>W167+Y167+AA167+AC167+AE167+AG167+AI167+AK167+AM167+AO167+AQ167+AS167+AU167+AW167</f>
        <v>0</v>
      </c>
      <c r="T167" s="200">
        <f>ROUND(S167*I167,2)</f>
        <v>0</v>
      </c>
      <c r="U167" s="200">
        <f>H167-S167</f>
        <v>14.7</v>
      </c>
      <c r="V167" s="200">
        <f>ROUND(U167*I167,2)</f>
        <v>3318.08</v>
      </c>
      <c r="W167" s="203"/>
      <c r="X167" s="203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200"/>
      <c r="AV167" s="200"/>
      <c r="AW167" s="200"/>
      <c r="AX167" s="200"/>
      <c r="CW167" s="132" t="s">
        <v>1</v>
      </c>
      <c r="CX167" s="133" t="s">
        <v>40</v>
      </c>
      <c r="CZ167" s="134">
        <f>CY167*H167</f>
        <v>0</v>
      </c>
      <c r="DA167" s="134">
        <v>3.6900000000000002E-2</v>
      </c>
      <c r="DB167" s="134">
        <f>DA167*H167</f>
        <v>0.54242999999999997</v>
      </c>
      <c r="DC167" s="134">
        <v>0</v>
      </c>
      <c r="DD167" s="135">
        <f>DC167*H167</f>
        <v>0</v>
      </c>
      <c r="EB167" s="136" t="s">
        <v>95</v>
      </c>
      <c r="ED167" s="136" t="s">
        <v>284</v>
      </c>
      <c r="EE167" s="136" t="s">
        <v>83</v>
      </c>
      <c r="EI167" s="16" t="s">
        <v>282</v>
      </c>
      <c r="EO167" s="137">
        <f>IF(CX167="základní",J167,0)</f>
        <v>3318.08</v>
      </c>
      <c r="EP167" s="137">
        <f>IF(CX167="snížená",J167,0)</f>
        <v>0</v>
      </c>
      <c r="EQ167" s="137">
        <f>IF(CX167="zákl. přenesená",J167,0)</f>
        <v>0</v>
      </c>
      <c r="ER167" s="137">
        <f>IF(CX167="sníž. přenesená",J167,0)</f>
        <v>0</v>
      </c>
      <c r="ES167" s="137">
        <f>IF(CX167="nulová",J167,0)</f>
        <v>0</v>
      </c>
      <c r="ET167" s="16" t="s">
        <v>81</v>
      </c>
      <c r="EU167" s="137">
        <f>ROUND(I167*H167,2)</f>
        <v>3318.08</v>
      </c>
      <c r="EV167" s="16" t="s">
        <v>95</v>
      </c>
      <c r="EW167" s="136" t="s">
        <v>351</v>
      </c>
    </row>
    <row r="168" spans="2:153" s="1" customFormat="1" ht="58.5" x14ac:dyDescent="0.2">
      <c r="B168" s="31"/>
      <c r="D168" s="138" t="s">
        <v>289</v>
      </c>
      <c r="F168" s="139" t="s">
        <v>352</v>
      </c>
      <c r="I168" s="140"/>
      <c r="L168" s="31"/>
      <c r="N168" s="213"/>
      <c r="O168" s="214"/>
      <c r="Q168" s="229"/>
      <c r="CW168" s="141"/>
      <c r="DD168" s="50"/>
      <c r="ED168" s="16" t="s">
        <v>289</v>
      </c>
      <c r="EE168" s="16" t="s">
        <v>83</v>
      </c>
    </row>
    <row r="169" spans="2:153" s="1" customFormat="1" ht="29.25" x14ac:dyDescent="0.2">
      <c r="B169" s="31"/>
      <c r="D169" s="138" t="s">
        <v>299</v>
      </c>
      <c r="F169" s="142" t="s">
        <v>300</v>
      </c>
      <c r="I169" s="140"/>
      <c r="L169" s="31"/>
      <c r="N169" s="213"/>
      <c r="O169" s="214"/>
      <c r="Q169" s="229"/>
      <c r="CW169" s="141"/>
      <c r="DD169" s="50"/>
      <c r="ED169" s="16" t="s">
        <v>299</v>
      </c>
      <c r="EE169" s="16" t="s">
        <v>83</v>
      </c>
    </row>
    <row r="170" spans="2:153" s="12" customFormat="1" x14ac:dyDescent="0.2">
      <c r="B170" s="149"/>
      <c r="D170" s="138" t="s">
        <v>301</v>
      </c>
      <c r="E170" s="150" t="s">
        <v>1</v>
      </c>
      <c r="F170" s="151" t="s">
        <v>353</v>
      </c>
      <c r="H170" s="152">
        <v>14.7</v>
      </c>
      <c r="I170" s="153"/>
      <c r="L170" s="149"/>
      <c r="N170" s="217"/>
      <c r="O170" s="218"/>
      <c r="Q170" s="231"/>
      <c r="CW170" s="154"/>
      <c r="DD170" s="155"/>
      <c r="ED170" s="150" t="s">
        <v>301</v>
      </c>
      <c r="EE170" s="150" t="s">
        <v>83</v>
      </c>
      <c r="EF170" s="12" t="s">
        <v>83</v>
      </c>
      <c r="EG170" s="12" t="s">
        <v>32</v>
      </c>
      <c r="EH170" s="12" t="s">
        <v>81</v>
      </c>
      <c r="EI170" s="150" t="s">
        <v>282</v>
      </c>
    </row>
    <row r="171" spans="2:153" s="1" customFormat="1" ht="24.2" customHeight="1" x14ac:dyDescent="0.2">
      <c r="B171" s="124"/>
      <c r="C171" s="125" t="s">
        <v>327</v>
      </c>
      <c r="D171" s="125" t="s">
        <v>284</v>
      </c>
      <c r="E171" s="126" t="s">
        <v>354</v>
      </c>
      <c r="F171" s="127" t="s">
        <v>355</v>
      </c>
      <c r="G171" s="128" t="s">
        <v>287</v>
      </c>
      <c r="H171" s="129">
        <v>18.75</v>
      </c>
      <c r="I171" s="130">
        <v>384.10781647572281</v>
      </c>
      <c r="J171" s="131">
        <f>ROUND(I171*H171,2)</f>
        <v>7202.02</v>
      </c>
      <c r="K171" s="127" t="s">
        <v>293</v>
      </c>
      <c r="L171" s="198">
        <f>S171</f>
        <v>0</v>
      </c>
      <c r="M171" s="206">
        <f>ROUND(L171*I171,2)</f>
        <v>0</v>
      </c>
      <c r="N171" s="211"/>
      <c r="O171" s="212">
        <f>ROUND(N171*I171,2)</f>
        <v>0</v>
      </c>
      <c r="P171" s="207">
        <f>H171-L171-N171</f>
        <v>18.75</v>
      </c>
      <c r="Q171" s="228">
        <f>ROUND(P171*I171,2)</f>
        <v>7202.02</v>
      </c>
      <c r="R171" s="199"/>
      <c r="S171" s="200">
        <f>W171+Y171+AA171+AC171+AE171+AG171+AI171+AK171+AM171+AO171+AQ171+AS171+AU171+AW171</f>
        <v>0</v>
      </c>
      <c r="T171" s="200">
        <f>ROUND(S171*I171,2)</f>
        <v>0</v>
      </c>
      <c r="U171" s="200">
        <f>H171-S171</f>
        <v>18.75</v>
      </c>
      <c r="V171" s="200">
        <f>ROUND(U171*I171,2)</f>
        <v>7202.02</v>
      </c>
      <c r="W171" s="203"/>
      <c r="X171" s="203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200"/>
      <c r="CW171" s="132" t="s">
        <v>1</v>
      </c>
      <c r="CX171" s="133" t="s">
        <v>40</v>
      </c>
      <c r="CZ171" s="134">
        <f>CY171*H171</f>
        <v>0</v>
      </c>
      <c r="DA171" s="134">
        <v>6.4000000000000005E-4</v>
      </c>
      <c r="DB171" s="134">
        <f>DA171*H171</f>
        <v>1.2E-2</v>
      </c>
      <c r="DC171" s="134">
        <v>0</v>
      </c>
      <c r="DD171" s="135">
        <f>DC171*H171</f>
        <v>0</v>
      </c>
      <c r="EB171" s="136" t="s">
        <v>95</v>
      </c>
      <c r="ED171" s="136" t="s">
        <v>284</v>
      </c>
      <c r="EE171" s="136" t="s">
        <v>83</v>
      </c>
      <c r="EI171" s="16" t="s">
        <v>282</v>
      </c>
      <c r="EO171" s="137">
        <f>IF(CX171="základní",J171,0)</f>
        <v>7202.02</v>
      </c>
      <c r="EP171" s="137">
        <f>IF(CX171="snížená",J171,0)</f>
        <v>0</v>
      </c>
      <c r="EQ171" s="137">
        <f>IF(CX171="zákl. přenesená",J171,0)</f>
        <v>0</v>
      </c>
      <c r="ER171" s="137">
        <f>IF(CX171="sníž. přenesená",J171,0)</f>
        <v>0</v>
      </c>
      <c r="ES171" s="137">
        <f>IF(CX171="nulová",J171,0)</f>
        <v>0</v>
      </c>
      <c r="ET171" s="16" t="s">
        <v>81</v>
      </c>
      <c r="EU171" s="137">
        <f>ROUND(I171*H171,2)</f>
        <v>7202.02</v>
      </c>
      <c r="EV171" s="16" t="s">
        <v>95</v>
      </c>
      <c r="EW171" s="136" t="s">
        <v>356</v>
      </c>
    </row>
    <row r="172" spans="2:153" s="1" customFormat="1" ht="19.5" x14ac:dyDescent="0.2">
      <c r="B172" s="31"/>
      <c r="D172" s="138" t="s">
        <v>289</v>
      </c>
      <c r="F172" s="139" t="s">
        <v>357</v>
      </c>
      <c r="I172" s="140"/>
      <c r="L172" s="31"/>
      <c r="N172" s="213"/>
      <c r="O172" s="214"/>
      <c r="Q172" s="229"/>
      <c r="CW172" s="141"/>
      <c r="DD172" s="50"/>
      <c r="ED172" s="16" t="s">
        <v>289</v>
      </c>
      <c r="EE172" s="16" t="s">
        <v>83</v>
      </c>
    </row>
    <row r="173" spans="2:153" s="1" customFormat="1" ht="19.5" x14ac:dyDescent="0.2">
      <c r="B173" s="31"/>
      <c r="D173" s="138" t="s">
        <v>299</v>
      </c>
      <c r="F173" s="142" t="s">
        <v>317</v>
      </c>
      <c r="I173" s="140"/>
      <c r="L173" s="31"/>
      <c r="N173" s="213"/>
      <c r="O173" s="214"/>
      <c r="Q173" s="229"/>
      <c r="CW173" s="141"/>
      <c r="DD173" s="50"/>
      <c r="ED173" s="16" t="s">
        <v>299</v>
      </c>
      <c r="EE173" s="16" t="s">
        <v>83</v>
      </c>
    </row>
    <row r="174" spans="2:153" s="12" customFormat="1" x14ac:dyDescent="0.2">
      <c r="B174" s="149"/>
      <c r="D174" s="138" t="s">
        <v>301</v>
      </c>
      <c r="E174" s="150" t="s">
        <v>1</v>
      </c>
      <c r="F174" s="151" t="s">
        <v>358</v>
      </c>
      <c r="H174" s="152">
        <v>18.75</v>
      </c>
      <c r="I174" s="153"/>
      <c r="L174" s="149"/>
      <c r="N174" s="217"/>
      <c r="O174" s="218"/>
      <c r="Q174" s="231"/>
      <c r="CW174" s="154"/>
      <c r="DD174" s="155"/>
      <c r="ED174" s="150" t="s">
        <v>301</v>
      </c>
      <c r="EE174" s="150" t="s">
        <v>83</v>
      </c>
      <c r="EF174" s="12" t="s">
        <v>83</v>
      </c>
      <c r="EG174" s="12" t="s">
        <v>32</v>
      </c>
      <c r="EH174" s="12" t="s">
        <v>81</v>
      </c>
      <c r="EI174" s="150" t="s">
        <v>282</v>
      </c>
    </row>
    <row r="175" spans="2:153" s="1" customFormat="1" ht="24.2" customHeight="1" x14ac:dyDescent="0.2">
      <c r="B175" s="124"/>
      <c r="C175" s="125" t="s">
        <v>359</v>
      </c>
      <c r="D175" s="125" t="s">
        <v>284</v>
      </c>
      <c r="E175" s="126" t="s">
        <v>360</v>
      </c>
      <c r="F175" s="127" t="s">
        <v>361</v>
      </c>
      <c r="G175" s="128" t="s">
        <v>287</v>
      </c>
      <c r="H175" s="129">
        <v>18.75</v>
      </c>
      <c r="I175" s="130">
        <v>184.4436785574961</v>
      </c>
      <c r="J175" s="131">
        <f>ROUND(I175*H175,2)</f>
        <v>3458.32</v>
      </c>
      <c r="K175" s="127" t="s">
        <v>293</v>
      </c>
      <c r="L175" s="198">
        <f>S175</f>
        <v>0</v>
      </c>
      <c r="M175" s="206">
        <f>ROUND(L175*I175,2)</f>
        <v>0</v>
      </c>
      <c r="N175" s="211"/>
      <c r="O175" s="212">
        <f>ROUND(N175*I175,2)</f>
        <v>0</v>
      </c>
      <c r="P175" s="207">
        <f>H175-L175-N175</f>
        <v>18.75</v>
      </c>
      <c r="Q175" s="228">
        <f>ROUND(P175*I175,2)</f>
        <v>3458.32</v>
      </c>
      <c r="R175" s="199"/>
      <c r="S175" s="200">
        <f>W175+Y175+AA175+AC175+AE175+AG175+AI175+AK175+AM175+AO175+AQ175+AS175+AU175+AW175</f>
        <v>0</v>
      </c>
      <c r="T175" s="200">
        <f>ROUND(S175*I175,2)</f>
        <v>0</v>
      </c>
      <c r="U175" s="200">
        <f>H175-S175</f>
        <v>18.75</v>
      </c>
      <c r="V175" s="200">
        <f>ROUND(U175*I175,2)</f>
        <v>3458.32</v>
      </c>
      <c r="W175" s="203"/>
      <c r="X175" s="203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CW175" s="132" t="s">
        <v>1</v>
      </c>
      <c r="CX175" s="133" t="s">
        <v>40</v>
      </c>
      <c r="CZ175" s="134">
        <f>CY175*H175</f>
        <v>0</v>
      </c>
      <c r="DA175" s="134">
        <v>0</v>
      </c>
      <c r="DB175" s="134">
        <f>DA175*H175</f>
        <v>0</v>
      </c>
      <c r="DC175" s="134">
        <v>0</v>
      </c>
      <c r="DD175" s="135">
        <f>DC175*H175</f>
        <v>0</v>
      </c>
      <c r="EB175" s="136" t="s">
        <v>95</v>
      </c>
      <c r="ED175" s="136" t="s">
        <v>284</v>
      </c>
      <c r="EE175" s="136" t="s">
        <v>83</v>
      </c>
      <c r="EI175" s="16" t="s">
        <v>282</v>
      </c>
      <c r="EO175" s="137">
        <f>IF(CX175="základní",J175,0)</f>
        <v>3458.32</v>
      </c>
      <c r="EP175" s="137">
        <f>IF(CX175="snížená",J175,0)</f>
        <v>0</v>
      </c>
      <c r="EQ175" s="137">
        <f>IF(CX175="zákl. přenesená",J175,0)</f>
        <v>0</v>
      </c>
      <c r="ER175" s="137">
        <f>IF(CX175="sníž. přenesená",J175,0)</f>
        <v>0</v>
      </c>
      <c r="ES175" s="137">
        <f>IF(CX175="nulová",J175,0)</f>
        <v>0</v>
      </c>
      <c r="ET175" s="16" t="s">
        <v>81</v>
      </c>
      <c r="EU175" s="137">
        <f>ROUND(I175*H175,2)</f>
        <v>3458.32</v>
      </c>
      <c r="EV175" s="16" t="s">
        <v>95</v>
      </c>
      <c r="EW175" s="136" t="s">
        <v>362</v>
      </c>
    </row>
    <row r="176" spans="2:153" s="1" customFormat="1" ht="19.5" x14ac:dyDescent="0.2">
      <c r="B176" s="31"/>
      <c r="D176" s="138" t="s">
        <v>289</v>
      </c>
      <c r="F176" s="139" t="s">
        <v>357</v>
      </c>
      <c r="I176" s="140"/>
      <c r="L176" s="31"/>
      <c r="N176" s="213"/>
      <c r="O176" s="214"/>
      <c r="Q176" s="229"/>
      <c r="CW176" s="141"/>
      <c r="DD176" s="50"/>
      <c r="ED176" s="16" t="s">
        <v>289</v>
      </c>
      <c r="EE176" s="16" t="s">
        <v>83</v>
      </c>
    </row>
    <row r="177" spans="2:153" s="1" customFormat="1" ht="24.2" customHeight="1" x14ac:dyDescent="0.2">
      <c r="B177" s="124"/>
      <c r="C177" s="336" t="s">
        <v>363</v>
      </c>
      <c r="D177" s="336" t="s">
        <v>284</v>
      </c>
      <c r="E177" s="337" t="s">
        <v>364</v>
      </c>
      <c r="F177" s="338" t="s">
        <v>365</v>
      </c>
      <c r="G177" s="339" t="s">
        <v>366</v>
      </c>
      <c r="H177" s="340">
        <v>1756.1790000000001</v>
      </c>
      <c r="I177" s="341">
        <v>285.201942457955</v>
      </c>
      <c r="J177" s="341">
        <f>ROUND(I177*H177,2)</f>
        <v>500865.66</v>
      </c>
      <c r="K177" s="338" t="s">
        <v>293</v>
      </c>
      <c r="L177" s="342">
        <f>S177</f>
        <v>0</v>
      </c>
      <c r="M177" s="343">
        <f>ROUND(L177*I177,2)</f>
        <v>0</v>
      </c>
      <c r="N177" s="344">
        <f>N185</f>
        <v>-0.24018750000027467</v>
      </c>
      <c r="O177" s="345">
        <f>ROUND(N177*I177,2)</f>
        <v>-68.5</v>
      </c>
      <c r="P177" s="346">
        <f>H177-L177-N177</f>
        <v>1756.4191875000004</v>
      </c>
      <c r="Q177" s="347">
        <f>ROUND(P177*I177,2)</f>
        <v>500934.16</v>
      </c>
      <c r="R177" s="199">
        <v>270.26</v>
      </c>
      <c r="S177" s="200">
        <f>W177+Y177+AA177+AC177+AE177+AG177+AI177+AK177+AM177+AO177+AQ177+AS177+AU177+AW177</f>
        <v>0</v>
      </c>
      <c r="T177" s="200">
        <f>ROUND(S177*I177,2)</f>
        <v>0</v>
      </c>
      <c r="U177" s="200">
        <f>H177-S177</f>
        <v>1756.1790000000001</v>
      </c>
      <c r="V177" s="200">
        <f>ROUND(U177*I177,2)</f>
        <v>500865.66</v>
      </c>
      <c r="W177" s="203"/>
      <c r="X177" s="203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200"/>
      <c r="CW177" s="132" t="s">
        <v>1</v>
      </c>
      <c r="CX177" s="133" t="s">
        <v>40</v>
      </c>
      <c r="CZ177" s="134">
        <f>CY177*H177</f>
        <v>0</v>
      </c>
      <c r="DA177" s="134">
        <v>0</v>
      </c>
      <c r="DB177" s="134">
        <f>DA177*H177</f>
        <v>0</v>
      </c>
      <c r="DC177" s="134">
        <v>0</v>
      </c>
      <c r="DD177" s="135">
        <f>DC177*H177</f>
        <v>0</v>
      </c>
      <c r="EB177" s="136" t="s">
        <v>95</v>
      </c>
      <c r="ED177" s="136" t="s">
        <v>284</v>
      </c>
      <c r="EE177" s="136" t="s">
        <v>83</v>
      </c>
      <c r="EI177" s="16" t="s">
        <v>282</v>
      </c>
      <c r="EO177" s="137">
        <f>IF(CX177="základní",J177,0)</f>
        <v>500865.66</v>
      </c>
      <c r="EP177" s="137">
        <f>IF(CX177="snížená",J177,0)</f>
        <v>0</v>
      </c>
      <c r="EQ177" s="137">
        <f>IF(CX177="zákl. přenesená",J177,0)</f>
        <v>0</v>
      </c>
      <c r="ER177" s="137">
        <f>IF(CX177="sníž. přenesená",J177,0)</f>
        <v>0</v>
      </c>
      <c r="ES177" s="137">
        <f>IF(CX177="nulová",J177,0)</f>
        <v>0</v>
      </c>
      <c r="ET177" s="16" t="s">
        <v>81</v>
      </c>
      <c r="EU177" s="137">
        <f>ROUND(I177*H177,2)</f>
        <v>500865.66</v>
      </c>
      <c r="EV177" s="16" t="s">
        <v>95</v>
      </c>
      <c r="EW177" s="136" t="s">
        <v>367</v>
      </c>
    </row>
    <row r="178" spans="2:153" s="1" customFormat="1" ht="39" x14ac:dyDescent="0.2">
      <c r="B178" s="31"/>
      <c r="D178" s="138" t="s">
        <v>289</v>
      </c>
      <c r="F178" s="139" t="s">
        <v>368</v>
      </c>
      <c r="I178" s="140"/>
      <c r="L178" s="31"/>
      <c r="N178" s="213"/>
      <c r="O178" s="214"/>
      <c r="Q178" s="229"/>
      <c r="CW178" s="141"/>
      <c r="DD178" s="50"/>
      <c r="ED178" s="16" t="s">
        <v>289</v>
      </c>
      <c r="EE178" s="16" t="s">
        <v>83</v>
      </c>
    </row>
    <row r="179" spans="2:153" s="1" customFormat="1" ht="39" x14ac:dyDescent="0.2">
      <c r="B179" s="31"/>
      <c r="D179" s="138" t="s">
        <v>299</v>
      </c>
      <c r="F179" s="142" t="s">
        <v>369</v>
      </c>
      <c r="I179" s="140"/>
      <c r="L179" s="31"/>
      <c r="N179" s="312"/>
      <c r="O179" s="214"/>
      <c r="Q179" s="229"/>
      <c r="CW179" s="141"/>
      <c r="DD179" s="50"/>
      <c r="ED179" s="16" t="s">
        <v>299</v>
      </c>
      <c r="EE179" s="16" t="s">
        <v>83</v>
      </c>
    </row>
    <row r="180" spans="2:153" s="11" customFormat="1" ht="22.5" x14ac:dyDescent="0.2">
      <c r="B180" s="143"/>
      <c r="D180" s="138" t="s">
        <v>301</v>
      </c>
      <c r="E180" s="144" t="s">
        <v>1</v>
      </c>
      <c r="F180" s="145" t="s">
        <v>370</v>
      </c>
      <c r="H180" s="144" t="s">
        <v>1</v>
      </c>
      <c r="I180" s="146"/>
      <c r="L180" s="143"/>
      <c r="N180" s="215"/>
      <c r="O180" s="216"/>
      <c r="Q180" s="230"/>
      <c r="CW180" s="147"/>
      <c r="DD180" s="148"/>
      <c r="ED180" s="144" t="s">
        <v>301</v>
      </c>
      <c r="EE180" s="144" t="s">
        <v>83</v>
      </c>
      <c r="EF180" s="11" t="s">
        <v>81</v>
      </c>
      <c r="EG180" s="11" t="s">
        <v>32</v>
      </c>
      <c r="EH180" s="11" t="s">
        <v>74</v>
      </c>
      <c r="EI180" s="144" t="s">
        <v>282</v>
      </c>
    </row>
    <row r="181" spans="2:153" s="12" customFormat="1" x14ac:dyDescent="0.2">
      <c r="B181" s="149"/>
      <c r="D181" s="138" t="s">
        <v>301</v>
      </c>
      <c r="E181" s="150" t="s">
        <v>1</v>
      </c>
      <c r="F181" s="151" t="s">
        <v>371</v>
      </c>
      <c r="H181" s="152">
        <v>3151.26</v>
      </c>
      <c r="I181" s="153"/>
      <c r="L181" s="149"/>
      <c r="N181" s="360">
        <f>983.85*1.05*(3.5-0.45)</f>
        <v>3150.7796249999997</v>
      </c>
      <c r="O181" s="361" t="s">
        <v>3351</v>
      </c>
      <c r="Q181" s="231"/>
      <c r="CW181" s="154"/>
      <c r="DD181" s="155"/>
      <c r="ED181" s="150" t="s">
        <v>301</v>
      </c>
      <c r="EE181" s="150" t="s">
        <v>83</v>
      </c>
      <c r="EF181" s="12" t="s">
        <v>83</v>
      </c>
      <c r="EG181" s="12" t="s">
        <v>32</v>
      </c>
      <c r="EH181" s="12" t="s">
        <v>74</v>
      </c>
      <c r="EI181" s="150" t="s">
        <v>282</v>
      </c>
    </row>
    <row r="182" spans="2:153" s="12" customFormat="1" ht="22.5" x14ac:dyDescent="0.2">
      <c r="B182" s="149"/>
      <c r="D182" s="138" t="s">
        <v>301</v>
      </c>
      <c r="E182" s="150" t="s">
        <v>1</v>
      </c>
      <c r="F182" s="151" t="s">
        <v>372</v>
      </c>
      <c r="H182" s="152">
        <v>361.09800000000001</v>
      </c>
      <c r="I182" s="153"/>
      <c r="L182" s="149"/>
      <c r="N182" s="360">
        <f>H182</f>
        <v>361.09800000000001</v>
      </c>
      <c r="O182" s="218"/>
      <c r="Q182" s="231"/>
      <c r="CW182" s="154"/>
      <c r="DD182" s="155"/>
      <c r="ED182" s="150" t="s">
        <v>301</v>
      </c>
      <c r="EE182" s="150" t="s">
        <v>83</v>
      </c>
      <c r="EF182" s="12" t="s">
        <v>83</v>
      </c>
      <c r="EG182" s="12" t="s">
        <v>32</v>
      </c>
      <c r="EH182" s="12" t="s">
        <v>74</v>
      </c>
      <c r="EI182" s="150" t="s">
        <v>282</v>
      </c>
    </row>
    <row r="183" spans="2:153" s="14" customFormat="1" x14ac:dyDescent="0.2">
      <c r="B183" s="163"/>
      <c r="D183" s="138" t="s">
        <v>301</v>
      </c>
      <c r="E183" s="164" t="s">
        <v>1</v>
      </c>
      <c r="F183" s="165" t="s">
        <v>373</v>
      </c>
      <c r="H183" s="166">
        <v>3512.3580000000002</v>
      </c>
      <c r="I183" s="167"/>
      <c r="L183" s="163"/>
      <c r="N183" s="362">
        <f>N181+N182</f>
        <v>3511.8776249999996</v>
      </c>
      <c r="O183" s="222"/>
      <c r="Q183" s="233"/>
      <c r="CW183" s="168"/>
      <c r="DD183" s="169"/>
      <c r="ED183" s="164" t="s">
        <v>301</v>
      </c>
      <c r="EE183" s="164" t="s">
        <v>83</v>
      </c>
      <c r="EF183" s="14" t="s">
        <v>90</v>
      </c>
      <c r="EG183" s="14" t="s">
        <v>32</v>
      </c>
      <c r="EH183" s="14" t="s">
        <v>74</v>
      </c>
      <c r="EI183" s="164" t="s">
        <v>282</v>
      </c>
    </row>
    <row r="184" spans="2:153" s="12" customFormat="1" x14ac:dyDescent="0.2">
      <c r="B184" s="149"/>
      <c r="D184" s="138" t="s">
        <v>301</v>
      </c>
      <c r="E184" s="150" t="s">
        <v>1</v>
      </c>
      <c r="F184" s="151" t="s">
        <v>374</v>
      </c>
      <c r="H184" s="152">
        <v>1756.1790000000001</v>
      </c>
      <c r="I184" s="153"/>
      <c r="L184" s="149"/>
      <c r="N184" s="360">
        <f>N183*0.5</f>
        <v>1755.9388124999998</v>
      </c>
      <c r="O184" s="218"/>
      <c r="Q184" s="231"/>
      <c r="CW184" s="154"/>
      <c r="DD184" s="155"/>
      <c r="ED184" s="150" t="s">
        <v>301</v>
      </c>
      <c r="EE184" s="150" t="s">
        <v>83</v>
      </c>
      <c r="EF184" s="12" t="s">
        <v>83</v>
      </c>
      <c r="EG184" s="12" t="s">
        <v>32</v>
      </c>
      <c r="EH184" s="12" t="s">
        <v>81</v>
      </c>
      <c r="EI184" s="150" t="s">
        <v>282</v>
      </c>
    </row>
    <row r="185" spans="2:153" s="12" customFormat="1" x14ac:dyDescent="0.2">
      <c r="B185" s="149"/>
      <c r="D185" s="138"/>
      <c r="E185" s="150"/>
      <c r="F185" s="151"/>
      <c r="H185" s="152"/>
      <c r="I185" s="153"/>
      <c r="L185" s="149"/>
      <c r="N185" s="360">
        <f>N184-H177</f>
        <v>-0.24018750000027467</v>
      </c>
      <c r="O185" s="218"/>
      <c r="Q185" s="231"/>
      <c r="CW185" s="154"/>
      <c r="DD185" s="155"/>
      <c r="ED185" s="150"/>
      <c r="EE185" s="150"/>
      <c r="EI185" s="150"/>
    </row>
    <row r="186" spans="2:153" s="1" customFormat="1" ht="24.2" customHeight="1" x14ac:dyDescent="0.2">
      <c r="B186" s="124"/>
      <c r="C186" s="336" t="s">
        <v>8</v>
      </c>
      <c r="D186" s="336" t="s">
        <v>284</v>
      </c>
      <c r="E186" s="337" t="s">
        <v>375</v>
      </c>
      <c r="F186" s="338" t="s">
        <v>376</v>
      </c>
      <c r="G186" s="339" t="s">
        <v>366</v>
      </c>
      <c r="H186" s="340">
        <v>1756.1790000000001</v>
      </c>
      <c r="I186" s="341">
        <v>390.55963566140201</v>
      </c>
      <c r="J186" s="341">
        <f>ROUND(I186*H186,2)</f>
        <v>685892.63</v>
      </c>
      <c r="K186" s="338" t="s">
        <v>293</v>
      </c>
      <c r="L186" s="342">
        <f>S186</f>
        <v>0</v>
      </c>
      <c r="M186" s="343">
        <f>ROUND(L186*I186,2)</f>
        <v>0</v>
      </c>
      <c r="N186" s="344">
        <f>N185</f>
        <v>-0.24018750000027467</v>
      </c>
      <c r="O186" s="345">
        <f>ROUND(N186*I186,2)</f>
        <v>-93.81</v>
      </c>
      <c r="P186" s="346">
        <f>H186-L186-N186</f>
        <v>1756.4191875000004</v>
      </c>
      <c r="Q186" s="347">
        <f>ROUND(P186*I186,2)</f>
        <v>685986.44</v>
      </c>
      <c r="R186" s="199">
        <v>270.26</v>
      </c>
      <c r="S186" s="200">
        <f>W186+Y186+AA186+AC186+AE186+AG186+AI186+AK186+AM186+AO186+AQ186+AS186+AU186+AW186</f>
        <v>0</v>
      </c>
      <c r="T186" s="200">
        <f>ROUND(S186*I186,2)</f>
        <v>0</v>
      </c>
      <c r="U186" s="200">
        <f>H186-S186</f>
        <v>1756.1790000000001</v>
      </c>
      <c r="V186" s="200">
        <f>ROUND(U186*I186,2)</f>
        <v>685892.63</v>
      </c>
      <c r="W186" s="203"/>
      <c r="X186" s="203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200"/>
      <c r="AV186" s="200"/>
      <c r="AW186" s="200"/>
      <c r="AX186" s="200"/>
      <c r="CW186" s="132" t="s">
        <v>1</v>
      </c>
      <c r="CX186" s="133" t="s">
        <v>40</v>
      </c>
      <c r="CZ186" s="134">
        <f>CY186*H186</f>
        <v>0</v>
      </c>
      <c r="DA186" s="134">
        <v>0</v>
      </c>
      <c r="DB186" s="134">
        <f>DA186*H186</f>
        <v>0</v>
      </c>
      <c r="DC186" s="134">
        <v>0</v>
      </c>
      <c r="DD186" s="135">
        <f>DC186*H186</f>
        <v>0</v>
      </c>
      <c r="EB186" s="136" t="s">
        <v>95</v>
      </c>
      <c r="ED186" s="136" t="s">
        <v>284</v>
      </c>
      <c r="EE186" s="136" t="s">
        <v>83</v>
      </c>
      <c r="EI186" s="16" t="s">
        <v>282</v>
      </c>
      <c r="EO186" s="137">
        <f>IF(CX186="základní",J186,0)</f>
        <v>685892.63</v>
      </c>
      <c r="EP186" s="137">
        <f>IF(CX186="snížená",J186,0)</f>
        <v>0</v>
      </c>
      <c r="EQ186" s="137">
        <f>IF(CX186="zákl. přenesená",J186,0)</f>
        <v>0</v>
      </c>
      <c r="ER186" s="137">
        <f>IF(CX186="sníž. přenesená",J186,0)</f>
        <v>0</v>
      </c>
      <c r="ES186" s="137">
        <f>IF(CX186="nulová",J186,0)</f>
        <v>0</v>
      </c>
      <c r="ET186" s="16" t="s">
        <v>81</v>
      </c>
      <c r="EU186" s="137">
        <f>ROUND(I186*H186,2)</f>
        <v>685892.63</v>
      </c>
      <c r="EV186" s="16" t="s">
        <v>95</v>
      </c>
      <c r="EW186" s="136" t="s">
        <v>377</v>
      </c>
    </row>
    <row r="187" spans="2:153" s="1" customFormat="1" ht="39" x14ac:dyDescent="0.2">
      <c r="B187" s="31"/>
      <c r="D187" s="138" t="s">
        <v>289</v>
      </c>
      <c r="F187" s="139" t="s">
        <v>378</v>
      </c>
      <c r="I187" s="140"/>
      <c r="L187" s="31"/>
      <c r="N187" s="312"/>
      <c r="O187" s="214"/>
      <c r="Q187" s="229"/>
      <c r="CW187" s="141"/>
      <c r="DD187" s="50"/>
      <c r="ED187" s="16" t="s">
        <v>289</v>
      </c>
      <c r="EE187" s="16" t="s">
        <v>83</v>
      </c>
    </row>
    <row r="188" spans="2:153" s="1" customFormat="1" ht="39" x14ac:dyDescent="0.2">
      <c r="B188" s="31"/>
      <c r="D188" s="138" t="s">
        <v>299</v>
      </c>
      <c r="F188" s="142" t="s">
        <v>369</v>
      </c>
      <c r="I188" s="140"/>
      <c r="L188" s="31"/>
      <c r="N188" s="213"/>
      <c r="O188" s="214"/>
      <c r="Q188" s="229"/>
      <c r="CW188" s="141"/>
      <c r="DD188" s="50"/>
      <c r="ED188" s="16" t="s">
        <v>299</v>
      </c>
      <c r="EE188" s="16" t="s">
        <v>83</v>
      </c>
    </row>
    <row r="189" spans="2:153" s="1" customFormat="1" ht="24.2" customHeight="1" x14ac:dyDescent="0.2">
      <c r="B189" s="124"/>
      <c r="C189" s="336" t="s">
        <v>379</v>
      </c>
      <c r="D189" s="336" t="s">
        <v>284</v>
      </c>
      <c r="E189" s="337" t="s">
        <v>380</v>
      </c>
      <c r="F189" s="338" t="s">
        <v>381</v>
      </c>
      <c r="G189" s="339" t="s">
        <v>366</v>
      </c>
      <c r="H189" s="340">
        <v>702.47199999999998</v>
      </c>
      <c r="I189" s="341">
        <v>650.27058629099099</v>
      </c>
      <c r="J189" s="341">
        <f>ROUND(I189*H189,2)</f>
        <v>456796.88</v>
      </c>
      <c r="K189" s="338" t="s">
        <v>293</v>
      </c>
      <c r="L189" s="342">
        <f>S189</f>
        <v>0</v>
      </c>
      <c r="M189" s="343">
        <f>ROUND(L189*I189,2)</f>
        <v>0</v>
      </c>
      <c r="N189" s="344">
        <f>N193</f>
        <v>-9.6475000000054933E-2</v>
      </c>
      <c r="O189" s="345">
        <f>ROUND(N189*I189,2)</f>
        <v>-62.73</v>
      </c>
      <c r="P189" s="346">
        <f>H189-L189-N189</f>
        <v>702.56847500000003</v>
      </c>
      <c r="Q189" s="347">
        <f>ROUND(P189*I189,2)</f>
        <v>456859.61</v>
      </c>
      <c r="R189" s="199">
        <v>108.104</v>
      </c>
      <c r="S189" s="200">
        <f>W189+Y189+AA189+AC189+AE189+AG189+AI189+AK189+AM189+AO189+AQ189+AS189+AU189+AW189</f>
        <v>0</v>
      </c>
      <c r="T189" s="200">
        <f>ROUND(S189*I189,2)</f>
        <v>0</v>
      </c>
      <c r="U189" s="200">
        <f>H189-S189</f>
        <v>702.47199999999998</v>
      </c>
      <c r="V189" s="200">
        <f>ROUND(U189*I189,2)</f>
        <v>456796.88</v>
      </c>
      <c r="W189" s="203"/>
      <c r="X189" s="203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CW189" s="132" t="s">
        <v>1</v>
      </c>
      <c r="CX189" s="133" t="s">
        <v>40</v>
      </c>
      <c r="CZ189" s="134">
        <f>CY189*H189</f>
        <v>0</v>
      </c>
      <c r="DA189" s="134">
        <v>0</v>
      </c>
      <c r="DB189" s="134">
        <f>DA189*H189</f>
        <v>0</v>
      </c>
      <c r="DC189" s="134">
        <v>0</v>
      </c>
      <c r="DD189" s="135">
        <f>DC189*H189</f>
        <v>0</v>
      </c>
      <c r="EB189" s="136" t="s">
        <v>95</v>
      </c>
      <c r="ED189" s="136" t="s">
        <v>284</v>
      </c>
      <c r="EE189" s="136" t="s">
        <v>83</v>
      </c>
      <c r="EI189" s="16" t="s">
        <v>282</v>
      </c>
      <c r="EO189" s="137">
        <f>IF(CX189="základní",J189,0)</f>
        <v>456796.88</v>
      </c>
      <c r="EP189" s="137">
        <f>IF(CX189="snížená",J189,0)</f>
        <v>0</v>
      </c>
      <c r="EQ189" s="137">
        <f>IF(CX189="zákl. přenesená",J189,0)</f>
        <v>0</v>
      </c>
      <c r="ER189" s="137">
        <f>IF(CX189="sníž. přenesená",J189,0)</f>
        <v>0</v>
      </c>
      <c r="ES189" s="137">
        <f>IF(CX189="nulová",J189,0)</f>
        <v>0</v>
      </c>
      <c r="ET189" s="16" t="s">
        <v>81</v>
      </c>
      <c r="EU189" s="137">
        <f>ROUND(I189*H189,2)</f>
        <v>456796.88</v>
      </c>
      <c r="EV189" s="16" t="s">
        <v>95</v>
      </c>
      <c r="EW189" s="136" t="s">
        <v>382</v>
      </c>
    </row>
    <row r="190" spans="2:153" s="1" customFormat="1" ht="29.25" x14ac:dyDescent="0.2">
      <c r="B190" s="31"/>
      <c r="D190" s="138" t="s">
        <v>289</v>
      </c>
      <c r="F190" s="139" t="s">
        <v>383</v>
      </c>
      <c r="I190" s="140"/>
      <c r="L190" s="31"/>
      <c r="N190" s="213"/>
      <c r="O190" s="214"/>
      <c r="Q190" s="229"/>
      <c r="CW190" s="141"/>
      <c r="DD190" s="50"/>
      <c r="ED190" s="16" t="s">
        <v>289</v>
      </c>
      <c r="EE190" s="16" t="s">
        <v>83</v>
      </c>
    </row>
    <row r="191" spans="2:153" s="11" customFormat="1" x14ac:dyDescent="0.2">
      <c r="B191" s="143"/>
      <c r="D191" s="138" t="s">
        <v>301</v>
      </c>
      <c r="E191" s="144" t="s">
        <v>1</v>
      </c>
      <c r="F191" s="145" t="s">
        <v>384</v>
      </c>
      <c r="H191" s="144" t="s">
        <v>1</v>
      </c>
      <c r="I191" s="146"/>
      <c r="L191" s="143"/>
      <c r="N191" s="319"/>
      <c r="O191" s="329"/>
      <c r="Q191" s="230"/>
      <c r="CW191" s="147"/>
      <c r="DD191" s="148"/>
      <c r="ED191" s="144" t="s">
        <v>301</v>
      </c>
      <c r="EE191" s="144" t="s">
        <v>83</v>
      </c>
      <c r="EF191" s="11" t="s">
        <v>81</v>
      </c>
      <c r="EG191" s="11" t="s">
        <v>32</v>
      </c>
      <c r="EH191" s="11" t="s">
        <v>74</v>
      </c>
      <c r="EI191" s="144" t="s">
        <v>282</v>
      </c>
    </row>
    <row r="192" spans="2:153" s="12" customFormat="1" x14ac:dyDescent="0.2">
      <c r="B192" s="149"/>
      <c r="D192" s="138" t="s">
        <v>301</v>
      </c>
      <c r="E192" s="150" t="s">
        <v>1</v>
      </c>
      <c r="F192" s="151" t="s">
        <v>385</v>
      </c>
      <c r="H192" s="152">
        <v>702.47199999999998</v>
      </c>
      <c r="I192" s="153"/>
      <c r="L192" s="149"/>
      <c r="N192" s="310">
        <f>(N184+N184)*0.2</f>
        <v>702.37552499999993</v>
      </c>
      <c r="O192" s="359" t="s">
        <v>3352</v>
      </c>
      <c r="Q192" s="231"/>
      <c r="CW192" s="154"/>
      <c r="DD192" s="155"/>
      <c r="ED192" s="150" t="s">
        <v>301</v>
      </c>
      <c r="EE192" s="150" t="s">
        <v>83</v>
      </c>
      <c r="EF192" s="12" t="s">
        <v>83</v>
      </c>
      <c r="EG192" s="12" t="s">
        <v>32</v>
      </c>
      <c r="EH192" s="12" t="s">
        <v>81</v>
      </c>
      <c r="EI192" s="150" t="s">
        <v>282</v>
      </c>
    </row>
    <row r="193" spans="2:153" s="12" customFormat="1" x14ac:dyDescent="0.2">
      <c r="B193" s="149"/>
      <c r="D193" s="138"/>
      <c r="E193" s="150"/>
      <c r="F193" s="151"/>
      <c r="H193" s="152"/>
      <c r="I193" s="153"/>
      <c r="L193" s="149"/>
      <c r="N193" s="310">
        <f>N192-H189</f>
        <v>-9.6475000000054933E-2</v>
      </c>
      <c r="O193" s="218"/>
      <c r="Q193" s="231"/>
      <c r="CW193" s="154"/>
      <c r="DD193" s="155"/>
      <c r="ED193" s="150"/>
      <c r="EE193" s="150"/>
      <c r="EI193" s="150"/>
    </row>
    <row r="194" spans="2:153" s="1" customFormat="1" ht="14.45" customHeight="1" x14ac:dyDescent="0.2">
      <c r="B194" s="124"/>
      <c r="C194" s="336" t="s">
        <v>386</v>
      </c>
      <c r="D194" s="336" t="s">
        <v>284</v>
      </c>
      <c r="E194" s="337" t="s">
        <v>387</v>
      </c>
      <c r="F194" s="338" t="s">
        <v>388</v>
      </c>
      <c r="G194" s="339" t="s">
        <v>287</v>
      </c>
      <c r="H194" s="340">
        <v>6888</v>
      </c>
      <c r="I194" s="341">
        <v>156.6895922457376</v>
      </c>
      <c r="J194" s="341">
        <f>ROUND(I194*H194,2)</f>
        <v>1079277.9099999999</v>
      </c>
      <c r="K194" s="338" t="s">
        <v>293</v>
      </c>
      <c r="L194" s="342">
        <f>S194</f>
        <v>0</v>
      </c>
      <c r="M194" s="343">
        <f>ROUND(L194*I194,2)</f>
        <v>0</v>
      </c>
      <c r="N194" s="344">
        <f>N198</f>
        <v>-1.0500000000001819</v>
      </c>
      <c r="O194" s="345">
        <f>ROUND(N194*I194,2)</f>
        <v>-164.52</v>
      </c>
      <c r="P194" s="346">
        <f>H194-L194-N194</f>
        <v>6889.05</v>
      </c>
      <c r="Q194" s="347">
        <f>ROUND(P194*I194,2)</f>
        <v>1079442.44</v>
      </c>
      <c r="R194" s="199">
        <v>1349.2</v>
      </c>
      <c r="S194" s="200">
        <f>W194+Y194+AA194+AC194+AE194+AG194+AI194+AK194+AM194+AO194+AQ194+AS194+AU194+AW194</f>
        <v>0</v>
      </c>
      <c r="T194" s="200">
        <f>ROUND(S194*I194,2)</f>
        <v>0</v>
      </c>
      <c r="U194" s="200">
        <f>H194-S194</f>
        <v>6888</v>
      </c>
      <c r="V194" s="200">
        <f>ROUND(U194*I194,2)</f>
        <v>1079277.9099999999</v>
      </c>
      <c r="W194" s="203"/>
      <c r="X194" s="203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CW194" s="132" t="s">
        <v>1</v>
      </c>
      <c r="CX194" s="133" t="s">
        <v>40</v>
      </c>
      <c r="CZ194" s="134">
        <f>CY194*H194</f>
        <v>0</v>
      </c>
      <c r="DA194" s="134">
        <v>5.9000000000000003E-4</v>
      </c>
      <c r="DB194" s="134">
        <f>DA194*H194</f>
        <v>4.0639200000000004</v>
      </c>
      <c r="DC194" s="134">
        <v>0</v>
      </c>
      <c r="DD194" s="135">
        <f>DC194*H194</f>
        <v>0</v>
      </c>
      <c r="EB194" s="136" t="s">
        <v>95</v>
      </c>
      <c r="ED194" s="136" t="s">
        <v>284</v>
      </c>
      <c r="EE194" s="136" t="s">
        <v>83</v>
      </c>
      <c r="EI194" s="16" t="s">
        <v>282</v>
      </c>
      <c r="EO194" s="137">
        <f>IF(CX194="základní",J194,0)</f>
        <v>1079277.9099999999</v>
      </c>
      <c r="EP194" s="137">
        <f>IF(CX194="snížená",J194,0)</f>
        <v>0</v>
      </c>
      <c r="EQ194" s="137">
        <f>IF(CX194="zákl. přenesená",J194,0)</f>
        <v>0</v>
      </c>
      <c r="ER194" s="137">
        <f>IF(CX194="sníž. přenesená",J194,0)</f>
        <v>0</v>
      </c>
      <c r="ES194" s="137">
        <f>IF(CX194="nulová",J194,0)</f>
        <v>0</v>
      </c>
      <c r="ET194" s="16" t="s">
        <v>81</v>
      </c>
      <c r="EU194" s="137">
        <f>ROUND(I194*H194,2)</f>
        <v>1079277.9099999999</v>
      </c>
      <c r="EV194" s="16" t="s">
        <v>95</v>
      </c>
      <c r="EW194" s="136" t="s">
        <v>389</v>
      </c>
    </row>
    <row r="195" spans="2:153" s="1" customFormat="1" ht="19.5" x14ac:dyDescent="0.2">
      <c r="B195" s="31"/>
      <c r="D195" s="138" t="s">
        <v>289</v>
      </c>
      <c r="F195" s="139" t="s">
        <v>390</v>
      </c>
      <c r="I195" s="140"/>
      <c r="L195" s="31"/>
      <c r="N195" s="213"/>
      <c r="O195" s="214"/>
      <c r="Q195" s="229"/>
      <c r="CW195" s="141"/>
      <c r="DD195" s="50"/>
      <c r="ED195" s="16" t="s">
        <v>289</v>
      </c>
      <c r="EE195" s="16" t="s">
        <v>83</v>
      </c>
    </row>
    <row r="196" spans="2:153" s="1" customFormat="1" ht="19.5" x14ac:dyDescent="0.2">
      <c r="B196" s="31"/>
      <c r="D196" s="138" t="s">
        <v>299</v>
      </c>
      <c r="F196" s="142" t="s">
        <v>317</v>
      </c>
      <c r="I196" s="140"/>
      <c r="L196" s="31"/>
      <c r="N196" s="312"/>
      <c r="O196" s="214"/>
      <c r="Q196" s="229"/>
      <c r="CW196" s="141"/>
      <c r="DD196" s="50"/>
      <c r="ED196" s="16" t="s">
        <v>299</v>
      </c>
      <c r="EE196" s="16" t="s">
        <v>83</v>
      </c>
    </row>
    <row r="197" spans="2:153" s="12" customFormat="1" x14ac:dyDescent="0.2">
      <c r="B197" s="149"/>
      <c r="D197" s="138" t="s">
        <v>301</v>
      </c>
      <c r="E197" s="150" t="s">
        <v>1</v>
      </c>
      <c r="F197" s="151" t="s">
        <v>391</v>
      </c>
      <c r="H197" s="152">
        <v>6888</v>
      </c>
      <c r="I197" s="153"/>
      <c r="L197" s="149"/>
      <c r="N197" s="217">
        <f>983.85*3.5*2</f>
        <v>6886.95</v>
      </c>
      <c r="O197" s="218"/>
      <c r="Q197" s="231"/>
      <c r="CW197" s="154"/>
      <c r="DD197" s="155"/>
      <c r="ED197" s="150" t="s">
        <v>301</v>
      </c>
      <c r="EE197" s="150" t="s">
        <v>83</v>
      </c>
      <c r="EF197" s="12" t="s">
        <v>83</v>
      </c>
      <c r="EG197" s="12" t="s">
        <v>32</v>
      </c>
      <c r="EH197" s="12" t="s">
        <v>81</v>
      </c>
      <c r="EI197" s="150" t="s">
        <v>282</v>
      </c>
    </row>
    <row r="198" spans="2:153" s="12" customFormat="1" x14ac:dyDescent="0.2">
      <c r="B198" s="149"/>
      <c r="D198" s="138"/>
      <c r="E198" s="150"/>
      <c r="F198" s="151"/>
      <c r="H198" s="152"/>
      <c r="I198" s="153"/>
      <c r="L198" s="149"/>
      <c r="N198" s="310">
        <f>N197-H194</f>
        <v>-1.0500000000001819</v>
      </c>
      <c r="O198" s="218"/>
      <c r="Q198" s="231"/>
      <c r="CW198" s="154"/>
      <c r="DD198" s="155"/>
      <c r="ED198" s="150"/>
      <c r="EE198" s="150"/>
      <c r="EI198" s="150"/>
    </row>
    <row r="199" spans="2:153" s="1" customFormat="1" ht="14.45" customHeight="1" x14ac:dyDescent="0.2">
      <c r="B199" s="124"/>
      <c r="C199" s="336" t="s">
        <v>392</v>
      </c>
      <c r="D199" s="336" t="s">
        <v>284</v>
      </c>
      <c r="E199" s="337" t="s">
        <v>393</v>
      </c>
      <c r="F199" s="338" t="s">
        <v>394</v>
      </c>
      <c r="G199" s="339" t="s">
        <v>287</v>
      </c>
      <c r="H199" s="340">
        <v>6888</v>
      </c>
      <c r="I199" s="341">
        <v>103.33666316345877</v>
      </c>
      <c r="J199" s="341">
        <f>ROUND(I199*H199,2)</f>
        <v>711782.94</v>
      </c>
      <c r="K199" s="338" t="s">
        <v>293</v>
      </c>
      <c r="L199" s="342">
        <f>S199</f>
        <v>0</v>
      </c>
      <c r="M199" s="343">
        <f>ROUND(L199*I199,2)</f>
        <v>0</v>
      </c>
      <c r="N199" s="344">
        <f>N198</f>
        <v>-1.0500000000001819</v>
      </c>
      <c r="O199" s="345">
        <f>ROUND(N199*I199,2)</f>
        <v>-108.5</v>
      </c>
      <c r="P199" s="346">
        <f>H199-L199-N199</f>
        <v>6889.05</v>
      </c>
      <c r="Q199" s="347">
        <f>ROUND(P199*I199,2)</f>
        <v>711891.44</v>
      </c>
      <c r="R199" s="199">
        <v>1349.2</v>
      </c>
      <c r="S199" s="200">
        <f>W199+Y199+AA199+AC199+AE199+AG199+AI199+AK199+AM199+AO199+AQ199+AS199+AU199+AW199</f>
        <v>0</v>
      </c>
      <c r="T199" s="200">
        <f>ROUND(S199*I199,2)</f>
        <v>0</v>
      </c>
      <c r="U199" s="200">
        <f>H199-S199</f>
        <v>6888</v>
      </c>
      <c r="V199" s="200">
        <f>ROUND(U199*I199,2)</f>
        <v>711782.94</v>
      </c>
      <c r="W199" s="203"/>
      <c r="X199" s="203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CW199" s="132" t="s">
        <v>1</v>
      </c>
      <c r="CX199" s="133" t="s">
        <v>40</v>
      </c>
      <c r="CZ199" s="134">
        <f>CY199*H199</f>
        <v>0</v>
      </c>
      <c r="DA199" s="134">
        <v>0</v>
      </c>
      <c r="DB199" s="134">
        <f>DA199*H199</f>
        <v>0</v>
      </c>
      <c r="DC199" s="134">
        <v>0</v>
      </c>
      <c r="DD199" s="135">
        <f>DC199*H199</f>
        <v>0</v>
      </c>
      <c r="EB199" s="136" t="s">
        <v>95</v>
      </c>
      <c r="ED199" s="136" t="s">
        <v>284</v>
      </c>
      <c r="EE199" s="136" t="s">
        <v>83</v>
      </c>
      <c r="EI199" s="16" t="s">
        <v>282</v>
      </c>
      <c r="EO199" s="137">
        <f>IF(CX199="základní",J199,0)</f>
        <v>711782.94</v>
      </c>
      <c r="EP199" s="137">
        <f>IF(CX199="snížená",J199,0)</f>
        <v>0</v>
      </c>
      <c r="EQ199" s="137">
        <f>IF(CX199="zákl. přenesená",J199,0)</f>
        <v>0</v>
      </c>
      <c r="ER199" s="137">
        <f>IF(CX199="sníž. přenesená",J199,0)</f>
        <v>0</v>
      </c>
      <c r="ES199" s="137">
        <f>IF(CX199="nulová",J199,0)</f>
        <v>0</v>
      </c>
      <c r="ET199" s="16" t="s">
        <v>81</v>
      </c>
      <c r="EU199" s="137">
        <f>ROUND(I199*H199,2)</f>
        <v>711782.94</v>
      </c>
      <c r="EV199" s="16" t="s">
        <v>95</v>
      </c>
      <c r="EW199" s="136" t="s">
        <v>395</v>
      </c>
    </row>
    <row r="200" spans="2:153" s="1" customFormat="1" ht="19.5" x14ac:dyDescent="0.2">
      <c r="B200" s="31"/>
      <c r="D200" s="138" t="s">
        <v>289</v>
      </c>
      <c r="F200" s="139" t="s">
        <v>396</v>
      </c>
      <c r="I200" s="140"/>
      <c r="L200" s="31"/>
      <c r="N200" s="213"/>
      <c r="O200" s="214"/>
      <c r="Q200" s="229"/>
      <c r="CW200" s="141"/>
      <c r="DD200" s="50"/>
      <c r="ED200" s="16" t="s">
        <v>289</v>
      </c>
      <c r="EE200" s="16" t="s">
        <v>83</v>
      </c>
    </row>
    <row r="201" spans="2:153" s="1" customFormat="1" ht="37.9" customHeight="1" x14ac:dyDescent="0.2">
      <c r="B201" s="124"/>
      <c r="C201" s="336" t="s">
        <v>397</v>
      </c>
      <c r="D201" s="336" t="s">
        <v>284</v>
      </c>
      <c r="E201" s="337" t="s">
        <v>398</v>
      </c>
      <c r="F201" s="338" t="s">
        <v>399</v>
      </c>
      <c r="G201" s="339" t="s">
        <v>366</v>
      </c>
      <c r="H201" s="340">
        <v>3512.3580000000002</v>
      </c>
      <c r="I201" s="341">
        <v>282.06861194786097</v>
      </c>
      <c r="J201" s="341">
        <f>ROUND(I201*H201,2)</f>
        <v>990725.95</v>
      </c>
      <c r="K201" s="338" t="s">
        <v>293</v>
      </c>
      <c r="L201" s="342">
        <f>S201</f>
        <v>0</v>
      </c>
      <c r="M201" s="343">
        <f>ROUND(L201*I201,2)</f>
        <v>0</v>
      </c>
      <c r="N201" s="344">
        <f>N205</f>
        <v>-0.48037500000054933</v>
      </c>
      <c r="O201" s="345">
        <f>ROUND(N201*I201,2)</f>
        <v>-135.5</v>
      </c>
      <c r="P201" s="346">
        <f>H201-L201-N201</f>
        <v>3512.8383750000007</v>
      </c>
      <c r="Q201" s="347">
        <f>ROUND(P201*I201,2)</f>
        <v>990861.44</v>
      </c>
      <c r="R201" s="199">
        <v>540.52</v>
      </c>
      <c r="S201" s="200">
        <f>W201+Y201+AA201+AC201+AE201+AG201+AI201+AK201+AM201+AO201+AQ201+AS201+AU201+AW201</f>
        <v>0</v>
      </c>
      <c r="T201" s="200">
        <f>ROUND(S201*I201,2)</f>
        <v>0</v>
      </c>
      <c r="U201" s="200">
        <f>H201-S201</f>
        <v>3512.3580000000002</v>
      </c>
      <c r="V201" s="200">
        <f>ROUND(U201*I201,2)</f>
        <v>990725.95</v>
      </c>
      <c r="W201" s="203"/>
      <c r="X201" s="203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200"/>
      <c r="AM201" s="200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200"/>
      <c r="CW201" s="132" t="s">
        <v>1</v>
      </c>
      <c r="CX201" s="133" t="s">
        <v>40</v>
      </c>
      <c r="CZ201" s="134">
        <f>CY201*H201</f>
        <v>0</v>
      </c>
      <c r="DA201" s="134">
        <v>0</v>
      </c>
      <c r="DB201" s="134">
        <f>DA201*H201</f>
        <v>0</v>
      </c>
      <c r="DC201" s="134">
        <v>0</v>
      </c>
      <c r="DD201" s="135">
        <f>DC201*H201</f>
        <v>0</v>
      </c>
      <c r="EB201" s="136" t="s">
        <v>95</v>
      </c>
      <c r="ED201" s="136" t="s">
        <v>284</v>
      </c>
      <c r="EE201" s="136" t="s">
        <v>83</v>
      </c>
      <c r="EI201" s="16" t="s">
        <v>282</v>
      </c>
      <c r="EO201" s="137">
        <f>IF(CX201="základní",J201,0)</f>
        <v>990725.95</v>
      </c>
      <c r="EP201" s="137">
        <f>IF(CX201="snížená",J201,0)</f>
        <v>0</v>
      </c>
      <c r="EQ201" s="137">
        <f>IF(CX201="zákl. přenesená",J201,0)</f>
        <v>0</v>
      </c>
      <c r="ER201" s="137">
        <f>IF(CX201="sníž. přenesená",J201,0)</f>
        <v>0</v>
      </c>
      <c r="ES201" s="137">
        <f>IF(CX201="nulová",J201,0)</f>
        <v>0</v>
      </c>
      <c r="ET201" s="16" t="s">
        <v>81</v>
      </c>
      <c r="EU201" s="137">
        <f>ROUND(I201*H201,2)</f>
        <v>990725.95</v>
      </c>
      <c r="EV201" s="16" t="s">
        <v>95</v>
      </c>
      <c r="EW201" s="136" t="s">
        <v>400</v>
      </c>
    </row>
    <row r="202" spans="2:153" s="1" customFormat="1" ht="39" x14ac:dyDescent="0.2">
      <c r="B202" s="31"/>
      <c r="D202" s="138" t="s">
        <v>289</v>
      </c>
      <c r="F202" s="139" t="s">
        <v>401</v>
      </c>
      <c r="I202" s="140"/>
      <c r="L202" s="31"/>
      <c r="N202" s="213"/>
      <c r="O202" s="214"/>
      <c r="Q202" s="229"/>
      <c r="CW202" s="141"/>
      <c r="DD202" s="50"/>
      <c r="ED202" s="16" t="s">
        <v>289</v>
      </c>
      <c r="EE202" s="16" t="s">
        <v>83</v>
      </c>
    </row>
    <row r="203" spans="2:153" s="11" customFormat="1" x14ac:dyDescent="0.2">
      <c r="B203" s="143"/>
      <c r="D203" s="138" t="s">
        <v>301</v>
      </c>
      <c r="E203" s="144" t="s">
        <v>1</v>
      </c>
      <c r="F203" s="145" t="s">
        <v>402</v>
      </c>
      <c r="H203" s="144" t="s">
        <v>1</v>
      </c>
      <c r="I203" s="146"/>
      <c r="L203" s="143"/>
      <c r="N203" s="215"/>
      <c r="O203" s="216"/>
      <c r="Q203" s="230"/>
      <c r="CW203" s="147"/>
      <c r="DD203" s="148"/>
      <c r="ED203" s="144" t="s">
        <v>301</v>
      </c>
      <c r="EE203" s="144" t="s">
        <v>83</v>
      </c>
      <c r="EF203" s="11" t="s">
        <v>81</v>
      </c>
      <c r="EG203" s="11" t="s">
        <v>32</v>
      </c>
      <c r="EH203" s="11" t="s">
        <v>74</v>
      </c>
      <c r="EI203" s="144" t="s">
        <v>282</v>
      </c>
    </row>
    <row r="204" spans="2:153" s="12" customFormat="1" x14ac:dyDescent="0.2">
      <c r="B204" s="149"/>
      <c r="D204" s="138" t="s">
        <v>301</v>
      </c>
      <c r="E204" s="150" t="s">
        <v>1</v>
      </c>
      <c r="F204" s="151" t="s">
        <v>403</v>
      </c>
      <c r="H204" s="152">
        <v>3512.3580000000002</v>
      </c>
      <c r="I204" s="153"/>
      <c r="L204" s="149"/>
      <c r="N204" s="310">
        <f>N184+N184</f>
        <v>3511.8776249999996</v>
      </c>
      <c r="O204" s="359" t="s">
        <v>3353</v>
      </c>
      <c r="Q204" s="231"/>
      <c r="CW204" s="154"/>
      <c r="DD204" s="155"/>
      <c r="ED204" s="150" t="s">
        <v>301</v>
      </c>
      <c r="EE204" s="150" t="s">
        <v>83</v>
      </c>
      <c r="EF204" s="12" t="s">
        <v>83</v>
      </c>
      <c r="EG204" s="12" t="s">
        <v>32</v>
      </c>
      <c r="EH204" s="12" t="s">
        <v>81</v>
      </c>
      <c r="EI204" s="150" t="s">
        <v>282</v>
      </c>
    </row>
    <row r="205" spans="2:153" s="12" customFormat="1" x14ac:dyDescent="0.2">
      <c r="B205" s="149"/>
      <c r="D205" s="138"/>
      <c r="E205" s="150"/>
      <c r="F205" s="151"/>
      <c r="H205" s="152"/>
      <c r="I205" s="153"/>
      <c r="L205" s="149"/>
      <c r="N205" s="310">
        <f>N204-H201</f>
        <v>-0.48037500000054933</v>
      </c>
      <c r="O205" s="359"/>
      <c r="Q205" s="231"/>
      <c r="CW205" s="154"/>
      <c r="DD205" s="155"/>
      <c r="ED205" s="150"/>
      <c r="EE205" s="150"/>
      <c r="EI205" s="150"/>
    </row>
    <row r="206" spans="2:153" s="1" customFormat="1" ht="52.5" customHeight="1" x14ac:dyDescent="0.2">
      <c r="B206" s="124"/>
      <c r="C206" s="336" t="s">
        <v>404</v>
      </c>
      <c r="D206" s="336" t="s">
        <v>284</v>
      </c>
      <c r="E206" s="337" t="s">
        <v>405</v>
      </c>
      <c r="F206" s="338" t="s">
        <v>406</v>
      </c>
      <c r="G206" s="339" t="s">
        <v>366</v>
      </c>
      <c r="H206" s="340">
        <v>17561.79</v>
      </c>
      <c r="I206" s="341">
        <v>3.4208109177592001</v>
      </c>
      <c r="J206" s="341">
        <f>ROUND(I206*H206,2)</f>
        <v>60075.56</v>
      </c>
      <c r="K206" s="338" t="s">
        <v>293</v>
      </c>
      <c r="L206" s="342">
        <f>S206</f>
        <v>0</v>
      </c>
      <c r="M206" s="343">
        <f>ROUND(L206*I206,2)</f>
        <v>0</v>
      </c>
      <c r="N206" s="344">
        <f>N209</f>
        <v>-2.4018750000032014</v>
      </c>
      <c r="O206" s="345">
        <f>ROUND(N206*I206,2)</f>
        <v>-8.2200000000000006</v>
      </c>
      <c r="P206" s="346">
        <f>H206-L206-N206</f>
        <v>17564.191875000004</v>
      </c>
      <c r="Q206" s="347">
        <f>ROUND(P206*I206,2)</f>
        <v>60083.78</v>
      </c>
      <c r="R206" s="199">
        <v>2702.6</v>
      </c>
      <c r="S206" s="200">
        <f>W206+Y206+AA206+AC206+AE206+AG206+AI206+AK206+AM206+AO206+AQ206+AS206+AU206+AW206</f>
        <v>0</v>
      </c>
      <c r="T206" s="200">
        <f>ROUND(S206*I206,2)</f>
        <v>0</v>
      </c>
      <c r="U206" s="200">
        <f>H206-S206</f>
        <v>17561.79</v>
      </c>
      <c r="V206" s="200">
        <f>ROUND(U206*I206,2)</f>
        <v>60075.56</v>
      </c>
      <c r="W206" s="203"/>
      <c r="X206" s="203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0"/>
      <c r="AT206" s="200"/>
      <c r="AU206" s="200"/>
      <c r="AV206" s="200"/>
      <c r="AW206" s="200"/>
      <c r="AX206" s="200"/>
      <c r="CW206" s="132" t="s">
        <v>1</v>
      </c>
      <c r="CX206" s="133" t="s">
        <v>40</v>
      </c>
      <c r="CZ206" s="134">
        <f>CY206*H206</f>
        <v>0</v>
      </c>
      <c r="DA206" s="134">
        <v>0</v>
      </c>
      <c r="DB206" s="134">
        <f>DA206*H206</f>
        <v>0</v>
      </c>
      <c r="DC206" s="134">
        <v>0</v>
      </c>
      <c r="DD206" s="135">
        <f>DC206*H206</f>
        <v>0</v>
      </c>
      <c r="EB206" s="136" t="s">
        <v>95</v>
      </c>
      <c r="ED206" s="136" t="s">
        <v>284</v>
      </c>
      <c r="EE206" s="136" t="s">
        <v>83</v>
      </c>
      <c r="EI206" s="16" t="s">
        <v>282</v>
      </c>
      <c r="EO206" s="137">
        <f>IF(CX206="základní",J206,0)</f>
        <v>60075.56</v>
      </c>
      <c r="EP206" s="137">
        <f>IF(CX206="snížená",J206,0)</f>
        <v>0</v>
      </c>
      <c r="EQ206" s="137">
        <f>IF(CX206="zákl. přenesená",J206,0)</f>
        <v>0</v>
      </c>
      <c r="ER206" s="137">
        <f>IF(CX206="sníž. přenesená",J206,0)</f>
        <v>0</v>
      </c>
      <c r="ES206" s="137">
        <f>IF(CX206="nulová",J206,0)</f>
        <v>0</v>
      </c>
      <c r="ET206" s="16" t="s">
        <v>81</v>
      </c>
      <c r="EU206" s="137">
        <f>ROUND(I206*H206,2)</f>
        <v>60075.56</v>
      </c>
      <c r="EV206" s="16" t="s">
        <v>95</v>
      </c>
      <c r="EW206" s="136" t="s">
        <v>407</v>
      </c>
    </row>
    <row r="207" spans="2:153" s="1" customFormat="1" ht="48.75" x14ac:dyDescent="0.2">
      <c r="B207" s="31"/>
      <c r="D207" s="138" t="s">
        <v>289</v>
      </c>
      <c r="F207" s="139" t="s">
        <v>408</v>
      </c>
      <c r="I207" s="140"/>
      <c r="L207" s="31"/>
      <c r="N207" s="213"/>
      <c r="O207" s="214"/>
      <c r="Q207" s="229"/>
      <c r="CW207" s="141"/>
      <c r="DD207" s="50"/>
      <c r="ED207" s="16" t="s">
        <v>289</v>
      </c>
      <c r="EE207" s="16" t="s">
        <v>83</v>
      </c>
    </row>
    <row r="208" spans="2:153" s="12" customFormat="1" x14ac:dyDescent="0.2">
      <c r="B208" s="149"/>
      <c r="D208" s="138" t="s">
        <v>301</v>
      </c>
      <c r="F208" s="151" t="s">
        <v>409</v>
      </c>
      <c r="H208" s="152">
        <v>17561.79</v>
      </c>
      <c r="I208" s="153"/>
      <c r="L208" s="149"/>
      <c r="N208" s="310">
        <f>N204*5</f>
        <v>17559.388124999998</v>
      </c>
      <c r="O208" s="359" t="s">
        <v>3354</v>
      </c>
      <c r="Q208" s="231"/>
      <c r="CW208" s="154"/>
      <c r="DD208" s="155"/>
      <c r="ED208" s="150" t="s">
        <v>301</v>
      </c>
      <c r="EE208" s="150" t="s">
        <v>83</v>
      </c>
      <c r="EF208" s="12" t="s">
        <v>83</v>
      </c>
      <c r="EG208" s="12" t="s">
        <v>3</v>
      </c>
      <c r="EH208" s="12" t="s">
        <v>81</v>
      </c>
      <c r="EI208" s="150" t="s">
        <v>282</v>
      </c>
    </row>
    <row r="209" spans="2:153" s="12" customFormat="1" x14ac:dyDescent="0.2">
      <c r="B209" s="149"/>
      <c r="D209" s="138"/>
      <c r="F209" s="151"/>
      <c r="H209" s="152"/>
      <c r="I209" s="153"/>
      <c r="L209" s="149"/>
      <c r="N209" s="310">
        <f>N208-H206</f>
        <v>-2.4018750000032014</v>
      </c>
      <c r="O209" s="359"/>
      <c r="Q209" s="231"/>
      <c r="CW209" s="154"/>
      <c r="DD209" s="155"/>
      <c r="ED209" s="150"/>
      <c r="EE209" s="150"/>
      <c r="EI209" s="150"/>
    </row>
    <row r="210" spans="2:153" s="1" customFormat="1" ht="24.2" customHeight="1" x14ac:dyDescent="0.2">
      <c r="B210" s="124"/>
      <c r="C210" s="125" t="s">
        <v>7</v>
      </c>
      <c r="D210" s="125" t="s">
        <v>284</v>
      </c>
      <c r="E210" s="126" t="s">
        <v>410</v>
      </c>
      <c r="F210" s="127" t="s">
        <v>411</v>
      </c>
      <c r="G210" s="128" t="s">
        <v>287</v>
      </c>
      <c r="H210" s="129">
        <v>1140.1199999999999</v>
      </c>
      <c r="I210" s="130">
        <v>6.3644601414457247</v>
      </c>
      <c r="J210" s="131">
        <f>ROUND(I210*H210,2)</f>
        <v>7256.25</v>
      </c>
      <c r="K210" s="127" t="s">
        <v>293</v>
      </c>
      <c r="L210" s="198">
        <f>S210</f>
        <v>0</v>
      </c>
      <c r="M210" s="206">
        <f>ROUND(L210*I210,2)</f>
        <v>0</v>
      </c>
      <c r="N210" s="211">
        <f>N216</f>
        <v>-0.15749999999979991</v>
      </c>
      <c r="O210" s="212">
        <f>ROUND(N210*I210,2)</f>
        <v>-1</v>
      </c>
      <c r="P210" s="207">
        <f>H210-L210-N210</f>
        <v>1140.2774999999997</v>
      </c>
      <c r="Q210" s="228">
        <f>ROUND(P210*I210,2)</f>
        <v>7257.25</v>
      </c>
      <c r="R210" s="199"/>
      <c r="S210" s="200">
        <f>W210+Y210+AA210+AC210+AE210+AG210+AI210+AK210+AM210+AO210+AQ210+AS210+AU210+AW210</f>
        <v>0</v>
      </c>
      <c r="T210" s="200">
        <f>ROUND(S210*I210,2)</f>
        <v>0</v>
      </c>
      <c r="U210" s="200">
        <f>H210-S210</f>
        <v>1140.1199999999999</v>
      </c>
      <c r="V210" s="200">
        <f>ROUND(U210*I210,2)</f>
        <v>7256.25</v>
      </c>
      <c r="W210" s="203"/>
      <c r="X210" s="203"/>
      <c r="Y210" s="200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200"/>
      <c r="CW210" s="132" t="s">
        <v>1</v>
      </c>
      <c r="CX210" s="133" t="s">
        <v>40</v>
      </c>
      <c r="CZ210" s="134">
        <f>CY210*H210</f>
        <v>0</v>
      </c>
      <c r="DA210" s="134">
        <v>0</v>
      </c>
      <c r="DB210" s="134">
        <f>DA210*H210</f>
        <v>0</v>
      </c>
      <c r="DC210" s="134">
        <v>0</v>
      </c>
      <c r="DD210" s="135">
        <f>DC210*H210</f>
        <v>0</v>
      </c>
      <c r="EB210" s="136" t="s">
        <v>95</v>
      </c>
      <c r="ED210" s="136" t="s">
        <v>284</v>
      </c>
      <c r="EE210" s="136" t="s">
        <v>83</v>
      </c>
      <c r="EI210" s="16" t="s">
        <v>282</v>
      </c>
      <c r="EO210" s="137">
        <f>IF(CX210="základní",J210,0)</f>
        <v>7256.25</v>
      </c>
      <c r="EP210" s="137">
        <f>IF(CX210="snížená",J210,0)</f>
        <v>0</v>
      </c>
      <c r="EQ210" s="137">
        <f>IF(CX210="zákl. přenesená",J210,0)</f>
        <v>0</v>
      </c>
      <c r="ER210" s="137">
        <f>IF(CX210="sníž. přenesená",J210,0)</f>
        <v>0</v>
      </c>
      <c r="ES210" s="137">
        <f>IF(CX210="nulová",J210,0)</f>
        <v>0</v>
      </c>
      <c r="ET210" s="16" t="s">
        <v>81</v>
      </c>
      <c r="EU210" s="137">
        <f>ROUND(I210*H210,2)</f>
        <v>7256.25</v>
      </c>
      <c r="EV210" s="16" t="s">
        <v>95</v>
      </c>
      <c r="EW210" s="136" t="s">
        <v>412</v>
      </c>
    </row>
    <row r="211" spans="2:153" s="1" customFormat="1" ht="19.5" x14ac:dyDescent="0.2">
      <c r="B211" s="31"/>
      <c r="D211" s="138" t="s">
        <v>289</v>
      </c>
      <c r="F211" s="139" t="s">
        <v>413</v>
      </c>
      <c r="I211" s="140"/>
      <c r="L211" s="31"/>
      <c r="N211" s="213"/>
      <c r="O211" s="214"/>
      <c r="Q211" s="229"/>
      <c r="CW211" s="141"/>
      <c r="DD211" s="50"/>
      <c r="ED211" s="16" t="s">
        <v>289</v>
      </c>
      <c r="EE211" s="16" t="s">
        <v>83</v>
      </c>
    </row>
    <row r="212" spans="2:153" s="1" customFormat="1" ht="19.5" x14ac:dyDescent="0.2">
      <c r="B212" s="31"/>
      <c r="D212" s="138" t="s">
        <v>299</v>
      </c>
      <c r="F212" s="142" t="s">
        <v>317</v>
      </c>
      <c r="I212" s="140"/>
      <c r="L212" s="31"/>
      <c r="N212" s="213"/>
      <c r="O212" s="214"/>
      <c r="Q212" s="229"/>
      <c r="CW212" s="141"/>
      <c r="DD212" s="50"/>
      <c r="ED212" s="16" t="s">
        <v>299</v>
      </c>
      <c r="EE212" s="16" t="s">
        <v>83</v>
      </c>
    </row>
    <row r="213" spans="2:153" s="12" customFormat="1" x14ac:dyDescent="0.2">
      <c r="B213" s="149"/>
      <c r="D213" s="138" t="s">
        <v>301</v>
      </c>
      <c r="E213" s="150" t="s">
        <v>1</v>
      </c>
      <c r="F213" s="151" t="s">
        <v>414</v>
      </c>
      <c r="H213" s="152">
        <v>1033.2</v>
      </c>
      <c r="I213" s="153"/>
      <c r="L213" s="149"/>
      <c r="N213" s="310">
        <f>983.85*1.05</f>
        <v>1033.0425</v>
      </c>
      <c r="O213" s="359" t="s">
        <v>3349</v>
      </c>
      <c r="Q213" s="231"/>
      <c r="CW213" s="154"/>
      <c r="DD213" s="155"/>
      <c r="ED213" s="150" t="s">
        <v>301</v>
      </c>
      <c r="EE213" s="150" t="s">
        <v>83</v>
      </c>
      <c r="EF213" s="12" t="s">
        <v>83</v>
      </c>
      <c r="EG213" s="12" t="s">
        <v>32</v>
      </c>
      <c r="EH213" s="12" t="s">
        <v>74</v>
      </c>
      <c r="EI213" s="150" t="s">
        <v>282</v>
      </c>
    </row>
    <row r="214" spans="2:153" s="12" customFormat="1" x14ac:dyDescent="0.2">
      <c r="B214" s="149"/>
      <c r="D214" s="138" t="s">
        <v>301</v>
      </c>
      <c r="E214" s="150" t="s">
        <v>1</v>
      </c>
      <c r="F214" s="151" t="s">
        <v>304</v>
      </c>
      <c r="H214" s="152">
        <v>106.92</v>
      </c>
      <c r="I214" s="153"/>
      <c r="L214" s="149"/>
      <c r="N214" s="310">
        <f>H214</f>
        <v>106.92</v>
      </c>
      <c r="O214" s="218"/>
      <c r="Q214" s="231"/>
      <c r="CW214" s="154"/>
      <c r="DD214" s="155"/>
      <c r="ED214" s="150" t="s">
        <v>301</v>
      </c>
      <c r="EE214" s="150" t="s">
        <v>83</v>
      </c>
      <c r="EF214" s="12" t="s">
        <v>83</v>
      </c>
      <c r="EG214" s="12" t="s">
        <v>32</v>
      </c>
      <c r="EH214" s="12" t="s">
        <v>74</v>
      </c>
      <c r="EI214" s="150" t="s">
        <v>282</v>
      </c>
    </row>
    <row r="215" spans="2:153" s="13" customFormat="1" x14ac:dyDescent="0.2">
      <c r="B215" s="156"/>
      <c r="D215" s="138" t="s">
        <v>301</v>
      </c>
      <c r="E215" s="157" t="s">
        <v>1</v>
      </c>
      <c r="F215" s="158" t="s">
        <v>305</v>
      </c>
      <c r="H215" s="159">
        <v>1140.1200000000001</v>
      </c>
      <c r="I215" s="160"/>
      <c r="L215" s="156"/>
      <c r="N215" s="311">
        <f>N213+N214</f>
        <v>1139.9625000000001</v>
      </c>
      <c r="O215" s="220"/>
      <c r="Q215" s="232"/>
      <c r="CW215" s="161"/>
      <c r="DD215" s="162"/>
      <c r="ED215" s="157" t="s">
        <v>301</v>
      </c>
      <c r="EE215" s="157" t="s">
        <v>83</v>
      </c>
      <c r="EF215" s="13" t="s">
        <v>95</v>
      </c>
      <c r="EG215" s="13" t="s">
        <v>32</v>
      </c>
      <c r="EH215" s="13" t="s">
        <v>81</v>
      </c>
      <c r="EI215" s="157" t="s">
        <v>282</v>
      </c>
    </row>
    <row r="216" spans="2:153" s="13" customFormat="1" x14ac:dyDescent="0.2">
      <c r="B216" s="156"/>
      <c r="D216" s="138"/>
      <c r="E216" s="157"/>
      <c r="F216" s="158"/>
      <c r="H216" s="159"/>
      <c r="I216" s="160"/>
      <c r="L216" s="156"/>
      <c r="N216" s="311">
        <f>N215-H210</f>
        <v>-0.15749999999979991</v>
      </c>
      <c r="O216" s="220"/>
      <c r="Q216" s="232"/>
      <c r="CW216" s="161"/>
      <c r="DD216" s="162"/>
      <c r="ED216" s="157"/>
      <c r="EE216" s="157"/>
      <c r="EI216" s="157"/>
    </row>
    <row r="217" spans="2:153" s="1" customFormat="1" ht="24.2" customHeight="1" x14ac:dyDescent="0.2">
      <c r="B217" s="124"/>
      <c r="C217" s="336" t="s">
        <v>415</v>
      </c>
      <c r="D217" s="336" t="s">
        <v>284</v>
      </c>
      <c r="E217" s="337" t="s">
        <v>416</v>
      </c>
      <c r="F217" s="338" t="s">
        <v>417</v>
      </c>
      <c r="G217" s="339" t="s">
        <v>418</v>
      </c>
      <c r="H217" s="340">
        <v>6322.2439999999997</v>
      </c>
      <c r="I217" s="341">
        <v>110.6455721</v>
      </c>
      <c r="J217" s="341">
        <f>ROUND(I217*H217,2)</f>
        <v>699528.3</v>
      </c>
      <c r="K217" s="338" t="s">
        <v>293</v>
      </c>
      <c r="L217" s="342">
        <f>S217</f>
        <v>0</v>
      </c>
      <c r="M217" s="343">
        <f>ROUND(L217*I217,2)</f>
        <v>0</v>
      </c>
      <c r="N217" s="344">
        <f>N220</f>
        <v>-0.8635999999996784</v>
      </c>
      <c r="O217" s="345">
        <f>ROUND(N217*I217,2)</f>
        <v>-95.55</v>
      </c>
      <c r="P217" s="346">
        <f>H217-L217-N217</f>
        <v>6323.1075999999994</v>
      </c>
      <c r="Q217" s="347">
        <f>ROUND(P217*I217,2)</f>
        <v>699623.86</v>
      </c>
      <c r="R217" s="199">
        <v>972.93600000000004</v>
      </c>
      <c r="S217" s="200">
        <f>W217+Y217+AA217+AC217+AE217+AG217+AI217+AK217+AM217+AO217+AQ217+AS217+AU217+AW217</f>
        <v>0</v>
      </c>
      <c r="T217" s="200">
        <f>ROUND(S217*I217,2)</f>
        <v>0</v>
      </c>
      <c r="U217" s="200">
        <f>H217-S217</f>
        <v>6322.2439999999997</v>
      </c>
      <c r="V217" s="200">
        <f>ROUND(U217*I217,2)</f>
        <v>699528.3</v>
      </c>
      <c r="W217" s="203"/>
      <c r="X217" s="203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CW217" s="132" t="s">
        <v>1</v>
      </c>
      <c r="CX217" s="133" t="s">
        <v>40</v>
      </c>
      <c r="CZ217" s="134">
        <f>CY217*H217</f>
        <v>0</v>
      </c>
      <c r="DA217" s="134">
        <v>0</v>
      </c>
      <c r="DB217" s="134">
        <f>DA217*H217</f>
        <v>0</v>
      </c>
      <c r="DC217" s="134">
        <v>0</v>
      </c>
      <c r="DD217" s="135">
        <f>DC217*H217</f>
        <v>0</v>
      </c>
      <c r="EB217" s="136" t="s">
        <v>95</v>
      </c>
      <c r="ED217" s="136" t="s">
        <v>284</v>
      </c>
      <c r="EE217" s="136" t="s">
        <v>83</v>
      </c>
      <c r="EI217" s="16" t="s">
        <v>282</v>
      </c>
      <c r="EO217" s="137">
        <f>IF(CX217="základní",J217,0)</f>
        <v>699528.3</v>
      </c>
      <c r="EP217" s="137">
        <f>IF(CX217="snížená",J217,0)</f>
        <v>0</v>
      </c>
      <c r="EQ217" s="137">
        <f>IF(CX217="zákl. přenesená",J217,0)</f>
        <v>0</v>
      </c>
      <c r="ER217" s="137">
        <f>IF(CX217="sníž. přenesená",J217,0)</f>
        <v>0</v>
      </c>
      <c r="ES217" s="137">
        <f>IF(CX217="nulová",J217,0)</f>
        <v>0</v>
      </c>
      <c r="ET217" s="16" t="s">
        <v>81</v>
      </c>
      <c r="EU217" s="137">
        <f>ROUND(I217*H217,2)</f>
        <v>699528.3</v>
      </c>
      <c r="EV217" s="16" t="s">
        <v>95</v>
      </c>
      <c r="EW217" s="136" t="s">
        <v>419</v>
      </c>
    </row>
    <row r="218" spans="2:153" s="1" customFormat="1" ht="29.25" x14ac:dyDescent="0.2">
      <c r="B218" s="31"/>
      <c r="D218" s="138" t="s">
        <v>289</v>
      </c>
      <c r="F218" s="139" t="s">
        <v>420</v>
      </c>
      <c r="I218" s="140"/>
      <c r="L218" s="31"/>
      <c r="N218" s="213"/>
      <c r="O218" s="214"/>
      <c r="Q218" s="229"/>
      <c r="CW218" s="141"/>
      <c r="DD218" s="50"/>
      <c r="ED218" s="16" t="s">
        <v>289</v>
      </c>
      <c r="EE218" s="16" t="s">
        <v>83</v>
      </c>
    </row>
    <row r="219" spans="2:153" s="12" customFormat="1" x14ac:dyDescent="0.2">
      <c r="B219" s="149"/>
      <c r="D219" s="138" t="s">
        <v>301</v>
      </c>
      <c r="F219" s="151" t="s">
        <v>421</v>
      </c>
      <c r="H219" s="152">
        <v>6322.2439999999997</v>
      </c>
      <c r="I219" s="153"/>
      <c r="L219" s="149"/>
      <c r="N219" s="310">
        <f>3511.878*1.8</f>
        <v>6321.3804</v>
      </c>
      <c r="O219" s="359" t="s">
        <v>3355</v>
      </c>
      <c r="Q219" s="231"/>
      <c r="CW219" s="154"/>
      <c r="DD219" s="155"/>
      <c r="ED219" s="150" t="s">
        <v>301</v>
      </c>
      <c r="EE219" s="150" t="s">
        <v>83</v>
      </c>
      <c r="EF219" s="12" t="s">
        <v>83</v>
      </c>
      <c r="EG219" s="12" t="s">
        <v>3</v>
      </c>
      <c r="EH219" s="12" t="s">
        <v>81</v>
      </c>
      <c r="EI219" s="150" t="s">
        <v>282</v>
      </c>
    </row>
    <row r="220" spans="2:153" s="12" customFormat="1" x14ac:dyDescent="0.2">
      <c r="B220" s="149"/>
      <c r="D220" s="138"/>
      <c r="F220" s="151"/>
      <c r="H220" s="152"/>
      <c r="I220" s="153"/>
      <c r="L220" s="149"/>
      <c r="N220" s="310">
        <f>N219-H217</f>
        <v>-0.8635999999996784</v>
      </c>
      <c r="O220" s="359"/>
      <c r="Q220" s="231"/>
      <c r="CW220" s="154"/>
      <c r="DD220" s="155"/>
      <c r="ED220" s="150"/>
      <c r="EE220" s="150"/>
      <c r="EI220" s="150"/>
    </row>
    <row r="221" spans="2:153" s="1" customFormat="1" ht="24.2" customHeight="1" x14ac:dyDescent="0.2">
      <c r="B221" s="124"/>
      <c r="C221" s="336" t="s">
        <v>422</v>
      </c>
      <c r="D221" s="336" t="s">
        <v>284</v>
      </c>
      <c r="E221" s="337" t="s">
        <v>423</v>
      </c>
      <c r="F221" s="338" t="s">
        <v>424</v>
      </c>
      <c r="G221" s="339" t="s">
        <v>366</v>
      </c>
      <c r="H221" s="340">
        <v>3172.337</v>
      </c>
      <c r="I221" s="341">
        <v>140.64048227116101</v>
      </c>
      <c r="J221" s="341">
        <f>ROUND(I221*H221,2)</f>
        <v>446159.01</v>
      </c>
      <c r="K221" s="338" t="s">
        <v>293</v>
      </c>
      <c r="L221" s="342">
        <f>S221</f>
        <v>0</v>
      </c>
      <c r="M221" s="343">
        <f>ROUND(L221*I221,2)</f>
        <v>0</v>
      </c>
      <c r="N221" s="344">
        <v>-0.44</v>
      </c>
      <c r="O221" s="345">
        <f>ROUND(N221*I221,2)</f>
        <v>-61.88</v>
      </c>
      <c r="P221" s="346">
        <f>H221-L221-N221</f>
        <v>3172.777</v>
      </c>
      <c r="Q221" s="347">
        <f>ROUND(P221*I221,2)</f>
        <v>446220.89</v>
      </c>
      <c r="R221" s="199">
        <v>528.69100000000003</v>
      </c>
      <c r="S221" s="200">
        <f>W221+Y221+AA221+AC221+AE221+AG221+AI221+AK221+AM221+AO221+AQ221+AS221+AU221+AW221</f>
        <v>0</v>
      </c>
      <c r="T221" s="200">
        <f>ROUND(S221*I221,2)</f>
        <v>0</v>
      </c>
      <c r="U221" s="200">
        <f>H221-S221</f>
        <v>3172.337</v>
      </c>
      <c r="V221" s="200">
        <f>ROUND(U221*I221,2)</f>
        <v>446159.01</v>
      </c>
      <c r="W221" s="203"/>
      <c r="X221" s="203"/>
      <c r="Y221" s="200"/>
      <c r="Z221" s="200"/>
      <c r="AA221" s="200"/>
      <c r="AB221" s="200"/>
      <c r="AC221" s="200"/>
      <c r="AD221" s="200"/>
      <c r="AE221" s="200"/>
      <c r="AF221" s="200"/>
      <c r="AG221" s="200"/>
      <c r="AH221" s="200"/>
      <c r="AI221" s="200"/>
      <c r="AJ221" s="200"/>
      <c r="AK221" s="200"/>
      <c r="AL221" s="200"/>
      <c r="AM221" s="200"/>
      <c r="AN221" s="200"/>
      <c r="AO221" s="200"/>
      <c r="AP221" s="200"/>
      <c r="AQ221" s="200"/>
      <c r="AR221" s="200"/>
      <c r="AS221" s="200"/>
      <c r="AT221" s="200"/>
      <c r="AU221" s="200"/>
      <c r="AV221" s="200"/>
      <c r="AW221" s="200"/>
      <c r="AX221" s="200"/>
      <c r="CW221" s="132" t="s">
        <v>1</v>
      </c>
      <c r="CX221" s="133" t="s">
        <v>40</v>
      </c>
      <c r="CZ221" s="134">
        <f>CY221*H221</f>
        <v>0</v>
      </c>
      <c r="DA221" s="134">
        <v>0</v>
      </c>
      <c r="DB221" s="134">
        <f>DA221*H221</f>
        <v>0</v>
      </c>
      <c r="DC221" s="134">
        <v>0</v>
      </c>
      <c r="DD221" s="135">
        <f>DC221*H221</f>
        <v>0</v>
      </c>
      <c r="EB221" s="136" t="s">
        <v>95</v>
      </c>
      <c r="ED221" s="136" t="s">
        <v>284</v>
      </c>
      <c r="EE221" s="136" t="s">
        <v>83</v>
      </c>
      <c r="EI221" s="16" t="s">
        <v>282</v>
      </c>
      <c r="EO221" s="137">
        <f>IF(CX221="základní",J221,0)</f>
        <v>446159.01</v>
      </c>
      <c r="EP221" s="137">
        <f>IF(CX221="snížená",J221,0)</f>
        <v>0</v>
      </c>
      <c r="EQ221" s="137">
        <f>IF(CX221="zákl. přenesená",J221,0)</f>
        <v>0</v>
      </c>
      <c r="ER221" s="137">
        <f>IF(CX221="sníž. přenesená",J221,0)</f>
        <v>0</v>
      </c>
      <c r="ES221" s="137">
        <f>IF(CX221="nulová",J221,0)</f>
        <v>0</v>
      </c>
      <c r="ET221" s="16" t="s">
        <v>81</v>
      </c>
      <c r="EU221" s="137">
        <f>ROUND(I221*H221,2)</f>
        <v>446159.01</v>
      </c>
      <c r="EV221" s="16" t="s">
        <v>95</v>
      </c>
      <c r="EW221" s="136" t="s">
        <v>425</v>
      </c>
    </row>
    <row r="222" spans="2:153" s="1" customFormat="1" ht="29.25" x14ac:dyDescent="0.2">
      <c r="B222" s="31"/>
      <c r="D222" s="138" t="s">
        <v>289</v>
      </c>
      <c r="F222" s="139" t="s">
        <v>426</v>
      </c>
      <c r="I222" s="140"/>
      <c r="L222" s="31"/>
      <c r="N222" s="213"/>
      <c r="O222" s="214"/>
      <c r="Q222" s="229"/>
      <c r="CW222" s="141"/>
      <c r="DD222" s="50"/>
      <c r="ED222" s="16" t="s">
        <v>289</v>
      </c>
      <c r="EE222" s="16" t="s">
        <v>83</v>
      </c>
    </row>
    <row r="223" spans="2:153" s="11" customFormat="1" x14ac:dyDescent="0.2">
      <c r="B223" s="143"/>
      <c r="D223" s="138" t="s">
        <v>301</v>
      </c>
      <c r="E223" s="144" t="s">
        <v>1</v>
      </c>
      <c r="F223" s="145" t="s">
        <v>427</v>
      </c>
      <c r="H223" s="144" t="s">
        <v>1</v>
      </c>
      <c r="I223" s="146"/>
      <c r="L223" s="143"/>
      <c r="N223" s="215"/>
      <c r="O223" s="216"/>
      <c r="Q223" s="230"/>
      <c r="CW223" s="147"/>
      <c r="DD223" s="148"/>
      <c r="ED223" s="144" t="s">
        <v>301</v>
      </c>
      <c r="EE223" s="144" t="s">
        <v>83</v>
      </c>
      <c r="EF223" s="11" t="s">
        <v>81</v>
      </c>
      <c r="EG223" s="11" t="s">
        <v>32</v>
      </c>
      <c r="EH223" s="11" t="s">
        <v>74</v>
      </c>
      <c r="EI223" s="144" t="s">
        <v>282</v>
      </c>
    </row>
    <row r="224" spans="2:153" s="12" customFormat="1" x14ac:dyDescent="0.2">
      <c r="B224" s="149"/>
      <c r="D224" s="138" t="s">
        <v>301</v>
      </c>
      <c r="E224" s="150" t="s">
        <v>1</v>
      </c>
      <c r="F224" s="151" t="s">
        <v>403</v>
      </c>
      <c r="H224" s="152">
        <v>3512.3580000000002</v>
      </c>
      <c r="I224" s="153"/>
      <c r="L224" s="149"/>
      <c r="N224" s="310">
        <f>1755.939+1755.939</f>
        <v>3511.8780000000002</v>
      </c>
      <c r="O224" s="359" t="s">
        <v>3353</v>
      </c>
      <c r="Q224" s="231"/>
      <c r="CW224" s="154"/>
      <c r="DD224" s="155"/>
      <c r="ED224" s="150" t="s">
        <v>301</v>
      </c>
      <c r="EE224" s="150" t="s">
        <v>83</v>
      </c>
      <c r="EF224" s="12" t="s">
        <v>83</v>
      </c>
      <c r="EG224" s="12" t="s">
        <v>32</v>
      </c>
      <c r="EH224" s="12" t="s">
        <v>74</v>
      </c>
      <c r="EI224" s="150" t="s">
        <v>282</v>
      </c>
    </row>
    <row r="225" spans="2:153" s="11" customFormat="1" x14ac:dyDescent="0.2">
      <c r="B225" s="143"/>
      <c r="D225" s="138" t="s">
        <v>301</v>
      </c>
      <c r="E225" s="144" t="s">
        <v>1</v>
      </c>
      <c r="F225" s="145" t="s">
        <v>428</v>
      </c>
      <c r="H225" s="144" t="s">
        <v>1</v>
      </c>
      <c r="I225" s="146"/>
      <c r="L225" s="143"/>
      <c r="N225" s="363"/>
      <c r="O225" s="216"/>
      <c r="Q225" s="230"/>
      <c r="CW225" s="147"/>
      <c r="DD225" s="148"/>
      <c r="ED225" s="144" t="s">
        <v>301</v>
      </c>
      <c r="EE225" s="144" t="s">
        <v>83</v>
      </c>
      <c r="EF225" s="11" t="s">
        <v>81</v>
      </c>
      <c r="EG225" s="11" t="s">
        <v>32</v>
      </c>
      <c r="EH225" s="11" t="s">
        <v>74</v>
      </c>
      <c r="EI225" s="144" t="s">
        <v>282</v>
      </c>
    </row>
    <row r="226" spans="2:153" s="12" customFormat="1" x14ac:dyDescent="0.2">
      <c r="B226" s="149"/>
      <c r="D226" s="138" t="s">
        <v>301</v>
      </c>
      <c r="E226" s="150" t="s">
        <v>1</v>
      </c>
      <c r="F226" s="151" t="s">
        <v>429</v>
      </c>
      <c r="H226" s="152">
        <v>-568.26</v>
      </c>
      <c r="I226" s="153"/>
      <c r="L226" s="149"/>
      <c r="N226" s="364">
        <f>-N246</f>
        <v>-568.17337500000008</v>
      </c>
      <c r="O226" s="218"/>
      <c r="Q226" s="231"/>
      <c r="CW226" s="154"/>
      <c r="DD226" s="155"/>
      <c r="ED226" s="150" t="s">
        <v>301</v>
      </c>
      <c r="EE226" s="150" t="s">
        <v>83</v>
      </c>
      <c r="EF226" s="12" t="s">
        <v>83</v>
      </c>
      <c r="EG226" s="12" t="s">
        <v>32</v>
      </c>
      <c r="EH226" s="12" t="s">
        <v>74</v>
      </c>
      <c r="EI226" s="150" t="s">
        <v>282</v>
      </c>
    </row>
    <row r="227" spans="2:153" s="11" customFormat="1" x14ac:dyDescent="0.2">
      <c r="B227" s="143"/>
      <c r="D227" s="138" t="s">
        <v>301</v>
      </c>
      <c r="E227" s="144" t="s">
        <v>1</v>
      </c>
      <c r="F227" s="145" t="s">
        <v>430</v>
      </c>
      <c r="H227" s="144" t="s">
        <v>1</v>
      </c>
      <c r="I227" s="146"/>
      <c r="L227" s="143"/>
      <c r="N227" s="319"/>
      <c r="O227" s="216"/>
      <c r="Q227" s="230"/>
      <c r="CW227" s="147"/>
      <c r="DD227" s="148"/>
      <c r="ED227" s="144" t="s">
        <v>301</v>
      </c>
      <c r="EE227" s="144" t="s">
        <v>83</v>
      </c>
      <c r="EF227" s="11" t="s">
        <v>81</v>
      </c>
      <c r="EG227" s="11" t="s">
        <v>32</v>
      </c>
      <c r="EH227" s="11" t="s">
        <v>74</v>
      </c>
      <c r="EI227" s="144" t="s">
        <v>282</v>
      </c>
    </row>
    <row r="228" spans="2:153" s="12" customFormat="1" x14ac:dyDescent="0.2">
      <c r="B228" s="149"/>
      <c r="D228" s="138" t="s">
        <v>301</v>
      </c>
      <c r="E228" s="150" t="s">
        <v>1</v>
      </c>
      <c r="F228" s="151" t="s">
        <v>431</v>
      </c>
      <c r="H228" s="152">
        <v>-118.32</v>
      </c>
      <c r="I228" s="153"/>
      <c r="L228" s="149"/>
      <c r="N228" s="364">
        <f>-N265-15</f>
        <v>-118.30425000000001</v>
      </c>
      <c r="O228" s="218"/>
      <c r="Q228" s="231"/>
      <c r="CW228" s="154"/>
      <c r="DD228" s="155"/>
      <c r="ED228" s="150" t="s">
        <v>301</v>
      </c>
      <c r="EE228" s="150" t="s">
        <v>83</v>
      </c>
      <c r="EF228" s="12" t="s">
        <v>83</v>
      </c>
      <c r="EG228" s="12" t="s">
        <v>32</v>
      </c>
      <c r="EH228" s="12" t="s">
        <v>74</v>
      </c>
      <c r="EI228" s="150" t="s">
        <v>282</v>
      </c>
    </row>
    <row r="229" spans="2:153" s="11" customFormat="1" x14ac:dyDescent="0.2">
      <c r="B229" s="143"/>
      <c r="D229" s="138" t="s">
        <v>301</v>
      </c>
      <c r="E229" s="144" t="s">
        <v>1</v>
      </c>
      <c r="F229" s="145" t="s">
        <v>432</v>
      </c>
      <c r="H229" s="144" t="s">
        <v>1</v>
      </c>
      <c r="I229" s="146"/>
      <c r="L229" s="143"/>
      <c r="N229" s="319"/>
      <c r="O229" s="216"/>
      <c r="Q229" s="230"/>
      <c r="CW229" s="147"/>
      <c r="DD229" s="148"/>
      <c r="ED229" s="144" t="s">
        <v>301</v>
      </c>
      <c r="EE229" s="144" t="s">
        <v>83</v>
      </c>
      <c r="EF229" s="11" t="s">
        <v>81</v>
      </c>
      <c r="EG229" s="11" t="s">
        <v>32</v>
      </c>
      <c r="EH229" s="11" t="s">
        <v>74</v>
      </c>
      <c r="EI229" s="144" t="s">
        <v>282</v>
      </c>
    </row>
    <row r="230" spans="2:153" s="12" customFormat="1" x14ac:dyDescent="0.2">
      <c r="B230" s="149"/>
      <c r="D230" s="138" t="s">
        <v>301</v>
      </c>
      <c r="E230" s="150" t="s">
        <v>1</v>
      </c>
      <c r="F230" s="151" t="s">
        <v>433</v>
      </c>
      <c r="H230" s="152">
        <v>-8.1</v>
      </c>
      <c r="I230" s="153"/>
      <c r="L230" s="149"/>
      <c r="N230" s="364">
        <v>-8.1</v>
      </c>
      <c r="O230" s="218"/>
      <c r="Q230" s="231"/>
      <c r="CW230" s="154"/>
      <c r="DD230" s="155"/>
      <c r="ED230" s="150" t="s">
        <v>301</v>
      </c>
      <c r="EE230" s="150" t="s">
        <v>83</v>
      </c>
      <c r="EF230" s="12" t="s">
        <v>83</v>
      </c>
      <c r="EG230" s="12" t="s">
        <v>32</v>
      </c>
      <c r="EH230" s="12" t="s">
        <v>74</v>
      </c>
      <c r="EI230" s="150" t="s">
        <v>282</v>
      </c>
    </row>
    <row r="231" spans="2:153" s="11" customFormat="1" x14ac:dyDescent="0.2">
      <c r="B231" s="143"/>
      <c r="D231" s="138" t="s">
        <v>301</v>
      </c>
      <c r="E231" s="144" t="s">
        <v>1</v>
      </c>
      <c r="F231" s="145" t="s">
        <v>434</v>
      </c>
      <c r="H231" s="144" t="s">
        <v>1</v>
      </c>
      <c r="I231" s="146"/>
      <c r="L231" s="143"/>
      <c r="N231" s="319"/>
      <c r="O231" s="216"/>
      <c r="Q231" s="230"/>
      <c r="CW231" s="147"/>
      <c r="DD231" s="148"/>
      <c r="ED231" s="144" t="s">
        <v>301</v>
      </c>
      <c r="EE231" s="144" t="s">
        <v>83</v>
      </c>
      <c r="EF231" s="11" t="s">
        <v>81</v>
      </c>
      <c r="EG231" s="11" t="s">
        <v>32</v>
      </c>
      <c r="EH231" s="11" t="s">
        <v>74</v>
      </c>
      <c r="EI231" s="144" t="s">
        <v>282</v>
      </c>
    </row>
    <row r="232" spans="2:153" s="12" customFormat="1" x14ac:dyDescent="0.2">
      <c r="B232" s="149"/>
      <c r="D232" s="138" t="s">
        <v>301</v>
      </c>
      <c r="E232" s="150" t="s">
        <v>1</v>
      </c>
      <c r="F232" s="151" t="s">
        <v>435</v>
      </c>
      <c r="H232" s="152">
        <v>-101.389</v>
      </c>
      <c r="I232" s="153"/>
      <c r="L232" s="149"/>
      <c r="N232" s="364">
        <v>-101.389</v>
      </c>
      <c r="O232" s="218"/>
      <c r="Q232" s="231"/>
      <c r="CW232" s="154"/>
      <c r="DD232" s="155"/>
      <c r="ED232" s="150" t="s">
        <v>301</v>
      </c>
      <c r="EE232" s="150" t="s">
        <v>83</v>
      </c>
      <c r="EF232" s="12" t="s">
        <v>83</v>
      </c>
      <c r="EG232" s="12" t="s">
        <v>32</v>
      </c>
      <c r="EH232" s="12" t="s">
        <v>74</v>
      </c>
      <c r="EI232" s="150" t="s">
        <v>282</v>
      </c>
    </row>
    <row r="233" spans="2:153" s="11" customFormat="1" x14ac:dyDescent="0.2">
      <c r="B233" s="143"/>
      <c r="D233" s="138" t="s">
        <v>301</v>
      </c>
      <c r="E233" s="144" t="s">
        <v>1</v>
      </c>
      <c r="F233" s="145" t="s">
        <v>436</v>
      </c>
      <c r="H233" s="144" t="s">
        <v>1</v>
      </c>
      <c r="I233" s="146"/>
      <c r="L233" s="143"/>
      <c r="N233" s="319"/>
      <c r="O233" s="216"/>
      <c r="Q233" s="230"/>
      <c r="CW233" s="147"/>
      <c r="DD233" s="148"/>
      <c r="ED233" s="144" t="s">
        <v>301</v>
      </c>
      <c r="EE233" s="144" t="s">
        <v>83</v>
      </c>
      <c r="EF233" s="11" t="s">
        <v>81</v>
      </c>
      <c r="EG233" s="11" t="s">
        <v>32</v>
      </c>
      <c r="EH233" s="11" t="s">
        <v>74</v>
      </c>
      <c r="EI233" s="144" t="s">
        <v>282</v>
      </c>
    </row>
    <row r="234" spans="2:153" s="12" customFormat="1" x14ac:dyDescent="0.2">
      <c r="B234" s="149"/>
      <c r="D234" s="138" t="s">
        <v>301</v>
      </c>
      <c r="E234" s="150" t="s">
        <v>1</v>
      </c>
      <c r="F234" s="151" t="s">
        <v>437</v>
      </c>
      <c r="H234" s="152">
        <v>456.048</v>
      </c>
      <c r="I234" s="153"/>
      <c r="L234" s="149"/>
      <c r="N234" s="310">
        <f>1139.963*(0.45-0.05)</f>
        <v>455.98520000000002</v>
      </c>
      <c r="O234" s="359" t="s">
        <v>3359</v>
      </c>
      <c r="Q234" s="231"/>
      <c r="CW234" s="154"/>
      <c r="DD234" s="155"/>
      <c r="ED234" s="150" t="s">
        <v>301</v>
      </c>
      <c r="EE234" s="150" t="s">
        <v>83</v>
      </c>
      <c r="EF234" s="12" t="s">
        <v>83</v>
      </c>
      <c r="EG234" s="12" t="s">
        <v>32</v>
      </c>
      <c r="EH234" s="12" t="s">
        <v>74</v>
      </c>
      <c r="EI234" s="150" t="s">
        <v>282</v>
      </c>
    </row>
    <row r="235" spans="2:153" s="12" customFormat="1" x14ac:dyDescent="0.2">
      <c r="B235" s="149"/>
      <c r="D235" s="138"/>
      <c r="E235" s="150"/>
      <c r="F235" s="151"/>
      <c r="H235" s="152"/>
      <c r="I235" s="153"/>
      <c r="L235" s="149"/>
      <c r="N235" s="364"/>
      <c r="O235" s="359"/>
      <c r="Q235" s="231"/>
      <c r="CW235" s="154"/>
      <c r="DD235" s="155"/>
      <c r="ED235" s="150"/>
      <c r="EE235" s="150"/>
      <c r="EI235" s="150"/>
    </row>
    <row r="236" spans="2:153" s="12" customFormat="1" x14ac:dyDescent="0.2">
      <c r="B236" s="149"/>
      <c r="D236" s="138"/>
      <c r="E236" s="150"/>
      <c r="F236" s="151"/>
      <c r="H236" s="152"/>
      <c r="I236" s="153"/>
      <c r="L236" s="149"/>
      <c r="N236" s="364"/>
      <c r="O236" s="359"/>
      <c r="Q236" s="231"/>
      <c r="CW236" s="154"/>
      <c r="DD236" s="155"/>
      <c r="ED236" s="150"/>
      <c r="EE236" s="150"/>
      <c r="EI236" s="150"/>
    </row>
    <row r="237" spans="2:153" s="13" customFormat="1" x14ac:dyDescent="0.2">
      <c r="B237" s="156"/>
      <c r="D237" s="138" t="s">
        <v>301</v>
      </c>
      <c r="E237" s="157" t="s">
        <v>1</v>
      </c>
      <c r="F237" s="158" t="s">
        <v>305</v>
      </c>
      <c r="H237" s="159">
        <v>3172.3369999999995</v>
      </c>
      <c r="I237" s="160"/>
      <c r="L237" s="156"/>
      <c r="N237" s="311">
        <f>N224+N226+N228+N230+N232+N234</f>
        <v>3171.8965750000002</v>
      </c>
      <c r="O237" s="220"/>
      <c r="Q237" s="232"/>
      <c r="CW237" s="161"/>
      <c r="DD237" s="162"/>
      <c r="ED237" s="157" t="s">
        <v>301</v>
      </c>
      <c r="EE237" s="157" t="s">
        <v>83</v>
      </c>
      <c r="EF237" s="13" t="s">
        <v>95</v>
      </c>
      <c r="EG237" s="13" t="s">
        <v>32</v>
      </c>
      <c r="EH237" s="13" t="s">
        <v>81</v>
      </c>
      <c r="EI237" s="157" t="s">
        <v>282</v>
      </c>
    </row>
    <row r="238" spans="2:153" s="13" customFormat="1" x14ac:dyDescent="0.2">
      <c r="B238" s="156"/>
      <c r="D238" s="138"/>
      <c r="E238" s="157"/>
      <c r="F238" s="158"/>
      <c r="H238" s="159"/>
      <c r="I238" s="160"/>
      <c r="L238" s="156"/>
      <c r="N238" s="311">
        <f>N237-H221</f>
        <v>-0.44042499999977736</v>
      </c>
      <c r="O238" s="220"/>
      <c r="Q238" s="232"/>
      <c r="CW238" s="161"/>
      <c r="DD238" s="162"/>
      <c r="ED238" s="157"/>
      <c r="EE238" s="157"/>
      <c r="EI238" s="157"/>
    </row>
    <row r="239" spans="2:153" s="1" customFormat="1" ht="14.45" customHeight="1" x14ac:dyDescent="0.2">
      <c r="B239" s="124"/>
      <c r="C239" s="348" t="s">
        <v>438</v>
      </c>
      <c r="D239" s="348" t="s">
        <v>439</v>
      </c>
      <c r="E239" s="349" t="s">
        <v>440</v>
      </c>
      <c r="F239" s="350" t="s">
        <v>441</v>
      </c>
      <c r="G239" s="351" t="s">
        <v>418</v>
      </c>
      <c r="H239" s="352">
        <v>6344.674</v>
      </c>
      <c r="I239" s="341">
        <v>390.0974172</v>
      </c>
      <c r="J239" s="353">
        <f>ROUND(I239*H239,2)</f>
        <v>2475040.94</v>
      </c>
      <c r="K239" s="350" t="s">
        <v>293</v>
      </c>
      <c r="L239" s="342">
        <f>S239</f>
        <v>0</v>
      </c>
      <c r="M239" s="343">
        <f>ROUND(L239*I239,2)</f>
        <v>0</v>
      </c>
      <c r="N239" s="344">
        <f>N242</f>
        <v>-0.88084999999955471</v>
      </c>
      <c r="O239" s="345">
        <f>ROUND(N239*I239,2)</f>
        <v>-343.62</v>
      </c>
      <c r="P239" s="346">
        <f>H239-L239-N239</f>
        <v>6345.5548499999995</v>
      </c>
      <c r="Q239" s="347">
        <f>ROUND(P239*I239,2)</f>
        <v>2475384.56</v>
      </c>
      <c r="R239" s="199">
        <v>1057.3820000000001</v>
      </c>
      <c r="S239" s="200">
        <f>W239+Y239+AA239+AC239+AE239+AG239+AI239+AK239+AM239+AO239+AQ239+AS239+AU239+AW239</f>
        <v>0</v>
      </c>
      <c r="T239" s="200">
        <f>ROUND(S239*I239,2)</f>
        <v>0</v>
      </c>
      <c r="U239" s="200">
        <f>H239-S239</f>
        <v>6344.674</v>
      </c>
      <c r="V239" s="200">
        <f>ROUND(U239*I239,2)</f>
        <v>2475040.94</v>
      </c>
      <c r="W239" s="203"/>
      <c r="X239" s="203"/>
      <c r="Y239" s="201"/>
      <c r="Z239" s="200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77" t="s">
        <v>1</v>
      </c>
      <c r="CX239" s="178" t="s">
        <v>40</v>
      </c>
      <c r="CZ239" s="134">
        <f>CY239*H239</f>
        <v>0</v>
      </c>
      <c r="DA239" s="134">
        <v>1</v>
      </c>
      <c r="DB239" s="134">
        <f>DA239*H239</f>
        <v>6344.674</v>
      </c>
      <c r="DC239" s="134">
        <v>0</v>
      </c>
      <c r="DD239" s="135">
        <f>DC239*H239</f>
        <v>0</v>
      </c>
      <c r="EB239" s="136" t="s">
        <v>328</v>
      </c>
      <c r="ED239" s="136" t="s">
        <v>439</v>
      </c>
      <c r="EE239" s="136" t="s">
        <v>83</v>
      </c>
      <c r="EI239" s="16" t="s">
        <v>282</v>
      </c>
      <c r="EO239" s="137">
        <f>IF(CX239="základní",J239,0)</f>
        <v>2475040.94</v>
      </c>
      <c r="EP239" s="137">
        <f>IF(CX239="snížená",J239,0)</f>
        <v>0</v>
      </c>
      <c r="EQ239" s="137">
        <f>IF(CX239="zákl. přenesená",J239,0)</f>
        <v>0</v>
      </c>
      <c r="ER239" s="137">
        <f>IF(CX239="sníž. přenesená",J239,0)</f>
        <v>0</v>
      </c>
      <c r="ES239" s="137">
        <f>IF(CX239="nulová",J239,0)</f>
        <v>0</v>
      </c>
      <c r="ET239" s="16" t="s">
        <v>81</v>
      </c>
      <c r="EU239" s="137">
        <f>ROUND(I239*H239,2)</f>
        <v>2475040.94</v>
      </c>
      <c r="EV239" s="16" t="s">
        <v>95</v>
      </c>
      <c r="EW239" s="136" t="s">
        <v>442</v>
      </c>
    </row>
    <row r="240" spans="2:153" s="1" customFormat="1" x14ac:dyDescent="0.2">
      <c r="B240" s="31"/>
      <c r="D240" s="138" t="s">
        <v>289</v>
      </c>
      <c r="F240" s="139" t="s">
        <v>441</v>
      </c>
      <c r="I240" s="140"/>
      <c r="L240" s="31"/>
      <c r="N240" s="213"/>
      <c r="O240" s="214"/>
      <c r="Q240" s="229"/>
      <c r="CW240" s="141"/>
      <c r="DD240" s="50"/>
      <c r="ED240" s="16" t="s">
        <v>289</v>
      </c>
      <c r="EE240" s="16" t="s">
        <v>83</v>
      </c>
    </row>
    <row r="241" spans="2:153" s="1" customFormat="1" ht="19.5" x14ac:dyDescent="0.2">
      <c r="B241" s="31"/>
      <c r="D241" s="138" t="s">
        <v>299</v>
      </c>
      <c r="F241" s="142" t="s">
        <v>443</v>
      </c>
      <c r="I241" s="140"/>
      <c r="L241" s="31"/>
      <c r="N241" s="213"/>
      <c r="O241" s="214"/>
      <c r="Q241" s="229"/>
      <c r="CW241" s="141"/>
      <c r="DD241" s="50"/>
      <c r="ED241" s="16" t="s">
        <v>299</v>
      </c>
      <c r="EE241" s="16" t="s">
        <v>83</v>
      </c>
    </row>
    <row r="242" spans="2:153" s="12" customFormat="1" x14ac:dyDescent="0.2">
      <c r="B242" s="149"/>
      <c r="D242" s="138" t="s">
        <v>301</v>
      </c>
      <c r="F242" s="151" t="s">
        <v>444</v>
      </c>
      <c r="H242" s="152">
        <v>6344.674</v>
      </c>
      <c r="I242" s="153"/>
      <c r="L242" s="149"/>
      <c r="N242" s="310">
        <f>N238*2</f>
        <v>-0.88084999999955471</v>
      </c>
      <c r="O242" s="218"/>
      <c r="Q242" s="231"/>
      <c r="CW242" s="154"/>
      <c r="DD242" s="155"/>
      <c r="ED242" s="150" t="s">
        <v>301</v>
      </c>
      <c r="EE242" s="150" t="s">
        <v>83</v>
      </c>
      <c r="EF242" s="12" t="s">
        <v>83</v>
      </c>
      <c r="EG242" s="12" t="s">
        <v>3</v>
      </c>
      <c r="EH242" s="12" t="s">
        <v>81</v>
      </c>
      <c r="EI242" s="150" t="s">
        <v>282</v>
      </c>
    </row>
    <row r="243" spans="2:153" s="1" customFormat="1" ht="24.2" customHeight="1" x14ac:dyDescent="0.2">
      <c r="B243" s="124"/>
      <c r="C243" s="125" t="s">
        <v>445</v>
      </c>
      <c r="D243" s="125" t="s">
        <v>284</v>
      </c>
      <c r="E243" s="126" t="s">
        <v>446</v>
      </c>
      <c r="F243" s="127" t="s">
        <v>447</v>
      </c>
      <c r="G243" s="128" t="s">
        <v>366</v>
      </c>
      <c r="H243" s="129">
        <v>568.26</v>
      </c>
      <c r="I243" s="130">
        <v>510.38291484661499</v>
      </c>
      <c r="J243" s="131">
        <f>ROUND(I243*H243,2)</f>
        <v>290030.2</v>
      </c>
      <c r="K243" s="127" t="s">
        <v>293</v>
      </c>
      <c r="L243" s="198">
        <f>S243</f>
        <v>0</v>
      </c>
      <c r="M243" s="206">
        <f>ROUND(L243*I243,2)</f>
        <v>0</v>
      </c>
      <c r="N243" s="211">
        <f>N247</f>
        <v>-8.6624999999912689E-2</v>
      </c>
      <c r="O243" s="212">
        <f>ROUND(N243*I243,2)</f>
        <v>-44.21</v>
      </c>
      <c r="P243" s="207">
        <f>H243-L243-N243</f>
        <v>568.3466249999999</v>
      </c>
      <c r="Q243" s="228">
        <f>ROUND(P243*I243,2)</f>
        <v>290074.40999999997</v>
      </c>
      <c r="R243" s="199"/>
      <c r="S243" s="200">
        <f>W243+Y243+AA243+AC243+AE243+AG243+AI243+AK243+AM243+AO243+AQ243+AS243+AU243+AW243</f>
        <v>0</v>
      </c>
      <c r="T243" s="200">
        <f>ROUND(S243*I243,2)</f>
        <v>0</v>
      </c>
      <c r="U243" s="200">
        <f>H243-S243</f>
        <v>568.26</v>
      </c>
      <c r="V243" s="200">
        <f>ROUND(U243*I243,2)</f>
        <v>290030.2</v>
      </c>
      <c r="W243" s="203"/>
      <c r="X243" s="203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CW243" s="132" t="s">
        <v>1</v>
      </c>
      <c r="CX243" s="133" t="s">
        <v>40</v>
      </c>
      <c r="CZ243" s="134">
        <f>CY243*H243</f>
        <v>0</v>
      </c>
      <c r="DA243" s="134">
        <v>0</v>
      </c>
      <c r="DB243" s="134">
        <f>DA243*H243</f>
        <v>0</v>
      </c>
      <c r="DC243" s="134">
        <v>0</v>
      </c>
      <c r="DD243" s="135">
        <f>DC243*H243</f>
        <v>0</v>
      </c>
      <c r="EB243" s="136" t="s">
        <v>95</v>
      </c>
      <c r="ED243" s="136" t="s">
        <v>284</v>
      </c>
      <c r="EE243" s="136" t="s">
        <v>83</v>
      </c>
      <c r="EI243" s="16" t="s">
        <v>282</v>
      </c>
      <c r="EO243" s="137">
        <f>IF(CX243="základní",J243,0)</f>
        <v>290030.2</v>
      </c>
      <c r="EP243" s="137">
        <f>IF(CX243="snížená",J243,0)</f>
        <v>0</v>
      </c>
      <c r="EQ243" s="137">
        <f>IF(CX243="zákl. přenesená",J243,0)</f>
        <v>0</v>
      </c>
      <c r="ER243" s="137">
        <f>IF(CX243="sníž. přenesená",J243,0)</f>
        <v>0</v>
      </c>
      <c r="ES243" s="137">
        <f>IF(CX243="nulová",J243,0)</f>
        <v>0</v>
      </c>
      <c r="ET243" s="16" t="s">
        <v>81</v>
      </c>
      <c r="EU243" s="137">
        <f>ROUND(I243*H243,2)</f>
        <v>290030.2</v>
      </c>
      <c r="EV243" s="16" t="s">
        <v>95</v>
      </c>
      <c r="EW243" s="136" t="s">
        <v>448</v>
      </c>
    </row>
    <row r="244" spans="2:153" s="1" customFormat="1" ht="39" x14ac:dyDescent="0.2">
      <c r="B244" s="31"/>
      <c r="D244" s="138" t="s">
        <v>289</v>
      </c>
      <c r="F244" s="139" t="s">
        <v>449</v>
      </c>
      <c r="I244" s="140"/>
      <c r="L244" s="31"/>
      <c r="N244" s="213"/>
      <c r="O244" s="214"/>
      <c r="Q244" s="229"/>
      <c r="CW244" s="141"/>
      <c r="DD244" s="50"/>
      <c r="ED244" s="16" t="s">
        <v>289</v>
      </c>
      <c r="EE244" s="16" t="s">
        <v>83</v>
      </c>
    </row>
    <row r="245" spans="2:153" s="1" customFormat="1" ht="19.5" x14ac:dyDescent="0.2">
      <c r="B245" s="31"/>
      <c r="D245" s="138" t="s">
        <v>299</v>
      </c>
      <c r="F245" s="142" t="s">
        <v>317</v>
      </c>
      <c r="I245" s="140"/>
      <c r="L245" s="31"/>
      <c r="N245" s="213"/>
      <c r="O245" s="214"/>
      <c r="Q245" s="229"/>
      <c r="CW245" s="141"/>
      <c r="DD245" s="50"/>
      <c r="ED245" s="16" t="s">
        <v>299</v>
      </c>
      <c r="EE245" s="16" t="s">
        <v>83</v>
      </c>
    </row>
    <row r="246" spans="2:153" s="12" customFormat="1" x14ac:dyDescent="0.2">
      <c r="B246" s="149"/>
      <c r="D246" s="138" t="s">
        <v>301</v>
      </c>
      <c r="E246" s="150" t="s">
        <v>1</v>
      </c>
      <c r="F246" s="151" t="s">
        <v>450</v>
      </c>
      <c r="H246" s="152">
        <v>568.26</v>
      </c>
      <c r="I246" s="153"/>
      <c r="L246" s="149"/>
      <c r="N246" s="310">
        <f>983.85*1.05*0.55</f>
        <v>568.17337500000008</v>
      </c>
      <c r="O246" s="359" t="s">
        <v>3356</v>
      </c>
      <c r="Q246" s="231"/>
      <c r="CW246" s="154"/>
      <c r="DD246" s="155"/>
      <c r="ED246" s="150" t="s">
        <v>301</v>
      </c>
      <c r="EE246" s="150" t="s">
        <v>83</v>
      </c>
      <c r="EF246" s="12" t="s">
        <v>83</v>
      </c>
      <c r="EG246" s="12" t="s">
        <v>32</v>
      </c>
      <c r="EH246" s="12" t="s">
        <v>81</v>
      </c>
      <c r="EI246" s="150" t="s">
        <v>282</v>
      </c>
    </row>
    <row r="247" spans="2:153" s="12" customFormat="1" x14ac:dyDescent="0.2">
      <c r="B247" s="149"/>
      <c r="D247" s="138"/>
      <c r="E247" s="150"/>
      <c r="F247" s="151"/>
      <c r="H247" s="152"/>
      <c r="I247" s="153"/>
      <c r="L247" s="149"/>
      <c r="N247" s="310">
        <f>N246-H243</f>
        <v>-8.6624999999912689E-2</v>
      </c>
      <c r="O247" s="359"/>
      <c r="Q247" s="231"/>
      <c r="CW247" s="154"/>
      <c r="DD247" s="155"/>
      <c r="ED247" s="150"/>
      <c r="EE247" s="150"/>
      <c r="EI247" s="150"/>
    </row>
    <row r="248" spans="2:153" s="1" customFormat="1" ht="14.45" customHeight="1" x14ac:dyDescent="0.2">
      <c r="B248" s="124"/>
      <c r="C248" s="170" t="s">
        <v>451</v>
      </c>
      <c r="D248" s="170" t="s">
        <v>439</v>
      </c>
      <c r="E248" s="171" t="s">
        <v>452</v>
      </c>
      <c r="F248" s="172" t="s">
        <v>453</v>
      </c>
      <c r="G248" s="173" t="s">
        <v>418</v>
      </c>
      <c r="H248" s="174">
        <v>1136.52</v>
      </c>
      <c r="I248" s="130">
        <v>380.62816190000001</v>
      </c>
      <c r="J248" s="176">
        <f>ROUND(I248*H248,2)</f>
        <v>432591.52</v>
      </c>
      <c r="K248" s="172" t="s">
        <v>293</v>
      </c>
      <c r="L248" s="198">
        <f>S248</f>
        <v>0</v>
      </c>
      <c r="M248" s="206">
        <f>ROUND(L248*I248,2)</f>
        <v>0</v>
      </c>
      <c r="N248" s="211">
        <f>N251</f>
        <v>-0.17399999999997817</v>
      </c>
      <c r="O248" s="212">
        <f>ROUND(N248*I248,2)</f>
        <v>-66.23</v>
      </c>
      <c r="P248" s="207">
        <f>H248-L248-N248</f>
        <v>1136.694</v>
      </c>
      <c r="Q248" s="228">
        <f>ROUND(P248*I248,2)</f>
        <v>432657.75</v>
      </c>
      <c r="R248" s="199"/>
      <c r="S248" s="200">
        <f>W248+Y248+AA248+AC248+AE248+AG248+AI248+AK248+AM248+AO248+AQ248+AS248+AU248+AW248</f>
        <v>0</v>
      </c>
      <c r="T248" s="200">
        <f>ROUND(S248*I248,2)</f>
        <v>0</v>
      </c>
      <c r="U248" s="200">
        <f>H248-S248</f>
        <v>1136.52</v>
      </c>
      <c r="V248" s="200">
        <f>ROUND(U248*I248,2)</f>
        <v>432591.52</v>
      </c>
      <c r="W248" s="203"/>
      <c r="X248" s="203"/>
      <c r="Y248" s="201"/>
      <c r="Z248" s="200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77" t="s">
        <v>1</v>
      </c>
      <c r="CX248" s="178" t="s">
        <v>40</v>
      </c>
      <c r="CZ248" s="134">
        <f>CY248*H248</f>
        <v>0</v>
      </c>
      <c r="DA248" s="134">
        <v>1</v>
      </c>
      <c r="DB248" s="134">
        <f>DA248*H248</f>
        <v>1136.52</v>
      </c>
      <c r="DC248" s="134">
        <v>0</v>
      </c>
      <c r="DD248" s="135">
        <f>DC248*H248</f>
        <v>0</v>
      </c>
      <c r="EB248" s="136" t="s">
        <v>328</v>
      </c>
      <c r="ED248" s="136" t="s">
        <v>439</v>
      </c>
      <c r="EE248" s="136" t="s">
        <v>83</v>
      </c>
      <c r="EI248" s="16" t="s">
        <v>282</v>
      </c>
      <c r="EO248" s="137">
        <f>IF(CX248="základní",J248,0)</f>
        <v>432591.52</v>
      </c>
      <c r="EP248" s="137">
        <f>IF(CX248="snížená",J248,0)</f>
        <v>0</v>
      </c>
      <c r="EQ248" s="137">
        <f>IF(CX248="zákl. přenesená",J248,0)</f>
        <v>0</v>
      </c>
      <c r="ER248" s="137">
        <f>IF(CX248="sníž. přenesená",J248,0)</f>
        <v>0</v>
      </c>
      <c r="ES248" s="137">
        <f>IF(CX248="nulová",J248,0)</f>
        <v>0</v>
      </c>
      <c r="ET248" s="16" t="s">
        <v>81</v>
      </c>
      <c r="EU248" s="137">
        <f>ROUND(I248*H248,2)</f>
        <v>432591.52</v>
      </c>
      <c r="EV248" s="16" t="s">
        <v>95</v>
      </c>
      <c r="EW248" s="136" t="s">
        <v>454</v>
      </c>
    </row>
    <row r="249" spans="2:153" s="1" customFormat="1" x14ac:dyDescent="0.2">
      <c r="B249" s="31"/>
      <c r="D249" s="138" t="s">
        <v>289</v>
      </c>
      <c r="F249" s="139" t="s">
        <v>453</v>
      </c>
      <c r="I249" s="140"/>
      <c r="L249" s="31"/>
      <c r="N249" s="213"/>
      <c r="O249" s="214"/>
      <c r="Q249" s="229"/>
      <c r="CW249" s="141"/>
      <c r="DD249" s="50"/>
      <c r="ED249" s="16" t="s">
        <v>289</v>
      </c>
      <c r="EE249" s="16" t="s">
        <v>83</v>
      </c>
    </row>
    <row r="250" spans="2:153" s="12" customFormat="1" x14ac:dyDescent="0.2">
      <c r="B250" s="149"/>
      <c r="D250" s="138" t="s">
        <v>301</v>
      </c>
      <c r="F250" s="151" t="s">
        <v>455</v>
      </c>
      <c r="H250" s="152">
        <v>1136.52</v>
      </c>
      <c r="I250" s="153"/>
      <c r="L250" s="149"/>
      <c r="N250" s="310">
        <f>568.173*2</f>
        <v>1136.346</v>
      </c>
      <c r="O250" s="359" t="s">
        <v>3357</v>
      </c>
      <c r="Q250" s="231"/>
      <c r="CW250" s="154"/>
      <c r="DD250" s="155"/>
      <c r="ED250" s="150" t="s">
        <v>301</v>
      </c>
      <c r="EE250" s="150" t="s">
        <v>83</v>
      </c>
      <c r="EF250" s="12" t="s">
        <v>83</v>
      </c>
      <c r="EG250" s="12" t="s">
        <v>3</v>
      </c>
      <c r="EH250" s="12" t="s">
        <v>81</v>
      </c>
      <c r="EI250" s="150" t="s">
        <v>282</v>
      </c>
    </row>
    <row r="251" spans="2:153" s="12" customFormat="1" x14ac:dyDescent="0.2">
      <c r="B251" s="149"/>
      <c r="D251" s="138"/>
      <c r="F251" s="151"/>
      <c r="H251" s="152"/>
      <c r="I251" s="153"/>
      <c r="L251" s="149"/>
      <c r="N251" s="310">
        <f>N250-H248</f>
        <v>-0.17399999999997817</v>
      </c>
      <c r="O251" s="359"/>
      <c r="Q251" s="231"/>
      <c r="CW251" s="154"/>
      <c r="DD251" s="155"/>
      <c r="ED251" s="150"/>
      <c r="EE251" s="150"/>
      <c r="EI251" s="150"/>
    </row>
    <row r="252" spans="2:153" s="1" customFormat="1" ht="24.2" customHeight="1" x14ac:dyDescent="0.2">
      <c r="B252" s="124"/>
      <c r="C252" s="336" t="s">
        <v>456</v>
      </c>
      <c r="D252" s="336" t="s">
        <v>284</v>
      </c>
      <c r="E252" s="337" t="s">
        <v>457</v>
      </c>
      <c r="F252" s="338" t="s">
        <v>458</v>
      </c>
      <c r="G252" s="339" t="s">
        <v>418</v>
      </c>
      <c r="H252" s="340">
        <v>7481.1940000000004</v>
      </c>
      <c r="I252" s="341">
        <v>61.737071122597108</v>
      </c>
      <c r="J252" s="341">
        <f>ROUND(I252*H252,2)</f>
        <v>461867.01</v>
      </c>
      <c r="K252" s="338" t="s">
        <v>293</v>
      </c>
      <c r="L252" s="342">
        <f>S252</f>
        <v>0</v>
      </c>
      <c r="M252" s="343">
        <f>ROUND(L252*I252,2)</f>
        <v>0</v>
      </c>
      <c r="N252" s="344">
        <f>N254</f>
        <v>-1.0548499999995329</v>
      </c>
      <c r="O252" s="345">
        <f>ROUND(N252*I252,2)</f>
        <v>-65.12</v>
      </c>
      <c r="P252" s="346">
        <f>H252-L252-N252</f>
        <v>7482.2488499999999</v>
      </c>
      <c r="Q252" s="347">
        <f>ROUND(P252*I252,2)</f>
        <v>461932.13</v>
      </c>
      <c r="R252" s="199">
        <v>1057.3820000000001</v>
      </c>
      <c r="S252" s="200">
        <f>W252+Y252+AA252+AC252+AE252+AG252+AI252+AK252+AM252+AO252+AQ252+AS252+AU252+AW252</f>
        <v>0</v>
      </c>
      <c r="T252" s="200">
        <f>ROUND(S252*I252,2)</f>
        <v>0</v>
      </c>
      <c r="U252" s="200">
        <f>H252-S252</f>
        <v>7481.1940000000004</v>
      </c>
      <c r="V252" s="200">
        <f>ROUND(U252*I252,2)</f>
        <v>461867.01</v>
      </c>
      <c r="W252" s="203"/>
      <c r="X252" s="203"/>
      <c r="Y252" s="200"/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0"/>
      <c r="AP252" s="200"/>
      <c r="AQ252" s="200"/>
      <c r="AR252" s="200"/>
      <c r="AS252" s="200"/>
      <c r="AT252" s="200"/>
      <c r="AU252" s="200"/>
      <c r="AV252" s="200"/>
      <c r="AW252" s="200"/>
      <c r="AX252" s="200"/>
      <c r="CW252" s="132" t="s">
        <v>1</v>
      </c>
      <c r="CX252" s="133" t="s">
        <v>40</v>
      </c>
      <c r="CZ252" s="134">
        <f>CY252*H252</f>
        <v>0</v>
      </c>
      <c r="DA252" s="134">
        <v>0</v>
      </c>
      <c r="DB252" s="134">
        <f>DA252*H252</f>
        <v>0</v>
      </c>
      <c r="DC252" s="134">
        <v>0</v>
      </c>
      <c r="DD252" s="135">
        <f>DC252*H252</f>
        <v>0</v>
      </c>
      <c r="EB252" s="136" t="s">
        <v>95</v>
      </c>
      <c r="ED252" s="136" t="s">
        <v>284</v>
      </c>
      <c r="EE252" s="136" t="s">
        <v>83</v>
      </c>
      <c r="EI252" s="16" t="s">
        <v>282</v>
      </c>
      <c r="EO252" s="137">
        <f>IF(CX252="základní",J252,0)</f>
        <v>461867.01</v>
      </c>
      <c r="EP252" s="137">
        <f>IF(CX252="snížená",J252,0)</f>
        <v>0</v>
      </c>
      <c r="EQ252" s="137">
        <f>IF(CX252="zákl. přenesená",J252,0)</f>
        <v>0</v>
      </c>
      <c r="ER252" s="137">
        <f>IF(CX252="sníž. přenesená",J252,0)</f>
        <v>0</v>
      </c>
      <c r="ES252" s="137">
        <f>IF(CX252="nulová",J252,0)</f>
        <v>0</v>
      </c>
      <c r="ET252" s="16" t="s">
        <v>81</v>
      </c>
      <c r="EU252" s="137">
        <f>ROUND(I252*H252,2)</f>
        <v>461867.01</v>
      </c>
      <c r="EV252" s="16" t="s">
        <v>95</v>
      </c>
      <c r="EW252" s="136" t="s">
        <v>459</v>
      </c>
    </row>
    <row r="253" spans="2:153" s="1" customFormat="1" ht="29.25" x14ac:dyDescent="0.2">
      <c r="B253" s="31"/>
      <c r="D253" s="138" t="s">
        <v>289</v>
      </c>
      <c r="F253" s="139" t="s">
        <v>460</v>
      </c>
      <c r="I253" s="140"/>
      <c r="L253" s="31"/>
      <c r="N253" s="213"/>
      <c r="O253" s="214"/>
      <c r="Q253" s="229"/>
      <c r="CW253" s="141"/>
      <c r="DD253" s="50"/>
      <c r="ED253" s="16" t="s">
        <v>289</v>
      </c>
      <c r="EE253" s="16" t="s">
        <v>83</v>
      </c>
    </row>
    <row r="254" spans="2:153" s="12" customFormat="1" x14ac:dyDescent="0.2">
      <c r="B254" s="149"/>
      <c r="D254" s="138" t="s">
        <v>301</v>
      </c>
      <c r="E254" s="150" t="s">
        <v>1</v>
      </c>
      <c r="F254" s="151" t="s">
        <v>461</v>
      </c>
      <c r="H254" s="152">
        <v>7481.1940000000004</v>
      </c>
      <c r="I254" s="153"/>
      <c r="L254" s="149"/>
      <c r="N254" s="310">
        <f>N239+N248</f>
        <v>-1.0548499999995329</v>
      </c>
      <c r="O254" s="218"/>
      <c r="Q254" s="231"/>
      <c r="CW254" s="154"/>
      <c r="DD254" s="155"/>
      <c r="ED254" s="150" t="s">
        <v>301</v>
      </c>
      <c r="EE254" s="150" t="s">
        <v>83</v>
      </c>
      <c r="EF254" s="12" t="s">
        <v>83</v>
      </c>
      <c r="EG254" s="12" t="s">
        <v>32</v>
      </c>
      <c r="EH254" s="12" t="s">
        <v>81</v>
      </c>
      <c r="EI254" s="150" t="s">
        <v>282</v>
      </c>
    </row>
    <row r="255" spans="2:153" s="10" customFormat="1" ht="22.9" customHeight="1" x14ac:dyDescent="0.2">
      <c r="B255" s="112"/>
      <c r="D255" s="113" t="s">
        <v>73</v>
      </c>
      <c r="E255" s="122" t="s">
        <v>83</v>
      </c>
      <c r="F255" s="122" t="s">
        <v>462</v>
      </c>
      <c r="I255" s="115"/>
      <c r="J255" s="123">
        <f>EU255</f>
        <v>259843.22</v>
      </c>
      <c r="L255" s="112"/>
      <c r="M255" s="202">
        <f>M256</f>
        <v>0</v>
      </c>
      <c r="N255" s="223"/>
      <c r="O255" s="224">
        <f t="shared" ref="O255:V255" si="0">O256</f>
        <v>-39.61</v>
      </c>
      <c r="P255" s="202"/>
      <c r="Q255" s="234">
        <f t="shared" si="0"/>
        <v>259882.83</v>
      </c>
      <c r="R255" s="202"/>
      <c r="S255" s="202"/>
      <c r="T255" s="202">
        <f t="shared" si="0"/>
        <v>0</v>
      </c>
      <c r="U255" s="202"/>
      <c r="V255" s="202">
        <f t="shared" si="0"/>
        <v>259843.22</v>
      </c>
      <c r="W255" s="202"/>
      <c r="X255" s="202"/>
      <c r="Y255" s="202"/>
      <c r="Z255" s="202"/>
      <c r="CW255" s="117"/>
      <c r="CZ255" s="118">
        <f>SUM(CZ256:CZ259)</f>
        <v>0</v>
      </c>
      <c r="DB255" s="118">
        <f>SUM(DB256:DB259)</f>
        <v>201.41496000000001</v>
      </c>
      <c r="DD255" s="119">
        <f>SUM(DD256:DD259)</f>
        <v>0</v>
      </c>
      <c r="EB255" s="113" t="s">
        <v>81</v>
      </c>
      <c r="ED255" s="120" t="s">
        <v>73</v>
      </c>
      <c r="EE255" s="120" t="s">
        <v>81</v>
      </c>
      <c r="EI255" s="113" t="s">
        <v>282</v>
      </c>
      <c r="EU255" s="121">
        <f>SUM(EU256:EU259)</f>
        <v>259843.22</v>
      </c>
    </row>
    <row r="256" spans="2:153" s="1" customFormat="1" ht="37.9" customHeight="1" x14ac:dyDescent="0.2">
      <c r="B256" s="124"/>
      <c r="C256" s="125" t="s">
        <v>463</v>
      </c>
      <c r="D256" s="125" t="s">
        <v>284</v>
      </c>
      <c r="E256" s="126" t="s">
        <v>464</v>
      </c>
      <c r="F256" s="127" t="s">
        <v>465</v>
      </c>
      <c r="G256" s="128" t="s">
        <v>344</v>
      </c>
      <c r="H256" s="129">
        <v>984</v>
      </c>
      <c r="I256" s="130">
        <v>264.06831423630393</v>
      </c>
      <c r="J256" s="131">
        <f>ROUND(I256*H256,2)</f>
        <v>259843.22</v>
      </c>
      <c r="K256" s="127" t="s">
        <v>293</v>
      </c>
      <c r="L256" s="198">
        <f>S256</f>
        <v>0</v>
      </c>
      <c r="M256" s="206">
        <f>ROUND(L256*I256,2)</f>
        <v>0</v>
      </c>
      <c r="N256" s="211">
        <f>N260</f>
        <v>-0.14999999999997726</v>
      </c>
      <c r="O256" s="212">
        <f>ROUND(N256*I256,2)</f>
        <v>-39.61</v>
      </c>
      <c r="P256" s="207">
        <f>H256-L256-N256</f>
        <v>984.15</v>
      </c>
      <c r="Q256" s="228">
        <f>ROUND(P256*I256,2)</f>
        <v>259882.83</v>
      </c>
      <c r="R256" s="199"/>
      <c r="S256" s="200">
        <f>W256+Y256+AA256+AC256+AE256+AG256+AI256+AK256+AM256+AO256+AQ256+AS256+AU256+AW256</f>
        <v>0</v>
      </c>
      <c r="T256" s="200">
        <f>ROUND(S256*I256,2)</f>
        <v>0</v>
      </c>
      <c r="U256" s="200">
        <f>H256-S256</f>
        <v>984</v>
      </c>
      <c r="V256" s="200">
        <f>ROUND(U256*I256,2)</f>
        <v>259843.22</v>
      </c>
      <c r="W256" s="203"/>
      <c r="X256" s="203"/>
      <c r="Y256" s="200"/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0"/>
      <c r="AP256" s="200"/>
      <c r="AQ256" s="200"/>
      <c r="AR256" s="200"/>
      <c r="AS256" s="200"/>
      <c r="AT256" s="200"/>
      <c r="AU256" s="200"/>
      <c r="AV256" s="200"/>
      <c r="AW256" s="200"/>
      <c r="AX256" s="200"/>
      <c r="CW256" s="132" t="s">
        <v>1</v>
      </c>
      <c r="CX256" s="133" t="s">
        <v>40</v>
      </c>
      <c r="CZ256" s="134">
        <f>CY256*H256</f>
        <v>0</v>
      </c>
      <c r="DA256" s="134">
        <v>0.20469000000000001</v>
      </c>
      <c r="DB256" s="134">
        <f>DA256*H256</f>
        <v>201.41496000000001</v>
      </c>
      <c r="DC256" s="134">
        <v>0</v>
      </c>
      <c r="DD256" s="135">
        <f>DC256*H256</f>
        <v>0</v>
      </c>
      <c r="EB256" s="136" t="s">
        <v>95</v>
      </c>
      <c r="ED256" s="136" t="s">
        <v>284</v>
      </c>
      <c r="EE256" s="136" t="s">
        <v>83</v>
      </c>
      <c r="EI256" s="16" t="s">
        <v>282</v>
      </c>
      <c r="EO256" s="137">
        <f>IF(CX256="základní",J256,0)</f>
        <v>259843.22</v>
      </c>
      <c r="EP256" s="137">
        <f>IF(CX256="snížená",J256,0)</f>
        <v>0</v>
      </c>
      <c r="EQ256" s="137">
        <f>IF(CX256="zákl. přenesená",J256,0)</f>
        <v>0</v>
      </c>
      <c r="ER256" s="137">
        <f>IF(CX256="sníž. přenesená",J256,0)</f>
        <v>0</v>
      </c>
      <c r="ES256" s="137">
        <f>IF(CX256="nulová",J256,0)</f>
        <v>0</v>
      </c>
      <c r="ET256" s="16" t="s">
        <v>81</v>
      </c>
      <c r="EU256" s="137">
        <f>ROUND(I256*H256,2)</f>
        <v>259843.22</v>
      </c>
      <c r="EV256" s="16" t="s">
        <v>95</v>
      </c>
      <c r="EW256" s="136" t="s">
        <v>466</v>
      </c>
    </row>
    <row r="257" spans="2:153" s="1" customFormat="1" ht="39" x14ac:dyDescent="0.2">
      <c r="B257" s="31"/>
      <c r="D257" s="138" t="s">
        <v>289</v>
      </c>
      <c r="F257" s="139" t="s">
        <v>467</v>
      </c>
      <c r="I257" s="140"/>
      <c r="L257" s="31"/>
      <c r="N257" s="213"/>
      <c r="O257" s="214"/>
      <c r="Q257" s="229"/>
      <c r="CW257" s="141"/>
      <c r="DD257" s="50"/>
      <c r="ED257" s="16" t="s">
        <v>289</v>
      </c>
      <c r="EE257" s="16" t="s">
        <v>83</v>
      </c>
    </row>
    <row r="258" spans="2:153" s="1" customFormat="1" ht="19.5" x14ac:dyDescent="0.2">
      <c r="B258" s="31"/>
      <c r="D258" s="138" t="s">
        <v>299</v>
      </c>
      <c r="F258" s="142" t="s">
        <v>317</v>
      </c>
      <c r="I258" s="140"/>
      <c r="L258" s="31"/>
      <c r="N258" s="213"/>
      <c r="O258" s="214"/>
      <c r="Q258" s="229"/>
      <c r="CW258" s="141"/>
      <c r="DD258" s="50"/>
      <c r="ED258" s="16" t="s">
        <v>299</v>
      </c>
      <c r="EE258" s="16" t="s">
        <v>83</v>
      </c>
    </row>
    <row r="259" spans="2:153" s="12" customFormat="1" x14ac:dyDescent="0.2">
      <c r="B259" s="149"/>
      <c r="D259" s="138" t="s">
        <v>301</v>
      </c>
      <c r="E259" s="150" t="s">
        <v>1</v>
      </c>
      <c r="F259" s="151" t="s">
        <v>468</v>
      </c>
      <c r="H259" s="152">
        <v>984</v>
      </c>
      <c r="I259" s="153"/>
      <c r="L259" s="149"/>
      <c r="N259" s="217">
        <v>983.85</v>
      </c>
      <c r="O259" s="218"/>
      <c r="Q259" s="231"/>
      <c r="CW259" s="154"/>
      <c r="DD259" s="155"/>
      <c r="ED259" s="150" t="s">
        <v>301</v>
      </c>
      <c r="EE259" s="150" t="s">
        <v>83</v>
      </c>
      <c r="EF259" s="12" t="s">
        <v>83</v>
      </c>
      <c r="EG259" s="12" t="s">
        <v>32</v>
      </c>
      <c r="EH259" s="12" t="s">
        <v>81</v>
      </c>
      <c r="EI259" s="150" t="s">
        <v>282</v>
      </c>
    </row>
    <row r="260" spans="2:153" s="12" customFormat="1" x14ac:dyDescent="0.2">
      <c r="B260" s="149"/>
      <c r="D260" s="138"/>
      <c r="E260" s="150"/>
      <c r="F260" s="151"/>
      <c r="H260" s="152"/>
      <c r="I260" s="153"/>
      <c r="L260" s="149"/>
      <c r="N260" s="310">
        <f>N259-H256</f>
        <v>-0.14999999999997726</v>
      </c>
      <c r="O260" s="218"/>
      <c r="Q260" s="231"/>
      <c r="CW260" s="154"/>
      <c r="DD260" s="155"/>
      <c r="ED260" s="150"/>
      <c r="EE260" s="150"/>
      <c r="EI260" s="150"/>
    </row>
    <row r="261" spans="2:153" s="10" customFormat="1" ht="22.9" customHeight="1" x14ac:dyDescent="0.2">
      <c r="B261" s="112"/>
      <c r="D261" s="113" t="s">
        <v>73</v>
      </c>
      <c r="E261" s="122" t="s">
        <v>95</v>
      </c>
      <c r="F261" s="122" t="s">
        <v>469</v>
      </c>
      <c r="I261" s="115"/>
      <c r="J261" s="123">
        <f>EU261</f>
        <v>185387.89000000004</v>
      </c>
      <c r="L261" s="112"/>
      <c r="M261" s="202">
        <f>SUM(M262:M290)</f>
        <v>0</v>
      </c>
      <c r="N261" s="223"/>
      <c r="O261" s="224">
        <f t="shared" ref="O261:V261" si="1">SUM(O262:O290)</f>
        <v>-18.899999999999999</v>
      </c>
      <c r="P261" s="202"/>
      <c r="Q261" s="234">
        <f t="shared" si="1"/>
        <v>185406.80000000002</v>
      </c>
      <c r="R261" s="202"/>
      <c r="S261" s="202"/>
      <c r="T261" s="202">
        <f t="shared" si="1"/>
        <v>0</v>
      </c>
      <c r="U261" s="202"/>
      <c r="V261" s="202">
        <f t="shared" si="1"/>
        <v>185387.89000000004</v>
      </c>
      <c r="W261" s="202"/>
      <c r="X261" s="202"/>
      <c r="Y261" s="202"/>
      <c r="Z261" s="202"/>
      <c r="CW261" s="117"/>
      <c r="CZ261" s="118">
        <f>SUM(CZ262:CZ294)</f>
        <v>0</v>
      </c>
      <c r="DB261" s="118">
        <f>SUM(DB262:DB294)</f>
        <v>2.9931999999999999</v>
      </c>
      <c r="DD261" s="119">
        <f>SUM(DD262:DD294)</f>
        <v>0</v>
      </c>
      <c r="EB261" s="113" t="s">
        <v>81</v>
      </c>
      <c r="ED261" s="120" t="s">
        <v>73</v>
      </c>
      <c r="EE261" s="120" t="s">
        <v>81</v>
      </c>
      <c r="EI261" s="113" t="s">
        <v>282</v>
      </c>
      <c r="EU261" s="121">
        <f>SUM(EU262:EU294)</f>
        <v>185387.89000000004</v>
      </c>
    </row>
    <row r="262" spans="2:153" s="1" customFormat="1" ht="14.45" customHeight="1" x14ac:dyDescent="0.2">
      <c r="B262" s="124"/>
      <c r="C262" s="125" t="s">
        <v>470</v>
      </c>
      <c r="D262" s="125" t="s">
        <v>284</v>
      </c>
      <c r="E262" s="126" t="s">
        <v>471</v>
      </c>
      <c r="F262" s="127" t="s">
        <v>472</v>
      </c>
      <c r="G262" s="128" t="s">
        <v>366</v>
      </c>
      <c r="H262" s="129">
        <v>103.32</v>
      </c>
      <c r="I262" s="130">
        <v>1200.17173250368</v>
      </c>
      <c r="J262" s="131">
        <f>ROUND(I262*H262,2)</f>
        <v>124001.74</v>
      </c>
      <c r="K262" s="127" t="s">
        <v>293</v>
      </c>
      <c r="L262" s="198">
        <f>S262</f>
        <v>0</v>
      </c>
      <c r="M262" s="206">
        <f>ROUND(L262*I262,2)</f>
        <v>0</v>
      </c>
      <c r="N262" s="211">
        <f>N266</f>
        <v>-1.5749999999982833E-2</v>
      </c>
      <c r="O262" s="212">
        <f>ROUND(N262*I262,2)</f>
        <v>-18.899999999999999</v>
      </c>
      <c r="P262" s="207">
        <f>H262-L262-N262</f>
        <v>103.33574999999998</v>
      </c>
      <c r="Q262" s="228">
        <f>ROUND(P262*I262,2)</f>
        <v>124020.65</v>
      </c>
      <c r="R262" s="199"/>
      <c r="S262" s="200">
        <f>W262+Y262+AA262+AC262+AE262+AG262+AI262+AK262+AM262+AO262+AQ262+AS262+AU262+AW262</f>
        <v>0</v>
      </c>
      <c r="T262" s="200">
        <f>ROUND(S262*I262,2)</f>
        <v>0</v>
      </c>
      <c r="U262" s="200">
        <f>H262-S262</f>
        <v>103.32</v>
      </c>
      <c r="V262" s="200">
        <f>ROUND(U262*I262,2)</f>
        <v>124001.74</v>
      </c>
      <c r="W262" s="203"/>
      <c r="X262" s="203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0"/>
      <c r="AP262" s="200"/>
      <c r="AQ262" s="200"/>
      <c r="AR262" s="200"/>
      <c r="AS262" s="200"/>
      <c r="AT262" s="200"/>
      <c r="AU262" s="200"/>
      <c r="AV262" s="200"/>
      <c r="AW262" s="200"/>
      <c r="AX262" s="200"/>
      <c r="CW262" s="132" t="s">
        <v>1</v>
      </c>
      <c r="CX262" s="133" t="s">
        <v>40</v>
      </c>
      <c r="CZ262" s="134">
        <f>CY262*H262</f>
        <v>0</v>
      </c>
      <c r="DA262" s="134">
        <v>0</v>
      </c>
      <c r="DB262" s="134">
        <f>DA262*H262</f>
        <v>0</v>
      </c>
      <c r="DC262" s="134">
        <v>0</v>
      </c>
      <c r="DD262" s="135">
        <f>DC262*H262</f>
        <v>0</v>
      </c>
      <c r="EB262" s="136" t="s">
        <v>95</v>
      </c>
      <c r="ED262" s="136" t="s">
        <v>284</v>
      </c>
      <c r="EE262" s="136" t="s">
        <v>83</v>
      </c>
      <c r="EI262" s="16" t="s">
        <v>282</v>
      </c>
      <c r="EO262" s="137">
        <f>IF(CX262="základní",J262,0)</f>
        <v>124001.74</v>
      </c>
      <c r="EP262" s="137">
        <f>IF(CX262="snížená",J262,0)</f>
        <v>0</v>
      </c>
      <c r="EQ262" s="137">
        <f>IF(CX262="zákl. přenesená",J262,0)</f>
        <v>0</v>
      </c>
      <c r="ER262" s="137">
        <f>IF(CX262="sníž. přenesená",J262,0)</f>
        <v>0</v>
      </c>
      <c r="ES262" s="137">
        <f>IF(CX262="nulová",J262,0)</f>
        <v>0</v>
      </c>
      <c r="ET262" s="16" t="s">
        <v>81</v>
      </c>
      <c r="EU262" s="137">
        <f>ROUND(I262*H262,2)</f>
        <v>124001.74</v>
      </c>
      <c r="EV262" s="16" t="s">
        <v>95</v>
      </c>
      <c r="EW262" s="136" t="s">
        <v>473</v>
      </c>
    </row>
    <row r="263" spans="2:153" s="1" customFormat="1" ht="19.5" x14ac:dyDescent="0.2">
      <c r="B263" s="31"/>
      <c r="D263" s="138" t="s">
        <v>289</v>
      </c>
      <c r="F263" s="139" t="s">
        <v>474</v>
      </c>
      <c r="I263" s="140"/>
      <c r="L263" s="31"/>
      <c r="N263" s="213"/>
      <c r="O263" s="214"/>
      <c r="Q263" s="229"/>
      <c r="CW263" s="141"/>
      <c r="DD263" s="50"/>
      <c r="ED263" s="16" t="s">
        <v>289</v>
      </c>
      <c r="EE263" s="16" t="s">
        <v>83</v>
      </c>
    </row>
    <row r="264" spans="2:153" s="1" customFormat="1" ht="19.5" x14ac:dyDescent="0.2">
      <c r="B264" s="31"/>
      <c r="D264" s="138" t="s">
        <v>299</v>
      </c>
      <c r="F264" s="142" t="s">
        <v>317</v>
      </c>
      <c r="I264" s="140"/>
      <c r="L264" s="31"/>
      <c r="N264" s="213"/>
      <c r="O264" s="214"/>
      <c r="Q264" s="229"/>
      <c r="CW264" s="141"/>
      <c r="DD264" s="50"/>
      <c r="ED264" s="16" t="s">
        <v>299</v>
      </c>
      <c r="EE264" s="16" t="s">
        <v>83</v>
      </c>
    </row>
    <row r="265" spans="2:153" s="12" customFormat="1" x14ac:dyDescent="0.2">
      <c r="B265" s="149"/>
      <c r="D265" s="138" t="s">
        <v>301</v>
      </c>
      <c r="E265" s="150" t="s">
        <v>1</v>
      </c>
      <c r="F265" s="151" t="s">
        <v>475</v>
      </c>
      <c r="H265" s="152">
        <v>103.32</v>
      </c>
      <c r="I265" s="153"/>
      <c r="L265" s="149"/>
      <c r="N265" s="310">
        <f>983.85*1.05*0.1</f>
        <v>103.30425000000001</v>
      </c>
      <c r="O265" s="359" t="s">
        <v>3358</v>
      </c>
      <c r="Q265" s="231"/>
      <c r="CW265" s="154"/>
      <c r="DD265" s="155"/>
      <c r="ED265" s="150" t="s">
        <v>301</v>
      </c>
      <c r="EE265" s="150" t="s">
        <v>83</v>
      </c>
      <c r="EF265" s="12" t="s">
        <v>83</v>
      </c>
      <c r="EG265" s="12" t="s">
        <v>32</v>
      </c>
      <c r="EH265" s="12" t="s">
        <v>81</v>
      </c>
      <c r="EI265" s="150" t="s">
        <v>282</v>
      </c>
    </row>
    <row r="266" spans="2:153" s="12" customFormat="1" x14ac:dyDescent="0.2">
      <c r="B266" s="149"/>
      <c r="D266" s="138"/>
      <c r="E266" s="150"/>
      <c r="F266" s="151"/>
      <c r="H266" s="152"/>
      <c r="I266" s="153"/>
      <c r="L266" s="149"/>
      <c r="N266" s="310">
        <f>N265-H262</f>
        <v>-1.5749999999982833E-2</v>
      </c>
      <c r="O266" s="218"/>
      <c r="Q266" s="231"/>
      <c r="CW266" s="154"/>
      <c r="DD266" s="155"/>
      <c r="ED266" s="150"/>
      <c r="EE266" s="150"/>
      <c r="EI266" s="150"/>
    </row>
    <row r="267" spans="2:153" s="1" customFormat="1" ht="14.45" customHeight="1" x14ac:dyDescent="0.2">
      <c r="B267" s="124"/>
      <c r="C267" s="125" t="s">
        <v>476</v>
      </c>
      <c r="D267" s="125" t="s">
        <v>284</v>
      </c>
      <c r="E267" s="126" t="s">
        <v>477</v>
      </c>
      <c r="F267" s="127" t="s">
        <v>478</v>
      </c>
      <c r="G267" s="128" t="s">
        <v>366</v>
      </c>
      <c r="H267" s="129">
        <v>15</v>
      </c>
      <c r="I267" s="130">
        <v>1200.17173250368</v>
      </c>
      <c r="J267" s="131">
        <f>ROUND(I267*H267,2)</f>
        <v>18002.580000000002</v>
      </c>
      <c r="K267" s="127" t="s">
        <v>1</v>
      </c>
      <c r="L267" s="198">
        <f>S267</f>
        <v>0</v>
      </c>
      <c r="M267" s="206">
        <f>ROUND(L267*I267,2)</f>
        <v>0</v>
      </c>
      <c r="N267" s="211"/>
      <c r="O267" s="212">
        <f>ROUND(N267*I267,2)</f>
        <v>0</v>
      </c>
      <c r="P267" s="207">
        <f>H267-L267-N267</f>
        <v>15</v>
      </c>
      <c r="Q267" s="228">
        <f>ROUND(P267*I267,2)</f>
        <v>18002.580000000002</v>
      </c>
      <c r="R267" s="199"/>
      <c r="S267" s="200">
        <f>W267+Y267+AA267+AC267+AE267+AG267+AI267+AK267+AM267+AO267+AQ267+AS267+AU267+AW267</f>
        <v>0</v>
      </c>
      <c r="T267" s="200">
        <f>ROUND(S267*I267,2)</f>
        <v>0</v>
      </c>
      <c r="U267" s="200">
        <f>H267-S267</f>
        <v>15</v>
      </c>
      <c r="V267" s="200">
        <f>ROUND(U267*I267,2)</f>
        <v>18002.580000000002</v>
      </c>
      <c r="W267" s="203"/>
      <c r="X267" s="203"/>
      <c r="Y267" s="200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0"/>
      <c r="AP267" s="200"/>
      <c r="AQ267" s="200"/>
      <c r="AR267" s="200"/>
      <c r="AS267" s="200"/>
      <c r="AT267" s="200"/>
      <c r="AU267" s="200"/>
      <c r="AV267" s="200"/>
      <c r="AW267" s="200"/>
      <c r="AX267" s="200"/>
      <c r="CW267" s="132" t="s">
        <v>1</v>
      </c>
      <c r="CX267" s="133" t="s">
        <v>40</v>
      </c>
      <c r="CZ267" s="134">
        <f>CY267*H267</f>
        <v>0</v>
      </c>
      <c r="DA267" s="134">
        <v>0</v>
      </c>
      <c r="DB267" s="134">
        <f>DA267*H267</f>
        <v>0</v>
      </c>
      <c r="DC267" s="134">
        <v>0</v>
      </c>
      <c r="DD267" s="135">
        <f>DC267*H267</f>
        <v>0</v>
      </c>
      <c r="EB267" s="136" t="s">
        <v>95</v>
      </c>
      <c r="ED267" s="136" t="s">
        <v>284</v>
      </c>
      <c r="EE267" s="136" t="s">
        <v>83</v>
      </c>
      <c r="EI267" s="16" t="s">
        <v>282</v>
      </c>
      <c r="EO267" s="137">
        <f>IF(CX267="základní",J267,0)</f>
        <v>18002.580000000002</v>
      </c>
      <c r="EP267" s="137">
        <f>IF(CX267="snížená",J267,0)</f>
        <v>0</v>
      </c>
      <c r="EQ267" s="137">
        <f>IF(CX267="zákl. přenesená",J267,0)</f>
        <v>0</v>
      </c>
      <c r="ER267" s="137">
        <f>IF(CX267="sníž. přenesená",J267,0)</f>
        <v>0</v>
      </c>
      <c r="ES267" s="137">
        <f>IF(CX267="nulová",J267,0)</f>
        <v>0</v>
      </c>
      <c r="ET267" s="16" t="s">
        <v>81</v>
      </c>
      <c r="EU267" s="137">
        <f>ROUND(I267*H267,2)</f>
        <v>18002.580000000002</v>
      </c>
      <c r="EV267" s="16" t="s">
        <v>95</v>
      </c>
      <c r="EW267" s="136" t="s">
        <v>479</v>
      </c>
    </row>
    <row r="268" spans="2:153" s="1" customFormat="1" ht="19.5" x14ac:dyDescent="0.2">
      <c r="B268" s="31"/>
      <c r="D268" s="138" t="s">
        <v>289</v>
      </c>
      <c r="F268" s="139" t="s">
        <v>474</v>
      </c>
      <c r="I268" s="140"/>
      <c r="L268" s="31"/>
      <c r="N268" s="213"/>
      <c r="O268" s="214"/>
      <c r="Q268" s="229"/>
      <c r="CW268" s="141"/>
      <c r="DD268" s="50"/>
      <c r="ED268" s="16" t="s">
        <v>289</v>
      </c>
      <c r="EE268" s="16" t="s">
        <v>83</v>
      </c>
    </row>
    <row r="269" spans="2:153" s="1" customFormat="1" ht="19.5" x14ac:dyDescent="0.2">
      <c r="B269" s="31"/>
      <c r="D269" s="138" t="s">
        <v>299</v>
      </c>
      <c r="F269" s="142" t="s">
        <v>317</v>
      </c>
      <c r="I269" s="140"/>
      <c r="L269" s="31"/>
      <c r="N269" s="213"/>
      <c r="O269" s="214"/>
      <c r="Q269" s="229"/>
      <c r="CW269" s="141"/>
      <c r="DD269" s="50"/>
      <c r="ED269" s="16" t="s">
        <v>299</v>
      </c>
      <c r="EE269" s="16" t="s">
        <v>83</v>
      </c>
    </row>
    <row r="270" spans="2:153" s="11" customFormat="1" x14ac:dyDescent="0.2">
      <c r="B270" s="143"/>
      <c r="D270" s="138" t="s">
        <v>301</v>
      </c>
      <c r="E270" s="144" t="s">
        <v>1</v>
      </c>
      <c r="F270" s="145" t="s">
        <v>480</v>
      </c>
      <c r="H270" s="144" t="s">
        <v>1</v>
      </c>
      <c r="I270" s="146"/>
      <c r="L270" s="143"/>
      <c r="N270" s="215"/>
      <c r="O270" s="216"/>
      <c r="Q270" s="230"/>
      <c r="CW270" s="147"/>
      <c r="DD270" s="148"/>
      <c r="ED270" s="144" t="s">
        <v>301</v>
      </c>
      <c r="EE270" s="144" t="s">
        <v>83</v>
      </c>
      <c r="EF270" s="11" t="s">
        <v>81</v>
      </c>
      <c r="EG270" s="11" t="s">
        <v>32</v>
      </c>
      <c r="EH270" s="11" t="s">
        <v>74</v>
      </c>
      <c r="EI270" s="144" t="s">
        <v>282</v>
      </c>
    </row>
    <row r="271" spans="2:153" s="12" customFormat="1" x14ac:dyDescent="0.2">
      <c r="B271" s="149"/>
      <c r="D271" s="138" t="s">
        <v>301</v>
      </c>
      <c r="E271" s="150" t="s">
        <v>1</v>
      </c>
      <c r="F271" s="151" t="s">
        <v>481</v>
      </c>
      <c r="H271" s="152">
        <v>15</v>
      </c>
      <c r="I271" s="153"/>
      <c r="L271" s="149"/>
      <c r="N271" s="217"/>
      <c r="O271" s="218"/>
      <c r="Q271" s="231"/>
      <c r="CW271" s="154"/>
      <c r="DD271" s="155"/>
      <c r="ED271" s="150" t="s">
        <v>301</v>
      </c>
      <c r="EE271" s="150" t="s">
        <v>83</v>
      </c>
      <c r="EF271" s="12" t="s">
        <v>83</v>
      </c>
      <c r="EG271" s="12" t="s">
        <v>32</v>
      </c>
      <c r="EH271" s="12" t="s">
        <v>81</v>
      </c>
      <c r="EI271" s="150" t="s">
        <v>282</v>
      </c>
    </row>
    <row r="272" spans="2:153" s="1" customFormat="1" ht="30" customHeight="1" x14ac:dyDescent="0.2">
      <c r="B272" s="124"/>
      <c r="C272" s="125" t="s">
        <v>482</v>
      </c>
      <c r="D272" s="125" t="s">
        <v>284</v>
      </c>
      <c r="E272" s="126" t="s">
        <v>483</v>
      </c>
      <c r="F272" s="127" t="s">
        <v>484</v>
      </c>
      <c r="G272" s="128" t="s">
        <v>485</v>
      </c>
      <c r="H272" s="129">
        <v>28</v>
      </c>
      <c r="I272" s="130">
        <v>136.11246338547087</v>
      </c>
      <c r="J272" s="131">
        <f>ROUND(I272*H272,2)</f>
        <v>3811.15</v>
      </c>
      <c r="K272" s="127" t="s">
        <v>293</v>
      </c>
      <c r="L272" s="198">
        <f>S272</f>
        <v>0</v>
      </c>
      <c r="M272" s="206">
        <f>ROUND(L272*I272,2)</f>
        <v>0</v>
      </c>
      <c r="N272" s="211"/>
      <c r="O272" s="212">
        <f>ROUND(N272*I272,2)</f>
        <v>0</v>
      </c>
      <c r="P272" s="207">
        <f>H272-L272-N272</f>
        <v>28</v>
      </c>
      <c r="Q272" s="228">
        <f>ROUND(P272*I272,2)</f>
        <v>3811.15</v>
      </c>
      <c r="R272" s="199"/>
      <c r="S272" s="200">
        <f>W272+Y272+AA272+AC272+AE272+AG272+AI272+AK272+AM272+AO272+AQ272+AS272+AU272+AW272</f>
        <v>0</v>
      </c>
      <c r="T272" s="200">
        <f>ROUND(S272*I272,2)</f>
        <v>0</v>
      </c>
      <c r="U272" s="200">
        <f>H272-S272</f>
        <v>28</v>
      </c>
      <c r="V272" s="200">
        <f>ROUND(U272*I272,2)</f>
        <v>3811.15</v>
      </c>
      <c r="W272" s="203"/>
      <c r="X272" s="203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0"/>
      <c r="AP272" s="200"/>
      <c r="AQ272" s="200"/>
      <c r="AR272" s="200"/>
      <c r="AS272" s="200"/>
      <c r="AT272" s="200"/>
      <c r="AU272" s="200"/>
      <c r="AV272" s="200"/>
      <c r="AW272" s="200"/>
      <c r="AX272" s="200"/>
      <c r="CW272" s="132" t="s">
        <v>1</v>
      </c>
      <c r="CX272" s="133" t="s">
        <v>40</v>
      </c>
      <c r="CZ272" s="134">
        <f>CY272*H272</f>
        <v>0</v>
      </c>
      <c r="DA272" s="134">
        <v>6.6E-3</v>
      </c>
      <c r="DB272" s="134">
        <f>DA272*H272</f>
        <v>0.18479999999999999</v>
      </c>
      <c r="DC272" s="134">
        <v>0</v>
      </c>
      <c r="DD272" s="135">
        <f>DC272*H272</f>
        <v>0</v>
      </c>
      <c r="EB272" s="136" t="s">
        <v>95</v>
      </c>
      <c r="ED272" s="136" t="s">
        <v>284</v>
      </c>
      <c r="EE272" s="136" t="s">
        <v>83</v>
      </c>
      <c r="EI272" s="16" t="s">
        <v>282</v>
      </c>
      <c r="EO272" s="137">
        <f>IF(CX272="základní",J272,0)</f>
        <v>3811.15</v>
      </c>
      <c r="EP272" s="137">
        <f>IF(CX272="snížená",J272,0)</f>
        <v>0</v>
      </c>
      <c r="EQ272" s="137">
        <f>IF(CX272="zákl. přenesená",J272,0)</f>
        <v>0</v>
      </c>
      <c r="ER272" s="137">
        <f>IF(CX272="sníž. přenesená",J272,0)</f>
        <v>0</v>
      </c>
      <c r="ES272" s="137">
        <f>IF(CX272="nulová",J272,0)</f>
        <v>0</v>
      </c>
      <c r="ET272" s="16" t="s">
        <v>81</v>
      </c>
      <c r="EU272" s="137">
        <f>ROUND(I272*H272,2)</f>
        <v>3811.15</v>
      </c>
      <c r="EV272" s="16" t="s">
        <v>95</v>
      </c>
      <c r="EW272" s="136" t="s">
        <v>486</v>
      </c>
    </row>
    <row r="273" spans="2:153" s="1" customFormat="1" ht="19.5" x14ac:dyDescent="0.2">
      <c r="B273" s="31"/>
      <c r="D273" s="138" t="s">
        <v>289</v>
      </c>
      <c r="F273" s="139" t="s">
        <v>487</v>
      </c>
      <c r="I273" s="140"/>
      <c r="L273" s="31"/>
      <c r="N273" s="213"/>
      <c r="O273" s="214"/>
      <c r="Q273" s="229"/>
      <c r="CW273" s="141"/>
      <c r="DD273" s="50"/>
      <c r="ED273" s="16" t="s">
        <v>289</v>
      </c>
      <c r="EE273" s="16" t="s">
        <v>83</v>
      </c>
    </row>
    <row r="274" spans="2:153" s="1" customFormat="1" ht="19.5" x14ac:dyDescent="0.2">
      <c r="B274" s="31"/>
      <c r="D274" s="138" t="s">
        <v>299</v>
      </c>
      <c r="F274" s="142" t="s">
        <v>317</v>
      </c>
      <c r="I274" s="140"/>
      <c r="L274" s="31"/>
      <c r="N274" s="213"/>
      <c r="O274" s="214"/>
      <c r="Q274" s="229"/>
      <c r="CW274" s="141"/>
      <c r="DD274" s="50"/>
      <c r="ED274" s="16" t="s">
        <v>299</v>
      </c>
      <c r="EE274" s="16" t="s">
        <v>83</v>
      </c>
    </row>
    <row r="275" spans="2:153" s="12" customFormat="1" x14ac:dyDescent="0.2">
      <c r="B275" s="149"/>
      <c r="D275" s="138" t="s">
        <v>301</v>
      </c>
      <c r="E275" s="150" t="s">
        <v>1</v>
      </c>
      <c r="F275" s="151" t="s">
        <v>488</v>
      </c>
      <c r="H275" s="152">
        <v>28</v>
      </c>
      <c r="I275" s="153"/>
      <c r="L275" s="149"/>
      <c r="N275" s="217"/>
      <c r="O275" s="218"/>
      <c r="Q275" s="231"/>
      <c r="CW275" s="154"/>
      <c r="DD275" s="155"/>
      <c r="ED275" s="150" t="s">
        <v>301</v>
      </c>
      <c r="EE275" s="150" t="s">
        <v>83</v>
      </c>
      <c r="EF275" s="12" t="s">
        <v>83</v>
      </c>
      <c r="EG275" s="12" t="s">
        <v>32</v>
      </c>
      <c r="EH275" s="12" t="s">
        <v>81</v>
      </c>
      <c r="EI275" s="150" t="s">
        <v>282</v>
      </c>
    </row>
    <row r="276" spans="2:153" s="1" customFormat="1" ht="24.2" customHeight="1" x14ac:dyDescent="0.2">
      <c r="B276" s="124"/>
      <c r="C276" s="170" t="s">
        <v>489</v>
      </c>
      <c r="D276" s="170" t="s">
        <v>439</v>
      </c>
      <c r="E276" s="171" t="s">
        <v>490</v>
      </c>
      <c r="F276" s="172" t="s">
        <v>491</v>
      </c>
      <c r="G276" s="173" t="s">
        <v>485</v>
      </c>
      <c r="H276" s="174">
        <v>2</v>
      </c>
      <c r="I276" s="130">
        <v>209.33466970000001</v>
      </c>
      <c r="J276" s="176">
        <f>ROUND(I276*H276,2)</f>
        <v>418.67</v>
      </c>
      <c r="K276" s="172" t="s">
        <v>293</v>
      </c>
      <c r="L276" s="198">
        <f>S276</f>
        <v>0</v>
      </c>
      <c r="M276" s="206">
        <f>ROUND(L276*I276,2)</f>
        <v>0</v>
      </c>
      <c r="N276" s="211"/>
      <c r="O276" s="212">
        <f>ROUND(N276*I276,2)</f>
        <v>0</v>
      </c>
      <c r="P276" s="207">
        <f>H276-L276-N276</f>
        <v>2</v>
      </c>
      <c r="Q276" s="228">
        <f>ROUND(P276*I276,2)</f>
        <v>418.67</v>
      </c>
      <c r="R276" s="199"/>
      <c r="S276" s="200">
        <f>W276+Y276+AA276+AC276+AE276+AG276+AI276+AK276+AM276+AO276+AQ276+AS276+AU276+AW276</f>
        <v>0</v>
      </c>
      <c r="T276" s="200">
        <f>ROUND(S276*I276,2)</f>
        <v>0</v>
      </c>
      <c r="U276" s="200">
        <f>H276-S276</f>
        <v>2</v>
      </c>
      <c r="V276" s="200">
        <f>ROUND(U276*I276,2)</f>
        <v>418.67</v>
      </c>
      <c r="W276" s="203"/>
      <c r="X276" s="203"/>
      <c r="Y276" s="201"/>
      <c r="Z276" s="200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77" t="s">
        <v>1</v>
      </c>
      <c r="CX276" s="178" t="s">
        <v>40</v>
      </c>
      <c r="CZ276" s="134">
        <f>CY276*H276</f>
        <v>0</v>
      </c>
      <c r="DA276" s="134">
        <v>2.8000000000000001E-2</v>
      </c>
      <c r="DB276" s="134">
        <f>DA276*H276</f>
        <v>5.6000000000000001E-2</v>
      </c>
      <c r="DC276" s="134">
        <v>0</v>
      </c>
      <c r="DD276" s="135">
        <f>DC276*H276</f>
        <v>0</v>
      </c>
      <c r="EB276" s="136" t="s">
        <v>328</v>
      </c>
      <c r="ED276" s="136" t="s">
        <v>439</v>
      </c>
      <c r="EE276" s="136" t="s">
        <v>83</v>
      </c>
      <c r="EI276" s="16" t="s">
        <v>282</v>
      </c>
      <c r="EO276" s="137">
        <f>IF(CX276="základní",J276,0)</f>
        <v>418.67</v>
      </c>
      <c r="EP276" s="137">
        <f>IF(CX276="snížená",J276,0)</f>
        <v>0</v>
      </c>
      <c r="EQ276" s="137">
        <f>IF(CX276="zákl. přenesená",J276,0)</f>
        <v>0</v>
      </c>
      <c r="ER276" s="137">
        <f>IF(CX276="sníž. přenesená",J276,0)</f>
        <v>0</v>
      </c>
      <c r="ES276" s="137">
        <f>IF(CX276="nulová",J276,0)</f>
        <v>0</v>
      </c>
      <c r="ET276" s="16" t="s">
        <v>81</v>
      </c>
      <c r="EU276" s="137">
        <f>ROUND(I276*H276,2)</f>
        <v>418.67</v>
      </c>
      <c r="EV276" s="16" t="s">
        <v>95</v>
      </c>
      <c r="EW276" s="136" t="s">
        <v>492</v>
      </c>
    </row>
    <row r="277" spans="2:153" s="1" customFormat="1" x14ac:dyDescent="0.2">
      <c r="B277" s="31"/>
      <c r="D277" s="138" t="s">
        <v>289</v>
      </c>
      <c r="F277" s="139" t="s">
        <v>491</v>
      </c>
      <c r="I277" s="140"/>
      <c r="L277" s="31"/>
      <c r="N277" s="213"/>
      <c r="O277" s="214"/>
      <c r="Q277" s="229"/>
      <c r="CW277" s="141"/>
      <c r="DD277" s="50"/>
      <c r="ED277" s="16" t="s">
        <v>289</v>
      </c>
      <c r="EE277" s="16" t="s">
        <v>83</v>
      </c>
    </row>
    <row r="278" spans="2:153" s="1" customFormat="1" ht="24.2" customHeight="1" x14ac:dyDescent="0.2">
      <c r="B278" s="124"/>
      <c r="C278" s="170" t="s">
        <v>493</v>
      </c>
      <c r="D278" s="170" t="s">
        <v>439</v>
      </c>
      <c r="E278" s="171" t="s">
        <v>494</v>
      </c>
      <c r="F278" s="172" t="s">
        <v>495</v>
      </c>
      <c r="G278" s="173" t="s">
        <v>485</v>
      </c>
      <c r="H278" s="174">
        <v>5</v>
      </c>
      <c r="I278" s="130">
        <v>244.3816506</v>
      </c>
      <c r="J278" s="176">
        <f>ROUND(I278*H278,2)</f>
        <v>1221.9100000000001</v>
      </c>
      <c r="K278" s="172" t="s">
        <v>293</v>
      </c>
      <c r="L278" s="198">
        <f>S278</f>
        <v>0</v>
      </c>
      <c r="M278" s="206">
        <f>ROUND(L278*I278,2)</f>
        <v>0</v>
      </c>
      <c r="N278" s="211"/>
      <c r="O278" s="212">
        <f>ROUND(N278*I278,2)</f>
        <v>0</v>
      </c>
      <c r="P278" s="207">
        <f>H278-L278-N278</f>
        <v>5</v>
      </c>
      <c r="Q278" s="228">
        <f>ROUND(P278*I278,2)</f>
        <v>1221.9100000000001</v>
      </c>
      <c r="R278" s="199"/>
      <c r="S278" s="200">
        <f>W278+Y278+AA278+AC278+AE278+AG278+AI278+AK278+AM278+AO278+AQ278+AS278+AU278+AW278</f>
        <v>0</v>
      </c>
      <c r="T278" s="200">
        <f>ROUND(S278*I278,2)</f>
        <v>0</v>
      </c>
      <c r="U278" s="200">
        <f>H278-S278</f>
        <v>5</v>
      </c>
      <c r="V278" s="200">
        <f>ROUND(U278*I278,2)</f>
        <v>1221.9100000000001</v>
      </c>
      <c r="W278" s="203"/>
      <c r="X278" s="203"/>
      <c r="Y278" s="201"/>
      <c r="Z278" s="200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77" t="s">
        <v>1</v>
      </c>
      <c r="CX278" s="178" t="s">
        <v>40</v>
      </c>
      <c r="CZ278" s="134">
        <f>CY278*H278</f>
        <v>0</v>
      </c>
      <c r="DA278" s="134">
        <v>0.04</v>
      </c>
      <c r="DB278" s="134">
        <f>DA278*H278</f>
        <v>0.2</v>
      </c>
      <c r="DC278" s="134">
        <v>0</v>
      </c>
      <c r="DD278" s="135">
        <f>DC278*H278</f>
        <v>0</v>
      </c>
      <c r="EB278" s="136" t="s">
        <v>328</v>
      </c>
      <c r="ED278" s="136" t="s">
        <v>439</v>
      </c>
      <c r="EE278" s="136" t="s">
        <v>83</v>
      </c>
      <c r="EI278" s="16" t="s">
        <v>282</v>
      </c>
      <c r="EO278" s="137">
        <f>IF(CX278="základní",J278,0)</f>
        <v>1221.9100000000001</v>
      </c>
      <c r="EP278" s="137">
        <f>IF(CX278="snížená",J278,0)</f>
        <v>0</v>
      </c>
      <c r="EQ278" s="137">
        <f>IF(CX278="zákl. přenesená",J278,0)</f>
        <v>0</v>
      </c>
      <c r="ER278" s="137">
        <f>IF(CX278="sníž. přenesená",J278,0)</f>
        <v>0</v>
      </c>
      <c r="ES278" s="137">
        <f>IF(CX278="nulová",J278,0)</f>
        <v>0</v>
      </c>
      <c r="ET278" s="16" t="s">
        <v>81</v>
      </c>
      <c r="EU278" s="137">
        <f>ROUND(I278*H278,2)</f>
        <v>1221.9100000000001</v>
      </c>
      <c r="EV278" s="16" t="s">
        <v>95</v>
      </c>
      <c r="EW278" s="136" t="s">
        <v>496</v>
      </c>
    </row>
    <row r="279" spans="2:153" s="1" customFormat="1" x14ac:dyDescent="0.2">
      <c r="B279" s="31"/>
      <c r="D279" s="138" t="s">
        <v>289</v>
      </c>
      <c r="F279" s="139" t="s">
        <v>495</v>
      </c>
      <c r="I279" s="140"/>
      <c r="L279" s="31"/>
      <c r="N279" s="213"/>
      <c r="O279" s="214"/>
      <c r="Q279" s="229"/>
      <c r="CW279" s="141"/>
      <c r="DD279" s="50"/>
      <c r="ED279" s="16" t="s">
        <v>289</v>
      </c>
      <c r="EE279" s="16" t="s">
        <v>83</v>
      </c>
    </row>
    <row r="280" spans="2:153" s="1" customFormat="1" ht="24.2" customHeight="1" x14ac:dyDescent="0.2">
      <c r="B280" s="124"/>
      <c r="C280" s="170" t="s">
        <v>497</v>
      </c>
      <c r="D280" s="170" t="s">
        <v>439</v>
      </c>
      <c r="E280" s="171" t="s">
        <v>498</v>
      </c>
      <c r="F280" s="172" t="s">
        <v>499</v>
      </c>
      <c r="G280" s="173" t="s">
        <v>485</v>
      </c>
      <c r="H280" s="174">
        <v>6</v>
      </c>
      <c r="I280" s="130">
        <v>292.68965129999998</v>
      </c>
      <c r="J280" s="176">
        <f>ROUND(I280*H280,2)</f>
        <v>1756.14</v>
      </c>
      <c r="K280" s="172" t="s">
        <v>293</v>
      </c>
      <c r="L280" s="198">
        <f>S280</f>
        <v>0</v>
      </c>
      <c r="M280" s="206">
        <f>ROUND(L280*I280,2)</f>
        <v>0</v>
      </c>
      <c r="N280" s="211"/>
      <c r="O280" s="212">
        <f>ROUND(N280*I280,2)</f>
        <v>0</v>
      </c>
      <c r="P280" s="207">
        <f>H280-L280-N280</f>
        <v>6</v>
      </c>
      <c r="Q280" s="228">
        <f>ROUND(P280*I280,2)</f>
        <v>1756.14</v>
      </c>
      <c r="R280" s="199"/>
      <c r="S280" s="200">
        <f>W280+Y280+AA280+AC280+AE280+AG280+AI280+AK280+AM280+AO280+AQ280+AS280+AU280+AW280</f>
        <v>0</v>
      </c>
      <c r="T280" s="200">
        <f>ROUND(S280*I280,2)</f>
        <v>0</v>
      </c>
      <c r="U280" s="200">
        <f>H280-S280</f>
        <v>6</v>
      </c>
      <c r="V280" s="200">
        <f>ROUND(U280*I280,2)</f>
        <v>1756.14</v>
      </c>
      <c r="W280" s="203"/>
      <c r="X280" s="203"/>
      <c r="Y280" s="201"/>
      <c r="Z280" s="200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77" t="s">
        <v>1</v>
      </c>
      <c r="CX280" s="178" t="s">
        <v>40</v>
      </c>
      <c r="CZ280" s="134">
        <f>CY280*H280</f>
        <v>0</v>
      </c>
      <c r="DA280" s="134">
        <v>5.0999999999999997E-2</v>
      </c>
      <c r="DB280" s="134">
        <f>DA280*H280</f>
        <v>0.30599999999999999</v>
      </c>
      <c r="DC280" s="134">
        <v>0</v>
      </c>
      <c r="DD280" s="135">
        <f>DC280*H280</f>
        <v>0</v>
      </c>
      <c r="EB280" s="136" t="s">
        <v>328</v>
      </c>
      <c r="ED280" s="136" t="s">
        <v>439</v>
      </c>
      <c r="EE280" s="136" t="s">
        <v>83</v>
      </c>
      <c r="EI280" s="16" t="s">
        <v>282</v>
      </c>
      <c r="EO280" s="137">
        <f>IF(CX280="základní",J280,0)</f>
        <v>1756.14</v>
      </c>
      <c r="EP280" s="137">
        <f>IF(CX280="snížená",J280,0)</f>
        <v>0</v>
      </c>
      <c r="EQ280" s="137">
        <f>IF(CX280="zákl. přenesená",J280,0)</f>
        <v>0</v>
      </c>
      <c r="ER280" s="137">
        <f>IF(CX280="sníž. přenesená",J280,0)</f>
        <v>0</v>
      </c>
      <c r="ES280" s="137">
        <f>IF(CX280="nulová",J280,0)</f>
        <v>0</v>
      </c>
      <c r="ET280" s="16" t="s">
        <v>81</v>
      </c>
      <c r="EU280" s="137">
        <f>ROUND(I280*H280,2)</f>
        <v>1756.14</v>
      </c>
      <c r="EV280" s="16" t="s">
        <v>95</v>
      </c>
      <c r="EW280" s="136" t="s">
        <v>500</v>
      </c>
    </row>
    <row r="281" spans="2:153" s="1" customFormat="1" x14ac:dyDescent="0.2">
      <c r="B281" s="31"/>
      <c r="D281" s="138" t="s">
        <v>289</v>
      </c>
      <c r="F281" s="139" t="s">
        <v>499</v>
      </c>
      <c r="I281" s="140"/>
      <c r="L281" s="31"/>
      <c r="N281" s="213"/>
      <c r="O281" s="214"/>
      <c r="Q281" s="229"/>
      <c r="CW281" s="141"/>
      <c r="DD281" s="50"/>
      <c r="ED281" s="16" t="s">
        <v>289</v>
      </c>
      <c r="EE281" s="16" t="s">
        <v>83</v>
      </c>
    </row>
    <row r="282" spans="2:153" s="1" customFormat="1" ht="24.2" customHeight="1" x14ac:dyDescent="0.2">
      <c r="B282" s="124"/>
      <c r="C282" s="170" t="s">
        <v>501</v>
      </c>
      <c r="D282" s="170" t="s">
        <v>439</v>
      </c>
      <c r="E282" s="171" t="s">
        <v>502</v>
      </c>
      <c r="F282" s="172" t="s">
        <v>503</v>
      </c>
      <c r="G282" s="173" t="s">
        <v>485</v>
      </c>
      <c r="H282" s="174">
        <v>15</v>
      </c>
      <c r="I282" s="130">
        <v>314.47561239999999</v>
      </c>
      <c r="J282" s="176">
        <f>ROUND(I282*H282,2)</f>
        <v>4717.13</v>
      </c>
      <c r="K282" s="172" t="s">
        <v>293</v>
      </c>
      <c r="L282" s="198">
        <f>S282</f>
        <v>0</v>
      </c>
      <c r="M282" s="206">
        <f>ROUND(L282*I282,2)</f>
        <v>0</v>
      </c>
      <c r="N282" s="211"/>
      <c r="O282" s="212">
        <f>ROUND(N282*I282,2)</f>
        <v>0</v>
      </c>
      <c r="P282" s="207">
        <f>H282-L282-N282</f>
        <v>15</v>
      </c>
      <c r="Q282" s="228">
        <f>ROUND(P282*I282,2)</f>
        <v>4717.13</v>
      </c>
      <c r="R282" s="199"/>
      <c r="S282" s="200">
        <f>W282+Y282+AA282+AC282+AE282+AG282+AI282+AK282+AM282+AO282+AQ282+AS282+AU282+AW282</f>
        <v>0</v>
      </c>
      <c r="T282" s="200">
        <f>ROUND(S282*I282,2)</f>
        <v>0</v>
      </c>
      <c r="U282" s="200">
        <f>H282-S282</f>
        <v>15</v>
      </c>
      <c r="V282" s="200">
        <f>ROUND(U282*I282,2)</f>
        <v>4717.13</v>
      </c>
      <c r="W282" s="203"/>
      <c r="X282" s="203"/>
      <c r="Y282" s="201"/>
      <c r="Z282" s="200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77" t="s">
        <v>1</v>
      </c>
      <c r="CX282" s="178" t="s">
        <v>40</v>
      </c>
      <c r="CZ282" s="134">
        <f>CY282*H282</f>
        <v>0</v>
      </c>
      <c r="DA282" s="134">
        <v>6.8000000000000005E-2</v>
      </c>
      <c r="DB282" s="134">
        <f>DA282*H282</f>
        <v>1.02</v>
      </c>
      <c r="DC282" s="134">
        <v>0</v>
      </c>
      <c r="DD282" s="135">
        <f>DC282*H282</f>
        <v>0</v>
      </c>
      <c r="EB282" s="136" t="s">
        <v>328</v>
      </c>
      <c r="ED282" s="136" t="s">
        <v>439</v>
      </c>
      <c r="EE282" s="136" t="s">
        <v>83</v>
      </c>
      <c r="EI282" s="16" t="s">
        <v>282</v>
      </c>
      <c r="EO282" s="137">
        <f>IF(CX282="základní",J282,0)</f>
        <v>4717.13</v>
      </c>
      <c r="EP282" s="137">
        <f>IF(CX282="snížená",J282,0)</f>
        <v>0</v>
      </c>
      <c r="EQ282" s="137">
        <f>IF(CX282="zákl. přenesená",J282,0)</f>
        <v>0</v>
      </c>
      <c r="ER282" s="137">
        <f>IF(CX282="sníž. přenesená",J282,0)</f>
        <v>0</v>
      </c>
      <c r="ES282" s="137">
        <f>IF(CX282="nulová",J282,0)</f>
        <v>0</v>
      </c>
      <c r="ET282" s="16" t="s">
        <v>81</v>
      </c>
      <c r="EU282" s="137">
        <f>ROUND(I282*H282,2)</f>
        <v>4717.13</v>
      </c>
      <c r="EV282" s="16" t="s">
        <v>95</v>
      </c>
      <c r="EW282" s="136" t="s">
        <v>504</v>
      </c>
    </row>
    <row r="283" spans="2:153" s="1" customFormat="1" x14ac:dyDescent="0.2">
      <c r="B283" s="31"/>
      <c r="D283" s="138" t="s">
        <v>289</v>
      </c>
      <c r="F283" s="139" t="s">
        <v>503</v>
      </c>
      <c r="I283" s="140"/>
      <c r="L283" s="31"/>
      <c r="N283" s="213"/>
      <c r="O283" s="214"/>
      <c r="Q283" s="229"/>
      <c r="CW283" s="141"/>
      <c r="DD283" s="50"/>
      <c r="ED283" s="16" t="s">
        <v>289</v>
      </c>
      <c r="EE283" s="16" t="s">
        <v>83</v>
      </c>
    </row>
    <row r="284" spans="2:153" s="1" customFormat="1" ht="26.25" customHeight="1" x14ac:dyDescent="0.2">
      <c r="B284" s="124"/>
      <c r="C284" s="125" t="s">
        <v>505</v>
      </c>
      <c r="D284" s="125" t="s">
        <v>284</v>
      </c>
      <c r="E284" s="126" t="s">
        <v>506</v>
      </c>
      <c r="F284" s="127" t="s">
        <v>507</v>
      </c>
      <c r="G284" s="128" t="s">
        <v>485</v>
      </c>
      <c r="H284" s="129">
        <v>14</v>
      </c>
      <c r="I284" s="130">
        <v>217.77896833494168</v>
      </c>
      <c r="J284" s="131">
        <f>ROUND(I284*H284,2)</f>
        <v>3048.91</v>
      </c>
      <c r="K284" s="127" t="s">
        <v>293</v>
      </c>
      <c r="L284" s="198">
        <f>S284</f>
        <v>0</v>
      </c>
      <c r="M284" s="206">
        <f>ROUND(L284*I284,2)</f>
        <v>0</v>
      </c>
      <c r="N284" s="211"/>
      <c r="O284" s="212">
        <f>ROUND(N284*I284,2)</f>
        <v>0</v>
      </c>
      <c r="P284" s="207">
        <f>H284-L284-N284</f>
        <v>14</v>
      </c>
      <c r="Q284" s="228">
        <f>ROUND(P284*I284,2)</f>
        <v>3048.91</v>
      </c>
      <c r="R284" s="199"/>
      <c r="S284" s="200">
        <f>W284+Y284+AA284+AC284+AE284+AG284+AI284+AK284+AM284+AO284+AQ284+AS284+AU284+AW284</f>
        <v>0</v>
      </c>
      <c r="T284" s="200">
        <f>ROUND(S284*I284,2)</f>
        <v>0</v>
      </c>
      <c r="U284" s="200">
        <f>H284-S284</f>
        <v>14</v>
      </c>
      <c r="V284" s="200">
        <f>ROUND(U284*I284,2)</f>
        <v>3048.91</v>
      </c>
      <c r="W284" s="203"/>
      <c r="X284" s="203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200"/>
      <c r="AT284" s="200"/>
      <c r="AU284" s="200"/>
      <c r="AV284" s="200"/>
      <c r="AW284" s="200"/>
      <c r="AX284" s="200"/>
      <c r="CW284" s="132" t="s">
        <v>1</v>
      </c>
      <c r="CX284" s="133" t="s">
        <v>40</v>
      </c>
      <c r="CZ284" s="134">
        <f>CY284*H284</f>
        <v>0</v>
      </c>
      <c r="DA284" s="134">
        <v>6.6E-3</v>
      </c>
      <c r="DB284" s="134">
        <f>DA284*H284</f>
        <v>9.2399999999999996E-2</v>
      </c>
      <c r="DC284" s="134">
        <v>0</v>
      </c>
      <c r="DD284" s="135">
        <f>DC284*H284</f>
        <v>0</v>
      </c>
      <c r="EB284" s="136" t="s">
        <v>95</v>
      </c>
      <c r="ED284" s="136" t="s">
        <v>284</v>
      </c>
      <c r="EE284" s="136" t="s">
        <v>83</v>
      </c>
      <c r="EI284" s="16" t="s">
        <v>282</v>
      </c>
      <c r="EO284" s="137">
        <f>IF(CX284="základní",J284,0)</f>
        <v>3048.91</v>
      </c>
      <c r="EP284" s="137">
        <f>IF(CX284="snížená",J284,0)</f>
        <v>0</v>
      </c>
      <c r="EQ284" s="137">
        <f>IF(CX284="zákl. přenesená",J284,0)</f>
        <v>0</v>
      </c>
      <c r="ER284" s="137">
        <f>IF(CX284="sníž. přenesená",J284,0)</f>
        <v>0</v>
      </c>
      <c r="ES284" s="137">
        <f>IF(CX284="nulová",J284,0)</f>
        <v>0</v>
      </c>
      <c r="ET284" s="16" t="s">
        <v>81</v>
      </c>
      <c r="EU284" s="137">
        <f>ROUND(I284*H284,2)</f>
        <v>3048.91</v>
      </c>
      <c r="EV284" s="16" t="s">
        <v>95</v>
      </c>
      <c r="EW284" s="136" t="s">
        <v>508</v>
      </c>
    </row>
    <row r="285" spans="2:153" s="1" customFormat="1" ht="19.5" x14ac:dyDescent="0.2">
      <c r="B285" s="31"/>
      <c r="D285" s="138" t="s">
        <v>289</v>
      </c>
      <c r="F285" s="139" t="s">
        <v>509</v>
      </c>
      <c r="I285" s="140"/>
      <c r="L285" s="31"/>
      <c r="N285" s="213"/>
      <c r="O285" s="214"/>
      <c r="Q285" s="229"/>
      <c r="CW285" s="141"/>
      <c r="DD285" s="50"/>
      <c r="ED285" s="16" t="s">
        <v>289</v>
      </c>
      <c r="EE285" s="16" t="s">
        <v>83</v>
      </c>
    </row>
    <row r="286" spans="2:153" s="1" customFormat="1" ht="19.5" x14ac:dyDescent="0.2">
      <c r="B286" s="31"/>
      <c r="D286" s="138" t="s">
        <v>299</v>
      </c>
      <c r="F286" s="142" t="s">
        <v>317</v>
      </c>
      <c r="I286" s="140"/>
      <c r="L286" s="31"/>
      <c r="N286" s="213"/>
      <c r="O286" s="214"/>
      <c r="Q286" s="229"/>
      <c r="CW286" s="141"/>
      <c r="DD286" s="50"/>
      <c r="ED286" s="16" t="s">
        <v>299</v>
      </c>
      <c r="EE286" s="16" t="s">
        <v>83</v>
      </c>
    </row>
    <row r="287" spans="2:153" s="12" customFormat="1" x14ac:dyDescent="0.2">
      <c r="B287" s="149"/>
      <c r="D287" s="138" t="s">
        <v>301</v>
      </c>
      <c r="E287" s="150" t="s">
        <v>1</v>
      </c>
      <c r="F287" s="151" t="s">
        <v>363</v>
      </c>
      <c r="H287" s="152">
        <v>14</v>
      </c>
      <c r="I287" s="153"/>
      <c r="L287" s="149"/>
      <c r="N287" s="217"/>
      <c r="O287" s="218"/>
      <c r="Q287" s="231"/>
      <c r="CW287" s="154"/>
      <c r="DD287" s="155"/>
      <c r="ED287" s="150" t="s">
        <v>301</v>
      </c>
      <c r="EE287" s="150" t="s">
        <v>83</v>
      </c>
      <c r="EF287" s="12" t="s">
        <v>83</v>
      </c>
      <c r="EG287" s="12" t="s">
        <v>32</v>
      </c>
      <c r="EH287" s="12" t="s">
        <v>81</v>
      </c>
      <c r="EI287" s="150" t="s">
        <v>282</v>
      </c>
    </row>
    <row r="288" spans="2:153" s="1" customFormat="1" ht="24.2" customHeight="1" x14ac:dyDescent="0.2">
      <c r="B288" s="124"/>
      <c r="C288" s="170" t="s">
        <v>510</v>
      </c>
      <c r="D288" s="170" t="s">
        <v>439</v>
      </c>
      <c r="E288" s="171" t="s">
        <v>511</v>
      </c>
      <c r="F288" s="172" t="s">
        <v>512</v>
      </c>
      <c r="G288" s="173" t="s">
        <v>485</v>
      </c>
      <c r="H288" s="174">
        <v>14</v>
      </c>
      <c r="I288" s="130">
        <v>354.2586718</v>
      </c>
      <c r="J288" s="176">
        <f>ROUND(I288*H288,2)</f>
        <v>4959.62</v>
      </c>
      <c r="K288" s="172" t="s">
        <v>293</v>
      </c>
      <c r="L288" s="198">
        <f>S288</f>
        <v>0</v>
      </c>
      <c r="M288" s="206">
        <f>ROUND(L288*I288,2)</f>
        <v>0</v>
      </c>
      <c r="N288" s="211"/>
      <c r="O288" s="212">
        <f>ROUND(N288*I288,2)</f>
        <v>0</v>
      </c>
      <c r="P288" s="207">
        <f>H288-L288-N288</f>
        <v>14</v>
      </c>
      <c r="Q288" s="228">
        <f>ROUND(P288*I288,2)</f>
        <v>4959.62</v>
      </c>
      <c r="R288" s="199"/>
      <c r="S288" s="200">
        <f>W288+Y288+AA288+AC288+AE288+AG288+AI288+AK288+AM288+AO288+AQ288+AS288+AU288+AW288</f>
        <v>0</v>
      </c>
      <c r="T288" s="200">
        <f>ROUND(S288*I288,2)</f>
        <v>0</v>
      </c>
      <c r="U288" s="200">
        <f>H288-S288</f>
        <v>14</v>
      </c>
      <c r="V288" s="200">
        <f>ROUND(U288*I288,2)</f>
        <v>4959.62</v>
      </c>
      <c r="W288" s="203"/>
      <c r="X288" s="203"/>
      <c r="Y288" s="201"/>
      <c r="Z288" s="200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77" t="s">
        <v>1</v>
      </c>
      <c r="CX288" s="178" t="s">
        <v>40</v>
      </c>
      <c r="CZ288" s="134">
        <f>CY288*H288</f>
        <v>0</v>
      </c>
      <c r="DA288" s="134">
        <v>8.1000000000000003E-2</v>
      </c>
      <c r="DB288" s="134">
        <f>DA288*H288</f>
        <v>1.1340000000000001</v>
      </c>
      <c r="DC288" s="134">
        <v>0</v>
      </c>
      <c r="DD288" s="135">
        <f>DC288*H288</f>
        <v>0</v>
      </c>
      <c r="EB288" s="136" t="s">
        <v>328</v>
      </c>
      <c r="ED288" s="136" t="s">
        <v>439</v>
      </c>
      <c r="EE288" s="136" t="s">
        <v>83</v>
      </c>
      <c r="EI288" s="16" t="s">
        <v>282</v>
      </c>
      <c r="EO288" s="137">
        <f>IF(CX288="základní",J288,0)</f>
        <v>4959.62</v>
      </c>
      <c r="EP288" s="137">
        <f>IF(CX288="snížená",J288,0)</f>
        <v>0</v>
      </c>
      <c r="EQ288" s="137">
        <f>IF(CX288="zákl. přenesená",J288,0)</f>
        <v>0</v>
      </c>
      <c r="ER288" s="137">
        <f>IF(CX288="sníž. přenesená",J288,0)</f>
        <v>0</v>
      </c>
      <c r="ES288" s="137">
        <f>IF(CX288="nulová",J288,0)</f>
        <v>0</v>
      </c>
      <c r="ET288" s="16" t="s">
        <v>81</v>
      </c>
      <c r="EU288" s="137">
        <f>ROUND(I288*H288,2)</f>
        <v>4959.62</v>
      </c>
      <c r="EV288" s="16" t="s">
        <v>95</v>
      </c>
      <c r="EW288" s="136" t="s">
        <v>513</v>
      </c>
    </row>
    <row r="289" spans="2:153" s="1" customFormat="1" x14ac:dyDescent="0.2">
      <c r="B289" s="31"/>
      <c r="D289" s="138" t="s">
        <v>289</v>
      </c>
      <c r="F289" s="139" t="s">
        <v>512</v>
      </c>
      <c r="I289" s="140"/>
      <c r="L289" s="31"/>
      <c r="N289" s="213"/>
      <c r="O289" s="214"/>
      <c r="Q289" s="229"/>
      <c r="CW289" s="141"/>
      <c r="DD289" s="50"/>
      <c r="ED289" s="16" t="s">
        <v>289</v>
      </c>
      <c r="EE289" s="16" t="s">
        <v>83</v>
      </c>
    </row>
    <row r="290" spans="2:153" s="1" customFormat="1" ht="24.2" customHeight="1" x14ac:dyDescent="0.2">
      <c r="B290" s="124"/>
      <c r="C290" s="125" t="s">
        <v>514</v>
      </c>
      <c r="D290" s="125" t="s">
        <v>284</v>
      </c>
      <c r="E290" s="126" t="s">
        <v>515</v>
      </c>
      <c r="F290" s="127" t="s">
        <v>516</v>
      </c>
      <c r="G290" s="128" t="s">
        <v>366</v>
      </c>
      <c r="H290" s="129">
        <v>8.1</v>
      </c>
      <c r="I290" s="130">
        <v>2895.0660868876225</v>
      </c>
      <c r="J290" s="131">
        <f>ROUND(I290*H290,2)</f>
        <v>23450.04</v>
      </c>
      <c r="K290" s="127" t="s">
        <v>293</v>
      </c>
      <c r="L290" s="198">
        <f>S290</f>
        <v>0</v>
      </c>
      <c r="M290" s="206">
        <f>ROUND(L290*I290,2)</f>
        <v>0</v>
      </c>
      <c r="N290" s="211"/>
      <c r="O290" s="212">
        <f>ROUND(N290*I290,2)</f>
        <v>0</v>
      </c>
      <c r="P290" s="207">
        <f>H290-L290-N290</f>
        <v>8.1</v>
      </c>
      <c r="Q290" s="228">
        <f>ROUND(P290*I290,2)</f>
        <v>23450.04</v>
      </c>
      <c r="R290" s="199"/>
      <c r="S290" s="200">
        <f>W290+Y290+AA290+AC290+AE290+AG290+AI290+AK290+AM290+AO290+AQ290+AS290+AU290+AW290</f>
        <v>0</v>
      </c>
      <c r="T290" s="200">
        <f>ROUND(S290*I290,2)</f>
        <v>0</v>
      </c>
      <c r="U290" s="200">
        <f>H290-S290</f>
        <v>8.1</v>
      </c>
      <c r="V290" s="200">
        <f>ROUND(U290*I290,2)</f>
        <v>23450.04</v>
      </c>
      <c r="W290" s="203"/>
      <c r="X290" s="203"/>
      <c r="Y290" s="200"/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0"/>
      <c r="AP290" s="200"/>
      <c r="AQ290" s="200"/>
      <c r="AR290" s="200"/>
      <c r="AS290" s="200"/>
      <c r="AT290" s="200"/>
      <c r="AU290" s="200"/>
      <c r="AV290" s="200"/>
      <c r="AW290" s="200"/>
      <c r="AX290" s="200"/>
      <c r="CW290" s="132" t="s">
        <v>1</v>
      </c>
      <c r="CX290" s="133" t="s">
        <v>40</v>
      </c>
      <c r="CZ290" s="134">
        <f>CY290*H290</f>
        <v>0</v>
      </c>
      <c r="DA290" s="134">
        <v>0</v>
      </c>
      <c r="DB290" s="134">
        <f>DA290*H290</f>
        <v>0</v>
      </c>
      <c r="DC290" s="134">
        <v>0</v>
      </c>
      <c r="DD290" s="135">
        <f>DC290*H290</f>
        <v>0</v>
      </c>
      <c r="EB290" s="136" t="s">
        <v>95</v>
      </c>
      <c r="ED290" s="136" t="s">
        <v>284</v>
      </c>
      <c r="EE290" s="136" t="s">
        <v>83</v>
      </c>
      <c r="EI290" s="16" t="s">
        <v>282</v>
      </c>
      <c r="EO290" s="137">
        <f>IF(CX290="základní",J290,0)</f>
        <v>23450.04</v>
      </c>
      <c r="EP290" s="137">
        <f>IF(CX290="snížená",J290,0)</f>
        <v>0</v>
      </c>
      <c r="EQ290" s="137">
        <f>IF(CX290="zákl. přenesená",J290,0)</f>
        <v>0</v>
      </c>
      <c r="ER290" s="137">
        <f>IF(CX290="sníž. přenesená",J290,0)</f>
        <v>0</v>
      </c>
      <c r="ES290" s="137">
        <f>IF(CX290="nulová",J290,0)</f>
        <v>0</v>
      </c>
      <c r="ET290" s="16" t="s">
        <v>81</v>
      </c>
      <c r="EU290" s="137">
        <f>ROUND(I290*H290,2)</f>
        <v>23450.04</v>
      </c>
      <c r="EV290" s="16" t="s">
        <v>95</v>
      </c>
      <c r="EW290" s="136" t="s">
        <v>517</v>
      </c>
    </row>
    <row r="291" spans="2:153" s="1" customFormat="1" ht="29.25" x14ac:dyDescent="0.2">
      <c r="B291" s="31"/>
      <c r="D291" s="138" t="s">
        <v>289</v>
      </c>
      <c r="F291" s="139" t="s">
        <v>518</v>
      </c>
      <c r="I291" s="140"/>
      <c r="L291" s="31"/>
      <c r="N291" s="213"/>
      <c r="O291" s="214"/>
      <c r="Q291" s="229"/>
      <c r="CW291" s="141"/>
      <c r="DD291" s="50"/>
      <c r="ED291" s="16" t="s">
        <v>289</v>
      </c>
      <c r="EE291" s="16" t="s">
        <v>83</v>
      </c>
    </row>
    <row r="292" spans="2:153" s="1" customFormat="1" ht="19.5" x14ac:dyDescent="0.2">
      <c r="B292" s="31"/>
      <c r="D292" s="138" t="s">
        <v>299</v>
      </c>
      <c r="F292" s="142" t="s">
        <v>317</v>
      </c>
      <c r="I292" s="140"/>
      <c r="L292" s="31"/>
      <c r="N292" s="213"/>
      <c r="O292" s="214"/>
      <c r="Q292" s="229"/>
      <c r="CW292" s="141"/>
      <c r="DD292" s="50"/>
      <c r="ED292" s="16" t="s">
        <v>299</v>
      </c>
      <c r="EE292" s="16" t="s">
        <v>83</v>
      </c>
    </row>
    <row r="293" spans="2:153" s="11" customFormat="1" x14ac:dyDescent="0.2">
      <c r="B293" s="143"/>
      <c r="D293" s="138" t="s">
        <v>301</v>
      </c>
      <c r="E293" s="144" t="s">
        <v>1</v>
      </c>
      <c r="F293" s="145" t="s">
        <v>480</v>
      </c>
      <c r="H293" s="144" t="s">
        <v>1</v>
      </c>
      <c r="I293" s="146"/>
      <c r="L293" s="143"/>
      <c r="N293" s="215"/>
      <c r="O293" s="216"/>
      <c r="Q293" s="230"/>
      <c r="CW293" s="147"/>
      <c r="DD293" s="148"/>
      <c r="ED293" s="144" t="s">
        <v>301</v>
      </c>
      <c r="EE293" s="144" t="s">
        <v>83</v>
      </c>
      <c r="EF293" s="11" t="s">
        <v>81</v>
      </c>
      <c r="EG293" s="11" t="s">
        <v>32</v>
      </c>
      <c r="EH293" s="11" t="s">
        <v>74</v>
      </c>
      <c r="EI293" s="144" t="s">
        <v>282</v>
      </c>
    </row>
    <row r="294" spans="2:153" s="12" customFormat="1" x14ac:dyDescent="0.2">
      <c r="B294" s="149"/>
      <c r="D294" s="138" t="s">
        <v>301</v>
      </c>
      <c r="E294" s="150" t="s">
        <v>1</v>
      </c>
      <c r="F294" s="151" t="s">
        <v>519</v>
      </c>
      <c r="H294" s="152">
        <v>8.1</v>
      </c>
      <c r="I294" s="153"/>
      <c r="L294" s="149"/>
      <c r="N294" s="217"/>
      <c r="O294" s="218"/>
      <c r="Q294" s="231"/>
      <c r="CW294" s="154"/>
      <c r="DD294" s="155"/>
      <c r="ED294" s="150" t="s">
        <v>301</v>
      </c>
      <c r="EE294" s="150" t="s">
        <v>83</v>
      </c>
      <c r="EF294" s="12" t="s">
        <v>83</v>
      </c>
      <c r="EG294" s="12" t="s">
        <v>32</v>
      </c>
      <c r="EH294" s="12" t="s">
        <v>81</v>
      </c>
      <c r="EI294" s="150" t="s">
        <v>282</v>
      </c>
    </row>
    <row r="295" spans="2:153" s="10" customFormat="1" ht="22.9" customHeight="1" x14ac:dyDescent="0.2">
      <c r="B295" s="112"/>
      <c r="D295" s="113" t="s">
        <v>73</v>
      </c>
      <c r="E295" s="122" t="s">
        <v>312</v>
      </c>
      <c r="F295" s="122" t="s">
        <v>520</v>
      </c>
      <c r="I295" s="115"/>
      <c r="J295" s="123">
        <f>EU295</f>
        <v>2640197.54</v>
      </c>
      <c r="L295" s="112"/>
      <c r="M295" s="202">
        <f>SUM(M296:M309)</f>
        <v>0</v>
      </c>
      <c r="N295" s="223"/>
      <c r="O295" s="224">
        <f t="shared" ref="O295:V295" si="2">SUM(O296:O309)</f>
        <v>-390.12</v>
      </c>
      <c r="P295" s="202"/>
      <c r="Q295" s="234">
        <f t="shared" si="2"/>
        <v>2640587.66</v>
      </c>
      <c r="R295" s="202"/>
      <c r="S295" s="202"/>
      <c r="T295" s="202">
        <f t="shared" si="2"/>
        <v>0</v>
      </c>
      <c r="U295" s="202"/>
      <c r="V295" s="202">
        <f t="shared" si="2"/>
        <v>2640197.54</v>
      </c>
      <c r="W295" s="202"/>
      <c r="X295" s="202"/>
      <c r="Y295" s="202"/>
      <c r="Z295" s="202"/>
      <c r="CW295" s="117"/>
      <c r="CZ295" s="118">
        <f>SUM(CZ296:CZ313)</f>
        <v>0</v>
      </c>
      <c r="DB295" s="118">
        <f>SUM(DB296:DB313)</f>
        <v>0</v>
      </c>
      <c r="DD295" s="119">
        <f>SUM(DD296:DD313)</f>
        <v>0</v>
      </c>
      <c r="EB295" s="113" t="s">
        <v>81</v>
      </c>
      <c r="ED295" s="120" t="s">
        <v>73</v>
      </c>
      <c r="EE295" s="120" t="s">
        <v>81</v>
      </c>
      <c r="EI295" s="113" t="s">
        <v>282</v>
      </c>
      <c r="EU295" s="121">
        <f>SUM(EU296:EU313)</f>
        <v>2640197.54</v>
      </c>
    </row>
    <row r="296" spans="2:153" s="1" customFormat="1" ht="24.2" customHeight="1" x14ac:dyDescent="0.2">
      <c r="B296" s="124"/>
      <c r="C296" s="125" t="s">
        <v>521</v>
      </c>
      <c r="D296" s="125" t="s">
        <v>284</v>
      </c>
      <c r="E296" s="126" t="s">
        <v>522</v>
      </c>
      <c r="F296" s="127" t="s">
        <v>523</v>
      </c>
      <c r="G296" s="128" t="s">
        <v>287</v>
      </c>
      <c r="H296" s="129">
        <v>1140.1199999999999</v>
      </c>
      <c r="I296" s="130">
        <v>130.95617506780872</v>
      </c>
      <c r="J296" s="131">
        <f>ROUND(I296*H296,2)</f>
        <v>149305.75</v>
      </c>
      <c r="K296" s="127" t="s">
        <v>293</v>
      </c>
      <c r="L296" s="198">
        <f>S296</f>
        <v>0</v>
      </c>
      <c r="M296" s="206">
        <f>ROUND(L296*I296,2)</f>
        <v>0</v>
      </c>
      <c r="N296" s="211">
        <v>-0.157</v>
      </c>
      <c r="O296" s="212">
        <f>ROUND(N296*I296,2)</f>
        <v>-20.56</v>
      </c>
      <c r="P296" s="207">
        <f>H296-L296-N296</f>
        <v>1140.2769999999998</v>
      </c>
      <c r="Q296" s="228">
        <f>ROUND(P296*I296,2)</f>
        <v>149326.31</v>
      </c>
      <c r="R296" s="199"/>
      <c r="S296" s="200">
        <f>W296+Y296+AA296+AC296+AE296+AG296+AI296+AK296+AM296+AO296+AQ296+AS296+AU296+AW296</f>
        <v>0</v>
      </c>
      <c r="T296" s="200">
        <f>ROUND(S296*I296,2)</f>
        <v>0</v>
      </c>
      <c r="U296" s="200">
        <f>H296-S296</f>
        <v>1140.1199999999999</v>
      </c>
      <c r="V296" s="200">
        <f>ROUND(U296*I296,2)</f>
        <v>149305.75</v>
      </c>
      <c r="W296" s="203"/>
      <c r="X296" s="203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0"/>
      <c r="AP296" s="200"/>
      <c r="AQ296" s="200"/>
      <c r="AR296" s="200"/>
      <c r="AS296" s="200"/>
      <c r="AT296" s="200"/>
      <c r="AU296" s="200"/>
      <c r="AV296" s="200"/>
      <c r="AW296" s="200"/>
      <c r="AX296" s="200"/>
      <c r="CW296" s="132" t="s">
        <v>1</v>
      </c>
      <c r="CX296" s="133" t="s">
        <v>40</v>
      </c>
      <c r="CZ296" s="134">
        <f>CY296*H296</f>
        <v>0</v>
      </c>
      <c r="DA296" s="134">
        <v>0</v>
      </c>
      <c r="DB296" s="134">
        <f>DA296*H296</f>
        <v>0</v>
      </c>
      <c r="DC296" s="134">
        <v>0</v>
      </c>
      <c r="DD296" s="135">
        <f>DC296*H296</f>
        <v>0</v>
      </c>
      <c r="EB296" s="136" t="s">
        <v>95</v>
      </c>
      <c r="ED296" s="136" t="s">
        <v>284</v>
      </c>
      <c r="EE296" s="136" t="s">
        <v>83</v>
      </c>
      <c r="EI296" s="16" t="s">
        <v>282</v>
      </c>
      <c r="EO296" s="137">
        <f>IF(CX296="základní",J296,0)</f>
        <v>149305.75</v>
      </c>
      <c r="EP296" s="137">
        <f>IF(CX296="snížená",J296,0)</f>
        <v>0</v>
      </c>
      <c r="EQ296" s="137">
        <f>IF(CX296="zákl. přenesená",J296,0)</f>
        <v>0</v>
      </c>
      <c r="ER296" s="137">
        <f>IF(CX296="sníž. přenesená",J296,0)</f>
        <v>0</v>
      </c>
      <c r="ES296" s="137">
        <f>IF(CX296="nulová",J296,0)</f>
        <v>0</v>
      </c>
      <c r="ET296" s="16" t="s">
        <v>81</v>
      </c>
      <c r="EU296" s="137">
        <f>ROUND(I296*H296,2)</f>
        <v>149305.75</v>
      </c>
      <c r="EV296" s="16" t="s">
        <v>95</v>
      </c>
      <c r="EW296" s="136" t="s">
        <v>524</v>
      </c>
    </row>
    <row r="297" spans="2:153" s="1" customFormat="1" ht="19.5" x14ac:dyDescent="0.2">
      <c r="B297" s="31"/>
      <c r="D297" s="138" t="s">
        <v>289</v>
      </c>
      <c r="F297" s="139" t="s">
        <v>525</v>
      </c>
      <c r="I297" s="140"/>
      <c r="L297" s="31"/>
      <c r="N297" s="213"/>
      <c r="O297" s="214"/>
      <c r="Q297" s="229"/>
      <c r="CW297" s="141"/>
      <c r="DD297" s="50"/>
      <c r="ED297" s="16" t="s">
        <v>289</v>
      </c>
      <c r="EE297" s="16" t="s">
        <v>83</v>
      </c>
    </row>
    <row r="298" spans="2:153" s="1" customFormat="1" ht="14.45" customHeight="1" x14ac:dyDescent="0.2">
      <c r="B298" s="124"/>
      <c r="C298" s="125" t="s">
        <v>526</v>
      </c>
      <c r="D298" s="125" t="s">
        <v>284</v>
      </c>
      <c r="E298" s="126" t="s">
        <v>527</v>
      </c>
      <c r="F298" s="127" t="s">
        <v>528</v>
      </c>
      <c r="G298" s="128" t="s">
        <v>287</v>
      </c>
      <c r="H298" s="129">
        <v>1140.1199999999999</v>
      </c>
      <c r="I298" s="130">
        <v>200.20823792465458</v>
      </c>
      <c r="J298" s="131">
        <f>ROUND(I298*H298,2)</f>
        <v>228261.42</v>
      </c>
      <c r="K298" s="127" t="s">
        <v>293</v>
      </c>
      <c r="L298" s="198">
        <f>S298</f>
        <v>0</v>
      </c>
      <c r="M298" s="206">
        <f>ROUND(L298*I298,2)</f>
        <v>0</v>
      </c>
      <c r="N298" s="211">
        <v>-0.157</v>
      </c>
      <c r="O298" s="212">
        <f>ROUND(N298*I298,2)</f>
        <v>-31.43</v>
      </c>
      <c r="P298" s="207">
        <f>H298-L298-N298</f>
        <v>1140.2769999999998</v>
      </c>
      <c r="Q298" s="228">
        <f>ROUND(P298*I298,2)</f>
        <v>228292.85</v>
      </c>
      <c r="R298" s="199"/>
      <c r="S298" s="200">
        <f>W298+Y298+AA298+AC298+AE298+AG298+AI298+AK298+AM298+AO298+AQ298+AS298+AU298+AW298</f>
        <v>0</v>
      </c>
      <c r="T298" s="200">
        <f>ROUND(S298*I298,2)</f>
        <v>0</v>
      </c>
      <c r="U298" s="200">
        <f>H298-S298</f>
        <v>1140.1199999999999</v>
      </c>
      <c r="V298" s="200">
        <f>ROUND(U298*I298,2)</f>
        <v>228261.42</v>
      </c>
      <c r="W298" s="203"/>
      <c r="X298" s="203"/>
      <c r="Y298" s="200"/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0"/>
      <c r="AP298" s="200"/>
      <c r="AQ298" s="200"/>
      <c r="AR298" s="200"/>
      <c r="AS298" s="200"/>
      <c r="AT298" s="200"/>
      <c r="AU298" s="200"/>
      <c r="AV298" s="200"/>
      <c r="AW298" s="200"/>
      <c r="AX298" s="200"/>
      <c r="CW298" s="132" t="s">
        <v>1</v>
      </c>
      <c r="CX298" s="133" t="s">
        <v>40</v>
      </c>
      <c r="CZ298" s="134">
        <f>CY298*H298</f>
        <v>0</v>
      </c>
      <c r="DA298" s="134">
        <v>0</v>
      </c>
      <c r="DB298" s="134">
        <f>DA298*H298</f>
        <v>0</v>
      </c>
      <c r="DC298" s="134">
        <v>0</v>
      </c>
      <c r="DD298" s="135">
        <f>DC298*H298</f>
        <v>0</v>
      </c>
      <c r="EB298" s="136" t="s">
        <v>95</v>
      </c>
      <c r="ED298" s="136" t="s">
        <v>284</v>
      </c>
      <c r="EE298" s="136" t="s">
        <v>83</v>
      </c>
      <c r="EI298" s="16" t="s">
        <v>282</v>
      </c>
      <c r="EO298" s="137">
        <f>IF(CX298="základní",J298,0)</f>
        <v>228261.42</v>
      </c>
      <c r="EP298" s="137">
        <f>IF(CX298="snížená",J298,0)</f>
        <v>0</v>
      </c>
      <c r="EQ298" s="137">
        <f>IF(CX298="zákl. přenesená",J298,0)</f>
        <v>0</v>
      </c>
      <c r="ER298" s="137">
        <f>IF(CX298="sníž. přenesená",J298,0)</f>
        <v>0</v>
      </c>
      <c r="ES298" s="137">
        <f>IF(CX298="nulová",J298,0)</f>
        <v>0</v>
      </c>
      <c r="ET298" s="16" t="s">
        <v>81</v>
      </c>
      <c r="EU298" s="137">
        <f>ROUND(I298*H298,2)</f>
        <v>228261.42</v>
      </c>
      <c r="EV298" s="16" t="s">
        <v>95</v>
      </c>
      <c r="EW298" s="136" t="s">
        <v>529</v>
      </c>
    </row>
    <row r="299" spans="2:153" s="1" customFormat="1" ht="19.5" x14ac:dyDescent="0.2">
      <c r="B299" s="31"/>
      <c r="D299" s="138" t="s">
        <v>289</v>
      </c>
      <c r="F299" s="139" t="s">
        <v>530</v>
      </c>
      <c r="I299" s="140"/>
      <c r="L299" s="31"/>
      <c r="N299" s="213"/>
      <c r="O299" s="214"/>
      <c r="Q299" s="229"/>
      <c r="CW299" s="141"/>
      <c r="DD299" s="50"/>
      <c r="ED299" s="16" t="s">
        <v>289</v>
      </c>
      <c r="EE299" s="16" t="s">
        <v>83</v>
      </c>
    </row>
    <row r="300" spans="2:153" s="1" customFormat="1" ht="24.2" customHeight="1" x14ac:dyDescent="0.2">
      <c r="B300" s="124"/>
      <c r="C300" s="125" t="s">
        <v>531</v>
      </c>
      <c r="D300" s="125" t="s">
        <v>284</v>
      </c>
      <c r="E300" s="126" t="s">
        <v>532</v>
      </c>
      <c r="F300" s="127" t="s">
        <v>533</v>
      </c>
      <c r="G300" s="128" t="s">
        <v>287</v>
      </c>
      <c r="H300" s="129">
        <v>1140.1199999999999</v>
      </c>
      <c r="I300" s="130">
        <v>40.878739778868102</v>
      </c>
      <c r="J300" s="131">
        <f>ROUND(I300*H300,2)</f>
        <v>46606.67</v>
      </c>
      <c r="K300" s="127" t="s">
        <v>293</v>
      </c>
      <c r="L300" s="198">
        <f>S300</f>
        <v>0</v>
      </c>
      <c r="M300" s="206">
        <f>ROUND(L300*I300,2)</f>
        <v>0</v>
      </c>
      <c r="N300" s="211">
        <v>-0.157</v>
      </c>
      <c r="O300" s="212">
        <f>ROUND(N300*I300,2)</f>
        <v>-6.42</v>
      </c>
      <c r="P300" s="207">
        <f>H300-L300-N300</f>
        <v>1140.2769999999998</v>
      </c>
      <c r="Q300" s="228">
        <f>ROUND(P300*I300,2)</f>
        <v>46613.09</v>
      </c>
      <c r="R300" s="199"/>
      <c r="S300" s="200">
        <f>W300+Y300+AA300+AC300+AE300+AG300+AI300+AK300+AM300+AO300+AQ300+AS300+AU300+AW300</f>
        <v>0</v>
      </c>
      <c r="T300" s="200">
        <f>ROUND(S300*I300,2)</f>
        <v>0</v>
      </c>
      <c r="U300" s="200">
        <f>H300-S300</f>
        <v>1140.1199999999999</v>
      </c>
      <c r="V300" s="200">
        <f>ROUND(U300*I300,2)</f>
        <v>46606.67</v>
      </c>
      <c r="W300" s="203"/>
      <c r="X300" s="203"/>
      <c r="Y300" s="200"/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0"/>
      <c r="AP300" s="200"/>
      <c r="AQ300" s="200"/>
      <c r="AR300" s="200"/>
      <c r="AS300" s="200"/>
      <c r="AT300" s="200"/>
      <c r="AU300" s="200"/>
      <c r="AV300" s="200"/>
      <c r="AW300" s="200"/>
      <c r="AX300" s="200"/>
      <c r="CW300" s="132" t="s">
        <v>1</v>
      </c>
      <c r="CX300" s="133" t="s">
        <v>40</v>
      </c>
      <c r="CZ300" s="134">
        <f>CY300*H300</f>
        <v>0</v>
      </c>
      <c r="DA300" s="134">
        <v>0</v>
      </c>
      <c r="DB300" s="134">
        <f>DA300*H300</f>
        <v>0</v>
      </c>
      <c r="DC300" s="134">
        <v>0</v>
      </c>
      <c r="DD300" s="135">
        <f>DC300*H300</f>
        <v>0</v>
      </c>
      <c r="EB300" s="136" t="s">
        <v>95</v>
      </c>
      <c r="ED300" s="136" t="s">
        <v>284</v>
      </c>
      <c r="EE300" s="136" t="s">
        <v>83</v>
      </c>
      <c r="EI300" s="16" t="s">
        <v>282</v>
      </c>
      <c r="EO300" s="137">
        <f>IF(CX300="základní",J300,0)</f>
        <v>46606.67</v>
      </c>
      <c r="EP300" s="137">
        <f>IF(CX300="snížená",J300,0)</f>
        <v>0</v>
      </c>
      <c r="EQ300" s="137">
        <f>IF(CX300="zákl. přenesená",J300,0)</f>
        <v>0</v>
      </c>
      <c r="ER300" s="137">
        <f>IF(CX300="sníž. přenesená",J300,0)</f>
        <v>0</v>
      </c>
      <c r="ES300" s="137">
        <f>IF(CX300="nulová",J300,0)</f>
        <v>0</v>
      </c>
      <c r="ET300" s="16" t="s">
        <v>81</v>
      </c>
      <c r="EU300" s="137">
        <f>ROUND(I300*H300,2)</f>
        <v>46606.67</v>
      </c>
      <c r="EV300" s="16" t="s">
        <v>95</v>
      </c>
      <c r="EW300" s="136" t="s">
        <v>534</v>
      </c>
    </row>
    <row r="301" spans="2:153" s="1" customFormat="1" ht="19.5" x14ac:dyDescent="0.2">
      <c r="B301" s="31"/>
      <c r="D301" s="138" t="s">
        <v>289</v>
      </c>
      <c r="F301" s="139" t="s">
        <v>535</v>
      </c>
      <c r="I301" s="140"/>
      <c r="L301" s="31"/>
      <c r="N301" s="213"/>
      <c r="O301" s="214"/>
      <c r="Q301" s="229"/>
      <c r="CW301" s="141"/>
      <c r="DD301" s="50"/>
      <c r="ED301" s="16" t="s">
        <v>289</v>
      </c>
      <c r="EE301" s="16" t="s">
        <v>83</v>
      </c>
    </row>
    <row r="302" spans="2:153" s="1" customFormat="1" ht="24.2" customHeight="1" x14ac:dyDescent="0.2">
      <c r="B302" s="124"/>
      <c r="C302" s="125" t="s">
        <v>536</v>
      </c>
      <c r="D302" s="125" t="s">
        <v>284</v>
      </c>
      <c r="E302" s="126" t="s">
        <v>537</v>
      </c>
      <c r="F302" s="127" t="s">
        <v>538</v>
      </c>
      <c r="G302" s="128" t="s">
        <v>287</v>
      </c>
      <c r="H302" s="129">
        <v>1140.1199999999999</v>
      </c>
      <c r="I302" s="130">
        <v>362.67856108310502</v>
      </c>
      <c r="J302" s="131">
        <f>ROUND(I302*H302,2)</f>
        <v>413497.08</v>
      </c>
      <c r="K302" s="127" t="s">
        <v>293</v>
      </c>
      <c r="L302" s="198">
        <f>S302</f>
        <v>0</v>
      </c>
      <c r="M302" s="206">
        <f>ROUND(L302*I302,2)</f>
        <v>0</v>
      </c>
      <c r="N302" s="211">
        <v>-0.157</v>
      </c>
      <c r="O302" s="212">
        <f>ROUND(N302*I302,2)</f>
        <v>-56.94</v>
      </c>
      <c r="P302" s="207">
        <f>H302-L302-N302</f>
        <v>1140.2769999999998</v>
      </c>
      <c r="Q302" s="228">
        <f>ROUND(P302*I302,2)</f>
        <v>413554.02</v>
      </c>
      <c r="R302" s="199"/>
      <c r="S302" s="200">
        <f>W302+Y302+AA302+AC302+AE302+AG302+AI302+AK302+AM302+AO302+AQ302+AS302+AU302+AW302</f>
        <v>0</v>
      </c>
      <c r="T302" s="200">
        <f>ROUND(S302*I302,2)</f>
        <v>0</v>
      </c>
      <c r="U302" s="200">
        <f>H302-S302</f>
        <v>1140.1199999999999</v>
      </c>
      <c r="V302" s="200">
        <f>ROUND(U302*I302,2)</f>
        <v>413497.08</v>
      </c>
      <c r="W302" s="203"/>
      <c r="X302" s="203"/>
      <c r="Y302" s="200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0"/>
      <c r="AP302" s="200"/>
      <c r="AQ302" s="200"/>
      <c r="AR302" s="200"/>
      <c r="AS302" s="200"/>
      <c r="AT302" s="200"/>
      <c r="AU302" s="200"/>
      <c r="AV302" s="200"/>
      <c r="AW302" s="200"/>
      <c r="AX302" s="200"/>
      <c r="CW302" s="132" t="s">
        <v>1</v>
      </c>
      <c r="CX302" s="133" t="s">
        <v>40</v>
      </c>
      <c r="CZ302" s="134">
        <f>CY302*H302</f>
        <v>0</v>
      </c>
      <c r="DA302" s="134">
        <v>0</v>
      </c>
      <c r="DB302" s="134">
        <f>DA302*H302</f>
        <v>0</v>
      </c>
      <c r="DC302" s="134">
        <v>0</v>
      </c>
      <c r="DD302" s="135">
        <f>DC302*H302</f>
        <v>0</v>
      </c>
      <c r="EB302" s="136" t="s">
        <v>95</v>
      </c>
      <c r="ED302" s="136" t="s">
        <v>284</v>
      </c>
      <c r="EE302" s="136" t="s">
        <v>83</v>
      </c>
      <c r="EI302" s="16" t="s">
        <v>282</v>
      </c>
      <c r="EO302" s="137">
        <f>IF(CX302="základní",J302,0)</f>
        <v>413497.08</v>
      </c>
      <c r="EP302" s="137">
        <f>IF(CX302="snížená",J302,0)</f>
        <v>0</v>
      </c>
      <c r="EQ302" s="137">
        <f>IF(CX302="zákl. přenesená",J302,0)</f>
        <v>0</v>
      </c>
      <c r="ER302" s="137">
        <f>IF(CX302="sníž. přenesená",J302,0)</f>
        <v>0</v>
      </c>
      <c r="ES302" s="137">
        <f>IF(CX302="nulová",J302,0)</f>
        <v>0</v>
      </c>
      <c r="ET302" s="16" t="s">
        <v>81</v>
      </c>
      <c r="EU302" s="137">
        <f>ROUND(I302*H302,2)</f>
        <v>413497.08</v>
      </c>
      <c r="EV302" s="16" t="s">
        <v>95</v>
      </c>
      <c r="EW302" s="136" t="s">
        <v>539</v>
      </c>
    </row>
    <row r="303" spans="2:153" s="1" customFormat="1" ht="29.25" x14ac:dyDescent="0.2">
      <c r="B303" s="31"/>
      <c r="D303" s="138" t="s">
        <v>289</v>
      </c>
      <c r="F303" s="139" t="s">
        <v>540</v>
      </c>
      <c r="I303" s="140"/>
      <c r="L303" s="31"/>
      <c r="N303" s="213"/>
      <c r="O303" s="214"/>
      <c r="Q303" s="229"/>
      <c r="CW303" s="141"/>
      <c r="DD303" s="50"/>
      <c r="ED303" s="16" t="s">
        <v>289</v>
      </c>
      <c r="EE303" s="16" t="s">
        <v>83</v>
      </c>
    </row>
    <row r="304" spans="2:153" s="1" customFormat="1" ht="29.25" x14ac:dyDescent="0.2">
      <c r="B304" s="31"/>
      <c r="D304" s="138" t="s">
        <v>299</v>
      </c>
      <c r="F304" s="142" t="s">
        <v>300</v>
      </c>
      <c r="I304" s="140"/>
      <c r="L304" s="31"/>
      <c r="N304" s="213"/>
      <c r="O304" s="214"/>
      <c r="Q304" s="229"/>
      <c r="CW304" s="141"/>
      <c r="DD304" s="50"/>
      <c r="ED304" s="16" t="s">
        <v>299</v>
      </c>
      <c r="EE304" s="16" t="s">
        <v>83</v>
      </c>
    </row>
    <row r="305" spans="2:153" s="11" customFormat="1" x14ac:dyDescent="0.2">
      <c r="B305" s="143"/>
      <c r="D305" s="138" t="s">
        <v>301</v>
      </c>
      <c r="E305" s="144" t="s">
        <v>1</v>
      </c>
      <c r="F305" s="145" t="s">
        <v>541</v>
      </c>
      <c r="H305" s="144" t="s">
        <v>1</v>
      </c>
      <c r="I305" s="146"/>
      <c r="L305" s="143"/>
      <c r="N305" s="215"/>
      <c r="O305" s="216"/>
      <c r="Q305" s="230"/>
      <c r="CW305" s="147"/>
      <c r="DD305" s="148"/>
      <c r="ED305" s="144" t="s">
        <v>301</v>
      </c>
      <c r="EE305" s="144" t="s">
        <v>83</v>
      </c>
      <c r="EF305" s="11" t="s">
        <v>81</v>
      </c>
      <c r="EG305" s="11" t="s">
        <v>32</v>
      </c>
      <c r="EH305" s="11" t="s">
        <v>74</v>
      </c>
      <c r="EI305" s="144" t="s">
        <v>282</v>
      </c>
    </row>
    <row r="306" spans="2:153" s="12" customFormat="1" x14ac:dyDescent="0.2">
      <c r="B306" s="149"/>
      <c r="D306" s="138" t="s">
        <v>301</v>
      </c>
      <c r="E306" s="150" t="s">
        <v>1</v>
      </c>
      <c r="F306" s="151" t="s">
        <v>542</v>
      </c>
      <c r="H306" s="152">
        <v>1140.1199999999999</v>
      </c>
      <c r="I306" s="153"/>
      <c r="L306" s="149"/>
      <c r="N306" s="217"/>
      <c r="O306" s="218"/>
      <c r="Q306" s="231"/>
      <c r="CW306" s="154"/>
      <c r="DD306" s="155"/>
      <c r="ED306" s="150" t="s">
        <v>301</v>
      </c>
      <c r="EE306" s="150" t="s">
        <v>83</v>
      </c>
      <c r="EF306" s="12" t="s">
        <v>83</v>
      </c>
      <c r="EG306" s="12" t="s">
        <v>32</v>
      </c>
      <c r="EH306" s="12" t="s">
        <v>81</v>
      </c>
      <c r="EI306" s="150" t="s">
        <v>282</v>
      </c>
    </row>
    <row r="307" spans="2:153" s="1" customFormat="1" ht="24" customHeight="1" x14ac:dyDescent="0.2">
      <c r="B307" s="124"/>
      <c r="C307" s="125" t="s">
        <v>543</v>
      </c>
      <c r="D307" s="125" t="s">
        <v>284</v>
      </c>
      <c r="E307" s="126" t="s">
        <v>544</v>
      </c>
      <c r="F307" s="127" t="s">
        <v>545</v>
      </c>
      <c r="G307" s="128" t="s">
        <v>287</v>
      </c>
      <c r="H307" s="129">
        <v>4428</v>
      </c>
      <c r="I307" s="130">
        <v>18.105699236185</v>
      </c>
      <c r="J307" s="131">
        <f>ROUND(I307*H307,2)</f>
        <v>80172.039999999994</v>
      </c>
      <c r="K307" s="127" t="s">
        <v>293</v>
      </c>
      <c r="L307" s="198">
        <f>S307</f>
        <v>0</v>
      </c>
      <c r="M307" s="206">
        <f>ROUND(L307*I307,2)</f>
        <v>0</v>
      </c>
      <c r="N307" s="211">
        <v>-0.67500000000000004</v>
      </c>
      <c r="O307" s="212">
        <f>ROUND(N307*I307,2)</f>
        <v>-12.22</v>
      </c>
      <c r="P307" s="207">
        <f>H307-L307-N307</f>
        <v>4428.6750000000002</v>
      </c>
      <c r="Q307" s="228">
        <f>ROUND(P307*I307,2)</f>
        <v>80184.259999999995</v>
      </c>
      <c r="R307" s="199"/>
      <c r="S307" s="200">
        <f>W307+Y307+AA307+AC307+AE307+AG307+AI307+AK307+AM307+AO307+AQ307+AS307+AU307+AW307</f>
        <v>0</v>
      </c>
      <c r="T307" s="200">
        <f>ROUND(S307*I307,2)</f>
        <v>0</v>
      </c>
      <c r="U307" s="200">
        <f>H307-S307</f>
        <v>4428</v>
      </c>
      <c r="V307" s="200">
        <f>ROUND(U307*I307,2)</f>
        <v>80172.039999999994</v>
      </c>
      <c r="W307" s="203"/>
      <c r="X307" s="203"/>
      <c r="Y307" s="200"/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0"/>
      <c r="AP307" s="200"/>
      <c r="AQ307" s="200"/>
      <c r="AR307" s="200"/>
      <c r="AS307" s="200"/>
      <c r="AT307" s="200"/>
      <c r="AU307" s="200"/>
      <c r="AV307" s="200"/>
      <c r="AW307" s="200"/>
      <c r="AX307" s="200"/>
      <c r="CW307" s="132" t="s">
        <v>1</v>
      </c>
      <c r="CX307" s="133" t="s">
        <v>40</v>
      </c>
      <c r="CZ307" s="134">
        <f>CY307*H307</f>
        <v>0</v>
      </c>
      <c r="DA307" s="134">
        <v>0</v>
      </c>
      <c r="DB307" s="134">
        <f>DA307*H307</f>
        <v>0</v>
      </c>
      <c r="DC307" s="134">
        <v>0</v>
      </c>
      <c r="DD307" s="135">
        <f>DC307*H307</f>
        <v>0</v>
      </c>
      <c r="EB307" s="136" t="s">
        <v>95</v>
      </c>
      <c r="ED307" s="136" t="s">
        <v>284</v>
      </c>
      <c r="EE307" s="136" t="s">
        <v>83</v>
      </c>
      <c r="EI307" s="16" t="s">
        <v>282</v>
      </c>
      <c r="EO307" s="137">
        <f>IF(CX307="základní",J307,0)</f>
        <v>80172.039999999994</v>
      </c>
      <c r="EP307" s="137">
        <f>IF(CX307="snížená",J307,0)</f>
        <v>0</v>
      </c>
      <c r="EQ307" s="137">
        <f>IF(CX307="zákl. přenesená",J307,0)</f>
        <v>0</v>
      </c>
      <c r="ER307" s="137">
        <f>IF(CX307="sníž. přenesená",J307,0)</f>
        <v>0</v>
      </c>
      <c r="ES307" s="137">
        <f>IF(CX307="nulová",J307,0)</f>
        <v>0</v>
      </c>
      <c r="ET307" s="16" t="s">
        <v>81</v>
      </c>
      <c r="EU307" s="137">
        <f>ROUND(I307*H307,2)</f>
        <v>80172.039999999994</v>
      </c>
      <c r="EV307" s="16" t="s">
        <v>95</v>
      </c>
      <c r="EW307" s="136" t="s">
        <v>546</v>
      </c>
    </row>
    <row r="308" spans="2:153" s="1" customFormat="1" ht="19.5" x14ac:dyDescent="0.2">
      <c r="B308" s="31"/>
      <c r="D308" s="138" t="s">
        <v>289</v>
      </c>
      <c r="F308" s="139" t="s">
        <v>547</v>
      </c>
      <c r="I308" s="140"/>
      <c r="L308" s="31"/>
      <c r="N308" s="213"/>
      <c r="O308" s="214"/>
      <c r="Q308" s="229"/>
      <c r="CW308" s="141"/>
      <c r="DD308" s="50"/>
      <c r="ED308" s="16" t="s">
        <v>289</v>
      </c>
      <c r="EE308" s="16" t="s">
        <v>83</v>
      </c>
    </row>
    <row r="309" spans="2:153" s="1" customFormat="1" ht="24.2" customHeight="1" x14ac:dyDescent="0.2">
      <c r="B309" s="124"/>
      <c r="C309" s="125" t="s">
        <v>548</v>
      </c>
      <c r="D309" s="125" t="s">
        <v>284</v>
      </c>
      <c r="E309" s="126" t="s">
        <v>549</v>
      </c>
      <c r="F309" s="127" t="s">
        <v>550</v>
      </c>
      <c r="G309" s="128" t="s">
        <v>287</v>
      </c>
      <c r="H309" s="129">
        <v>4428</v>
      </c>
      <c r="I309" s="130">
        <v>388.96896513366403</v>
      </c>
      <c r="J309" s="131">
        <f>ROUND(I309*H309,2)</f>
        <v>1722354.58</v>
      </c>
      <c r="K309" s="127" t="s">
        <v>293</v>
      </c>
      <c r="L309" s="198">
        <f>S309</f>
        <v>0</v>
      </c>
      <c r="M309" s="206">
        <f>ROUND(L309*I309,2)</f>
        <v>0</v>
      </c>
      <c r="N309" s="211">
        <v>-0.67500000000000004</v>
      </c>
      <c r="O309" s="212">
        <f>ROUND(N309*I309,2)</f>
        <v>-262.55</v>
      </c>
      <c r="P309" s="207">
        <f>H309-L309-N309</f>
        <v>4428.6750000000002</v>
      </c>
      <c r="Q309" s="228">
        <f>ROUND(P309*I309,2)</f>
        <v>1722617.13</v>
      </c>
      <c r="R309" s="199"/>
      <c r="S309" s="200">
        <f>W309+Y309+AA309+AC309+AE309+AG309+AI309+AK309+AM309+AO309+AQ309+AS309+AU309+AW309</f>
        <v>0</v>
      </c>
      <c r="T309" s="200">
        <f>ROUND(S309*I309,2)</f>
        <v>0</v>
      </c>
      <c r="U309" s="200">
        <f>H309-S309</f>
        <v>4428</v>
      </c>
      <c r="V309" s="200">
        <f>ROUND(U309*I309,2)</f>
        <v>1722354.58</v>
      </c>
      <c r="W309" s="203"/>
      <c r="X309" s="203"/>
      <c r="Y309" s="200"/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0"/>
      <c r="AP309" s="200"/>
      <c r="AQ309" s="200"/>
      <c r="AR309" s="200"/>
      <c r="AS309" s="200"/>
      <c r="AT309" s="200"/>
      <c r="AU309" s="200"/>
      <c r="AV309" s="200"/>
      <c r="AW309" s="200"/>
      <c r="AX309" s="200"/>
      <c r="CW309" s="132" t="s">
        <v>1</v>
      </c>
      <c r="CX309" s="133" t="s">
        <v>40</v>
      </c>
      <c r="CZ309" s="134">
        <f>CY309*H309</f>
        <v>0</v>
      </c>
      <c r="DA309" s="134">
        <v>0</v>
      </c>
      <c r="DB309" s="134">
        <f>DA309*H309</f>
        <v>0</v>
      </c>
      <c r="DC309" s="134">
        <v>0</v>
      </c>
      <c r="DD309" s="135">
        <f>DC309*H309</f>
        <v>0</v>
      </c>
      <c r="EB309" s="136" t="s">
        <v>95</v>
      </c>
      <c r="ED309" s="136" t="s">
        <v>284</v>
      </c>
      <c r="EE309" s="136" t="s">
        <v>83</v>
      </c>
      <c r="EI309" s="16" t="s">
        <v>282</v>
      </c>
      <c r="EO309" s="137">
        <f>IF(CX309="základní",J309,0)</f>
        <v>1722354.58</v>
      </c>
      <c r="EP309" s="137">
        <f>IF(CX309="snížená",J309,0)</f>
        <v>0</v>
      </c>
      <c r="EQ309" s="137">
        <f>IF(CX309="zákl. přenesená",J309,0)</f>
        <v>0</v>
      </c>
      <c r="ER309" s="137">
        <f>IF(CX309="sníž. přenesená",J309,0)</f>
        <v>0</v>
      </c>
      <c r="ES309" s="137">
        <f>IF(CX309="nulová",J309,0)</f>
        <v>0</v>
      </c>
      <c r="ET309" s="16" t="s">
        <v>81</v>
      </c>
      <c r="EU309" s="137">
        <f>ROUND(I309*H309,2)</f>
        <v>1722354.58</v>
      </c>
      <c r="EV309" s="16" t="s">
        <v>95</v>
      </c>
      <c r="EW309" s="136" t="s">
        <v>551</v>
      </c>
    </row>
    <row r="310" spans="2:153" s="1" customFormat="1" ht="29.25" x14ac:dyDescent="0.2">
      <c r="B310" s="31"/>
      <c r="D310" s="138" t="s">
        <v>289</v>
      </c>
      <c r="F310" s="139" t="s">
        <v>552</v>
      </c>
      <c r="I310" s="140"/>
      <c r="L310" s="31"/>
      <c r="N310" s="213"/>
      <c r="O310" s="214"/>
      <c r="Q310" s="229"/>
      <c r="CW310" s="141"/>
      <c r="DD310" s="50"/>
      <c r="ED310" s="16" t="s">
        <v>289</v>
      </c>
      <c r="EE310" s="16" t="s">
        <v>83</v>
      </c>
    </row>
    <row r="311" spans="2:153" s="1" customFormat="1" ht="29.25" x14ac:dyDescent="0.2">
      <c r="B311" s="31"/>
      <c r="D311" s="138" t="s">
        <v>299</v>
      </c>
      <c r="F311" s="142" t="s">
        <v>300</v>
      </c>
      <c r="I311" s="140"/>
      <c r="L311" s="31"/>
      <c r="N311" s="213"/>
      <c r="O311" s="214"/>
      <c r="Q311" s="229"/>
      <c r="CW311" s="141"/>
      <c r="DD311" s="50"/>
      <c r="ED311" s="16" t="s">
        <v>299</v>
      </c>
      <c r="EE311" s="16" t="s">
        <v>83</v>
      </c>
    </row>
    <row r="312" spans="2:153" s="11" customFormat="1" x14ac:dyDescent="0.2">
      <c r="B312" s="143"/>
      <c r="D312" s="138" t="s">
        <v>301</v>
      </c>
      <c r="E312" s="144" t="s">
        <v>1</v>
      </c>
      <c r="F312" s="145" t="s">
        <v>553</v>
      </c>
      <c r="H312" s="144" t="s">
        <v>1</v>
      </c>
      <c r="I312" s="146"/>
      <c r="L312" s="143"/>
      <c r="N312" s="215"/>
      <c r="O312" s="216"/>
      <c r="Q312" s="230"/>
      <c r="CW312" s="147"/>
      <c r="DD312" s="148"/>
      <c r="ED312" s="144" t="s">
        <v>301</v>
      </c>
      <c r="EE312" s="144" t="s">
        <v>83</v>
      </c>
      <c r="EF312" s="11" t="s">
        <v>81</v>
      </c>
      <c r="EG312" s="11" t="s">
        <v>32</v>
      </c>
      <c r="EH312" s="11" t="s">
        <v>74</v>
      </c>
      <c r="EI312" s="144" t="s">
        <v>282</v>
      </c>
    </row>
    <row r="313" spans="2:153" s="12" customFormat="1" x14ac:dyDescent="0.2">
      <c r="B313" s="149"/>
      <c r="D313" s="138" t="s">
        <v>301</v>
      </c>
      <c r="E313" s="150" t="s">
        <v>1</v>
      </c>
      <c r="F313" s="151" t="s">
        <v>554</v>
      </c>
      <c r="H313" s="152">
        <v>4428</v>
      </c>
      <c r="I313" s="153"/>
      <c r="L313" s="149"/>
      <c r="N313" s="217"/>
      <c r="O313" s="218"/>
      <c r="Q313" s="231"/>
      <c r="CW313" s="154"/>
      <c r="DD313" s="155"/>
      <c r="ED313" s="150" t="s">
        <v>301</v>
      </c>
      <c r="EE313" s="150" t="s">
        <v>83</v>
      </c>
      <c r="EF313" s="12" t="s">
        <v>83</v>
      </c>
      <c r="EG313" s="12" t="s">
        <v>32</v>
      </c>
      <c r="EH313" s="12" t="s">
        <v>81</v>
      </c>
      <c r="EI313" s="150" t="s">
        <v>282</v>
      </c>
    </row>
    <row r="314" spans="2:153" s="10" customFormat="1" ht="22.9" customHeight="1" x14ac:dyDescent="0.2">
      <c r="B314" s="112"/>
      <c r="D314" s="113" t="s">
        <v>73</v>
      </c>
      <c r="E314" s="122" t="s">
        <v>328</v>
      </c>
      <c r="F314" s="122" t="s">
        <v>555</v>
      </c>
      <c r="I314" s="115"/>
      <c r="J314" s="123">
        <f>EU314</f>
        <v>1703259.8399999996</v>
      </c>
      <c r="L314" s="112"/>
      <c r="M314" s="202">
        <f>SUM(M315:M385)</f>
        <v>0</v>
      </c>
      <c r="N314" s="223"/>
      <c r="O314" s="224">
        <f t="shared" ref="O314:V314" si="3">SUM(O315:O385)</f>
        <v>-33293.82</v>
      </c>
      <c r="P314" s="202"/>
      <c r="Q314" s="234">
        <f t="shared" si="3"/>
        <v>1736553.6599999997</v>
      </c>
      <c r="R314" s="202"/>
      <c r="S314" s="202"/>
      <c r="T314" s="202">
        <f t="shared" si="3"/>
        <v>0</v>
      </c>
      <c r="U314" s="202"/>
      <c r="V314" s="202">
        <f t="shared" si="3"/>
        <v>1703259.8399999996</v>
      </c>
      <c r="W314" s="202"/>
      <c r="X314" s="202"/>
      <c r="Y314" s="202"/>
      <c r="Z314" s="202"/>
      <c r="CW314" s="117"/>
      <c r="CZ314" s="118">
        <f>SUM(CZ315:CZ386)</f>
        <v>0</v>
      </c>
      <c r="DB314" s="118">
        <f>SUM(DB315:DB386)</f>
        <v>152.30988689999998</v>
      </c>
      <c r="DD314" s="119">
        <f>SUM(DD315:DD386)</f>
        <v>0</v>
      </c>
      <c r="EB314" s="113" t="s">
        <v>81</v>
      </c>
      <c r="ED314" s="120" t="s">
        <v>73</v>
      </c>
      <c r="EE314" s="120" t="s">
        <v>81</v>
      </c>
      <c r="EI314" s="113" t="s">
        <v>282</v>
      </c>
      <c r="EU314" s="121">
        <f>SUM(EU315:EU386)</f>
        <v>1703259.8399999996</v>
      </c>
    </row>
    <row r="315" spans="2:153" s="1" customFormat="1" ht="24.2" customHeight="1" x14ac:dyDescent="0.2">
      <c r="B315" s="124"/>
      <c r="C315" s="125" t="s">
        <v>556</v>
      </c>
      <c r="D315" s="125" t="s">
        <v>284</v>
      </c>
      <c r="E315" s="126" t="s">
        <v>557</v>
      </c>
      <c r="F315" s="127" t="s">
        <v>558</v>
      </c>
      <c r="G315" s="128" t="s">
        <v>344</v>
      </c>
      <c r="H315" s="129">
        <v>984</v>
      </c>
      <c r="I315" s="130">
        <v>850.78954015145496</v>
      </c>
      <c r="J315" s="131">
        <f>ROUND(I315*H315,2)</f>
        <v>837176.91</v>
      </c>
      <c r="K315" s="127" t="s">
        <v>293</v>
      </c>
      <c r="L315" s="198">
        <f>S315</f>
        <v>0</v>
      </c>
      <c r="M315" s="206">
        <f>ROUND(L315*I315,2)</f>
        <v>0</v>
      </c>
      <c r="N315" s="211">
        <f>N318</f>
        <v>-0.14999999999997726</v>
      </c>
      <c r="O315" s="212">
        <f>ROUND(N315*I315,2)</f>
        <v>-127.62</v>
      </c>
      <c r="P315" s="207">
        <f>H315-L315-N315</f>
        <v>984.15</v>
      </c>
      <c r="Q315" s="228">
        <f>ROUND(P315*I315,2)</f>
        <v>837304.53</v>
      </c>
      <c r="R315" s="199"/>
      <c r="S315" s="200">
        <f>W315+Y315+AA315+AC315+AE315+AG315+AI315+AK315+AM315+AO315+AQ315+AS315+AU315+AW315</f>
        <v>0</v>
      </c>
      <c r="T315" s="200">
        <f>ROUND(S315*I315,2)</f>
        <v>0</v>
      </c>
      <c r="U315" s="200">
        <f>H315-S315</f>
        <v>984</v>
      </c>
      <c r="V315" s="200">
        <f>ROUND(U315*I315,2)</f>
        <v>837176.91</v>
      </c>
      <c r="W315" s="203"/>
      <c r="X315" s="203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  <c r="AP315" s="200"/>
      <c r="AQ315" s="200"/>
      <c r="AR315" s="200"/>
      <c r="AS315" s="200"/>
      <c r="AT315" s="200"/>
      <c r="AU315" s="200"/>
      <c r="AV315" s="200"/>
      <c r="AW315" s="200"/>
      <c r="AX315" s="200"/>
      <c r="CW315" s="132" t="s">
        <v>1</v>
      </c>
      <c r="CX315" s="133" t="s">
        <v>40</v>
      </c>
      <c r="CZ315" s="134">
        <f>CY315*H315</f>
        <v>0</v>
      </c>
      <c r="DA315" s="134">
        <v>1.323E-2</v>
      </c>
      <c r="DB315" s="134">
        <f>DA315*H315</f>
        <v>13.018320000000001</v>
      </c>
      <c r="DC315" s="134">
        <v>0</v>
      </c>
      <c r="DD315" s="135">
        <f>DC315*H315</f>
        <v>0</v>
      </c>
      <c r="EB315" s="136" t="s">
        <v>95</v>
      </c>
      <c r="ED315" s="136" t="s">
        <v>284</v>
      </c>
      <c r="EE315" s="136" t="s">
        <v>83</v>
      </c>
      <c r="EI315" s="16" t="s">
        <v>282</v>
      </c>
      <c r="EO315" s="137">
        <f>IF(CX315="základní",J315,0)</f>
        <v>837176.91</v>
      </c>
      <c r="EP315" s="137">
        <f>IF(CX315="snížená",J315,0)</f>
        <v>0</v>
      </c>
      <c r="EQ315" s="137">
        <f>IF(CX315="zákl. přenesená",J315,0)</f>
        <v>0</v>
      </c>
      <c r="ER315" s="137">
        <f>IF(CX315="sníž. přenesená",J315,0)</f>
        <v>0</v>
      </c>
      <c r="ES315" s="137">
        <f>IF(CX315="nulová",J315,0)</f>
        <v>0</v>
      </c>
      <c r="ET315" s="16" t="s">
        <v>81</v>
      </c>
      <c r="EU315" s="137">
        <f>ROUND(I315*H315,2)</f>
        <v>837176.91</v>
      </c>
      <c r="EV315" s="16" t="s">
        <v>95</v>
      </c>
      <c r="EW315" s="136" t="s">
        <v>559</v>
      </c>
    </row>
    <row r="316" spans="2:153" s="1" customFormat="1" ht="29.25" x14ac:dyDescent="0.2">
      <c r="B316" s="31"/>
      <c r="D316" s="138" t="s">
        <v>289</v>
      </c>
      <c r="F316" s="139" t="s">
        <v>560</v>
      </c>
      <c r="I316" s="140"/>
      <c r="L316" s="31"/>
      <c r="N316" s="213"/>
      <c r="O316" s="214"/>
      <c r="Q316" s="229"/>
      <c r="CW316" s="141"/>
      <c r="DD316" s="50"/>
      <c r="ED316" s="16" t="s">
        <v>289</v>
      </c>
      <c r="EE316" s="16" t="s">
        <v>83</v>
      </c>
    </row>
    <row r="317" spans="2:153" s="1" customFormat="1" ht="29.25" x14ac:dyDescent="0.2">
      <c r="B317" s="31"/>
      <c r="D317" s="138" t="s">
        <v>299</v>
      </c>
      <c r="F317" s="142" t="s">
        <v>300</v>
      </c>
      <c r="I317" s="140"/>
      <c r="L317" s="31"/>
      <c r="N317" s="213"/>
      <c r="O317" s="214"/>
      <c r="Q317" s="229"/>
      <c r="CW317" s="141"/>
      <c r="DD317" s="50"/>
      <c r="ED317" s="16" t="s">
        <v>299</v>
      </c>
      <c r="EE317" s="16" t="s">
        <v>83</v>
      </c>
    </row>
    <row r="318" spans="2:153" s="12" customFormat="1" x14ac:dyDescent="0.2">
      <c r="B318" s="149"/>
      <c r="D318" s="138" t="s">
        <v>301</v>
      </c>
      <c r="E318" s="150" t="s">
        <v>1</v>
      </c>
      <c r="F318" s="151" t="s">
        <v>561</v>
      </c>
      <c r="H318" s="152">
        <v>984</v>
      </c>
      <c r="I318" s="153"/>
      <c r="L318" s="149"/>
      <c r="N318" s="217">
        <f>983.85-984</f>
        <v>-0.14999999999997726</v>
      </c>
      <c r="O318" s="218" t="s">
        <v>3360</v>
      </c>
      <c r="Q318" s="231"/>
      <c r="CW318" s="154"/>
      <c r="DD318" s="155"/>
      <c r="ED318" s="150" t="s">
        <v>301</v>
      </c>
      <c r="EE318" s="150" t="s">
        <v>83</v>
      </c>
      <c r="EF318" s="12" t="s">
        <v>83</v>
      </c>
      <c r="EG318" s="12" t="s">
        <v>32</v>
      </c>
      <c r="EH318" s="12" t="s">
        <v>81</v>
      </c>
      <c r="EI318" s="150" t="s">
        <v>282</v>
      </c>
    </row>
    <row r="319" spans="2:153" s="1" customFormat="1" ht="24.2" customHeight="1" x14ac:dyDescent="0.2">
      <c r="B319" s="124"/>
      <c r="C319" s="125" t="s">
        <v>562</v>
      </c>
      <c r="D319" s="125" t="s">
        <v>284</v>
      </c>
      <c r="E319" s="126" t="s">
        <v>563</v>
      </c>
      <c r="F319" s="127" t="s">
        <v>564</v>
      </c>
      <c r="G319" s="128" t="s">
        <v>485</v>
      </c>
      <c r="H319" s="129">
        <v>36</v>
      </c>
      <c r="I319" s="130">
        <v>428.93856860779169</v>
      </c>
      <c r="J319" s="131">
        <f>ROUND(I319*H319,2)</f>
        <v>15441.79</v>
      </c>
      <c r="K319" s="127" t="s">
        <v>293</v>
      </c>
      <c r="L319" s="198">
        <f>S319</f>
        <v>0</v>
      </c>
      <c r="M319" s="206">
        <f>ROUND(L319*I319,2)</f>
        <v>0</v>
      </c>
      <c r="N319" s="211"/>
      <c r="O319" s="212">
        <f>ROUND(N319*I319,2)</f>
        <v>0</v>
      </c>
      <c r="P319" s="207">
        <f>H319-L319-N319</f>
        <v>36</v>
      </c>
      <c r="Q319" s="228">
        <f>ROUND(P319*I319,2)</f>
        <v>15441.79</v>
      </c>
      <c r="R319" s="199"/>
      <c r="S319" s="200">
        <f>W319+Y319+AA319+AC319+AE319+AG319+AI319+AK319+AM319+AO319+AQ319+AS319+AU319+AW319</f>
        <v>0</v>
      </c>
      <c r="T319" s="200">
        <f>ROUND(S319*I319,2)</f>
        <v>0</v>
      </c>
      <c r="U319" s="200">
        <f>H319-S319</f>
        <v>36</v>
      </c>
      <c r="V319" s="200">
        <f>ROUND(U319*I319,2)</f>
        <v>15441.79</v>
      </c>
      <c r="W319" s="203"/>
      <c r="X319" s="203"/>
      <c r="Y319" s="200"/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0"/>
      <c r="AP319" s="200"/>
      <c r="AQ319" s="200"/>
      <c r="AR319" s="200"/>
      <c r="AS319" s="200"/>
      <c r="AT319" s="200"/>
      <c r="AU319" s="200"/>
      <c r="AV319" s="200"/>
      <c r="AW319" s="200"/>
      <c r="AX319" s="200"/>
      <c r="CW319" s="132" t="s">
        <v>1</v>
      </c>
      <c r="CX319" s="133" t="s">
        <v>40</v>
      </c>
      <c r="CZ319" s="134">
        <f>CY319*H319</f>
        <v>0</v>
      </c>
      <c r="DA319" s="134">
        <v>2.0000000000000002E-5</v>
      </c>
      <c r="DB319" s="134">
        <f>DA319*H319</f>
        <v>7.2000000000000005E-4</v>
      </c>
      <c r="DC319" s="134">
        <v>0</v>
      </c>
      <c r="DD319" s="135">
        <f>DC319*H319</f>
        <v>0</v>
      </c>
      <c r="EB319" s="136" t="s">
        <v>95</v>
      </c>
      <c r="ED319" s="136" t="s">
        <v>284</v>
      </c>
      <c r="EE319" s="136" t="s">
        <v>83</v>
      </c>
      <c r="EI319" s="16" t="s">
        <v>282</v>
      </c>
      <c r="EO319" s="137">
        <f>IF(CX319="základní",J319,0)</f>
        <v>15441.79</v>
      </c>
      <c r="EP319" s="137">
        <f>IF(CX319="snížená",J319,0)</f>
        <v>0</v>
      </c>
      <c r="EQ319" s="137">
        <f>IF(CX319="zákl. přenesená",J319,0)</f>
        <v>0</v>
      </c>
      <c r="ER319" s="137">
        <f>IF(CX319="sníž. přenesená",J319,0)</f>
        <v>0</v>
      </c>
      <c r="ES319" s="137">
        <f>IF(CX319="nulová",J319,0)</f>
        <v>0</v>
      </c>
      <c r="ET319" s="16" t="s">
        <v>81</v>
      </c>
      <c r="EU319" s="137">
        <f>ROUND(I319*H319,2)</f>
        <v>15441.79</v>
      </c>
      <c r="EV319" s="16" t="s">
        <v>95</v>
      </c>
      <c r="EW319" s="136" t="s">
        <v>565</v>
      </c>
    </row>
    <row r="320" spans="2:153" s="1" customFormat="1" ht="19.5" x14ac:dyDescent="0.2">
      <c r="B320" s="31"/>
      <c r="D320" s="138" t="s">
        <v>289</v>
      </c>
      <c r="F320" s="139" t="s">
        <v>566</v>
      </c>
      <c r="I320" s="140"/>
      <c r="L320" s="31"/>
      <c r="N320" s="213"/>
      <c r="O320" s="214"/>
      <c r="Q320" s="229"/>
      <c r="CW320" s="141"/>
      <c r="DD320" s="50"/>
      <c r="ED320" s="16" t="s">
        <v>289</v>
      </c>
      <c r="EE320" s="16" t="s">
        <v>83</v>
      </c>
    </row>
    <row r="321" spans="2:153" s="1" customFormat="1" ht="19.5" x14ac:dyDescent="0.2">
      <c r="B321" s="31"/>
      <c r="D321" s="138" t="s">
        <v>299</v>
      </c>
      <c r="F321" s="142" t="s">
        <v>317</v>
      </c>
      <c r="I321" s="140"/>
      <c r="L321" s="31"/>
      <c r="N321" s="213"/>
      <c r="O321" s="214"/>
      <c r="Q321" s="229"/>
      <c r="CW321" s="141"/>
      <c r="DD321" s="50"/>
      <c r="ED321" s="16" t="s">
        <v>299</v>
      </c>
      <c r="EE321" s="16" t="s">
        <v>83</v>
      </c>
    </row>
    <row r="322" spans="2:153" s="12" customFormat="1" x14ac:dyDescent="0.2">
      <c r="B322" s="149"/>
      <c r="D322" s="138" t="s">
        <v>301</v>
      </c>
      <c r="E322" s="150" t="s">
        <v>1</v>
      </c>
      <c r="F322" s="151" t="s">
        <v>567</v>
      </c>
      <c r="H322" s="152">
        <v>36</v>
      </c>
      <c r="I322" s="153"/>
      <c r="L322" s="149"/>
      <c r="N322" s="217"/>
      <c r="O322" s="218"/>
      <c r="Q322" s="231"/>
      <c r="CW322" s="154"/>
      <c r="DD322" s="155"/>
      <c r="ED322" s="150" t="s">
        <v>301</v>
      </c>
      <c r="EE322" s="150" t="s">
        <v>83</v>
      </c>
      <c r="EF322" s="12" t="s">
        <v>83</v>
      </c>
      <c r="EG322" s="12" t="s">
        <v>32</v>
      </c>
      <c r="EH322" s="12" t="s">
        <v>81</v>
      </c>
      <c r="EI322" s="150" t="s">
        <v>282</v>
      </c>
    </row>
    <row r="323" spans="2:153" s="1" customFormat="1" ht="24.2" customHeight="1" x14ac:dyDescent="0.2">
      <c r="B323" s="124"/>
      <c r="C323" s="170" t="s">
        <v>568</v>
      </c>
      <c r="D323" s="170" t="s">
        <v>439</v>
      </c>
      <c r="E323" s="171" t="s">
        <v>569</v>
      </c>
      <c r="F323" s="172" t="s">
        <v>570</v>
      </c>
      <c r="G323" s="173" t="s">
        <v>485</v>
      </c>
      <c r="H323" s="174">
        <v>36</v>
      </c>
      <c r="I323" s="130">
        <v>1984.4168915</v>
      </c>
      <c r="J323" s="176">
        <f>ROUND(I323*H323,2)</f>
        <v>71439.009999999995</v>
      </c>
      <c r="K323" s="172" t="s">
        <v>293</v>
      </c>
      <c r="L323" s="198">
        <f>S323</f>
        <v>0</v>
      </c>
      <c r="M323" s="206">
        <f>ROUND(L323*I323,2)</f>
        <v>0</v>
      </c>
      <c r="N323" s="211"/>
      <c r="O323" s="212">
        <f>ROUND(N323*I323,2)</f>
        <v>0</v>
      </c>
      <c r="P323" s="207">
        <f>H323-L323-N323</f>
        <v>36</v>
      </c>
      <c r="Q323" s="228">
        <f>ROUND(P323*I323,2)</f>
        <v>71439.009999999995</v>
      </c>
      <c r="R323" s="199"/>
      <c r="S323" s="200">
        <f>W323+Y323+AA323+AC323+AE323+AG323+AI323+AK323+AM323+AO323+AQ323+AS323+AU323+AW323</f>
        <v>0</v>
      </c>
      <c r="T323" s="200">
        <f>ROUND(S323*I323,2)</f>
        <v>0</v>
      </c>
      <c r="U323" s="200">
        <f>H323-S323</f>
        <v>36</v>
      </c>
      <c r="V323" s="200">
        <f>ROUND(U323*I323,2)</f>
        <v>71439.009999999995</v>
      </c>
      <c r="W323" s="203"/>
      <c r="X323" s="203"/>
      <c r="Y323" s="201"/>
      <c r="Z323" s="200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77" t="s">
        <v>1</v>
      </c>
      <c r="CX323" s="178" t="s">
        <v>40</v>
      </c>
      <c r="CZ323" s="134">
        <f>CY323*H323</f>
        <v>0</v>
      </c>
      <c r="DA323" s="134">
        <v>4.2599999999999999E-3</v>
      </c>
      <c r="DB323" s="134">
        <f>DA323*H323</f>
        <v>0.15336</v>
      </c>
      <c r="DC323" s="134">
        <v>0</v>
      </c>
      <c r="DD323" s="135">
        <f>DC323*H323</f>
        <v>0</v>
      </c>
      <c r="EB323" s="136" t="s">
        <v>328</v>
      </c>
      <c r="ED323" s="136" t="s">
        <v>439</v>
      </c>
      <c r="EE323" s="136" t="s">
        <v>83</v>
      </c>
      <c r="EI323" s="16" t="s">
        <v>282</v>
      </c>
      <c r="EO323" s="137">
        <f>IF(CX323="základní",J323,0)</f>
        <v>71439.009999999995</v>
      </c>
      <c r="EP323" s="137">
        <f>IF(CX323="snížená",J323,0)</f>
        <v>0</v>
      </c>
      <c r="EQ323" s="137">
        <f>IF(CX323="zákl. přenesená",J323,0)</f>
        <v>0</v>
      </c>
      <c r="ER323" s="137">
        <f>IF(CX323="sníž. přenesená",J323,0)</f>
        <v>0</v>
      </c>
      <c r="ES323" s="137">
        <f>IF(CX323="nulová",J323,0)</f>
        <v>0</v>
      </c>
      <c r="ET323" s="16" t="s">
        <v>81</v>
      </c>
      <c r="EU323" s="137">
        <f>ROUND(I323*H323,2)</f>
        <v>71439.009999999995</v>
      </c>
      <c r="EV323" s="16" t="s">
        <v>95</v>
      </c>
      <c r="EW323" s="136" t="s">
        <v>571</v>
      </c>
    </row>
    <row r="324" spans="2:153" s="1" customFormat="1" x14ac:dyDescent="0.2">
      <c r="B324" s="31"/>
      <c r="D324" s="138" t="s">
        <v>289</v>
      </c>
      <c r="F324" s="139" t="s">
        <v>570</v>
      </c>
      <c r="I324" s="140"/>
      <c r="L324" s="31"/>
      <c r="N324" s="213"/>
      <c r="O324" s="214"/>
      <c r="Q324" s="229"/>
      <c r="CW324" s="141"/>
      <c r="DD324" s="50"/>
      <c r="ED324" s="16" t="s">
        <v>289</v>
      </c>
      <c r="EE324" s="16" t="s">
        <v>83</v>
      </c>
    </row>
    <row r="325" spans="2:153" s="1" customFormat="1" ht="24.2" customHeight="1" x14ac:dyDescent="0.2">
      <c r="B325" s="124"/>
      <c r="C325" s="125" t="s">
        <v>572</v>
      </c>
      <c r="D325" s="125" t="s">
        <v>284</v>
      </c>
      <c r="E325" s="126" t="s">
        <v>573</v>
      </c>
      <c r="F325" s="127" t="s">
        <v>574</v>
      </c>
      <c r="G325" s="128" t="s">
        <v>344</v>
      </c>
      <c r="H325" s="129">
        <v>984</v>
      </c>
      <c r="I325" s="130">
        <v>42.624706500000002</v>
      </c>
      <c r="J325" s="131">
        <f>ROUND(I325*H325,2)</f>
        <v>41942.71</v>
      </c>
      <c r="K325" s="127" t="s">
        <v>1</v>
      </c>
      <c r="L325" s="198">
        <f>S325</f>
        <v>0</v>
      </c>
      <c r="M325" s="206">
        <f>ROUND(L325*I325,2)</f>
        <v>0</v>
      </c>
      <c r="N325" s="211">
        <v>-0.15</v>
      </c>
      <c r="O325" s="212">
        <f>ROUND(N325*I325,2)</f>
        <v>-6.39</v>
      </c>
      <c r="P325" s="207">
        <f>H325-L325-N325</f>
        <v>984.15</v>
      </c>
      <c r="Q325" s="228">
        <f>ROUND(P325*I325,2)</f>
        <v>41949.1</v>
      </c>
      <c r="R325" s="199"/>
      <c r="S325" s="200">
        <f>W325+Y325+AA325+AC325+AE325+AG325+AI325+AK325+AM325+AO325+AQ325+AS325+AU325+AW325</f>
        <v>0</v>
      </c>
      <c r="T325" s="200">
        <f>ROUND(S325*I325,2)</f>
        <v>0</v>
      </c>
      <c r="U325" s="200">
        <f>H325-S325</f>
        <v>984</v>
      </c>
      <c r="V325" s="200">
        <f>ROUND(U325*I325,2)</f>
        <v>41942.71</v>
      </c>
      <c r="W325" s="203"/>
      <c r="X325" s="203"/>
      <c r="Y325" s="200"/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0"/>
      <c r="AP325" s="200"/>
      <c r="AQ325" s="200"/>
      <c r="AR325" s="200"/>
      <c r="AS325" s="200"/>
      <c r="AT325" s="200"/>
      <c r="AU325" s="200"/>
      <c r="AV325" s="200"/>
      <c r="AW325" s="200"/>
      <c r="AX325" s="200"/>
      <c r="CW325" s="132" t="s">
        <v>1</v>
      </c>
      <c r="CX325" s="133" t="s">
        <v>40</v>
      </c>
      <c r="CZ325" s="134">
        <f>CY325*H325</f>
        <v>0</v>
      </c>
      <c r="DA325" s="134">
        <v>0</v>
      </c>
      <c r="DB325" s="134">
        <f>DA325*H325</f>
        <v>0</v>
      </c>
      <c r="DC325" s="134">
        <v>0</v>
      </c>
      <c r="DD325" s="135">
        <f>DC325*H325</f>
        <v>0</v>
      </c>
      <c r="EB325" s="136" t="s">
        <v>95</v>
      </c>
      <c r="ED325" s="136" t="s">
        <v>284</v>
      </c>
      <c r="EE325" s="136" t="s">
        <v>83</v>
      </c>
      <c r="EI325" s="16" t="s">
        <v>282</v>
      </c>
      <c r="EO325" s="137">
        <f>IF(CX325="základní",J325,0)</f>
        <v>41942.71</v>
      </c>
      <c r="EP325" s="137">
        <f>IF(CX325="snížená",J325,0)</f>
        <v>0</v>
      </c>
      <c r="EQ325" s="137">
        <f>IF(CX325="zákl. přenesená",J325,0)</f>
        <v>0</v>
      </c>
      <c r="ER325" s="137">
        <f>IF(CX325="sníž. přenesená",J325,0)</f>
        <v>0</v>
      </c>
      <c r="ES325" s="137">
        <f>IF(CX325="nulová",J325,0)</f>
        <v>0</v>
      </c>
      <c r="ET325" s="16" t="s">
        <v>81</v>
      </c>
      <c r="EU325" s="137">
        <f>ROUND(I325*H325,2)</f>
        <v>41942.71</v>
      </c>
      <c r="EV325" s="16" t="s">
        <v>95</v>
      </c>
      <c r="EW325" s="136" t="s">
        <v>575</v>
      </c>
    </row>
    <row r="326" spans="2:153" s="1" customFormat="1" ht="19.5" x14ac:dyDescent="0.2">
      <c r="B326" s="31"/>
      <c r="D326" s="138" t="s">
        <v>289</v>
      </c>
      <c r="F326" s="139" t="s">
        <v>574</v>
      </c>
      <c r="I326" s="140"/>
      <c r="L326" s="31"/>
      <c r="N326" s="213"/>
      <c r="O326" s="214"/>
      <c r="Q326" s="229"/>
      <c r="CW326" s="141"/>
      <c r="DD326" s="50"/>
      <c r="ED326" s="16" t="s">
        <v>289</v>
      </c>
      <c r="EE326" s="16" t="s">
        <v>83</v>
      </c>
    </row>
    <row r="327" spans="2:153" s="1" customFormat="1" ht="14.45" customHeight="1" x14ac:dyDescent="0.2">
      <c r="B327" s="124"/>
      <c r="C327" s="125" t="s">
        <v>576</v>
      </c>
      <c r="D327" s="125" t="s">
        <v>284</v>
      </c>
      <c r="E327" s="126" t="s">
        <v>577</v>
      </c>
      <c r="F327" s="127" t="s">
        <v>578</v>
      </c>
      <c r="G327" s="128" t="s">
        <v>344</v>
      </c>
      <c r="H327" s="129">
        <v>984</v>
      </c>
      <c r="I327" s="130">
        <v>18.944313999999999</v>
      </c>
      <c r="J327" s="131">
        <f>ROUND(I327*H327,2)</f>
        <v>18641.2</v>
      </c>
      <c r="K327" s="127" t="s">
        <v>1</v>
      </c>
      <c r="L327" s="198">
        <f>S327</f>
        <v>0</v>
      </c>
      <c r="M327" s="206">
        <f>ROUND(L327*I327,2)</f>
        <v>0</v>
      </c>
      <c r="N327" s="211">
        <v>-0.15</v>
      </c>
      <c r="O327" s="212">
        <f>ROUND(N327*I327,2)</f>
        <v>-2.84</v>
      </c>
      <c r="P327" s="207">
        <f>H327-L327-N327</f>
        <v>984.15</v>
      </c>
      <c r="Q327" s="228">
        <f>ROUND(P327*I327,2)</f>
        <v>18644.05</v>
      </c>
      <c r="R327" s="199"/>
      <c r="S327" s="200">
        <f>W327+Y327+AA327+AC327+AE327+AG327+AI327+AK327+AM327+AO327+AQ327+AS327+AU327+AW327</f>
        <v>0</v>
      </c>
      <c r="T327" s="200">
        <f>ROUND(S327*I327,2)</f>
        <v>0</v>
      </c>
      <c r="U327" s="200">
        <f>H327-S327</f>
        <v>984</v>
      </c>
      <c r="V327" s="200">
        <f>ROUND(U327*I327,2)</f>
        <v>18641.2</v>
      </c>
      <c r="W327" s="203"/>
      <c r="X327" s="203"/>
      <c r="Y327" s="200"/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AM327" s="200"/>
      <c r="AN327" s="200"/>
      <c r="AO327" s="200"/>
      <c r="AP327" s="200"/>
      <c r="AQ327" s="200"/>
      <c r="AR327" s="200"/>
      <c r="AS327" s="200"/>
      <c r="AT327" s="200"/>
      <c r="AU327" s="200"/>
      <c r="AV327" s="200"/>
      <c r="AW327" s="200"/>
      <c r="AX327" s="200"/>
      <c r="CW327" s="132" t="s">
        <v>1</v>
      </c>
      <c r="CX327" s="133" t="s">
        <v>40</v>
      </c>
      <c r="CZ327" s="134">
        <f>CY327*H327</f>
        <v>0</v>
      </c>
      <c r="DA327" s="134">
        <v>0</v>
      </c>
      <c r="DB327" s="134">
        <f>DA327*H327</f>
        <v>0</v>
      </c>
      <c r="DC327" s="134">
        <v>0</v>
      </c>
      <c r="DD327" s="135">
        <f>DC327*H327</f>
        <v>0</v>
      </c>
      <c r="EB327" s="136" t="s">
        <v>95</v>
      </c>
      <c r="ED327" s="136" t="s">
        <v>284</v>
      </c>
      <c r="EE327" s="136" t="s">
        <v>83</v>
      </c>
      <c r="EI327" s="16" t="s">
        <v>282</v>
      </c>
      <c r="EO327" s="137">
        <f>IF(CX327="základní",J327,0)</f>
        <v>18641.2</v>
      </c>
      <c r="EP327" s="137">
        <f>IF(CX327="snížená",J327,0)</f>
        <v>0</v>
      </c>
      <c r="EQ327" s="137">
        <f>IF(CX327="zákl. přenesená",J327,0)</f>
        <v>0</v>
      </c>
      <c r="ER327" s="137">
        <f>IF(CX327="sníž. přenesená",J327,0)</f>
        <v>0</v>
      </c>
      <c r="ES327" s="137">
        <f>IF(CX327="nulová",J327,0)</f>
        <v>0</v>
      </c>
      <c r="ET327" s="16" t="s">
        <v>81</v>
      </c>
      <c r="EU327" s="137">
        <f>ROUND(I327*H327,2)</f>
        <v>18641.2</v>
      </c>
      <c r="EV327" s="16" t="s">
        <v>95</v>
      </c>
      <c r="EW327" s="136" t="s">
        <v>579</v>
      </c>
    </row>
    <row r="328" spans="2:153" s="1" customFormat="1" x14ac:dyDescent="0.2">
      <c r="B328" s="31"/>
      <c r="D328" s="138" t="s">
        <v>289</v>
      </c>
      <c r="F328" s="139" t="s">
        <v>578</v>
      </c>
      <c r="I328" s="140"/>
      <c r="L328" s="31"/>
      <c r="N328" s="213"/>
      <c r="O328" s="214"/>
      <c r="Q328" s="229"/>
      <c r="CW328" s="141"/>
      <c r="DD328" s="50"/>
      <c r="ED328" s="16" t="s">
        <v>289</v>
      </c>
      <c r="EE328" s="16" t="s">
        <v>83</v>
      </c>
    </row>
    <row r="329" spans="2:153" s="1" customFormat="1" ht="29.25" x14ac:dyDescent="0.2">
      <c r="B329" s="31"/>
      <c r="D329" s="138" t="s">
        <v>299</v>
      </c>
      <c r="F329" s="142" t="s">
        <v>580</v>
      </c>
      <c r="I329" s="140"/>
      <c r="L329" s="31"/>
      <c r="N329" s="213"/>
      <c r="O329" s="214"/>
      <c r="Q329" s="229"/>
      <c r="CW329" s="141"/>
      <c r="DD329" s="50"/>
      <c r="ED329" s="16" t="s">
        <v>299</v>
      </c>
      <c r="EE329" s="16" t="s">
        <v>83</v>
      </c>
    </row>
    <row r="330" spans="2:153" s="1" customFormat="1" ht="24.2" customHeight="1" x14ac:dyDescent="0.2">
      <c r="B330" s="124"/>
      <c r="C330" s="125" t="s">
        <v>581</v>
      </c>
      <c r="D330" s="125" t="s">
        <v>284</v>
      </c>
      <c r="E330" s="126" t="s">
        <v>582</v>
      </c>
      <c r="F330" s="127" t="s">
        <v>583</v>
      </c>
      <c r="G330" s="128" t="s">
        <v>584</v>
      </c>
      <c r="H330" s="129">
        <v>24</v>
      </c>
      <c r="I330" s="130">
        <v>933.22469567263556</v>
      </c>
      <c r="J330" s="131">
        <f>ROUND(I330*H330,2)</f>
        <v>22397.39</v>
      </c>
      <c r="K330" s="127" t="s">
        <v>293</v>
      </c>
      <c r="L330" s="198">
        <f>S330</f>
        <v>0</v>
      </c>
      <c r="M330" s="206">
        <f>ROUND(L330*I330,2)</f>
        <v>0</v>
      </c>
      <c r="N330" s="211"/>
      <c r="O330" s="212">
        <f>ROUND(N330*I330,2)</f>
        <v>0</v>
      </c>
      <c r="P330" s="207">
        <f>H330-L330-N330</f>
        <v>24</v>
      </c>
      <c r="Q330" s="228">
        <f>ROUND(P330*I330,2)</f>
        <v>22397.39</v>
      </c>
      <c r="R330" s="199"/>
      <c r="S330" s="200">
        <f>W330+Y330+AA330+AC330+AE330+AG330+AI330+AK330+AM330+AO330+AQ330+AS330+AU330+AW330</f>
        <v>0</v>
      </c>
      <c r="T330" s="200">
        <f>ROUND(S330*I330,2)</f>
        <v>0</v>
      </c>
      <c r="U330" s="200">
        <f>H330-S330</f>
        <v>24</v>
      </c>
      <c r="V330" s="200">
        <f>ROUND(U330*I330,2)</f>
        <v>22397.39</v>
      </c>
      <c r="W330" s="203"/>
      <c r="X330" s="203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0"/>
      <c r="AP330" s="200"/>
      <c r="AQ330" s="200"/>
      <c r="AR330" s="200"/>
      <c r="AS330" s="200"/>
      <c r="AT330" s="200"/>
      <c r="AU330" s="200"/>
      <c r="AV330" s="200"/>
      <c r="AW330" s="200"/>
      <c r="AX330" s="200"/>
      <c r="CW330" s="132" t="s">
        <v>1</v>
      </c>
      <c r="CX330" s="133" t="s">
        <v>40</v>
      </c>
      <c r="CZ330" s="134">
        <f>CY330*H330</f>
        <v>0</v>
      </c>
      <c r="DA330" s="134">
        <v>3.1E-4</v>
      </c>
      <c r="DB330" s="134">
        <f>DA330*H330</f>
        <v>7.4400000000000004E-3</v>
      </c>
      <c r="DC330" s="134">
        <v>0</v>
      </c>
      <c r="DD330" s="135">
        <f>DC330*H330</f>
        <v>0</v>
      </c>
      <c r="EB330" s="136" t="s">
        <v>95</v>
      </c>
      <c r="ED330" s="136" t="s">
        <v>284</v>
      </c>
      <c r="EE330" s="136" t="s">
        <v>83</v>
      </c>
      <c r="EI330" s="16" t="s">
        <v>282</v>
      </c>
      <c r="EO330" s="137">
        <f>IF(CX330="základní",J330,0)</f>
        <v>22397.39</v>
      </c>
      <c r="EP330" s="137">
        <f>IF(CX330="snížená",J330,0)</f>
        <v>0</v>
      </c>
      <c r="EQ330" s="137">
        <f>IF(CX330="zákl. přenesená",J330,0)</f>
        <v>0</v>
      </c>
      <c r="ER330" s="137">
        <f>IF(CX330="sníž. přenesená",J330,0)</f>
        <v>0</v>
      </c>
      <c r="ES330" s="137">
        <f>IF(CX330="nulová",J330,0)</f>
        <v>0</v>
      </c>
      <c r="ET330" s="16" t="s">
        <v>81</v>
      </c>
      <c r="EU330" s="137">
        <f>ROUND(I330*H330,2)</f>
        <v>22397.39</v>
      </c>
      <c r="EV330" s="16" t="s">
        <v>95</v>
      </c>
      <c r="EW330" s="136" t="s">
        <v>585</v>
      </c>
    </row>
    <row r="331" spans="2:153" s="1" customFormat="1" x14ac:dyDescent="0.2">
      <c r="B331" s="31"/>
      <c r="D331" s="138" t="s">
        <v>289</v>
      </c>
      <c r="F331" s="139" t="s">
        <v>586</v>
      </c>
      <c r="I331" s="140"/>
      <c r="L331" s="31"/>
      <c r="N331" s="213"/>
      <c r="O331" s="214"/>
      <c r="Q331" s="229"/>
      <c r="CW331" s="141"/>
      <c r="DD331" s="50"/>
      <c r="ED331" s="16" t="s">
        <v>289</v>
      </c>
      <c r="EE331" s="16" t="s">
        <v>83</v>
      </c>
    </row>
    <row r="332" spans="2:153" s="1" customFormat="1" ht="19.5" x14ac:dyDescent="0.2">
      <c r="B332" s="31"/>
      <c r="D332" s="138" t="s">
        <v>299</v>
      </c>
      <c r="F332" s="142" t="s">
        <v>587</v>
      </c>
      <c r="I332" s="140"/>
      <c r="L332" s="31"/>
      <c r="N332" s="213"/>
      <c r="O332" s="214"/>
      <c r="Q332" s="229"/>
      <c r="CW332" s="141"/>
      <c r="DD332" s="50"/>
      <c r="ED332" s="16" t="s">
        <v>299</v>
      </c>
      <c r="EE332" s="16" t="s">
        <v>83</v>
      </c>
    </row>
    <row r="333" spans="2:153" s="11" customFormat="1" x14ac:dyDescent="0.2">
      <c r="B333" s="143"/>
      <c r="D333" s="138" t="s">
        <v>301</v>
      </c>
      <c r="E333" s="144" t="s">
        <v>1</v>
      </c>
      <c r="F333" s="145" t="s">
        <v>588</v>
      </c>
      <c r="H333" s="144" t="s">
        <v>1</v>
      </c>
      <c r="I333" s="146"/>
      <c r="L333" s="143"/>
      <c r="N333" s="215"/>
      <c r="O333" s="216"/>
      <c r="Q333" s="230"/>
      <c r="CW333" s="147"/>
      <c r="DD333" s="148"/>
      <c r="ED333" s="144" t="s">
        <v>301</v>
      </c>
      <c r="EE333" s="144" t="s">
        <v>83</v>
      </c>
      <c r="EF333" s="11" t="s">
        <v>81</v>
      </c>
      <c r="EG333" s="11" t="s">
        <v>32</v>
      </c>
      <c r="EH333" s="11" t="s">
        <v>74</v>
      </c>
      <c r="EI333" s="144" t="s">
        <v>282</v>
      </c>
    </row>
    <row r="334" spans="2:153" s="12" customFormat="1" x14ac:dyDescent="0.2">
      <c r="B334" s="149"/>
      <c r="D334" s="138" t="s">
        <v>301</v>
      </c>
      <c r="E334" s="150" t="s">
        <v>1</v>
      </c>
      <c r="F334" s="151" t="s">
        <v>438</v>
      </c>
      <c r="H334" s="152">
        <v>24</v>
      </c>
      <c r="I334" s="153"/>
      <c r="L334" s="149"/>
      <c r="N334" s="217"/>
      <c r="O334" s="218"/>
      <c r="Q334" s="231"/>
      <c r="CW334" s="154"/>
      <c r="DD334" s="155"/>
      <c r="ED334" s="150" t="s">
        <v>301</v>
      </c>
      <c r="EE334" s="150" t="s">
        <v>83</v>
      </c>
      <c r="EF334" s="12" t="s">
        <v>83</v>
      </c>
      <c r="EG334" s="12" t="s">
        <v>32</v>
      </c>
      <c r="EH334" s="12" t="s">
        <v>81</v>
      </c>
      <c r="EI334" s="150" t="s">
        <v>282</v>
      </c>
    </row>
    <row r="335" spans="2:153" s="1" customFormat="1" ht="24.2" customHeight="1" x14ac:dyDescent="0.2">
      <c r="B335" s="124"/>
      <c r="C335" s="125" t="s">
        <v>589</v>
      </c>
      <c r="D335" s="125" t="s">
        <v>284</v>
      </c>
      <c r="E335" s="126" t="s">
        <v>590</v>
      </c>
      <c r="F335" s="127" t="s">
        <v>591</v>
      </c>
      <c r="G335" s="128" t="s">
        <v>344</v>
      </c>
      <c r="H335" s="129">
        <v>984</v>
      </c>
      <c r="I335" s="130">
        <v>29.453410986389244</v>
      </c>
      <c r="J335" s="131">
        <f>ROUND(I335*H335,2)</f>
        <v>28982.16</v>
      </c>
      <c r="K335" s="127" t="s">
        <v>293</v>
      </c>
      <c r="L335" s="198">
        <f>S335</f>
        <v>0</v>
      </c>
      <c r="M335" s="206">
        <f>ROUND(L335*I335,2)</f>
        <v>0</v>
      </c>
      <c r="N335" s="211">
        <v>-0.15</v>
      </c>
      <c r="O335" s="212">
        <f>ROUND(N335*I335,2)</f>
        <v>-4.42</v>
      </c>
      <c r="P335" s="207">
        <f>H335-L335-N335</f>
        <v>984.15</v>
      </c>
      <c r="Q335" s="228">
        <f>ROUND(P335*I335,2)</f>
        <v>28986.57</v>
      </c>
      <c r="R335" s="199"/>
      <c r="S335" s="200">
        <f>W335+Y335+AA335+AC335+AE335+AG335+AI335+AK335+AM335+AO335+AQ335+AS335+AU335+AW335</f>
        <v>0</v>
      </c>
      <c r="T335" s="200">
        <f>ROUND(S335*I335,2)</f>
        <v>0</v>
      </c>
      <c r="U335" s="200">
        <f>H335-S335</f>
        <v>984</v>
      </c>
      <c r="V335" s="200">
        <f>ROUND(U335*I335,2)</f>
        <v>28982.16</v>
      </c>
      <c r="W335" s="203"/>
      <c r="X335" s="203"/>
      <c r="Y335" s="200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0"/>
      <c r="AP335" s="200"/>
      <c r="AQ335" s="200"/>
      <c r="AR335" s="200"/>
      <c r="AS335" s="200"/>
      <c r="AT335" s="200"/>
      <c r="AU335" s="200"/>
      <c r="AV335" s="200"/>
      <c r="AW335" s="200"/>
      <c r="AX335" s="200"/>
      <c r="CW335" s="132" t="s">
        <v>1</v>
      </c>
      <c r="CX335" s="133" t="s">
        <v>40</v>
      </c>
      <c r="CZ335" s="134">
        <f>CY335*H335</f>
        <v>0</v>
      </c>
      <c r="DA335" s="134">
        <v>0</v>
      </c>
      <c r="DB335" s="134">
        <f>DA335*H335</f>
        <v>0</v>
      </c>
      <c r="DC335" s="134">
        <v>0</v>
      </c>
      <c r="DD335" s="135">
        <f>DC335*H335</f>
        <v>0</v>
      </c>
      <c r="EB335" s="136" t="s">
        <v>95</v>
      </c>
      <c r="ED335" s="136" t="s">
        <v>284</v>
      </c>
      <c r="EE335" s="136" t="s">
        <v>83</v>
      </c>
      <c r="EI335" s="16" t="s">
        <v>282</v>
      </c>
      <c r="EO335" s="137">
        <f>IF(CX335="základní",J335,0)</f>
        <v>28982.16</v>
      </c>
      <c r="EP335" s="137">
        <f>IF(CX335="snížená",J335,0)</f>
        <v>0</v>
      </c>
      <c r="EQ335" s="137">
        <f>IF(CX335="zákl. přenesená",J335,0)</f>
        <v>0</v>
      </c>
      <c r="ER335" s="137">
        <f>IF(CX335="sníž. přenesená",J335,0)</f>
        <v>0</v>
      </c>
      <c r="ES335" s="137">
        <f>IF(CX335="nulová",J335,0)</f>
        <v>0</v>
      </c>
      <c r="ET335" s="16" t="s">
        <v>81</v>
      </c>
      <c r="EU335" s="137">
        <f>ROUND(I335*H335,2)</f>
        <v>28982.16</v>
      </c>
      <c r="EV335" s="16" t="s">
        <v>95</v>
      </c>
      <c r="EW335" s="136" t="s">
        <v>592</v>
      </c>
    </row>
    <row r="336" spans="2:153" s="1" customFormat="1" x14ac:dyDescent="0.2">
      <c r="B336" s="31"/>
      <c r="D336" s="138" t="s">
        <v>289</v>
      </c>
      <c r="F336" s="139" t="s">
        <v>593</v>
      </c>
      <c r="I336" s="140"/>
      <c r="L336" s="31"/>
      <c r="N336" s="213"/>
      <c r="O336" s="214"/>
      <c r="Q336" s="229"/>
      <c r="CW336" s="141"/>
      <c r="DD336" s="50"/>
      <c r="ED336" s="16" t="s">
        <v>289</v>
      </c>
      <c r="EE336" s="16" t="s">
        <v>83</v>
      </c>
    </row>
    <row r="337" spans="2:153" s="1" customFormat="1" ht="19.5" x14ac:dyDescent="0.2">
      <c r="B337" s="31"/>
      <c r="D337" s="138" t="s">
        <v>299</v>
      </c>
      <c r="F337" s="142" t="s">
        <v>587</v>
      </c>
      <c r="I337" s="140"/>
      <c r="L337" s="31"/>
      <c r="N337" s="213"/>
      <c r="O337" s="214"/>
      <c r="Q337" s="229"/>
      <c r="CW337" s="141"/>
      <c r="DD337" s="50"/>
      <c r="ED337" s="16" t="s">
        <v>299</v>
      </c>
      <c r="EE337" s="16" t="s">
        <v>83</v>
      </c>
    </row>
    <row r="338" spans="2:153" s="1" customFormat="1" ht="24.2" customHeight="1" x14ac:dyDescent="0.2">
      <c r="B338" s="124"/>
      <c r="C338" s="125" t="s">
        <v>594</v>
      </c>
      <c r="D338" s="125" t="s">
        <v>284</v>
      </c>
      <c r="E338" s="126" t="s">
        <v>595</v>
      </c>
      <c r="F338" s="127" t="s">
        <v>596</v>
      </c>
      <c r="G338" s="128" t="s">
        <v>485</v>
      </c>
      <c r="H338" s="129">
        <v>53</v>
      </c>
      <c r="I338" s="130">
        <v>867.6587001634532</v>
      </c>
      <c r="J338" s="131">
        <f>ROUND(I338*H338,2)</f>
        <v>45985.91</v>
      </c>
      <c r="K338" s="127" t="s">
        <v>293</v>
      </c>
      <c r="L338" s="198">
        <f>S338</f>
        <v>0</v>
      </c>
      <c r="M338" s="206">
        <f>ROUND(L338*I338,2)</f>
        <v>0</v>
      </c>
      <c r="N338" s="211"/>
      <c r="O338" s="212">
        <f>ROUND(N338*I338,2)</f>
        <v>0</v>
      </c>
      <c r="P338" s="207">
        <f>H338-L338-N338</f>
        <v>53</v>
      </c>
      <c r="Q338" s="228">
        <f>ROUND(P338*I338,2)</f>
        <v>45985.91</v>
      </c>
      <c r="R338" s="199"/>
      <c r="S338" s="200">
        <f>W338+Y338+AA338+AC338+AE338+AG338+AI338+AK338+AM338+AO338+AQ338+AS338+AU338+AW338</f>
        <v>0</v>
      </c>
      <c r="T338" s="200">
        <f>ROUND(S338*I338,2)</f>
        <v>0</v>
      </c>
      <c r="U338" s="200">
        <f>H338-S338</f>
        <v>53</v>
      </c>
      <c r="V338" s="200">
        <f>ROUND(U338*I338,2)</f>
        <v>45985.91</v>
      </c>
      <c r="W338" s="203"/>
      <c r="X338" s="203"/>
      <c r="Y338" s="200"/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0"/>
      <c r="AP338" s="200"/>
      <c r="AQ338" s="200"/>
      <c r="AR338" s="200"/>
      <c r="AS338" s="200"/>
      <c r="AT338" s="200"/>
      <c r="AU338" s="200"/>
      <c r="AV338" s="200"/>
      <c r="AW338" s="200"/>
      <c r="AX338" s="200"/>
      <c r="CW338" s="132" t="s">
        <v>1</v>
      </c>
      <c r="CX338" s="133" t="s">
        <v>40</v>
      </c>
      <c r="CZ338" s="134">
        <f>CY338*H338</f>
        <v>0</v>
      </c>
      <c r="DA338" s="134">
        <v>1.0189999999999999E-2</v>
      </c>
      <c r="DB338" s="134">
        <f>DA338*H338</f>
        <v>0.54006999999999994</v>
      </c>
      <c r="DC338" s="134">
        <v>0</v>
      </c>
      <c r="DD338" s="135">
        <f>DC338*H338</f>
        <v>0</v>
      </c>
      <c r="EB338" s="136" t="s">
        <v>95</v>
      </c>
      <c r="ED338" s="136" t="s">
        <v>284</v>
      </c>
      <c r="EE338" s="136" t="s">
        <v>83</v>
      </c>
      <c r="EI338" s="16" t="s">
        <v>282</v>
      </c>
      <c r="EO338" s="137">
        <f>IF(CX338="základní",J338,0)</f>
        <v>45985.91</v>
      </c>
      <c r="EP338" s="137">
        <f>IF(CX338="snížená",J338,0)</f>
        <v>0</v>
      </c>
      <c r="EQ338" s="137">
        <f>IF(CX338="zákl. přenesená",J338,0)</f>
        <v>0</v>
      </c>
      <c r="ER338" s="137">
        <f>IF(CX338="sníž. přenesená",J338,0)</f>
        <v>0</v>
      </c>
      <c r="ES338" s="137">
        <f>IF(CX338="nulová",J338,0)</f>
        <v>0</v>
      </c>
      <c r="ET338" s="16" t="s">
        <v>81</v>
      </c>
      <c r="EU338" s="137">
        <f>ROUND(I338*H338,2)</f>
        <v>45985.91</v>
      </c>
      <c r="EV338" s="16" t="s">
        <v>95</v>
      </c>
      <c r="EW338" s="136" t="s">
        <v>597</v>
      </c>
    </row>
    <row r="339" spans="2:153" s="1" customFormat="1" ht="19.5" x14ac:dyDescent="0.2">
      <c r="B339" s="31"/>
      <c r="D339" s="138" t="s">
        <v>289</v>
      </c>
      <c r="F339" s="139" t="s">
        <v>596</v>
      </c>
      <c r="I339" s="140"/>
      <c r="L339" s="31"/>
      <c r="N339" s="213"/>
      <c r="O339" s="214"/>
      <c r="Q339" s="229"/>
      <c r="CW339" s="141"/>
      <c r="DD339" s="50"/>
      <c r="ED339" s="16" t="s">
        <v>289</v>
      </c>
      <c r="EE339" s="16" t="s">
        <v>83</v>
      </c>
    </row>
    <row r="340" spans="2:153" s="1" customFormat="1" ht="19.5" x14ac:dyDescent="0.2">
      <c r="B340" s="31"/>
      <c r="D340" s="138" t="s">
        <v>299</v>
      </c>
      <c r="F340" s="142" t="s">
        <v>317</v>
      </c>
      <c r="I340" s="140"/>
      <c r="L340" s="31"/>
      <c r="N340" s="213"/>
      <c r="O340" s="214"/>
      <c r="Q340" s="229"/>
      <c r="CW340" s="141"/>
      <c r="DD340" s="50"/>
      <c r="ED340" s="16" t="s">
        <v>299</v>
      </c>
      <c r="EE340" s="16" t="s">
        <v>83</v>
      </c>
    </row>
    <row r="341" spans="2:153" s="12" customFormat="1" x14ac:dyDescent="0.2">
      <c r="B341" s="149"/>
      <c r="D341" s="138" t="s">
        <v>301</v>
      </c>
      <c r="E341" s="150" t="s">
        <v>1</v>
      </c>
      <c r="F341" s="151" t="s">
        <v>598</v>
      </c>
      <c r="H341" s="152">
        <v>53</v>
      </c>
      <c r="I341" s="153"/>
      <c r="L341" s="149"/>
      <c r="N341" s="217"/>
      <c r="O341" s="218"/>
      <c r="Q341" s="231"/>
      <c r="CW341" s="154"/>
      <c r="DD341" s="155"/>
      <c r="ED341" s="150" t="s">
        <v>301</v>
      </c>
      <c r="EE341" s="150" t="s">
        <v>83</v>
      </c>
      <c r="EF341" s="12" t="s">
        <v>83</v>
      </c>
      <c r="EG341" s="12" t="s">
        <v>32</v>
      </c>
      <c r="EH341" s="12" t="s">
        <v>81</v>
      </c>
      <c r="EI341" s="150" t="s">
        <v>282</v>
      </c>
    </row>
    <row r="342" spans="2:153" s="1" customFormat="1" ht="24.2" customHeight="1" x14ac:dyDescent="0.2">
      <c r="B342" s="124"/>
      <c r="C342" s="170" t="s">
        <v>599</v>
      </c>
      <c r="D342" s="170" t="s">
        <v>439</v>
      </c>
      <c r="E342" s="171" t="s">
        <v>600</v>
      </c>
      <c r="F342" s="172" t="s">
        <v>601</v>
      </c>
      <c r="G342" s="173" t="s">
        <v>485</v>
      </c>
      <c r="H342" s="174">
        <v>9</v>
      </c>
      <c r="I342" s="130">
        <v>1250.3247240000001</v>
      </c>
      <c r="J342" s="176">
        <f>ROUND(I342*H342,2)</f>
        <v>11252.92</v>
      </c>
      <c r="K342" s="172" t="s">
        <v>293</v>
      </c>
      <c r="L342" s="198">
        <f>S342</f>
        <v>0</v>
      </c>
      <c r="M342" s="206">
        <f>ROUND(L342*I342,2)</f>
        <v>0</v>
      </c>
      <c r="N342" s="211"/>
      <c r="O342" s="212">
        <f>ROUND(N342*I342,2)</f>
        <v>0</v>
      </c>
      <c r="P342" s="207">
        <f>H342-L342-N342</f>
        <v>9</v>
      </c>
      <c r="Q342" s="228">
        <f>ROUND(P342*I342,2)</f>
        <v>11252.92</v>
      </c>
      <c r="R342" s="199"/>
      <c r="S342" s="200">
        <f>W342+Y342+AA342+AC342+AE342+AG342+AI342+AK342+AM342+AO342+AQ342+AS342+AU342+AW342</f>
        <v>0</v>
      </c>
      <c r="T342" s="200">
        <f>ROUND(S342*I342,2)</f>
        <v>0</v>
      </c>
      <c r="U342" s="200">
        <f>H342-S342</f>
        <v>9</v>
      </c>
      <c r="V342" s="200">
        <f>ROUND(U342*I342,2)</f>
        <v>11252.92</v>
      </c>
      <c r="W342" s="203"/>
      <c r="X342" s="203"/>
      <c r="Y342" s="201"/>
      <c r="Z342" s="200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77" t="s">
        <v>1</v>
      </c>
      <c r="CX342" s="178" t="s">
        <v>40</v>
      </c>
      <c r="CZ342" s="134">
        <f>CY342*H342</f>
        <v>0</v>
      </c>
      <c r="DA342" s="134">
        <v>0.254</v>
      </c>
      <c r="DB342" s="134">
        <f>DA342*H342</f>
        <v>2.286</v>
      </c>
      <c r="DC342" s="134">
        <v>0</v>
      </c>
      <c r="DD342" s="135">
        <f>DC342*H342</f>
        <v>0</v>
      </c>
      <c r="EB342" s="136" t="s">
        <v>328</v>
      </c>
      <c r="ED342" s="136" t="s">
        <v>439</v>
      </c>
      <c r="EE342" s="136" t="s">
        <v>83</v>
      </c>
      <c r="EI342" s="16" t="s">
        <v>282</v>
      </c>
      <c r="EO342" s="137">
        <f>IF(CX342="základní",J342,0)</f>
        <v>11252.92</v>
      </c>
      <c r="EP342" s="137">
        <f>IF(CX342="snížená",J342,0)</f>
        <v>0</v>
      </c>
      <c r="EQ342" s="137">
        <f>IF(CX342="zákl. přenesená",J342,0)</f>
        <v>0</v>
      </c>
      <c r="ER342" s="137">
        <f>IF(CX342="sníž. přenesená",J342,0)</f>
        <v>0</v>
      </c>
      <c r="ES342" s="137">
        <f>IF(CX342="nulová",J342,0)</f>
        <v>0</v>
      </c>
      <c r="ET342" s="16" t="s">
        <v>81</v>
      </c>
      <c r="EU342" s="137">
        <f>ROUND(I342*H342,2)</f>
        <v>11252.92</v>
      </c>
      <c r="EV342" s="16" t="s">
        <v>95</v>
      </c>
      <c r="EW342" s="136" t="s">
        <v>602</v>
      </c>
    </row>
    <row r="343" spans="2:153" s="1" customFormat="1" x14ac:dyDescent="0.2">
      <c r="B343" s="31"/>
      <c r="D343" s="138" t="s">
        <v>289</v>
      </c>
      <c r="F343" s="139" t="s">
        <v>603</v>
      </c>
      <c r="I343" s="140"/>
      <c r="L343" s="31"/>
      <c r="N343" s="213"/>
      <c r="O343" s="214"/>
      <c r="Q343" s="229"/>
      <c r="CW343" s="141"/>
      <c r="DD343" s="50"/>
      <c r="ED343" s="16" t="s">
        <v>289</v>
      </c>
      <c r="EE343" s="16" t="s">
        <v>83</v>
      </c>
    </row>
    <row r="344" spans="2:153" s="1" customFormat="1" ht="24.2" customHeight="1" x14ac:dyDescent="0.2">
      <c r="B344" s="124"/>
      <c r="C344" s="170" t="s">
        <v>604</v>
      </c>
      <c r="D344" s="170" t="s">
        <v>439</v>
      </c>
      <c r="E344" s="171" t="s">
        <v>605</v>
      </c>
      <c r="F344" s="172" t="s">
        <v>606</v>
      </c>
      <c r="G344" s="173" t="s">
        <v>485</v>
      </c>
      <c r="H344" s="174">
        <v>9</v>
      </c>
      <c r="I344" s="130">
        <v>2008.0972839999999</v>
      </c>
      <c r="J344" s="176">
        <f>ROUND(I344*H344,2)</f>
        <v>18072.88</v>
      </c>
      <c r="K344" s="172" t="s">
        <v>293</v>
      </c>
      <c r="L344" s="198">
        <f>S344</f>
        <v>0</v>
      </c>
      <c r="M344" s="206">
        <f>ROUND(L344*I344,2)</f>
        <v>0</v>
      </c>
      <c r="N344" s="211"/>
      <c r="O344" s="212">
        <f>ROUND(N344*I344,2)</f>
        <v>0</v>
      </c>
      <c r="P344" s="207">
        <f>H344-L344-N344</f>
        <v>9</v>
      </c>
      <c r="Q344" s="228">
        <f>ROUND(P344*I344,2)</f>
        <v>18072.88</v>
      </c>
      <c r="R344" s="199"/>
      <c r="S344" s="200">
        <f>W344+Y344+AA344+AC344+AE344+AG344+AI344+AK344+AM344+AO344+AQ344+AS344+AU344+AW344</f>
        <v>0</v>
      </c>
      <c r="T344" s="200">
        <f>ROUND(S344*I344,2)</f>
        <v>0</v>
      </c>
      <c r="U344" s="200">
        <f>H344-S344</f>
        <v>9</v>
      </c>
      <c r="V344" s="200">
        <f>ROUND(U344*I344,2)</f>
        <v>18072.88</v>
      </c>
      <c r="W344" s="203"/>
      <c r="X344" s="203"/>
      <c r="Y344" s="201"/>
      <c r="Z344" s="200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77" t="s">
        <v>1</v>
      </c>
      <c r="CX344" s="178" t="s">
        <v>40</v>
      </c>
      <c r="CZ344" s="134">
        <f>CY344*H344</f>
        <v>0</v>
      </c>
      <c r="DA344" s="134">
        <v>0.50600000000000001</v>
      </c>
      <c r="DB344" s="134">
        <f>DA344*H344</f>
        <v>4.5540000000000003</v>
      </c>
      <c r="DC344" s="134">
        <v>0</v>
      </c>
      <c r="DD344" s="135">
        <f>DC344*H344</f>
        <v>0</v>
      </c>
      <c r="EB344" s="136" t="s">
        <v>328</v>
      </c>
      <c r="ED344" s="136" t="s">
        <v>439</v>
      </c>
      <c r="EE344" s="136" t="s">
        <v>83</v>
      </c>
      <c r="EI344" s="16" t="s">
        <v>282</v>
      </c>
      <c r="EO344" s="137">
        <f>IF(CX344="základní",J344,0)</f>
        <v>18072.88</v>
      </c>
      <c r="EP344" s="137">
        <f>IF(CX344="snížená",J344,0)</f>
        <v>0</v>
      </c>
      <c r="EQ344" s="137">
        <f>IF(CX344="zákl. přenesená",J344,0)</f>
        <v>0</v>
      </c>
      <c r="ER344" s="137">
        <f>IF(CX344="sníž. přenesená",J344,0)</f>
        <v>0</v>
      </c>
      <c r="ES344" s="137">
        <f>IF(CX344="nulová",J344,0)</f>
        <v>0</v>
      </c>
      <c r="ET344" s="16" t="s">
        <v>81</v>
      </c>
      <c r="EU344" s="137">
        <f>ROUND(I344*H344,2)</f>
        <v>18072.88</v>
      </c>
      <c r="EV344" s="16" t="s">
        <v>95</v>
      </c>
      <c r="EW344" s="136" t="s">
        <v>607</v>
      </c>
    </row>
    <row r="345" spans="2:153" s="1" customFormat="1" x14ac:dyDescent="0.2">
      <c r="B345" s="31"/>
      <c r="D345" s="138" t="s">
        <v>289</v>
      </c>
      <c r="F345" s="139" t="s">
        <v>608</v>
      </c>
      <c r="I345" s="140"/>
      <c r="L345" s="31"/>
      <c r="N345" s="213"/>
      <c r="O345" s="214"/>
      <c r="Q345" s="229"/>
      <c r="CW345" s="141"/>
      <c r="DD345" s="50"/>
      <c r="ED345" s="16" t="s">
        <v>289</v>
      </c>
      <c r="EE345" s="16" t="s">
        <v>83</v>
      </c>
    </row>
    <row r="346" spans="2:153" s="1" customFormat="1" ht="24.2" customHeight="1" x14ac:dyDescent="0.2">
      <c r="B346" s="124"/>
      <c r="C346" s="170" t="s">
        <v>609</v>
      </c>
      <c r="D346" s="170" t="s">
        <v>439</v>
      </c>
      <c r="E346" s="171" t="s">
        <v>610</v>
      </c>
      <c r="F346" s="172" t="s">
        <v>611</v>
      </c>
      <c r="G346" s="173" t="s">
        <v>485</v>
      </c>
      <c r="H346" s="174">
        <v>35</v>
      </c>
      <c r="I346" s="130">
        <v>2661.676117</v>
      </c>
      <c r="J346" s="176">
        <f>ROUND(I346*H346,2)</f>
        <v>93158.66</v>
      </c>
      <c r="K346" s="172" t="s">
        <v>293</v>
      </c>
      <c r="L346" s="198">
        <f>S346</f>
        <v>0</v>
      </c>
      <c r="M346" s="206">
        <f>ROUND(L346*I346,2)</f>
        <v>0</v>
      </c>
      <c r="N346" s="211"/>
      <c r="O346" s="212">
        <f>ROUND(N346*I346,2)</f>
        <v>0</v>
      </c>
      <c r="P346" s="207">
        <f>H346-L346-N346</f>
        <v>35</v>
      </c>
      <c r="Q346" s="228">
        <f>ROUND(P346*I346,2)</f>
        <v>93158.66</v>
      </c>
      <c r="R346" s="199"/>
      <c r="S346" s="200">
        <f>W346+Y346+AA346+AC346+AE346+AG346+AI346+AK346+AM346+AO346+AQ346+AS346+AU346+AW346</f>
        <v>0</v>
      </c>
      <c r="T346" s="200">
        <f>ROUND(S346*I346,2)</f>
        <v>0</v>
      </c>
      <c r="U346" s="200">
        <f>H346-S346</f>
        <v>35</v>
      </c>
      <c r="V346" s="200">
        <f>ROUND(U346*I346,2)</f>
        <v>93158.66</v>
      </c>
      <c r="W346" s="203"/>
      <c r="X346" s="203"/>
      <c r="Y346" s="201"/>
      <c r="Z346" s="200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77" t="s">
        <v>1</v>
      </c>
      <c r="CX346" s="178" t="s">
        <v>40</v>
      </c>
      <c r="CZ346" s="134">
        <f>CY346*H346</f>
        <v>0</v>
      </c>
      <c r="DA346" s="134">
        <v>1.0129999999999999</v>
      </c>
      <c r="DB346" s="134">
        <f>DA346*H346</f>
        <v>35.454999999999998</v>
      </c>
      <c r="DC346" s="134">
        <v>0</v>
      </c>
      <c r="DD346" s="135">
        <f>DC346*H346</f>
        <v>0</v>
      </c>
      <c r="EB346" s="136" t="s">
        <v>328</v>
      </c>
      <c r="ED346" s="136" t="s">
        <v>439</v>
      </c>
      <c r="EE346" s="136" t="s">
        <v>83</v>
      </c>
      <c r="EI346" s="16" t="s">
        <v>282</v>
      </c>
      <c r="EO346" s="137">
        <f>IF(CX346="základní",J346,0)</f>
        <v>93158.66</v>
      </c>
      <c r="EP346" s="137">
        <f>IF(CX346="snížená",J346,0)</f>
        <v>0</v>
      </c>
      <c r="EQ346" s="137">
        <f>IF(CX346="zákl. přenesená",J346,0)</f>
        <v>0</v>
      </c>
      <c r="ER346" s="137">
        <f>IF(CX346="sníž. přenesená",J346,0)</f>
        <v>0</v>
      </c>
      <c r="ES346" s="137">
        <f>IF(CX346="nulová",J346,0)</f>
        <v>0</v>
      </c>
      <c r="ET346" s="16" t="s">
        <v>81</v>
      </c>
      <c r="EU346" s="137">
        <f>ROUND(I346*H346,2)</f>
        <v>93158.66</v>
      </c>
      <c r="EV346" s="16" t="s">
        <v>95</v>
      </c>
      <c r="EW346" s="136" t="s">
        <v>612</v>
      </c>
    </row>
    <row r="347" spans="2:153" s="1" customFormat="1" x14ac:dyDescent="0.2">
      <c r="B347" s="31"/>
      <c r="D347" s="138" t="s">
        <v>289</v>
      </c>
      <c r="F347" s="139" t="s">
        <v>613</v>
      </c>
      <c r="I347" s="140"/>
      <c r="L347" s="31"/>
      <c r="N347" s="213"/>
      <c r="O347" s="214"/>
      <c r="Q347" s="229"/>
      <c r="CW347" s="141"/>
      <c r="DD347" s="50"/>
      <c r="ED347" s="16" t="s">
        <v>289</v>
      </c>
      <c r="EE347" s="16" t="s">
        <v>83</v>
      </c>
    </row>
    <row r="348" spans="2:153" s="1" customFormat="1" ht="24.2" customHeight="1" x14ac:dyDescent="0.2">
      <c r="B348" s="124"/>
      <c r="C348" s="125" t="s">
        <v>614</v>
      </c>
      <c r="D348" s="125" t="s">
        <v>284</v>
      </c>
      <c r="E348" s="126" t="s">
        <v>615</v>
      </c>
      <c r="F348" s="127" t="s">
        <v>616</v>
      </c>
      <c r="G348" s="128" t="s">
        <v>485</v>
      </c>
      <c r="H348" s="129">
        <v>24</v>
      </c>
      <c r="I348" s="130">
        <v>900.06084521218918</v>
      </c>
      <c r="J348" s="131">
        <f>ROUND(I348*H348,2)</f>
        <v>21601.46</v>
      </c>
      <c r="K348" s="127" t="s">
        <v>293</v>
      </c>
      <c r="L348" s="198">
        <f>S348</f>
        <v>0</v>
      </c>
      <c r="M348" s="206">
        <f>ROUND(L348*I348,2)</f>
        <v>0</v>
      </c>
      <c r="N348" s="211"/>
      <c r="O348" s="212">
        <f>ROUND(N348*I348,2)</f>
        <v>0</v>
      </c>
      <c r="P348" s="207">
        <f>H348-L348-N348</f>
        <v>24</v>
      </c>
      <c r="Q348" s="228">
        <f>ROUND(P348*I348,2)</f>
        <v>21601.46</v>
      </c>
      <c r="R348" s="199"/>
      <c r="S348" s="200">
        <f>W348+Y348+AA348+AC348+AE348+AG348+AI348+AK348+AM348+AO348+AQ348+AS348+AU348+AW348</f>
        <v>0</v>
      </c>
      <c r="T348" s="200">
        <f>ROUND(S348*I348,2)</f>
        <v>0</v>
      </c>
      <c r="U348" s="200">
        <f>H348-S348</f>
        <v>24</v>
      </c>
      <c r="V348" s="200">
        <f>ROUND(U348*I348,2)</f>
        <v>21601.46</v>
      </c>
      <c r="W348" s="203"/>
      <c r="X348" s="203"/>
      <c r="Y348" s="200"/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0"/>
      <c r="AP348" s="200"/>
      <c r="AQ348" s="200"/>
      <c r="AR348" s="200"/>
      <c r="AS348" s="200"/>
      <c r="AT348" s="200"/>
      <c r="AU348" s="200"/>
      <c r="AV348" s="200"/>
      <c r="AW348" s="200"/>
      <c r="AX348" s="200"/>
      <c r="CW348" s="132" t="s">
        <v>1</v>
      </c>
      <c r="CX348" s="133" t="s">
        <v>40</v>
      </c>
      <c r="CZ348" s="134">
        <f>CY348*H348</f>
        <v>0</v>
      </c>
      <c r="DA348" s="134">
        <v>1.248E-2</v>
      </c>
      <c r="DB348" s="134">
        <f>DA348*H348</f>
        <v>0.29952000000000001</v>
      </c>
      <c r="DC348" s="134">
        <v>0</v>
      </c>
      <c r="DD348" s="135">
        <f>DC348*H348</f>
        <v>0</v>
      </c>
      <c r="EB348" s="136" t="s">
        <v>95</v>
      </c>
      <c r="ED348" s="136" t="s">
        <v>284</v>
      </c>
      <c r="EE348" s="136" t="s">
        <v>83</v>
      </c>
      <c r="EI348" s="16" t="s">
        <v>282</v>
      </c>
      <c r="EO348" s="137">
        <f>IF(CX348="základní",J348,0)</f>
        <v>21601.46</v>
      </c>
      <c r="EP348" s="137">
        <f>IF(CX348="snížená",J348,0)</f>
        <v>0</v>
      </c>
      <c r="EQ348" s="137">
        <f>IF(CX348="zákl. přenesená",J348,0)</f>
        <v>0</v>
      </c>
      <c r="ER348" s="137">
        <f>IF(CX348="sníž. přenesená",J348,0)</f>
        <v>0</v>
      </c>
      <c r="ES348" s="137">
        <f>IF(CX348="nulová",J348,0)</f>
        <v>0</v>
      </c>
      <c r="ET348" s="16" t="s">
        <v>81</v>
      </c>
      <c r="EU348" s="137">
        <f>ROUND(I348*H348,2)</f>
        <v>21601.46</v>
      </c>
      <c r="EV348" s="16" t="s">
        <v>95</v>
      </c>
      <c r="EW348" s="136" t="s">
        <v>617</v>
      </c>
    </row>
    <row r="349" spans="2:153" s="1" customFormat="1" ht="19.5" x14ac:dyDescent="0.2">
      <c r="B349" s="31"/>
      <c r="D349" s="138" t="s">
        <v>289</v>
      </c>
      <c r="F349" s="139" t="s">
        <v>616</v>
      </c>
      <c r="I349" s="140"/>
      <c r="L349" s="31"/>
      <c r="N349" s="213"/>
      <c r="O349" s="214"/>
      <c r="Q349" s="229"/>
      <c r="CW349" s="141"/>
      <c r="DD349" s="50"/>
      <c r="ED349" s="16" t="s">
        <v>289</v>
      </c>
      <c r="EE349" s="16" t="s">
        <v>83</v>
      </c>
    </row>
    <row r="350" spans="2:153" s="1" customFormat="1" ht="19.5" x14ac:dyDescent="0.2">
      <c r="B350" s="31"/>
      <c r="D350" s="138" t="s">
        <v>299</v>
      </c>
      <c r="F350" s="142" t="s">
        <v>317</v>
      </c>
      <c r="I350" s="140"/>
      <c r="L350" s="31"/>
      <c r="N350" s="213"/>
      <c r="O350" s="214"/>
      <c r="Q350" s="229"/>
      <c r="CW350" s="141"/>
      <c r="DD350" s="50"/>
      <c r="ED350" s="16" t="s">
        <v>299</v>
      </c>
      <c r="EE350" s="16" t="s">
        <v>83</v>
      </c>
    </row>
    <row r="351" spans="2:153" s="12" customFormat="1" x14ac:dyDescent="0.2">
      <c r="B351" s="149"/>
      <c r="D351" s="138" t="s">
        <v>301</v>
      </c>
      <c r="E351" s="150" t="s">
        <v>1</v>
      </c>
      <c r="F351" s="151" t="s">
        <v>438</v>
      </c>
      <c r="H351" s="152">
        <v>24</v>
      </c>
      <c r="I351" s="153"/>
      <c r="L351" s="149"/>
      <c r="N351" s="217"/>
      <c r="O351" s="218"/>
      <c r="Q351" s="231"/>
      <c r="CW351" s="154"/>
      <c r="DD351" s="155"/>
      <c r="ED351" s="150" t="s">
        <v>301</v>
      </c>
      <c r="EE351" s="150" t="s">
        <v>83</v>
      </c>
      <c r="EF351" s="12" t="s">
        <v>83</v>
      </c>
      <c r="EG351" s="12" t="s">
        <v>32</v>
      </c>
      <c r="EH351" s="12" t="s">
        <v>81</v>
      </c>
      <c r="EI351" s="150" t="s">
        <v>282</v>
      </c>
    </row>
    <row r="352" spans="2:153" s="1" customFormat="1" ht="24.2" customHeight="1" x14ac:dyDescent="0.2">
      <c r="B352" s="124"/>
      <c r="C352" s="170" t="s">
        <v>618</v>
      </c>
      <c r="D352" s="170" t="s">
        <v>439</v>
      </c>
      <c r="E352" s="171" t="s">
        <v>619</v>
      </c>
      <c r="F352" s="172" t="s">
        <v>620</v>
      </c>
      <c r="G352" s="173" t="s">
        <v>485</v>
      </c>
      <c r="H352" s="174">
        <v>24</v>
      </c>
      <c r="I352" s="130">
        <v>2453.2886629999998</v>
      </c>
      <c r="J352" s="176">
        <f>ROUND(I352*H352,2)</f>
        <v>58878.93</v>
      </c>
      <c r="K352" s="172" t="s">
        <v>293</v>
      </c>
      <c r="L352" s="198">
        <f>S352</f>
        <v>0</v>
      </c>
      <c r="M352" s="206">
        <f>ROUND(L352*I352,2)</f>
        <v>0</v>
      </c>
      <c r="N352" s="211"/>
      <c r="O352" s="212">
        <f>ROUND(N352*I352,2)</f>
        <v>0</v>
      </c>
      <c r="P352" s="207">
        <f>H352-L352-N352</f>
        <v>24</v>
      </c>
      <c r="Q352" s="228">
        <f>ROUND(P352*I352,2)</f>
        <v>58878.93</v>
      </c>
      <c r="R352" s="199"/>
      <c r="S352" s="200">
        <f>W352+Y352+AA352+AC352+AE352+AG352+AI352+AK352+AM352+AO352+AQ352+AS352+AU352+AW352</f>
        <v>0</v>
      </c>
      <c r="T352" s="200">
        <f>ROUND(S352*I352,2)</f>
        <v>0</v>
      </c>
      <c r="U352" s="200">
        <f>H352-S352</f>
        <v>24</v>
      </c>
      <c r="V352" s="200">
        <f>ROUND(U352*I352,2)</f>
        <v>58878.93</v>
      </c>
      <c r="W352" s="203"/>
      <c r="X352" s="203"/>
      <c r="Y352" s="201"/>
      <c r="Z352" s="200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77" t="s">
        <v>1</v>
      </c>
      <c r="CX352" s="178" t="s">
        <v>40</v>
      </c>
      <c r="CZ352" s="134">
        <f>CY352*H352</f>
        <v>0</v>
      </c>
      <c r="DA352" s="134">
        <v>0.54800000000000004</v>
      </c>
      <c r="DB352" s="134">
        <f>DA352*H352</f>
        <v>13.152000000000001</v>
      </c>
      <c r="DC352" s="134">
        <v>0</v>
      </c>
      <c r="DD352" s="135">
        <f>DC352*H352</f>
        <v>0</v>
      </c>
      <c r="EB352" s="136" t="s">
        <v>328</v>
      </c>
      <c r="ED352" s="136" t="s">
        <v>439</v>
      </c>
      <c r="EE352" s="136" t="s">
        <v>83</v>
      </c>
      <c r="EI352" s="16" t="s">
        <v>282</v>
      </c>
      <c r="EO352" s="137">
        <f>IF(CX352="základní",J352,0)</f>
        <v>58878.93</v>
      </c>
      <c r="EP352" s="137">
        <f>IF(CX352="snížená",J352,0)</f>
        <v>0</v>
      </c>
      <c r="EQ352" s="137">
        <f>IF(CX352="zákl. přenesená",J352,0)</f>
        <v>0</v>
      </c>
      <c r="ER352" s="137">
        <f>IF(CX352="sníž. přenesená",J352,0)</f>
        <v>0</v>
      </c>
      <c r="ES352" s="137">
        <f>IF(CX352="nulová",J352,0)</f>
        <v>0</v>
      </c>
      <c r="ET352" s="16" t="s">
        <v>81</v>
      </c>
      <c r="EU352" s="137">
        <f>ROUND(I352*H352,2)</f>
        <v>58878.93</v>
      </c>
      <c r="EV352" s="16" t="s">
        <v>95</v>
      </c>
      <c r="EW352" s="136" t="s">
        <v>621</v>
      </c>
    </row>
    <row r="353" spans="2:153" s="1" customFormat="1" ht="19.5" x14ac:dyDescent="0.2">
      <c r="B353" s="31"/>
      <c r="D353" s="138" t="s">
        <v>289</v>
      </c>
      <c r="F353" s="139" t="s">
        <v>620</v>
      </c>
      <c r="I353" s="140"/>
      <c r="L353" s="31"/>
      <c r="N353" s="213"/>
      <c r="O353" s="214"/>
      <c r="Q353" s="229"/>
      <c r="CW353" s="141"/>
      <c r="DD353" s="50"/>
      <c r="ED353" s="16" t="s">
        <v>289</v>
      </c>
      <c r="EE353" s="16" t="s">
        <v>83</v>
      </c>
    </row>
    <row r="354" spans="2:153" s="1" customFormat="1" ht="24.2" customHeight="1" x14ac:dyDescent="0.2">
      <c r="B354" s="124"/>
      <c r="C354" s="125" t="s">
        <v>622</v>
      </c>
      <c r="D354" s="125" t="s">
        <v>284</v>
      </c>
      <c r="E354" s="126" t="s">
        <v>623</v>
      </c>
      <c r="F354" s="127" t="s">
        <v>624</v>
      </c>
      <c r="G354" s="128" t="s">
        <v>485</v>
      </c>
      <c r="H354" s="129">
        <v>24</v>
      </c>
      <c r="I354" s="130">
        <v>1039.9593659999746</v>
      </c>
      <c r="J354" s="131">
        <f>ROUND(I354*H354,2)</f>
        <v>24959.02</v>
      </c>
      <c r="K354" s="127" t="s">
        <v>293</v>
      </c>
      <c r="L354" s="198">
        <f>S354</f>
        <v>0</v>
      </c>
      <c r="M354" s="206">
        <f>ROUND(L354*I354,2)</f>
        <v>0</v>
      </c>
      <c r="N354" s="211"/>
      <c r="O354" s="212">
        <f>ROUND(N354*I354,2)</f>
        <v>0</v>
      </c>
      <c r="P354" s="207">
        <f>H354-L354-N354</f>
        <v>24</v>
      </c>
      <c r="Q354" s="228">
        <f>ROUND(P354*I354,2)</f>
        <v>24959.02</v>
      </c>
      <c r="R354" s="199"/>
      <c r="S354" s="200">
        <f>W354+Y354+AA354+AC354+AE354+AG354+AI354+AK354+AM354+AO354+AQ354+AS354+AU354+AW354</f>
        <v>0</v>
      </c>
      <c r="T354" s="200">
        <f>ROUND(S354*I354,2)</f>
        <v>0</v>
      </c>
      <c r="U354" s="200">
        <f>H354-S354</f>
        <v>24</v>
      </c>
      <c r="V354" s="200">
        <f>ROUND(U354*I354,2)</f>
        <v>24959.02</v>
      </c>
      <c r="W354" s="203"/>
      <c r="X354" s="203"/>
      <c r="Y354" s="200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0"/>
      <c r="AP354" s="200"/>
      <c r="AQ354" s="200"/>
      <c r="AR354" s="200"/>
      <c r="AS354" s="200"/>
      <c r="AT354" s="200"/>
      <c r="AU354" s="200"/>
      <c r="AV354" s="200"/>
      <c r="AW354" s="200"/>
      <c r="AX354" s="200"/>
      <c r="CW354" s="132" t="s">
        <v>1</v>
      </c>
      <c r="CX354" s="133" t="s">
        <v>40</v>
      </c>
      <c r="CZ354" s="134">
        <f>CY354*H354</f>
        <v>0</v>
      </c>
      <c r="DA354" s="134">
        <v>2.8539999999999999E-2</v>
      </c>
      <c r="DB354" s="134">
        <f>DA354*H354</f>
        <v>0.68496000000000001</v>
      </c>
      <c r="DC354" s="134">
        <v>0</v>
      </c>
      <c r="DD354" s="135">
        <f>DC354*H354</f>
        <v>0</v>
      </c>
      <c r="EB354" s="136" t="s">
        <v>95</v>
      </c>
      <c r="ED354" s="136" t="s">
        <v>284</v>
      </c>
      <c r="EE354" s="136" t="s">
        <v>83</v>
      </c>
      <c r="EI354" s="16" t="s">
        <v>282</v>
      </c>
      <c r="EO354" s="137">
        <f>IF(CX354="základní",J354,0)</f>
        <v>24959.02</v>
      </c>
      <c r="EP354" s="137">
        <f>IF(CX354="snížená",J354,0)</f>
        <v>0</v>
      </c>
      <c r="EQ354" s="137">
        <f>IF(CX354="zákl. přenesená",J354,0)</f>
        <v>0</v>
      </c>
      <c r="ER354" s="137">
        <f>IF(CX354="sníž. přenesená",J354,0)</f>
        <v>0</v>
      </c>
      <c r="ES354" s="137">
        <f>IF(CX354="nulová",J354,0)</f>
        <v>0</v>
      </c>
      <c r="ET354" s="16" t="s">
        <v>81</v>
      </c>
      <c r="EU354" s="137">
        <f>ROUND(I354*H354,2)</f>
        <v>24959.02</v>
      </c>
      <c r="EV354" s="16" t="s">
        <v>95</v>
      </c>
      <c r="EW354" s="136" t="s">
        <v>625</v>
      </c>
    </row>
    <row r="355" spans="2:153" s="1" customFormat="1" ht="19.5" x14ac:dyDescent="0.2">
      <c r="B355" s="31"/>
      <c r="D355" s="138" t="s">
        <v>289</v>
      </c>
      <c r="F355" s="139" t="s">
        <v>624</v>
      </c>
      <c r="I355" s="140"/>
      <c r="L355" s="31"/>
      <c r="N355" s="213"/>
      <c r="O355" s="214"/>
      <c r="Q355" s="229"/>
      <c r="CW355" s="141"/>
      <c r="DD355" s="50"/>
      <c r="ED355" s="16" t="s">
        <v>289</v>
      </c>
      <c r="EE355" s="16" t="s">
        <v>83</v>
      </c>
    </row>
    <row r="356" spans="2:153" s="1" customFormat="1" ht="19.5" x14ac:dyDescent="0.2">
      <c r="B356" s="31"/>
      <c r="D356" s="138" t="s">
        <v>299</v>
      </c>
      <c r="F356" s="142" t="s">
        <v>317</v>
      </c>
      <c r="I356" s="140"/>
      <c r="L356" s="31"/>
      <c r="N356" s="213"/>
      <c r="O356" s="214"/>
      <c r="Q356" s="229"/>
      <c r="CW356" s="141"/>
      <c r="DD356" s="50"/>
      <c r="ED356" s="16" t="s">
        <v>299</v>
      </c>
      <c r="EE356" s="16" t="s">
        <v>83</v>
      </c>
    </row>
    <row r="357" spans="2:153" s="12" customFormat="1" x14ac:dyDescent="0.2">
      <c r="B357" s="149"/>
      <c r="D357" s="138" t="s">
        <v>301</v>
      </c>
      <c r="E357" s="150" t="s">
        <v>1</v>
      </c>
      <c r="F357" s="151" t="s">
        <v>626</v>
      </c>
      <c r="H357" s="152">
        <v>24</v>
      </c>
      <c r="I357" s="153"/>
      <c r="L357" s="149"/>
      <c r="N357" s="217"/>
      <c r="O357" s="218"/>
      <c r="Q357" s="231"/>
      <c r="CW357" s="154"/>
      <c r="DD357" s="155"/>
      <c r="ED357" s="150" t="s">
        <v>301</v>
      </c>
      <c r="EE357" s="150" t="s">
        <v>83</v>
      </c>
      <c r="EF357" s="12" t="s">
        <v>83</v>
      </c>
      <c r="EG357" s="12" t="s">
        <v>32</v>
      </c>
      <c r="EH357" s="12" t="s">
        <v>81</v>
      </c>
      <c r="EI357" s="150" t="s">
        <v>282</v>
      </c>
    </row>
    <row r="358" spans="2:153" s="1" customFormat="1" ht="62.65" customHeight="1" x14ac:dyDescent="0.2">
      <c r="B358" s="124"/>
      <c r="C358" s="170" t="s">
        <v>627</v>
      </c>
      <c r="D358" s="170" t="s">
        <v>439</v>
      </c>
      <c r="E358" s="171" t="s">
        <v>628</v>
      </c>
      <c r="F358" s="172" t="s">
        <v>629</v>
      </c>
      <c r="G358" s="173" t="s">
        <v>485</v>
      </c>
      <c r="H358" s="174">
        <v>1</v>
      </c>
      <c r="I358" s="130">
        <v>9998.5491500000007</v>
      </c>
      <c r="J358" s="176">
        <f>ROUND(I358*H358,2)</f>
        <v>9998.5499999999993</v>
      </c>
      <c r="K358" s="172" t="s">
        <v>1</v>
      </c>
      <c r="L358" s="198">
        <f>S358</f>
        <v>0</v>
      </c>
      <c r="M358" s="206">
        <f>ROUND(L358*I358,2)</f>
        <v>0</v>
      </c>
      <c r="N358" s="211"/>
      <c r="O358" s="212">
        <f>ROUND(N358*I358,2)</f>
        <v>0</v>
      </c>
      <c r="P358" s="207">
        <f>H358-L358-N358</f>
        <v>1</v>
      </c>
      <c r="Q358" s="228">
        <f>ROUND(P358*I358,2)</f>
        <v>9998.5499999999993</v>
      </c>
      <c r="R358" s="199"/>
      <c r="S358" s="200">
        <f>W358+Y358+AA358+AC358+AE358+AG358+AI358+AK358+AM358+AO358+AQ358+AS358+AU358+AW358</f>
        <v>0</v>
      </c>
      <c r="T358" s="200">
        <f>ROUND(S358*I358,2)</f>
        <v>0</v>
      </c>
      <c r="U358" s="200">
        <f>H358-S358</f>
        <v>1</v>
      </c>
      <c r="V358" s="200">
        <f>ROUND(U358*I358,2)</f>
        <v>9998.5499999999993</v>
      </c>
      <c r="W358" s="203"/>
      <c r="X358" s="203"/>
      <c r="Y358" s="201"/>
      <c r="Z358" s="200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77" t="s">
        <v>1</v>
      </c>
      <c r="CX358" s="178" t="s">
        <v>40</v>
      </c>
      <c r="CZ358" s="134">
        <f>CY358*H358</f>
        <v>0</v>
      </c>
      <c r="DA358" s="134">
        <v>1.87</v>
      </c>
      <c r="DB358" s="134">
        <f>DA358*H358</f>
        <v>1.87</v>
      </c>
      <c r="DC358" s="134">
        <v>0</v>
      </c>
      <c r="DD358" s="135">
        <f>DC358*H358</f>
        <v>0</v>
      </c>
      <c r="EB358" s="136" t="s">
        <v>328</v>
      </c>
      <c r="ED358" s="136" t="s">
        <v>439</v>
      </c>
      <c r="EE358" s="136" t="s">
        <v>83</v>
      </c>
      <c r="EI358" s="16" t="s">
        <v>282</v>
      </c>
      <c r="EO358" s="137">
        <f>IF(CX358="základní",J358,0)</f>
        <v>9998.5499999999993</v>
      </c>
      <c r="EP358" s="137">
        <f>IF(CX358="snížená",J358,0)</f>
        <v>0</v>
      </c>
      <c r="EQ358" s="137">
        <f>IF(CX358="zákl. přenesená",J358,0)</f>
        <v>0</v>
      </c>
      <c r="ER358" s="137">
        <f>IF(CX358="sníž. přenesená",J358,0)</f>
        <v>0</v>
      </c>
      <c r="ES358" s="137">
        <f>IF(CX358="nulová",J358,0)</f>
        <v>0</v>
      </c>
      <c r="ET358" s="16" t="s">
        <v>81</v>
      </c>
      <c r="EU358" s="137">
        <f>ROUND(I358*H358,2)</f>
        <v>9998.5499999999993</v>
      </c>
      <c r="EV358" s="16" t="s">
        <v>95</v>
      </c>
      <c r="EW358" s="136" t="s">
        <v>630</v>
      </c>
    </row>
    <row r="359" spans="2:153" s="1" customFormat="1" ht="39" x14ac:dyDescent="0.2">
      <c r="B359" s="31"/>
      <c r="D359" s="138" t="s">
        <v>289</v>
      </c>
      <c r="F359" s="139" t="s">
        <v>629</v>
      </c>
      <c r="I359" s="140"/>
      <c r="L359" s="31"/>
      <c r="N359" s="213"/>
      <c r="O359" s="214"/>
      <c r="Q359" s="229"/>
      <c r="CW359" s="141"/>
      <c r="DD359" s="50"/>
      <c r="ED359" s="16" t="s">
        <v>289</v>
      </c>
      <c r="EE359" s="16" t="s">
        <v>83</v>
      </c>
    </row>
    <row r="360" spans="2:153" s="1" customFormat="1" ht="62.65" customHeight="1" x14ac:dyDescent="0.2">
      <c r="B360" s="124"/>
      <c r="C360" s="170" t="s">
        <v>631</v>
      </c>
      <c r="D360" s="170" t="s">
        <v>439</v>
      </c>
      <c r="E360" s="171" t="s">
        <v>632</v>
      </c>
      <c r="F360" s="172" t="s">
        <v>633</v>
      </c>
      <c r="G360" s="173" t="s">
        <v>485</v>
      </c>
      <c r="H360" s="174">
        <v>20</v>
      </c>
      <c r="I360" s="130">
        <v>9051.3334500000001</v>
      </c>
      <c r="J360" s="176">
        <f>ROUND(I360*H360,2)</f>
        <v>181026.67</v>
      </c>
      <c r="K360" s="172" t="s">
        <v>1</v>
      </c>
      <c r="L360" s="198">
        <f>S360</f>
        <v>0</v>
      </c>
      <c r="M360" s="206">
        <f>ROUND(L360*I360,2)</f>
        <v>0</v>
      </c>
      <c r="N360" s="211"/>
      <c r="O360" s="212">
        <f>ROUND(N360*I360,2)</f>
        <v>0</v>
      </c>
      <c r="P360" s="207">
        <f>H360-L360-N360</f>
        <v>20</v>
      </c>
      <c r="Q360" s="228">
        <f>ROUND(P360*I360,2)</f>
        <v>181026.67</v>
      </c>
      <c r="R360" s="199"/>
      <c r="S360" s="200">
        <f>W360+Y360+AA360+AC360+AE360+AG360+AI360+AK360+AM360+AO360+AQ360+AS360+AU360+AW360</f>
        <v>0</v>
      </c>
      <c r="T360" s="200">
        <f>ROUND(S360*I360,2)</f>
        <v>0</v>
      </c>
      <c r="U360" s="200">
        <f>H360-S360</f>
        <v>20</v>
      </c>
      <c r="V360" s="200">
        <f>ROUND(U360*I360,2)</f>
        <v>181026.67</v>
      </c>
      <c r="W360" s="203"/>
      <c r="X360" s="203"/>
      <c r="Y360" s="201"/>
      <c r="Z360" s="200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77" t="s">
        <v>1</v>
      </c>
      <c r="CX360" s="178" t="s">
        <v>40</v>
      </c>
      <c r="CZ360" s="134">
        <f>CY360*H360</f>
        <v>0</v>
      </c>
      <c r="DA360" s="134">
        <v>1.87</v>
      </c>
      <c r="DB360" s="134">
        <f>DA360*H360</f>
        <v>37.400000000000006</v>
      </c>
      <c r="DC360" s="134">
        <v>0</v>
      </c>
      <c r="DD360" s="135">
        <f>DC360*H360</f>
        <v>0</v>
      </c>
      <c r="EB360" s="136" t="s">
        <v>328</v>
      </c>
      <c r="ED360" s="136" t="s">
        <v>439</v>
      </c>
      <c r="EE360" s="136" t="s">
        <v>83</v>
      </c>
      <c r="EI360" s="16" t="s">
        <v>282</v>
      </c>
      <c r="EO360" s="137">
        <f>IF(CX360="základní",J360,0)</f>
        <v>181026.67</v>
      </c>
      <c r="EP360" s="137">
        <f>IF(CX360="snížená",J360,0)</f>
        <v>0</v>
      </c>
      <c r="EQ360" s="137">
        <f>IF(CX360="zákl. přenesená",J360,0)</f>
        <v>0</v>
      </c>
      <c r="ER360" s="137">
        <f>IF(CX360="sníž. přenesená",J360,0)</f>
        <v>0</v>
      </c>
      <c r="ES360" s="137">
        <f>IF(CX360="nulová",J360,0)</f>
        <v>0</v>
      </c>
      <c r="ET360" s="16" t="s">
        <v>81</v>
      </c>
      <c r="EU360" s="137">
        <f>ROUND(I360*H360,2)</f>
        <v>181026.67</v>
      </c>
      <c r="EV360" s="16" t="s">
        <v>95</v>
      </c>
      <c r="EW360" s="136" t="s">
        <v>634</v>
      </c>
    </row>
    <row r="361" spans="2:153" s="1" customFormat="1" ht="39" x14ac:dyDescent="0.2">
      <c r="B361" s="31"/>
      <c r="D361" s="138" t="s">
        <v>289</v>
      </c>
      <c r="F361" s="139" t="s">
        <v>633</v>
      </c>
      <c r="I361" s="140"/>
      <c r="L361" s="31"/>
      <c r="N361" s="213"/>
      <c r="O361" s="214"/>
      <c r="Q361" s="229"/>
      <c r="CW361" s="141"/>
      <c r="DD361" s="50"/>
      <c r="ED361" s="16" t="s">
        <v>289</v>
      </c>
      <c r="EE361" s="16" t="s">
        <v>83</v>
      </c>
    </row>
    <row r="362" spans="2:153" s="1" customFormat="1" ht="49.15" customHeight="1" x14ac:dyDescent="0.2">
      <c r="B362" s="124"/>
      <c r="C362" s="170" t="s">
        <v>635</v>
      </c>
      <c r="D362" s="170" t="s">
        <v>439</v>
      </c>
      <c r="E362" s="171" t="s">
        <v>636</v>
      </c>
      <c r="F362" s="172" t="s">
        <v>637</v>
      </c>
      <c r="G362" s="173" t="s">
        <v>485</v>
      </c>
      <c r="H362" s="174">
        <v>3</v>
      </c>
      <c r="I362" s="130">
        <v>12313.804099999999</v>
      </c>
      <c r="J362" s="176">
        <f>ROUND(I362*H362,2)</f>
        <v>36941.410000000003</v>
      </c>
      <c r="K362" s="172" t="s">
        <v>1</v>
      </c>
      <c r="L362" s="198">
        <f>S362</f>
        <v>0</v>
      </c>
      <c r="M362" s="206">
        <f>ROUND(L362*I362,2)</f>
        <v>0</v>
      </c>
      <c r="N362" s="211"/>
      <c r="O362" s="212">
        <f>ROUND(N362*I362,2)</f>
        <v>0</v>
      </c>
      <c r="P362" s="207">
        <f>H362-L362-N362</f>
        <v>3</v>
      </c>
      <c r="Q362" s="228">
        <f>ROUND(P362*I362,2)</f>
        <v>36941.410000000003</v>
      </c>
      <c r="R362" s="199"/>
      <c r="S362" s="200">
        <f>W362+Y362+AA362+AC362+AE362+AG362+AI362+AK362+AM362+AO362+AQ362+AS362+AU362+AW362</f>
        <v>0</v>
      </c>
      <c r="T362" s="200">
        <f>ROUND(S362*I362,2)</f>
        <v>0</v>
      </c>
      <c r="U362" s="200">
        <f>H362-S362</f>
        <v>3</v>
      </c>
      <c r="V362" s="200">
        <f>ROUND(U362*I362,2)</f>
        <v>36941.410000000003</v>
      </c>
      <c r="W362" s="203"/>
      <c r="X362" s="203"/>
      <c r="Y362" s="201"/>
      <c r="Z362" s="200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77" t="s">
        <v>1</v>
      </c>
      <c r="CX362" s="178" t="s">
        <v>40</v>
      </c>
      <c r="CZ362" s="134">
        <f>CY362*H362</f>
        <v>0</v>
      </c>
      <c r="DA362" s="134">
        <v>1.87</v>
      </c>
      <c r="DB362" s="134">
        <f>DA362*H362</f>
        <v>5.61</v>
      </c>
      <c r="DC362" s="134">
        <v>0</v>
      </c>
      <c r="DD362" s="135">
        <f>DC362*H362</f>
        <v>0</v>
      </c>
      <c r="EB362" s="136" t="s">
        <v>328</v>
      </c>
      <c r="ED362" s="136" t="s">
        <v>439</v>
      </c>
      <c r="EE362" s="136" t="s">
        <v>83</v>
      </c>
      <c r="EI362" s="16" t="s">
        <v>282</v>
      </c>
      <c r="EO362" s="137">
        <f>IF(CX362="základní",J362,0)</f>
        <v>36941.410000000003</v>
      </c>
      <c r="EP362" s="137">
        <f>IF(CX362="snížená",J362,0)</f>
        <v>0</v>
      </c>
      <c r="EQ362" s="137">
        <f>IF(CX362="zákl. přenesená",J362,0)</f>
        <v>0</v>
      </c>
      <c r="ER362" s="137">
        <f>IF(CX362="sníž. přenesená",J362,0)</f>
        <v>0</v>
      </c>
      <c r="ES362" s="137">
        <f>IF(CX362="nulová",J362,0)</f>
        <v>0</v>
      </c>
      <c r="ET362" s="16" t="s">
        <v>81</v>
      </c>
      <c r="EU362" s="137">
        <f>ROUND(I362*H362,2)</f>
        <v>36941.410000000003</v>
      </c>
      <c r="EV362" s="16" t="s">
        <v>95</v>
      </c>
      <c r="EW362" s="136" t="s">
        <v>638</v>
      </c>
    </row>
    <row r="363" spans="2:153" s="1" customFormat="1" ht="29.25" x14ac:dyDescent="0.2">
      <c r="B363" s="31"/>
      <c r="D363" s="138" t="s">
        <v>289</v>
      </c>
      <c r="F363" s="139" t="s">
        <v>637</v>
      </c>
      <c r="I363" s="140"/>
      <c r="L363" s="31"/>
      <c r="N363" s="213"/>
      <c r="O363" s="214"/>
      <c r="Q363" s="229"/>
      <c r="CW363" s="141"/>
      <c r="DD363" s="50"/>
      <c r="ED363" s="16" t="s">
        <v>289</v>
      </c>
      <c r="EE363" s="16" t="s">
        <v>83</v>
      </c>
    </row>
    <row r="364" spans="2:153" s="1" customFormat="1" ht="24.2" customHeight="1" x14ac:dyDescent="0.2">
      <c r="B364" s="124"/>
      <c r="C364" s="170" t="s">
        <v>639</v>
      </c>
      <c r="D364" s="170" t="s">
        <v>439</v>
      </c>
      <c r="E364" s="171" t="s">
        <v>640</v>
      </c>
      <c r="F364" s="172" t="s">
        <v>641</v>
      </c>
      <c r="G364" s="173" t="s">
        <v>485</v>
      </c>
      <c r="H364" s="174">
        <v>77</v>
      </c>
      <c r="I364" s="130">
        <v>182.81263010000001</v>
      </c>
      <c r="J364" s="176">
        <f>ROUND(I364*H364,2)</f>
        <v>14076.57</v>
      </c>
      <c r="K364" s="172" t="s">
        <v>293</v>
      </c>
      <c r="L364" s="198">
        <f>S364</f>
        <v>0</v>
      </c>
      <c r="M364" s="206">
        <f>ROUND(L364*I364,2)</f>
        <v>0</v>
      </c>
      <c r="N364" s="211"/>
      <c r="O364" s="212">
        <f>ROUND(N364*I364,2)</f>
        <v>0</v>
      </c>
      <c r="P364" s="207">
        <f>H364-L364-N364</f>
        <v>77</v>
      </c>
      <c r="Q364" s="228">
        <f>ROUND(P364*I364,2)</f>
        <v>14076.57</v>
      </c>
      <c r="R364" s="199"/>
      <c r="S364" s="200">
        <f>W364+Y364+AA364+AC364+AE364+AG364+AI364+AK364+AM364+AO364+AQ364+AS364+AU364+AW364</f>
        <v>0</v>
      </c>
      <c r="T364" s="200">
        <f>ROUND(S364*I364,2)</f>
        <v>0</v>
      </c>
      <c r="U364" s="200">
        <f>H364-S364</f>
        <v>77</v>
      </c>
      <c r="V364" s="200">
        <f>ROUND(U364*I364,2)</f>
        <v>14076.57</v>
      </c>
      <c r="W364" s="203"/>
      <c r="X364" s="203"/>
      <c r="Y364" s="201"/>
      <c r="Z364" s="200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77" t="s">
        <v>1</v>
      </c>
      <c r="CX364" s="178" t="s">
        <v>40</v>
      </c>
      <c r="CZ364" s="134">
        <f>CY364*H364</f>
        <v>0</v>
      </c>
      <c r="DA364" s="134">
        <v>2E-3</v>
      </c>
      <c r="DB364" s="134">
        <f>DA364*H364</f>
        <v>0.154</v>
      </c>
      <c r="DC364" s="134">
        <v>0</v>
      </c>
      <c r="DD364" s="135">
        <f>DC364*H364</f>
        <v>0</v>
      </c>
      <c r="EB364" s="136" t="s">
        <v>328</v>
      </c>
      <c r="ED364" s="136" t="s">
        <v>439</v>
      </c>
      <c r="EE364" s="136" t="s">
        <v>83</v>
      </c>
      <c r="EI364" s="16" t="s">
        <v>282</v>
      </c>
      <c r="EO364" s="137">
        <f>IF(CX364="základní",J364,0)</f>
        <v>14076.57</v>
      </c>
      <c r="EP364" s="137">
        <f>IF(CX364="snížená",J364,0)</f>
        <v>0</v>
      </c>
      <c r="EQ364" s="137">
        <f>IF(CX364="zákl. přenesená",J364,0)</f>
        <v>0</v>
      </c>
      <c r="ER364" s="137">
        <f>IF(CX364="sníž. přenesená",J364,0)</f>
        <v>0</v>
      </c>
      <c r="ES364" s="137">
        <f>IF(CX364="nulová",J364,0)</f>
        <v>0</v>
      </c>
      <c r="ET364" s="16" t="s">
        <v>81</v>
      </c>
      <c r="EU364" s="137">
        <f>ROUND(I364*H364,2)</f>
        <v>14076.57</v>
      </c>
      <c r="EV364" s="16" t="s">
        <v>95</v>
      </c>
      <c r="EW364" s="136" t="s">
        <v>642</v>
      </c>
    </row>
    <row r="365" spans="2:153" s="1" customFormat="1" x14ac:dyDescent="0.2">
      <c r="B365" s="31"/>
      <c r="D365" s="138" t="s">
        <v>289</v>
      </c>
      <c r="F365" s="139" t="s">
        <v>641</v>
      </c>
      <c r="I365" s="140"/>
      <c r="L365" s="31"/>
      <c r="N365" s="213"/>
      <c r="O365" s="214"/>
      <c r="Q365" s="229"/>
      <c r="CW365" s="141"/>
      <c r="DD365" s="50"/>
      <c r="ED365" s="16" t="s">
        <v>289</v>
      </c>
      <c r="EE365" s="16" t="s">
        <v>83</v>
      </c>
    </row>
    <row r="366" spans="2:153" s="1" customFormat="1" ht="14.45" customHeight="1" x14ac:dyDescent="0.2">
      <c r="B366" s="124"/>
      <c r="C366" s="125" t="s">
        <v>643</v>
      </c>
      <c r="D366" s="125" t="s">
        <v>284</v>
      </c>
      <c r="E366" s="126" t="s">
        <v>644</v>
      </c>
      <c r="F366" s="127" t="s">
        <v>645</v>
      </c>
      <c r="G366" s="128" t="s">
        <v>287</v>
      </c>
      <c r="H366" s="129">
        <v>5.39</v>
      </c>
      <c r="I366" s="130">
        <v>2368.0392499999998</v>
      </c>
      <c r="J366" s="131">
        <f>ROUND(I366*H366,2)</f>
        <v>12763.73</v>
      </c>
      <c r="K366" s="127" t="s">
        <v>1</v>
      </c>
      <c r="L366" s="198">
        <f>S366</f>
        <v>0</v>
      </c>
      <c r="M366" s="206">
        <f>ROUND(L366*I366,2)</f>
        <v>0</v>
      </c>
      <c r="N366" s="211"/>
      <c r="O366" s="212">
        <f>ROUND(N366*I366,2)</f>
        <v>0</v>
      </c>
      <c r="P366" s="207">
        <f>H366-L366-N366</f>
        <v>5.39</v>
      </c>
      <c r="Q366" s="228">
        <f>ROUND(P366*I366,2)</f>
        <v>12763.73</v>
      </c>
      <c r="R366" s="199"/>
      <c r="S366" s="200">
        <f>W366+Y366+AA366+AC366+AE366+AG366+AI366+AK366+AM366+AO366+AQ366+AS366+AU366+AW366</f>
        <v>0</v>
      </c>
      <c r="T366" s="200">
        <f>ROUND(S366*I366,2)</f>
        <v>0</v>
      </c>
      <c r="U366" s="200">
        <f>H366-S366</f>
        <v>5.39</v>
      </c>
      <c r="V366" s="200">
        <f>ROUND(U366*I366,2)</f>
        <v>12763.73</v>
      </c>
      <c r="W366" s="203"/>
      <c r="X366" s="203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0"/>
      <c r="AQ366" s="200"/>
      <c r="AR366" s="200"/>
      <c r="AS366" s="200"/>
      <c r="AT366" s="200"/>
      <c r="AU366" s="200"/>
      <c r="AV366" s="200"/>
      <c r="AW366" s="200"/>
      <c r="AX366" s="200"/>
      <c r="CW366" s="132" t="s">
        <v>1</v>
      </c>
      <c r="CX366" s="133" t="s">
        <v>40</v>
      </c>
      <c r="CZ366" s="134">
        <f>CY366*H366</f>
        <v>0</v>
      </c>
      <c r="DA366" s="134">
        <v>4.8207100000000001</v>
      </c>
      <c r="DB366" s="134">
        <f>DA366*H366</f>
        <v>25.983626899999997</v>
      </c>
      <c r="DC366" s="134">
        <v>0</v>
      </c>
      <c r="DD366" s="135">
        <f>DC366*H366</f>
        <v>0</v>
      </c>
      <c r="EB366" s="136" t="s">
        <v>95</v>
      </c>
      <c r="ED366" s="136" t="s">
        <v>284</v>
      </c>
      <c r="EE366" s="136" t="s">
        <v>83</v>
      </c>
      <c r="EI366" s="16" t="s">
        <v>282</v>
      </c>
      <c r="EO366" s="137">
        <f>IF(CX366="základní",J366,0)</f>
        <v>12763.73</v>
      </c>
      <c r="EP366" s="137">
        <f>IF(CX366="snížená",J366,0)</f>
        <v>0</v>
      </c>
      <c r="EQ366" s="137">
        <f>IF(CX366="zákl. přenesená",J366,0)</f>
        <v>0</v>
      </c>
      <c r="ER366" s="137">
        <f>IF(CX366="sníž. přenesená",J366,0)</f>
        <v>0</v>
      </c>
      <c r="ES366" s="137">
        <f>IF(CX366="nulová",J366,0)</f>
        <v>0</v>
      </c>
      <c r="ET366" s="16" t="s">
        <v>81</v>
      </c>
      <c r="EU366" s="137">
        <f>ROUND(I366*H366,2)</f>
        <v>12763.73</v>
      </c>
      <c r="EV366" s="16" t="s">
        <v>95</v>
      </c>
      <c r="EW366" s="136" t="s">
        <v>646</v>
      </c>
    </row>
    <row r="367" spans="2:153" s="1" customFormat="1" ht="29.25" x14ac:dyDescent="0.2">
      <c r="B367" s="31"/>
      <c r="D367" s="138" t="s">
        <v>289</v>
      </c>
      <c r="F367" s="139" t="s">
        <v>647</v>
      </c>
      <c r="I367" s="140"/>
      <c r="L367" s="31"/>
      <c r="N367" s="213"/>
      <c r="O367" s="214"/>
      <c r="Q367" s="229"/>
      <c r="CW367" s="141"/>
      <c r="DD367" s="50"/>
      <c r="ED367" s="16" t="s">
        <v>289</v>
      </c>
      <c r="EE367" s="16" t="s">
        <v>83</v>
      </c>
    </row>
    <row r="368" spans="2:153" s="1" customFormat="1" ht="19.5" x14ac:dyDescent="0.2">
      <c r="B368" s="31"/>
      <c r="D368" s="138" t="s">
        <v>299</v>
      </c>
      <c r="F368" s="142" t="s">
        <v>317</v>
      </c>
      <c r="I368" s="140"/>
      <c r="L368" s="31"/>
      <c r="N368" s="213"/>
      <c r="O368" s="214"/>
      <c r="Q368" s="229"/>
      <c r="CW368" s="141"/>
      <c r="DD368" s="50"/>
      <c r="ED368" s="16" t="s">
        <v>299</v>
      </c>
      <c r="EE368" s="16" t="s">
        <v>83</v>
      </c>
    </row>
    <row r="369" spans="2:153" s="11" customFormat="1" x14ac:dyDescent="0.2">
      <c r="B369" s="143"/>
      <c r="D369" s="138" t="s">
        <v>301</v>
      </c>
      <c r="E369" s="144" t="s">
        <v>1</v>
      </c>
      <c r="F369" s="145" t="s">
        <v>648</v>
      </c>
      <c r="H369" s="144" t="s">
        <v>1</v>
      </c>
      <c r="I369" s="146"/>
      <c r="L369" s="143"/>
      <c r="N369" s="215"/>
      <c r="O369" s="216"/>
      <c r="Q369" s="230"/>
      <c r="CW369" s="147"/>
      <c r="DD369" s="148"/>
      <c r="ED369" s="144" t="s">
        <v>301</v>
      </c>
      <c r="EE369" s="144" t="s">
        <v>83</v>
      </c>
      <c r="EF369" s="11" t="s">
        <v>81</v>
      </c>
      <c r="EG369" s="11" t="s">
        <v>32</v>
      </c>
      <c r="EH369" s="11" t="s">
        <v>74</v>
      </c>
      <c r="EI369" s="144" t="s">
        <v>282</v>
      </c>
    </row>
    <row r="370" spans="2:153" s="12" customFormat="1" x14ac:dyDescent="0.2">
      <c r="B370" s="149"/>
      <c r="D370" s="138" t="s">
        <v>301</v>
      </c>
      <c r="E370" s="150" t="s">
        <v>1</v>
      </c>
      <c r="F370" s="151" t="s">
        <v>649</v>
      </c>
      <c r="H370" s="152">
        <v>5.39</v>
      </c>
      <c r="I370" s="153"/>
      <c r="L370" s="149"/>
      <c r="N370" s="217"/>
      <c r="O370" s="218"/>
      <c r="Q370" s="231"/>
      <c r="CW370" s="154"/>
      <c r="DD370" s="155"/>
      <c r="ED370" s="150" t="s">
        <v>301</v>
      </c>
      <c r="EE370" s="150" t="s">
        <v>83</v>
      </c>
      <c r="EF370" s="12" t="s">
        <v>83</v>
      </c>
      <c r="EG370" s="12" t="s">
        <v>32</v>
      </c>
      <c r="EH370" s="12" t="s">
        <v>81</v>
      </c>
      <c r="EI370" s="150" t="s">
        <v>282</v>
      </c>
    </row>
    <row r="371" spans="2:153" s="1" customFormat="1" ht="24.2" customHeight="1" x14ac:dyDescent="0.2">
      <c r="B371" s="124"/>
      <c r="C371" s="125" t="s">
        <v>650</v>
      </c>
      <c r="D371" s="125" t="s">
        <v>284</v>
      </c>
      <c r="E371" s="126" t="s">
        <v>651</v>
      </c>
      <c r="F371" s="127" t="s">
        <v>652</v>
      </c>
      <c r="G371" s="128" t="s">
        <v>287</v>
      </c>
      <c r="H371" s="129">
        <v>1</v>
      </c>
      <c r="I371" s="130">
        <v>33152.549500000001</v>
      </c>
      <c r="J371" s="131">
        <f>ROUND(I371*H371,2)</f>
        <v>33152.550000000003</v>
      </c>
      <c r="K371" s="127" t="s">
        <v>1</v>
      </c>
      <c r="L371" s="198">
        <f>S371</f>
        <v>0</v>
      </c>
      <c r="M371" s="206">
        <f>ROUND(L371*I371,2)</f>
        <v>0</v>
      </c>
      <c r="N371" s="211">
        <v>-1</v>
      </c>
      <c r="O371" s="212">
        <f>ROUND(N371*I371,2)</f>
        <v>-33152.550000000003</v>
      </c>
      <c r="P371" s="207">
        <f>H371-L371-N371</f>
        <v>2</v>
      </c>
      <c r="Q371" s="228">
        <f>ROUND(P371*I371,2)</f>
        <v>66305.100000000006</v>
      </c>
      <c r="R371" s="199"/>
      <c r="S371" s="200">
        <f>W371+Y371+AA371+AC371+AE371+AG371+AI371+AK371+AM371+AO371+AQ371+AS371+AU371+AW371</f>
        <v>0</v>
      </c>
      <c r="T371" s="200">
        <f>ROUND(S371*I371,2)</f>
        <v>0</v>
      </c>
      <c r="U371" s="200">
        <f>H371-S371</f>
        <v>1</v>
      </c>
      <c r="V371" s="200">
        <f>ROUND(U371*I371,2)</f>
        <v>33152.550000000003</v>
      </c>
      <c r="W371" s="203"/>
      <c r="X371" s="203"/>
      <c r="Y371" s="200"/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0"/>
      <c r="AP371" s="200"/>
      <c r="AQ371" s="200"/>
      <c r="AR371" s="200"/>
      <c r="AS371" s="200"/>
      <c r="AT371" s="200"/>
      <c r="AU371" s="200"/>
      <c r="AV371" s="200"/>
      <c r="AW371" s="200"/>
      <c r="AX371" s="200"/>
      <c r="CW371" s="132" t="s">
        <v>1</v>
      </c>
      <c r="CX371" s="133" t="s">
        <v>40</v>
      </c>
      <c r="CZ371" s="134">
        <f>CY371*H371</f>
        <v>0</v>
      </c>
      <c r="DA371" s="134">
        <v>4.8207100000000001</v>
      </c>
      <c r="DB371" s="134">
        <f>DA371*H371</f>
        <v>4.8207100000000001</v>
      </c>
      <c r="DC371" s="134">
        <v>0</v>
      </c>
      <c r="DD371" s="135">
        <f>DC371*H371</f>
        <v>0</v>
      </c>
      <c r="EB371" s="136" t="s">
        <v>95</v>
      </c>
      <c r="ED371" s="136" t="s">
        <v>284</v>
      </c>
      <c r="EE371" s="136" t="s">
        <v>83</v>
      </c>
      <c r="EI371" s="16" t="s">
        <v>282</v>
      </c>
      <c r="EO371" s="137">
        <f>IF(CX371="základní",J371,0)</f>
        <v>33152.550000000003</v>
      </c>
      <c r="EP371" s="137">
        <f>IF(CX371="snížená",J371,0)</f>
        <v>0</v>
      </c>
      <c r="EQ371" s="137">
        <f>IF(CX371="zákl. přenesená",J371,0)</f>
        <v>0</v>
      </c>
      <c r="ER371" s="137">
        <f>IF(CX371="sníž. přenesená",J371,0)</f>
        <v>0</v>
      </c>
      <c r="ES371" s="137">
        <f>IF(CX371="nulová",J371,0)</f>
        <v>0</v>
      </c>
      <c r="ET371" s="16" t="s">
        <v>81</v>
      </c>
      <c r="EU371" s="137">
        <f>ROUND(I371*H371,2)</f>
        <v>33152.550000000003</v>
      </c>
      <c r="EV371" s="16" t="s">
        <v>95</v>
      </c>
      <c r="EW371" s="136" t="s">
        <v>653</v>
      </c>
    </row>
    <row r="372" spans="2:153" s="1" customFormat="1" x14ac:dyDescent="0.2">
      <c r="B372" s="31"/>
      <c r="D372" s="138" t="s">
        <v>289</v>
      </c>
      <c r="F372" s="139" t="s">
        <v>652</v>
      </c>
      <c r="I372" s="140"/>
      <c r="L372" s="31"/>
      <c r="N372" s="213"/>
      <c r="O372" s="214"/>
      <c r="Q372" s="229"/>
      <c r="CW372" s="141"/>
      <c r="DD372" s="50"/>
      <c r="ED372" s="16" t="s">
        <v>289</v>
      </c>
      <c r="EE372" s="16" t="s">
        <v>83</v>
      </c>
    </row>
    <row r="373" spans="2:153" s="1" customFormat="1" ht="19.5" x14ac:dyDescent="0.2">
      <c r="B373" s="31"/>
      <c r="D373" s="138" t="s">
        <v>299</v>
      </c>
      <c r="F373" s="142" t="s">
        <v>317</v>
      </c>
      <c r="I373" s="140"/>
      <c r="L373" s="31"/>
      <c r="N373" s="213"/>
      <c r="O373" s="214"/>
      <c r="Q373" s="229"/>
      <c r="CW373" s="141"/>
      <c r="DD373" s="50"/>
      <c r="ED373" s="16" t="s">
        <v>299</v>
      </c>
      <c r="EE373" s="16" t="s">
        <v>83</v>
      </c>
    </row>
    <row r="374" spans="2:153" s="12" customFormat="1" x14ac:dyDescent="0.2">
      <c r="B374" s="149"/>
      <c r="D374" s="138" t="s">
        <v>301</v>
      </c>
      <c r="E374" s="150" t="s">
        <v>1</v>
      </c>
      <c r="F374" s="151" t="s">
        <v>654</v>
      </c>
      <c r="H374" s="152">
        <v>1</v>
      </c>
      <c r="I374" s="153"/>
      <c r="L374" s="149"/>
      <c r="N374" s="217"/>
      <c r="O374" s="218"/>
      <c r="Q374" s="231"/>
      <c r="CW374" s="154"/>
      <c r="DD374" s="155"/>
      <c r="ED374" s="150" t="s">
        <v>301</v>
      </c>
      <c r="EE374" s="150" t="s">
        <v>83</v>
      </c>
      <c r="EF374" s="12" t="s">
        <v>83</v>
      </c>
      <c r="EG374" s="12" t="s">
        <v>32</v>
      </c>
      <c r="EH374" s="12" t="s">
        <v>81</v>
      </c>
      <c r="EI374" s="150" t="s">
        <v>282</v>
      </c>
    </row>
    <row r="375" spans="2:153" s="1" customFormat="1" ht="37.9" customHeight="1" x14ac:dyDescent="0.2">
      <c r="B375" s="124"/>
      <c r="C375" s="125" t="s">
        <v>655</v>
      </c>
      <c r="D375" s="125" t="s">
        <v>284</v>
      </c>
      <c r="E375" s="126" t="s">
        <v>656</v>
      </c>
      <c r="F375" s="127" t="s">
        <v>657</v>
      </c>
      <c r="G375" s="128" t="s">
        <v>315</v>
      </c>
      <c r="H375" s="129">
        <v>1</v>
      </c>
      <c r="I375" s="130">
        <v>5683.2942000000003</v>
      </c>
      <c r="J375" s="131">
        <f>ROUND(I375*H375,2)</f>
        <v>5683.29</v>
      </c>
      <c r="K375" s="127" t="s">
        <v>1</v>
      </c>
      <c r="L375" s="198">
        <f>S375</f>
        <v>0</v>
      </c>
      <c r="M375" s="206">
        <f>ROUND(L375*I375,2)</f>
        <v>0</v>
      </c>
      <c r="N375" s="211"/>
      <c r="O375" s="212">
        <f>ROUND(N375*I375,2)</f>
        <v>0</v>
      </c>
      <c r="P375" s="207">
        <f>H375-L375-N375</f>
        <v>1</v>
      </c>
      <c r="Q375" s="228">
        <f>ROUND(P375*I375,2)</f>
        <v>5683.29</v>
      </c>
      <c r="R375" s="199"/>
      <c r="S375" s="200">
        <f>W375+Y375+AA375+AC375+AE375+AG375+AI375+AK375+AM375+AO375+AQ375+AS375+AU375+AW375</f>
        <v>0</v>
      </c>
      <c r="T375" s="200">
        <f>ROUND(S375*I375,2)</f>
        <v>0</v>
      </c>
      <c r="U375" s="200">
        <f>H375-S375</f>
        <v>1</v>
      </c>
      <c r="V375" s="200">
        <f>ROUND(U375*I375,2)</f>
        <v>5683.29</v>
      </c>
      <c r="W375" s="203"/>
      <c r="X375" s="203"/>
      <c r="Y375" s="200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0"/>
      <c r="AP375" s="200"/>
      <c r="AQ375" s="200"/>
      <c r="AR375" s="200"/>
      <c r="AS375" s="200"/>
      <c r="AT375" s="200"/>
      <c r="AU375" s="200"/>
      <c r="AV375" s="200"/>
      <c r="AW375" s="200"/>
      <c r="AX375" s="200"/>
      <c r="CW375" s="132" t="s">
        <v>1</v>
      </c>
      <c r="CX375" s="133" t="s">
        <v>40</v>
      </c>
      <c r="CZ375" s="134">
        <f>CY375*H375</f>
        <v>0</v>
      </c>
      <c r="DA375" s="134">
        <v>0</v>
      </c>
      <c r="DB375" s="134">
        <f>DA375*H375</f>
        <v>0</v>
      </c>
      <c r="DC375" s="134">
        <v>0</v>
      </c>
      <c r="DD375" s="135">
        <f>DC375*H375</f>
        <v>0</v>
      </c>
      <c r="EB375" s="136" t="s">
        <v>95</v>
      </c>
      <c r="ED375" s="136" t="s">
        <v>284</v>
      </c>
      <c r="EE375" s="136" t="s">
        <v>83</v>
      </c>
      <c r="EI375" s="16" t="s">
        <v>282</v>
      </c>
      <c r="EO375" s="137">
        <f>IF(CX375="základní",J375,0)</f>
        <v>5683.29</v>
      </c>
      <c r="EP375" s="137">
        <f>IF(CX375="snížená",J375,0)</f>
        <v>0</v>
      </c>
      <c r="EQ375" s="137">
        <f>IF(CX375="zákl. přenesená",J375,0)</f>
        <v>0</v>
      </c>
      <c r="ER375" s="137">
        <f>IF(CX375="sníž. přenesená",J375,0)</f>
        <v>0</v>
      </c>
      <c r="ES375" s="137">
        <f>IF(CX375="nulová",J375,0)</f>
        <v>0</v>
      </c>
      <c r="ET375" s="16" t="s">
        <v>81</v>
      </c>
      <c r="EU375" s="137">
        <f>ROUND(I375*H375,2)</f>
        <v>5683.29</v>
      </c>
      <c r="EV375" s="16" t="s">
        <v>95</v>
      </c>
      <c r="EW375" s="136" t="s">
        <v>658</v>
      </c>
    </row>
    <row r="376" spans="2:153" s="1" customFormat="1" ht="29.25" x14ac:dyDescent="0.2">
      <c r="B376" s="31"/>
      <c r="D376" s="138" t="s">
        <v>289</v>
      </c>
      <c r="F376" s="139" t="s">
        <v>657</v>
      </c>
      <c r="I376" s="140"/>
      <c r="L376" s="31"/>
      <c r="N376" s="213"/>
      <c r="O376" s="214"/>
      <c r="Q376" s="229"/>
      <c r="CW376" s="141"/>
      <c r="DD376" s="50"/>
      <c r="ED376" s="16" t="s">
        <v>289</v>
      </c>
      <c r="EE376" s="16" t="s">
        <v>83</v>
      </c>
    </row>
    <row r="377" spans="2:153" s="1" customFormat="1" ht="29.25" x14ac:dyDescent="0.2">
      <c r="B377" s="31"/>
      <c r="D377" s="138" t="s">
        <v>299</v>
      </c>
      <c r="F377" s="142" t="s">
        <v>300</v>
      </c>
      <c r="I377" s="140"/>
      <c r="L377" s="31"/>
      <c r="N377" s="213"/>
      <c r="O377" s="214"/>
      <c r="Q377" s="229"/>
      <c r="CW377" s="141"/>
      <c r="DD377" s="50"/>
      <c r="ED377" s="16" t="s">
        <v>299</v>
      </c>
      <c r="EE377" s="16" t="s">
        <v>83</v>
      </c>
    </row>
    <row r="378" spans="2:153" s="12" customFormat="1" x14ac:dyDescent="0.2">
      <c r="B378" s="149"/>
      <c r="D378" s="138" t="s">
        <v>301</v>
      </c>
      <c r="E378" s="150" t="s">
        <v>1</v>
      </c>
      <c r="F378" s="151" t="s">
        <v>659</v>
      </c>
      <c r="H378" s="152">
        <v>1</v>
      </c>
      <c r="I378" s="153"/>
      <c r="L378" s="149"/>
      <c r="N378" s="217"/>
      <c r="O378" s="218"/>
      <c r="Q378" s="231"/>
      <c r="CW378" s="154"/>
      <c r="DD378" s="155"/>
      <c r="ED378" s="150" t="s">
        <v>301</v>
      </c>
      <c r="EE378" s="150" t="s">
        <v>83</v>
      </c>
      <c r="EF378" s="12" t="s">
        <v>83</v>
      </c>
      <c r="EG378" s="12" t="s">
        <v>32</v>
      </c>
      <c r="EH378" s="12" t="s">
        <v>81</v>
      </c>
      <c r="EI378" s="150" t="s">
        <v>282</v>
      </c>
    </row>
    <row r="379" spans="2:153" s="1" customFormat="1" ht="24.2" customHeight="1" x14ac:dyDescent="0.2">
      <c r="B379" s="124"/>
      <c r="C379" s="125" t="s">
        <v>660</v>
      </c>
      <c r="D379" s="125" t="s">
        <v>284</v>
      </c>
      <c r="E379" s="126" t="s">
        <v>661</v>
      </c>
      <c r="F379" s="127" t="s">
        <v>662</v>
      </c>
      <c r="G379" s="128" t="s">
        <v>485</v>
      </c>
      <c r="H379" s="129">
        <v>24</v>
      </c>
      <c r="I379" s="130">
        <v>1019.8832798103068</v>
      </c>
      <c r="J379" s="131">
        <f>ROUND(I379*H379,2)</f>
        <v>24477.200000000001</v>
      </c>
      <c r="K379" s="127" t="s">
        <v>293</v>
      </c>
      <c r="L379" s="198">
        <f>S379</f>
        <v>0</v>
      </c>
      <c r="M379" s="206">
        <f>ROUND(L379*I379,2)</f>
        <v>0</v>
      </c>
      <c r="N379" s="211"/>
      <c r="O379" s="212">
        <f>ROUND(N379*I379,2)</f>
        <v>0</v>
      </c>
      <c r="P379" s="207">
        <f>H379-L379-N379</f>
        <v>24</v>
      </c>
      <c r="Q379" s="228">
        <f>ROUND(P379*I379,2)</f>
        <v>24477.200000000001</v>
      </c>
      <c r="R379" s="199"/>
      <c r="S379" s="200">
        <f>W379+Y379+AA379+AC379+AE379+AG379+AI379+AK379+AM379+AO379+AQ379+AS379+AU379+AW379</f>
        <v>0</v>
      </c>
      <c r="T379" s="200">
        <f>ROUND(S379*I379,2)</f>
        <v>0</v>
      </c>
      <c r="U379" s="200">
        <f>H379-S379</f>
        <v>24</v>
      </c>
      <c r="V379" s="200">
        <f>ROUND(U379*I379,2)</f>
        <v>24477.200000000001</v>
      </c>
      <c r="W379" s="203"/>
      <c r="X379" s="203"/>
      <c r="Y379" s="200"/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0"/>
      <c r="AQ379" s="200"/>
      <c r="AR379" s="200"/>
      <c r="AS379" s="200"/>
      <c r="AT379" s="200"/>
      <c r="AU379" s="200"/>
      <c r="AV379" s="200"/>
      <c r="AW379" s="200"/>
      <c r="AX379" s="200"/>
      <c r="CW379" s="132" t="s">
        <v>1</v>
      </c>
      <c r="CX379" s="133" t="s">
        <v>40</v>
      </c>
      <c r="CZ379" s="134">
        <f>CY379*H379</f>
        <v>0</v>
      </c>
      <c r="DA379" s="134">
        <v>0.21734000000000001</v>
      </c>
      <c r="DB379" s="134">
        <f>DA379*H379</f>
        <v>5.2161600000000004</v>
      </c>
      <c r="DC379" s="134">
        <v>0</v>
      </c>
      <c r="DD379" s="135">
        <f>DC379*H379</f>
        <v>0</v>
      </c>
      <c r="EB379" s="136" t="s">
        <v>95</v>
      </c>
      <c r="ED379" s="136" t="s">
        <v>284</v>
      </c>
      <c r="EE379" s="136" t="s">
        <v>83</v>
      </c>
      <c r="EI379" s="16" t="s">
        <v>282</v>
      </c>
      <c r="EO379" s="137">
        <f>IF(CX379="základní",J379,0)</f>
        <v>24477.200000000001</v>
      </c>
      <c r="EP379" s="137">
        <f>IF(CX379="snížená",J379,0)</f>
        <v>0</v>
      </c>
      <c r="EQ379" s="137">
        <f>IF(CX379="zákl. přenesená",J379,0)</f>
        <v>0</v>
      </c>
      <c r="ER379" s="137">
        <f>IF(CX379="sníž. přenesená",J379,0)</f>
        <v>0</v>
      </c>
      <c r="ES379" s="137">
        <f>IF(CX379="nulová",J379,0)</f>
        <v>0</v>
      </c>
      <c r="ET379" s="16" t="s">
        <v>81</v>
      </c>
      <c r="EU379" s="137">
        <f>ROUND(I379*H379,2)</f>
        <v>24477.200000000001</v>
      </c>
      <c r="EV379" s="16" t="s">
        <v>95</v>
      </c>
      <c r="EW379" s="136" t="s">
        <v>663</v>
      </c>
    </row>
    <row r="380" spans="2:153" s="1" customFormat="1" ht="19.5" x14ac:dyDescent="0.2">
      <c r="B380" s="31"/>
      <c r="D380" s="138" t="s">
        <v>289</v>
      </c>
      <c r="F380" s="139" t="s">
        <v>664</v>
      </c>
      <c r="I380" s="140"/>
      <c r="L380" s="31"/>
      <c r="N380" s="213"/>
      <c r="O380" s="214"/>
      <c r="Q380" s="229"/>
      <c r="CW380" s="141"/>
      <c r="DD380" s="50"/>
      <c r="ED380" s="16" t="s">
        <v>289</v>
      </c>
      <c r="EE380" s="16" t="s">
        <v>83</v>
      </c>
    </row>
    <row r="381" spans="2:153" s="1" customFormat="1" ht="19.5" x14ac:dyDescent="0.2">
      <c r="B381" s="31"/>
      <c r="D381" s="138" t="s">
        <v>299</v>
      </c>
      <c r="F381" s="142" t="s">
        <v>317</v>
      </c>
      <c r="I381" s="140"/>
      <c r="L381" s="31"/>
      <c r="N381" s="213"/>
      <c r="O381" s="214"/>
      <c r="Q381" s="229"/>
      <c r="CW381" s="141"/>
      <c r="DD381" s="50"/>
      <c r="ED381" s="16" t="s">
        <v>299</v>
      </c>
      <c r="EE381" s="16" t="s">
        <v>83</v>
      </c>
    </row>
    <row r="382" spans="2:153" s="12" customFormat="1" x14ac:dyDescent="0.2">
      <c r="B382" s="149"/>
      <c r="D382" s="138" t="s">
        <v>301</v>
      </c>
      <c r="E382" s="150" t="s">
        <v>1</v>
      </c>
      <c r="F382" s="151" t="s">
        <v>665</v>
      </c>
      <c r="H382" s="152">
        <v>24</v>
      </c>
      <c r="I382" s="153"/>
      <c r="L382" s="149"/>
      <c r="N382" s="217"/>
      <c r="O382" s="218"/>
      <c r="Q382" s="231"/>
      <c r="CW382" s="154"/>
      <c r="DD382" s="155"/>
      <c r="ED382" s="150" t="s">
        <v>301</v>
      </c>
      <c r="EE382" s="150" t="s">
        <v>83</v>
      </c>
      <c r="EF382" s="12" t="s">
        <v>83</v>
      </c>
      <c r="EG382" s="12" t="s">
        <v>32</v>
      </c>
      <c r="EH382" s="12" t="s">
        <v>81</v>
      </c>
      <c r="EI382" s="150" t="s">
        <v>282</v>
      </c>
    </row>
    <row r="383" spans="2:153" s="1" customFormat="1" ht="24.2" customHeight="1" x14ac:dyDescent="0.2">
      <c r="B383" s="124"/>
      <c r="C383" s="170" t="s">
        <v>666</v>
      </c>
      <c r="D383" s="170" t="s">
        <v>439</v>
      </c>
      <c r="E383" s="171" t="s">
        <v>667</v>
      </c>
      <c r="F383" s="172" t="s">
        <v>668</v>
      </c>
      <c r="G383" s="173" t="s">
        <v>485</v>
      </c>
      <c r="H383" s="174">
        <v>23</v>
      </c>
      <c r="I383" s="130">
        <v>3125.8118100000002</v>
      </c>
      <c r="J383" s="176">
        <f>ROUND(I383*H383,2)</f>
        <v>71893.67</v>
      </c>
      <c r="K383" s="172" t="s">
        <v>1</v>
      </c>
      <c r="L383" s="198">
        <f>S383</f>
        <v>0</v>
      </c>
      <c r="M383" s="206">
        <f>ROUND(L383*I383,2)</f>
        <v>0</v>
      </c>
      <c r="N383" s="211"/>
      <c r="O383" s="212">
        <f>ROUND(N383*I383,2)</f>
        <v>0</v>
      </c>
      <c r="P383" s="207">
        <f>H383-L383-N383</f>
        <v>23</v>
      </c>
      <c r="Q383" s="228">
        <f>ROUND(P383*I383,2)</f>
        <v>71893.67</v>
      </c>
      <c r="R383" s="199"/>
      <c r="S383" s="200">
        <f>W383+Y383+AA383+AC383+AE383+AG383+AI383+AK383+AM383+AO383+AQ383+AS383+AU383+AW383</f>
        <v>0</v>
      </c>
      <c r="T383" s="200">
        <f>ROUND(S383*I383,2)</f>
        <v>0</v>
      </c>
      <c r="U383" s="200">
        <f>H383-S383</f>
        <v>23</v>
      </c>
      <c r="V383" s="200">
        <f>ROUND(U383*I383,2)</f>
        <v>71893.67</v>
      </c>
      <c r="W383" s="203"/>
      <c r="X383" s="203"/>
      <c r="Y383" s="201"/>
      <c r="Z383" s="200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77" t="s">
        <v>1</v>
      </c>
      <c r="CX383" s="178" t="s">
        <v>40</v>
      </c>
      <c r="CZ383" s="134">
        <f>CY383*H383</f>
        <v>0</v>
      </c>
      <c r="DA383" s="134">
        <v>4.5999999999999999E-2</v>
      </c>
      <c r="DB383" s="134">
        <f>DA383*H383</f>
        <v>1.0580000000000001</v>
      </c>
      <c r="DC383" s="134">
        <v>0</v>
      </c>
      <c r="DD383" s="135">
        <f>DC383*H383</f>
        <v>0</v>
      </c>
      <c r="EB383" s="136" t="s">
        <v>328</v>
      </c>
      <c r="ED383" s="136" t="s">
        <v>439</v>
      </c>
      <c r="EE383" s="136" t="s">
        <v>83</v>
      </c>
      <c r="EI383" s="16" t="s">
        <v>282</v>
      </c>
      <c r="EO383" s="137">
        <f>IF(CX383="základní",J383,0)</f>
        <v>71893.67</v>
      </c>
      <c r="EP383" s="137">
        <f>IF(CX383="snížená",J383,0)</f>
        <v>0</v>
      </c>
      <c r="EQ383" s="137">
        <f>IF(CX383="zákl. přenesená",J383,0)</f>
        <v>0</v>
      </c>
      <c r="ER383" s="137">
        <f>IF(CX383="sníž. přenesená",J383,0)</f>
        <v>0</v>
      </c>
      <c r="ES383" s="137">
        <f>IF(CX383="nulová",J383,0)</f>
        <v>0</v>
      </c>
      <c r="ET383" s="16" t="s">
        <v>81</v>
      </c>
      <c r="EU383" s="137">
        <f>ROUND(I383*H383,2)</f>
        <v>71893.67</v>
      </c>
      <c r="EV383" s="16" t="s">
        <v>95</v>
      </c>
      <c r="EW383" s="136" t="s">
        <v>669</v>
      </c>
    </row>
    <row r="384" spans="2:153" s="1" customFormat="1" ht="19.5" x14ac:dyDescent="0.2">
      <c r="B384" s="31"/>
      <c r="D384" s="138" t="s">
        <v>289</v>
      </c>
      <c r="F384" s="139" t="s">
        <v>668</v>
      </c>
      <c r="I384" s="140"/>
      <c r="L384" s="31"/>
      <c r="N384" s="213"/>
      <c r="O384" s="214"/>
      <c r="Q384" s="229"/>
      <c r="CW384" s="141"/>
      <c r="DD384" s="50"/>
      <c r="ED384" s="16" t="s">
        <v>289</v>
      </c>
      <c r="EE384" s="16" t="s">
        <v>83</v>
      </c>
    </row>
    <row r="385" spans="2:153" s="1" customFormat="1" ht="24.2" customHeight="1" x14ac:dyDescent="0.2">
      <c r="B385" s="124"/>
      <c r="C385" s="170" t="s">
        <v>670</v>
      </c>
      <c r="D385" s="170" t="s">
        <v>439</v>
      </c>
      <c r="E385" s="171" t="s">
        <v>671</v>
      </c>
      <c r="F385" s="172" t="s">
        <v>672</v>
      </c>
      <c r="G385" s="173" t="s">
        <v>485</v>
      </c>
      <c r="H385" s="174">
        <v>1</v>
      </c>
      <c r="I385" s="130">
        <v>3315.25495</v>
      </c>
      <c r="J385" s="176">
        <f>ROUND(I385*H385,2)</f>
        <v>3315.25</v>
      </c>
      <c r="K385" s="172" t="s">
        <v>1</v>
      </c>
      <c r="L385" s="198">
        <f>S385</f>
        <v>0</v>
      </c>
      <c r="M385" s="206">
        <f>ROUND(L385*I385,2)</f>
        <v>0</v>
      </c>
      <c r="N385" s="211"/>
      <c r="O385" s="212">
        <f>ROUND(N385*I385,2)</f>
        <v>0</v>
      </c>
      <c r="P385" s="207">
        <f>H385-L385-N385</f>
        <v>1</v>
      </c>
      <c r="Q385" s="228">
        <f>ROUND(P385*I385,2)</f>
        <v>3315.25</v>
      </c>
      <c r="R385" s="199"/>
      <c r="S385" s="200">
        <f>W385+Y385+AA385+AC385+AE385+AG385+AI385+AK385+AM385+AO385+AQ385+AS385+AU385+AW385</f>
        <v>0</v>
      </c>
      <c r="T385" s="200">
        <f>ROUND(S385*I385,2)</f>
        <v>0</v>
      </c>
      <c r="U385" s="200">
        <f>H385-S385</f>
        <v>1</v>
      </c>
      <c r="V385" s="200">
        <f>ROUND(U385*I385,2)</f>
        <v>3315.25</v>
      </c>
      <c r="W385" s="203"/>
      <c r="X385" s="203"/>
      <c r="Y385" s="201"/>
      <c r="Z385" s="200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77" t="s">
        <v>1</v>
      </c>
      <c r="CX385" s="178" t="s">
        <v>40</v>
      </c>
      <c r="CZ385" s="134">
        <f>CY385*H385</f>
        <v>0</v>
      </c>
      <c r="DA385" s="134">
        <v>4.5999999999999999E-2</v>
      </c>
      <c r="DB385" s="134">
        <f>DA385*H385</f>
        <v>4.5999999999999999E-2</v>
      </c>
      <c r="DC385" s="134">
        <v>0</v>
      </c>
      <c r="DD385" s="135">
        <f>DC385*H385</f>
        <v>0</v>
      </c>
      <c r="EB385" s="136" t="s">
        <v>328</v>
      </c>
      <c r="ED385" s="136" t="s">
        <v>439</v>
      </c>
      <c r="EE385" s="136" t="s">
        <v>83</v>
      </c>
      <c r="EI385" s="16" t="s">
        <v>282</v>
      </c>
      <c r="EO385" s="137">
        <f>IF(CX385="základní",J385,0)</f>
        <v>3315.25</v>
      </c>
      <c r="EP385" s="137">
        <f>IF(CX385="snížená",J385,0)</f>
        <v>0</v>
      </c>
      <c r="EQ385" s="137">
        <f>IF(CX385="zákl. přenesená",J385,0)</f>
        <v>0</v>
      </c>
      <c r="ER385" s="137">
        <f>IF(CX385="sníž. přenesená",J385,0)</f>
        <v>0</v>
      </c>
      <c r="ES385" s="137">
        <f>IF(CX385="nulová",J385,0)</f>
        <v>0</v>
      </c>
      <c r="ET385" s="16" t="s">
        <v>81</v>
      </c>
      <c r="EU385" s="137">
        <f>ROUND(I385*H385,2)</f>
        <v>3315.25</v>
      </c>
      <c r="EV385" s="16" t="s">
        <v>95</v>
      </c>
      <c r="EW385" s="136" t="s">
        <v>673</v>
      </c>
    </row>
    <row r="386" spans="2:153" s="1" customFormat="1" ht="19.5" x14ac:dyDescent="0.2">
      <c r="B386" s="31"/>
      <c r="D386" s="138" t="s">
        <v>289</v>
      </c>
      <c r="F386" s="139" t="s">
        <v>672</v>
      </c>
      <c r="I386" s="140"/>
      <c r="L386" s="31"/>
      <c r="N386" s="213"/>
      <c r="O386" s="214"/>
      <c r="Q386" s="229"/>
      <c r="CW386" s="141"/>
      <c r="DD386" s="50"/>
      <c r="ED386" s="16" t="s">
        <v>289</v>
      </c>
      <c r="EE386" s="16" t="s">
        <v>83</v>
      </c>
    </row>
    <row r="387" spans="2:153" s="10" customFormat="1" ht="22.9" customHeight="1" x14ac:dyDescent="0.2">
      <c r="B387" s="112"/>
      <c r="D387" s="113" t="s">
        <v>73</v>
      </c>
      <c r="E387" s="122" t="s">
        <v>335</v>
      </c>
      <c r="F387" s="122" t="s">
        <v>674</v>
      </c>
      <c r="I387" s="115"/>
      <c r="J387" s="123">
        <f>EU387</f>
        <v>80347.179999999993</v>
      </c>
      <c r="L387" s="112"/>
      <c r="M387" s="202">
        <f>M388+M392+M397</f>
        <v>0</v>
      </c>
      <c r="N387" s="223"/>
      <c r="O387" s="224">
        <f t="shared" ref="O387:V387" si="4">O388+O392+O397</f>
        <v>-19607.36</v>
      </c>
      <c r="P387" s="202"/>
      <c r="Q387" s="234">
        <f t="shared" si="4"/>
        <v>99954.55</v>
      </c>
      <c r="R387" s="202"/>
      <c r="S387" s="202"/>
      <c r="T387" s="202">
        <f t="shared" si="4"/>
        <v>0</v>
      </c>
      <c r="U387" s="202"/>
      <c r="V387" s="202">
        <f t="shared" si="4"/>
        <v>80347.179999999993</v>
      </c>
      <c r="W387" s="202"/>
      <c r="X387" s="202"/>
      <c r="Y387" s="202"/>
      <c r="Z387" s="202"/>
      <c r="CW387" s="117"/>
      <c r="CZ387" s="118">
        <f>SUM(CZ388:CZ401)</f>
        <v>0</v>
      </c>
      <c r="DB387" s="118">
        <f>SUM(DB388:DB401)</f>
        <v>8.1000000000000006E-4</v>
      </c>
      <c r="DD387" s="119">
        <f>SUM(DD388:DD401)</f>
        <v>0</v>
      </c>
      <c r="EB387" s="113" t="s">
        <v>81</v>
      </c>
      <c r="ED387" s="120" t="s">
        <v>73</v>
      </c>
      <c r="EE387" s="120" t="s">
        <v>81</v>
      </c>
      <c r="EI387" s="113" t="s">
        <v>282</v>
      </c>
      <c r="EU387" s="121">
        <f>SUM(EU388:EU401)</f>
        <v>80347.179999999993</v>
      </c>
    </row>
    <row r="388" spans="2:153" s="1" customFormat="1" ht="14.45" customHeight="1" x14ac:dyDescent="0.2">
      <c r="B388" s="124"/>
      <c r="C388" s="125" t="s">
        <v>675</v>
      </c>
      <c r="D388" s="125" t="s">
        <v>284</v>
      </c>
      <c r="E388" s="126" t="s">
        <v>676</v>
      </c>
      <c r="F388" s="127" t="s">
        <v>677</v>
      </c>
      <c r="G388" s="128" t="s">
        <v>678</v>
      </c>
      <c r="H388" s="129">
        <v>57.5</v>
      </c>
      <c r="I388" s="130">
        <v>340.99765200000002</v>
      </c>
      <c r="J388" s="131">
        <f>ROUND(I388*H388,2)</f>
        <v>19607.36</v>
      </c>
      <c r="K388" s="127" t="s">
        <v>1</v>
      </c>
      <c r="L388" s="198">
        <f>S388</f>
        <v>0</v>
      </c>
      <c r="M388" s="206">
        <f>ROUND(L388*I388,2)</f>
        <v>0</v>
      </c>
      <c r="N388" s="211">
        <v>-57.5</v>
      </c>
      <c r="O388" s="212">
        <f>ROUND(N388*I388,2)</f>
        <v>-19607.36</v>
      </c>
      <c r="P388" s="207">
        <f>H388-L388-N388</f>
        <v>115</v>
      </c>
      <c r="Q388" s="228">
        <f>ROUND(P388*I388,2)</f>
        <v>39214.730000000003</v>
      </c>
      <c r="R388" s="199"/>
      <c r="S388" s="200">
        <f>W388+Y388+AA388+AC388+AE388+AG388+AI388+AK388+AM388+AO388+AQ388+AS388+AU388+AW388</f>
        <v>0</v>
      </c>
      <c r="T388" s="200">
        <f>ROUND(S388*I388,2)</f>
        <v>0</v>
      </c>
      <c r="U388" s="200">
        <f>H388-S388</f>
        <v>57.5</v>
      </c>
      <c r="V388" s="200">
        <f>ROUND(U388*I388,2)</f>
        <v>19607.36</v>
      </c>
      <c r="W388" s="203"/>
      <c r="X388" s="203"/>
      <c r="Y388" s="200"/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0"/>
      <c r="AP388" s="200"/>
      <c r="AQ388" s="200"/>
      <c r="AR388" s="200"/>
      <c r="AS388" s="200"/>
      <c r="AT388" s="200"/>
      <c r="AU388" s="200"/>
      <c r="AV388" s="200"/>
      <c r="AW388" s="200"/>
      <c r="AX388" s="200"/>
      <c r="CW388" s="132" t="s">
        <v>1</v>
      </c>
      <c r="CX388" s="133" t="s">
        <v>40</v>
      </c>
      <c r="CZ388" s="134">
        <f>CY388*H388</f>
        <v>0</v>
      </c>
      <c r="DA388" s="134">
        <v>0</v>
      </c>
      <c r="DB388" s="134">
        <f>DA388*H388</f>
        <v>0</v>
      </c>
      <c r="DC388" s="134">
        <v>0</v>
      </c>
      <c r="DD388" s="135">
        <f>DC388*H388</f>
        <v>0</v>
      </c>
      <c r="EB388" s="136" t="s">
        <v>95</v>
      </c>
      <c r="ED388" s="136" t="s">
        <v>284</v>
      </c>
      <c r="EE388" s="136" t="s">
        <v>83</v>
      </c>
      <c r="EI388" s="16" t="s">
        <v>282</v>
      </c>
      <c r="EO388" s="137">
        <f>IF(CX388="základní",J388,0)</f>
        <v>19607.36</v>
      </c>
      <c r="EP388" s="137">
        <f>IF(CX388="snížená",J388,0)</f>
        <v>0</v>
      </c>
      <c r="EQ388" s="137">
        <f>IF(CX388="zákl. přenesená",J388,0)</f>
        <v>0</v>
      </c>
      <c r="ER388" s="137">
        <f>IF(CX388="sníž. přenesená",J388,0)</f>
        <v>0</v>
      </c>
      <c r="ES388" s="137">
        <f>IF(CX388="nulová",J388,0)</f>
        <v>0</v>
      </c>
      <c r="ET388" s="16" t="s">
        <v>81</v>
      </c>
      <c r="EU388" s="137">
        <f>ROUND(I388*H388,2)</f>
        <v>19607.36</v>
      </c>
      <c r="EV388" s="16" t="s">
        <v>95</v>
      </c>
      <c r="EW388" s="136" t="s">
        <v>679</v>
      </c>
    </row>
    <row r="389" spans="2:153" s="1" customFormat="1" x14ac:dyDescent="0.2">
      <c r="B389" s="31"/>
      <c r="D389" s="138" t="s">
        <v>289</v>
      </c>
      <c r="F389" s="139" t="s">
        <v>677</v>
      </c>
      <c r="I389" s="140"/>
      <c r="L389" s="31"/>
      <c r="N389" s="213"/>
      <c r="O389" s="214"/>
      <c r="Q389" s="229"/>
      <c r="CW389" s="141"/>
      <c r="DD389" s="50"/>
      <c r="ED389" s="16" t="s">
        <v>289</v>
      </c>
      <c r="EE389" s="16" t="s">
        <v>83</v>
      </c>
    </row>
    <row r="390" spans="2:153" s="1" customFormat="1" ht="19.5" x14ac:dyDescent="0.2">
      <c r="B390" s="31"/>
      <c r="D390" s="138" t="s">
        <v>299</v>
      </c>
      <c r="F390" s="142" t="s">
        <v>317</v>
      </c>
      <c r="I390" s="140"/>
      <c r="L390" s="31"/>
      <c r="N390" s="213"/>
      <c r="O390" s="214"/>
      <c r="Q390" s="229"/>
      <c r="CW390" s="141"/>
      <c r="DD390" s="50"/>
      <c r="ED390" s="16" t="s">
        <v>299</v>
      </c>
      <c r="EE390" s="16" t="s">
        <v>83</v>
      </c>
    </row>
    <row r="391" spans="2:153" s="12" customFormat="1" x14ac:dyDescent="0.2">
      <c r="B391" s="149"/>
      <c r="D391" s="138" t="s">
        <v>301</v>
      </c>
      <c r="E391" s="150" t="s">
        <v>1</v>
      </c>
      <c r="F391" s="151" t="s">
        <v>680</v>
      </c>
      <c r="H391" s="152">
        <v>57.5</v>
      </c>
      <c r="I391" s="153"/>
      <c r="L391" s="149"/>
      <c r="N391" s="217"/>
      <c r="O391" s="218"/>
      <c r="Q391" s="231"/>
      <c r="CW391" s="154"/>
      <c r="DD391" s="155"/>
      <c r="ED391" s="150" t="s">
        <v>301</v>
      </c>
      <c r="EE391" s="150" t="s">
        <v>83</v>
      </c>
      <c r="EF391" s="12" t="s">
        <v>83</v>
      </c>
      <c r="EG391" s="12" t="s">
        <v>32</v>
      </c>
      <c r="EH391" s="12" t="s">
        <v>81</v>
      </c>
      <c r="EI391" s="150" t="s">
        <v>282</v>
      </c>
    </row>
    <row r="392" spans="2:153" s="1" customFormat="1" ht="24.2" customHeight="1" x14ac:dyDescent="0.2">
      <c r="B392" s="124"/>
      <c r="C392" s="125" t="s">
        <v>681</v>
      </c>
      <c r="D392" s="125" t="s">
        <v>284</v>
      </c>
      <c r="E392" s="126" t="s">
        <v>682</v>
      </c>
      <c r="F392" s="127" t="s">
        <v>683</v>
      </c>
      <c r="G392" s="128" t="s">
        <v>344</v>
      </c>
      <c r="H392" s="129">
        <v>9</v>
      </c>
      <c r="I392" s="130">
        <v>118.35908321829292</v>
      </c>
      <c r="J392" s="131">
        <f>ROUND(I392*H392,2)</f>
        <v>1065.23</v>
      </c>
      <c r="K392" s="127" t="s">
        <v>293</v>
      </c>
      <c r="L392" s="198">
        <f>S392</f>
        <v>0</v>
      </c>
      <c r="M392" s="206">
        <f>ROUND(L392*I392,2)</f>
        <v>0</v>
      </c>
      <c r="N392" s="211"/>
      <c r="O392" s="212">
        <f>ROUND(N392*I392,2)</f>
        <v>0</v>
      </c>
      <c r="P392" s="207">
        <f>H392-L392-N392</f>
        <v>9</v>
      </c>
      <c r="Q392" s="228">
        <f>ROUND(P392*I392,2)</f>
        <v>1065.23</v>
      </c>
      <c r="R392" s="199"/>
      <c r="S392" s="200">
        <f>W392+Y392+AA392+AC392+AE392+AG392+AI392+AK392+AM392+AO392+AQ392+AS392+AU392+AW392</f>
        <v>0</v>
      </c>
      <c r="T392" s="200">
        <f>ROUND(S392*I392,2)</f>
        <v>0</v>
      </c>
      <c r="U392" s="200">
        <f>H392-S392</f>
        <v>9</v>
      </c>
      <c r="V392" s="200">
        <f>ROUND(U392*I392,2)</f>
        <v>1065.23</v>
      </c>
      <c r="W392" s="203"/>
      <c r="X392" s="203"/>
      <c r="Y392" s="200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0"/>
      <c r="AP392" s="200"/>
      <c r="AQ392" s="200"/>
      <c r="AR392" s="200"/>
      <c r="AS392" s="200"/>
      <c r="AT392" s="200"/>
      <c r="AU392" s="200"/>
      <c r="AV392" s="200"/>
      <c r="AW392" s="200"/>
      <c r="AX392" s="200"/>
      <c r="CW392" s="132" t="s">
        <v>1</v>
      </c>
      <c r="CX392" s="133" t="s">
        <v>40</v>
      </c>
      <c r="CZ392" s="134">
        <f>CY392*H392</f>
        <v>0</v>
      </c>
      <c r="DA392" s="134">
        <v>9.0000000000000006E-5</v>
      </c>
      <c r="DB392" s="134">
        <f>DA392*H392</f>
        <v>8.1000000000000006E-4</v>
      </c>
      <c r="DC392" s="134">
        <v>0</v>
      </c>
      <c r="DD392" s="135">
        <f>DC392*H392</f>
        <v>0</v>
      </c>
      <c r="EB392" s="136" t="s">
        <v>95</v>
      </c>
      <c r="ED392" s="136" t="s">
        <v>284</v>
      </c>
      <c r="EE392" s="136" t="s">
        <v>83</v>
      </c>
      <c r="EI392" s="16" t="s">
        <v>282</v>
      </c>
      <c r="EO392" s="137">
        <f>IF(CX392="základní",J392,0)</f>
        <v>1065.23</v>
      </c>
      <c r="EP392" s="137">
        <f>IF(CX392="snížená",J392,0)</f>
        <v>0</v>
      </c>
      <c r="EQ392" s="137">
        <f>IF(CX392="zákl. přenesená",J392,0)</f>
        <v>0</v>
      </c>
      <c r="ER392" s="137">
        <f>IF(CX392="sníž. přenesená",J392,0)</f>
        <v>0</v>
      </c>
      <c r="ES392" s="137">
        <f>IF(CX392="nulová",J392,0)</f>
        <v>0</v>
      </c>
      <c r="ET392" s="16" t="s">
        <v>81</v>
      </c>
      <c r="EU392" s="137">
        <f>ROUND(I392*H392,2)</f>
        <v>1065.23</v>
      </c>
      <c r="EV392" s="16" t="s">
        <v>95</v>
      </c>
      <c r="EW392" s="136" t="s">
        <v>684</v>
      </c>
    </row>
    <row r="393" spans="2:153" s="1" customFormat="1" ht="39" x14ac:dyDescent="0.2">
      <c r="B393" s="31"/>
      <c r="D393" s="138" t="s">
        <v>289</v>
      </c>
      <c r="F393" s="139" t="s">
        <v>685</v>
      </c>
      <c r="I393" s="140"/>
      <c r="L393" s="31"/>
      <c r="N393" s="213"/>
      <c r="O393" s="214"/>
      <c r="Q393" s="229"/>
      <c r="CW393" s="141"/>
      <c r="DD393" s="50"/>
      <c r="ED393" s="16" t="s">
        <v>289</v>
      </c>
      <c r="EE393" s="16" t="s">
        <v>83</v>
      </c>
    </row>
    <row r="394" spans="2:153" s="1" customFormat="1" ht="19.5" x14ac:dyDescent="0.2">
      <c r="B394" s="31"/>
      <c r="D394" s="138" t="s">
        <v>299</v>
      </c>
      <c r="F394" s="142" t="s">
        <v>317</v>
      </c>
      <c r="I394" s="140"/>
      <c r="L394" s="31"/>
      <c r="N394" s="213"/>
      <c r="O394" s="214"/>
      <c r="Q394" s="229"/>
      <c r="CW394" s="141"/>
      <c r="DD394" s="50"/>
      <c r="ED394" s="16" t="s">
        <v>299</v>
      </c>
      <c r="EE394" s="16" t="s">
        <v>83</v>
      </c>
    </row>
    <row r="395" spans="2:153" s="11" customFormat="1" x14ac:dyDescent="0.2">
      <c r="B395" s="143"/>
      <c r="D395" s="138" t="s">
        <v>301</v>
      </c>
      <c r="E395" s="144" t="s">
        <v>1</v>
      </c>
      <c r="F395" s="145" t="s">
        <v>686</v>
      </c>
      <c r="H395" s="144" t="s">
        <v>1</v>
      </c>
      <c r="I395" s="146"/>
      <c r="L395" s="143"/>
      <c r="N395" s="215"/>
      <c r="O395" s="216"/>
      <c r="Q395" s="230"/>
      <c r="CW395" s="147"/>
      <c r="DD395" s="148"/>
      <c r="ED395" s="144" t="s">
        <v>301</v>
      </c>
      <c r="EE395" s="144" t="s">
        <v>83</v>
      </c>
      <c r="EF395" s="11" t="s">
        <v>81</v>
      </c>
      <c r="EG395" s="11" t="s">
        <v>32</v>
      </c>
      <c r="EH395" s="11" t="s">
        <v>74</v>
      </c>
      <c r="EI395" s="144" t="s">
        <v>282</v>
      </c>
    </row>
    <row r="396" spans="2:153" s="12" customFormat="1" x14ac:dyDescent="0.2">
      <c r="B396" s="149"/>
      <c r="D396" s="138" t="s">
        <v>301</v>
      </c>
      <c r="E396" s="150" t="s">
        <v>1</v>
      </c>
      <c r="F396" s="151" t="s">
        <v>687</v>
      </c>
      <c r="H396" s="152">
        <v>9</v>
      </c>
      <c r="I396" s="153"/>
      <c r="L396" s="149"/>
      <c r="N396" s="217"/>
      <c r="O396" s="218"/>
      <c r="Q396" s="231"/>
      <c r="CW396" s="154"/>
      <c r="DD396" s="155"/>
      <c r="ED396" s="150" t="s">
        <v>301</v>
      </c>
      <c r="EE396" s="150" t="s">
        <v>83</v>
      </c>
      <c r="EF396" s="12" t="s">
        <v>83</v>
      </c>
      <c r="EG396" s="12" t="s">
        <v>32</v>
      </c>
      <c r="EH396" s="12" t="s">
        <v>81</v>
      </c>
      <c r="EI396" s="150" t="s">
        <v>282</v>
      </c>
    </row>
    <row r="397" spans="2:153" s="1" customFormat="1" ht="14.45" customHeight="1" x14ac:dyDescent="0.2">
      <c r="B397" s="124"/>
      <c r="C397" s="125" t="s">
        <v>688</v>
      </c>
      <c r="D397" s="125" t="s">
        <v>284</v>
      </c>
      <c r="E397" s="126" t="s">
        <v>689</v>
      </c>
      <c r="F397" s="127" t="s">
        <v>690</v>
      </c>
      <c r="G397" s="128" t="s">
        <v>315</v>
      </c>
      <c r="H397" s="129">
        <v>35</v>
      </c>
      <c r="I397" s="130">
        <v>1704.9882600000001</v>
      </c>
      <c r="J397" s="131">
        <f>ROUND(I397*H397,2)</f>
        <v>59674.59</v>
      </c>
      <c r="K397" s="127" t="s">
        <v>1</v>
      </c>
      <c r="L397" s="198">
        <f>S397</f>
        <v>0</v>
      </c>
      <c r="M397" s="206">
        <f>ROUND(L397*I397,2)</f>
        <v>0</v>
      </c>
      <c r="N397" s="211"/>
      <c r="O397" s="212">
        <f>ROUND(N397*I397,2)</f>
        <v>0</v>
      </c>
      <c r="P397" s="207">
        <f>H397-L397-N397</f>
        <v>35</v>
      </c>
      <c r="Q397" s="228">
        <f>ROUND(P397*I397,2)</f>
        <v>59674.59</v>
      </c>
      <c r="R397" s="199"/>
      <c r="S397" s="200">
        <f>W397+Y397+AA397+AC397+AE397+AG397+AI397+AK397+AM397+AO397+AQ397+AS397+AU397+AW397</f>
        <v>0</v>
      </c>
      <c r="T397" s="200">
        <f>ROUND(S397*I397,2)</f>
        <v>0</v>
      </c>
      <c r="U397" s="200">
        <f>H397-S397</f>
        <v>35</v>
      </c>
      <c r="V397" s="200">
        <f>ROUND(U397*I397,2)</f>
        <v>59674.59</v>
      </c>
      <c r="W397" s="203"/>
      <c r="X397" s="203"/>
      <c r="Y397" s="200"/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0"/>
      <c r="AP397" s="200"/>
      <c r="AQ397" s="200"/>
      <c r="AR397" s="200"/>
      <c r="AS397" s="200"/>
      <c r="AT397" s="200"/>
      <c r="AU397" s="200"/>
      <c r="AV397" s="200"/>
      <c r="AW397" s="200"/>
      <c r="AX397" s="200"/>
      <c r="CW397" s="132" t="s">
        <v>1</v>
      </c>
      <c r="CX397" s="133" t="s">
        <v>40</v>
      </c>
      <c r="CZ397" s="134">
        <f>CY397*H397</f>
        <v>0</v>
      </c>
      <c r="DA397" s="134">
        <v>0</v>
      </c>
      <c r="DB397" s="134">
        <f>DA397*H397</f>
        <v>0</v>
      </c>
      <c r="DC397" s="134">
        <v>0</v>
      </c>
      <c r="DD397" s="135">
        <f>DC397*H397</f>
        <v>0</v>
      </c>
      <c r="EB397" s="136" t="s">
        <v>95</v>
      </c>
      <c r="ED397" s="136" t="s">
        <v>284</v>
      </c>
      <c r="EE397" s="136" t="s">
        <v>83</v>
      </c>
      <c r="EI397" s="16" t="s">
        <v>282</v>
      </c>
      <c r="EO397" s="137">
        <f>IF(CX397="základní",J397,0)</f>
        <v>59674.59</v>
      </c>
      <c r="EP397" s="137">
        <f>IF(CX397="snížená",J397,0)</f>
        <v>0</v>
      </c>
      <c r="EQ397" s="137">
        <f>IF(CX397="zákl. přenesená",J397,0)</f>
        <v>0</v>
      </c>
      <c r="ER397" s="137">
        <f>IF(CX397="sníž. přenesená",J397,0)</f>
        <v>0</v>
      </c>
      <c r="ES397" s="137">
        <f>IF(CX397="nulová",J397,0)</f>
        <v>0</v>
      </c>
      <c r="ET397" s="16" t="s">
        <v>81</v>
      </c>
      <c r="EU397" s="137">
        <f>ROUND(I397*H397,2)</f>
        <v>59674.59</v>
      </c>
      <c r="EV397" s="16" t="s">
        <v>95</v>
      </c>
      <c r="EW397" s="136" t="s">
        <v>691</v>
      </c>
    </row>
    <row r="398" spans="2:153" s="1" customFormat="1" ht="48.75" x14ac:dyDescent="0.2">
      <c r="B398" s="31"/>
      <c r="D398" s="138" t="s">
        <v>289</v>
      </c>
      <c r="F398" s="139" t="s">
        <v>692</v>
      </c>
      <c r="I398" s="140"/>
      <c r="L398" s="31"/>
      <c r="N398" s="213"/>
      <c r="O398" s="214"/>
      <c r="Q398" s="229"/>
      <c r="CW398" s="141"/>
      <c r="DD398" s="50"/>
      <c r="ED398" s="16" t="s">
        <v>289</v>
      </c>
      <c r="EE398" s="16" t="s">
        <v>83</v>
      </c>
    </row>
    <row r="399" spans="2:153" s="1" customFormat="1" ht="19.5" x14ac:dyDescent="0.2">
      <c r="B399" s="31"/>
      <c r="D399" s="138" t="s">
        <v>299</v>
      </c>
      <c r="F399" s="142" t="s">
        <v>693</v>
      </c>
      <c r="I399" s="140"/>
      <c r="L399" s="31"/>
      <c r="N399" s="213"/>
      <c r="O399" s="214"/>
      <c r="Q399" s="229"/>
      <c r="CW399" s="141"/>
      <c r="DD399" s="50"/>
      <c r="ED399" s="16" t="s">
        <v>299</v>
      </c>
      <c r="EE399" s="16" t="s">
        <v>83</v>
      </c>
    </row>
    <row r="400" spans="2:153" s="11" customFormat="1" x14ac:dyDescent="0.2">
      <c r="B400" s="143"/>
      <c r="D400" s="138" t="s">
        <v>301</v>
      </c>
      <c r="E400" s="144" t="s">
        <v>1</v>
      </c>
      <c r="F400" s="145" t="s">
        <v>694</v>
      </c>
      <c r="H400" s="144" t="s">
        <v>1</v>
      </c>
      <c r="I400" s="146"/>
      <c r="L400" s="143"/>
      <c r="N400" s="215"/>
      <c r="O400" s="216"/>
      <c r="Q400" s="230"/>
      <c r="CW400" s="147"/>
      <c r="DD400" s="148"/>
      <c r="ED400" s="144" t="s">
        <v>301</v>
      </c>
      <c r="EE400" s="144" t="s">
        <v>83</v>
      </c>
      <c r="EF400" s="11" t="s">
        <v>81</v>
      </c>
      <c r="EG400" s="11" t="s">
        <v>32</v>
      </c>
      <c r="EH400" s="11" t="s">
        <v>74</v>
      </c>
      <c r="EI400" s="144" t="s">
        <v>282</v>
      </c>
    </row>
    <row r="401" spans="2:153" s="12" customFormat="1" x14ac:dyDescent="0.2">
      <c r="B401" s="149"/>
      <c r="D401" s="138" t="s">
        <v>301</v>
      </c>
      <c r="E401" s="150" t="s">
        <v>1</v>
      </c>
      <c r="F401" s="151" t="s">
        <v>501</v>
      </c>
      <c r="H401" s="152">
        <v>35</v>
      </c>
      <c r="I401" s="153"/>
      <c r="L401" s="149"/>
      <c r="N401" s="217"/>
      <c r="O401" s="218"/>
      <c r="Q401" s="231"/>
      <c r="CW401" s="154"/>
      <c r="DD401" s="155"/>
      <c r="ED401" s="150" t="s">
        <v>301</v>
      </c>
      <c r="EE401" s="150" t="s">
        <v>83</v>
      </c>
      <c r="EF401" s="12" t="s">
        <v>83</v>
      </c>
      <c r="EG401" s="12" t="s">
        <v>32</v>
      </c>
      <c r="EH401" s="12" t="s">
        <v>81</v>
      </c>
      <c r="EI401" s="150" t="s">
        <v>282</v>
      </c>
    </row>
    <row r="402" spans="2:153" s="10" customFormat="1" ht="22.9" customHeight="1" x14ac:dyDescent="0.2">
      <c r="B402" s="112"/>
      <c r="D402" s="113" t="s">
        <v>73</v>
      </c>
      <c r="E402" s="122" t="s">
        <v>695</v>
      </c>
      <c r="F402" s="122" t="s">
        <v>696</v>
      </c>
      <c r="I402" s="115"/>
      <c r="J402" s="123">
        <f>EU402</f>
        <v>768474.79</v>
      </c>
      <c r="L402" s="112"/>
      <c r="M402" s="202">
        <f>SUM(M403:M420)</f>
        <v>0</v>
      </c>
      <c r="N402" s="223"/>
      <c r="O402" s="224">
        <f t="shared" ref="O402:V402" si="5">SUM(O403:O420)</f>
        <v>-768.45</v>
      </c>
      <c r="P402" s="202"/>
      <c r="Q402" s="234">
        <f t="shared" si="5"/>
        <v>769243.25</v>
      </c>
      <c r="R402" s="202"/>
      <c r="S402" s="202"/>
      <c r="T402" s="202">
        <f t="shared" si="5"/>
        <v>0</v>
      </c>
      <c r="U402" s="202"/>
      <c r="V402" s="202">
        <f t="shared" si="5"/>
        <v>768474.79</v>
      </c>
      <c r="W402" s="202"/>
      <c r="X402" s="202"/>
      <c r="Y402" s="202"/>
      <c r="Z402" s="202"/>
      <c r="CW402" s="117"/>
      <c r="CZ402" s="118">
        <f>SUM(CZ403:CZ422)</f>
        <v>0</v>
      </c>
      <c r="DB402" s="118">
        <f>SUM(DB403:DB422)</f>
        <v>0</v>
      </c>
      <c r="DD402" s="119">
        <f>SUM(DD403:DD422)</f>
        <v>0</v>
      </c>
      <c r="EB402" s="113" t="s">
        <v>81</v>
      </c>
      <c r="ED402" s="120" t="s">
        <v>73</v>
      </c>
      <c r="EE402" s="120" t="s">
        <v>81</v>
      </c>
      <c r="EI402" s="113" t="s">
        <v>282</v>
      </c>
      <c r="EU402" s="121">
        <f>SUM(EU403:EU422)</f>
        <v>768474.79</v>
      </c>
    </row>
    <row r="403" spans="2:153" s="1" customFormat="1" ht="14.45" customHeight="1" x14ac:dyDescent="0.2">
      <c r="B403" s="124"/>
      <c r="C403" s="125" t="s">
        <v>697</v>
      </c>
      <c r="D403" s="125" t="s">
        <v>284</v>
      </c>
      <c r="E403" s="126" t="s">
        <v>698</v>
      </c>
      <c r="F403" s="127" t="s">
        <v>699</v>
      </c>
      <c r="G403" s="128" t="s">
        <v>418</v>
      </c>
      <c r="H403" s="129">
        <v>1943.491</v>
      </c>
      <c r="I403" s="130">
        <v>40.477390926043419</v>
      </c>
      <c r="J403" s="131">
        <f>ROUND(I403*H403,2)</f>
        <v>78667.44</v>
      </c>
      <c r="K403" s="127" t="s">
        <v>293</v>
      </c>
      <c r="L403" s="198">
        <f>S403</f>
        <v>0</v>
      </c>
      <c r="M403" s="206">
        <f>ROUND(L403*I403,2)</f>
        <v>0</v>
      </c>
      <c r="N403" s="211">
        <f>N406</f>
        <v>-1.9434909999999945</v>
      </c>
      <c r="O403" s="212">
        <f>ROUND(N403*I403,2)</f>
        <v>-78.67</v>
      </c>
      <c r="P403" s="207">
        <f>H403-L403-N403</f>
        <v>1945.434491</v>
      </c>
      <c r="Q403" s="228">
        <f>ROUND(P403*I403,2)</f>
        <v>78746.11</v>
      </c>
      <c r="R403" s="199"/>
      <c r="S403" s="200">
        <f>W403+Y403+AA403+AC403+AE403+AG403+AI403+AK403+AM403+AO403+AQ403+AS403+AU403+AW403</f>
        <v>0</v>
      </c>
      <c r="T403" s="200">
        <f>ROUND(S403*I403,2)</f>
        <v>0</v>
      </c>
      <c r="U403" s="200">
        <f>H403-S403</f>
        <v>1943.491</v>
      </c>
      <c r="V403" s="200">
        <f>ROUND(U403*I403,2)</f>
        <v>78667.44</v>
      </c>
      <c r="W403" s="203"/>
      <c r="X403" s="203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200"/>
      <c r="AT403" s="200"/>
      <c r="AU403" s="200"/>
      <c r="AV403" s="200"/>
      <c r="AW403" s="200"/>
      <c r="AX403" s="200"/>
      <c r="CW403" s="132" t="s">
        <v>1</v>
      </c>
      <c r="CX403" s="133" t="s">
        <v>40</v>
      </c>
      <c r="CZ403" s="134">
        <f>CY403*H403</f>
        <v>0</v>
      </c>
      <c r="DA403" s="134">
        <v>0</v>
      </c>
      <c r="DB403" s="134">
        <f>DA403*H403</f>
        <v>0</v>
      </c>
      <c r="DC403" s="134">
        <v>0</v>
      </c>
      <c r="DD403" s="135">
        <f>DC403*H403</f>
        <v>0</v>
      </c>
      <c r="EB403" s="136" t="s">
        <v>95</v>
      </c>
      <c r="ED403" s="136" t="s">
        <v>284</v>
      </c>
      <c r="EE403" s="136" t="s">
        <v>83</v>
      </c>
      <c r="EI403" s="16" t="s">
        <v>282</v>
      </c>
      <c r="EO403" s="137">
        <f>IF(CX403="základní",J403,0)</f>
        <v>78667.44</v>
      </c>
      <c r="EP403" s="137">
        <f>IF(CX403="snížená",J403,0)</f>
        <v>0</v>
      </c>
      <c r="EQ403" s="137">
        <f>IF(CX403="zákl. přenesená",J403,0)</f>
        <v>0</v>
      </c>
      <c r="ER403" s="137">
        <f>IF(CX403="sníž. přenesená",J403,0)</f>
        <v>0</v>
      </c>
      <c r="ES403" s="137">
        <f>IF(CX403="nulová",J403,0)</f>
        <v>0</v>
      </c>
      <c r="ET403" s="16" t="s">
        <v>81</v>
      </c>
      <c r="EU403" s="137">
        <f>ROUND(I403*H403,2)</f>
        <v>78667.44</v>
      </c>
      <c r="EV403" s="16" t="s">
        <v>95</v>
      </c>
      <c r="EW403" s="136" t="s">
        <v>700</v>
      </c>
    </row>
    <row r="404" spans="2:153" s="1" customFormat="1" ht="19.5" x14ac:dyDescent="0.2">
      <c r="B404" s="31"/>
      <c r="D404" s="138" t="s">
        <v>289</v>
      </c>
      <c r="F404" s="139" t="s">
        <v>701</v>
      </c>
      <c r="I404" s="140"/>
      <c r="L404" s="31"/>
      <c r="N404" s="213"/>
      <c r="O404" s="214"/>
      <c r="Q404" s="229"/>
      <c r="CW404" s="141"/>
      <c r="DD404" s="50"/>
      <c r="ED404" s="16" t="s">
        <v>289</v>
      </c>
      <c r="EE404" s="16" t="s">
        <v>83</v>
      </c>
    </row>
    <row r="405" spans="2:153" s="12" customFormat="1" x14ac:dyDescent="0.2">
      <c r="B405" s="149"/>
      <c r="D405" s="138" t="s">
        <v>301</v>
      </c>
      <c r="E405" s="150" t="s">
        <v>1</v>
      </c>
      <c r="F405" s="151" t="s">
        <v>702</v>
      </c>
      <c r="H405" s="152">
        <v>1322.54</v>
      </c>
      <c r="I405" s="153"/>
      <c r="L405" s="149"/>
      <c r="N405" s="217">
        <f>0.999*1943.491</f>
        <v>1941.547509</v>
      </c>
      <c r="O405" s="218" t="s">
        <v>3848</v>
      </c>
      <c r="Q405" s="231"/>
      <c r="CW405" s="154"/>
      <c r="DD405" s="155"/>
      <c r="ED405" s="150" t="s">
        <v>301</v>
      </c>
      <c r="EE405" s="150" t="s">
        <v>83</v>
      </c>
      <c r="EF405" s="12" t="s">
        <v>83</v>
      </c>
      <c r="EG405" s="12" t="s">
        <v>32</v>
      </c>
      <c r="EH405" s="12" t="s">
        <v>74</v>
      </c>
      <c r="EI405" s="150" t="s">
        <v>282</v>
      </c>
    </row>
    <row r="406" spans="2:153" s="12" customFormat="1" x14ac:dyDescent="0.2">
      <c r="B406" s="149"/>
      <c r="D406" s="138" t="s">
        <v>301</v>
      </c>
      <c r="E406" s="150" t="s">
        <v>1</v>
      </c>
      <c r="F406" s="151" t="s">
        <v>703</v>
      </c>
      <c r="H406" s="152">
        <v>620.95100000000002</v>
      </c>
      <c r="I406" s="153"/>
      <c r="L406" s="149"/>
      <c r="N406" s="310">
        <f>N405-H407</f>
        <v>-1.9434909999999945</v>
      </c>
      <c r="O406" s="218"/>
      <c r="Q406" s="231"/>
      <c r="CW406" s="154"/>
      <c r="DD406" s="155"/>
      <c r="ED406" s="150" t="s">
        <v>301</v>
      </c>
      <c r="EE406" s="150" t="s">
        <v>83</v>
      </c>
      <c r="EF406" s="12" t="s">
        <v>83</v>
      </c>
      <c r="EG406" s="12" t="s">
        <v>32</v>
      </c>
      <c r="EH406" s="12" t="s">
        <v>74</v>
      </c>
      <c r="EI406" s="150" t="s">
        <v>282</v>
      </c>
    </row>
    <row r="407" spans="2:153" s="13" customFormat="1" x14ac:dyDescent="0.2">
      <c r="B407" s="156"/>
      <c r="D407" s="138" t="s">
        <v>301</v>
      </c>
      <c r="E407" s="157" t="s">
        <v>1</v>
      </c>
      <c r="F407" s="158" t="s">
        <v>305</v>
      </c>
      <c r="H407" s="159">
        <v>1943.491</v>
      </c>
      <c r="I407" s="160"/>
      <c r="L407" s="156"/>
      <c r="N407" s="219"/>
      <c r="O407" s="220"/>
      <c r="Q407" s="232"/>
      <c r="CW407" s="161"/>
      <c r="DD407" s="162"/>
      <c r="ED407" s="157" t="s">
        <v>301</v>
      </c>
      <c r="EE407" s="157" t="s">
        <v>83</v>
      </c>
      <c r="EF407" s="13" t="s">
        <v>95</v>
      </c>
      <c r="EG407" s="13" t="s">
        <v>32</v>
      </c>
      <c r="EH407" s="13" t="s">
        <v>81</v>
      </c>
      <c r="EI407" s="157" t="s">
        <v>282</v>
      </c>
    </row>
    <row r="408" spans="2:153" s="1" customFormat="1" ht="24.2" customHeight="1" x14ac:dyDescent="0.2">
      <c r="B408" s="124"/>
      <c r="C408" s="125" t="s">
        <v>704</v>
      </c>
      <c r="D408" s="125" t="s">
        <v>284</v>
      </c>
      <c r="E408" s="126" t="s">
        <v>705</v>
      </c>
      <c r="F408" s="127" t="s">
        <v>706</v>
      </c>
      <c r="G408" s="128" t="s">
        <v>418</v>
      </c>
      <c r="H408" s="129">
        <v>27208.874</v>
      </c>
      <c r="I408" s="130">
        <v>3.1192340975392101</v>
      </c>
      <c r="J408" s="131">
        <f>ROUND(I408*H408,2)</f>
        <v>84870.85</v>
      </c>
      <c r="K408" s="127" t="s">
        <v>293</v>
      </c>
      <c r="L408" s="198">
        <f>S408</f>
        <v>0</v>
      </c>
      <c r="M408" s="206">
        <f>ROUND(L408*I408,2)</f>
        <v>0</v>
      </c>
      <c r="N408" s="211">
        <f>N411</f>
        <v>-27.202000000001135</v>
      </c>
      <c r="O408" s="212">
        <f>ROUND(N408*I408,2)</f>
        <v>-84.85</v>
      </c>
      <c r="P408" s="207">
        <f>H408-L408-N408</f>
        <v>27236.076000000001</v>
      </c>
      <c r="Q408" s="228">
        <f>ROUND(P408*I408,2)</f>
        <v>84955.7</v>
      </c>
      <c r="R408" s="199"/>
      <c r="S408" s="200">
        <f>W408+Y408+AA408+AC408+AE408+AG408+AI408+AK408+AM408+AO408+AQ408+AS408+AU408+AW408</f>
        <v>0</v>
      </c>
      <c r="T408" s="200">
        <f>ROUND(S408*I408,2)</f>
        <v>0</v>
      </c>
      <c r="U408" s="200">
        <f>H408-S408</f>
        <v>27208.874</v>
      </c>
      <c r="V408" s="200">
        <f>ROUND(U408*I408,2)</f>
        <v>84870.85</v>
      </c>
      <c r="W408" s="203"/>
      <c r="X408" s="203"/>
      <c r="Y408" s="200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0"/>
      <c r="AP408" s="200"/>
      <c r="AQ408" s="200"/>
      <c r="AR408" s="200"/>
      <c r="AS408" s="200"/>
      <c r="AT408" s="200"/>
      <c r="AU408" s="200"/>
      <c r="AV408" s="200"/>
      <c r="AW408" s="200"/>
      <c r="AX408" s="200"/>
      <c r="CW408" s="132" t="s">
        <v>1</v>
      </c>
      <c r="CX408" s="133" t="s">
        <v>40</v>
      </c>
      <c r="CZ408" s="134">
        <f>CY408*H408</f>
        <v>0</v>
      </c>
      <c r="DA408" s="134">
        <v>0</v>
      </c>
      <c r="DB408" s="134">
        <f>DA408*H408</f>
        <v>0</v>
      </c>
      <c r="DC408" s="134">
        <v>0</v>
      </c>
      <c r="DD408" s="135">
        <f>DC408*H408</f>
        <v>0</v>
      </c>
      <c r="EB408" s="136" t="s">
        <v>95</v>
      </c>
      <c r="ED408" s="136" t="s">
        <v>284</v>
      </c>
      <c r="EE408" s="136" t="s">
        <v>83</v>
      </c>
      <c r="EI408" s="16" t="s">
        <v>282</v>
      </c>
      <c r="EO408" s="137">
        <f>IF(CX408="základní",J408,0)</f>
        <v>84870.85</v>
      </c>
      <c r="EP408" s="137">
        <f>IF(CX408="snížená",J408,0)</f>
        <v>0</v>
      </c>
      <c r="EQ408" s="137">
        <f>IF(CX408="zákl. přenesená",J408,0)</f>
        <v>0</v>
      </c>
      <c r="ER408" s="137">
        <f>IF(CX408="sníž. přenesená",J408,0)</f>
        <v>0</v>
      </c>
      <c r="ES408" s="137">
        <f>IF(CX408="nulová",J408,0)</f>
        <v>0</v>
      </c>
      <c r="ET408" s="16" t="s">
        <v>81</v>
      </c>
      <c r="EU408" s="137">
        <f>ROUND(I408*H408,2)</f>
        <v>84870.85</v>
      </c>
      <c r="EV408" s="16" t="s">
        <v>95</v>
      </c>
      <c r="EW408" s="136" t="s">
        <v>707</v>
      </c>
    </row>
    <row r="409" spans="2:153" s="1" customFormat="1" ht="29.25" x14ac:dyDescent="0.2">
      <c r="B409" s="31"/>
      <c r="D409" s="138" t="s">
        <v>289</v>
      </c>
      <c r="F409" s="139" t="s">
        <v>708</v>
      </c>
      <c r="I409" s="140"/>
      <c r="L409" s="31"/>
      <c r="N409" s="213"/>
      <c r="O409" s="214"/>
      <c r="Q409" s="229"/>
      <c r="CW409" s="141"/>
      <c r="DD409" s="50"/>
      <c r="ED409" s="16" t="s">
        <v>289</v>
      </c>
      <c r="EE409" s="16" t="s">
        <v>83</v>
      </c>
    </row>
    <row r="410" spans="2:153" s="12" customFormat="1" x14ac:dyDescent="0.2">
      <c r="B410" s="149"/>
      <c r="D410" s="138" t="s">
        <v>301</v>
      </c>
      <c r="E410" s="150" t="s">
        <v>1</v>
      </c>
      <c r="F410" s="151" t="s">
        <v>702</v>
      </c>
      <c r="H410" s="152">
        <v>1322.54</v>
      </c>
      <c r="I410" s="153"/>
      <c r="L410" s="149"/>
      <c r="N410" s="217">
        <f>1941.548*14</f>
        <v>27181.671999999999</v>
      </c>
      <c r="O410" s="218" t="s">
        <v>3849</v>
      </c>
      <c r="Q410" s="231"/>
      <c r="CW410" s="154"/>
      <c r="DD410" s="155"/>
      <c r="ED410" s="150" t="s">
        <v>301</v>
      </c>
      <c r="EE410" s="150" t="s">
        <v>83</v>
      </c>
      <c r="EF410" s="12" t="s">
        <v>83</v>
      </c>
      <c r="EG410" s="12" t="s">
        <v>32</v>
      </c>
      <c r="EH410" s="12" t="s">
        <v>74</v>
      </c>
      <c r="EI410" s="150" t="s">
        <v>282</v>
      </c>
    </row>
    <row r="411" spans="2:153" s="12" customFormat="1" x14ac:dyDescent="0.2">
      <c r="B411" s="149"/>
      <c r="D411" s="138" t="s">
        <v>301</v>
      </c>
      <c r="E411" s="150" t="s">
        <v>1</v>
      </c>
      <c r="F411" s="151" t="s">
        <v>703</v>
      </c>
      <c r="H411" s="152">
        <v>620.95100000000002</v>
      </c>
      <c r="I411" s="153"/>
      <c r="L411" s="149"/>
      <c r="N411" s="310">
        <f>N410-H413</f>
        <v>-27.202000000001135</v>
      </c>
      <c r="O411" s="218"/>
      <c r="Q411" s="231"/>
      <c r="CW411" s="154"/>
      <c r="DD411" s="155"/>
      <c r="ED411" s="150" t="s">
        <v>301</v>
      </c>
      <c r="EE411" s="150" t="s">
        <v>83</v>
      </c>
      <c r="EF411" s="12" t="s">
        <v>83</v>
      </c>
      <c r="EG411" s="12" t="s">
        <v>32</v>
      </c>
      <c r="EH411" s="12" t="s">
        <v>74</v>
      </c>
      <c r="EI411" s="150" t="s">
        <v>282</v>
      </c>
    </row>
    <row r="412" spans="2:153" s="13" customFormat="1" x14ac:dyDescent="0.2">
      <c r="B412" s="156"/>
      <c r="D412" s="138" t="s">
        <v>301</v>
      </c>
      <c r="E412" s="157" t="s">
        <v>1</v>
      </c>
      <c r="F412" s="158" t="s">
        <v>305</v>
      </c>
      <c r="H412" s="159">
        <v>1943.491</v>
      </c>
      <c r="I412" s="160"/>
      <c r="L412" s="156"/>
      <c r="N412" s="219"/>
      <c r="O412" s="220"/>
      <c r="Q412" s="232"/>
      <c r="CW412" s="161"/>
      <c r="DD412" s="162"/>
      <c r="ED412" s="157" t="s">
        <v>301</v>
      </c>
      <c r="EE412" s="157" t="s">
        <v>83</v>
      </c>
      <c r="EF412" s="13" t="s">
        <v>95</v>
      </c>
      <c r="EG412" s="13" t="s">
        <v>32</v>
      </c>
      <c r="EH412" s="13" t="s">
        <v>81</v>
      </c>
      <c r="EI412" s="157" t="s">
        <v>282</v>
      </c>
    </row>
    <row r="413" spans="2:153" s="12" customFormat="1" x14ac:dyDescent="0.2">
      <c r="B413" s="149"/>
      <c r="D413" s="138" t="s">
        <v>301</v>
      </c>
      <c r="F413" s="151" t="s">
        <v>709</v>
      </c>
      <c r="H413" s="152">
        <v>27208.874</v>
      </c>
      <c r="I413" s="153"/>
      <c r="L413" s="149"/>
      <c r="N413" s="217"/>
      <c r="O413" s="218"/>
      <c r="Q413" s="231"/>
      <c r="CW413" s="154"/>
      <c r="DD413" s="155"/>
      <c r="ED413" s="150" t="s">
        <v>301</v>
      </c>
      <c r="EE413" s="150" t="s">
        <v>83</v>
      </c>
      <c r="EF413" s="12" t="s">
        <v>83</v>
      </c>
      <c r="EG413" s="12" t="s">
        <v>3</v>
      </c>
      <c r="EH413" s="12" t="s">
        <v>81</v>
      </c>
      <c r="EI413" s="150" t="s">
        <v>282</v>
      </c>
    </row>
    <row r="414" spans="2:153" s="1" customFormat="1" ht="24.2" customHeight="1" x14ac:dyDescent="0.2">
      <c r="B414" s="124"/>
      <c r="C414" s="125" t="s">
        <v>710</v>
      </c>
      <c r="D414" s="125" t="s">
        <v>284</v>
      </c>
      <c r="E414" s="126" t="s">
        <v>711</v>
      </c>
      <c r="F414" s="127" t="s">
        <v>712</v>
      </c>
      <c r="G414" s="128" t="s">
        <v>418</v>
      </c>
      <c r="H414" s="129">
        <v>1943.491</v>
      </c>
      <c r="I414" s="130">
        <v>155.98322812074767</v>
      </c>
      <c r="J414" s="131">
        <f>ROUND(I414*H414,2)</f>
        <v>303152</v>
      </c>
      <c r="K414" s="127" t="s">
        <v>293</v>
      </c>
      <c r="L414" s="198">
        <f>S414</f>
        <v>0</v>
      </c>
      <c r="M414" s="206">
        <f>ROUND(L414*I414,2)</f>
        <v>0</v>
      </c>
      <c r="N414" s="211">
        <f>N403</f>
        <v>-1.9434909999999945</v>
      </c>
      <c r="O414" s="212">
        <f>ROUND(N414*I414,2)</f>
        <v>-303.14999999999998</v>
      </c>
      <c r="P414" s="207">
        <f>H414-L414-N414</f>
        <v>1945.434491</v>
      </c>
      <c r="Q414" s="228">
        <f>ROUND(P414*I414,2)</f>
        <v>303455.15000000002</v>
      </c>
      <c r="R414" s="199"/>
      <c r="S414" s="200">
        <f>W414+Y414+AA414+AC414+AE414+AG414+AI414+AK414+AM414+AO414+AQ414+AS414+AU414+AW414</f>
        <v>0</v>
      </c>
      <c r="T414" s="200">
        <f>ROUND(S414*I414,2)</f>
        <v>0</v>
      </c>
      <c r="U414" s="200">
        <f>H414-S414</f>
        <v>1943.491</v>
      </c>
      <c r="V414" s="200">
        <f>ROUND(U414*I414,2)</f>
        <v>303152</v>
      </c>
      <c r="W414" s="203"/>
      <c r="X414" s="203"/>
      <c r="Y414" s="200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0"/>
      <c r="AP414" s="200"/>
      <c r="AQ414" s="200"/>
      <c r="AR414" s="200"/>
      <c r="AS414" s="200"/>
      <c r="AT414" s="200"/>
      <c r="AU414" s="200"/>
      <c r="AV414" s="200"/>
      <c r="AW414" s="200"/>
      <c r="AX414" s="200"/>
      <c r="CW414" s="132" t="s">
        <v>1</v>
      </c>
      <c r="CX414" s="133" t="s">
        <v>40</v>
      </c>
      <c r="CZ414" s="134">
        <f>CY414*H414</f>
        <v>0</v>
      </c>
      <c r="DA414" s="134">
        <v>0</v>
      </c>
      <c r="DB414" s="134">
        <f>DA414*H414</f>
        <v>0</v>
      </c>
      <c r="DC414" s="134">
        <v>0</v>
      </c>
      <c r="DD414" s="135">
        <f>DC414*H414</f>
        <v>0</v>
      </c>
      <c r="EB414" s="136" t="s">
        <v>95</v>
      </c>
      <c r="ED414" s="136" t="s">
        <v>284</v>
      </c>
      <c r="EE414" s="136" t="s">
        <v>83</v>
      </c>
      <c r="EI414" s="16" t="s">
        <v>282</v>
      </c>
      <c r="EO414" s="137">
        <f>IF(CX414="základní",J414,0)</f>
        <v>303152</v>
      </c>
      <c r="EP414" s="137">
        <f>IF(CX414="snížená",J414,0)</f>
        <v>0</v>
      </c>
      <c r="EQ414" s="137">
        <f>IF(CX414="zákl. přenesená",J414,0)</f>
        <v>0</v>
      </c>
      <c r="ER414" s="137">
        <f>IF(CX414="sníž. přenesená",J414,0)</f>
        <v>0</v>
      </c>
      <c r="ES414" s="137">
        <f>IF(CX414="nulová",J414,0)</f>
        <v>0</v>
      </c>
      <c r="ET414" s="16" t="s">
        <v>81</v>
      </c>
      <c r="EU414" s="137">
        <f>ROUND(I414*H414,2)</f>
        <v>303152</v>
      </c>
      <c r="EV414" s="16" t="s">
        <v>95</v>
      </c>
      <c r="EW414" s="136" t="s">
        <v>713</v>
      </c>
    </row>
    <row r="415" spans="2:153" s="1" customFormat="1" x14ac:dyDescent="0.2">
      <c r="B415" s="31"/>
      <c r="D415" s="138" t="s">
        <v>289</v>
      </c>
      <c r="F415" s="139" t="s">
        <v>714</v>
      </c>
      <c r="I415" s="140"/>
      <c r="L415" s="31"/>
      <c r="N415" s="213"/>
      <c r="O415" s="214"/>
      <c r="Q415" s="229"/>
      <c r="CW415" s="141"/>
      <c r="DD415" s="50"/>
      <c r="ED415" s="16" t="s">
        <v>289</v>
      </c>
      <c r="EE415" s="16" t="s">
        <v>83</v>
      </c>
    </row>
    <row r="416" spans="2:153" s="1" customFormat="1" ht="37.9" customHeight="1" x14ac:dyDescent="0.2">
      <c r="B416" s="124"/>
      <c r="C416" s="125" t="s">
        <v>715</v>
      </c>
      <c r="D416" s="125" t="s">
        <v>284</v>
      </c>
      <c r="E416" s="126" t="s">
        <v>716</v>
      </c>
      <c r="F416" s="127" t="s">
        <v>420</v>
      </c>
      <c r="G416" s="128" t="s">
        <v>418</v>
      </c>
      <c r="H416" s="129">
        <v>1322.54</v>
      </c>
      <c r="I416" s="130">
        <v>110.6455721</v>
      </c>
      <c r="J416" s="131">
        <f>ROUND(I416*H416,2)</f>
        <v>146333.19</v>
      </c>
      <c r="K416" s="127" t="s">
        <v>293</v>
      </c>
      <c r="L416" s="198">
        <f>S416</f>
        <v>0</v>
      </c>
      <c r="M416" s="206">
        <f>ROUND(L416*I416,2)</f>
        <v>0</v>
      </c>
      <c r="N416" s="211">
        <f>N419</f>
        <v>-1.3225399999998899</v>
      </c>
      <c r="O416" s="212">
        <f>ROUND(N416*I416,2)</f>
        <v>-146.33000000000001</v>
      </c>
      <c r="P416" s="207">
        <f>H416-L416-N416</f>
        <v>1323.8625399999999</v>
      </c>
      <c r="Q416" s="228">
        <f>ROUND(P416*I416,2)</f>
        <v>146479.53</v>
      </c>
      <c r="R416" s="199"/>
      <c r="S416" s="200">
        <f>W416+Y416+AA416+AC416+AE416+AG416+AI416+AK416+AM416+AO416+AQ416+AS416+AU416+AW416</f>
        <v>0</v>
      </c>
      <c r="T416" s="200">
        <f>ROUND(S416*I416,2)</f>
        <v>0</v>
      </c>
      <c r="U416" s="200">
        <f>H416-S416</f>
        <v>1322.54</v>
      </c>
      <c r="V416" s="200">
        <f>ROUND(U416*I416,2)</f>
        <v>146333.19</v>
      </c>
      <c r="W416" s="203"/>
      <c r="X416" s="203"/>
      <c r="Y416" s="200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0"/>
      <c r="AP416" s="200"/>
      <c r="AQ416" s="200"/>
      <c r="AR416" s="200"/>
      <c r="AS416" s="200"/>
      <c r="AT416" s="200"/>
      <c r="AU416" s="200"/>
      <c r="AV416" s="200"/>
      <c r="AW416" s="200"/>
      <c r="AX416" s="200"/>
      <c r="CW416" s="132" t="s">
        <v>1</v>
      </c>
      <c r="CX416" s="133" t="s">
        <v>40</v>
      </c>
      <c r="CZ416" s="134">
        <f>CY416*H416</f>
        <v>0</v>
      </c>
      <c r="DA416" s="134">
        <v>0</v>
      </c>
      <c r="DB416" s="134">
        <f>DA416*H416</f>
        <v>0</v>
      </c>
      <c r="DC416" s="134">
        <v>0</v>
      </c>
      <c r="DD416" s="135">
        <f>DC416*H416</f>
        <v>0</v>
      </c>
      <c r="EB416" s="136" t="s">
        <v>95</v>
      </c>
      <c r="ED416" s="136" t="s">
        <v>284</v>
      </c>
      <c r="EE416" s="136" t="s">
        <v>83</v>
      </c>
      <c r="EI416" s="16" t="s">
        <v>282</v>
      </c>
      <c r="EO416" s="137">
        <f>IF(CX416="základní",J416,0)</f>
        <v>146333.19</v>
      </c>
      <c r="EP416" s="137">
        <f>IF(CX416="snížená",J416,0)</f>
        <v>0</v>
      </c>
      <c r="EQ416" s="137">
        <f>IF(CX416="zákl. přenesená",J416,0)</f>
        <v>0</v>
      </c>
      <c r="ER416" s="137">
        <f>IF(CX416="sníž. přenesená",J416,0)</f>
        <v>0</v>
      </c>
      <c r="ES416" s="137">
        <f>IF(CX416="nulová",J416,0)</f>
        <v>0</v>
      </c>
      <c r="ET416" s="16" t="s">
        <v>81</v>
      </c>
      <c r="EU416" s="137">
        <f>ROUND(I416*H416,2)</f>
        <v>146333.19</v>
      </c>
      <c r="EV416" s="16" t="s">
        <v>95</v>
      </c>
      <c r="EW416" s="136" t="s">
        <v>717</v>
      </c>
    </row>
    <row r="417" spans="2:153" s="1" customFormat="1" ht="29.25" x14ac:dyDescent="0.2">
      <c r="B417" s="31"/>
      <c r="D417" s="138" t="s">
        <v>289</v>
      </c>
      <c r="F417" s="139" t="s">
        <v>420</v>
      </c>
      <c r="I417" s="140"/>
      <c r="L417" s="31"/>
      <c r="N417" s="213"/>
      <c r="O417" s="214"/>
      <c r="Q417" s="229"/>
      <c r="CW417" s="141"/>
      <c r="DD417" s="50"/>
      <c r="ED417" s="16" t="s">
        <v>289</v>
      </c>
      <c r="EE417" s="16" t="s">
        <v>83</v>
      </c>
    </row>
    <row r="418" spans="2:153" s="12" customFormat="1" x14ac:dyDescent="0.2">
      <c r="B418" s="149"/>
      <c r="D418" s="138" t="s">
        <v>301</v>
      </c>
      <c r="E418" s="150" t="s">
        <v>1</v>
      </c>
      <c r="F418" s="151" t="s">
        <v>702</v>
      </c>
      <c r="H418" s="152">
        <v>1322.54</v>
      </c>
      <c r="I418" s="153"/>
      <c r="L418" s="149"/>
      <c r="N418" s="217">
        <f>0.999*1322.54</f>
        <v>1321.2174600000001</v>
      </c>
      <c r="O418" s="218" t="s">
        <v>3850</v>
      </c>
      <c r="Q418" s="231"/>
      <c r="CW418" s="154"/>
      <c r="DD418" s="155"/>
      <c r="ED418" s="150" t="s">
        <v>301</v>
      </c>
      <c r="EE418" s="150" t="s">
        <v>83</v>
      </c>
      <c r="EF418" s="12" t="s">
        <v>83</v>
      </c>
      <c r="EG418" s="12" t="s">
        <v>32</v>
      </c>
      <c r="EH418" s="12" t="s">
        <v>81</v>
      </c>
      <c r="EI418" s="150" t="s">
        <v>282</v>
      </c>
    </row>
    <row r="419" spans="2:153" s="12" customFormat="1" x14ac:dyDescent="0.2">
      <c r="B419" s="149"/>
      <c r="D419" s="138"/>
      <c r="E419" s="150"/>
      <c r="F419" s="151"/>
      <c r="H419" s="152"/>
      <c r="I419" s="153"/>
      <c r="L419" s="149"/>
      <c r="N419" s="310">
        <f>N418-H418</f>
        <v>-1.3225399999998899</v>
      </c>
      <c r="O419" s="218"/>
      <c r="Q419" s="231"/>
      <c r="CW419" s="154"/>
      <c r="DD419" s="155"/>
      <c r="ED419" s="150"/>
      <c r="EE419" s="150"/>
      <c r="EI419" s="150"/>
    </row>
    <row r="420" spans="2:153" s="1" customFormat="1" ht="37.9" customHeight="1" x14ac:dyDescent="0.2">
      <c r="B420" s="124"/>
      <c r="C420" s="125" t="s">
        <v>718</v>
      </c>
      <c r="D420" s="125" t="s">
        <v>284</v>
      </c>
      <c r="E420" s="126" t="s">
        <v>719</v>
      </c>
      <c r="F420" s="127" t="s">
        <v>720</v>
      </c>
      <c r="G420" s="128" t="s">
        <v>418</v>
      </c>
      <c r="H420" s="129">
        <v>620.95100000000002</v>
      </c>
      <c r="I420" s="130">
        <v>250.3439285</v>
      </c>
      <c r="J420" s="131">
        <f>ROUND(I420*H420,2)</f>
        <v>155451.31</v>
      </c>
      <c r="K420" s="127" t="s">
        <v>293</v>
      </c>
      <c r="L420" s="198">
        <f>S420</f>
        <v>0</v>
      </c>
      <c r="M420" s="206">
        <f>ROUND(L420*I420,2)</f>
        <v>0</v>
      </c>
      <c r="N420" s="211">
        <f>N423</f>
        <v>-0.62095099999999093</v>
      </c>
      <c r="O420" s="212">
        <f>ROUND(N420*I420,2)</f>
        <v>-155.44999999999999</v>
      </c>
      <c r="P420" s="207">
        <f>H420-L420-N420</f>
        <v>621.57195100000001</v>
      </c>
      <c r="Q420" s="228">
        <f>ROUND(P420*I420,2)</f>
        <v>155606.76</v>
      </c>
      <c r="R420" s="199"/>
      <c r="S420" s="200">
        <f>W420+Y420+AA420+AC420+AE420+AG420+AI420+AK420+AM420+AO420+AQ420+AS420+AU420+AW420</f>
        <v>0</v>
      </c>
      <c r="T420" s="200">
        <f>ROUND(S420*I420,2)</f>
        <v>0</v>
      </c>
      <c r="U420" s="200">
        <f>H420-S420</f>
        <v>620.95100000000002</v>
      </c>
      <c r="V420" s="200">
        <f>ROUND(U420*I420,2)</f>
        <v>155451.31</v>
      </c>
      <c r="W420" s="203"/>
      <c r="X420" s="203"/>
      <c r="Y420" s="200"/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0"/>
      <c r="AP420" s="200"/>
      <c r="AQ420" s="200"/>
      <c r="AR420" s="200"/>
      <c r="AS420" s="200"/>
      <c r="AT420" s="200"/>
      <c r="AU420" s="200"/>
      <c r="AV420" s="200"/>
      <c r="AW420" s="200"/>
      <c r="AX420" s="200"/>
      <c r="CW420" s="132" t="s">
        <v>1</v>
      </c>
      <c r="CX420" s="133" t="s">
        <v>40</v>
      </c>
      <c r="CZ420" s="134">
        <f>CY420*H420</f>
        <v>0</v>
      </c>
      <c r="DA420" s="134">
        <v>0</v>
      </c>
      <c r="DB420" s="134">
        <f>DA420*H420</f>
        <v>0</v>
      </c>
      <c r="DC420" s="134">
        <v>0</v>
      </c>
      <c r="DD420" s="135">
        <f>DC420*H420</f>
        <v>0</v>
      </c>
      <c r="EB420" s="136" t="s">
        <v>95</v>
      </c>
      <c r="ED420" s="136" t="s">
        <v>284</v>
      </c>
      <c r="EE420" s="136" t="s">
        <v>83</v>
      </c>
      <c r="EI420" s="16" t="s">
        <v>282</v>
      </c>
      <c r="EO420" s="137">
        <f>IF(CX420="základní",J420,0)</f>
        <v>155451.31</v>
      </c>
      <c r="EP420" s="137">
        <f>IF(CX420="snížená",J420,0)</f>
        <v>0</v>
      </c>
      <c r="EQ420" s="137">
        <f>IF(CX420="zákl. přenesená",J420,0)</f>
        <v>0</v>
      </c>
      <c r="ER420" s="137">
        <f>IF(CX420="sníž. přenesená",J420,0)</f>
        <v>0</v>
      </c>
      <c r="ES420" s="137">
        <f>IF(CX420="nulová",J420,0)</f>
        <v>0</v>
      </c>
      <c r="ET420" s="16" t="s">
        <v>81</v>
      </c>
      <c r="EU420" s="137">
        <f>ROUND(I420*H420,2)</f>
        <v>155451.31</v>
      </c>
      <c r="EV420" s="16" t="s">
        <v>95</v>
      </c>
      <c r="EW420" s="136" t="s">
        <v>721</v>
      </c>
    </row>
    <row r="421" spans="2:153" s="1" customFormat="1" ht="29.25" x14ac:dyDescent="0.2">
      <c r="B421" s="31"/>
      <c r="D421" s="138" t="s">
        <v>289</v>
      </c>
      <c r="F421" s="139" t="s">
        <v>720</v>
      </c>
      <c r="I421" s="140"/>
      <c r="L421" s="31"/>
      <c r="N421" s="213"/>
      <c r="O421" s="214"/>
      <c r="Q421" s="229"/>
      <c r="CW421" s="141"/>
      <c r="DD421" s="50"/>
      <c r="ED421" s="16" t="s">
        <v>289</v>
      </c>
      <c r="EE421" s="16" t="s">
        <v>83</v>
      </c>
    </row>
    <row r="422" spans="2:153" s="12" customFormat="1" x14ac:dyDescent="0.2">
      <c r="B422" s="149"/>
      <c r="D422" s="138" t="s">
        <v>301</v>
      </c>
      <c r="E422" s="150" t="s">
        <v>1</v>
      </c>
      <c r="F422" s="151" t="s">
        <v>703</v>
      </c>
      <c r="H422" s="152">
        <v>620.95100000000002</v>
      </c>
      <c r="I422" s="153"/>
      <c r="L422" s="149"/>
      <c r="N422" s="217">
        <f>0.999*620.951</f>
        <v>620.33004900000003</v>
      </c>
      <c r="O422" s="218" t="s">
        <v>3851</v>
      </c>
      <c r="Q422" s="231"/>
      <c r="CW422" s="154"/>
      <c r="DD422" s="155"/>
      <c r="ED422" s="150" t="s">
        <v>301</v>
      </c>
      <c r="EE422" s="150" t="s">
        <v>83</v>
      </c>
      <c r="EF422" s="12" t="s">
        <v>83</v>
      </c>
      <c r="EG422" s="12" t="s">
        <v>32</v>
      </c>
      <c r="EH422" s="12" t="s">
        <v>81</v>
      </c>
      <c r="EI422" s="150" t="s">
        <v>282</v>
      </c>
    </row>
    <row r="423" spans="2:153" s="12" customFormat="1" x14ac:dyDescent="0.2">
      <c r="B423" s="149"/>
      <c r="D423" s="138"/>
      <c r="E423" s="150"/>
      <c r="F423" s="151"/>
      <c r="H423" s="152"/>
      <c r="I423" s="153"/>
      <c r="L423" s="149"/>
      <c r="N423" s="310">
        <f>N422-H422</f>
        <v>-0.62095099999999093</v>
      </c>
      <c r="O423" s="218"/>
      <c r="Q423" s="231"/>
      <c r="CW423" s="154"/>
      <c r="DD423" s="155"/>
      <c r="ED423" s="150"/>
      <c r="EE423" s="150"/>
      <c r="EI423" s="150"/>
    </row>
    <row r="424" spans="2:153" s="10" customFormat="1" ht="22.9" customHeight="1" x14ac:dyDescent="0.2">
      <c r="B424" s="112"/>
      <c r="D424" s="113" t="s">
        <v>73</v>
      </c>
      <c r="E424" s="122" t="s">
        <v>722</v>
      </c>
      <c r="F424" s="122" t="s">
        <v>723</v>
      </c>
      <c r="I424" s="115"/>
      <c r="J424" s="123">
        <f>EU424</f>
        <v>395935.86</v>
      </c>
      <c r="L424" s="112"/>
      <c r="M424" s="202">
        <f>M425</f>
        <v>0</v>
      </c>
      <c r="N424" s="223"/>
      <c r="O424" s="224">
        <f t="shared" ref="O424:V424" si="6">O425</f>
        <v>-395.94</v>
      </c>
      <c r="P424" s="202"/>
      <c r="Q424" s="234">
        <f t="shared" si="6"/>
        <v>396331.8</v>
      </c>
      <c r="R424" s="202"/>
      <c r="S424" s="202"/>
      <c r="T424" s="202">
        <f t="shared" si="6"/>
        <v>0</v>
      </c>
      <c r="U424" s="202"/>
      <c r="V424" s="202">
        <f t="shared" si="6"/>
        <v>395935.86</v>
      </c>
      <c r="W424" s="202"/>
      <c r="X424" s="202"/>
      <c r="Y424" s="202"/>
      <c r="Z424" s="202"/>
      <c r="CW424" s="117"/>
      <c r="CZ424" s="118">
        <f>SUM(CZ425:CZ428)</f>
        <v>0</v>
      </c>
      <c r="DB424" s="118">
        <f>SUM(DB425:DB428)</f>
        <v>0</v>
      </c>
      <c r="DD424" s="119">
        <f>SUM(DD425:DD428)</f>
        <v>0</v>
      </c>
      <c r="EB424" s="113" t="s">
        <v>81</v>
      </c>
      <c r="ED424" s="120" t="s">
        <v>73</v>
      </c>
      <c r="EE424" s="120" t="s">
        <v>81</v>
      </c>
      <c r="EI424" s="113" t="s">
        <v>282</v>
      </c>
      <c r="EU424" s="121">
        <f>SUM(EU425:EU428)</f>
        <v>395935.86</v>
      </c>
    </row>
    <row r="425" spans="2:153" s="1" customFormat="1" ht="24.2" customHeight="1" x14ac:dyDescent="0.2">
      <c r="B425" s="124"/>
      <c r="C425" s="125" t="s">
        <v>724</v>
      </c>
      <c r="D425" s="125" t="s">
        <v>284</v>
      </c>
      <c r="E425" s="126" t="s">
        <v>725</v>
      </c>
      <c r="F425" s="127" t="s">
        <v>726</v>
      </c>
      <c r="G425" s="128" t="s">
        <v>418</v>
      </c>
      <c r="H425" s="129">
        <v>437.60399999999998</v>
      </c>
      <c r="I425" s="130">
        <v>904.78117744148574</v>
      </c>
      <c r="J425" s="131">
        <f>ROUND(I425*H425,2)</f>
        <v>395935.86</v>
      </c>
      <c r="K425" s="127" t="s">
        <v>293</v>
      </c>
      <c r="L425" s="198">
        <f>S425</f>
        <v>0</v>
      </c>
      <c r="M425" s="206">
        <f>ROUND(L425*I425,2)</f>
        <v>0</v>
      </c>
      <c r="N425" s="211">
        <f>N428</f>
        <v>-0.43760400000002164</v>
      </c>
      <c r="O425" s="212">
        <f>ROUND(N425*I425,2)</f>
        <v>-395.94</v>
      </c>
      <c r="P425" s="207">
        <f>H425-L425-N425</f>
        <v>438.04160400000001</v>
      </c>
      <c r="Q425" s="228">
        <f>ROUND(P425*I425,2)</f>
        <v>396331.8</v>
      </c>
      <c r="R425" s="199"/>
      <c r="S425" s="200">
        <f>W425+Y425+AA425+AC425+AE425+AG425+AI425+AK425+AM425+AO425+AQ425+AS425+AU425+AW425</f>
        <v>0</v>
      </c>
      <c r="T425" s="200">
        <f>ROUND(S425*I425,2)</f>
        <v>0</v>
      </c>
      <c r="U425" s="200">
        <f>H425-S425</f>
        <v>437.60399999999998</v>
      </c>
      <c r="V425" s="200">
        <f>ROUND(U425*I425,2)</f>
        <v>395935.86</v>
      </c>
      <c r="W425" s="204"/>
      <c r="X425" s="203"/>
      <c r="Y425" s="205"/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0"/>
      <c r="AP425" s="200"/>
      <c r="AQ425" s="200"/>
      <c r="AR425" s="200"/>
      <c r="AS425" s="200"/>
      <c r="AT425" s="200"/>
      <c r="AU425" s="200"/>
      <c r="AV425" s="200"/>
      <c r="AW425" s="200"/>
      <c r="AX425" s="200"/>
      <c r="CW425" s="132" t="s">
        <v>1</v>
      </c>
      <c r="CX425" s="133" t="s">
        <v>40</v>
      </c>
      <c r="CZ425" s="134">
        <f>CY425*H425</f>
        <v>0</v>
      </c>
      <c r="DA425" s="134">
        <v>0</v>
      </c>
      <c r="DB425" s="134">
        <f>DA425*H425</f>
        <v>0</v>
      </c>
      <c r="DC425" s="134">
        <v>0</v>
      </c>
      <c r="DD425" s="135">
        <f>DC425*H425</f>
        <v>0</v>
      </c>
      <c r="EB425" s="136" t="s">
        <v>95</v>
      </c>
      <c r="ED425" s="136" t="s">
        <v>284</v>
      </c>
      <c r="EE425" s="136" t="s">
        <v>83</v>
      </c>
      <c r="EI425" s="16" t="s">
        <v>282</v>
      </c>
      <c r="EO425" s="137">
        <f>IF(CX425="základní",J425,0)</f>
        <v>395935.86</v>
      </c>
      <c r="EP425" s="137">
        <f>IF(CX425="snížená",J425,0)</f>
        <v>0</v>
      </c>
      <c r="EQ425" s="137">
        <f>IF(CX425="zákl. přenesená",J425,0)</f>
        <v>0</v>
      </c>
      <c r="ER425" s="137">
        <f>IF(CX425="sníž. přenesená",J425,0)</f>
        <v>0</v>
      </c>
      <c r="ES425" s="137">
        <f>IF(CX425="nulová",J425,0)</f>
        <v>0</v>
      </c>
      <c r="ET425" s="16" t="s">
        <v>81</v>
      </c>
      <c r="EU425" s="137">
        <f>ROUND(I425*H425,2)</f>
        <v>395935.86</v>
      </c>
      <c r="EV425" s="16" t="s">
        <v>95</v>
      </c>
      <c r="EW425" s="136" t="s">
        <v>727</v>
      </c>
    </row>
    <row r="426" spans="2:153" s="1" customFormat="1" ht="29.25" x14ac:dyDescent="0.2">
      <c r="B426" s="31"/>
      <c r="D426" s="138" t="s">
        <v>289</v>
      </c>
      <c r="F426" s="139" t="s">
        <v>728</v>
      </c>
      <c r="I426" s="140"/>
      <c r="L426" s="31"/>
      <c r="N426" s="213"/>
      <c r="O426" s="214"/>
      <c r="Q426" s="229"/>
      <c r="CW426" s="141"/>
      <c r="DD426" s="50"/>
      <c r="ED426" s="16" t="s">
        <v>289</v>
      </c>
      <c r="EE426" s="16" t="s">
        <v>83</v>
      </c>
    </row>
    <row r="427" spans="2:153" s="11" customFormat="1" x14ac:dyDescent="0.2">
      <c r="B427" s="143"/>
      <c r="D427" s="138" t="s">
        <v>301</v>
      </c>
      <c r="E427" s="144" t="s">
        <v>1</v>
      </c>
      <c r="F427" s="145" t="s">
        <v>729</v>
      </c>
      <c r="H427" s="144" t="s">
        <v>1</v>
      </c>
      <c r="I427" s="146"/>
      <c r="L427" s="143"/>
      <c r="N427" s="215">
        <f>0.999*437.604</f>
        <v>437.16639599999996</v>
      </c>
      <c r="O427" s="216" t="s">
        <v>3852</v>
      </c>
      <c r="Q427" s="230"/>
      <c r="CW427" s="147"/>
      <c r="DD427" s="148"/>
      <c r="ED427" s="144" t="s">
        <v>301</v>
      </c>
      <c r="EE427" s="144" t="s">
        <v>83</v>
      </c>
      <c r="EF427" s="11" t="s">
        <v>81</v>
      </c>
      <c r="EG427" s="11" t="s">
        <v>32</v>
      </c>
      <c r="EH427" s="11" t="s">
        <v>74</v>
      </c>
      <c r="EI427" s="144" t="s">
        <v>282</v>
      </c>
    </row>
    <row r="428" spans="2:153" s="12" customFormat="1" x14ac:dyDescent="0.2">
      <c r="B428" s="149"/>
      <c r="D428" s="138" t="s">
        <v>301</v>
      </c>
      <c r="E428" s="150" t="s">
        <v>1</v>
      </c>
      <c r="F428" s="151" t="s">
        <v>730</v>
      </c>
      <c r="H428" s="152">
        <v>437.60399999999998</v>
      </c>
      <c r="I428" s="153"/>
      <c r="L428" s="149"/>
      <c r="N428" s="310">
        <f>N427-H428</f>
        <v>-0.43760400000002164</v>
      </c>
      <c r="O428" s="218"/>
      <c r="Q428" s="231"/>
      <c r="CW428" s="179"/>
      <c r="CX428" s="180"/>
      <c r="CY428" s="180"/>
      <c r="CZ428" s="180"/>
      <c r="DA428" s="180"/>
      <c r="DB428" s="180"/>
      <c r="DC428" s="180"/>
      <c r="DD428" s="181"/>
      <c r="ED428" s="150" t="s">
        <v>301</v>
      </c>
      <c r="EE428" s="150" t="s">
        <v>83</v>
      </c>
      <c r="EF428" s="12" t="s">
        <v>83</v>
      </c>
      <c r="EG428" s="12" t="s">
        <v>32</v>
      </c>
      <c r="EH428" s="12" t="s">
        <v>81</v>
      </c>
      <c r="EI428" s="150" t="s">
        <v>282</v>
      </c>
    </row>
    <row r="429" spans="2:153" s="1" customFormat="1" ht="6.95" customHeight="1" thickBot="1" x14ac:dyDescent="0.25">
      <c r="B429" s="43"/>
      <c r="C429" s="44"/>
      <c r="D429" s="44"/>
      <c r="E429" s="44"/>
      <c r="F429" s="44"/>
      <c r="G429" s="44"/>
      <c r="H429" s="44"/>
      <c r="I429" s="44"/>
      <c r="J429" s="44"/>
      <c r="K429" s="44"/>
      <c r="L429" s="198"/>
      <c r="M429" s="206"/>
      <c r="N429" s="225"/>
      <c r="O429" s="226"/>
      <c r="P429" s="207"/>
      <c r="Q429" s="228"/>
      <c r="R429" s="199"/>
      <c r="S429" s="200"/>
      <c r="T429" s="200"/>
      <c r="U429" s="200"/>
      <c r="V429" s="200"/>
      <c r="W429" s="200"/>
      <c r="X429" s="200"/>
      <c r="Y429" s="200"/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0"/>
      <c r="AP429" s="200"/>
      <c r="AQ429" s="200"/>
      <c r="AR429" s="200"/>
      <c r="AS429" s="200"/>
      <c r="AT429" s="200"/>
      <c r="AU429" s="200"/>
      <c r="AV429" s="200"/>
      <c r="AW429" s="200"/>
      <c r="AX429" s="200"/>
    </row>
  </sheetData>
  <autoFilter ref="C124:K428"/>
  <mergeCells count="33">
    <mergeCell ref="AO125:AP125"/>
    <mergeCell ref="AQ125:AR125"/>
    <mergeCell ref="AS125:AT125"/>
    <mergeCell ref="AU125:AV125"/>
    <mergeCell ref="AW125:AX125"/>
    <mergeCell ref="AE125:AF125"/>
    <mergeCell ref="AG125:AH125"/>
    <mergeCell ref="AI125:AJ125"/>
    <mergeCell ref="AK125:AL125"/>
    <mergeCell ref="AM125:AN125"/>
    <mergeCell ref="U125:V125"/>
    <mergeCell ref="W125:X125"/>
    <mergeCell ref="Y125:Z125"/>
    <mergeCell ref="AA125:AB125"/>
    <mergeCell ref="AC125:AD125"/>
    <mergeCell ref="L124:Q124"/>
    <mergeCell ref="L125:M125"/>
    <mergeCell ref="N125:O125"/>
    <mergeCell ref="P125:Q125"/>
    <mergeCell ref="S125:T125"/>
    <mergeCell ref="I123:K123"/>
    <mergeCell ref="E117:H117"/>
    <mergeCell ref="L2:DF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P415"/>
  <sheetViews>
    <sheetView windowProtection="1" showGridLines="0" topLeftCell="A113" zoomScale="80" zoomScaleNormal="80" workbookViewId="0">
      <selection activeCell="P113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4" customWidth="1"/>
    <col min="13" max="13" width="18" customWidth="1"/>
    <col min="14" max="14" width="14.1640625" customWidth="1"/>
    <col min="15" max="15" width="21.83203125" customWidth="1"/>
    <col min="16" max="16" width="14.1640625" hidden="1" customWidth="1"/>
    <col min="17" max="17" width="21.6640625" hidden="1" customWidth="1"/>
    <col min="18" max="65" width="14.1640625" customWidth="1"/>
    <col min="66" max="66" width="13.83203125" customWidth="1"/>
    <col min="67" max="67" width="13.5" customWidth="1"/>
    <col min="68" max="68" width="10.83203125" customWidth="1"/>
    <col min="70" max="75" width="14.1640625" customWidth="1"/>
    <col min="76" max="76" width="16.33203125" customWidth="1"/>
    <col min="77" max="77" width="12.33203125" customWidth="1"/>
    <col min="78" max="78" width="16.33203125" customWidth="1"/>
    <col min="79" max="79" width="12.33203125" customWidth="1"/>
    <col min="80" max="80" width="15" customWidth="1"/>
    <col min="81" max="81" width="11" customWidth="1"/>
    <col min="82" max="82" width="15" customWidth="1"/>
    <col min="83" max="83" width="16.33203125" customWidth="1"/>
    <col min="84" max="84" width="11" customWidth="1"/>
    <col min="85" max="85" width="15" customWidth="1"/>
    <col min="86" max="86" width="16.33203125" customWidth="1"/>
    <col min="99" max="120" width="9.33203125" hidden="1"/>
  </cols>
  <sheetData>
    <row r="1" spans="2:101" hidden="1" x14ac:dyDescent="0.2"/>
    <row r="2" spans="2:101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CW2" s="16" t="s">
        <v>99</v>
      </c>
    </row>
    <row r="3" spans="2:101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W3" s="16" t="s">
        <v>83</v>
      </c>
    </row>
    <row r="4" spans="2:101" ht="24.95" hidden="1" customHeight="1" x14ac:dyDescent="0.2">
      <c r="B4" s="19"/>
      <c r="D4" s="20" t="s">
        <v>243</v>
      </c>
      <c r="L4" s="19"/>
      <c r="BP4" s="79" t="s">
        <v>10</v>
      </c>
      <c r="CW4" s="16" t="s">
        <v>3</v>
      </c>
    </row>
    <row r="5" spans="2:101" ht="6.95" hidden="1" customHeight="1" x14ac:dyDescent="0.2">
      <c r="B5" s="19"/>
      <c r="L5" s="19"/>
    </row>
    <row r="6" spans="2:101" ht="12" hidden="1" customHeight="1" x14ac:dyDescent="0.2">
      <c r="B6" s="19"/>
      <c r="D6" s="26" t="s">
        <v>16</v>
      </c>
      <c r="L6" s="19"/>
    </row>
    <row r="7" spans="2:101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01" ht="12.75" hidden="1" x14ac:dyDescent="0.2">
      <c r="B8" s="19"/>
      <c r="D8" s="26" t="s">
        <v>244</v>
      </c>
      <c r="L8" s="19"/>
    </row>
    <row r="9" spans="2:101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01" ht="12" hidden="1" customHeight="1" x14ac:dyDescent="0.2">
      <c r="B10" s="19"/>
      <c r="D10" s="26" t="s">
        <v>246</v>
      </c>
      <c r="L10" s="19"/>
    </row>
    <row r="11" spans="2:101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01" s="1" customFormat="1" ht="12" hidden="1" customHeight="1" x14ac:dyDescent="0.2">
      <c r="B12" s="31"/>
      <c r="D12" s="26" t="s">
        <v>248</v>
      </c>
      <c r="L12" s="31"/>
    </row>
    <row r="13" spans="2:101" s="1" customFormat="1" ht="16.5" hidden="1" customHeight="1" x14ac:dyDescent="0.2">
      <c r="B13" s="31"/>
      <c r="E13" s="432" t="s">
        <v>731</v>
      </c>
      <c r="F13" s="433"/>
      <c r="G13" s="433"/>
      <c r="H13" s="433"/>
      <c r="L13" s="31"/>
    </row>
    <row r="14" spans="2:101" s="1" customFormat="1" hidden="1" x14ac:dyDescent="0.2">
      <c r="B14" s="31"/>
      <c r="L14" s="31"/>
    </row>
    <row r="15" spans="2:101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01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ROUND(J125, 2)</f>
        <v>1217434.79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ROUND((SUM(DH125:DH414)),  2)</f>
        <v>1217434.79</v>
      </c>
      <c r="I37" s="84">
        <v>0.21</v>
      </c>
      <c r="J37" s="71">
        <f>ROUND(((SUM(DH125:DH414))*I37),  2)</f>
        <v>255661.31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ROUND((SUM(DI125:DI414)),  2)</f>
        <v>0</v>
      </c>
      <c r="I38" s="84">
        <v>0.15</v>
      </c>
      <c r="J38" s="71">
        <f>ROUND(((SUM(DI125:DI414))*I38),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ROUND((SUM(DJ125:DJ414)),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ROUND((SUM(DK125:DK414)),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ROUND((SUM(DL125:DL414)),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1473096.1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00002 - DSO 01.1b Stoka A1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02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02" s="1" customFormat="1" ht="10.35" hidden="1" customHeight="1" x14ac:dyDescent="0.2">
      <c r="B98" s="31"/>
      <c r="L98" s="31"/>
    </row>
    <row r="99" spans="2:102" s="1" customFormat="1" ht="22.9" hidden="1" customHeight="1" x14ac:dyDescent="0.2">
      <c r="B99" s="31"/>
      <c r="C99" s="95" t="s">
        <v>256</v>
      </c>
      <c r="J99" s="58">
        <f>J125</f>
        <v>1217434.79</v>
      </c>
      <c r="L99" s="31"/>
      <c r="CX99" s="16" t="s">
        <v>257</v>
      </c>
    </row>
    <row r="100" spans="2:102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J126</f>
        <v>1217434.79</v>
      </c>
      <c r="L100" s="96"/>
    </row>
    <row r="101" spans="2:102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J128</f>
        <v>649893.76</v>
      </c>
      <c r="L101" s="100"/>
    </row>
    <row r="102" spans="2:102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J245</f>
        <v>21653.599999999999</v>
      </c>
      <c r="L102" s="100"/>
    </row>
    <row r="103" spans="2:102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J251</f>
        <v>18121.79</v>
      </c>
      <c r="L103" s="100"/>
    </row>
    <row r="104" spans="2:102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J281</f>
        <v>223216.18</v>
      </c>
      <c r="L104" s="100"/>
    </row>
    <row r="105" spans="2:102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J300</f>
        <v>201296.4</v>
      </c>
      <c r="L105" s="100"/>
    </row>
    <row r="106" spans="2:102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J377</f>
        <v>6180.1900000000005</v>
      </c>
      <c r="L106" s="100"/>
    </row>
    <row r="107" spans="2:102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J388</f>
        <v>66020.78</v>
      </c>
      <c r="L107" s="100"/>
    </row>
    <row r="108" spans="2:102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J410</f>
        <v>31052.09</v>
      </c>
      <c r="L108" s="100"/>
    </row>
    <row r="109" spans="2:102" s="1" customFormat="1" ht="21.75" hidden="1" customHeight="1" x14ac:dyDescent="0.2">
      <c r="B109" s="31"/>
      <c r="L109" s="31"/>
    </row>
    <row r="110" spans="2:102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02" hidden="1" x14ac:dyDescent="0.2"/>
    <row r="112" spans="2:102" hidden="1" x14ac:dyDescent="0.2"/>
    <row r="114" spans="2:118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18" s="1" customFormat="1" ht="24.95" customHeight="1" x14ac:dyDescent="0.2">
      <c r="B115" s="31"/>
      <c r="C115" s="20" t="s">
        <v>3330</v>
      </c>
      <c r="L115" s="31"/>
    </row>
    <row r="116" spans="2:118" s="1" customFormat="1" ht="8.25" customHeight="1" x14ac:dyDescent="0.2">
      <c r="B116" s="31"/>
      <c r="L116" s="31"/>
    </row>
    <row r="117" spans="2:118" s="1" customFormat="1" ht="16.5" customHeight="1" x14ac:dyDescent="0.2">
      <c r="B117" s="31"/>
      <c r="E117" s="432" t="str">
        <f>E13</f>
        <v>00002 - DSO 01.1b Stoka A1</v>
      </c>
      <c r="F117" s="433"/>
      <c r="G117" s="433"/>
      <c r="H117" s="433"/>
      <c r="L117" s="31"/>
    </row>
    <row r="118" spans="2:118" s="1" customFormat="1" ht="6.95" customHeight="1" x14ac:dyDescent="0.2">
      <c r="B118" s="31"/>
      <c r="L118" s="31"/>
    </row>
    <row r="119" spans="2:118" s="1" customFormat="1" ht="12" customHeight="1" x14ac:dyDescent="0.2">
      <c r="B119" s="31"/>
      <c r="C119" s="26"/>
      <c r="F119" s="24"/>
      <c r="I119" s="26"/>
      <c r="J119" s="48"/>
      <c r="L119" s="31"/>
    </row>
    <row r="120" spans="2:118" s="1" customFormat="1" ht="6.95" customHeight="1" x14ac:dyDescent="0.2">
      <c r="B120" s="31"/>
      <c r="L120" s="31"/>
    </row>
    <row r="121" spans="2:118" s="1" customFormat="1" ht="40.15" customHeight="1" x14ac:dyDescent="0.2">
      <c r="B121" s="31"/>
      <c r="C121" s="26"/>
      <c r="F121" s="24"/>
      <c r="I121" s="26"/>
      <c r="J121" s="29"/>
      <c r="L121" s="31"/>
    </row>
    <row r="122" spans="2:118" s="1" customFormat="1" ht="15.2" customHeight="1" x14ac:dyDescent="0.2">
      <c r="B122" s="31"/>
      <c r="C122" s="26"/>
      <c r="F122" s="24"/>
      <c r="I122" s="26"/>
      <c r="J122" s="29"/>
      <c r="L122" s="31"/>
    </row>
    <row r="123" spans="2:118" s="1" customFormat="1" ht="19.5" customHeight="1" x14ac:dyDescent="0.2">
      <c r="B123" s="31"/>
      <c r="I123" s="430" t="s">
        <v>3305</v>
      </c>
      <c r="J123" s="430"/>
      <c r="K123" s="431"/>
      <c r="L123" s="31"/>
    </row>
    <row r="124" spans="2:118" s="9" customFormat="1" ht="29.25" customHeight="1" thickBot="1" x14ac:dyDescent="0.25">
      <c r="B124" s="104"/>
      <c r="C124" s="105" t="s">
        <v>268</v>
      </c>
      <c r="D124" s="106" t="s">
        <v>59</v>
      </c>
      <c r="E124" s="106" t="s">
        <v>55</v>
      </c>
      <c r="F124" s="106" t="s">
        <v>56</v>
      </c>
      <c r="G124" s="106" t="s">
        <v>269</v>
      </c>
      <c r="H124" s="106" t="s">
        <v>270</v>
      </c>
      <c r="I124" s="106" t="s">
        <v>271</v>
      </c>
      <c r="J124" s="106" t="s">
        <v>255</v>
      </c>
      <c r="K124" s="107" t="s">
        <v>272</v>
      </c>
      <c r="L124" s="437" t="s">
        <v>3307</v>
      </c>
      <c r="M124" s="438"/>
      <c r="N124" s="438"/>
      <c r="O124" s="438"/>
      <c r="P124" s="438"/>
      <c r="Q124" s="439"/>
      <c r="BP124" s="52" t="s">
        <v>1</v>
      </c>
      <c r="BQ124" s="53" t="s">
        <v>39</v>
      </c>
      <c r="BR124" s="53" t="s">
        <v>273</v>
      </c>
      <c r="BS124" s="53" t="s">
        <v>274</v>
      </c>
      <c r="BT124" s="53" t="s">
        <v>275</v>
      </c>
      <c r="BU124" s="53" t="s">
        <v>276</v>
      </c>
      <c r="BV124" s="53" t="s">
        <v>277</v>
      </c>
      <c r="BW124" s="54" t="s">
        <v>278</v>
      </c>
    </row>
    <row r="125" spans="2:118" s="1" customFormat="1" ht="22.9" customHeight="1" x14ac:dyDescent="0.25">
      <c r="B125" s="31"/>
      <c r="C125" s="57" t="s">
        <v>279</v>
      </c>
      <c r="G125" s="1" t="s">
        <v>3306</v>
      </c>
      <c r="J125" s="108">
        <f>DN125</f>
        <v>1217434.79</v>
      </c>
      <c r="L125" s="440" t="s">
        <v>3308</v>
      </c>
      <c r="M125" s="441"/>
      <c r="N125" s="440" t="s">
        <v>3377</v>
      </c>
      <c r="O125" s="441"/>
      <c r="P125" s="440" t="s">
        <v>3309</v>
      </c>
      <c r="Q125" s="441"/>
      <c r="S125" s="442" t="s">
        <v>3312</v>
      </c>
      <c r="T125" s="443"/>
      <c r="U125" s="443" t="s">
        <v>3313</v>
      </c>
      <c r="V125" s="443"/>
      <c r="W125" s="444" t="s">
        <v>3319</v>
      </c>
      <c r="X125" s="444"/>
      <c r="Y125" s="444" t="s">
        <v>3320</v>
      </c>
      <c r="Z125" s="444"/>
      <c r="AA125" s="444" t="s">
        <v>3321</v>
      </c>
      <c r="AB125" s="444"/>
      <c r="AC125" s="444" t="s">
        <v>3322</v>
      </c>
      <c r="AD125" s="444"/>
      <c r="AE125" s="444" t="s">
        <v>3323</v>
      </c>
      <c r="AF125" s="444"/>
      <c r="AG125" s="444" t="s">
        <v>3324</v>
      </c>
      <c r="AH125" s="444"/>
      <c r="AI125" s="444" t="s">
        <v>3325</v>
      </c>
      <c r="AJ125" s="444"/>
      <c r="AK125" s="444" t="s">
        <v>3326</v>
      </c>
      <c r="AL125" s="444"/>
      <c r="AM125" s="444" t="s">
        <v>3327</v>
      </c>
      <c r="AN125" s="445"/>
      <c r="BP125" s="55"/>
      <c r="BQ125" s="49"/>
      <c r="BR125" s="49"/>
      <c r="BS125" s="109">
        <f>BS126</f>
        <v>0</v>
      </c>
      <c r="BT125" s="49"/>
      <c r="BU125" s="109">
        <f>BU126</f>
        <v>504.16592100000003</v>
      </c>
      <c r="BV125" s="49"/>
      <c r="BW125" s="110">
        <f>BW126</f>
        <v>167.43617</v>
      </c>
      <c r="CW125" s="16" t="s">
        <v>73</v>
      </c>
      <c r="CX125" s="16" t="s">
        <v>257</v>
      </c>
      <c r="DN125" s="111">
        <f>DN126</f>
        <v>1217434.79</v>
      </c>
    </row>
    <row r="126" spans="2:118" s="10" customFormat="1" ht="25.9" customHeight="1" thickBot="1" x14ac:dyDescent="0.25">
      <c r="B126" s="112"/>
      <c r="D126" s="113" t="s">
        <v>73</v>
      </c>
      <c r="E126" s="114" t="s">
        <v>280</v>
      </c>
      <c r="F126" s="114" t="s">
        <v>281</v>
      </c>
      <c r="G126" s="10" t="s">
        <v>3306</v>
      </c>
      <c r="I126" s="115"/>
      <c r="J126" s="116">
        <f>DN126</f>
        <v>1217434.79</v>
      </c>
      <c r="L126" s="190" t="s">
        <v>270</v>
      </c>
      <c r="M126" s="190" t="s">
        <v>3310</v>
      </c>
      <c r="N126" s="190" t="s">
        <v>270</v>
      </c>
      <c r="O126" s="190" t="s">
        <v>3310</v>
      </c>
      <c r="P126" s="190" t="s">
        <v>3311</v>
      </c>
      <c r="Q126" s="190" t="s">
        <v>3310</v>
      </c>
      <c r="S126" s="193" t="s">
        <v>270</v>
      </c>
      <c r="T126" s="194" t="s">
        <v>3310</v>
      </c>
      <c r="U126" s="194" t="s">
        <v>270</v>
      </c>
      <c r="V126" s="194" t="s">
        <v>3310</v>
      </c>
      <c r="W126" s="194" t="s">
        <v>270</v>
      </c>
      <c r="X126" s="194" t="s">
        <v>3328</v>
      </c>
      <c r="Y126" s="194" t="s">
        <v>270</v>
      </c>
      <c r="Z126" s="194" t="s">
        <v>3328</v>
      </c>
      <c r="AA126" s="194" t="s">
        <v>270</v>
      </c>
      <c r="AB126" s="194" t="s">
        <v>3328</v>
      </c>
      <c r="AC126" s="194" t="s">
        <v>270</v>
      </c>
      <c r="AD126" s="194" t="s">
        <v>3328</v>
      </c>
      <c r="AE126" s="194" t="s">
        <v>270</v>
      </c>
      <c r="AF126" s="194" t="s">
        <v>3328</v>
      </c>
      <c r="AG126" s="194" t="s">
        <v>270</v>
      </c>
      <c r="AH126" s="194" t="s">
        <v>3328</v>
      </c>
      <c r="AI126" s="194" t="s">
        <v>270</v>
      </c>
      <c r="AJ126" s="194" t="s">
        <v>3328</v>
      </c>
      <c r="AK126" s="194" t="s">
        <v>270</v>
      </c>
      <c r="AL126" s="194" t="s">
        <v>3328</v>
      </c>
      <c r="AM126" s="194" t="s">
        <v>270</v>
      </c>
      <c r="AN126" s="195" t="s">
        <v>3328</v>
      </c>
      <c r="BP126" s="117"/>
      <c r="BS126" s="118">
        <f>BS128+BS245+BS251+BS281+BS300+BS377+BS388+BS410</f>
        <v>0</v>
      </c>
      <c r="BU126" s="118">
        <f>BU128+BU245+BU251+BU281+BU300+BU377+BU388+BU410</f>
        <v>504.16592100000003</v>
      </c>
      <c r="BW126" s="119">
        <f>BW128+BW245+BW251+BW281+BW300+BW377+BW388+BW410</f>
        <v>167.43617</v>
      </c>
      <c r="CU126" s="113" t="s">
        <v>81</v>
      </c>
      <c r="CW126" s="120" t="s">
        <v>73</v>
      </c>
      <c r="CX126" s="120" t="s">
        <v>74</v>
      </c>
      <c r="DB126" s="113" t="s">
        <v>282</v>
      </c>
      <c r="DN126" s="121">
        <f>DN128+DN245+DN251+DN281+DN300+DN377+DN388+DN410</f>
        <v>1217434.79</v>
      </c>
    </row>
    <row r="127" spans="2:118" s="10" customFormat="1" ht="25.9" customHeight="1" thickBot="1" x14ac:dyDescent="0.25">
      <c r="B127" s="112"/>
      <c r="D127" s="113"/>
      <c r="E127" s="114"/>
      <c r="F127" s="114"/>
      <c r="G127" s="10" t="s">
        <v>3306</v>
      </c>
      <c r="I127" s="115"/>
      <c r="J127" s="116" t="s">
        <v>3306</v>
      </c>
      <c r="L127" s="191"/>
      <c r="M127" s="192">
        <f>M128+M245+M251+M281+M300+M377+M388+M410</f>
        <v>0</v>
      </c>
      <c r="N127" s="208"/>
      <c r="O127" s="208">
        <f t="shared" ref="O127:Q127" si="0">O128+O245+O251+O281+O300+O377+O388+O410</f>
        <v>13291.420000000002</v>
      </c>
      <c r="P127" s="192"/>
      <c r="Q127" s="192">
        <f t="shared" si="0"/>
        <v>1204226.57</v>
      </c>
      <c r="S127" s="196"/>
      <c r="T127" s="197">
        <f>T128+T245+T251+T281+T300+T377+T388+T410</f>
        <v>0</v>
      </c>
      <c r="U127" s="197"/>
      <c r="V127" s="197">
        <f t="shared" ref="V127:AN127" si="1">V128+V245+V251+V281+V300+V377+V388+V410</f>
        <v>1217434.79</v>
      </c>
      <c r="W127" s="197"/>
      <c r="X127" s="197">
        <f t="shared" si="1"/>
        <v>0</v>
      </c>
      <c r="Y127" s="197"/>
      <c r="Z127" s="197">
        <f t="shared" si="1"/>
        <v>0</v>
      </c>
      <c r="AA127" s="197"/>
      <c r="AB127" s="197">
        <f t="shared" si="1"/>
        <v>0</v>
      </c>
      <c r="AC127" s="197"/>
      <c r="AD127" s="197">
        <f t="shared" si="1"/>
        <v>0</v>
      </c>
      <c r="AE127" s="197"/>
      <c r="AF127" s="197">
        <f t="shared" si="1"/>
        <v>0</v>
      </c>
      <c r="AG127" s="197"/>
      <c r="AH127" s="197">
        <f t="shared" si="1"/>
        <v>0</v>
      </c>
      <c r="AI127" s="197"/>
      <c r="AJ127" s="197">
        <f t="shared" si="1"/>
        <v>0</v>
      </c>
      <c r="AK127" s="197"/>
      <c r="AL127" s="197">
        <f t="shared" si="1"/>
        <v>0</v>
      </c>
      <c r="AM127" s="197"/>
      <c r="AN127" s="197">
        <f t="shared" si="1"/>
        <v>0</v>
      </c>
      <c r="BP127" s="117"/>
      <c r="BS127" s="118"/>
      <c r="BU127" s="118"/>
      <c r="BW127" s="119"/>
      <c r="CU127" s="113"/>
      <c r="CW127" s="120"/>
      <c r="CX127" s="120"/>
      <c r="DB127" s="113"/>
      <c r="DN127" s="121"/>
    </row>
    <row r="128" spans="2:118" s="10" customFormat="1" ht="22.9" customHeight="1" x14ac:dyDescent="0.2">
      <c r="B128" s="112"/>
      <c r="D128" s="113" t="s">
        <v>73</v>
      </c>
      <c r="E128" s="122" t="s">
        <v>81</v>
      </c>
      <c r="F128" s="122" t="s">
        <v>283</v>
      </c>
      <c r="G128" s="10" t="s">
        <v>3306</v>
      </c>
      <c r="I128" s="115"/>
      <c r="J128" s="123">
        <f>DN128</f>
        <v>649893.76</v>
      </c>
      <c r="L128" s="112"/>
      <c r="M128" s="291">
        <f>SUM(M129:M242)</f>
        <v>0</v>
      </c>
      <c r="N128" s="292"/>
      <c r="O128" s="293">
        <f t="shared" ref="O128:Q128" si="2">SUM(O129:O242)</f>
        <v>7482.1600000000017</v>
      </c>
      <c r="P128" s="291"/>
      <c r="Q128" s="297">
        <f t="shared" si="2"/>
        <v>642411.60000000009</v>
      </c>
      <c r="R128" s="291"/>
      <c r="S128" s="291"/>
      <c r="T128" s="291">
        <f t="shared" ref="T128" si="3">SUM(T129:T242)</f>
        <v>0</v>
      </c>
      <c r="U128" s="291"/>
      <c r="V128" s="291">
        <f t="shared" ref="V128" si="4">SUM(V129:V242)</f>
        <v>649893.76</v>
      </c>
      <c r="BP128" s="117"/>
      <c r="BS128" s="118">
        <f>SUM(BS129:BS244)</f>
        <v>0</v>
      </c>
      <c r="BU128" s="118">
        <f>SUM(BU129:BU244)</f>
        <v>474.18433100000004</v>
      </c>
      <c r="BW128" s="119">
        <f>SUM(BW129:BW244)</f>
        <v>167.43617</v>
      </c>
      <c r="CU128" s="113" t="s">
        <v>81</v>
      </c>
      <c r="CW128" s="120" t="s">
        <v>73</v>
      </c>
      <c r="CX128" s="120" t="s">
        <v>81</v>
      </c>
      <c r="DB128" s="113" t="s">
        <v>282</v>
      </c>
      <c r="DN128" s="121">
        <f>SUM(DN129:DN244)</f>
        <v>649893.76</v>
      </c>
    </row>
    <row r="129" spans="2:120" s="1" customFormat="1" ht="24.2" customHeight="1" x14ac:dyDescent="0.2">
      <c r="B129" s="124"/>
      <c r="C129" s="125" t="s">
        <v>81</v>
      </c>
      <c r="D129" s="125" t="s">
        <v>284</v>
      </c>
      <c r="E129" s="126" t="s">
        <v>285</v>
      </c>
      <c r="F129" s="127" t="s">
        <v>286</v>
      </c>
      <c r="G129" s="128" t="s">
        <v>287</v>
      </c>
      <c r="H129" s="129">
        <v>99.364999999999995</v>
      </c>
      <c r="I129" s="130">
        <v>68.767172335543137</v>
      </c>
      <c r="J129" s="131">
        <f>ROUND(I129*H129,2)</f>
        <v>6833.05</v>
      </c>
      <c r="K129" s="127" t="s">
        <v>1</v>
      </c>
      <c r="L129" s="268">
        <f>S129</f>
        <v>0</v>
      </c>
      <c r="M129" s="272">
        <f>ROUND(L129*I129,2)</f>
        <v>0</v>
      </c>
      <c r="N129" s="243">
        <f>N131</f>
        <v>1.1219999999999999</v>
      </c>
      <c r="O129" s="294">
        <f>ROUND(N129*I129,2)</f>
        <v>77.16</v>
      </c>
      <c r="P129" s="273">
        <f>H129-L129-N129</f>
        <v>98.242999999999995</v>
      </c>
      <c r="Q129" s="287">
        <f>ROUND(P129*I129,2)</f>
        <v>6755.89</v>
      </c>
      <c r="R129" s="137"/>
      <c r="S129" s="269">
        <f>W129+Y129+AA129+AC129+AE129+AG129+AI129+AK129+AM129</f>
        <v>0</v>
      </c>
      <c r="T129" s="269">
        <f>ROUND(S129*I129,2)</f>
        <v>0</v>
      </c>
      <c r="U129" s="269">
        <f>H129-S129</f>
        <v>99.364999999999995</v>
      </c>
      <c r="V129" s="269">
        <f>ROUND(U129*I129,2)</f>
        <v>6833.05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BP129" s="132" t="s">
        <v>1</v>
      </c>
      <c r="BQ129" s="133" t="s">
        <v>40</v>
      </c>
      <c r="BS129" s="134">
        <f>BR129*H129</f>
        <v>0</v>
      </c>
      <c r="BT129" s="134">
        <v>0</v>
      </c>
      <c r="BU129" s="134">
        <f>BT129*H129</f>
        <v>0</v>
      </c>
      <c r="BV129" s="134">
        <v>0.57999999999999996</v>
      </c>
      <c r="BW129" s="135">
        <f>BV129*H129</f>
        <v>57.631699999999995</v>
      </c>
      <c r="CU129" s="136" t="s">
        <v>95</v>
      </c>
      <c r="CW129" s="136" t="s">
        <v>284</v>
      </c>
      <c r="CX129" s="136" t="s">
        <v>83</v>
      </c>
      <c r="DB129" s="16" t="s">
        <v>282</v>
      </c>
      <c r="DH129" s="137">
        <f>IF(BQ129="základní",J129,0)</f>
        <v>6833.05</v>
      </c>
      <c r="DI129" s="137">
        <f>IF(BQ129="snížená",J129,0)</f>
        <v>0</v>
      </c>
      <c r="DJ129" s="137">
        <f>IF(BQ129="zákl. přenesená",J129,0)</f>
        <v>0</v>
      </c>
      <c r="DK129" s="137">
        <f>IF(BQ129="sníž. přenesená",J129,0)</f>
        <v>0</v>
      </c>
      <c r="DL129" s="137">
        <f>IF(BQ129="nulová",J129,0)</f>
        <v>0</v>
      </c>
      <c r="DM129" s="16" t="s">
        <v>81</v>
      </c>
      <c r="DN129" s="137">
        <f>ROUND(I129*H129,2)</f>
        <v>6833.05</v>
      </c>
      <c r="DO129" s="16" t="s">
        <v>95</v>
      </c>
      <c r="DP129" s="136" t="s">
        <v>288</v>
      </c>
    </row>
    <row r="130" spans="2:120" s="1" customFormat="1" ht="39" x14ac:dyDescent="0.2">
      <c r="B130" s="31"/>
      <c r="D130" s="138" t="s">
        <v>289</v>
      </c>
      <c r="F130" s="139" t="s">
        <v>290</v>
      </c>
      <c r="I130" s="140"/>
      <c r="L130" s="31"/>
      <c r="N130" s="213"/>
      <c r="O130" s="214"/>
      <c r="Q130" s="229"/>
      <c r="BP130" s="141"/>
      <c r="BW130" s="50"/>
      <c r="CW130" s="16" t="s">
        <v>289</v>
      </c>
      <c r="CX130" s="16" t="s">
        <v>83</v>
      </c>
    </row>
    <row r="131" spans="2:120" s="1" customFormat="1" ht="24.2" customHeight="1" x14ac:dyDescent="0.2">
      <c r="B131" s="124"/>
      <c r="C131" s="125" t="s">
        <v>83</v>
      </c>
      <c r="D131" s="125" t="s">
        <v>284</v>
      </c>
      <c r="E131" s="126" t="s">
        <v>291</v>
      </c>
      <c r="F131" s="127" t="s">
        <v>292</v>
      </c>
      <c r="G131" s="128" t="s">
        <v>287</v>
      </c>
      <c r="H131" s="129">
        <v>99.364999999999995</v>
      </c>
      <c r="I131" s="130">
        <v>68.767172335543137</v>
      </c>
      <c r="J131" s="131">
        <f>ROUND(I131*H131,2)</f>
        <v>6833.05</v>
      </c>
      <c r="K131" s="127" t="s">
        <v>293</v>
      </c>
      <c r="L131" s="268">
        <f>S131</f>
        <v>0</v>
      </c>
      <c r="M131" s="272">
        <f>ROUND(L131*I131,2)</f>
        <v>0</v>
      </c>
      <c r="N131" s="243">
        <f>N133</f>
        <v>1.1219999999999999</v>
      </c>
      <c r="O131" s="294">
        <f>ROUND(N131*I131,2)</f>
        <v>77.16</v>
      </c>
      <c r="P131" s="273">
        <f>H131-L131-N131</f>
        <v>98.242999999999995</v>
      </c>
      <c r="Q131" s="287">
        <f>ROUND(P131*I131,2)</f>
        <v>6755.89</v>
      </c>
      <c r="R131" s="137"/>
      <c r="S131" s="269">
        <f>W131+Y131+AA131+AC131+AE131+AG131+AI131+AK131+AM131</f>
        <v>0</v>
      </c>
      <c r="T131" s="269">
        <f>ROUND(S131*I131,2)</f>
        <v>0</v>
      </c>
      <c r="U131" s="269">
        <f>H131-S131</f>
        <v>99.364999999999995</v>
      </c>
      <c r="V131" s="269">
        <f>ROUND(U131*I131,2)</f>
        <v>6833.05</v>
      </c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BP131" s="132" t="s">
        <v>1</v>
      </c>
      <c r="BQ131" s="133" t="s">
        <v>40</v>
      </c>
      <c r="BS131" s="134">
        <f>BR131*H131</f>
        <v>0</v>
      </c>
      <c r="BT131" s="134">
        <v>0</v>
      </c>
      <c r="BU131" s="134">
        <f>BT131*H131</f>
        <v>0</v>
      </c>
      <c r="BV131" s="134">
        <v>0.57999999999999996</v>
      </c>
      <c r="BW131" s="135">
        <f>BV131*H131</f>
        <v>57.631699999999995</v>
      </c>
      <c r="CU131" s="136" t="s">
        <v>95</v>
      </c>
      <c r="CW131" s="136" t="s">
        <v>284</v>
      </c>
      <c r="CX131" s="136" t="s">
        <v>83</v>
      </c>
      <c r="DB131" s="16" t="s">
        <v>282</v>
      </c>
      <c r="DH131" s="137">
        <f>IF(BQ131="základní",J131,0)</f>
        <v>6833.05</v>
      </c>
      <c r="DI131" s="137">
        <f>IF(BQ131="snížená",J131,0)</f>
        <v>0</v>
      </c>
      <c r="DJ131" s="137">
        <f>IF(BQ131="zákl. přenesená",J131,0)</f>
        <v>0</v>
      </c>
      <c r="DK131" s="137">
        <f>IF(BQ131="sníž. přenesená",J131,0)</f>
        <v>0</v>
      </c>
      <c r="DL131" s="137">
        <f>IF(BQ131="nulová",J131,0)</f>
        <v>0</v>
      </c>
      <c r="DM131" s="16" t="s">
        <v>81</v>
      </c>
      <c r="DN131" s="137">
        <f>ROUND(I131*H131,2)</f>
        <v>6833.05</v>
      </c>
      <c r="DO131" s="16" t="s">
        <v>95</v>
      </c>
      <c r="DP131" s="136" t="s">
        <v>294</v>
      </c>
    </row>
    <row r="132" spans="2:120" s="1" customFormat="1" ht="39" x14ac:dyDescent="0.2">
      <c r="B132" s="31"/>
      <c r="D132" s="138" t="s">
        <v>289</v>
      </c>
      <c r="F132" s="139" t="s">
        <v>290</v>
      </c>
      <c r="I132" s="140"/>
      <c r="L132" s="31"/>
      <c r="N132" s="213"/>
      <c r="O132" s="214"/>
      <c r="Q132" s="229"/>
      <c r="BP132" s="141"/>
      <c r="BW132" s="50"/>
      <c r="CW132" s="16" t="s">
        <v>289</v>
      </c>
      <c r="CX132" s="16" t="s">
        <v>83</v>
      </c>
    </row>
    <row r="133" spans="2:120" s="1" customFormat="1" ht="24.2" customHeight="1" x14ac:dyDescent="0.2">
      <c r="B133" s="124"/>
      <c r="C133" s="125" t="s">
        <v>90</v>
      </c>
      <c r="D133" s="125" t="s">
        <v>284</v>
      </c>
      <c r="E133" s="126" t="s">
        <v>295</v>
      </c>
      <c r="F133" s="127" t="s">
        <v>732</v>
      </c>
      <c r="G133" s="128" t="s">
        <v>287</v>
      </c>
      <c r="H133" s="129">
        <v>99.364999999999995</v>
      </c>
      <c r="I133" s="130">
        <v>27.886826761540966</v>
      </c>
      <c r="J133" s="131">
        <f>ROUND(I133*H133,2)</f>
        <v>2770.97</v>
      </c>
      <c r="K133" s="127" t="s">
        <v>293</v>
      </c>
      <c r="L133" s="268">
        <f>S133</f>
        <v>0</v>
      </c>
      <c r="M133" s="272">
        <f>ROUND(L133*I133,2)</f>
        <v>0</v>
      </c>
      <c r="N133" s="243">
        <f>N141</f>
        <v>1.1219999999999999</v>
      </c>
      <c r="O133" s="294">
        <f>ROUND(N133*I133,2)</f>
        <v>31.29</v>
      </c>
      <c r="P133" s="273">
        <f>H133-L133-N133</f>
        <v>98.242999999999995</v>
      </c>
      <c r="Q133" s="287">
        <f>ROUND(P133*I133,2)</f>
        <v>2739.69</v>
      </c>
      <c r="R133" s="137"/>
      <c r="S133" s="269">
        <f>W133+Y133+AA133+AC133+AE133+AG133+AI133+AK133+AM133</f>
        <v>0</v>
      </c>
      <c r="T133" s="269">
        <f>ROUND(S133*I133,2)</f>
        <v>0</v>
      </c>
      <c r="U133" s="269">
        <f>H133-S133</f>
        <v>99.364999999999995</v>
      </c>
      <c r="V133" s="269">
        <f>ROUND(U133*I133,2)</f>
        <v>2770.97</v>
      </c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BP133" s="132" t="s">
        <v>1</v>
      </c>
      <c r="BQ133" s="133" t="s">
        <v>40</v>
      </c>
      <c r="BS133" s="134">
        <f>BR133*H133</f>
        <v>0</v>
      </c>
      <c r="BT133" s="134">
        <v>0</v>
      </c>
      <c r="BU133" s="134">
        <f>BT133*H133</f>
        <v>0</v>
      </c>
      <c r="BV133" s="134">
        <v>9.8000000000000004E-2</v>
      </c>
      <c r="BW133" s="135">
        <f>BV133*H133</f>
        <v>9.7377699999999994</v>
      </c>
      <c r="CU133" s="136" t="s">
        <v>95</v>
      </c>
      <c r="CW133" s="136" t="s">
        <v>284</v>
      </c>
      <c r="CX133" s="136" t="s">
        <v>83</v>
      </c>
      <c r="DB133" s="16" t="s">
        <v>282</v>
      </c>
      <c r="DH133" s="137">
        <f>IF(BQ133="základní",J133,0)</f>
        <v>2770.97</v>
      </c>
      <c r="DI133" s="137">
        <f>IF(BQ133="snížená",J133,0)</f>
        <v>0</v>
      </c>
      <c r="DJ133" s="137">
        <f>IF(BQ133="zákl. přenesená",J133,0)</f>
        <v>0</v>
      </c>
      <c r="DK133" s="137">
        <f>IF(BQ133="sníž. přenesená",J133,0)</f>
        <v>0</v>
      </c>
      <c r="DL133" s="137">
        <f>IF(BQ133="nulová",J133,0)</f>
        <v>0</v>
      </c>
      <c r="DM133" s="16" t="s">
        <v>81</v>
      </c>
      <c r="DN133" s="137">
        <f>ROUND(I133*H133,2)</f>
        <v>2770.97</v>
      </c>
      <c r="DO133" s="16" t="s">
        <v>95</v>
      </c>
      <c r="DP133" s="136" t="s">
        <v>297</v>
      </c>
    </row>
    <row r="134" spans="2:120" s="1" customFormat="1" ht="29.25" x14ac:dyDescent="0.2">
      <c r="B134" s="31"/>
      <c r="D134" s="138" t="s">
        <v>289</v>
      </c>
      <c r="F134" s="139" t="s">
        <v>298</v>
      </c>
      <c r="I134" s="140"/>
      <c r="L134" s="31"/>
      <c r="N134" s="213"/>
      <c r="O134" s="214"/>
      <c r="Q134" s="229"/>
      <c r="BP134" s="141"/>
      <c r="BW134" s="50"/>
      <c r="CW134" s="16" t="s">
        <v>289</v>
      </c>
      <c r="CX134" s="16" t="s">
        <v>83</v>
      </c>
    </row>
    <row r="135" spans="2:120" s="1" customFormat="1" ht="29.25" x14ac:dyDescent="0.2">
      <c r="B135" s="31"/>
      <c r="D135" s="138" t="s">
        <v>299</v>
      </c>
      <c r="F135" s="142" t="s">
        <v>733</v>
      </c>
      <c r="I135" s="140"/>
      <c r="L135" s="31"/>
      <c r="N135" s="213"/>
      <c r="O135" s="214"/>
      <c r="Q135" s="229"/>
      <c r="BP135" s="141"/>
      <c r="BW135" s="50"/>
      <c r="CW135" s="16" t="s">
        <v>299</v>
      </c>
      <c r="CX135" s="16" t="s">
        <v>83</v>
      </c>
    </row>
    <row r="136" spans="2:120" s="11" customFormat="1" x14ac:dyDescent="0.2">
      <c r="B136" s="143"/>
      <c r="D136" s="138" t="s">
        <v>301</v>
      </c>
      <c r="E136" s="144" t="s">
        <v>1</v>
      </c>
      <c r="F136" s="145" t="s">
        <v>302</v>
      </c>
      <c r="H136" s="144" t="s">
        <v>1</v>
      </c>
      <c r="I136" s="146"/>
      <c r="L136" s="143"/>
      <c r="N136" s="215"/>
      <c r="O136" s="216"/>
      <c r="Q136" s="230"/>
      <c r="BP136" s="147"/>
      <c r="BW136" s="148"/>
      <c r="CW136" s="144" t="s">
        <v>301</v>
      </c>
      <c r="CX136" s="144" t="s">
        <v>83</v>
      </c>
      <c r="CY136" s="11" t="s">
        <v>81</v>
      </c>
      <c r="CZ136" s="11" t="s">
        <v>32</v>
      </c>
      <c r="DA136" s="11" t="s">
        <v>74</v>
      </c>
      <c r="DB136" s="144" t="s">
        <v>282</v>
      </c>
    </row>
    <row r="137" spans="2:120" s="12" customFormat="1" x14ac:dyDescent="0.2">
      <c r="B137" s="149"/>
      <c r="D137" s="138" t="s">
        <v>301</v>
      </c>
      <c r="E137" s="150" t="s">
        <v>1</v>
      </c>
      <c r="F137" s="151" t="s">
        <v>734</v>
      </c>
      <c r="H137" s="152">
        <v>2</v>
      </c>
      <c r="I137" s="153"/>
      <c r="L137" s="149"/>
      <c r="N137" s="217">
        <v>4.76</v>
      </c>
      <c r="O137" s="359" t="s">
        <v>3361</v>
      </c>
      <c r="Q137" s="231"/>
      <c r="BP137" s="154"/>
      <c r="BW137" s="155"/>
      <c r="CW137" s="150" t="s">
        <v>301</v>
      </c>
      <c r="CX137" s="150" t="s">
        <v>83</v>
      </c>
      <c r="CY137" s="12" t="s">
        <v>83</v>
      </c>
      <c r="CZ137" s="12" t="s">
        <v>32</v>
      </c>
      <c r="DA137" s="12" t="s">
        <v>74</v>
      </c>
      <c r="DB137" s="150" t="s">
        <v>282</v>
      </c>
    </row>
    <row r="138" spans="2:120" s="12" customFormat="1" x14ac:dyDescent="0.2">
      <c r="B138" s="149"/>
      <c r="D138" s="138" t="s">
        <v>301</v>
      </c>
      <c r="E138" s="150" t="s">
        <v>1</v>
      </c>
      <c r="F138" s="151" t="s">
        <v>735</v>
      </c>
      <c r="H138" s="152">
        <v>84</v>
      </c>
      <c r="I138" s="153"/>
      <c r="L138" s="149"/>
      <c r="N138" s="217">
        <f>78.44*1.05</f>
        <v>82.361999999999995</v>
      </c>
      <c r="O138" s="359" t="s">
        <v>3362</v>
      </c>
      <c r="Q138" s="231"/>
      <c r="BP138" s="154"/>
      <c r="BW138" s="155"/>
      <c r="CW138" s="150" t="s">
        <v>301</v>
      </c>
      <c r="CX138" s="150" t="s">
        <v>83</v>
      </c>
      <c r="CY138" s="12" t="s">
        <v>83</v>
      </c>
      <c r="CZ138" s="12" t="s">
        <v>32</v>
      </c>
      <c r="DA138" s="12" t="s">
        <v>74</v>
      </c>
      <c r="DB138" s="150" t="s">
        <v>282</v>
      </c>
    </row>
    <row r="139" spans="2:120" s="12" customFormat="1" x14ac:dyDescent="0.2">
      <c r="B139" s="149"/>
      <c r="D139" s="138" t="s">
        <v>301</v>
      </c>
      <c r="E139" s="150" t="s">
        <v>1</v>
      </c>
      <c r="F139" s="151" t="s">
        <v>736</v>
      </c>
      <c r="H139" s="152">
        <v>13.365</v>
      </c>
      <c r="I139" s="153"/>
      <c r="L139" s="149"/>
      <c r="N139" s="217">
        <v>13.365</v>
      </c>
      <c r="O139" s="218"/>
      <c r="Q139" s="231"/>
      <c r="BP139" s="154"/>
      <c r="BW139" s="155"/>
      <c r="CW139" s="150" t="s">
        <v>301</v>
      </c>
      <c r="CX139" s="150" t="s">
        <v>83</v>
      </c>
      <c r="CY139" s="12" t="s">
        <v>83</v>
      </c>
      <c r="CZ139" s="12" t="s">
        <v>32</v>
      </c>
      <c r="DA139" s="12" t="s">
        <v>74</v>
      </c>
      <c r="DB139" s="150" t="s">
        <v>282</v>
      </c>
    </row>
    <row r="140" spans="2:120" s="13" customFormat="1" x14ac:dyDescent="0.2">
      <c r="B140" s="156"/>
      <c r="D140" s="138" t="s">
        <v>301</v>
      </c>
      <c r="E140" s="157" t="s">
        <v>1</v>
      </c>
      <c r="F140" s="158" t="s">
        <v>305</v>
      </c>
      <c r="H140" s="159">
        <v>99.364999999999995</v>
      </c>
      <c r="I140" s="160"/>
      <c r="L140" s="156"/>
      <c r="N140" s="219">
        <f>N137+N138+N139</f>
        <v>100.48699999999999</v>
      </c>
      <c r="O140" s="220"/>
      <c r="Q140" s="232"/>
      <c r="BP140" s="161"/>
      <c r="BW140" s="162"/>
      <c r="CW140" s="157" t="s">
        <v>301</v>
      </c>
      <c r="CX140" s="157" t="s">
        <v>83</v>
      </c>
      <c r="CY140" s="13" t="s">
        <v>95</v>
      </c>
      <c r="CZ140" s="13" t="s">
        <v>32</v>
      </c>
      <c r="DA140" s="13" t="s">
        <v>81</v>
      </c>
      <c r="DB140" s="157" t="s">
        <v>282</v>
      </c>
    </row>
    <row r="141" spans="2:120" s="13" customFormat="1" x14ac:dyDescent="0.2">
      <c r="B141" s="156"/>
      <c r="D141" s="138"/>
      <c r="E141" s="157"/>
      <c r="F141" s="158"/>
      <c r="H141" s="159"/>
      <c r="I141" s="160"/>
      <c r="L141" s="156"/>
      <c r="N141" s="311">
        <f>N140-H140</f>
        <v>1.1219999999999999</v>
      </c>
      <c r="O141" s="220"/>
      <c r="Q141" s="232"/>
      <c r="BP141" s="161"/>
      <c r="BW141" s="162"/>
      <c r="CW141" s="157"/>
      <c r="CX141" s="157"/>
      <c r="DB141" s="157"/>
    </row>
    <row r="142" spans="2:120" s="1" customFormat="1" ht="24.2" customHeight="1" x14ac:dyDescent="0.2">
      <c r="B142" s="124"/>
      <c r="C142" s="125" t="s">
        <v>95</v>
      </c>
      <c r="D142" s="125" t="s">
        <v>284</v>
      </c>
      <c r="E142" s="126" t="s">
        <v>306</v>
      </c>
      <c r="F142" s="127" t="s">
        <v>307</v>
      </c>
      <c r="G142" s="128" t="s">
        <v>287</v>
      </c>
      <c r="H142" s="129">
        <v>369</v>
      </c>
      <c r="I142" s="130">
        <v>55.314624729404002</v>
      </c>
      <c r="J142" s="131">
        <f>ROUND(I142*H142,2)</f>
        <v>20411.099999999999</v>
      </c>
      <c r="K142" s="127" t="s">
        <v>293</v>
      </c>
      <c r="L142" s="268">
        <f>S142</f>
        <v>0</v>
      </c>
      <c r="M142" s="272">
        <f>ROUND(L142*I142,2)</f>
        <v>0</v>
      </c>
      <c r="N142" s="243">
        <f>N147</f>
        <v>5.4000000000000341</v>
      </c>
      <c r="O142" s="294">
        <f>ROUND(N142*I142,2)</f>
        <v>298.7</v>
      </c>
      <c r="P142" s="273">
        <f>H142-L142-N142</f>
        <v>363.59999999999997</v>
      </c>
      <c r="Q142" s="287">
        <f>ROUND(P142*I142,2)</f>
        <v>20112.400000000001</v>
      </c>
      <c r="R142" s="137"/>
      <c r="S142" s="269">
        <f>W142+Y142+AA142+AC142+AE142+AG142+AI142+AK142+AM142</f>
        <v>0</v>
      </c>
      <c r="T142" s="269">
        <f>ROUND(S142*I142,2)</f>
        <v>0</v>
      </c>
      <c r="U142" s="269">
        <f>H142-S142</f>
        <v>369</v>
      </c>
      <c r="V142" s="269">
        <f>ROUND(U142*I142,2)</f>
        <v>20411.099999999999</v>
      </c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BP142" s="132" t="s">
        <v>1</v>
      </c>
      <c r="BQ142" s="133" t="s">
        <v>40</v>
      </c>
      <c r="BS142" s="134">
        <f>BR142*H142</f>
        <v>0</v>
      </c>
      <c r="BT142" s="134">
        <v>6.9999999999999994E-5</v>
      </c>
      <c r="BU142" s="134">
        <f>BT142*H142</f>
        <v>2.5829999999999999E-2</v>
      </c>
      <c r="BV142" s="134">
        <v>0.115</v>
      </c>
      <c r="BW142" s="135">
        <f>BV142*H142</f>
        <v>42.435000000000002</v>
      </c>
      <c r="CU142" s="136" t="s">
        <v>95</v>
      </c>
      <c r="CW142" s="136" t="s">
        <v>284</v>
      </c>
      <c r="CX142" s="136" t="s">
        <v>83</v>
      </c>
      <c r="DB142" s="16" t="s">
        <v>282</v>
      </c>
      <c r="DH142" s="137">
        <f>IF(BQ142="základní",J142,0)</f>
        <v>20411.099999999999</v>
      </c>
      <c r="DI142" s="137">
        <f>IF(BQ142="snížená",J142,0)</f>
        <v>0</v>
      </c>
      <c r="DJ142" s="137">
        <f>IF(BQ142="zákl. přenesená",J142,0)</f>
        <v>0</v>
      </c>
      <c r="DK142" s="137">
        <f>IF(BQ142="sníž. přenesená",J142,0)</f>
        <v>0</v>
      </c>
      <c r="DL142" s="137">
        <f>IF(BQ142="nulová",J142,0)</f>
        <v>0</v>
      </c>
      <c r="DM142" s="16" t="s">
        <v>81</v>
      </c>
      <c r="DN142" s="137">
        <f>ROUND(I142*H142,2)</f>
        <v>20411.099999999999</v>
      </c>
      <c r="DO142" s="16" t="s">
        <v>95</v>
      </c>
      <c r="DP142" s="136" t="s">
        <v>308</v>
      </c>
    </row>
    <row r="143" spans="2:120" s="1" customFormat="1" ht="29.25" x14ac:dyDescent="0.2">
      <c r="B143" s="31"/>
      <c r="D143" s="138" t="s">
        <v>289</v>
      </c>
      <c r="F143" s="139" t="s">
        <v>309</v>
      </c>
      <c r="I143" s="140"/>
      <c r="L143" s="31"/>
      <c r="N143" s="213"/>
      <c r="O143" s="214"/>
      <c r="Q143" s="229"/>
      <c r="BP143" s="141"/>
      <c r="BW143" s="50"/>
      <c r="CW143" s="16" t="s">
        <v>289</v>
      </c>
      <c r="CX143" s="16" t="s">
        <v>83</v>
      </c>
    </row>
    <row r="144" spans="2:120" s="1" customFormat="1" ht="29.25" x14ac:dyDescent="0.2">
      <c r="B144" s="31"/>
      <c r="D144" s="138" t="s">
        <v>299</v>
      </c>
      <c r="F144" s="142" t="s">
        <v>733</v>
      </c>
      <c r="I144" s="140"/>
      <c r="L144" s="31"/>
      <c r="N144" s="213"/>
      <c r="O144" s="214"/>
      <c r="Q144" s="229"/>
      <c r="BP144" s="141"/>
      <c r="BW144" s="50"/>
      <c r="CW144" s="16" t="s">
        <v>299</v>
      </c>
      <c r="CX144" s="16" t="s">
        <v>83</v>
      </c>
    </row>
    <row r="145" spans="2:120" s="11" customFormat="1" x14ac:dyDescent="0.2">
      <c r="B145" s="143"/>
      <c r="D145" s="138" t="s">
        <v>301</v>
      </c>
      <c r="E145" s="144" t="s">
        <v>1</v>
      </c>
      <c r="F145" s="145" t="s">
        <v>310</v>
      </c>
      <c r="H145" s="144" t="s">
        <v>1</v>
      </c>
      <c r="I145" s="146"/>
      <c r="L145" s="143"/>
      <c r="N145" s="215"/>
      <c r="O145" s="216"/>
      <c r="Q145" s="230"/>
      <c r="BP145" s="147"/>
      <c r="BW145" s="148"/>
      <c r="CW145" s="144" t="s">
        <v>301</v>
      </c>
      <c r="CX145" s="144" t="s">
        <v>83</v>
      </c>
      <c r="CY145" s="11" t="s">
        <v>81</v>
      </c>
      <c r="CZ145" s="11" t="s">
        <v>32</v>
      </c>
      <c r="DA145" s="11" t="s">
        <v>74</v>
      </c>
      <c r="DB145" s="144" t="s">
        <v>282</v>
      </c>
    </row>
    <row r="146" spans="2:120" s="12" customFormat="1" x14ac:dyDescent="0.2">
      <c r="B146" s="149"/>
      <c r="D146" s="138" t="s">
        <v>301</v>
      </c>
      <c r="E146" s="150" t="s">
        <v>1</v>
      </c>
      <c r="F146" s="151" t="s">
        <v>737</v>
      </c>
      <c r="H146" s="152">
        <v>369</v>
      </c>
      <c r="I146" s="153"/>
      <c r="L146" s="149"/>
      <c r="N146" s="217">
        <f>(78.44+4.76)*4.5</f>
        <v>374.40000000000003</v>
      </c>
      <c r="O146" s="359" t="s">
        <v>3363</v>
      </c>
      <c r="Q146" s="231"/>
      <c r="BP146" s="154"/>
      <c r="BW146" s="155"/>
      <c r="CW146" s="150" t="s">
        <v>301</v>
      </c>
      <c r="CX146" s="150" t="s">
        <v>83</v>
      </c>
      <c r="CY146" s="12" t="s">
        <v>83</v>
      </c>
      <c r="CZ146" s="12" t="s">
        <v>32</v>
      </c>
      <c r="DA146" s="12" t="s">
        <v>81</v>
      </c>
      <c r="DB146" s="150" t="s">
        <v>282</v>
      </c>
    </row>
    <row r="147" spans="2:120" s="12" customFormat="1" x14ac:dyDescent="0.2">
      <c r="B147" s="149"/>
      <c r="D147" s="138"/>
      <c r="E147" s="150"/>
      <c r="F147" s="151"/>
      <c r="H147" s="152"/>
      <c r="I147" s="153"/>
      <c r="L147" s="149"/>
      <c r="N147" s="310">
        <f>N146-H142</f>
        <v>5.4000000000000341</v>
      </c>
      <c r="O147" s="218"/>
      <c r="Q147" s="231"/>
      <c r="BP147" s="154"/>
      <c r="BW147" s="155"/>
      <c r="CW147" s="150"/>
      <c r="CX147" s="150"/>
      <c r="DB147" s="150"/>
    </row>
    <row r="148" spans="2:120" s="1" customFormat="1" ht="24.2" customHeight="1" x14ac:dyDescent="0.2">
      <c r="B148" s="124"/>
      <c r="C148" s="125" t="s">
        <v>312</v>
      </c>
      <c r="D148" s="125" t="s">
        <v>284</v>
      </c>
      <c r="E148" s="126" t="s">
        <v>313</v>
      </c>
      <c r="F148" s="127" t="s">
        <v>314</v>
      </c>
      <c r="G148" s="128" t="s">
        <v>315</v>
      </c>
      <c r="H148" s="129">
        <v>1</v>
      </c>
      <c r="I148" s="130">
        <v>3788.8627999999999</v>
      </c>
      <c r="J148" s="131">
        <f>ROUND(I148*H148,2)</f>
        <v>3788.86</v>
      </c>
      <c r="K148" s="127" t="s">
        <v>1</v>
      </c>
      <c r="L148" s="268">
        <f>S148</f>
        <v>0</v>
      </c>
      <c r="M148" s="272">
        <f>ROUND(L148*I148,2)</f>
        <v>0</v>
      </c>
      <c r="N148" s="243"/>
      <c r="O148" s="294">
        <f>ROUND(N148*I148,2)</f>
        <v>0</v>
      </c>
      <c r="P148" s="273">
        <f>H148-L148-N148</f>
        <v>1</v>
      </c>
      <c r="Q148" s="287">
        <f>ROUND(P148*I148,2)</f>
        <v>3788.86</v>
      </c>
      <c r="R148" s="137"/>
      <c r="S148" s="269">
        <f>W148+Y148+AA148+AC148+AE148+AG148+AI148+AK148+AM148</f>
        <v>0</v>
      </c>
      <c r="T148" s="269">
        <f>ROUND(S148*I148,2)</f>
        <v>0</v>
      </c>
      <c r="U148" s="269">
        <f>H148-S148</f>
        <v>1</v>
      </c>
      <c r="V148" s="269">
        <f>ROUND(U148*I148,2)</f>
        <v>3788.86</v>
      </c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BP148" s="132" t="s">
        <v>1</v>
      </c>
      <c r="BQ148" s="133" t="s">
        <v>40</v>
      </c>
      <c r="BS148" s="134">
        <f>BR148*H148</f>
        <v>0</v>
      </c>
      <c r="BT148" s="134">
        <v>0</v>
      </c>
      <c r="BU148" s="134">
        <f>BT148*H148</f>
        <v>0</v>
      </c>
      <c r="BV148" s="134">
        <v>0</v>
      </c>
      <c r="BW148" s="135">
        <f>BV148*H148</f>
        <v>0</v>
      </c>
      <c r="CU148" s="136" t="s">
        <v>95</v>
      </c>
      <c r="CW148" s="136" t="s">
        <v>284</v>
      </c>
      <c r="CX148" s="136" t="s">
        <v>83</v>
      </c>
      <c r="DB148" s="16" t="s">
        <v>282</v>
      </c>
      <c r="DH148" s="137">
        <f>IF(BQ148="základní",J148,0)</f>
        <v>3788.86</v>
      </c>
      <c r="DI148" s="137">
        <f>IF(BQ148="snížená",J148,0)</f>
        <v>0</v>
      </c>
      <c r="DJ148" s="137">
        <f>IF(BQ148="zákl. přenesená",J148,0)</f>
        <v>0</v>
      </c>
      <c r="DK148" s="137">
        <f>IF(BQ148="sníž. přenesená",J148,0)</f>
        <v>0</v>
      </c>
      <c r="DL148" s="137">
        <f>IF(BQ148="nulová",J148,0)</f>
        <v>0</v>
      </c>
      <c r="DM148" s="16" t="s">
        <v>81</v>
      </c>
      <c r="DN148" s="137">
        <f>ROUND(I148*H148,2)</f>
        <v>3788.86</v>
      </c>
      <c r="DO148" s="16" t="s">
        <v>95</v>
      </c>
      <c r="DP148" s="136" t="s">
        <v>316</v>
      </c>
    </row>
    <row r="149" spans="2:120" s="1" customFormat="1" ht="19.5" x14ac:dyDescent="0.2">
      <c r="B149" s="31"/>
      <c r="D149" s="138" t="s">
        <v>289</v>
      </c>
      <c r="F149" s="139" t="s">
        <v>314</v>
      </c>
      <c r="I149" s="140"/>
      <c r="L149" s="31"/>
      <c r="N149" s="213"/>
      <c r="O149" s="214"/>
      <c r="Q149" s="229"/>
      <c r="BP149" s="141"/>
      <c r="BW149" s="50"/>
      <c r="CW149" s="16" t="s">
        <v>289</v>
      </c>
      <c r="CX149" s="16" t="s">
        <v>83</v>
      </c>
    </row>
    <row r="150" spans="2:120" s="1" customFormat="1" ht="19.5" x14ac:dyDescent="0.2">
      <c r="B150" s="31"/>
      <c r="D150" s="138" t="s">
        <v>299</v>
      </c>
      <c r="F150" s="142" t="s">
        <v>317</v>
      </c>
      <c r="I150" s="140"/>
      <c r="L150" s="31"/>
      <c r="N150" s="213"/>
      <c r="O150" s="214"/>
      <c r="Q150" s="229"/>
      <c r="BP150" s="141"/>
      <c r="BW150" s="50"/>
      <c r="CW150" s="16" t="s">
        <v>299</v>
      </c>
      <c r="CX150" s="16" t="s">
        <v>83</v>
      </c>
    </row>
    <row r="151" spans="2:120" s="12" customFormat="1" x14ac:dyDescent="0.2">
      <c r="B151" s="149"/>
      <c r="D151" s="138" t="s">
        <v>301</v>
      </c>
      <c r="E151" s="150" t="s">
        <v>1</v>
      </c>
      <c r="F151" s="151" t="s">
        <v>81</v>
      </c>
      <c r="H151" s="152">
        <v>1</v>
      </c>
      <c r="I151" s="153"/>
      <c r="L151" s="149"/>
      <c r="N151" s="217"/>
      <c r="O151" s="218"/>
      <c r="Q151" s="231"/>
      <c r="BP151" s="154"/>
      <c r="BW151" s="155"/>
      <c r="CW151" s="150" t="s">
        <v>301</v>
      </c>
      <c r="CX151" s="150" t="s">
        <v>83</v>
      </c>
      <c r="CY151" s="12" t="s">
        <v>83</v>
      </c>
      <c r="CZ151" s="12" t="s">
        <v>32</v>
      </c>
      <c r="DA151" s="12" t="s">
        <v>81</v>
      </c>
      <c r="DB151" s="150" t="s">
        <v>282</v>
      </c>
    </row>
    <row r="152" spans="2:120" s="1" customFormat="1" ht="24.2" customHeight="1" x14ac:dyDescent="0.2">
      <c r="B152" s="124"/>
      <c r="C152" s="125" t="s">
        <v>318</v>
      </c>
      <c r="D152" s="125" t="s">
        <v>284</v>
      </c>
      <c r="E152" s="126" t="s">
        <v>324</v>
      </c>
      <c r="F152" s="127" t="s">
        <v>325</v>
      </c>
      <c r="G152" s="128" t="s">
        <v>315</v>
      </c>
      <c r="H152" s="129">
        <v>2</v>
      </c>
      <c r="I152" s="130">
        <v>1847.0706150000001</v>
      </c>
      <c r="J152" s="131">
        <f>ROUND(I152*H152,2)</f>
        <v>3694.14</v>
      </c>
      <c r="K152" s="127" t="s">
        <v>1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2</v>
      </c>
      <c r="Q152" s="287">
        <f>ROUND(P152*I152,2)</f>
        <v>3694.14</v>
      </c>
      <c r="R152" s="137"/>
      <c r="S152" s="269">
        <f>W152+Y152+AA152+AC152+AE152+AG152+AI152+AK152+AM152</f>
        <v>0</v>
      </c>
      <c r="T152" s="269">
        <f>ROUND(S152*I152,2)</f>
        <v>0</v>
      </c>
      <c r="U152" s="269">
        <f>H152-S152</f>
        <v>2</v>
      </c>
      <c r="V152" s="269">
        <f>ROUND(U152*I152,2)</f>
        <v>3694.14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BP152" s="132" t="s">
        <v>1</v>
      </c>
      <c r="BQ152" s="133" t="s">
        <v>40</v>
      </c>
      <c r="BS152" s="134">
        <f>BR152*H152</f>
        <v>0</v>
      </c>
      <c r="BT152" s="134">
        <v>0</v>
      </c>
      <c r="BU152" s="134">
        <f>BT152*H152</f>
        <v>0</v>
      </c>
      <c r="BV152" s="134">
        <v>0</v>
      </c>
      <c r="BW152" s="135">
        <f>BV152*H152</f>
        <v>0</v>
      </c>
      <c r="CU152" s="136" t="s">
        <v>95</v>
      </c>
      <c r="CW152" s="136" t="s">
        <v>284</v>
      </c>
      <c r="CX152" s="136" t="s">
        <v>83</v>
      </c>
      <c r="DB152" s="16" t="s">
        <v>282</v>
      </c>
      <c r="DH152" s="137">
        <f>IF(BQ152="základní",J152,0)</f>
        <v>3694.14</v>
      </c>
      <c r="DI152" s="137">
        <f>IF(BQ152="snížená",J152,0)</f>
        <v>0</v>
      </c>
      <c r="DJ152" s="137">
        <f>IF(BQ152="zákl. přenesená",J152,0)</f>
        <v>0</v>
      </c>
      <c r="DK152" s="137">
        <f>IF(BQ152="sníž. přenesená",J152,0)</f>
        <v>0</v>
      </c>
      <c r="DL152" s="137">
        <f>IF(BQ152="nulová",J152,0)</f>
        <v>0</v>
      </c>
      <c r="DM152" s="16" t="s">
        <v>81</v>
      </c>
      <c r="DN152" s="137">
        <f>ROUND(I152*H152,2)</f>
        <v>3694.14</v>
      </c>
      <c r="DO152" s="16" t="s">
        <v>95</v>
      </c>
      <c r="DP152" s="136" t="s">
        <v>326</v>
      </c>
    </row>
    <row r="153" spans="2:120" s="1" customFormat="1" ht="19.5" x14ac:dyDescent="0.2">
      <c r="B153" s="31"/>
      <c r="D153" s="138" t="s">
        <v>289</v>
      </c>
      <c r="F153" s="139" t="s">
        <v>325</v>
      </c>
      <c r="I153" s="140"/>
      <c r="L153" s="31"/>
      <c r="N153" s="213"/>
      <c r="O153" s="214"/>
      <c r="Q153" s="229"/>
      <c r="BP153" s="141"/>
      <c r="BW153" s="50"/>
      <c r="CW153" s="16" t="s">
        <v>289</v>
      </c>
      <c r="CX153" s="16" t="s">
        <v>83</v>
      </c>
    </row>
    <row r="154" spans="2:120" s="1" customFormat="1" ht="19.5" x14ac:dyDescent="0.2">
      <c r="B154" s="31"/>
      <c r="D154" s="138" t="s">
        <v>299</v>
      </c>
      <c r="F154" s="142" t="s">
        <v>317</v>
      </c>
      <c r="I154" s="140"/>
      <c r="L154" s="31"/>
      <c r="N154" s="213"/>
      <c r="O154" s="214"/>
      <c r="Q154" s="229"/>
      <c r="BP154" s="141"/>
      <c r="BW154" s="50"/>
      <c r="CW154" s="16" t="s">
        <v>299</v>
      </c>
      <c r="CX154" s="16" t="s">
        <v>83</v>
      </c>
    </row>
    <row r="155" spans="2:120" s="12" customFormat="1" x14ac:dyDescent="0.2">
      <c r="B155" s="149"/>
      <c r="D155" s="138" t="s">
        <v>301</v>
      </c>
      <c r="E155" s="150" t="s">
        <v>1</v>
      </c>
      <c r="F155" s="151" t="s">
        <v>83</v>
      </c>
      <c r="H155" s="152">
        <v>2</v>
      </c>
      <c r="I155" s="153"/>
      <c r="L155" s="149"/>
      <c r="N155" s="217"/>
      <c r="O155" s="218"/>
      <c r="Q155" s="231"/>
      <c r="BP155" s="154"/>
      <c r="BW155" s="155"/>
      <c r="CW155" s="150" t="s">
        <v>301</v>
      </c>
      <c r="CX155" s="150" t="s">
        <v>83</v>
      </c>
      <c r="CY155" s="12" t="s">
        <v>83</v>
      </c>
      <c r="CZ155" s="12" t="s">
        <v>32</v>
      </c>
      <c r="DA155" s="12" t="s">
        <v>81</v>
      </c>
      <c r="DB155" s="150" t="s">
        <v>282</v>
      </c>
    </row>
    <row r="156" spans="2:120" s="1" customFormat="1" ht="24.2" customHeight="1" x14ac:dyDescent="0.2">
      <c r="B156" s="124"/>
      <c r="C156" s="125" t="s">
        <v>323</v>
      </c>
      <c r="D156" s="125" t="s">
        <v>284</v>
      </c>
      <c r="E156" s="126" t="s">
        <v>329</v>
      </c>
      <c r="F156" s="127" t="s">
        <v>330</v>
      </c>
      <c r="G156" s="128" t="s">
        <v>331</v>
      </c>
      <c r="H156" s="129">
        <v>240</v>
      </c>
      <c r="I156" s="130">
        <v>70.957591385341729</v>
      </c>
      <c r="J156" s="131">
        <f>ROUND(I156*H156,2)</f>
        <v>17029.82</v>
      </c>
      <c r="K156" s="127" t="s">
        <v>293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240</v>
      </c>
      <c r="Q156" s="287">
        <f>ROUND(P156*I156,2)</f>
        <v>17029.82</v>
      </c>
      <c r="R156" s="137"/>
      <c r="S156" s="269">
        <f>W156+Y156+AA156+AC156+AE156+AG156+AI156+AK156+AM156</f>
        <v>0</v>
      </c>
      <c r="T156" s="269">
        <f>ROUND(S156*I156,2)</f>
        <v>0</v>
      </c>
      <c r="U156" s="269">
        <f>H156-S156</f>
        <v>240</v>
      </c>
      <c r="V156" s="269">
        <f>ROUND(U156*I156,2)</f>
        <v>17029.82</v>
      </c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BP156" s="132" t="s">
        <v>1</v>
      </c>
      <c r="BQ156" s="133" t="s">
        <v>40</v>
      </c>
      <c r="BS156" s="134">
        <f>BR156*H156</f>
        <v>0</v>
      </c>
      <c r="BT156" s="134">
        <v>3.0000000000000001E-5</v>
      </c>
      <c r="BU156" s="134">
        <f>BT156*H156</f>
        <v>7.1999999999999998E-3</v>
      </c>
      <c r="BV156" s="134">
        <v>0</v>
      </c>
      <c r="BW156" s="135">
        <f>BV156*H156</f>
        <v>0</v>
      </c>
      <c r="CU156" s="136" t="s">
        <v>95</v>
      </c>
      <c r="CW156" s="136" t="s">
        <v>284</v>
      </c>
      <c r="CX156" s="136" t="s">
        <v>83</v>
      </c>
      <c r="DB156" s="16" t="s">
        <v>282</v>
      </c>
      <c r="DH156" s="137">
        <f>IF(BQ156="základní",J156,0)</f>
        <v>17029.82</v>
      </c>
      <c r="DI156" s="137">
        <f>IF(BQ156="snížená",J156,0)</f>
        <v>0</v>
      </c>
      <c r="DJ156" s="137">
        <f>IF(BQ156="zákl. přenesená",J156,0)</f>
        <v>0</v>
      </c>
      <c r="DK156" s="137">
        <f>IF(BQ156="sníž. přenesená",J156,0)</f>
        <v>0</v>
      </c>
      <c r="DL156" s="137">
        <f>IF(BQ156="nulová",J156,0)</f>
        <v>0</v>
      </c>
      <c r="DM156" s="16" t="s">
        <v>81</v>
      </c>
      <c r="DN156" s="137">
        <f>ROUND(I156*H156,2)</f>
        <v>17029.82</v>
      </c>
      <c r="DO156" s="16" t="s">
        <v>95</v>
      </c>
      <c r="DP156" s="136" t="s">
        <v>332</v>
      </c>
    </row>
    <row r="157" spans="2:120" s="1" customFormat="1" ht="19.5" x14ac:dyDescent="0.2">
      <c r="B157" s="31"/>
      <c r="D157" s="138" t="s">
        <v>289</v>
      </c>
      <c r="F157" s="139" t="s">
        <v>333</v>
      </c>
      <c r="I157" s="140"/>
      <c r="L157" s="31"/>
      <c r="N157" s="213"/>
      <c r="O157" s="214"/>
      <c r="Q157" s="229"/>
      <c r="BP157" s="141"/>
      <c r="BW157" s="50"/>
      <c r="CW157" s="16" t="s">
        <v>289</v>
      </c>
      <c r="CX157" s="16" t="s">
        <v>83</v>
      </c>
    </row>
    <row r="158" spans="2:120" s="12" customFormat="1" x14ac:dyDescent="0.2">
      <c r="B158" s="149"/>
      <c r="D158" s="138" t="s">
        <v>301</v>
      </c>
      <c r="E158" s="150" t="s">
        <v>1</v>
      </c>
      <c r="F158" s="151" t="s">
        <v>738</v>
      </c>
      <c r="H158" s="152">
        <v>240</v>
      </c>
      <c r="I158" s="153"/>
      <c r="L158" s="149"/>
      <c r="N158" s="217"/>
      <c r="O158" s="218"/>
      <c r="Q158" s="231"/>
      <c r="BP158" s="154"/>
      <c r="BW158" s="155"/>
      <c r="CW158" s="150" t="s">
        <v>301</v>
      </c>
      <c r="CX158" s="150" t="s">
        <v>83</v>
      </c>
      <c r="CY158" s="12" t="s">
        <v>83</v>
      </c>
      <c r="CZ158" s="12" t="s">
        <v>32</v>
      </c>
      <c r="DA158" s="12" t="s">
        <v>81</v>
      </c>
      <c r="DB158" s="150" t="s">
        <v>282</v>
      </c>
    </row>
    <row r="159" spans="2:120" s="1" customFormat="1" ht="24.2" customHeight="1" x14ac:dyDescent="0.2">
      <c r="B159" s="124"/>
      <c r="C159" s="125" t="s">
        <v>328</v>
      </c>
      <c r="D159" s="125" t="s">
        <v>284</v>
      </c>
      <c r="E159" s="126" t="s">
        <v>336</v>
      </c>
      <c r="F159" s="127" t="s">
        <v>337</v>
      </c>
      <c r="G159" s="128" t="s">
        <v>338</v>
      </c>
      <c r="H159" s="129">
        <v>30</v>
      </c>
      <c r="I159" s="130">
        <v>41.621835247115101</v>
      </c>
      <c r="J159" s="131">
        <f>ROUND(I159*H159,2)</f>
        <v>1248.6600000000001</v>
      </c>
      <c r="K159" s="127" t="s">
        <v>293</v>
      </c>
      <c r="L159" s="268">
        <f>S159</f>
        <v>0</v>
      </c>
      <c r="M159" s="272">
        <f>ROUND(L159*I159,2)</f>
        <v>0</v>
      </c>
      <c r="N159" s="243"/>
      <c r="O159" s="294">
        <f>ROUND(N159*I159,2)</f>
        <v>0</v>
      </c>
      <c r="P159" s="273">
        <f>H159-L159-N159</f>
        <v>30</v>
      </c>
      <c r="Q159" s="287">
        <f>ROUND(P159*I159,2)</f>
        <v>1248.6600000000001</v>
      </c>
      <c r="R159" s="137"/>
      <c r="S159" s="269">
        <f>W159+Y159+AA159+AC159+AE159+AG159+AI159+AK159+AM159</f>
        <v>0</v>
      </c>
      <c r="T159" s="269">
        <f>ROUND(S159*I159,2)</f>
        <v>0</v>
      </c>
      <c r="U159" s="269">
        <f>H159-S159</f>
        <v>30</v>
      </c>
      <c r="V159" s="269">
        <f>ROUND(U159*I159,2)</f>
        <v>1248.6600000000001</v>
      </c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BP159" s="132" t="s">
        <v>1</v>
      </c>
      <c r="BQ159" s="133" t="s">
        <v>40</v>
      </c>
      <c r="BS159" s="134">
        <f>BR159*H159</f>
        <v>0</v>
      </c>
      <c r="BT159" s="134">
        <v>0</v>
      </c>
      <c r="BU159" s="134">
        <f>BT159*H159</f>
        <v>0</v>
      </c>
      <c r="BV159" s="134">
        <v>0</v>
      </c>
      <c r="BW159" s="135">
        <f>BV159*H159</f>
        <v>0</v>
      </c>
      <c r="CU159" s="136" t="s">
        <v>95</v>
      </c>
      <c r="CW159" s="136" t="s">
        <v>284</v>
      </c>
      <c r="CX159" s="136" t="s">
        <v>83</v>
      </c>
      <c r="DB159" s="16" t="s">
        <v>282</v>
      </c>
      <c r="DH159" s="137">
        <f>IF(BQ159="základní",J159,0)</f>
        <v>1248.6600000000001</v>
      </c>
      <c r="DI159" s="137">
        <f>IF(BQ159="snížená",J159,0)</f>
        <v>0</v>
      </c>
      <c r="DJ159" s="137">
        <f>IF(BQ159="zákl. přenesená",J159,0)</f>
        <v>0</v>
      </c>
      <c r="DK159" s="137">
        <f>IF(BQ159="sníž. přenesená",J159,0)</f>
        <v>0</v>
      </c>
      <c r="DL159" s="137">
        <f>IF(BQ159="nulová",J159,0)</f>
        <v>0</v>
      </c>
      <c r="DM159" s="16" t="s">
        <v>81</v>
      </c>
      <c r="DN159" s="137">
        <f>ROUND(I159*H159,2)</f>
        <v>1248.6600000000001</v>
      </c>
      <c r="DO159" s="16" t="s">
        <v>95</v>
      </c>
      <c r="DP159" s="136" t="s">
        <v>339</v>
      </c>
    </row>
    <row r="160" spans="2:120" s="1" customFormat="1" ht="19.5" x14ac:dyDescent="0.2">
      <c r="B160" s="31"/>
      <c r="D160" s="138" t="s">
        <v>289</v>
      </c>
      <c r="F160" s="139" t="s">
        <v>340</v>
      </c>
      <c r="I160" s="140"/>
      <c r="L160" s="31"/>
      <c r="N160" s="213"/>
      <c r="O160" s="214"/>
      <c r="Q160" s="229"/>
      <c r="BP160" s="141"/>
      <c r="BW160" s="50"/>
      <c r="CW160" s="16" t="s">
        <v>289</v>
      </c>
      <c r="CX160" s="16" t="s">
        <v>83</v>
      </c>
    </row>
    <row r="161" spans="2:120" s="1" customFormat="1" ht="14.45" customHeight="1" x14ac:dyDescent="0.2">
      <c r="B161" s="124"/>
      <c r="C161" s="125" t="s">
        <v>335</v>
      </c>
      <c r="D161" s="125" t="s">
        <v>284</v>
      </c>
      <c r="E161" s="126" t="s">
        <v>342</v>
      </c>
      <c r="F161" s="127" t="s">
        <v>343</v>
      </c>
      <c r="G161" s="128" t="s">
        <v>344</v>
      </c>
      <c r="H161" s="129">
        <v>3.15</v>
      </c>
      <c r="I161" s="130">
        <v>235.02024596209694</v>
      </c>
      <c r="J161" s="131">
        <f>ROUND(I161*H161,2)</f>
        <v>740.31</v>
      </c>
      <c r="K161" s="127" t="s">
        <v>293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3.15</v>
      </c>
      <c r="Q161" s="287">
        <f>ROUND(P161*I161,2)</f>
        <v>740.31</v>
      </c>
      <c r="R161" s="137"/>
      <c r="S161" s="269">
        <f>W161+Y161+AA161+AC161+AE161+AG161+AI161+AK161+AM161</f>
        <v>0</v>
      </c>
      <c r="T161" s="269">
        <f>ROUND(S161*I161,2)</f>
        <v>0</v>
      </c>
      <c r="U161" s="269">
        <f>H161-S161</f>
        <v>3.15</v>
      </c>
      <c r="V161" s="269">
        <f>ROUND(U161*I161,2)</f>
        <v>740.31</v>
      </c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BP161" s="132" t="s">
        <v>1</v>
      </c>
      <c r="BQ161" s="133" t="s">
        <v>40</v>
      </c>
      <c r="BS161" s="134">
        <f>BR161*H161</f>
        <v>0</v>
      </c>
      <c r="BT161" s="134">
        <v>3.6900000000000002E-2</v>
      </c>
      <c r="BU161" s="134">
        <f>BT161*H161</f>
        <v>0.116235</v>
      </c>
      <c r="BV161" s="134">
        <v>0</v>
      </c>
      <c r="BW161" s="135">
        <f>BV161*H161</f>
        <v>0</v>
      </c>
      <c r="CU161" s="136" t="s">
        <v>95</v>
      </c>
      <c r="CW161" s="136" t="s">
        <v>284</v>
      </c>
      <c r="CX161" s="136" t="s">
        <v>83</v>
      </c>
      <c r="DB161" s="16" t="s">
        <v>282</v>
      </c>
      <c r="DH161" s="137">
        <f>IF(BQ161="základní",J161,0)</f>
        <v>740.31</v>
      </c>
      <c r="DI161" s="137">
        <f>IF(BQ161="snížená",J161,0)</f>
        <v>0</v>
      </c>
      <c r="DJ161" s="137">
        <f>IF(BQ161="zákl. přenesená",J161,0)</f>
        <v>0</v>
      </c>
      <c r="DK161" s="137">
        <f>IF(BQ161="sníž. přenesená",J161,0)</f>
        <v>0</v>
      </c>
      <c r="DL161" s="137">
        <f>IF(BQ161="nulová",J161,0)</f>
        <v>0</v>
      </c>
      <c r="DM161" s="16" t="s">
        <v>81</v>
      </c>
      <c r="DN161" s="137">
        <f>ROUND(I161*H161,2)</f>
        <v>740.31</v>
      </c>
      <c r="DO161" s="16" t="s">
        <v>95</v>
      </c>
      <c r="DP161" s="136" t="s">
        <v>345</v>
      </c>
    </row>
    <row r="162" spans="2:120" s="1" customFormat="1" ht="58.5" x14ac:dyDescent="0.2">
      <c r="B162" s="31"/>
      <c r="D162" s="138" t="s">
        <v>289</v>
      </c>
      <c r="F162" s="139" t="s">
        <v>346</v>
      </c>
      <c r="I162" s="140"/>
      <c r="L162" s="31"/>
      <c r="N162" s="213"/>
      <c r="O162" s="214"/>
      <c r="Q162" s="229"/>
      <c r="BP162" s="141"/>
      <c r="BW162" s="50"/>
      <c r="CW162" s="16" t="s">
        <v>289</v>
      </c>
      <c r="CX162" s="16" t="s">
        <v>83</v>
      </c>
    </row>
    <row r="163" spans="2:120" s="1" customFormat="1" ht="29.25" x14ac:dyDescent="0.2">
      <c r="B163" s="31"/>
      <c r="D163" s="138" t="s">
        <v>299</v>
      </c>
      <c r="F163" s="142" t="s">
        <v>733</v>
      </c>
      <c r="I163" s="140"/>
      <c r="L163" s="31"/>
      <c r="N163" s="213"/>
      <c r="O163" s="214"/>
      <c r="Q163" s="229"/>
      <c r="BP163" s="141"/>
      <c r="BW163" s="50"/>
      <c r="CW163" s="16" t="s">
        <v>299</v>
      </c>
      <c r="CX163" s="16" t="s">
        <v>83</v>
      </c>
    </row>
    <row r="164" spans="2:120" s="12" customFormat="1" x14ac:dyDescent="0.2">
      <c r="B164" s="149"/>
      <c r="D164" s="138" t="s">
        <v>301</v>
      </c>
      <c r="E164" s="150" t="s">
        <v>1</v>
      </c>
      <c r="F164" s="151" t="s">
        <v>739</v>
      </c>
      <c r="H164" s="152">
        <v>3.15</v>
      </c>
      <c r="I164" s="153"/>
      <c r="L164" s="149"/>
      <c r="N164" s="217"/>
      <c r="O164" s="218"/>
      <c r="Q164" s="231"/>
      <c r="BP164" s="154"/>
      <c r="BW164" s="155"/>
      <c r="CW164" s="150" t="s">
        <v>301</v>
      </c>
      <c r="CX164" s="150" t="s">
        <v>83</v>
      </c>
      <c r="CY164" s="12" t="s">
        <v>83</v>
      </c>
      <c r="CZ164" s="12" t="s">
        <v>32</v>
      </c>
      <c r="DA164" s="12" t="s">
        <v>81</v>
      </c>
      <c r="DB164" s="150" t="s">
        <v>282</v>
      </c>
    </row>
    <row r="165" spans="2:120" s="1" customFormat="1" ht="24.2" customHeight="1" x14ac:dyDescent="0.2">
      <c r="B165" s="124"/>
      <c r="C165" s="125" t="s">
        <v>341</v>
      </c>
      <c r="D165" s="125" t="s">
        <v>284</v>
      </c>
      <c r="E165" s="126" t="s">
        <v>349</v>
      </c>
      <c r="F165" s="127" t="s">
        <v>350</v>
      </c>
      <c r="G165" s="128" t="s">
        <v>344</v>
      </c>
      <c r="H165" s="129">
        <v>2.1</v>
      </c>
      <c r="I165" s="130">
        <v>225.71950862012659</v>
      </c>
      <c r="J165" s="131">
        <f>ROUND(I165*H165,2)</f>
        <v>474.01</v>
      </c>
      <c r="K165" s="127" t="s">
        <v>293</v>
      </c>
      <c r="L165" s="268">
        <f>S165</f>
        <v>0</v>
      </c>
      <c r="M165" s="272">
        <f>ROUND(L165*I165,2)</f>
        <v>0</v>
      </c>
      <c r="N165" s="243"/>
      <c r="O165" s="294">
        <f>ROUND(N165*I165,2)</f>
        <v>0</v>
      </c>
      <c r="P165" s="273">
        <f>H165-L165-N165</f>
        <v>2.1</v>
      </c>
      <c r="Q165" s="287">
        <f>ROUND(P165*I165,2)</f>
        <v>474.01</v>
      </c>
      <c r="R165" s="137"/>
      <c r="S165" s="269">
        <f>W165+Y165+AA165+AC165+AE165+AG165+AI165+AK165+AM165</f>
        <v>0</v>
      </c>
      <c r="T165" s="269">
        <f>ROUND(S165*I165,2)</f>
        <v>0</v>
      </c>
      <c r="U165" s="269">
        <f>H165-S165</f>
        <v>2.1</v>
      </c>
      <c r="V165" s="269">
        <f>ROUND(U165*I165,2)</f>
        <v>474.01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BP165" s="132" t="s">
        <v>1</v>
      </c>
      <c r="BQ165" s="133" t="s">
        <v>40</v>
      </c>
      <c r="BS165" s="134">
        <f>BR165*H165</f>
        <v>0</v>
      </c>
      <c r="BT165" s="134">
        <v>3.6900000000000002E-2</v>
      </c>
      <c r="BU165" s="134">
        <f>BT165*H165</f>
        <v>7.7490000000000003E-2</v>
      </c>
      <c r="BV165" s="134">
        <v>0</v>
      </c>
      <c r="BW165" s="135">
        <f>BV165*H165</f>
        <v>0</v>
      </c>
      <c r="CU165" s="136" t="s">
        <v>95</v>
      </c>
      <c r="CW165" s="136" t="s">
        <v>284</v>
      </c>
      <c r="CX165" s="136" t="s">
        <v>83</v>
      </c>
      <c r="DB165" s="16" t="s">
        <v>282</v>
      </c>
      <c r="DH165" s="137">
        <f>IF(BQ165="základní",J165,0)</f>
        <v>474.01</v>
      </c>
      <c r="DI165" s="137">
        <f>IF(BQ165="snížená",J165,0)</f>
        <v>0</v>
      </c>
      <c r="DJ165" s="137">
        <f>IF(BQ165="zákl. přenesená",J165,0)</f>
        <v>0</v>
      </c>
      <c r="DK165" s="137">
        <f>IF(BQ165="sníž. přenesená",J165,0)</f>
        <v>0</v>
      </c>
      <c r="DL165" s="137">
        <f>IF(BQ165="nulová",J165,0)</f>
        <v>0</v>
      </c>
      <c r="DM165" s="16" t="s">
        <v>81</v>
      </c>
      <c r="DN165" s="137">
        <f>ROUND(I165*H165,2)</f>
        <v>474.01</v>
      </c>
      <c r="DO165" s="16" t="s">
        <v>95</v>
      </c>
      <c r="DP165" s="136" t="s">
        <v>351</v>
      </c>
    </row>
    <row r="166" spans="2:120" s="1" customFormat="1" ht="58.5" x14ac:dyDescent="0.2">
      <c r="B166" s="31"/>
      <c r="D166" s="138" t="s">
        <v>289</v>
      </c>
      <c r="F166" s="139" t="s">
        <v>352</v>
      </c>
      <c r="I166" s="140"/>
      <c r="L166" s="31"/>
      <c r="N166" s="213"/>
      <c r="O166" s="214"/>
      <c r="Q166" s="229"/>
      <c r="BP166" s="141"/>
      <c r="BW166" s="50"/>
      <c r="CW166" s="16" t="s">
        <v>289</v>
      </c>
      <c r="CX166" s="16" t="s">
        <v>83</v>
      </c>
    </row>
    <row r="167" spans="2:120" s="1" customFormat="1" ht="29.25" x14ac:dyDescent="0.2">
      <c r="B167" s="31"/>
      <c r="D167" s="138" t="s">
        <v>299</v>
      </c>
      <c r="F167" s="142" t="s">
        <v>733</v>
      </c>
      <c r="I167" s="140"/>
      <c r="L167" s="31"/>
      <c r="N167" s="213"/>
      <c r="O167" s="214"/>
      <c r="Q167" s="229"/>
      <c r="BP167" s="141"/>
      <c r="BW167" s="50"/>
      <c r="CW167" s="16" t="s">
        <v>299</v>
      </c>
      <c r="CX167" s="16" t="s">
        <v>83</v>
      </c>
    </row>
    <row r="168" spans="2:120" s="12" customFormat="1" x14ac:dyDescent="0.2">
      <c r="B168" s="149"/>
      <c r="D168" s="138" t="s">
        <v>301</v>
      </c>
      <c r="E168" s="150" t="s">
        <v>1</v>
      </c>
      <c r="F168" s="151" t="s">
        <v>740</v>
      </c>
      <c r="H168" s="152">
        <v>2.1</v>
      </c>
      <c r="I168" s="153"/>
      <c r="L168" s="149"/>
      <c r="N168" s="217"/>
      <c r="O168" s="218"/>
      <c r="Q168" s="231"/>
      <c r="BP168" s="154"/>
      <c r="BW168" s="155"/>
      <c r="CW168" s="150" t="s">
        <v>301</v>
      </c>
      <c r="CX168" s="150" t="s">
        <v>83</v>
      </c>
      <c r="CY168" s="12" t="s">
        <v>83</v>
      </c>
      <c r="CZ168" s="12" t="s">
        <v>32</v>
      </c>
      <c r="DA168" s="12" t="s">
        <v>81</v>
      </c>
      <c r="DB168" s="150" t="s">
        <v>282</v>
      </c>
    </row>
    <row r="169" spans="2:120" s="1" customFormat="1" ht="24.2" customHeight="1" x14ac:dyDescent="0.2">
      <c r="B169" s="124"/>
      <c r="C169" s="125" t="s">
        <v>348</v>
      </c>
      <c r="D169" s="125" t="s">
        <v>284</v>
      </c>
      <c r="E169" s="126" t="s">
        <v>364</v>
      </c>
      <c r="F169" s="127" t="s">
        <v>365</v>
      </c>
      <c r="G169" s="128" t="s">
        <v>366</v>
      </c>
      <c r="H169" s="129">
        <v>109.005</v>
      </c>
      <c r="I169" s="130">
        <v>285.201942457955</v>
      </c>
      <c r="J169" s="131">
        <f>ROUND(I169*H169,2)</f>
        <v>31088.44</v>
      </c>
      <c r="K169" s="127" t="s">
        <v>293</v>
      </c>
      <c r="L169" s="268">
        <f>S169</f>
        <v>0</v>
      </c>
      <c r="M169" s="272">
        <f>ROUND(L169*I169,2)</f>
        <v>0</v>
      </c>
      <c r="N169" s="243">
        <f>N178</f>
        <v>1.2056500000000057</v>
      </c>
      <c r="O169" s="294">
        <f>ROUND(N169*I169,2)</f>
        <v>343.85</v>
      </c>
      <c r="P169" s="273">
        <f>H169-L169-N169</f>
        <v>107.79934999999999</v>
      </c>
      <c r="Q169" s="287">
        <f>ROUND(P169*I169,2)</f>
        <v>30744.58</v>
      </c>
      <c r="R169" s="137"/>
      <c r="S169" s="269">
        <f>W169+Y169+AA169+AC169+AE169+AG169+AI169+AK169+AM169</f>
        <v>0</v>
      </c>
      <c r="T169" s="269">
        <f>ROUND(S169*I169,2)</f>
        <v>0</v>
      </c>
      <c r="U169" s="269">
        <f>H169-S169</f>
        <v>109.005</v>
      </c>
      <c r="V169" s="269">
        <f>ROUND(U169*I169,2)</f>
        <v>31088.44</v>
      </c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BP169" s="132" t="s">
        <v>1</v>
      </c>
      <c r="BQ169" s="133" t="s">
        <v>40</v>
      </c>
      <c r="BS169" s="134">
        <f>BR169*H169</f>
        <v>0</v>
      </c>
      <c r="BT169" s="134">
        <v>0</v>
      </c>
      <c r="BU169" s="134">
        <f>BT169*H169</f>
        <v>0</v>
      </c>
      <c r="BV169" s="134">
        <v>0</v>
      </c>
      <c r="BW169" s="135">
        <f>BV169*H169</f>
        <v>0</v>
      </c>
      <c r="CU169" s="136" t="s">
        <v>95</v>
      </c>
      <c r="CW169" s="136" t="s">
        <v>284</v>
      </c>
      <c r="CX169" s="136" t="s">
        <v>83</v>
      </c>
      <c r="DB169" s="16" t="s">
        <v>282</v>
      </c>
      <c r="DH169" s="137">
        <f>IF(BQ169="základní",J169,0)</f>
        <v>31088.44</v>
      </c>
      <c r="DI169" s="137">
        <f>IF(BQ169="snížená",J169,0)</f>
        <v>0</v>
      </c>
      <c r="DJ169" s="137">
        <f>IF(BQ169="zákl. přenesená",J169,0)</f>
        <v>0</v>
      </c>
      <c r="DK169" s="137">
        <f>IF(BQ169="sníž. přenesená",J169,0)</f>
        <v>0</v>
      </c>
      <c r="DL169" s="137">
        <f>IF(BQ169="nulová",J169,0)</f>
        <v>0</v>
      </c>
      <c r="DM169" s="16" t="s">
        <v>81</v>
      </c>
      <c r="DN169" s="137">
        <f>ROUND(I169*H169,2)</f>
        <v>31088.44</v>
      </c>
      <c r="DO169" s="16" t="s">
        <v>95</v>
      </c>
      <c r="DP169" s="136" t="s">
        <v>367</v>
      </c>
    </row>
    <row r="170" spans="2:120" s="1" customFormat="1" ht="39" x14ac:dyDescent="0.2">
      <c r="B170" s="31"/>
      <c r="D170" s="138" t="s">
        <v>289</v>
      </c>
      <c r="F170" s="139" t="s">
        <v>368</v>
      </c>
      <c r="I170" s="140"/>
      <c r="L170" s="31"/>
      <c r="N170" s="213"/>
      <c r="O170" s="214"/>
      <c r="Q170" s="229"/>
      <c r="BP170" s="141"/>
      <c r="BW170" s="50"/>
      <c r="CW170" s="16" t="s">
        <v>289</v>
      </c>
      <c r="CX170" s="16" t="s">
        <v>83</v>
      </c>
    </row>
    <row r="171" spans="2:120" s="1" customFormat="1" ht="39" x14ac:dyDescent="0.2">
      <c r="B171" s="31"/>
      <c r="D171" s="138" t="s">
        <v>299</v>
      </c>
      <c r="F171" s="142" t="s">
        <v>741</v>
      </c>
      <c r="I171" s="140"/>
      <c r="L171" s="31"/>
      <c r="N171" s="213"/>
      <c r="O171" s="214"/>
      <c r="Q171" s="229"/>
      <c r="BP171" s="141"/>
      <c r="BW171" s="50"/>
      <c r="CW171" s="16" t="s">
        <v>299</v>
      </c>
      <c r="CX171" s="16" t="s">
        <v>83</v>
      </c>
    </row>
    <row r="172" spans="2:120" s="11" customFormat="1" ht="22.5" x14ac:dyDescent="0.2">
      <c r="B172" s="143"/>
      <c r="D172" s="138" t="s">
        <v>301</v>
      </c>
      <c r="E172" s="144" t="s">
        <v>1</v>
      </c>
      <c r="F172" s="145" t="s">
        <v>370</v>
      </c>
      <c r="H172" s="144" t="s">
        <v>1</v>
      </c>
      <c r="I172" s="146"/>
      <c r="L172" s="143"/>
      <c r="N172" s="215"/>
      <c r="O172" s="216"/>
      <c r="Q172" s="230"/>
      <c r="BP172" s="147"/>
      <c r="BW172" s="148"/>
      <c r="CW172" s="144" t="s">
        <v>301</v>
      </c>
      <c r="CX172" s="144" t="s">
        <v>83</v>
      </c>
      <c r="CY172" s="11" t="s">
        <v>81</v>
      </c>
      <c r="CZ172" s="11" t="s">
        <v>32</v>
      </c>
      <c r="DA172" s="11" t="s">
        <v>74</v>
      </c>
      <c r="DB172" s="144" t="s">
        <v>282</v>
      </c>
    </row>
    <row r="173" spans="2:120" s="12" customFormat="1" x14ac:dyDescent="0.2">
      <c r="B173" s="149"/>
      <c r="D173" s="138" t="s">
        <v>301</v>
      </c>
      <c r="E173" s="150" t="s">
        <v>1</v>
      </c>
      <c r="F173" s="151" t="s">
        <v>742</v>
      </c>
      <c r="H173" s="152">
        <v>4.3</v>
      </c>
      <c r="I173" s="153"/>
      <c r="L173" s="149"/>
      <c r="N173" s="217">
        <f>4.76*1*(2.6-0.45)</f>
        <v>10.234</v>
      </c>
      <c r="O173" s="218" t="s">
        <v>3364</v>
      </c>
      <c r="Q173" s="231"/>
      <c r="BP173" s="154"/>
      <c r="BW173" s="155"/>
      <c r="CW173" s="150" t="s">
        <v>301</v>
      </c>
      <c r="CX173" s="150" t="s">
        <v>83</v>
      </c>
      <c r="CY173" s="12" t="s">
        <v>83</v>
      </c>
      <c r="CZ173" s="12" t="s">
        <v>32</v>
      </c>
      <c r="DA173" s="12" t="s">
        <v>74</v>
      </c>
      <c r="DB173" s="150" t="s">
        <v>282</v>
      </c>
    </row>
    <row r="174" spans="2:120" s="12" customFormat="1" x14ac:dyDescent="0.2">
      <c r="B174" s="149"/>
      <c r="D174" s="138" t="s">
        <v>301</v>
      </c>
      <c r="E174" s="150" t="s">
        <v>1</v>
      </c>
      <c r="F174" s="151" t="s">
        <v>743</v>
      </c>
      <c r="H174" s="152">
        <v>180.6</v>
      </c>
      <c r="I174" s="153"/>
      <c r="L174" s="149"/>
      <c r="N174" s="310">
        <f>78.44*1.05*(2.6-0.45)</f>
        <v>177.07829999999998</v>
      </c>
      <c r="O174" s="218" t="s">
        <v>3365</v>
      </c>
      <c r="Q174" s="231"/>
      <c r="BP174" s="154"/>
      <c r="BW174" s="155"/>
      <c r="CW174" s="150" t="s">
        <v>301</v>
      </c>
      <c r="CX174" s="150" t="s">
        <v>83</v>
      </c>
      <c r="CY174" s="12" t="s">
        <v>83</v>
      </c>
      <c r="CZ174" s="12" t="s">
        <v>32</v>
      </c>
      <c r="DA174" s="12" t="s">
        <v>74</v>
      </c>
      <c r="DB174" s="150" t="s">
        <v>282</v>
      </c>
    </row>
    <row r="175" spans="2:120" s="12" customFormat="1" ht="22.5" x14ac:dyDescent="0.2">
      <c r="B175" s="149"/>
      <c r="D175" s="138" t="s">
        <v>301</v>
      </c>
      <c r="E175" s="150" t="s">
        <v>1</v>
      </c>
      <c r="F175" s="151" t="s">
        <v>744</v>
      </c>
      <c r="H175" s="152">
        <v>33.109000000000002</v>
      </c>
      <c r="I175" s="153"/>
      <c r="L175" s="149"/>
      <c r="N175" s="310">
        <v>33.109000000000002</v>
      </c>
      <c r="O175" s="218"/>
      <c r="Q175" s="231"/>
      <c r="BP175" s="154"/>
      <c r="BW175" s="155"/>
      <c r="CW175" s="150" t="s">
        <v>301</v>
      </c>
      <c r="CX175" s="150" t="s">
        <v>83</v>
      </c>
      <c r="CY175" s="12" t="s">
        <v>83</v>
      </c>
      <c r="CZ175" s="12" t="s">
        <v>32</v>
      </c>
      <c r="DA175" s="12" t="s">
        <v>74</v>
      </c>
      <c r="DB175" s="150" t="s">
        <v>282</v>
      </c>
    </row>
    <row r="176" spans="2:120" s="14" customFormat="1" x14ac:dyDescent="0.2">
      <c r="B176" s="163"/>
      <c r="D176" s="138" t="s">
        <v>301</v>
      </c>
      <c r="E176" s="164" t="s">
        <v>1</v>
      </c>
      <c r="F176" s="165" t="s">
        <v>373</v>
      </c>
      <c r="H176" s="166">
        <v>218.00900000000001</v>
      </c>
      <c r="I176" s="167"/>
      <c r="L176" s="163"/>
      <c r="N176" s="318">
        <f>N173+N174+N175</f>
        <v>220.4213</v>
      </c>
      <c r="O176" s="222"/>
      <c r="Q176" s="233"/>
      <c r="BP176" s="168"/>
      <c r="BW176" s="169"/>
      <c r="CW176" s="164" t="s">
        <v>301</v>
      </c>
      <c r="CX176" s="164" t="s">
        <v>83</v>
      </c>
      <c r="CY176" s="14" t="s">
        <v>90</v>
      </c>
      <c r="CZ176" s="14" t="s">
        <v>32</v>
      </c>
      <c r="DA176" s="14" t="s">
        <v>74</v>
      </c>
      <c r="DB176" s="164" t="s">
        <v>282</v>
      </c>
    </row>
    <row r="177" spans="2:120" s="12" customFormat="1" x14ac:dyDescent="0.2">
      <c r="B177" s="149"/>
      <c r="D177" s="138" t="s">
        <v>301</v>
      </c>
      <c r="E177" s="150" t="s">
        <v>1</v>
      </c>
      <c r="F177" s="151" t="s">
        <v>745</v>
      </c>
      <c r="H177" s="152">
        <v>109.005</v>
      </c>
      <c r="I177" s="153"/>
      <c r="L177" s="149"/>
      <c r="N177" s="310">
        <f>N176*0.5</f>
        <v>110.21065</v>
      </c>
      <c r="O177" s="218"/>
      <c r="Q177" s="231"/>
      <c r="BP177" s="154"/>
      <c r="BW177" s="155"/>
      <c r="CW177" s="150" t="s">
        <v>301</v>
      </c>
      <c r="CX177" s="150" t="s">
        <v>83</v>
      </c>
      <c r="CY177" s="12" t="s">
        <v>83</v>
      </c>
      <c r="CZ177" s="12" t="s">
        <v>32</v>
      </c>
      <c r="DA177" s="12" t="s">
        <v>81</v>
      </c>
      <c r="DB177" s="150" t="s">
        <v>282</v>
      </c>
    </row>
    <row r="178" spans="2:120" s="12" customFormat="1" x14ac:dyDescent="0.2">
      <c r="B178" s="149"/>
      <c r="D178" s="138"/>
      <c r="E178" s="150"/>
      <c r="F178" s="151"/>
      <c r="H178" s="152"/>
      <c r="I178" s="153"/>
      <c r="L178" s="149"/>
      <c r="N178" s="310">
        <f>N177-H169</f>
        <v>1.2056500000000057</v>
      </c>
      <c r="O178" s="218"/>
      <c r="Q178" s="231"/>
      <c r="BP178" s="154"/>
      <c r="BW178" s="155"/>
      <c r="CW178" s="150"/>
      <c r="CX178" s="150"/>
      <c r="DB178" s="150"/>
    </row>
    <row r="179" spans="2:120" s="1" customFormat="1" ht="24.2" customHeight="1" x14ac:dyDescent="0.2">
      <c r="B179" s="124"/>
      <c r="C179" s="125" t="s">
        <v>327</v>
      </c>
      <c r="D179" s="125" t="s">
        <v>284</v>
      </c>
      <c r="E179" s="126" t="s">
        <v>375</v>
      </c>
      <c r="F179" s="127" t="s">
        <v>376</v>
      </c>
      <c r="G179" s="128" t="s">
        <v>366</v>
      </c>
      <c r="H179" s="129">
        <v>109.005</v>
      </c>
      <c r="I179" s="130">
        <v>390.55963566140201</v>
      </c>
      <c r="J179" s="131">
        <f>ROUND(I179*H179,2)</f>
        <v>42572.95</v>
      </c>
      <c r="K179" s="127" t="s">
        <v>293</v>
      </c>
      <c r="L179" s="268">
        <f>S179</f>
        <v>0</v>
      </c>
      <c r="M179" s="272">
        <f>ROUND(L179*I179,2)</f>
        <v>0</v>
      </c>
      <c r="N179" s="243">
        <f>N178</f>
        <v>1.2056500000000057</v>
      </c>
      <c r="O179" s="294">
        <f>ROUND(N179*I179,2)</f>
        <v>470.88</v>
      </c>
      <c r="P179" s="273">
        <f>H179-L179-N179</f>
        <v>107.79934999999999</v>
      </c>
      <c r="Q179" s="287">
        <f>ROUND(P179*I179,2)</f>
        <v>42102.07</v>
      </c>
      <c r="R179" s="137"/>
      <c r="S179" s="269">
        <f>W179+Y179+AA179+AC179+AE179+AG179+AI179+AK179+AM179</f>
        <v>0</v>
      </c>
      <c r="T179" s="269">
        <f>ROUND(S179*I179,2)</f>
        <v>0</v>
      </c>
      <c r="U179" s="269">
        <f>H179-S179</f>
        <v>109.005</v>
      </c>
      <c r="V179" s="269">
        <f>ROUND(U179*I179,2)</f>
        <v>42572.95</v>
      </c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BP179" s="132" t="s">
        <v>1</v>
      </c>
      <c r="BQ179" s="133" t="s">
        <v>40</v>
      </c>
      <c r="BS179" s="134">
        <f>BR179*H179</f>
        <v>0</v>
      </c>
      <c r="BT179" s="134">
        <v>0</v>
      </c>
      <c r="BU179" s="134">
        <f>BT179*H179</f>
        <v>0</v>
      </c>
      <c r="BV179" s="134">
        <v>0</v>
      </c>
      <c r="BW179" s="135">
        <f>BV179*H179</f>
        <v>0</v>
      </c>
      <c r="CU179" s="136" t="s">
        <v>95</v>
      </c>
      <c r="CW179" s="136" t="s">
        <v>284</v>
      </c>
      <c r="CX179" s="136" t="s">
        <v>83</v>
      </c>
      <c r="DB179" s="16" t="s">
        <v>282</v>
      </c>
      <c r="DH179" s="137">
        <f>IF(BQ179="základní",J179,0)</f>
        <v>42572.95</v>
      </c>
      <c r="DI179" s="137">
        <f>IF(BQ179="snížená",J179,0)</f>
        <v>0</v>
      </c>
      <c r="DJ179" s="137">
        <f>IF(BQ179="zákl. přenesená",J179,0)</f>
        <v>0</v>
      </c>
      <c r="DK179" s="137">
        <f>IF(BQ179="sníž. přenesená",J179,0)</f>
        <v>0</v>
      </c>
      <c r="DL179" s="137">
        <f>IF(BQ179="nulová",J179,0)</f>
        <v>0</v>
      </c>
      <c r="DM179" s="16" t="s">
        <v>81</v>
      </c>
      <c r="DN179" s="137">
        <f>ROUND(I179*H179,2)</f>
        <v>42572.95</v>
      </c>
      <c r="DO179" s="16" t="s">
        <v>95</v>
      </c>
      <c r="DP179" s="136" t="s">
        <v>377</v>
      </c>
    </row>
    <row r="180" spans="2:120" s="1" customFormat="1" ht="39" x14ac:dyDescent="0.2">
      <c r="B180" s="31"/>
      <c r="D180" s="138" t="s">
        <v>289</v>
      </c>
      <c r="F180" s="139" t="s">
        <v>378</v>
      </c>
      <c r="I180" s="140"/>
      <c r="L180" s="31"/>
      <c r="N180" s="213"/>
      <c r="O180" s="214"/>
      <c r="Q180" s="229"/>
      <c r="BP180" s="141"/>
      <c r="BW180" s="50"/>
      <c r="CW180" s="16" t="s">
        <v>289</v>
      </c>
      <c r="CX180" s="16" t="s">
        <v>83</v>
      </c>
    </row>
    <row r="181" spans="2:120" s="1" customFormat="1" ht="39" x14ac:dyDescent="0.2">
      <c r="B181" s="31"/>
      <c r="D181" s="138" t="s">
        <v>299</v>
      </c>
      <c r="F181" s="142" t="s">
        <v>741</v>
      </c>
      <c r="I181" s="140"/>
      <c r="L181" s="31"/>
      <c r="N181" s="213"/>
      <c r="O181" s="214"/>
      <c r="Q181" s="229"/>
      <c r="BP181" s="141"/>
      <c r="BW181" s="50"/>
      <c r="CW181" s="16" t="s">
        <v>299</v>
      </c>
      <c r="CX181" s="16" t="s">
        <v>83</v>
      </c>
    </row>
    <row r="182" spans="2:120" s="1" customFormat="1" ht="24.2" customHeight="1" x14ac:dyDescent="0.2">
      <c r="B182" s="124"/>
      <c r="C182" s="125" t="s">
        <v>359</v>
      </c>
      <c r="D182" s="125" t="s">
        <v>284</v>
      </c>
      <c r="E182" s="126" t="s">
        <v>380</v>
      </c>
      <c r="F182" s="127" t="s">
        <v>381</v>
      </c>
      <c r="G182" s="128" t="s">
        <v>366</v>
      </c>
      <c r="H182" s="129">
        <v>43.601999999999997</v>
      </c>
      <c r="I182" s="130">
        <v>650.27058629099099</v>
      </c>
      <c r="J182" s="131">
        <f>ROUND(I182*H182,2)</f>
        <v>28353.1</v>
      </c>
      <c r="K182" s="127" t="s">
        <v>293</v>
      </c>
      <c r="L182" s="268">
        <f>S182</f>
        <v>0</v>
      </c>
      <c r="M182" s="272">
        <f>ROUND(L182*I182,2)</f>
        <v>0</v>
      </c>
      <c r="N182" s="243">
        <f>N185</f>
        <v>0.4822600000000023</v>
      </c>
      <c r="O182" s="294">
        <f>ROUND(N182*I182,2)</f>
        <v>313.60000000000002</v>
      </c>
      <c r="P182" s="273">
        <f>H182-L182-N182</f>
        <v>43.119739999999993</v>
      </c>
      <c r="Q182" s="287">
        <f>ROUND(P182*I182,2)</f>
        <v>28039.5</v>
      </c>
      <c r="R182" s="137"/>
      <c r="S182" s="269">
        <f>W182+Y182+AA182+AC182+AE182+AG182+AI182+AK182+AM182</f>
        <v>0</v>
      </c>
      <c r="T182" s="269">
        <f>ROUND(S182*I182,2)</f>
        <v>0</v>
      </c>
      <c r="U182" s="269">
        <f>H182-S182</f>
        <v>43.601999999999997</v>
      </c>
      <c r="V182" s="269">
        <f>ROUND(U182*I182,2)</f>
        <v>28353.1</v>
      </c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BP182" s="132" t="s">
        <v>1</v>
      </c>
      <c r="BQ182" s="133" t="s">
        <v>40</v>
      </c>
      <c r="BS182" s="134">
        <f>BR182*H182</f>
        <v>0</v>
      </c>
      <c r="BT182" s="134">
        <v>0</v>
      </c>
      <c r="BU182" s="134">
        <f>BT182*H182</f>
        <v>0</v>
      </c>
      <c r="BV182" s="134">
        <v>0</v>
      </c>
      <c r="BW182" s="135">
        <f>BV182*H182</f>
        <v>0</v>
      </c>
      <c r="CU182" s="136" t="s">
        <v>95</v>
      </c>
      <c r="CW182" s="136" t="s">
        <v>284</v>
      </c>
      <c r="CX182" s="136" t="s">
        <v>83</v>
      </c>
      <c r="DB182" s="16" t="s">
        <v>282</v>
      </c>
      <c r="DH182" s="137">
        <f>IF(BQ182="základní",J182,0)</f>
        <v>28353.1</v>
      </c>
      <c r="DI182" s="137">
        <f>IF(BQ182="snížená",J182,0)</f>
        <v>0</v>
      </c>
      <c r="DJ182" s="137">
        <f>IF(BQ182="zákl. přenesená",J182,0)</f>
        <v>0</v>
      </c>
      <c r="DK182" s="137">
        <f>IF(BQ182="sníž. přenesená",J182,0)</f>
        <v>0</v>
      </c>
      <c r="DL182" s="137">
        <f>IF(BQ182="nulová",J182,0)</f>
        <v>0</v>
      </c>
      <c r="DM182" s="16" t="s">
        <v>81</v>
      </c>
      <c r="DN182" s="137">
        <f>ROUND(I182*H182,2)</f>
        <v>28353.1</v>
      </c>
      <c r="DO182" s="16" t="s">
        <v>95</v>
      </c>
      <c r="DP182" s="136" t="s">
        <v>382</v>
      </c>
    </row>
    <row r="183" spans="2:120" s="1" customFormat="1" ht="29.25" x14ac:dyDescent="0.2">
      <c r="B183" s="31"/>
      <c r="D183" s="138" t="s">
        <v>289</v>
      </c>
      <c r="F183" s="139" t="s">
        <v>383</v>
      </c>
      <c r="I183" s="140"/>
      <c r="L183" s="31"/>
      <c r="N183" s="213"/>
      <c r="O183" s="214"/>
      <c r="Q183" s="229"/>
      <c r="BP183" s="141"/>
      <c r="BW183" s="50"/>
      <c r="CW183" s="16" t="s">
        <v>289</v>
      </c>
      <c r="CX183" s="16" t="s">
        <v>83</v>
      </c>
    </row>
    <row r="184" spans="2:120" s="11" customFormat="1" x14ac:dyDescent="0.2">
      <c r="B184" s="143"/>
      <c r="D184" s="138" t="s">
        <v>301</v>
      </c>
      <c r="E184" s="144" t="s">
        <v>1</v>
      </c>
      <c r="F184" s="145" t="s">
        <v>384</v>
      </c>
      <c r="H184" s="144" t="s">
        <v>1</v>
      </c>
      <c r="I184" s="146"/>
      <c r="L184" s="143"/>
      <c r="N184" s="215"/>
      <c r="O184" s="216"/>
      <c r="Q184" s="230"/>
      <c r="BP184" s="147"/>
      <c r="BW184" s="148"/>
      <c r="CW184" s="144" t="s">
        <v>301</v>
      </c>
      <c r="CX184" s="144" t="s">
        <v>83</v>
      </c>
      <c r="CY184" s="11" t="s">
        <v>81</v>
      </c>
      <c r="CZ184" s="11" t="s">
        <v>32</v>
      </c>
      <c r="DA184" s="11" t="s">
        <v>74</v>
      </c>
      <c r="DB184" s="144" t="s">
        <v>282</v>
      </c>
    </row>
    <row r="185" spans="2:120" s="12" customFormat="1" x14ac:dyDescent="0.2">
      <c r="B185" s="149"/>
      <c r="D185" s="138" t="s">
        <v>301</v>
      </c>
      <c r="E185" s="150" t="s">
        <v>1</v>
      </c>
      <c r="F185" s="151" t="s">
        <v>746</v>
      </c>
      <c r="H185" s="152">
        <v>43.601999999999997</v>
      </c>
      <c r="I185" s="153"/>
      <c r="L185" s="149"/>
      <c r="N185" s="217">
        <f>(N179+N169)*0.2</f>
        <v>0.4822600000000023</v>
      </c>
      <c r="O185" s="218"/>
      <c r="Q185" s="231"/>
      <c r="BP185" s="154"/>
      <c r="BW185" s="155"/>
      <c r="CW185" s="150" t="s">
        <v>301</v>
      </c>
      <c r="CX185" s="150" t="s">
        <v>83</v>
      </c>
      <c r="CY185" s="12" t="s">
        <v>83</v>
      </c>
      <c r="CZ185" s="12" t="s">
        <v>32</v>
      </c>
      <c r="DA185" s="12" t="s">
        <v>81</v>
      </c>
      <c r="DB185" s="150" t="s">
        <v>282</v>
      </c>
    </row>
    <row r="186" spans="2:120" s="1" customFormat="1" ht="25.5" customHeight="1" x14ac:dyDescent="0.2">
      <c r="B186" s="124"/>
      <c r="C186" s="125" t="s">
        <v>363</v>
      </c>
      <c r="D186" s="125" t="s">
        <v>284</v>
      </c>
      <c r="E186" s="126" t="s">
        <v>387</v>
      </c>
      <c r="F186" s="127" t="s">
        <v>388</v>
      </c>
      <c r="G186" s="128" t="s">
        <v>287</v>
      </c>
      <c r="H186" s="129">
        <v>426.4</v>
      </c>
      <c r="I186" s="130">
        <v>156.6895922457376</v>
      </c>
      <c r="J186" s="131">
        <f>ROUND(I186*H186,2)</f>
        <v>66812.44</v>
      </c>
      <c r="K186" s="127" t="s">
        <v>293</v>
      </c>
      <c r="L186" s="268">
        <f>S186</f>
        <v>0</v>
      </c>
      <c r="M186" s="272">
        <f>ROUND(L186*I186,2)</f>
        <v>0</v>
      </c>
      <c r="N186" s="243">
        <f>N192</f>
        <v>6.2400000000000091</v>
      </c>
      <c r="O186" s="294">
        <f>ROUND(N186*I186,2)</f>
        <v>977.74</v>
      </c>
      <c r="P186" s="273">
        <f>H186-L186-N186</f>
        <v>420.15999999999997</v>
      </c>
      <c r="Q186" s="287">
        <f>ROUND(P186*I186,2)</f>
        <v>65834.7</v>
      </c>
      <c r="R186" s="137"/>
      <c r="S186" s="269">
        <f>W186+Y186+AA186+AC186+AE186+AG186+AI186+AK186+AM186</f>
        <v>0</v>
      </c>
      <c r="T186" s="269">
        <f>ROUND(S186*I186,2)</f>
        <v>0</v>
      </c>
      <c r="U186" s="269">
        <f>H186-S186</f>
        <v>426.4</v>
      </c>
      <c r="V186" s="269">
        <f>ROUND(U186*I186,2)</f>
        <v>66812.44</v>
      </c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BP186" s="132" t="s">
        <v>1</v>
      </c>
      <c r="BQ186" s="133" t="s">
        <v>40</v>
      </c>
      <c r="BS186" s="134">
        <f>BR186*H186</f>
        <v>0</v>
      </c>
      <c r="BT186" s="134">
        <v>5.9000000000000003E-4</v>
      </c>
      <c r="BU186" s="134">
        <f>BT186*H186</f>
        <v>0.25157600000000002</v>
      </c>
      <c r="BV186" s="134">
        <v>0</v>
      </c>
      <c r="BW186" s="135">
        <f>BV186*H186</f>
        <v>0</v>
      </c>
      <c r="CU186" s="136" t="s">
        <v>95</v>
      </c>
      <c r="CW186" s="136" t="s">
        <v>284</v>
      </c>
      <c r="CX186" s="136" t="s">
        <v>83</v>
      </c>
      <c r="DB186" s="16" t="s">
        <v>282</v>
      </c>
      <c r="DH186" s="137">
        <f>IF(BQ186="základní",J186,0)</f>
        <v>66812.44</v>
      </c>
      <c r="DI186" s="137">
        <f>IF(BQ186="snížená",J186,0)</f>
        <v>0</v>
      </c>
      <c r="DJ186" s="137">
        <f>IF(BQ186="zákl. přenesená",J186,0)</f>
        <v>0</v>
      </c>
      <c r="DK186" s="137">
        <f>IF(BQ186="sníž. přenesená",J186,0)</f>
        <v>0</v>
      </c>
      <c r="DL186" s="137">
        <f>IF(BQ186="nulová",J186,0)</f>
        <v>0</v>
      </c>
      <c r="DM186" s="16" t="s">
        <v>81</v>
      </c>
      <c r="DN186" s="137">
        <f>ROUND(I186*H186,2)</f>
        <v>66812.44</v>
      </c>
      <c r="DO186" s="16" t="s">
        <v>95</v>
      </c>
      <c r="DP186" s="136" t="s">
        <v>389</v>
      </c>
    </row>
    <row r="187" spans="2:120" s="1" customFormat="1" ht="19.5" x14ac:dyDescent="0.2">
      <c r="B187" s="31"/>
      <c r="D187" s="138" t="s">
        <v>289</v>
      </c>
      <c r="F187" s="139" t="s">
        <v>390</v>
      </c>
      <c r="I187" s="140"/>
      <c r="L187" s="31"/>
      <c r="N187" s="213"/>
      <c r="O187" s="214"/>
      <c r="Q187" s="229"/>
      <c r="BP187" s="141"/>
      <c r="BW187" s="50"/>
      <c r="CW187" s="16" t="s">
        <v>289</v>
      </c>
      <c r="CX187" s="16" t="s">
        <v>83</v>
      </c>
    </row>
    <row r="188" spans="2:120" s="1" customFormat="1" ht="19.5" x14ac:dyDescent="0.2">
      <c r="B188" s="31"/>
      <c r="D188" s="138" t="s">
        <v>299</v>
      </c>
      <c r="F188" s="142" t="s">
        <v>317</v>
      </c>
      <c r="I188" s="140"/>
      <c r="L188" s="31"/>
      <c r="N188" s="213"/>
      <c r="O188" s="214"/>
      <c r="Q188" s="229"/>
      <c r="BP188" s="141"/>
      <c r="BW188" s="50"/>
      <c r="CW188" s="16" t="s">
        <v>299</v>
      </c>
      <c r="CX188" s="16" t="s">
        <v>83</v>
      </c>
    </row>
    <row r="189" spans="2:120" s="12" customFormat="1" x14ac:dyDescent="0.2">
      <c r="B189" s="149"/>
      <c r="D189" s="138" t="s">
        <v>301</v>
      </c>
      <c r="E189" s="150" t="s">
        <v>1</v>
      </c>
      <c r="F189" s="151" t="s">
        <v>747</v>
      </c>
      <c r="H189" s="152">
        <v>10.4</v>
      </c>
      <c r="I189" s="153"/>
      <c r="L189" s="149"/>
      <c r="N189" s="217">
        <f>4.76*2.6*2</f>
        <v>24.751999999999999</v>
      </c>
      <c r="O189" s="218" t="s">
        <v>3366</v>
      </c>
      <c r="Q189" s="231"/>
      <c r="BP189" s="154"/>
      <c r="BW189" s="155"/>
      <c r="CW189" s="150" t="s">
        <v>301</v>
      </c>
      <c r="CX189" s="150" t="s">
        <v>83</v>
      </c>
      <c r="CY189" s="12" t="s">
        <v>83</v>
      </c>
      <c r="CZ189" s="12" t="s">
        <v>32</v>
      </c>
      <c r="DA189" s="12" t="s">
        <v>74</v>
      </c>
      <c r="DB189" s="150" t="s">
        <v>282</v>
      </c>
    </row>
    <row r="190" spans="2:120" s="12" customFormat="1" x14ac:dyDescent="0.2">
      <c r="B190" s="149"/>
      <c r="D190" s="138" t="s">
        <v>301</v>
      </c>
      <c r="E190" s="150" t="s">
        <v>1</v>
      </c>
      <c r="F190" s="151" t="s">
        <v>748</v>
      </c>
      <c r="H190" s="152">
        <v>416</v>
      </c>
      <c r="I190" s="153"/>
      <c r="L190" s="149"/>
      <c r="N190" s="217">
        <f>78.44*2.6*2</f>
        <v>407.88799999999998</v>
      </c>
      <c r="O190" s="218" t="s">
        <v>3367</v>
      </c>
      <c r="Q190" s="231"/>
      <c r="BP190" s="154"/>
      <c r="BW190" s="155"/>
      <c r="CW190" s="150" t="s">
        <v>301</v>
      </c>
      <c r="CX190" s="150" t="s">
        <v>83</v>
      </c>
      <c r="CY190" s="12" t="s">
        <v>83</v>
      </c>
      <c r="CZ190" s="12" t="s">
        <v>32</v>
      </c>
      <c r="DA190" s="12" t="s">
        <v>74</v>
      </c>
      <c r="DB190" s="150" t="s">
        <v>282</v>
      </c>
    </row>
    <row r="191" spans="2:120" s="13" customFormat="1" x14ac:dyDescent="0.2">
      <c r="B191" s="156"/>
      <c r="D191" s="138" t="s">
        <v>301</v>
      </c>
      <c r="E191" s="157" t="s">
        <v>1</v>
      </c>
      <c r="F191" s="158" t="s">
        <v>305</v>
      </c>
      <c r="H191" s="159">
        <v>426.4</v>
      </c>
      <c r="I191" s="160"/>
      <c r="L191" s="156"/>
      <c r="N191" s="219">
        <f>N189+N190</f>
        <v>432.64</v>
      </c>
      <c r="O191" s="220"/>
      <c r="Q191" s="232"/>
      <c r="BP191" s="161"/>
      <c r="BW191" s="162"/>
      <c r="CW191" s="157" t="s">
        <v>301</v>
      </c>
      <c r="CX191" s="157" t="s">
        <v>83</v>
      </c>
      <c r="CY191" s="13" t="s">
        <v>95</v>
      </c>
      <c r="CZ191" s="13" t="s">
        <v>32</v>
      </c>
      <c r="DA191" s="13" t="s">
        <v>81</v>
      </c>
      <c r="DB191" s="157" t="s">
        <v>282</v>
      </c>
    </row>
    <row r="192" spans="2:120" s="13" customFormat="1" x14ac:dyDescent="0.2">
      <c r="B192" s="156"/>
      <c r="D192" s="138"/>
      <c r="E192" s="157"/>
      <c r="F192" s="158"/>
      <c r="H192" s="159"/>
      <c r="I192" s="160"/>
      <c r="L192" s="156"/>
      <c r="N192" s="311">
        <f>N191-H186</f>
        <v>6.2400000000000091</v>
      </c>
      <c r="O192" s="220"/>
      <c r="Q192" s="232"/>
      <c r="BP192" s="161"/>
      <c r="BW192" s="162"/>
      <c r="CW192" s="157"/>
      <c r="CX192" s="157"/>
      <c r="DB192" s="157"/>
    </row>
    <row r="193" spans="2:120" s="1" customFormat="1" ht="14.45" customHeight="1" x14ac:dyDescent="0.2">
      <c r="B193" s="124"/>
      <c r="C193" s="125" t="s">
        <v>8</v>
      </c>
      <c r="D193" s="125" t="s">
        <v>284</v>
      </c>
      <c r="E193" s="126" t="s">
        <v>393</v>
      </c>
      <c r="F193" s="127" t="s">
        <v>394</v>
      </c>
      <c r="G193" s="128" t="s">
        <v>287</v>
      </c>
      <c r="H193" s="129">
        <v>426.4</v>
      </c>
      <c r="I193" s="130">
        <v>103.33666316345877</v>
      </c>
      <c r="J193" s="131">
        <f>ROUND(I193*H193,2)</f>
        <v>44062.75</v>
      </c>
      <c r="K193" s="127" t="s">
        <v>293</v>
      </c>
      <c r="L193" s="268">
        <f>S193</f>
        <v>0</v>
      </c>
      <c r="M193" s="272">
        <f>ROUND(L193*I193,2)</f>
        <v>0</v>
      </c>
      <c r="N193" s="243">
        <f>N192</f>
        <v>6.2400000000000091</v>
      </c>
      <c r="O193" s="294">
        <f>ROUND(N193*I193,2)</f>
        <v>644.82000000000005</v>
      </c>
      <c r="P193" s="273">
        <f>H193-L193-N193</f>
        <v>420.15999999999997</v>
      </c>
      <c r="Q193" s="287">
        <f>ROUND(P193*I193,2)</f>
        <v>43417.93</v>
      </c>
      <c r="R193" s="137"/>
      <c r="S193" s="269">
        <f>W193+Y193+AA193+AC193+AE193+AG193+AI193+AK193+AM193</f>
        <v>0</v>
      </c>
      <c r="T193" s="269">
        <f>ROUND(S193*I193,2)</f>
        <v>0</v>
      </c>
      <c r="U193" s="269">
        <f>H193-S193</f>
        <v>426.4</v>
      </c>
      <c r="V193" s="269">
        <f>ROUND(U193*I193,2)</f>
        <v>44062.75</v>
      </c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BP193" s="132" t="s">
        <v>1</v>
      </c>
      <c r="BQ193" s="133" t="s">
        <v>40</v>
      </c>
      <c r="BS193" s="134">
        <f>BR193*H193</f>
        <v>0</v>
      </c>
      <c r="BT193" s="134">
        <v>0</v>
      </c>
      <c r="BU193" s="134">
        <f>BT193*H193</f>
        <v>0</v>
      </c>
      <c r="BV193" s="134">
        <v>0</v>
      </c>
      <c r="BW193" s="135">
        <f>BV193*H193</f>
        <v>0</v>
      </c>
      <c r="CU193" s="136" t="s">
        <v>95</v>
      </c>
      <c r="CW193" s="136" t="s">
        <v>284</v>
      </c>
      <c r="CX193" s="136" t="s">
        <v>83</v>
      </c>
      <c r="DB193" s="16" t="s">
        <v>282</v>
      </c>
      <c r="DH193" s="137">
        <f>IF(BQ193="základní",J193,0)</f>
        <v>44062.75</v>
      </c>
      <c r="DI193" s="137">
        <f>IF(BQ193="snížená",J193,0)</f>
        <v>0</v>
      </c>
      <c r="DJ193" s="137">
        <f>IF(BQ193="zákl. přenesená",J193,0)</f>
        <v>0</v>
      </c>
      <c r="DK193" s="137">
        <f>IF(BQ193="sníž. přenesená",J193,0)</f>
        <v>0</v>
      </c>
      <c r="DL193" s="137">
        <f>IF(BQ193="nulová",J193,0)</f>
        <v>0</v>
      </c>
      <c r="DM193" s="16" t="s">
        <v>81</v>
      </c>
      <c r="DN193" s="137">
        <f>ROUND(I193*H193,2)</f>
        <v>44062.75</v>
      </c>
      <c r="DO193" s="16" t="s">
        <v>95</v>
      </c>
      <c r="DP193" s="136" t="s">
        <v>395</v>
      </c>
    </row>
    <row r="194" spans="2:120" s="1" customFormat="1" ht="19.5" x14ac:dyDescent="0.2">
      <c r="B194" s="31"/>
      <c r="D194" s="138" t="s">
        <v>289</v>
      </c>
      <c r="F194" s="139" t="s">
        <v>396</v>
      </c>
      <c r="I194" s="140"/>
      <c r="L194" s="31"/>
      <c r="N194" s="213"/>
      <c r="O194" s="214"/>
      <c r="Q194" s="229"/>
      <c r="BP194" s="141"/>
      <c r="BW194" s="50"/>
      <c r="CW194" s="16" t="s">
        <v>289</v>
      </c>
      <c r="CX194" s="16" t="s">
        <v>83</v>
      </c>
    </row>
    <row r="195" spans="2:120" s="1" customFormat="1" ht="47.25" customHeight="1" x14ac:dyDescent="0.2">
      <c r="B195" s="124"/>
      <c r="C195" s="125" t="s">
        <v>379</v>
      </c>
      <c r="D195" s="125" t="s">
        <v>284</v>
      </c>
      <c r="E195" s="126" t="s">
        <v>398</v>
      </c>
      <c r="F195" s="127" t="s">
        <v>399</v>
      </c>
      <c r="G195" s="128" t="s">
        <v>366</v>
      </c>
      <c r="H195" s="129">
        <v>218.01</v>
      </c>
      <c r="I195" s="130">
        <v>282.06861194786097</v>
      </c>
      <c r="J195" s="131">
        <f>ROUND(I195*H195,2)</f>
        <v>61493.78</v>
      </c>
      <c r="K195" s="127" t="s">
        <v>293</v>
      </c>
      <c r="L195" s="268">
        <f>S195</f>
        <v>0</v>
      </c>
      <c r="M195" s="272">
        <f>ROUND(L195*I195,2)</f>
        <v>0</v>
      </c>
      <c r="N195" s="243">
        <f>N198</f>
        <v>2.4113000000000113</v>
      </c>
      <c r="O195" s="294">
        <f>ROUND(N195*I195,2)</f>
        <v>680.15</v>
      </c>
      <c r="P195" s="273">
        <f>H195-L195-N195</f>
        <v>215.59869999999998</v>
      </c>
      <c r="Q195" s="287">
        <f>ROUND(P195*I195,2)</f>
        <v>60813.63</v>
      </c>
      <c r="R195" s="137"/>
      <c r="S195" s="269">
        <f>W195+Y195+AA195+AC195+AE195+AG195+AI195+AK195+AM195</f>
        <v>0</v>
      </c>
      <c r="T195" s="269">
        <f>ROUND(S195*I195,2)</f>
        <v>0</v>
      </c>
      <c r="U195" s="269">
        <f>H195-S195</f>
        <v>218.01</v>
      </c>
      <c r="V195" s="269">
        <f>ROUND(U195*I195,2)</f>
        <v>61493.78</v>
      </c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BP195" s="132" t="s">
        <v>1</v>
      </c>
      <c r="BQ195" s="133" t="s">
        <v>40</v>
      </c>
      <c r="BS195" s="134">
        <f>BR195*H195</f>
        <v>0</v>
      </c>
      <c r="BT195" s="134">
        <v>0</v>
      </c>
      <c r="BU195" s="134">
        <f>BT195*H195</f>
        <v>0</v>
      </c>
      <c r="BV195" s="134">
        <v>0</v>
      </c>
      <c r="BW195" s="135">
        <f>BV195*H195</f>
        <v>0</v>
      </c>
      <c r="CU195" s="136" t="s">
        <v>95</v>
      </c>
      <c r="CW195" s="136" t="s">
        <v>284</v>
      </c>
      <c r="CX195" s="136" t="s">
        <v>83</v>
      </c>
      <c r="DB195" s="16" t="s">
        <v>282</v>
      </c>
      <c r="DH195" s="137">
        <f>IF(BQ195="základní",J195,0)</f>
        <v>61493.78</v>
      </c>
      <c r="DI195" s="137">
        <f>IF(BQ195="snížená",J195,0)</f>
        <v>0</v>
      </c>
      <c r="DJ195" s="137">
        <f>IF(BQ195="zákl. přenesená",J195,0)</f>
        <v>0</v>
      </c>
      <c r="DK195" s="137">
        <f>IF(BQ195="sníž. přenesená",J195,0)</f>
        <v>0</v>
      </c>
      <c r="DL195" s="137">
        <f>IF(BQ195="nulová",J195,0)</f>
        <v>0</v>
      </c>
      <c r="DM195" s="16" t="s">
        <v>81</v>
      </c>
      <c r="DN195" s="137">
        <f>ROUND(I195*H195,2)</f>
        <v>61493.78</v>
      </c>
      <c r="DO195" s="16" t="s">
        <v>95</v>
      </c>
      <c r="DP195" s="136" t="s">
        <v>400</v>
      </c>
    </row>
    <row r="196" spans="2:120" s="1" customFormat="1" ht="39" x14ac:dyDescent="0.2">
      <c r="B196" s="31"/>
      <c r="D196" s="138" t="s">
        <v>289</v>
      </c>
      <c r="F196" s="139" t="s">
        <v>401</v>
      </c>
      <c r="I196" s="140"/>
      <c r="L196" s="31"/>
      <c r="N196" s="213"/>
      <c r="O196" s="214"/>
      <c r="Q196" s="229"/>
      <c r="BP196" s="141"/>
      <c r="BW196" s="50"/>
      <c r="CW196" s="16" t="s">
        <v>289</v>
      </c>
      <c r="CX196" s="16" t="s">
        <v>83</v>
      </c>
    </row>
    <row r="197" spans="2:120" s="11" customFormat="1" x14ac:dyDescent="0.2">
      <c r="B197" s="143"/>
      <c r="D197" s="138" t="s">
        <v>301</v>
      </c>
      <c r="E197" s="144" t="s">
        <v>1</v>
      </c>
      <c r="F197" s="145" t="s">
        <v>402</v>
      </c>
      <c r="H197" s="144" t="s">
        <v>1</v>
      </c>
      <c r="I197" s="146"/>
      <c r="L197" s="143"/>
      <c r="N197" s="365"/>
      <c r="O197" s="216"/>
      <c r="Q197" s="230"/>
      <c r="BP197" s="147"/>
      <c r="BW197" s="148"/>
      <c r="CW197" s="144" t="s">
        <v>301</v>
      </c>
      <c r="CX197" s="144" t="s">
        <v>83</v>
      </c>
      <c r="CY197" s="11" t="s">
        <v>81</v>
      </c>
      <c r="CZ197" s="11" t="s">
        <v>32</v>
      </c>
      <c r="DA197" s="11" t="s">
        <v>74</v>
      </c>
      <c r="DB197" s="144" t="s">
        <v>282</v>
      </c>
    </row>
    <row r="198" spans="2:120" s="12" customFormat="1" x14ac:dyDescent="0.2">
      <c r="B198" s="149"/>
      <c r="D198" s="138" t="s">
        <v>301</v>
      </c>
      <c r="E198" s="150" t="s">
        <v>1</v>
      </c>
      <c r="F198" s="151" t="s">
        <v>749</v>
      </c>
      <c r="H198" s="152">
        <v>218.01</v>
      </c>
      <c r="I198" s="153"/>
      <c r="L198" s="149"/>
      <c r="N198" s="365">
        <f>N179+N179</f>
        <v>2.4113000000000113</v>
      </c>
      <c r="O198" s="218"/>
      <c r="Q198" s="231"/>
      <c r="BP198" s="154"/>
      <c r="BW198" s="155"/>
      <c r="CW198" s="150" t="s">
        <v>301</v>
      </c>
      <c r="CX198" s="150" t="s">
        <v>83</v>
      </c>
      <c r="CY198" s="12" t="s">
        <v>83</v>
      </c>
      <c r="CZ198" s="12" t="s">
        <v>32</v>
      </c>
      <c r="DA198" s="12" t="s">
        <v>81</v>
      </c>
      <c r="DB198" s="150" t="s">
        <v>282</v>
      </c>
    </row>
    <row r="199" spans="2:120" s="1" customFormat="1" ht="37.9" customHeight="1" x14ac:dyDescent="0.2">
      <c r="B199" s="124"/>
      <c r="C199" s="125" t="s">
        <v>386</v>
      </c>
      <c r="D199" s="125" t="s">
        <v>284</v>
      </c>
      <c r="E199" s="126" t="s">
        <v>405</v>
      </c>
      <c r="F199" s="127" t="s">
        <v>406</v>
      </c>
      <c r="G199" s="128" t="s">
        <v>366</v>
      </c>
      <c r="H199" s="129">
        <v>1090.05</v>
      </c>
      <c r="I199" s="130">
        <v>3.4208109177592001</v>
      </c>
      <c r="J199" s="131">
        <f>ROUND(I199*H199,2)</f>
        <v>3728.85</v>
      </c>
      <c r="K199" s="127" t="s">
        <v>293</v>
      </c>
      <c r="L199" s="268">
        <f>S199</f>
        <v>0</v>
      </c>
      <c r="M199" s="272">
        <f>ROUND(L199*I199,2)</f>
        <v>0</v>
      </c>
      <c r="N199" s="243">
        <f>N201</f>
        <v>12.056500000000057</v>
      </c>
      <c r="O199" s="294">
        <f>ROUND(N199*I199,2)</f>
        <v>41.24</v>
      </c>
      <c r="P199" s="273">
        <f>H199-L199-N199</f>
        <v>1077.9934999999998</v>
      </c>
      <c r="Q199" s="287">
        <f>ROUND(P199*I199,2)</f>
        <v>3687.61</v>
      </c>
      <c r="R199" s="137"/>
      <c r="S199" s="269">
        <f>W199+Y199+AA199+AC199+AE199+AG199+AI199+AK199+AM199</f>
        <v>0</v>
      </c>
      <c r="T199" s="269">
        <f>ROUND(S199*I199,2)</f>
        <v>0</v>
      </c>
      <c r="U199" s="269">
        <f>H199-S199</f>
        <v>1090.05</v>
      </c>
      <c r="V199" s="269">
        <f>ROUND(U199*I199,2)</f>
        <v>3728.85</v>
      </c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BP199" s="132" t="s">
        <v>1</v>
      </c>
      <c r="BQ199" s="133" t="s">
        <v>40</v>
      </c>
      <c r="BS199" s="134">
        <f>BR199*H199</f>
        <v>0</v>
      </c>
      <c r="BT199" s="134">
        <v>0</v>
      </c>
      <c r="BU199" s="134">
        <f>BT199*H199</f>
        <v>0</v>
      </c>
      <c r="BV199" s="134">
        <v>0</v>
      </c>
      <c r="BW199" s="135">
        <f>BV199*H199</f>
        <v>0</v>
      </c>
      <c r="CU199" s="136" t="s">
        <v>95</v>
      </c>
      <c r="CW199" s="136" t="s">
        <v>284</v>
      </c>
      <c r="CX199" s="136" t="s">
        <v>83</v>
      </c>
      <c r="DB199" s="16" t="s">
        <v>282</v>
      </c>
      <c r="DH199" s="137">
        <f>IF(BQ199="základní",J199,0)</f>
        <v>3728.85</v>
      </c>
      <c r="DI199" s="137">
        <f>IF(BQ199="snížená",J199,0)</f>
        <v>0</v>
      </c>
      <c r="DJ199" s="137">
        <f>IF(BQ199="zákl. přenesená",J199,0)</f>
        <v>0</v>
      </c>
      <c r="DK199" s="137">
        <f>IF(BQ199="sníž. přenesená",J199,0)</f>
        <v>0</v>
      </c>
      <c r="DL199" s="137">
        <f>IF(BQ199="nulová",J199,0)</f>
        <v>0</v>
      </c>
      <c r="DM199" s="16" t="s">
        <v>81</v>
      </c>
      <c r="DN199" s="137">
        <f>ROUND(I199*H199,2)</f>
        <v>3728.85</v>
      </c>
      <c r="DO199" s="16" t="s">
        <v>95</v>
      </c>
      <c r="DP199" s="136" t="s">
        <v>407</v>
      </c>
    </row>
    <row r="200" spans="2:120" s="1" customFormat="1" ht="48.75" x14ac:dyDescent="0.2">
      <c r="B200" s="31"/>
      <c r="D200" s="138" t="s">
        <v>289</v>
      </c>
      <c r="F200" s="139" t="s">
        <v>408</v>
      </c>
      <c r="I200" s="140"/>
      <c r="L200" s="31"/>
      <c r="N200" s="213"/>
      <c r="O200" s="214"/>
      <c r="Q200" s="229"/>
      <c r="BP200" s="141"/>
      <c r="BW200" s="50"/>
      <c r="CW200" s="16" t="s">
        <v>289</v>
      </c>
      <c r="CX200" s="16" t="s">
        <v>83</v>
      </c>
    </row>
    <row r="201" spans="2:120" s="12" customFormat="1" x14ac:dyDescent="0.2">
      <c r="B201" s="149"/>
      <c r="D201" s="138" t="s">
        <v>301</v>
      </c>
      <c r="F201" s="151" t="s">
        <v>750</v>
      </c>
      <c r="H201" s="152">
        <v>1090.05</v>
      </c>
      <c r="I201" s="153"/>
      <c r="L201" s="149"/>
      <c r="N201" s="310">
        <f>N195*5</f>
        <v>12.056500000000057</v>
      </c>
      <c r="O201" s="218"/>
      <c r="Q201" s="231"/>
      <c r="BP201" s="154"/>
      <c r="BW201" s="155"/>
      <c r="CW201" s="150" t="s">
        <v>301</v>
      </c>
      <c r="CX201" s="150" t="s">
        <v>83</v>
      </c>
      <c r="CY201" s="12" t="s">
        <v>83</v>
      </c>
      <c r="CZ201" s="12" t="s">
        <v>3</v>
      </c>
      <c r="DA201" s="12" t="s">
        <v>81</v>
      </c>
      <c r="DB201" s="150" t="s">
        <v>282</v>
      </c>
    </row>
    <row r="202" spans="2:120" s="1" customFormat="1" ht="24.2" customHeight="1" x14ac:dyDescent="0.2">
      <c r="B202" s="124"/>
      <c r="C202" s="125" t="s">
        <v>392</v>
      </c>
      <c r="D202" s="125" t="s">
        <v>284</v>
      </c>
      <c r="E202" s="126" t="s">
        <v>410</v>
      </c>
      <c r="F202" s="127" t="s">
        <v>411</v>
      </c>
      <c r="G202" s="128" t="s">
        <v>287</v>
      </c>
      <c r="H202" s="129">
        <v>99.364999999999995</v>
      </c>
      <c r="I202" s="130">
        <v>6.3644601414457247</v>
      </c>
      <c r="J202" s="131">
        <f>ROUND(I202*H202,2)</f>
        <v>632.4</v>
      </c>
      <c r="K202" s="127" t="s">
        <v>293</v>
      </c>
      <c r="L202" s="268">
        <f>S202</f>
        <v>0</v>
      </c>
      <c r="M202" s="272">
        <f>ROUND(L202*I202,2)</f>
        <v>0</v>
      </c>
      <c r="N202" s="243">
        <f>N209</f>
        <v>1.1219999999999999</v>
      </c>
      <c r="O202" s="294">
        <f>ROUND(N202*I202,2)</f>
        <v>7.14</v>
      </c>
      <c r="P202" s="273">
        <f>H202-L202-N202</f>
        <v>98.242999999999995</v>
      </c>
      <c r="Q202" s="287">
        <f>ROUND(P202*I202,2)</f>
        <v>625.26</v>
      </c>
      <c r="R202" s="137"/>
      <c r="S202" s="269">
        <f>W202+Y202+AA202+AC202+AE202+AG202+AI202+AK202+AM202</f>
        <v>0</v>
      </c>
      <c r="T202" s="269">
        <f>ROUND(S202*I202,2)</f>
        <v>0</v>
      </c>
      <c r="U202" s="269">
        <f>H202-S202</f>
        <v>99.364999999999995</v>
      </c>
      <c r="V202" s="269">
        <f>ROUND(U202*I202,2)</f>
        <v>632.4</v>
      </c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BP202" s="132" t="s">
        <v>1</v>
      </c>
      <c r="BQ202" s="133" t="s">
        <v>40</v>
      </c>
      <c r="BS202" s="134">
        <f>BR202*H202</f>
        <v>0</v>
      </c>
      <c r="BT202" s="134">
        <v>0</v>
      </c>
      <c r="BU202" s="134">
        <f>BT202*H202</f>
        <v>0</v>
      </c>
      <c r="BV202" s="134">
        <v>0</v>
      </c>
      <c r="BW202" s="135">
        <f>BV202*H202</f>
        <v>0</v>
      </c>
      <c r="CU202" s="136" t="s">
        <v>95</v>
      </c>
      <c r="CW202" s="136" t="s">
        <v>284</v>
      </c>
      <c r="CX202" s="136" t="s">
        <v>83</v>
      </c>
      <c r="DB202" s="16" t="s">
        <v>282</v>
      </c>
      <c r="DH202" s="137">
        <f>IF(BQ202="základní",J202,0)</f>
        <v>632.4</v>
      </c>
      <c r="DI202" s="137">
        <f>IF(BQ202="snížená",J202,0)</f>
        <v>0</v>
      </c>
      <c r="DJ202" s="137">
        <f>IF(BQ202="zákl. přenesená",J202,0)</f>
        <v>0</v>
      </c>
      <c r="DK202" s="137">
        <f>IF(BQ202="sníž. přenesená",J202,0)</f>
        <v>0</v>
      </c>
      <c r="DL202" s="137">
        <f>IF(BQ202="nulová",J202,0)</f>
        <v>0</v>
      </c>
      <c r="DM202" s="16" t="s">
        <v>81</v>
      </c>
      <c r="DN202" s="137">
        <f>ROUND(I202*H202,2)</f>
        <v>632.4</v>
      </c>
      <c r="DO202" s="16" t="s">
        <v>95</v>
      </c>
      <c r="DP202" s="136" t="s">
        <v>412</v>
      </c>
    </row>
    <row r="203" spans="2:120" s="1" customFormat="1" ht="19.5" x14ac:dyDescent="0.2">
      <c r="B203" s="31"/>
      <c r="D203" s="138" t="s">
        <v>289</v>
      </c>
      <c r="F203" s="139" t="s">
        <v>413</v>
      </c>
      <c r="I203" s="140"/>
      <c r="L203" s="31"/>
      <c r="N203" s="213"/>
      <c r="O203" s="214"/>
      <c r="Q203" s="229"/>
      <c r="BP203" s="141"/>
      <c r="BW203" s="50"/>
      <c r="CW203" s="16" t="s">
        <v>289</v>
      </c>
      <c r="CX203" s="16" t="s">
        <v>83</v>
      </c>
    </row>
    <row r="204" spans="2:120" s="1" customFormat="1" ht="19.5" x14ac:dyDescent="0.2">
      <c r="B204" s="31"/>
      <c r="D204" s="138" t="s">
        <v>299</v>
      </c>
      <c r="F204" s="142" t="s">
        <v>317</v>
      </c>
      <c r="I204" s="140"/>
      <c r="L204" s="31"/>
      <c r="N204" s="213"/>
      <c r="O204" s="214"/>
      <c r="Q204" s="229"/>
      <c r="BP204" s="141"/>
      <c r="BW204" s="50"/>
      <c r="CW204" s="16" t="s">
        <v>299</v>
      </c>
      <c r="CX204" s="16" t="s">
        <v>83</v>
      </c>
    </row>
    <row r="205" spans="2:120" s="12" customFormat="1" x14ac:dyDescent="0.2">
      <c r="B205" s="149"/>
      <c r="D205" s="138" t="s">
        <v>301</v>
      </c>
      <c r="E205" s="150" t="s">
        <v>1</v>
      </c>
      <c r="F205" s="151" t="s">
        <v>734</v>
      </c>
      <c r="H205" s="152">
        <v>2</v>
      </c>
      <c r="I205" s="153"/>
      <c r="L205" s="149"/>
      <c r="N205" s="217">
        <f>4.76*1</f>
        <v>4.76</v>
      </c>
      <c r="O205" s="359" t="s">
        <v>3361</v>
      </c>
      <c r="Q205" s="231"/>
      <c r="BP205" s="154"/>
      <c r="BW205" s="155"/>
      <c r="CW205" s="150" t="s">
        <v>301</v>
      </c>
      <c r="CX205" s="150" t="s">
        <v>83</v>
      </c>
      <c r="CY205" s="12" t="s">
        <v>83</v>
      </c>
      <c r="CZ205" s="12" t="s">
        <v>32</v>
      </c>
      <c r="DA205" s="12" t="s">
        <v>74</v>
      </c>
      <c r="DB205" s="150" t="s">
        <v>282</v>
      </c>
    </row>
    <row r="206" spans="2:120" s="12" customFormat="1" x14ac:dyDescent="0.2">
      <c r="B206" s="149"/>
      <c r="D206" s="138" t="s">
        <v>301</v>
      </c>
      <c r="E206" s="150" t="s">
        <v>1</v>
      </c>
      <c r="F206" s="151" t="s">
        <v>735</v>
      </c>
      <c r="H206" s="152">
        <v>84</v>
      </c>
      <c r="I206" s="153"/>
      <c r="L206" s="149"/>
      <c r="N206" s="217">
        <f>78.44*1.05</f>
        <v>82.361999999999995</v>
      </c>
      <c r="O206" s="359" t="s">
        <v>3362</v>
      </c>
      <c r="Q206" s="231"/>
      <c r="BP206" s="154"/>
      <c r="BW206" s="155"/>
      <c r="CW206" s="150" t="s">
        <v>301</v>
      </c>
      <c r="CX206" s="150" t="s">
        <v>83</v>
      </c>
      <c r="CY206" s="12" t="s">
        <v>83</v>
      </c>
      <c r="CZ206" s="12" t="s">
        <v>32</v>
      </c>
      <c r="DA206" s="12" t="s">
        <v>74</v>
      </c>
      <c r="DB206" s="150" t="s">
        <v>282</v>
      </c>
    </row>
    <row r="207" spans="2:120" s="12" customFormat="1" x14ac:dyDescent="0.2">
      <c r="B207" s="149"/>
      <c r="D207" s="138" t="s">
        <v>301</v>
      </c>
      <c r="E207" s="150" t="s">
        <v>1</v>
      </c>
      <c r="F207" s="151" t="s">
        <v>736</v>
      </c>
      <c r="H207" s="152">
        <v>13.365</v>
      </c>
      <c r="I207" s="153"/>
      <c r="L207" s="149"/>
      <c r="N207" s="217">
        <v>13.365</v>
      </c>
      <c r="O207" s="218"/>
      <c r="Q207" s="231"/>
      <c r="BP207" s="154"/>
      <c r="BW207" s="155"/>
      <c r="CW207" s="150" t="s">
        <v>301</v>
      </c>
      <c r="CX207" s="150" t="s">
        <v>83</v>
      </c>
      <c r="CY207" s="12" t="s">
        <v>83</v>
      </c>
      <c r="CZ207" s="12" t="s">
        <v>32</v>
      </c>
      <c r="DA207" s="12" t="s">
        <v>74</v>
      </c>
      <c r="DB207" s="150" t="s">
        <v>282</v>
      </c>
    </row>
    <row r="208" spans="2:120" s="13" customFormat="1" x14ac:dyDescent="0.2">
      <c r="B208" s="156"/>
      <c r="D208" s="138" t="s">
        <v>301</v>
      </c>
      <c r="E208" s="157" t="s">
        <v>1</v>
      </c>
      <c r="F208" s="158" t="s">
        <v>305</v>
      </c>
      <c r="H208" s="159">
        <v>99.364999999999995</v>
      </c>
      <c r="I208" s="160"/>
      <c r="L208" s="156"/>
      <c r="N208" s="219">
        <f>N205+N206+N207</f>
        <v>100.48699999999999</v>
      </c>
      <c r="O208" s="220"/>
      <c r="Q208" s="232"/>
      <c r="BP208" s="161"/>
      <c r="BW208" s="162"/>
      <c r="CW208" s="157" t="s">
        <v>301</v>
      </c>
      <c r="CX208" s="157" t="s">
        <v>83</v>
      </c>
      <c r="CY208" s="13" t="s">
        <v>95</v>
      </c>
      <c r="CZ208" s="13" t="s">
        <v>32</v>
      </c>
      <c r="DA208" s="13" t="s">
        <v>81</v>
      </c>
      <c r="DB208" s="157" t="s">
        <v>282</v>
      </c>
    </row>
    <row r="209" spans="2:120" s="13" customFormat="1" x14ac:dyDescent="0.2">
      <c r="B209" s="156"/>
      <c r="D209" s="138"/>
      <c r="E209" s="157"/>
      <c r="F209" s="158"/>
      <c r="H209" s="159"/>
      <c r="I209" s="160"/>
      <c r="L209" s="156"/>
      <c r="N209" s="311">
        <f>N208-H202</f>
        <v>1.1219999999999999</v>
      </c>
      <c r="O209" s="220"/>
      <c r="Q209" s="232"/>
      <c r="BP209" s="161"/>
      <c r="BW209" s="162"/>
      <c r="CW209" s="157"/>
      <c r="CX209" s="157"/>
      <c r="DB209" s="157"/>
    </row>
    <row r="210" spans="2:120" s="1" customFormat="1" ht="24.2" customHeight="1" x14ac:dyDescent="0.2">
      <c r="B210" s="124"/>
      <c r="C210" s="125" t="s">
        <v>397</v>
      </c>
      <c r="D210" s="125" t="s">
        <v>284</v>
      </c>
      <c r="E210" s="126" t="s">
        <v>416</v>
      </c>
      <c r="F210" s="127" t="s">
        <v>417</v>
      </c>
      <c r="G210" s="128" t="s">
        <v>418</v>
      </c>
      <c r="H210" s="129">
        <v>392.41800000000001</v>
      </c>
      <c r="I210" s="130">
        <v>110.6455721</v>
      </c>
      <c r="J210" s="131">
        <f>ROUND(I210*H210,2)</f>
        <v>43419.31</v>
      </c>
      <c r="K210" s="127" t="s">
        <v>293</v>
      </c>
      <c r="L210" s="268">
        <f>S210</f>
        <v>0</v>
      </c>
      <c r="M210" s="272">
        <f>ROUND(L210*I210,2)</f>
        <v>0</v>
      </c>
      <c r="N210" s="243">
        <f>N212</f>
        <v>4.3380000000000001</v>
      </c>
      <c r="O210" s="294">
        <f>ROUND(N210*I210,2)</f>
        <v>479.98</v>
      </c>
      <c r="P210" s="273">
        <f>H210-L210-N210</f>
        <v>388.08</v>
      </c>
      <c r="Q210" s="287">
        <f>ROUND(P210*I210,2)</f>
        <v>42939.33</v>
      </c>
      <c r="R210" s="137"/>
      <c r="S210" s="269">
        <f>W210+Y210+AA210+AC210+AE210+AG210+AI210+AK210+AM210</f>
        <v>0</v>
      </c>
      <c r="T210" s="269">
        <f>ROUND(S210*I210,2)</f>
        <v>0</v>
      </c>
      <c r="U210" s="269">
        <f>H210-S210</f>
        <v>392.41800000000001</v>
      </c>
      <c r="V210" s="269">
        <f>ROUND(U210*I210,2)</f>
        <v>43419.31</v>
      </c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BP210" s="132" t="s">
        <v>1</v>
      </c>
      <c r="BQ210" s="133" t="s">
        <v>40</v>
      </c>
      <c r="BS210" s="134">
        <f>BR210*H210</f>
        <v>0</v>
      </c>
      <c r="BT210" s="134">
        <v>0</v>
      </c>
      <c r="BU210" s="134">
        <f>BT210*H210</f>
        <v>0</v>
      </c>
      <c r="BV210" s="134">
        <v>0</v>
      </c>
      <c r="BW210" s="135">
        <f>BV210*H210</f>
        <v>0</v>
      </c>
      <c r="CU210" s="136" t="s">
        <v>95</v>
      </c>
      <c r="CW210" s="136" t="s">
        <v>284</v>
      </c>
      <c r="CX210" s="136" t="s">
        <v>83</v>
      </c>
      <c r="DB210" s="16" t="s">
        <v>282</v>
      </c>
      <c r="DH210" s="137">
        <f>IF(BQ210="základní",J210,0)</f>
        <v>43419.31</v>
      </c>
      <c r="DI210" s="137">
        <f>IF(BQ210="snížená",J210,0)</f>
        <v>0</v>
      </c>
      <c r="DJ210" s="137">
        <f>IF(BQ210="zákl. přenesená",J210,0)</f>
        <v>0</v>
      </c>
      <c r="DK210" s="137">
        <f>IF(BQ210="sníž. přenesená",J210,0)</f>
        <v>0</v>
      </c>
      <c r="DL210" s="137">
        <f>IF(BQ210="nulová",J210,0)</f>
        <v>0</v>
      </c>
      <c r="DM210" s="16" t="s">
        <v>81</v>
      </c>
      <c r="DN210" s="137">
        <f>ROUND(I210*H210,2)</f>
        <v>43419.31</v>
      </c>
      <c r="DO210" s="16" t="s">
        <v>95</v>
      </c>
      <c r="DP210" s="136" t="s">
        <v>419</v>
      </c>
    </row>
    <row r="211" spans="2:120" s="1" customFormat="1" ht="29.25" x14ac:dyDescent="0.2">
      <c r="B211" s="31"/>
      <c r="D211" s="138" t="s">
        <v>289</v>
      </c>
      <c r="F211" s="139" t="s">
        <v>420</v>
      </c>
      <c r="I211" s="140"/>
      <c r="L211" s="31"/>
      <c r="N211" s="213"/>
      <c r="O211" s="214"/>
      <c r="Q211" s="229"/>
      <c r="BP211" s="141"/>
      <c r="BW211" s="50"/>
      <c r="CW211" s="16" t="s">
        <v>289</v>
      </c>
      <c r="CX211" s="16" t="s">
        <v>83</v>
      </c>
    </row>
    <row r="212" spans="2:120" s="12" customFormat="1" x14ac:dyDescent="0.2">
      <c r="B212" s="149"/>
      <c r="D212" s="138" t="s">
        <v>301</v>
      </c>
      <c r="F212" s="151" t="s">
        <v>751</v>
      </c>
      <c r="H212" s="152">
        <v>392.41800000000001</v>
      </c>
      <c r="I212" s="153"/>
      <c r="L212" s="149"/>
      <c r="N212" s="310">
        <f>2.41*1.8</f>
        <v>4.3380000000000001</v>
      </c>
      <c r="O212" s="218" t="s">
        <v>3368</v>
      </c>
      <c r="Q212" s="231"/>
      <c r="BP212" s="154"/>
      <c r="BW212" s="155"/>
      <c r="CW212" s="150" t="s">
        <v>301</v>
      </c>
      <c r="CX212" s="150" t="s">
        <v>83</v>
      </c>
      <c r="CY212" s="12" t="s">
        <v>83</v>
      </c>
      <c r="CZ212" s="12" t="s">
        <v>3</v>
      </c>
      <c r="DA212" s="12" t="s">
        <v>81</v>
      </c>
      <c r="DB212" s="150" t="s">
        <v>282</v>
      </c>
    </row>
    <row r="213" spans="2:120" s="1" customFormat="1" ht="24.2" customHeight="1" x14ac:dyDescent="0.2">
      <c r="B213" s="124"/>
      <c r="C213" s="125" t="s">
        <v>404</v>
      </c>
      <c r="D213" s="125" t="s">
        <v>284</v>
      </c>
      <c r="E213" s="126" t="s">
        <v>423</v>
      </c>
      <c r="F213" s="127" t="s">
        <v>424</v>
      </c>
      <c r="G213" s="128" t="s">
        <v>366</v>
      </c>
      <c r="H213" s="129">
        <v>189.65299999999999</v>
      </c>
      <c r="I213" s="130">
        <v>140.64048227116101</v>
      </c>
      <c r="J213" s="131">
        <f>ROUND(I213*H213,2)</f>
        <v>26672.89</v>
      </c>
      <c r="K213" s="127" t="s">
        <v>293</v>
      </c>
      <c r="L213" s="268">
        <f>S213</f>
        <v>0</v>
      </c>
      <c r="M213" s="272">
        <f>ROUND(L213*I213,2)</f>
        <v>0</v>
      </c>
      <c r="N213" s="243">
        <f>N227</f>
        <v>2.2694999999999936</v>
      </c>
      <c r="O213" s="294">
        <f>ROUND(N213*I213,2)</f>
        <v>319.18</v>
      </c>
      <c r="P213" s="273">
        <f>H213-L213-N213</f>
        <v>187.3835</v>
      </c>
      <c r="Q213" s="287">
        <f>ROUND(P213*I213,2)</f>
        <v>26353.71</v>
      </c>
      <c r="R213" s="137"/>
      <c r="S213" s="269">
        <f>W213+Y213+AA213+AC213+AE213+AG213+AI213+AK213+AM213</f>
        <v>0</v>
      </c>
      <c r="T213" s="269">
        <f>ROUND(S213*I213,2)</f>
        <v>0</v>
      </c>
      <c r="U213" s="269">
        <f>H213-S213</f>
        <v>189.65299999999999</v>
      </c>
      <c r="V213" s="269">
        <f>ROUND(U213*I213,2)</f>
        <v>26672.89</v>
      </c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BP213" s="132" t="s">
        <v>1</v>
      </c>
      <c r="BQ213" s="133" t="s">
        <v>40</v>
      </c>
      <c r="BS213" s="134">
        <f>BR213*H213</f>
        <v>0</v>
      </c>
      <c r="BT213" s="134">
        <v>0</v>
      </c>
      <c r="BU213" s="134">
        <f>BT213*H213</f>
        <v>0</v>
      </c>
      <c r="BV213" s="134">
        <v>0</v>
      </c>
      <c r="BW213" s="135">
        <f>BV213*H213</f>
        <v>0</v>
      </c>
      <c r="CU213" s="136" t="s">
        <v>95</v>
      </c>
      <c r="CW213" s="136" t="s">
        <v>284</v>
      </c>
      <c r="CX213" s="136" t="s">
        <v>83</v>
      </c>
      <c r="DB213" s="16" t="s">
        <v>282</v>
      </c>
      <c r="DH213" s="137">
        <f>IF(BQ213="základní",J213,0)</f>
        <v>26672.89</v>
      </c>
      <c r="DI213" s="137">
        <f>IF(BQ213="snížená",J213,0)</f>
        <v>0</v>
      </c>
      <c r="DJ213" s="137">
        <f>IF(BQ213="zákl. přenesená",J213,0)</f>
        <v>0</v>
      </c>
      <c r="DK213" s="137">
        <f>IF(BQ213="sníž. přenesená",J213,0)</f>
        <v>0</v>
      </c>
      <c r="DL213" s="137">
        <f>IF(BQ213="nulová",J213,0)</f>
        <v>0</v>
      </c>
      <c r="DM213" s="16" t="s">
        <v>81</v>
      </c>
      <c r="DN213" s="137">
        <f>ROUND(I213*H213,2)</f>
        <v>26672.89</v>
      </c>
      <c r="DO213" s="16" t="s">
        <v>95</v>
      </c>
      <c r="DP213" s="136" t="s">
        <v>425</v>
      </c>
    </row>
    <row r="214" spans="2:120" s="1" customFormat="1" ht="29.25" x14ac:dyDescent="0.2">
      <c r="B214" s="31"/>
      <c r="D214" s="138" t="s">
        <v>289</v>
      </c>
      <c r="F214" s="139" t="s">
        <v>426</v>
      </c>
      <c r="I214" s="140"/>
      <c r="L214" s="31"/>
      <c r="N214" s="213"/>
      <c r="O214" s="366"/>
      <c r="Q214" s="229"/>
      <c r="BP214" s="141"/>
      <c r="BW214" s="50"/>
      <c r="CW214" s="16" t="s">
        <v>289</v>
      </c>
      <c r="CX214" s="16" t="s">
        <v>83</v>
      </c>
    </row>
    <row r="215" spans="2:120" s="11" customFormat="1" x14ac:dyDescent="0.2">
      <c r="B215" s="143"/>
      <c r="D215" s="138" t="s">
        <v>301</v>
      </c>
      <c r="E215" s="144" t="s">
        <v>1</v>
      </c>
      <c r="F215" s="145" t="s">
        <v>427</v>
      </c>
      <c r="H215" s="144" t="s">
        <v>1</v>
      </c>
      <c r="I215" s="146"/>
      <c r="L215" s="143"/>
      <c r="N215" s="215"/>
      <c r="O215" s="367"/>
      <c r="Q215" s="230"/>
      <c r="BP215" s="147"/>
      <c r="BW215" s="148"/>
      <c r="CW215" s="144" t="s">
        <v>301</v>
      </c>
      <c r="CX215" s="144" t="s">
        <v>83</v>
      </c>
      <c r="CY215" s="11" t="s">
        <v>81</v>
      </c>
      <c r="CZ215" s="11" t="s">
        <v>32</v>
      </c>
      <c r="DA215" s="11" t="s">
        <v>74</v>
      </c>
      <c r="DB215" s="144" t="s">
        <v>282</v>
      </c>
    </row>
    <row r="216" spans="2:120" s="12" customFormat="1" x14ac:dyDescent="0.2">
      <c r="B216" s="149"/>
      <c r="D216" s="138" t="s">
        <v>301</v>
      </c>
      <c r="E216" s="150" t="s">
        <v>1</v>
      </c>
      <c r="F216" s="151" t="s">
        <v>749</v>
      </c>
      <c r="H216" s="152">
        <v>218.01</v>
      </c>
      <c r="I216" s="153"/>
      <c r="L216" s="149"/>
      <c r="N216" s="310">
        <f>110.211+110.211</f>
        <v>220.422</v>
      </c>
      <c r="O216" s="359" t="s">
        <v>3369</v>
      </c>
      <c r="Q216" s="231"/>
      <c r="BP216" s="154"/>
      <c r="BW216" s="155"/>
      <c r="CW216" s="150" t="s">
        <v>301</v>
      </c>
      <c r="CX216" s="150" t="s">
        <v>83</v>
      </c>
      <c r="CY216" s="12" t="s">
        <v>83</v>
      </c>
      <c r="CZ216" s="12" t="s">
        <v>32</v>
      </c>
      <c r="DA216" s="12" t="s">
        <v>74</v>
      </c>
      <c r="DB216" s="150" t="s">
        <v>282</v>
      </c>
    </row>
    <row r="217" spans="2:120" s="11" customFormat="1" x14ac:dyDescent="0.2">
      <c r="B217" s="143"/>
      <c r="D217" s="138" t="s">
        <v>301</v>
      </c>
      <c r="E217" s="144" t="s">
        <v>1</v>
      </c>
      <c r="F217" s="145" t="s">
        <v>428</v>
      </c>
      <c r="H217" s="144" t="s">
        <v>1</v>
      </c>
      <c r="I217" s="146"/>
      <c r="L217" s="143"/>
      <c r="N217" s="319"/>
      <c r="O217" s="367"/>
      <c r="Q217" s="230"/>
      <c r="BP217" s="147"/>
      <c r="BW217" s="148"/>
      <c r="CW217" s="144" t="s">
        <v>301</v>
      </c>
      <c r="CX217" s="144" t="s">
        <v>83</v>
      </c>
      <c r="CY217" s="11" t="s">
        <v>81</v>
      </c>
      <c r="CZ217" s="11" t="s">
        <v>32</v>
      </c>
      <c r="DA217" s="11" t="s">
        <v>74</v>
      </c>
      <c r="DB217" s="144" t="s">
        <v>282</v>
      </c>
    </row>
    <row r="218" spans="2:120" s="12" customFormat="1" x14ac:dyDescent="0.2">
      <c r="B218" s="149"/>
      <c r="D218" s="138" t="s">
        <v>301</v>
      </c>
      <c r="E218" s="150" t="s">
        <v>1</v>
      </c>
      <c r="F218" s="151" t="s">
        <v>752</v>
      </c>
      <c r="H218" s="152">
        <v>-47.2</v>
      </c>
      <c r="I218" s="153"/>
      <c r="L218" s="149"/>
      <c r="N218" s="310">
        <f>-N237</f>
        <v>-47.679100000000005</v>
      </c>
      <c r="O218" s="359"/>
      <c r="Q218" s="231"/>
      <c r="BP218" s="154"/>
      <c r="BW218" s="155"/>
      <c r="CW218" s="150" t="s">
        <v>301</v>
      </c>
      <c r="CX218" s="150" t="s">
        <v>83</v>
      </c>
      <c r="CY218" s="12" t="s">
        <v>83</v>
      </c>
      <c r="CZ218" s="12" t="s">
        <v>32</v>
      </c>
      <c r="DA218" s="12" t="s">
        <v>74</v>
      </c>
      <c r="DB218" s="150" t="s">
        <v>282</v>
      </c>
    </row>
    <row r="219" spans="2:120" s="11" customFormat="1" x14ac:dyDescent="0.2">
      <c r="B219" s="143"/>
      <c r="D219" s="138" t="s">
        <v>301</v>
      </c>
      <c r="E219" s="144" t="s">
        <v>1</v>
      </c>
      <c r="F219" s="145" t="s">
        <v>430</v>
      </c>
      <c r="H219" s="144" t="s">
        <v>1</v>
      </c>
      <c r="I219" s="146"/>
      <c r="L219" s="143"/>
      <c r="N219" s="319"/>
      <c r="O219" s="367"/>
      <c r="Q219" s="230"/>
      <c r="BP219" s="147"/>
      <c r="BW219" s="148"/>
      <c r="CW219" s="144" t="s">
        <v>301</v>
      </c>
      <c r="CX219" s="144" t="s">
        <v>83</v>
      </c>
      <c r="CY219" s="11" t="s">
        <v>81</v>
      </c>
      <c r="CZ219" s="11" t="s">
        <v>32</v>
      </c>
      <c r="DA219" s="11" t="s">
        <v>74</v>
      </c>
      <c r="DB219" s="144" t="s">
        <v>282</v>
      </c>
    </row>
    <row r="220" spans="2:120" s="12" customFormat="1" x14ac:dyDescent="0.2">
      <c r="B220" s="149"/>
      <c r="D220" s="138" t="s">
        <v>301</v>
      </c>
      <c r="E220" s="150" t="s">
        <v>1</v>
      </c>
      <c r="F220" s="151" t="s">
        <v>753</v>
      </c>
      <c r="H220" s="152">
        <v>-10.475</v>
      </c>
      <c r="I220" s="153"/>
      <c r="L220" s="149"/>
      <c r="N220" s="310">
        <f>-N257-1.875</f>
        <v>-10.587199999999999</v>
      </c>
      <c r="O220" s="359"/>
      <c r="Q220" s="231"/>
      <c r="BP220" s="154"/>
      <c r="BW220" s="155"/>
      <c r="CW220" s="150" t="s">
        <v>301</v>
      </c>
      <c r="CX220" s="150" t="s">
        <v>83</v>
      </c>
      <c r="CY220" s="12" t="s">
        <v>83</v>
      </c>
      <c r="CZ220" s="12" t="s">
        <v>32</v>
      </c>
      <c r="DA220" s="12" t="s">
        <v>74</v>
      </c>
      <c r="DB220" s="150" t="s">
        <v>282</v>
      </c>
    </row>
    <row r="221" spans="2:120" s="11" customFormat="1" x14ac:dyDescent="0.2">
      <c r="B221" s="143"/>
      <c r="D221" s="138" t="s">
        <v>301</v>
      </c>
      <c r="E221" s="144" t="s">
        <v>1</v>
      </c>
      <c r="F221" s="145" t="s">
        <v>432</v>
      </c>
      <c r="H221" s="144" t="s">
        <v>1</v>
      </c>
      <c r="I221" s="146"/>
      <c r="L221" s="143"/>
      <c r="N221" s="319"/>
      <c r="O221" s="367"/>
      <c r="Q221" s="230"/>
      <c r="BP221" s="147"/>
      <c r="BW221" s="148"/>
      <c r="CW221" s="144" t="s">
        <v>301</v>
      </c>
      <c r="CX221" s="144" t="s">
        <v>83</v>
      </c>
      <c r="CY221" s="11" t="s">
        <v>81</v>
      </c>
      <c r="CZ221" s="11" t="s">
        <v>32</v>
      </c>
      <c r="DA221" s="11" t="s">
        <v>74</v>
      </c>
      <c r="DB221" s="144" t="s">
        <v>282</v>
      </c>
    </row>
    <row r="222" spans="2:120" s="12" customFormat="1" x14ac:dyDescent="0.2">
      <c r="B222" s="149"/>
      <c r="D222" s="138" t="s">
        <v>301</v>
      </c>
      <c r="E222" s="150" t="s">
        <v>1</v>
      </c>
      <c r="F222" s="151" t="s">
        <v>754</v>
      </c>
      <c r="H222" s="152">
        <v>-1.0129999999999999</v>
      </c>
      <c r="I222" s="153"/>
      <c r="L222" s="149"/>
      <c r="N222" s="310">
        <v>-1.0129999999999999</v>
      </c>
      <c r="O222" s="359"/>
      <c r="Q222" s="231"/>
      <c r="BP222" s="154"/>
      <c r="BW222" s="155"/>
      <c r="CW222" s="150" t="s">
        <v>301</v>
      </c>
      <c r="CX222" s="150" t="s">
        <v>83</v>
      </c>
      <c r="CY222" s="12" t="s">
        <v>83</v>
      </c>
      <c r="CZ222" s="12" t="s">
        <v>32</v>
      </c>
      <c r="DA222" s="12" t="s">
        <v>74</v>
      </c>
      <c r="DB222" s="150" t="s">
        <v>282</v>
      </c>
    </row>
    <row r="223" spans="2:120" s="12" customFormat="1" x14ac:dyDescent="0.2">
      <c r="B223" s="149"/>
      <c r="D223" s="138" t="s">
        <v>301</v>
      </c>
      <c r="E223" s="150" t="s">
        <v>1</v>
      </c>
      <c r="F223" s="151" t="s">
        <v>755</v>
      </c>
      <c r="H223" s="152">
        <v>-9.4149999999999991</v>
      </c>
      <c r="I223" s="153"/>
      <c r="L223" s="149"/>
      <c r="N223" s="310">
        <v>-9.4149999999999991</v>
      </c>
      <c r="O223" s="359"/>
      <c r="Q223" s="231"/>
      <c r="BP223" s="154"/>
      <c r="BW223" s="155"/>
      <c r="CW223" s="150" t="s">
        <v>301</v>
      </c>
      <c r="CX223" s="150" t="s">
        <v>83</v>
      </c>
      <c r="CY223" s="12" t="s">
        <v>83</v>
      </c>
      <c r="CZ223" s="12" t="s">
        <v>32</v>
      </c>
      <c r="DA223" s="12" t="s">
        <v>74</v>
      </c>
      <c r="DB223" s="150" t="s">
        <v>282</v>
      </c>
    </row>
    <row r="224" spans="2:120" s="11" customFormat="1" x14ac:dyDescent="0.2">
      <c r="B224" s="143"/>
      <c r="D224" s="138" t="s">
        <v>301</v>
      </c>
      <c r="E224" s="144" t="s">
        <v>1</v>
      </c>
      <c r="F224" s="145" t="s">
        <v>436</v>
      </c>
      <c r="H224" s="144" t="s">
        <v>1</v>
      </c>
      <c r="I224" s="146"/>
      <c r="L224" s="143"/>
      <c r="N224" s="319"/>
      <c r="O224" s="367"/>
      <c r="Q224" s="230"/>
      <c r="BP224" s="147"/>
      <c r="BW224" s="148"/>
      <c r="CW224" s="144" t="s">
        <v>301</v>
      </c>
      <c r="CX224" s="144" t="s">
        <v>83</v>
      </c>
      <c r="CY224" s="11" t="s">
        <v>81</v>
      </c>
      <c r="CZ224" s="11" t="s">
        <v>32</v>
      </c>
      <c r="DA224" s="11" t="s">
        <v>74</v>
      </c>
      <c r="DB224" s="144" t="s">
        <v>282</v>
      </c>
    </row>
    <row r="225" spans="2:120" s="12" customFormat="1" x14ac:dyDescent="0.2">
      <c r="B225" s="149"/>
      <c r="D225" s="138" t="s">
        <v>301</v>
      </c>
      <c r="E225" s="150" t="s">
        <v>1</v>
      </c>
      <c r="F225" s="151" t="s">
        <v>756</v>
      </c>
      <c r="H225" s="152">
        <v>39.746000000000002</v>
      </c>
      <c r="I225" s="153"/>
      <c r="L225" s="149"/>
      <c r="N225" s="310">
        <f>100.487*(0.45-0.05)</f>
        <v>40.194800000000001</v>
      </c>
      <c r="O225" s="359" t="s">
        <v>3374</v>
      </c>
      <c r="Q225" s="231"/>
      <c r="BP225" s="154"/>
      <c r="BW225" s="155"/>
      <c r="CW225" s="150" t="s">
        <v>301</v>
      </c>
      <c r="CX225" s="150" t="s">
        <v>83</v>
      </c>
      <c r="CY225" s="12" t="s">
        <v>83</v>
      </c>
      <c r="CZ225" s="12" t="s">
        <v>32</v>
      </c>
      <c r="DA225" s="12" t="s">
        <v>74</v>
      </c>
      <c r="DB225" s="150" t="s">
        <v>282</v>
      </c>
    </row>
    <row r="226" spans="2:120" s="13" customFormat="1" x14ac:dyDescent="0.2">
      <c r="B226" s="156"/>
      <c r="D226" s="138" t="s">
        <v>301</v>
      </c>
      <c r="E226" s="157" t="s">
        <v>1</v>
      </c>
      <c r="F226" s="158" t="s">
        <v>305</v>
      </c>
      <c r="H226" s="159">
        <v>189.65300000000002</v>
      </c>
      <c r="I226" s="160"/>
      <c r="L226" s="156"/>
      <c r="N226" s="311">
        <f>N216+N218+N220+N222+N223+N225</f>
        <v>191.92250000000001</v>
      </c>
      <c r="O226" s="368"/>
      <c r="Q226" s="232"/>
      <c r="BP226" s="161"/>
      <c r="BW226" s="162"/>
      <c r="CW226" s="157" t="s">
        <v>301</v>
      </c>
      <c r="CX226" s="157" t="s">
        <v>83</v>
      </c>
      <c r="CY226" s="13" t="s">
        <v>95</v>
      </c>
      <c r="CZ226" s="13" t="s">
        <v>32</v>
      </c>
      <c r="DA226" s="13" t="s">
        <v>81</v>
      </c>
      <c r="DB226" s="157" t="s">
        <v>282</v>
      </c>
    </row>
    <row r="227" spans="2:120" s="13" customFormat="1" x14ac:dyDescent="0.2">
      <c r="B227" s="156"/>
      <c r="D227" s="138"/>
      <c r="E227" s="157"/>
      <c r="F227" s="158"/>
      <c r="H227" s="159"/>
      <c r="I227" s="160"/>
      <c r="L227" s="156"/>
      <c r="N227" s="311">
        <f>N226-H226</f>
        <v>2.2694999999999936</v>
      </c>
      <c r="O227" s="220"/>
      <c r="Q227" s="232"/>
      <c r="BP227" s="161"/>
      <c r="BW227" s="162"/>
      <c r="CW227" s="157"/>
      <c r="CX227" s="157"/>
      <c r="DB227" s="157"/>
    </row>
    <row r="228" spans="2:120" s="1" customFormat="1" ht="14.45" customHeight="1" x14ac:dyDescent="0.2">
      <c r="B228" s="124"/>
      <c r="C228" s="170" t="s">
        <v>7</v>
      </c>
      <c r="D228" s="170" t="s">
        <v>439</v>
      </c>
      <c r="E228" s="171" t="s">
        <v>440</v>
      </c>
      <c r="F228" s="172" t="s">
        <v>441</v>
      </c>
      <c r="G228" s="173" t="s">
        <v>418</v>
      </c>
      <c r="H228" s="174">
        <v>379.30599999999998</v>
      </c>
      <c r="I228" s="175">
        <v>390.0974172</v>
      </c>
      <c r="J228" s="176">
        <f>ROUND(I228*H228,2)</f>
        <v>147966.29</v>
      </c>
      <c r="K228" s="172" t="s">
        <v>293</v>
      </c>
      <c r="L228" s="268">
        <f>S228</f>
        <v>0</v>
      </c>
      <c r="M228" s="272">
        <f>ROUND(L228*I228,2)</f>
        <v>0</v>
      </c>
      <c r="N228" s="243">
        <f>N231</f>
        <v>4.5389999999999873</v>
      </c>
      <c r="O228" s="294">
        <f>ROUND(N228*I228,2)</f>
        <v>1770.65</v>
      </c>
      <c r="P228" s="273">
        <f>H228-L228-N228</f>
        <v>374.767</v>
      </c>
      <c r="Q228" s="287">
        <f>ROUND(P228*I228,2)</f>
        <v>146195.64000000001</v>
      </c>
      <c r="R228" s="137"/>
      <c r="S228" s="269">
        <f>W228+Y228+AA228+AC228+AE228+AG228+AI228+AK228+AM228</f>
        <v>0</v>
      </c>
      <c r="T228" s="269">
        <f>ROUND(S228*I228,2)</f>
        <v>0</v>
      </c>
      <c r="U228" s="269">
        <f>H228-S228</f>
        <v>379.30599999999998</v>
      </c>
      <c r="V228" s="269">
        <f>ROUND(U228*I228,2)</f>
        <v>147966.29</v>
      </c>
      <c r="W228" s="290"/>
      <c r="X228" s="290"/>
      <c r="Y228" s="290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90"/>
      <c r="AK228" s="290"/>
      <c r="AL228" s="290"/>
      <c r="AM228" s="290"/>
      <c r="AN228" s="290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77" t="s">
        <v>1</v>
      </c>
      <c r="BQ228" s="178" t="s">
        <v>40</v>
      </c>
      <c r="BS228" s="134">
        <f>BR228*H228</f>
        <v>0</v>
      </c>
      <c r="BT228" s="134">
        <v>1</v>
      </c>
      <c r="BU228" s="134">
        <f>BT228*H228</f>
        <v>379.30599999999998</v>
      </c>
      <c r="BV228" s="134">
        <v>0</v>
      </c>
      <c r="BW228" s="135">
        <f>BV228*H228</f>
        <v>0</v>
      </c>
      <c r="CU228" s="136" t="s">
        <v>328</v>
      </c>
      <c r="CW228" s="136" t="s">
        <v>439</v>
      </c>
      <c r="CX228" s="136" t="s">
        <v>83</v>
      </c>
      <c r="DB228" s="16" t="s">
        <v>282</v>
      </c>
      <c r="DH228" s="137">
        <f>IF(BQ228="základní",J228,0)</f>
        <v>147966.29</v>
      </c>
      <c r="DI228" s="137">
        <f>IF(BQ228="snížená",J228,0)</f>
        <v>0</v>
      </c>
      <c r="DJ228" s="137">
        <f>IF(BQ228="zákl. přenesená",J228,0)</f>
        <v>0</v>
      </c>
      <c r="DK228" s="137">
        <f>IF(BQ228="sníž. přenesená",J228,0)</f>
        <v>0</v>
      </c>
      <c r="DL228" s="137">
        <f>IF(BQ228="nulová",J228,0)</f>
        <v>0</v>
      </c>
      <c r="DM228" s="16" t="s">
        <v>81</v>
      </c>
      <c r="DN228" s="137">
        <f>ROUND(I228*H228,2)</f>
        <v>147966.29</v>
      </c>
      <c r="DO228" s="16" t="s">
        <v>95</v>
      </c>
      <c r="DP228" s="136" t="s">
        <v>442</v>
      </c>
    </row>
    <row r="229" spans="2:120" s="1" customFormat="1" x14ac:dyDescent="0.2">
      <c r="B229" s="31"/>
      <c r="D229" s="138" t="s">
        <v>289</v>
      </c>
      <c r="F229" s="139" t="s">
        <v>441</v>
      </c>
      <c r="I229" s="140"/>
      <c r="L229" s="31"/>
      <c r="N229" s="213"/>
      <c r="O229" s="214"/>
      <c r="Q229" s="229"/>
      <c r="BP229" s="141"/>
      <c r="BW229" s="50"/>
      <c r="CW229" s="16" t="s">
        <v>289</v>
      </c>
      <c r="CX229" s="16" t="s">
        <v>83</v>
      </c>
    </row>
    <row r="230" spans="2:120" s="1" customFormat="1" ht="19.5" x14ac:dyDescent="0.2">
      <c r="B230" s="31"/>
      <c r="D230" s="138" t="s">
        <v>299</v>
      </c>
      <c r="F230" s="142" t="s">
        <v>443</v>
      </c>
      <c r="I230" s="140"/>
      <c r="L230" s="31"/>
      <c r="N230" s="213"/>
      <c r="O230" s="214"/>
      <c r="Q230" s="229"/>
      <c r="BP230" s="141"/>
      <c r="BW230" s="50"/>
      <c r="CW230" s="16" t="s">
        <v>299</v>
      </c>
      <c r="CX230" s="16" t="s">
        <v>83</v>
      </c>
    </row>
    <row r="231" spans="2:120" s="12" customFormat="1" x14ac:dyDescent="0.2">
      <c r="B231" s="149"/>
      <c r="D231" s="138" t="s">
        <v>301</v>
      </c>
      <c r="F231" s="151" t="s">
        <v>757</v>
      </c>
      <c r="H231" s="152">
        <v>379.30599999999998</v>
      </c>
      <c r="I231" s="153"/>
      <c r="L231" s="149"/>
      <c r="N231" s="313">
        <f>N227*2</f>
        <v>4.5389999999999873</v>
      </c>
      <c r="O231" s="218"/>
      <c r="Q231" s="231"/>
      <c r="BP231" s="154"/>
      <c r="BW231" s="155"/>
      <c r="CW231" s="150" t="s">
        <v>301</v>
      </c>
      <c r="CX231" s="150" t="s">
        <v>83</v>
      </c>
      <c r="CY231" s="12" t="s">
        <v>83</v>
      </c>
      <c r="CZ231" s="12" t="s">
        <v>3</v>
      </c>
      <c r="DA231" s="12" t="s">
        <v>81</v>
      </c>
      <c r="DB231" s="150" t="s">
        <v>282</v>
      </c>
    </row>
    <row r="232" spans="2:120" s="1" customFormat="1" ht="24.2" customHeight="1" x14ac:dyDescent="0.2">
      <c r="B232" s="124"/>
      <c r="C232" s="125" t="s">
        <v>415</v>
      </c>
      <c r="D232" s="125" t="s">
        <v>284</v>
      </c>
      <c r="E232" s="126" t="s">
        <v>446</v>
      </c>
      <c r="F232" s="127" t="s">
        <v>447</v>
      </c>
      <c r="G232" s="128" t="s">
        <v>366</v>
      </c>
      <c r="H232" s="129">
        <v>47.2</v>
      </c>
      <c r="I232" s="130">
        <v>510.38291484661499</v>
      </c>
      <c r="J232" s="131">
        <f>ROUND(I232*H232,2)</f>
        <v>24090.07</v>
      </c>
      <c r="K232" s="127" t="s">
        <v>293</v>
      </c>
      <c r="L232" s="268">
        <f>S232</f>
        <v>0</v>
      </c>
      <c r="M232" s="272">
        <f>ROUND(L232*I232,2)</f>
        <v>0</v>
      </c>
      <c r="N232" s="243">
        <f>N238</f>
        <v>0.47910000000000252</v>
      </c>
      <c r="O232" s="294">
        <f>ROUND(N232*I232,2)</f>
        <v>244.52</v>
      </c>
      <c r="P232" s="273">
        <f>H232-L232-N232</f>
        <v>46.7209</v>
      </c>
      <c r="Q232" s="287">
        <f>ROUND(P232*I232,2)</f>
        <v>23845.55</v>
      </c>
      <c r="R232" s="137"/>
      <c r="S232" s="269">
        <f>W232+Y232+AA232+AC232+AE232+AG232+AI232+AK232+AM232</f>
        <v>0</v>
      </c>
      <c r="T232" s="269">
        <f>ROUND(S232*I232,2)</f>
        <v>0</v>
      </c>
      <c r="U232" s="269">
        <f>H232-S232</f>
        <v>47.2</v>
      </c>
      <c r="V232" s="269">
        <f>ROUND(U232*I232,2)</f>
        <v>24090.07</v>
      </c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BP232" s="132" t="s">
        <v>1</v>
      </c>
      <c r="BQ232" s="133" t="s">
        <v>40</v>
      </c>
      <c r="BS232" s="134">
        <f>BR232*H232</f>
        <v>0</v>
      </c>
      <c r="BT232" s="134">
        <v>0</v>
      </c>
      <c r="BU232" s="134">
        <f>BT232*H232</f>
        <v>0</v>
      </c>
      <c r="BV232" s="134">
        <v>0</v>
      </c>
      <c r="BW232" s="135">
        <f>BV232*H232</f>
        <v>0</v>
      </c>
      <c r="CU232" s="136" t="s">
        <v>95</v>
      </c>
      <c r="CW232" s="136" t="s">
        <v>284</v>
      </c>
      <c r="CX232" s="136" t="s">
        <v>83</v>
      </c>
      <c r="DB232" s="16" t="s">
        <v>282</v>
      </c>
      <c r="DH232" s="137">
        <f>IF(BQ232="základní",J232,0)</f>
        <v>24090.07</v>
      </c>
      <c r="DI232" s="137">
        <f>IF(BQ232="snížená",J232,0)</f>
        <v>0</v>
      </c>
      <c r="DJ232" s="137">
        <f>IF(BQ232="zákl. přenesená",J232,0)</f>
        <v>0</v>
      </c>
      <c r="DK232" s="137">
        <f>IF(BQ232="sníž. přenesená",J232,0)</f>
        <v>0</v>
      </c>
      <c r="DL232" s="137">
        <f>IF(BQ232="nulová",J232,0)</f>
        <v>0</v>
      </c>
      <c r="DM232" s="16" t="s">
        <v>81</v>
      </c>
      <c r="DN232" s="137">
        <f>ROUND(I232*H232,2)</f>
        <v>24090.07</v>
      </c>
      <c r="DO232" s="16" t="s">
        <v>95</v>
      </c>
      <c r="DP232" s="136" t="s">
        <v>448</v>
      </c>
    </row>
    <row r="233" spans="2:120" s="1" customFormat="1" ht="39" x14ac:dyDescent="0.2">
      <c r="B233" s="31"/>
      <c r="D233" s="138" t="s">
        <v>289</v>
      </c>
      <c r="F233" s="139" t="s">
        <v>449</v>
      </c>
      <c r="I233" s="140"/>
      <c r="L233" s="31"/>
      <c r="N233" s="213"/>
      <c r="O233" s="214"/>
      <c r="Q233" s="229"/>
      <c r="BP233" s="141"/>
      <c r="BW233" s="50"/>
      <c r="CW233" s="16" t="s">
        <v>289</v>
      </c>
      <c r="CX233" s="16" t="s">
        <v>83</v>
      </c>
    </row>
    <row r="234" spans="2:120" s="1" customFormat="1" ht="19.5" x14ac:dyDescent="0.2">
      <c r="B234" s="31"/>
      <c r="D234" s="138" t="s">
        <v>299</v>
      </c>
      <c r="F234" s="142" t="s">
        <v>317</v>
      </c>
      <c r="I234" s="140"/>
      <c r="L234" s="31"/>
      <c r="N234" s="213"/>
      <c r="O234" s="214"/>
      <c r="Q234" s="229"/>
      <c r="BP234" s="141"/>
      <c r="BW234" s="50"/>
      <c r="CW234" s="16" t="s">
        <v>299</v>
      </c>
      <c r="CX234" s="16" t="s">
        <v>83</v>
      </c>
    </row>
    <row r="235" spans="2:120" s="12" customFormat="1" x14ac:dyDescent="0.2">
      <c r="B235" s="149"/>
      <c r="D235" s="138" t="s">
        <v>301</v>
      </c>
      <c r="E235" s="150" t="s">
        <v>1</v>
      </c>
      <c r="F235" s="151" t="s">
        <v>758</v>
      </c>
      <c r="H235" s="152">
        <v>1</v>
      </c>
      <c r="I235" s="153"/>
      <c r="L235" s="149"/>
      <c r="N235" s="217">
        <f>4.76*1*0.5</f>
        <v>2.38</v>
      </c>
      <c r="O235" s="359" t="s">
        <v>3370</v>
      </c>
      <c r="Q235" s="231"/>
      <c r="BP235" s="154"/>
      <c r="BW235" s="155"/>
      <c r="CW235" s="150" t="s">
        <v>301</v>
      </c>
      <c r="CX235" s="150" t="s">
        <v>83</v>
      </c>
      <c r="CY235" s="12" t="s">
        <v>83</v>
      </c>
      <c r="CZ235" s="12" t="s">
        <v>32</v>
      </c>
      <c r="DA235" s="12" t="s">
        <v>74</v>
      </c>
      <c r="DB235" s="150" t="s">
        <v>282</v>
      </c>
    </row>
    <row r="236" spans="2:120" s="12" customFormat="1" x14ac:dyDescent="0.2">
      <c r="B236" s="149"/>
      <c r="D236" s="138" t="s">
        <v>301</v>
      </c>
      <c r="E236" s="150" t="s">
        <v>1</v>
      </c>
      <c r="F236" s="151" t="s">
        <v>759</v>
      </c>
      <c r="H236" s="152">
        <v>46.2</v>
      </c>
      <c r="I236" s="153"/>
      <c r="L236" s="149"/>
      <c r="N236" s="313">
        <f>78.44*1.05*0.55</f>
        <v>45.299100000000003</v>
      </c>
      <c r="O236" s="359" t="s">
        <v>3371</v>
      </c>
      <c r="Q236" s="231"/>
      <c r="BP236" s="154"/>
      <c r="BW236" s="155"/>
      <c r="CW236" s="150" t="s">
        <v>301</v>
      </c>
      <c r="CX236" s="150" t="s">
        <v>83</v>
      </c>
      <c r="CY236" s="12" t="s">
        <v>83</v>
      </c>
      <c r="CZ236" s="12" t="s">
        <v>32</v>
      </c>
      <c r="DA236" s="12" t="s">
        <v>74</v>
      </c>
      <c r="DB236" s="150" t="s">
        <v>282</v>
      </c>
    </row>
    <row r="237" spans="2:120" s="13" customFormat="1" x14ac:dyDescent="0.2">
      <c r="B237" s="156"/>
      <c r="D237" s="138" t="s">
        <v>301</v>
      </c>
      <c r="E237" s="157" t="s">
        <v>1</v>
      </c>
      <c r="F237" s="158" t="s">
        <v>305</v>
      </c>
      <c r="H237" s="159">
        <v>47.2</v>
      </c>
      <c r="I237" s="160"/>
      <c r="L237" s="156"/>
      <c r="N237" s="316">
        <f>N235+N236</f>
        <v>47.679100000000005</v>
      </c>
      <c r="O237" s="220"/>
      <c r="Q237" s="232"/>
      <c r="BP237" s="161"/>
      <c r="BW237" s="162"/>
      <c r="CW237" s="157" t="s">
        <v>301</v>
      </c>
      <c r="CX237" s="157" t="s">
        <v>83</v>
      </c>
      <c r="CY237" s="13" t="s">
        <v>95</v>
      </c>
      <c r="CZ237" s="13" t="s">
        <v>32</v>
      </c>
      <c r="DA237" s="13" t="s">
        <v>81</v>
      </c>
      <c r="DB237" s="157" t="s">
        <v>282</v>
      </c>
    </row>
    <row r="238" spans="2:120" s="13" customFormat="1" x14ac:dyDescent="0.2">
      <c r="B238" s="156"/>
      <c r="D238" s="138"/>
      <c r="E238" s="157"/>
      <c r="F238" s="158"/>
      <c r="H238" s="159"/>
      <c r="I238" s="160"/>
      <c r="L238" s="156"/>
      <c r="N238" s="316">
        <f>N237-H237</f>
        <v>0.47910000000000252</v>
      </c>
      <c r="O238" s="220"/>
      <c r="Q238" s="232"/>
      <c r="BP238" s="161"/>
      <c r="BW238" s="162"/>
      <c r="CW238" s="157"/>
      <c r="CX238" s="157"/>
      <c r="DB238" s="157"/>
    </row>
    <row r="239" spans="2:120" s="1" customFormat="1" ht="14.45" customHeight="1" x14ac:dyDescent="0.2">
      <c r="B239" s="124"/>
      <c r="C239" s="170" t="s">
        <v>422</v>
      </c>
      <c r="D239" s="170" t="s">
        <v>439</v>
      </c>
      <c r="E239" s="171" t="s">
        <v>452</v>
      </c>
      <c r="F239" s="172" t="s">
        <v>453</v>
      </c>
      <c r="G239" s="173" t="s">
        <v>418</v>
      </c>
      <c r="H239" s="174">
        <v>94.4</v>
      </c>
      <c r="I239" s="175">
        <v>380.62816190000001</v>
      </c>
      <c r="J239" s="176">
        <f>ROUND(I239*H239,2)</f>
        <v>35931.300000000003</v>
      </c>
      <c r="K239" s="172" t="s">
        <v>293</v>
      </c>
      <c r="L239" s="268">
        <f>S239</f>
        <v>0</v>
      </c>
      <c r="M239" s="272">
        <f>ROUND(L239*I239,2)</f>
        <v>0</v>
      </c>
      <c r="N239" s="243">
        <f>N241</f>
        <v>0.95820000000000505</v>
      </c>
      <c r="O239" s="294">
        <f>ROUND(N239*I239,2)</f>
        <v>364.72</v>
      </c>
      <c r="P239" s="273">
        <f>H239-L239-N239</f>
        <v>93.441800000000001</v>
      </c>
      <c r="Q239" s="287">
        <f>ROUND(P239*I239,2)</f>
        <v>35566.58</v>
      </c>
      <c r="R239" s="137"/>
      <c r="S239" s="269">
        <f>W239+Y239+AA239+AC239+AE239+AG239+AI239+AK239+AM239</f>
        <v>0</v>
      </c>
      <c r="T239" s="269">
        <f>ROUND(S239*I239,2)</f>
        <v>0</v>
      </c>
      <c r="U239" s="269">
        <f>H239-S239</f>
        <v>94.4</v>
      </c>
      <c r="V239" s="269">
        <f>ROUND(U239*I239,2)</f>
        <v>35931.300000000003</v>
      </c>
      <c r="W239" s="290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0"/>
      <c r="AM239" s="290"/>
      <c r="AN239" s="290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77" t="s">
        <v>1</v>
      </c>
      <c r="BQ239" s="178" t="s">
        <v>40</v>
      </c>
      <c r="BS239" s="134">
        <f>BR239*H239</f>
        <v>0</v>
      </c>
      <c r="BT239" s="134">
        <v>1</v>
      </c>
      <c r="BU239" s="134">
        <f>BT239*H239</f>
        <v>94.4</v>
      </c>
      <c r="BV239" s="134">
        <v>0</v>
      </c>
      <c r="BW239" s="135">
        <f>BV239*H239</f>
        <v>0</v>
      </c>
      <c r="CU239" s="136" t="s">
        <v>328</v>
      </c>
      <c r="CW239" s="136" t="s">
        <v>439</v>
      </c>
      <c r="CX239" s="136" t="s">
        <v>83</v>
      </c>
      <c r="DB239" s="16" t="s">
        <v>282</v>
      </c>
      <c r="DH239" s="137">
        <f>IF(BQ239="základní",J239,0)</f>
        <v>35931.300000000003</v>
      </c>
      <c r="DI239" s="137">
        <f>IF(BQ239="snížená",J239,0)</f>
        <v>0</v>
      </c>
      <c r="DJ239" s="137">
        <f>IF(BQ239="zákl. přenesená",J239,0)</f>
        <v>0</v>
      </c>
      <c r="DK239" s="137">
        <f>IF(BQ239="sníž. přenesená",J239,0)</f>
        <v>0</v>
      </c>
      <c r="DL239" s="137">
        <f>IF(BQ239="nulová",J239,0)</f>
        <v>0</v>
      </c>
      <c r="DM239" s="16" t="s">
        <v>81</v>
      </c>
      <c r="DN239" s="137">
        <f>ROUND(I239*H239,2)</f>
        <v>35931.300000000003</v>
      </c>
      <c r="DO239" s="16" t="s">
        <v>95</v>
      </c>
      <c r="DP239" s="136" t="s">
        <v>454</v>
      </c>
    </row>
    <row r="240" spans="2:120" s="1" customFormat="1" x14ac:dyDescent="0.2">
      <c r="B240" s="31"/>
      <c r="D240" s="138" t="s">
        <v>289</v>
      </c>
      <c r="F240" s="139" t="s">
        <v>453</v>
      </c>
      <c r="I240" s="140"/>
      <c r="L240" s="31"/>
      <c r="N240" s="213"/>
      <c r="O240" s="214"/>
      <c r="Q240" s="229"/>
      <c r="BP240" s="141"/>
      <c r="BW240" s="50"/>
      <c r="CW240" s="16" t="s">
        <v>289</v>
      </c>
      <c r="CX240" s="16" t="s">
        <v>83</v>
      </c>
    </row>
    <row r="241" spans="2:120" s="12" customFormat="1" x14ac:dyDescent="0.2">
      <c r="B241" s="149"/>
      <c r="D241" s="138" t="s">
        <v>301</v>
      </c>
      <c r="F241" s="151" t="s">
        <v>760</v>
      </c>
      <c r="H241" s="152">
        <v>94.4</v>
      </c>
      <c r="I241" s="153"/>
      <c r="L241" s="149"/>
      <c r="N241" s="217">
        <f>N232*2</f>
        <v>0.95820000000000505</v>
      </c>
      <c r="O241" s="218"/>
      <c r="Q241" s="231"/>
      <c r="BP241" s="154"/>
      <c r="BW241" s="155"/>
      <c r="CW241" s="150" t="s">
        <v>301</v>
      </c>
      <c r="CX241" s="150" t="s">
        <v>83</v>
      </c>
      <c r="CY241" s="12" t="s">
        <v>83</v>
      </c>
      <c r="CZ241" s="12" t="s">
        <v>3</v>
      </c>
      <c r="DA241" s="12" t="s">
        <v>81</v>
      </c>
      <c r="DB241" s="150" t="s">
        <v>282</v>
      </c>
    </row>
    <row r="242" spans="2:120" s="1" customFormat="1" ht="24.2" customHeight="1" x14ac:dyDescent="0.2">
      <c r="B242" s="124"/>
      <c r="C242" s="125" t="s">
        <v>438</v>
      </c>
      <c r="D242" s="125" t="s">
        <v>284</v>
      </c>
      <c r="E242" s="126" t="s">
        <v>457</v>
      </c>
      <c r="F242" s="127" t="s">
        <v>458</v>
      </c>
      <c r="G242" s="128" t="s">
        <v>418</v>
      </c>
      <c r="H242" s="129">
        <v>473.70600000000002</v>
      </c>
      <c r="I242" s="130">
        <v>61.737071122597108</v>
      </c>
      <c r="J242" s="131">
        <f>ROUND(I242*H242,2)</f>
        <v>29245.22</v>
      </c>
      <c r="K242" s="127" t="s">
        <v>293</v>
      </c>
      <c r="L242" s="268">
        <f>S242</f>
        <v>0</v>
      </c>
      <c r="M242" s="272">
        <f>ROUND(L242*I242,2)</f>
        <v>0</v>
      </c>
      <c r="N242" s="243">
        <f>N244</f>
        <v>5.4971999999999923</v>
      </c>
      <c r="O242" s="294">
        <f>ROUND(N242*I242,2)</f>
        <v>339.38</v>
      </c>
      <c r="P242" s="273">
        <f>H242-L242-N242</f>
        <v>468.2088</v>
      </c>
      <c r="Q242" s="287">
        <f>ROUND(P242*I242,2)</f>
        <v>28905.84</v>
      </c>
      <c r="R242" s="137"/>
      <c r="S242" s="269">
        <f>W242+Y242+AA242+AC242+AE242+AG242+AI242+AK242+AM242</f>
        <v>0</v>
      </c>
      <c r="T242" s="269">
        <f>ROUND(S242*I242,2)</f>
        <v>0</v>
      </c>
      <c r="U242" s="269">
        <f>H242-S242</f>
        <v>473.70600000000002</v>
      </c>
      <c r="V242" s="269">
        <f>ROUND(U242*I242,2)</f>
        <v>29245.22</v>
      </c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BP242" s="132" t="s">
        <v>1</v>
      </c>
      <c r="BQ242" s="133" t="s">
        <v>40</v>
      </c>
      <c r="BS242" s="134">
        <f>BR242*H242</f>
        <v>0</v>
      </c>
      <c r="BT242" s="134">
        <v>0</v>
      </c>
      <c r="BU242" s="134">
        <f>BT242*H242</f>
        <v>0</v>
      </c>
      <c r="BV242" s="134">
        <v>0</v>
      </c>
      <c r="BW242" s="135">
        <f>BV242*H242</f>
        <v>0</v>
      </c>
      <c r="CU242" s="136" t="s">
        <v>95</v>
      </c>
      <c r="CW242" s="136" t="s">
        <v>284</v>
      </c>
      <c r="CX242" s="136" t="s">
        <v>83</v>
      </c>
      <c r="DB242" s="16" t="s">
        <v>282</v>
      </c>
      <c r="DH242" s="137">
        <f>IF(BQ242="základní",J242,0)</f>
        <v>29245.22</v>
      </c>
      <c r="DI242" s="137">
        <f>IF(BQ242="snížená",J242,0)</f>
        <v>0</v>
      </c>
      <c r="DJ242" s="137">
        <f>IF(BQ242="zákl. přenesená",J242,0)</f>
        <v>0</v>
      </c>
      <c r="DK242" s="137">
        <f>IF(BQ242="sníž. přenesená",J242,0)</f>
        <v>0</v>
      </c>
      <c r="DL242" s="137">
        <f>IF(BQ242="nulová",J242,0)</f>
        <v>0</v>
      </c>
      <c r="DM242" s="16" t="s">
        <v>81</v>
      </c>
      <c r="DN242" s="137">
        <f>ROUND(I242*H242,2)</f>
        <v>29245.22</v>
      </c>
      <c r="DO242" s="16" t="s">
        <v>95</v>
      </c>
      <c r="DP242" s="136" t="s">
        <v>459</v>
      </c>
    </row>
    <row r="243" spans="2:120" s="1" customFormat="1" ht="29.25" x14ac:dyDescent="0.2">
      <c r="B243" s="31"/>
      <c r="D243" s="138" t="s">
        <v>289</v>
      </c>
      <c r="F243" s="139" t="s">
        <v>460</v>
      </c>
      <c r="I243" s="140"/>
      <c r="L243" s="31"/>
      <c r="N243" s="213"/>
      <c r="O243" s="214"/>
      <c r="Q243" s="229"/>
      <c r="BP243" s="141"/>
      <c r="BW243" s="50"/>
      <c r="CW243" s="16" t="s">
        <v>289</v>
      </c>
      <c r="CX243" s="16" t="s">
        <v>83</v>
      </c>
    </row>
    <row r="244" spans="2:120" s="12" customFormat="1" x14ac:dyDescent="0.2">
      <c r="B244" s="149"/>
      <c r="D244" s="138" t="s">
        <v>301</v>
      </c>
      <c r="E244" s="150" t="s">
        <v>1</v>
      </c>
      <c r="F244" s="151" t="s">
        <v>761</v>
      </c>
      <c r="H244" s="152">
        <v>473.70600000000002</v>
      </c>
      <c r="I244" s="153"/>
      <c r="L244" s="149"/>
      <c r="N244" s="313">
        <f>N228+N239</f>
        <v>5.4971999999999923</v>
      </c>
      <c r="O244" s="218"/>
      <c r="Q244" s="231"/>
      <c r="BP244" s="154"/>
      <c r="BW244" s="155"/>
      <c r="CW244" s="150" t="s">
        <v>301</v>
      </c>
      <c r="CX244" s="150" t="s">
        <v>83</v>
      </c>
      <c r="CY244" s="12" t="s">
        <v>83</v>
      </c>
      <c r="CZ244" s="12" t="s">
        <v>32</v>
      </c>
      <c r="DA244" s="12" t="s">
        <v>81</v>
      </c>
      <c r="DB244" s="150" t="s">
        <v>282</v>
      </c>
    </row>
    <row r="245" spans="2:120" s="10" customFormat="1" ht="22.9" customHeight="1" x14ac:dyDescent="0.2">
      <c r="B245" s="112"/>
      <c r="D245" s="113" t="s">
        <v>73</v>
      </c>
      <c r="E245" s="122" t="s">
        <v>83</v>
      </c>
      <c r="F245" s="122" t="s">
        <v>462</v>
      </c>
      <c r="I245" s="115"/>
      <c r="J245" s="123">
        <f>DN245</f>
        <v>21653.599999999999</v>
      </c>
      <c r="L245" s="112"/>
      <c r="M245" s="291">
        <f>M246</f>
        <v>0</v>
      </c>
      <c r="N245" s="295"/>
      <c r="O245" s="296">
        <f t="shared" ref="O245:V245" si="5">O246</f>
        <v>316.88</v>
      </c>
      <c r="P245" s="291"/>
      <c r="Q245" s="298">
        <f t="shared" si="5"/>
        <v>21336.720000000001</v>
      </c>
      <c r="R245" s="291"/>
      <c r="S245" s="291"/>
      <c r="T245" s="291">
        <f t="shared" si="5"/>
        <v>0</v>
      </c>
      <c r="U245" s="291"/>
      <c r="V245" s="291">
        <f t="shared" si="5"/>
        <v>21653.599999999999</v>
      </c>
      <c r="BP245" s="117"/>
      <c r="BS245" s="118">
        <f>SUM(BS246:BS249)</f>
        <v>0</v>
      </c>
      <c r="BU245" s="118">
        <f>SUM(BU246:BU249)</f>
        <v>16.784580000000002</v>
      </c>
      <c r="BW245" s="119">
        <f>SUM(BW246:BW249)</f>
        <v>0</v>
      </c>
      <c r="CU245" s="113" t="s">
        <v>81</v>
      </c>
      <c r="CW245" s="120" t="s">
        <v>73</v>
      </c>
      <c r="CX245" s="120" t="s">
        <v>81</v>
      </c>
      <c r="DB245" s="113" t="s">
        <v>282</v>
      </c>
      <c r="DN245" s="121">
        <f>SUM(DN246:DN249)</f>
        <v>21653.599999999999</v>
      </c>
    </row>
    <row r="246" spans="2:120" s="1" customFormat="1" ht="37.9" customHeight="1" x14ac:dyDescent="0.2">
      <c r="B246" s="124"/>
      <c r="C246" s="125" t="s">
        <v>445</v>
      </c>
      <c r="D246" s="125" t="s">
        <v>284</v>
      </c>
      <c r="E246" s="126" t="s">
        <v>464</v>
      </c>
      <c r="F246" s="127" t="s">
        <v>465</v>
      </c>
      <c r="G246" s="128" t="s">
        <v>344</v>
      </c>
      <c r="H246" s="129">
        <v>82</v>
      </c>
      <c r="I246" s="130">
        <v>264.06831423630393</v>
      </c>
      <c r="J246" s="131">
        <f>ROUND(I246*H246,2)</f>
        <v>21653.599999999999</v>
      </c>
      <c r="K246" s="127" t="s">
        <v>293</v>
      </c>
      <c r="L246" s="268">
        <f>S246</f>
        <v>0</v>
      </c>
      <c r="M246" s="272">
        <f>ROUND(L246*I246,2)</f>
        <v>0</v>
      </c>
      <c r="N246" s="243">
        <f>N250</f>
        <v>1.2000000000000028</v>
      </c>
      <c r="O246" s="294">
        <f>ROUND(N246*I246,2)</f>
        <v>316.88</v>
      </c>
      <c r="P246" s="273">
        <f>H246-L246-N246</f>
        <v>80.8</v>
      </c>
      <c r="Q246" s="287">
        <f>ROUND(P246*I246,2)</f>
        <v>21336.720000000001</v>
      </c>
      <c r="R246" s="137"/>
      <c r="S246" s="269">
        <f>W246+Y246+AA246+AC246+AE246+AG246+AI246+AK246+AM246</f>
        <v>0</v>
      </c>
      <c r="T246" s="269">
        <f>ROUND(S246*I246,2)</f>
        <v>0</v>
      </c>
      <c r="U246" s="269">
        <f>H246-S246</f>
        <v>82</v>
      </c>
      <c r="V246" s="269">
        <f>ROUND(U246*I246,2)</f>
        <v>21653.599999999999</v>
      </c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BP246" s="132" t="s">
        <v>1</v>
      </c>
      <c r="BQ246" s="133" t="s">
        <v>40</v>
      </c>
      <c r="BS246" s="134">
        <f>BR246*H246</f>
        <v>0</v>
      </c>
      <c r="BT246" s="134">
        <v>0.20469000000000001</v>
      </c>
      <c r="BU246" s="134">
        <f>BT246*H246</f>
        <v>16.784580000000002</v>
      </c>
      <c r="BV246" s="134">
        <v>0</v>
      </c>
      <c r="BW246" s="135">
        <f>BV246*H246</f>
        <v>0</v>
      </c>
      <c r="CU246" s="136" t="s">
        <v>95</v>
      </c>
      <c r="CW246" s="136" t="s">
        <v>284</v>
      </c>
      <c r="CX246" s="136" t="s">
        <v>83</v>
      </c>
      <c r="DB246" s="16" t="s">
        <v>282</v>
      </c>
      <c r="DH246" s="137">
        <f>IF(BQ246="základní",J246,0)</f>
        <v>21653.599999999999</v>
      </c>
      <c r="DI246" s="137">
        <f>IF(BQ246="snížená",J246,0)</f>
        <v>0</v>
      </c>
      <c r="DJ246" s="137">
        <f>IF(BQ246="zákl. přenesená",J246,0)</f>
        <v>0</v>
      </c>
      <c r="DK246" s="137">
        <f>IF(BQ246="sníž. přenesená",J246,0)</f>
        <v>0</v>
      </c>
      <c r="DL246" s="137">
        <f>IF(BQ246="nulová",J246,0)</f>
        <v>0</v>
      </c>
      <c r="DM246" s="16" t="s">
        <v>81</v>
      </c>
      <c r="DN246" s="137">
        <f>ROUND(I246*H246,2)</f>
        <v>21653.599999999999</v>
      </c>
      <c r="DO246" s="16" t="s">
        <v>95</v>
      </c>
      <c r="DP246" s="136" t="s">
        <v>466</v>
      </c>
    </row>
    <row r="247" spans="2:120" s="1" customFormat="1" ht="39" x14ac:dyDescent="0.2">
      <c r="B247" s="31"/>
      <c r="D247" s="138" t="s">
        <v>289</v>
      </c>
      <c r="F247" s="139" t="s">
        <v>467</v>
      </c>
      <c r="I247" s="140"/>
      <c r="L247" s="31"/>
      <c r="N247" s="213"/>
      <c r="O247" s="214"/>
      <c r="Q247" s="229"/>
      <c r="BP247" s="141"/>
      <c r="BW247" s="50"/>
      <c r="CW247" s="16" t="s">
        <v>289</v>
      </c>
      <c r="CX247" s="16" t="s">
        <v>83</v>
      </c>
    </row>
    <row r="248" spans="2:120" s="1" customFormat="1" ht="19.5" x14ac:dyDescent="0.2">
      <c r="B248" s="31"/>
      <c r="D248" s="138" t="s">
        <v>299</v>
      </c>
      <c r="F248" s="142" t="s">
        <v>317</v>
      </c>
      <c r="I248" s="140"/>
      <c r="L248" s="31"/>
      <c r="N248" s="213"/>
      <c r="O248" s="214"/>
      <c r="Q248" s="229"/>
      <c r="BP248" s="141"/>
      <c r="BW248" s="50"/>
      <c r="CW248" s="16" t="s">
        <v>299</v>
      </c>
      <c r="CX248" s="16" t="s">
        <v>83</v>
      </c>
    </row>
    <row r="249" spans="2:120" s="12" customFormat="1" x14ac:dyDescent="0.2">
      <c r="B249" s="149"/>
      <c r="D249" s="138" t="s">
        <v>301</v>
      </c>
      <c r="E249" s="150" t="s">
        <v>1</v>
      </c>
      <c r="F249" s="151" t="s">
        <v>762</v>
      </c>
      <c r="H249" s="152">
        <v>82</v>
      </c>
      <c r="I249" s="153"/>
      <c r="L249" s="149"/>
      <c r="N249" s="217">
        <f>78.44+4.76</f>
        <v>83.2</v>
      </c>
      <c r="O249" s="218" t="s">
        <v>3375</v>
      </c>
      <c r="Q249" s="231"/>
      <c r="BP249" s="154"/>
      <c r="BW249" s="155"/>
      <c r="CW249" s="150" t="s">
        <v>301</v>
      </c>
      <c r="CX249" s="150" t="s">
        <v>83</v>
      </c>
      <c r="CY249" s="12" t="s">
        <v>83</v>
      </c>
      <c r="CZ249" s="12" t="s">
        <v>32</v>
      </c>
      <c r="DA249" s="12" t="s">
        <v>81</v>
      </c>
      <c r="DB249" s="150" t="s">
        <v>282</v>
      </c>
    </row>
    <row r="250" spans="2:120" s="12" customFormat="1" x14ac:dyDescent="0.2">
      <c r="B250" s="149"/>
      <c r="D250" s="138"/>
      <c r="E250" s="150"/>
      <c r="F250" s="151"/>
      <c r="H250" s="152"/>
      <c r="I250" s="153"/>
      <c r="L250" s="149"/>
      <c r="N250" s="310">
        <f>N249-H249</f>
        <v>1.2000000000000028</v>
      </c>
      <c r="O250" s="218"/>
      <c r="Q250" s="231"/>
      <c r="BP250" s="154"/>
      <c r="BW250" s="155"/>
      <c r="CW250" s="150"/>
      <c r="CX250" s="150"/>
      <c r="DB250" s="150"/>
    </row>
    <row r="251" spans="2:120" s="10" customFormat="1" ht="22.9" customHeight="1" x14ac:dyDescent="0.2">
      <c r="B251" s="112"/>
      <c r="D251" s="113" t="s">
        <v>73</v>
      </c>
      <c r="E251" s="122" t="s">
        <v>95</v>
      </c>
      <c r="F251" s="122" t="s">
        <v>469</v>
      </c>
      <c r="I251" s="115"/>
      <c r="J251" s="123">
        <f>DN251</f>
        <v>18121.79</v>
      </c>
      <c r="L251" s="112"/>
      <c r="M251" s="291">
        <f>SUM(M252:M276)</f>
        <v>0</v>
      </c>
      <c r="N251" s="295"/>
      <c r="O251" s="296">
        <f t="shared" ref="O251:V251" si="6">SUM(O252:O276)</f>
        <v>134.66</v>
      </c>
      <c r="P251" s="291"/>
      <c r="Q251" s="298">
        <f t="shared" si="6"/>
        <v>17987.13</v>
      </c>
      <c r="R251" s="291"/>
      <c r="S251" s="291"/>
      <c r="T251" s="291">
        <f t="shared" si="6"/>
        <v>0</v>
      </c>
      <c r="U251" s="291"/>
      <c r="V251" s="291">
        <f t="shared" si="6"/>
        <v>18121.79</v>
      </c>
      <c r="BP251" s="117"/>
      <c r="BS251" s="118">
        <f>SUM(BS252:BS280)</f>
        <v>0</v>
      </c>
      <c r="BU251" s="118">
        <f>SUM(BU252:BU280)</f>
        <v>0.41199999999999998</v>
      </c>
      <c r="BW251" s="119">
        <f>SUM(BW252:BW280)</f>
        <v>0</v>
      </c>
      <c r="CU251" s="113" t="s">
        <v>81</v>
      </c>
      <c r="CW251" s="120" t="s">
        <v>73</v>
      </c>
      <c r="CX251" s="120" t="s">
        <v>81</v>
      </c>
      <c r="DB251" s="113" t="s">
        <v>282</v>
      </c>
      <c r="DN251" s="121">
        <f>SUM(DN252:DN280)</f>
        <v>18121.79</v>
      </c>
    </row>
    <row r="252" spans="2:120" s="1" customFormat="1" ht="14.45" customHeight="1" x14ac:dyDescent="0.2">
      <c r="B252" s="124"/>
      <c r="C252" s="125" t="s">
        <v>451</v>
      </c>
      <c r="D252" s="125" t="s">
        <v>284</v>
      </c>
      <c r="E252" s="126" t="s">
        <v>471</v>
      </c>
      <c r="F252" s="127" t="s">
        <v>472</v>
      </c>
      <c r="G252" s="128" t="s">
        <v>366</v>
      </c>
      <c r="H252" s="129">
        <v>8.6</v>
      </c>
      <c r="I252" s="130">
        <v>1200.17173250368</v>
      </c>
      <c r="J252" s="131">
        <f>ROUND(I252*H252,2)</f>
        <v>10321.48</v>
      </c>
      <c r="K252" s="127" t="s">
        <v>293</v>
      </c>
      <c r="L252" s="268">
        <f>S252</f>
        <v>0</v>
      </c>
      <c r="M252" s="272">
        <f>ROUND(L252*I252,2)</f>
        <v>0</v>
      </c>
      <c r="N252" s="243">
        <f>N258</f>
        <v>0.11219999999999963</v>
      </c>
      <c r="O252" s="294">
        <f>ROUND(N252*I252,2)</f>
        <v>134.66</v>
      </c>
      <c r="P252" s="273">
        <f>H252-L252-N252</f>
        <v>8.4878</v>
      </c>
      <c r="Q252" s="287">
        <f>ROUND(P252*I252,2)</f>
        <v>10186.82</v>
      </c>
      <c r="R252" s="137"/>
      <c r="S252" s="269">
        <f>W252+Y252+AA252+AC252+AE252+AG252+AI252+AK252+AM252</f>
        <v>0</v>
      </c>
      <c r="T252" s="269">
        <f>ROUND(S252*I252,2)</f>
        <v>0</v>
      </c>
      <c r="U252" s="269">
        <f>H252-S252</f>
        <v>8.6</v>
      </c>
      <c r="V252" s="269">
        <f>ROUND(U252*I252,2)</f>
        <v>10321.48</v>
      </c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BP252" s="132" t="s">
        <v>1</v>
      </c>
      <c r="BQ252" s="133" t="s">
        <v>40</v>
      </c>
      <c r="BS252" s="134">
        <f>BR252*H252</f>
        <v>0</v>
      </c>
      <c r="BT252" s="134">
        <v>0</v>
      </c>
      <c r="BU252" s="134">
        <f>BT252*H252</f>
        <v>0</v>
      </c>
      <c r="BV252" s="134">
        <v>0</v>
      </c>
      <c r="BW252" s="135">
        <f>BV252*H252</f>
        <v>0</v>
      </c>
      <c r="CU252" s="136" t="s">
        <v>95</v>
      </c>
      <c r="CW252" s="136" t="s">
        <v>284</v>
      </c>
      <c r="CX252" s="136" t="s">
        <v>83</v>
      </c>
      <c r="DB252" s="16" t="s">
        <v>282</v>
      </c>
      <c r="DH252" s="137">
        <f>IF(BQ252="základní",J252,0)</f>
        <v>10321.48</v>
      </c>
      <c r="DI252" s="137">
        <f>IF(BQ252="snížená",J252,0)</f>
        <v>0</v>
      </c>
      <c r="DJ252" s="137">
        <f>IF(BQ252="zákl. přenesená",J252,0)</f>
        <v>0</v>
      </c>
      <c r="DK252" s="137">
        <f>IF(BQ252="sníž. přenesená",J252,0)</f>
        <v>0</v>
      </c>
      <c r="DL252" s="137">
        <f>IF(BQ252="nulová",J252,0)</f>
        <v>0</v>
      </c>
      <c r="DM252" s="16" t="s">
        <v>81</v>
      </c>
      <c r="DN252" s="137">
        <f>ROUND(I252*H252,2)</f>
        <v>10321.48</v>
      </c>
      <c r="DO252" s="16" t="s">
        <v>95</v>
      </c>
      <c r="DP252" s="136" t="s">
        <v>473</v>
      </c>
    </row>
    <row r="253" spans="2:120" s="1" customFormat="1" ht="19.5" x14ac:dyDescent="0.2">
      <c r="B253" s="31"/>
      <c r="D253" s="138" t="s">
        <v>289</v>
      </c>
      <c r="F253" s="139" t="s">
        <v>474</v>
      </c>
      <c r="I253" s="140"/>
      <c r="L253" s="31"/>
      <c r="N253" s="213"/>
      <c r="O253" s="214"/>
      <c r="Q253" s="229"/>
      <c r="BP253" s="141"/>
      <c r="BW253" s="50"/>
      <c r="CW253" s="16" t="s">
        <v>289</v>
      </c>
      <c r="CX253" s="16" t="s">
        <v>83</v>
      </c>
    </row>
    <row r="254" spans="2:120" s="1" customFormat="1" ht="19.5" x14ac:dyDescent="0.2">
      <c r="B254" s="31"/>
      <c r="D254" s="138" t="s">
        <v>299</v>
      </c>
      <c r="F254" s="142" t="s">
        <v>317</v>
      </c>
      <c r="I254" s="140"/>
      <c r="L254" s="31"/>
      <c r="N254" s="213"/>
      <c r="O254" s="214"/>
      <c r="Q254" s="229"/>
      <c r="BP254" s="141"/>
      <c r="BW254" s="50"/>
      <c r="CW254" s="16" t="s">
        <v>299</v>
      </c>
      <c r="CX254" s="16" t="s">
        <v>83</v>
      </c>
    </row>
    <row r="255" spans="2:120" s="12" customFormat="1" x14ac:dyDescent="0.2">
      <c r="B255" s="149"/>
      <c r="D255" s="138" t="s">
        <v>301</v>
      </c>
      <c r="E255" s="150" t="s">
        <v>1</v>
      </c>
      <c r="F255" s="151" t="s">
        <v>763</v>
      </c>
      <c r="H255" s="152">
        <v>0.2</v>
      </c>
      <c r="I255" s="153"/>
      <c r="L255" s="149"/>
      <c r="N255" s="217">
        <f>4.76*1*0.1</f>
        <v>0.47599999999999998</v>
      </c>
      <c r="O255" s="359" t="s">
        <v>3372</v>
      </c>
      <c r="Q255" s="231"/>
      <c r="BP255" s="154"/>
      <c r="BW255" s="155"/>
      <c r="CW255" s="150" t="s">
        <v>301</v>
      </c>
      <c r="CX255" s="150" t="s">
        <v>83</v>
      </c>
      <c r="CY255" s="12" t="s">
        <v>83</v>
      </c>
      <c r="CZ255" s="12" t="s">
        <v>32</v>
      </c>
      <c r="DA255" s="12" t="s">
        <v>74</v>
      </c>
      <c r="DB255" s="150" t="s">
        <v>282</v>
      </c>
    </row>
    <row r="256" spans="2:120" s="12" customFormat="1" x14ac:dyDescent="0.2">
      <c r="B256" s="149"/>
      <c r="D256" s="138" t="s">
        <v>301</v>
      </c>
      <c r="E256" s="150" t="s">
        <v>1</v>
      </c>
      <c r="F256" s="151" t="s">
        <v>764</v>
      </c>
      <c r="H256" s="152">
        <v>8.4</v>
      </c>
      <c r="I256" s="153"/>
      <c r="L256" s="149"/>
      <c r="N256" s="313">
        <f>78.44*1.05*0.1</f>
        <v>8.2362000000000002</v>
      </c>
      <c r="O256" s="359" t="s">
        <v>3373</v>
      </c>
      <c r="Q256" s="231"/>
      <c r="BP256" s="154"/>
      <c r="BW256" s="155"/>
      <c r="CW256" s="150" t="s">
        <v>301</v>
      </c>
      <c r="CX256" s="150" t="s">
        <v>83</v>
      </c>
      <c r="CY256" s="12" t="s">
        <v>83</v>
      </c>
      <c r="CZ256" s="12" t="s">
        <v>32</v>
      </c>
      <c r="DA256" s="12" t="s">
        <v>74</v>
      </c>
      <c r="DB256" s="150" t="s">
        <v>282</v>
      </c>
    </row>
    <row r="257" spans="2:120" s="13" customFormat="1" x14ac:dyDescent="0.2">
      <c r="B257" s="156"/>
      <c r="D257" s="138" t="s">
        <v>301</v>
      </c>
      <c r="E257" s="157" t="s">
        <v>1</v>
      </c>
      <c r="F257" s="158" t="s">
        <v>305</v>
      </c>
      <c r="H257" s="159">
        <v>8.6</v>
      </c>
      <c r="I257" s="160"/>
      <c r="L257" s="156"/>
      <c r="N257" s="316">
        <f>N255+N256</f>
        <v>8.7121999999999993</v>
      </c>
      <c r="O257" s="220"/>
      <c r="Q257" s="232"/>
      <c r="BP257" s="161"/>
      <c r="BW257" s="162"/>
      <c r="CW257" s="157" t="s">
        <v>301</v>
      </c>
      <c r="CX257" s="157" t="s">
        <v>83</v>
      </c>
      <c r="CY257" s="13" t="s">
        <v>95</v>
      </c>
      <c r="CZ257" s="13" t="s">
        <v>32</v>
      </c>
      <c r="DA257" s="13" t="s">
        <v>81</v>
      </c>
      <c r="DB257" s="157" t="s">
        <v>282</v>
      </c>
    </row>
    <row r="258" spans="2:120" s="13" customFormat="1" x14ac:dyDescent="0.2">
      <c r="B258" s="156"/>
      <c r="D258" s="138"/>
      <c r="E258" s="157"/>
      <c r="F258" s="158"/>
      <c r="H258" s="159"/>
      <c r="I258" s="160"/>
      <c r="L258" s="156"/>
      <c r="N258" s="316">
        <f>N257-H257</f>
        <v>0.11219999999999963</v>
      </c>
      <c r="O258" s="220"/>
      <c r="Q258" s="232"/>
      <c r="BP258" s="161"/>
      <c r="BW258" s="162"/>
      <c r="CW258" s="157"/>
      <c r="CX258" s="157"/>
      <c r="DB258" s="157"/>
    </row>
    <row r="259" spans="2:120" s="1" customFormat="1" ht="14.45" customHeight="1" x14ac:dyDescent="0.2">
      <c r="B259" s="124"/>
      <c r="C259" s="125" t="s">
        <v>456</v>
      </c>
      <c r="D259" s="125" t="s">
        <v>284</v>
      </c>
      <c r="E259" s="126" t="s">
        <v>477</v>
      </c>
      <c r="F259" s="127" t="s">
        <v>478</v>
      </c>
      <c r="G259" s="128" t="s">
        <v>366</v>
      </c>
      <c r="H259" s="129">
        <v>1.875</v>
      </c>
      <c r="I259" s="130">
        <v>1200.17173250368</v>
      </c>
      <c r="J259" s="131">
        <f>ROUND(I259*H259,2)</f>
        <v>2250.3200000000002</v>
      </c>
      <c r="K259" s="127" t="s">
        <v>1</v>
      </c>
      <c r="L259" s="268">
        <f>S259</f>
        <v>0</v>
      </c>
      <c r="M259" s="272">
        <f>ROUND(L259*I259,2)</f>
        <v>0</v>
      </c>
      <c r="N259" s="243"/>
      <c r="O259" s="294">
        <f>ROUND(N259*I259,2)</f>
        <v>0</v>
      </c>
      <c r="P259" s="273">
        <f>H259-L259-N259</f>
        <v>1.875</v>
      </c>
      <c r="Q259" s="287">
        <f>ROUND(P259*I259,2)</f>
        <v>2250.3200000000002</v>
      </c>
      <c r="R259" s="137"/>
      <c r="S259" s="269">
        <f>W259+Y259+AA259+AC259+AE259+AG259+AI259+AK259+AM259</f>
        <v>0</v>
      </c>
      <c r="T259" s="269">
        <f>ROUND(S259*I259,2)</f>
        <v>0</v>
      </c>
      <c r="U259" s="269">
        <f>H259-S259</f>
        <v>1.875</v>
      </c>
      <c r="V259" s="269">
        <f>ROUND(U259*I259,2)</f>
        <v>2250.3200000000002</v>
      </c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BP259" s="132" t="s">
        <v>1</v>
      </c>
      <c r="BQ259" s="133" t="s">
        <v>40</v>
      </c>
      <c r="BS259" s="134">
        <f>BR259*H259</f>
        <v>0</v>
      </c>
      <c r="BT259" s="134">
        <v>0</v>
      </c>
      <c r="BU259" s="134">
        <f>BT259*H259</f>
        <v>0</v>
      </c>
      <c r="BV259" s="134">
        <v>0</v>
      </c>
      <c r="BW259" s="135">
        <f>BV259*H259</f>
        <v>0</v>
      </c>
      <c r="CU259" s="136" t="s">
        <v>95</v>
      </c>
      <c r="CW259" s="136" t="s">
        <v>284</v>
      </c>
      <c r="CX259" s="136" t="s">
        <v>83</v>
      </c>
      <c r="DB259" s="16" t="s">
        <v>282</v>
      </c>
      <c r="DH259" s="137">
        <f>IF(BQ259="základní",J259,0)</f>
        <v>2250.3200000000002</v>
      </c>
      <c r="DI259" s="137">
        <f>IF(BQ259="snížená",J259,0)</f>
        <v>0</v>
      </c>
      <c r="DJ259" s="137">
        <f>IF(BQ259="zákl. přenesená",J259,0)</f>
        <v>0</v>
      </c>
      <c r="DK259" s="137">
        <f>IF(BQ259="sníž. přenesená",J259,0)</f>
        <v>0</v>
      </c>
      <c r="DL259" s="137">
        <f>IF(BQ259="nulová",J259,0)</f>
        <v>0</v>
      </c>
      <c r="DM259" s="16" t="s">
        <v>81</v>
      </c>
      <c r="DN259" s="137">
        <f>ROUND(I259*H259,2)</f>
        <v>2250.3200000000002</v>
      </c>
      <c r="DO259" s="16" t="s">
        <v>95</v>
      </c>
      <c r="DP259" s="136" t="s">
        <v>479</v>
      </c>
    </row>
    <row r="260" spans="2:120" s="1" customFormat="1" ht="19.5" x14ac:dyDescent="0.2">
      <c r="B260" s="31"/>
      <c r="D260" s="138" t="s">
        <v>289</v>
      </c>
      <c r="F260" s="139" t="s">
        <v>474</v>
      </c>
      <c r="I260" s="140"/>
      <c r="L260" s="31"/>
      <c r="N260" s="213"/>
      <c r="O260" s="214"/>
      <c r="Q260" s="229"/>
      <c r="BP260" s="141"/>
      <c r="BW260" s="50"/>
      <c r="CW260" s="16" t="s">
        <v>289</v>
      </c>
      <c r="CX260" s="16" t="s">
        <v>83</v>
      </c>
    </row>
    <row r="261" spans="2:120" s="1" customFormat="1" ht="19.5" x14ac:dyDescent="0.2">
      <c r="B261" s="31"/>
      <c r="D261" s="138" t="s">
        <v>299</v>
      </c>
      <c r="F261" s="142" t="s">
        <v>317</v>
      </c>
      <c r="I261" s="140"/>
      <c r="L261" s="31"/>
      <c r="N261" s="213"/>
      <c r="O261" s="214"/>
      <c r="Q261" s="229"/>
      <c r="BP261" s="141"/>
      <c r="BW261" s="50"/>
      <c r="CW261" s="16" t="s">
        <v>299</v>
      </c>
      <c r="CX261" s="16" t="s">
        <v>83</v>
      </c>
    </row>
    <row r="262" spans="2:120" s="11" customFormat="1" x14ac:dyDescent="0.2">
      <c r="B262" s="143"/>
      <c r="D262" s="138" t="s">
        <v>301</v>
      </c>
      <c r="E262" s="144" t="s">
        <v>1</v>
      </c>
      <c r="F262" s="145" t="s">
        <v>765</v>
      </c>
      <c r="H262" s="144" t="s">
        <v>1</v>
      </c>
      <c r="I262" s="146"/>
      <c r="L262" s="143"/>
      <c r="N262" s="215"/>
      <c r="O262" s="216"/>
      <c r="Q262" s="230"/>
      <c r="BP262" s="147"/>
      <c r="BW262" s="148"/>
      <c r="CW262" s="144" t="s">
        <v>301</v>
      </c>
      <c r="CX262" s="144" t="s">
        <v>83</v>
      </c>
      <c r="CY262" s="11" t="s">
        <v>81</v>
      </c>
      <c r="CZ262" s="11" t="s">
        <v>32</v>
      </c>
      <c r="DA262" s="11" t="s">
        <v>74</v>
      </c>
      <c r="DB262" s="144" t="s">
        <v>282</v>
      </c>
    </row>
    <row r="263" spans="2:120" s="12" customFormat="1" x14ac:dyDescent="0.2">
      <c r="B263" s="149"/>
      <c r="D263" s="138" t="s">
        <v>301</v>
      </c>
      <c r="E263" s="150" t="s">
        <v>1</v>
      </c>
      <c r="F263" s="151" t="s">
        <v>766</v>
      </c>
      <c r="H263" s="152">
        <v>1.875</v>
      </c>
      <c r="I263" s="153"/>
      <c r="L263" s="149"/>
      <c r="N263" s="217"/>
      <c r="O263" s="218"/>
      <c r="Q263" s="231"/>
      <c r="BP263" s="154"/>
      <c r="BW263" s="155"/>
      <c r="CW263" s="150" t="s">
        <v>301</v>
      </c>
      <c r="CX263" s="150" t="s">
        <v>83</v>
      </c>
      <c r="CY263" s="12" t="s">
        <v>83</v>
      </c>
      <c r="CZ263" s="12" t="s">
        <v>32</v>
      </c>
      <c r="DA263" s="12" t="s">
        <v>81</v>
      </c>
      <c r="DB263" s="150" t="s">
        <v>282</v>
      </c>
    </row>
    <row r="264" spans="2:120" s="1" customFormat="1" ht="14.45" customHeight="1" x14ac:dyDescent="0.2">
      <c r="B264" s="124"/>
      <c r="C264" s="125" t="s">
        <v>463</v>
      </c>
      <c r="D264" s="125" t="s">
        <v>284</v>
      </c>
      <c r="E264" s="126" t="s">
        <v>483</v>
      </c>
      <c r="F264" s="127" t="s">
        <v>484</v>
      </c>
      <c r="G264" s="128" t="s">
        <v>485</v>
      </c>
      <c r="H264" s="129">
        <v>2</v>
      </c>
      <c r="I264" s="130">
        <v>136.11246338547087</v>
      </c>
      <c r="J264" s="131">
        <f>ROUND(I264*H264,2)</f>
        <v>272.22000000000003</v>
      </c>
      <c r="K264" s="127" t="s">
        <v>293</v>
      </c>
      <c r="L264" s="268">
        <f>S264</f>
        <v>0</v>
      </c>
      <c r="M264" s="272">
        <f>ROUND(L264*I264,2)</f>
        <v>0</v>
      </c>
      <c r="N264" s="243"/>
      <c r="O264" s="294">
        <f>ROUND(N264*I264,2)</f>
        <v>0</v>
      </c>
      <c r="P264" s="273">
        <f>H264-L264-N264</f>
        <v>2</v>
      </c>
      <c r="Q264" s="287">
        <f>ROUND(P264*I264,2)</f>
        <v>272.22000000000003</v>
      </c>
      <c r="R264" s="137"/>
      <c r="S264" s="269">
        <f>W264+Y264+AA264+AC264+AE264+AG264+AI264+AK264+AM264</f>
        <v>0</v>
      </c>
      <c r="T264" s="269">
        <f>ROUND(S264*I264,2)</f>
        <v>0</v>
      </c>
      <c r="U264" s="269">
        <f>H264-S264</f>
        <v>2</v>
      </c>
      <c r="V264" s="269">
        <f>ROUND(U264*I264,2)</f>
        <v>272.22000000000003</v>
      </c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BP264" s="132" t="s">
        <v>1</v>
      </c>
      <c r="BQ264" s="133" t="s">
        <v>40</v>
      </c>
      <c r="BS264" s="134">
        <f>BR264*H264</f>
        <v>0</v>
      </c>
      <c r="BT264" s="134">
        <v>6.6E-3</v>
      </c>
      <c r="BU264" s="134">
        <f>BT264*H264</f>
        <v>1.32E-2</v>
      </c>
      <c r="BV264" s="134">
        <v>0</v>
      </c>
      <c r="BW264" s="135">
        <f>BV264*H264</f>
        <v>0</v>
      </c>
      <c r="CU264" s="136" t="s">
        <v>95</v>
      </c>
      <c r="CW264" s="136" t="s">
        <v>284</v>
      </c>
      <c r="CX264" s="136" t="s">
        <v>83</v>
      </c>
      <c r="DB264" s="16" t="s">
        <v>282</v>
      </c>
      <c r="DH264" s="137">
        <f>IF(BQ264="základní",J264,0)</f>
        <v>272.22000000000003</v>
      </c>
      <c r="DI264" s="137">
        <f>IF(BQ264="snížená",J264,0)</f>
        <v>0</v>
      </c>
      <c r="DJ264" s="137">
        <f>IF(BQ264="zákl. přenesená",J264,0)</f>
        <v>0</v>
      </c>
      <c r="DK264" s="137">
        <f>IF(BQ264="sníž. přenesená",J264,0)</f>
        <v>0</v>
      </c>
      <c r="DL264" s="137">
        <f>IF(BQ264="nulová",J264,0)</f>
        <v>0</v>
      </c>
      <c r="DM264" s="16" t="s">
        <v>81</v>
      </c>
      <c r="DN264" s="137">
        <f>ROUND(I264*H264,2)</f>
        <v>272.22000000000003</v>
      </c>
      <c r="DO264" s="16" t="s">
        <v>95</v>
      </c>
      <c r="DP264" s="136" t="s">
        <v>486</v>
      </c>
    </row>
    <row r="265" spans="2:120" s="1" customFormat="1" ht="19.5" x14ac:dyDescent="0.2">
      <c r="B265" s="31"/>
      <c r="D265" s="138" t="s">
        <v>289</v>
      </c>
      <c r="F265" s="139" t="s">
        <v>487</v>
      </c>
      <c r="I265" s="140"/>
      <c r="L265" s="31"/>
      <c r="N265" s="213"/>
      <c r="O265" s="214"/>
      <c r="Q265" s="229"/>
      <c r="BP265" s="141"/>
      <c r="BW265" s="50"/>
      <c r="CW265" s="16" t="s">
        <v>289</v>
      </c>
      <c r="CX265" s="16" t="s">
        <v>83</v>
      </c>
    </row>
    <row r="266" spans="2:120" s="1" customFormat="1" ht="19.5" x14ac:dyDescent="0.2">
      <c r="B266" s="31"/>
      <c r="D266" s="138" t="s">
        <v>299</v>
      </c>
      <c r="F266" s="142" t="s">
        <v>317</v>
      </c>
      <c r="I266" s="140"/>
      <c r="L266" s="31"/>
      <c r="N266" s="213"/>
      <c r="O266" s="214"/>
      <c r="Q266" s="229"/>
      <c r="BP266" s="141"/>
      <c r="BW266" s="50"/>
      <c r="CW266" s="16" t="s">
        <v>299</v>
      </c>
      <c r="CX266" s="16" t="s">
        <v>83</v>
      </c>
    </row>
    <row r="267" spans="2:120" s="12" customFormat="1" x14ac:dyDescent="0.2">
      <c r="B267" s="149"/>
      <c r="D267" s="138" t="s">
        <v>301</v>
      </c>
      <c r="E267" s="150" t="s">
        <v>1</v>
      </c>
      <c r="F267" s="151" t="s">
        <v>83</v>
      </c>
      <c r="H267" s="152">
        <v>2</v>
      </c>
      <c r="I267" s="153"/>
      <c r="L267" s="149"/>
      <c r="N267" s="217"/>
      <c r="O267" s="218"/>
      <c r="Q267" s="231"/>
      <c r="BP267" s="154"/>
      <c r="BW267" s="155"/>
      <c r="CW267" s="150" t="s">
        <v>301</v>
      </c>
      <c r="CX267" s="150" t="s">
        <v>83</v>
      </c>
      <c r="CY267" s="12" t="s">
        <v>83</v>
      </c>
      <c r="CZ267" s="12" t="s">
        <v>32</v>
      </c>
      <c r="DA267" s="12" t="s">
        <v>81</v>
      </c>
      <c r="DB267" s="150" t="s">
        <v>282</v>
      </c>
    </row>
    <row r="268" spans="2:120" s="1" customFormat="1" ht="24.2" customHeight="1" x14ac:dyDescent="0.2">
      <c r="B268" s="124"/>
      <c r="C268" s="170" t="s">
        <v>470</v>
      </c>
      <c r="D268" s="170" t="s">
        <v>439</v>
      </c>
      <c r="E268" s="171" t="s">
        <v>502</v>
      </c>
      <c r="F268" s="172" t="s">
        <v>503</v>
      </c>
      <c r="G268" s="173" t="s">
        <v>485</v>
      </c>
      <c r="H268" s="174">
        <v>2</v>
      </c>
      <c r="I268" s="175">
        <v>314.47561239999999</v>
      </c>
      <c r="J268" s="176">
        <f>ROUND(I268*H268,2)</f>
        <v>628.95000000000005</v>
      </c>
      <c r="K268" s="172" t="s">
        <v>293</v>
      </c>
      <c r="L268" s="268">
        <f>S268</f>
        <v>0</v>
      </c>
      <c r="M268" s="272">
        <f>ROUND(L268*I268,2)</f>
        <v>0</v>
      </c>
      <c r="N268" s="243"/>
      <c r="O268" s="294">
        <f>ROUND(N268*I268,2)</f>
        <v>0</v>
      </c>
      <c r="P268" s="273">
        <f>H268-L268-N268</f>
        <v>2</v>
      </c>
      <c r="Q268" s="287">
        <f>ROUND(P268*I268,2)</f>
        <v>628.95000000000005</v>
      </c>
      <c r="R268" s="137"/>
      <c r="S268" s="269">
        <f>W268+Y268+AA268+AC268+AE268+AG268+AI268+AK268+AM268</f>
        <v>0</v>
      </c>
      <c r="T268" s="269">
        <f>ROUND(S268*I268,2)</f>
        <v>0</v>
      </c>
      <c r="U268" s="269">
        <f>H268-S268</f>
        <v>2</v>
      </c>
      <c r="V268" s="269">
        <f>ROUND(U268*I268,2)</f>
        <v>628.95000000000005</v>
      </c>
      <c r="W268" s="290"/>
      <c r="X268" s="290"/>
      <c r="Y268" s="290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90"/>
      <c r="AK268" s="290"/>
      <c r="AL268" s="290"/>
      <c r="AM268" s="290"/>
      <c r="AN268" s="290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77" t="s">
        <v>1</v>
      </c>
      <c r="BQ268" s="178" t="s">
        <v>40</v>
      </c>
      <c r="BS268" s="134">
        <f>BR268*H268</f>
        <v>0</v>
      </c>
      <c r="BT268" s="134">
        <v>6.8000000000000005E-2</v>
      </c>
      <c r="BU268" s="134">
        <f>BT268*H268</f>
        <v>0.13600000000000001</v>
      </c>
      <c r="BV268" s="134">
        <v>0</v>
      </c>
      <c r="BW268" s="135">
        <f>BV268*H268</f>
        <v>0</v>
      </c>
      <c r="CU268" s="136" t="s">
        <v>328</v>
      </c>
      <c r="CW268" s="136" t="s">
        <v>439</v>
      </c>
      <c r="CX268" s="136" t="s">
        <v>83</v>
      </c>
      <c r="DB268" s="16" t="s">
        <v>282</v>
      </c>
      <c r="DH268" s="137">
        <f>IF(BQ268="základní",J268,0)</f>
        <v>628.95000000000005</v>
      </c>
      <c r="DI268" s="137">
        <f>IF(BQ268="snížená",J268,0)</f>
        <v>0</v>
      </c>
      <c r="DJ268" s="137">
        <f>IF(BQ268="zákl. přenesená",J268,0)</f>
        <v>0</v>
      </c>
      <c r="DK268" s="137">
        <f>IF(BQ268="sníž. přenesená",J268,0)</f>
        <v>0</v>
      </c>
      <c r="DL268" s="137">
        <f>IF(BQ268="nulová",J268,0)</f>
        <v>0</v>
      </c>
      <c r="DM268" s="16" t="s">
        <v>81</v>
      </c>
      <c r="DN268" s="137">
        <f>ROUND(I268*H268,2)</f>
        <v>628.95000000000005</v>
      </c>
      <c r="DO268" s="16" t="s">
        <v>95</v>
      </c>
      <c r="DP268" s="136" t="s">
        <v>504</v>
      </c>
    </row>
    <row r="269" spans="2:120" s="1" customFormat="1" x14ac:dyDescent="0.2">
      <c r="B269" s="31"/>
      <c r="D269" s="138" t="s">
        <v>289</v>
      </c>
      <c r="F269" s="139" t="s">
        <v>503</v>
      </c>
      <c r="I269" s="140"/>
      <c r="L269" s="31"/>
      <c r="N269" s="213"/>
      <c r="O269" s="214"/>
      <c r="Q269" s="229"/>
      <c r="BP269" s="141"/>
      <c r="BW269" s="50"/>
      <c r="CW269" s="16" t="s">
        <v>289</v>
      </c>
      <c r="CX269" s="16" t="s">
        <v>83</v>
      </c>
    </row>
    <row r="270" spans="2:120" s="1" customFormat="1" ht="14.45" customHeight="1" x14ac:dyDescent="0.2">
      <c r="B270" s="124"/>
      <c r="C270" s="125" t="s">
        <v>476</v>
      </c>
      <c r="D270" s="125" t="s">
        <v>284</v>
      </c>
      <c r="E270" s="126" t="s">
        <v>506</v>
      </c>
      <c r="F270" s="127" t="s">
        <v>507</v>
      </c>
      <c r="G270" s="128" t="s">
        <v>485</v>
      </c>
      <c r="H270" s="129">
        <v>3</v>
      </c>
      <c r="I270" s="130">
        <v>217.77896833494168</v>
      </c>
      <c r="J270" s="131">
        <f>ROUND(I270*H270,2)</f>
        <v>653.34</v>
      </c>
      <c r="K270" s="127" t="s">
        <v>293</v>
      </c>
      <c r="L270" s="268">
        <f>S270</f>
        <v>0</v>
      </c>
      <c r="M270" s="272">
        <f>ROUND(L270*I270,2)</f>
        <v>0</v>
      </c>
      <c r="N270" s="243"/>
      <c r="O270" s="294">
        <f>ROUND(N270*I270,2)</f>
        <v>0</v>
      </c>
      <c r="P270" s="273">
        <f>H270-L270-N270</f>
        <v>3</v>
      </c>
      <c r="Q270" s="287">
        <f>ROUND(P270*I270,2)</f>
        <v>653.34</v>
      </c>
      <c r="R270" s="137"/>
      <c r="S270" s="269">
        <f>W270+Y270+AA270+AC270+AE270+AG270+AI270+AK270+AM270</f>
        <v>0</v>
      </c>
      <c r="T270" s="269">
        <f>ROUND(S270*I270,2)</f>
        <v>0</v>
      </c>
      <c r="U270" s="269">
        <f>H270-S270</f>
        <v>3</v>
      </c>
      <c r="V270" s="269">
        <f>ROUND(U270*I270,2)</f>
        <v>653.34</v>
      </c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BP270" s="132" t="s">
        <v>1</v>
      </c>
      <c r="BQ270" s="133" t="s">
        <v>40</v>
      </c>
      <c r="BS270" s="134">
        <f>BR270*H270</f>
        <v>0</v>
      </c>
      <c r="BT270" s="134">
        <v>6.6E-3</v>
      </c>
      <c r="BU270" s="134">
        <f>BT270*H270</f>
        <v>1.9799999999999998E-2</v>
      </c>
      <c r="BV270" s="134">
        <v>0</v>
      </c>
      <c r="BW270" s="135">
        <f>BV270*H270</f>
        <v>0</v>
      </c>
      <c r="CU270" s="136" t="s">
        <v>95</v>
      </c>
      <c r="CW270" s="136" t="s">
        <v>284</v>
      </c>
      <c r="CX270" s="136" t="s">
        <v>83</v>
      </c>
      <c r="DB270" s="16" t="s">
        <v>282</v>
      </c>
      <c r="DH270" s="137">
        <f>IF(BQ270="základní",J270,0)</f>
        <v>653.34</v>
      </c>
      <c r="DI270" s="137">
        <f>IF(BQ270="snížená",J270,0)</f>
        <v>0</v>
      </c>
      <c r="DJ270" s="137">
        <f>IF(BQ270="zákl. přenesená",J270,0)</f>
        <v>0</v>
      </c>
      <c r="DK270" s="137">
        <f>IF(BQ270="sníž. přenesená",J270,0)</f>
        <v>0</v>
      </c>
      <c r="DL270" s="137">
        <f>IF(BQ270="nulová",J270,0)</f>
        <v>0</v>
      </c>
      <c r="DM270" s="16" t="s">
        <v>81</v>
      </c>
      <c r="DN270" s="137">
        <f>ROUND(I270*H270,2)</f>
        <v>653.34</v>
      </c>
      <c r="DO270" s="16" t="s">
        <v>95</v>
      </c>
      <c r="DP270" s="136" t="s">
        <v>508</v>
      </c>
    </row>
    <row r="271" spans="2:120" s="1" customFormat="1" ht="19.5" x14ac:dyDescent="0.2">
      <c r="B271" s="31"/>
      <c r="D271" s="138" t="s">
        <v>289</v>
      </c>
      <c r="F271" s="139" t="s">
        <v>509</v>
      </c>
      <c r="I271" s="140"/>
      <c r="L271" s="31"/>
      <c r="N271" s="213"/>
      <c r="O271" s="214"/>
      <c r="Q271" s="229"/>
      <c r="BP271" s="141"/>
      <c r="BW271" s="50"/>
      <c r="CW271" s="16" t="s">
        <v>289</v>
      </c>
      <c r="CX271" s="16" t="s">
        <v>83</v>
      </c>
    </row>
    <row r="272" spans="2:120" s="1" customFormat="1" ht="19.5" x14ac:dyDescent="0.2">
      <c r="B272" s="31"/>
      <c r="D272" s="138" t="s">
        <v>299</v>
      </c>
      <c r="F272" s="142" t="s">
        <v>317</v>
      </c>
      <c r="I272" s="140"/>
      <c r="L272" s="31"/>
      <c r="N272" s="213"/>
      <c r="O272" s="214"/>
      <c r="Q272" s="229"/>
      <c r="BP272" s="141"/>
      <c r="BW272" s="50"/>
      <c r="CW272" s="16" t="s">
        <v>299</v>
      </c>
      <c r="CX272" s="16" t="s">
        <v>83</v>
      </c>
    </row>
    <row r="273" spans="2:120" s="12" customFormat="1" x14ac:dyDescent="0.2">
      <c r="B273" s="149"/>
      <c r="D273" s="138" t="s">
        <v>301</v>
      </c>
      <c r="E273" s="150" t="s">
        <v>1</v>
      </c>
      <c r="F273" s="151" t="s">
        <v>90</v>
      </c>
      <c r="H273" s="152">
        <v>3</v>
      </c>
      <c r="I273" s="153"/>
      <c r="L273" s="149"/>
      <c r="N273" s="217"/>
      <c r="O273" s="218"/>
      <c r="Q273" s="231"/>
      <c r="BP273" s="154"/>
      <c r="BW273" s="155"/>
      <c r="CW273" s="150" t="s">
        <v>301</v>
      </c>
      <c r="CX273" s="150" t="s">
        <v>83</v>
      </c>
      <c r="CY273" s="12" t="s">
        <v>83</v>
      </c>
      <c r="CZ273" s="12" t="s">
        <v>32</v>
      </c>
      <c r="DA273" s="12" t="s">
        <v>81</v>
      </c>
      <c r="DB273" s="150" t="s">
        <v>282</v>
      </c>
    </row>
    <row r="274" spans="2:120" s="1" customFormat="1" ht="24.2" customHeight="1" x14ac:dyDescent="0.2">
      <c r="B274" s="124"/>
      <c r="C274" s="170" t="s">
        <v>482</v>
      </c>
      <c r="D274" s="170" t="s">
        <v>439</v>
      </c>
      <c r="E274" s="171" t="s">
        <v>511</v>
      </c>
      <c r="F274" s="172" t="s">
        <v>512</v>
      </c>
      <c r="G274" s="173" t="s">
        <v>485</v>
      </c>
      <c r="H274" s="174">
        <v>3</v>
      </c>
      <c r="I274" s="175">
        <v>354.2586718</v>
      </c>
      <c r="J274" s="176">
        <f>ROUND(I274*H274,2)</f>
        <v>1062.78</v>
      </c>
      <c r="K274" s="172" t="s">
        <v>293</v>
      </c>
      <c r="L274" s="268">
        <f>S274</f>
        <v>0</v>
      </c>
      <c r="M274" s="272">
        <f>ROUND(L274*I274,2)</f>
        <v>0</v>
      </c>
      <c r="N274" s="243"/>
      <c r="O274" s="294">
        <f>ROUND(N274*I274,2)</f>
        <v>0</v>
      </c>
      <c r="P274" s="273">
        <f>H274-L274-N274</f>
        <v>3</v>
      </c>
      <c r="Q274" s="287">
        <f>ROUND(P274*I274,2)</f>
        <v>1062.78</v>
      </c>
      <c r="R274" s="137"/>
      <c r="S274" s="269">
        <f>W274+Y274+AA274+AC274+AE274+AG274+AI274+AK274+AM274</f>
        <v>0</v>
      </c>
      <c r="T274" s="269">
        <f>ROUND(S274*I274,2)</f>
        <v>0</v>
      </c>
      <c r="U274" s="269">
        <f>H274-S274</f>
        <v>3</v>
      </c>
      <c r="V274" s="269">
        <f>ROUND(U274*I274,2)</f>
        <v>1062.78</v>
      </c>
      <c r="W274" s="290"/>
      <c r="X274" s="290"/>
      <c r="Y274" s="290"/>
      <c r="Z274" s="290"/>
      <c r="AA274" s="290"/>
      <c r="AB274" s="290"/>
      <c r="AC274" s="290"/>
      <c r="AD274" s="290"/>
      <c r="AE274" s="290"/>
      <c r="AF274" s="290"/>
      <c r="AG274" s="290"/>
      <c r="AH274" s="290"/>
      <c r="AI274" s="290"/>
      <c r="AJ274" s="290"/>
      <c r="AK274" s="290"/>
      <c r="AL274" s="290"/>
      <c r="AM274" s="290"/>
      <c r="AN274" s="290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77" t="s">
        <v>1</v>
      </c>
      <c r="BQ274" s="178" t="s">
        <v>40</v>
      </c>
      <c r="BS274" s="134">
        <f>BR274*H274</f>
        <v>0</v>
      </c>
      <c r="BT274" s="134">
        <v>8.1000000000000003E-2</v>
      </c>
      <c r="BU274" s="134">
        <f>BT274*H274</f>
        <v>0.24299999999999999</v>
      </c>
      <c r="BV274" s="134">
        <v>0</v>
      </c>
      <c r="BW274" s="135">
        <f>BV274*H274</f>
        <v>0</v>
      </c>
      <c r="CU274" s="136" t="s">
        <v>328</v>
      </c>
      <c r="CW274" s="136" t="s">
        <v>439</v>
      </c>
      <c r="CX274" s="136" t="s">
        <v>83</v>
      </c>
      <c r="DB274" s="16" t="s">
        <v>282</v>
      </c>
      <c r="DH274" s="137">
        <f>IF(BQ274="základní",J274,0)</f>
        <v>1062.78</v>
      </c>
      <c r="DI274" s="137">
        <f>IF(BQ274="snížená",J274,0)</f>
        <v>0</v>
      </c>
      <c r="DJ274" s="137">
        <f>IF(BQ274="zákl. přenesená",J274,0)</f>
        <v>0</v>
      </c>
      <c r="DK274" s="137">
        <f>IF(BQ274="sníž. přenesená",J274,0)</f>
        <v>0</v>
      </c>
      <c r="DL274" s="137">
        <f>IF(BQ274="nulová",J274,0)</f>
        <v>0</v>
      </c>
      <c r="DM274" s="16" t="s">
        <v>81</v>
      </c>
      <c r="DN274" s="137">
        <f>ROUND(I274*H274,2)</f>
        <v>1062.78</v>
      </c>
      <c r="DO274" s="16" t="s">
        <v>95</v>
      </c>
      <c r="DP274" s="136" t="s">
        <v>513</v>
      </c>
    </row>
    <row r="275" spans="2:120" s="1" customFormat="1" x14ac:dyDescent="0.2">
      <c r="B275" s="31"/>
      <c r="D275" s="138" t="s">
        <v>289</v>
      </c>
      <c r="F275" s="139" t="s">
        <v>512</v>
      </c>
      <c r="I275" s="140"/>
      <c r="L275" s="31"/>
      <c r="N275" s="213"/>
      <c r="O275" s="214"/>
      <c r="Q275" s="229"/>
      <c r="BP275" s="141"/>
      <c r="BW275" s="50"/>
      <c r="CW275" s="16" t="s">
        <v>289</v>
      </c>
      <c r="CX275" s="16" t="s">
        <v>83</v>
      </c>
    </row>
    <row r="276" spans="2:120" s="1" customFormat="1" ht="24.2" customHeight="1" x14ac:dyDescent="0.2">
      <c r="B276" s="124"/>
      <c r="C276" s="125" t="s">
        <v>489</v>
      </c>
      <c r="D276" s="125" t="s">
        <v>284</v>
      </c>
      <c r="E276" s="126" t="s">
        <v>515</v>
      </c>
      <c r="F276" s="127" t="s">
        <v>516</v>
      </c>
      <c r="G276" s="128" t="s">
        <v>366</v>
      </c>
      <c r="H276" s="129">
        <v>1.0129999999999999</v>
      </c>
      <c r="I276" s="130">
        <v>2895.0660868876225</v>
      </c>
      <c r="J276" s="131">
        <f>ROUND(I276*H276,2)</f>
        <v>2932.7</v>
      </c>
      <c r="K276" s="127" t="s">
        <v>293</v>
      </c>
      <c r="L276" s="268">
        <f>S276</f>
        <v>0</v>
      </c>
      <c r="M276" s="272">
        <f>ROUND(L276*I276,2)</f>
        <v>0</v>
      </c>
      <c r="N276" s="243"/>
      <c r="O276" s="294">
        <f>ROUND(N276*I276,2)</f>
        <v>0</v>
      </c>
      <c r="P276" s="273">
        <f>H276-L276-N276</f>
        <v>1.0129999999999999</v>
      </c>
      <c r="Q276" s="287">
        <f>ROUND(P276*I276,2)</f>
        <v>2932.7</v>
      </c>
      <c r="R276" s="137"/>
      <c r="S276" s="269">
        <f>W276+Y276+AA276+AC276+AE276+AG276+AI276+AK276+AM276</f>
        <v>0</v>
      </c>
      <c r="T276" s="269">
        <f>ROUND(S276*I276,2)</f>
        <v>0</v>
      </c>
      <c r="U276" s="269">
        <f>H276-S276</f>
        <v>1.0129999999999999</v>
      </c>
      <c r="V276" s="269">
        <f>ROUND(U276*I276,2)</f>
        <v>2932.7</v>
      </c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BP276" s="132" t="s">
        <v>1</v>
      </c>
      <c r="BQ276" s="133" t="s">
        <v>40</v>
      </c>
      <c r="BS276" s="134">
        <f>BR276*H276</f>
        <v>0</v>
      </c>
      <c r="BT276" s="134">
        <v>0</v>
      </c>
      <c r="BU276" s="134">
        <f>BT276*H276</f>
        <v>0</v>
      </c>
      <c r="BV276" s="134">
        <v>0</v>
      </c>
      <c r="BW276" s="135">
        <f>BV276*H276</f>
        <v>0</v>
      </c>
      <c r="CU276" s="136" t="s">
        <v>95</v>
      </c>
      <c r="CW276" s="136" t="s">
        <v>284</v>
      </c>
      <c r="CX276" s="136" t="s">
        <v>83</v>
      </c>
      <c r="DB276" s="16" t="s">
        <v>282</v>
      </c>
      <c r="DH276" s="137">
        <f>IF(BQ276="základní",J276,0)</f>
        <v>2932.7</v>
      </c>
      <c r="DI276" s="137">
        <f>IF(BQ276="snížená",J276,0)</f>
        <v>0</v>
      </c>
      <c r="DJ276" s="137">
        <f>IF(BQ276="zákl. přenesená",J276,0)</f>
        <v>0</v>
      </c>
      <c r="DK276" s="137">
        <f>IF(BQ276="sníž. přenesená",J276,0)</f>
        <v>0</v>
      </c>
      <c r="DL276" s="137">
        <f>IF(BQ276="nulová",J276,0)</f>
        <v>0</v>
      </c>
      <c r="DM276" s="16" t="s">
        <v>81</v>
      </c>
      <c r="DN276" s="137">
        <f>ROUND(I276*H276,2)</f>
        <v>2932.7</v>
      </c>
      <c r="DO276" s="16" t="s">
        <v>95</v>
      </c>
      <c r="DP276" s="136" t="s">
        <v>517</v>
      </c>
    </row>
    <row r="277" spans="2:120" s="1" customFormat="1" ht="29.25" x14ac:dyDescent="0.2">
      <c r="B277" s="31"/>
      <c r="D277" s="138" t="s">
        <v>289</v>
      </c>
      <c r="F277" s="139" t="s">
        <v>518</v>
      </c>
      <c r="I277" s="140"/>
      <c r="L277" s="31"/>
      <c r="N277" s="213"/>
      <c r="O277" s="214"/>
      <c r="Q277" s="229"/>
      <c r="BP277" s="141"/>
      <c r="BW277" s="50"/>
      <c r="CW277" s="16" t="s">
        <v>289</v>
      </c>
      <c r="CX277" s="16" t="s">
        <v>83</v>
      </c>
    </row>
    <row r="278" spans="2:120" s="1" customFormat="1" ht="19.5" x14ac:dyDescent="0.2">
      <c r="B278" s="31"/>
      <c r="D278" s="138" t="s">
        <v>299</v>
      </c>
      <c r="F278" s="142" t="s">
        <v>317</v>
      </c>
      <c r="I278" s="140"/>
      <c r="L278" s="31"/>
      <c r="N278" s="213"/>
      <c r="O278" s="214"/>
      <c r="Q278" s="229"/>
      <c r="BP278" s="141"/>
      <c r="BW278" s="50"/>
      <c r="CW278" s="16" t="s">
        <v>299</v>
      </c>
      <c r="CX278" s="16" t="s">
        <v>83</v>
      </c>
    </row>
    <row r="279" spans="2:120" s="11" customFormat="1" x14ac:dyDescent="0.2">
      <c r="B279" s="143"/>
      <c r="D279" s="138" t="s">
        <v>301</v>
      </c>
      <c r="E279" s="144" t="s">
        <v>1</v>
      </c>
      <c r="F279" s="145" t="s">
        <v>765</v>
      </c>
      <c r="H279" s="144" t="s">
        <v>1</v>
      </c>
      <c r="I279" s="146"/>
      <c r="L279" s="143"/>
      <c r="N279" s="215"/>
      <c r="O279" s="216"/>
      <c r="Q279" s="230"/>
      <c r="BP279" s="147"/>
      <c r="BW279" s="148"/>
      <c r="CW279" s="144" t="s">
        <v>301</v>
      </c>
      <c r="CX279" s="144" t="s">
        <v>83</v>
      </c>
      <c r="CY279" s="11" t="s">
        <v>81</v>
      </c>
      <c r="CZ279" s="11" t="s">
        <v>32</v>
      </c>
      <c r="DA279" s="11" t="s">
        <v>74</v>
      </c>
      <c r="DB279" s="144" t="s">
        <v>282</v>
      </c>
    </row>
    <row r="280" spans="2:120" s="12" customFormat="1" x14ac:dyDescent="0.2">
      <c r="B280" s="149"/>
      <c r="D280" s="138" t="s">
        <v>301</v>
      </c>
      <c r="E280" s="150" t="s">
        <v>1</v>
      </c>
      <c r="F280" s="151" t="s">
        <v>767</v>
      </c>
      <c r="H280" s="152">
        <v>1.0129999999999999</v>
      </c>
      <c r="I280" s="153"/>
      <c r="L280" s="149"/>
      <c r="N280" s="217"/>
      <c r="O280" s="218"/>
      <c r="Q280" s="231"/>
      <c r="BP280" s="154"/>
      <c r="BW280" s="155"/>
      <c r="CW280" s="150" t="s">
        <v>301</v>
      </c>
      <c r="CX280" s="150" t="s">
        <v>83</v>
      </c>
      <c r="CY280" s="12" t="s">
        <v>83</v>
      </c>
      <c r="CZ280" s="12" t="s">
        <v>32</v>
      </c>
      <c r="DA280" s="12" t="s">
        <v>81</v>
      </c>
      <c r="DB280" s="150" t="s">
        <v>282</v>
      </c>
    </row>
    <row r="281" spans="2:120" s="10" customFormat="1" ht="22.9" customHeight="1" x14ac:dyDescent="0.2">
      <c r="B281" s="112"/>
      <c r="D281" s="113" t="s">
        <v>73</v>
      </c>
      <c r="E281" s="122" t="s">
        <v>312</v>
      </c>
      <c r="F281" s="122" t="s">
        <v>520</v>
      </c>
      <c r="I281" s="115"/>
      <c r="J281" s="123">
        <f>DN281</f>
        <v>223216.18</v>
      </c>
      <c r="L281" s="112"/>
      <c r="M281" s="291">
        <f>SUM(M282:M295)</f>
        <v>0</v>
      </c>
      <c r="N281" s="295"/>
      <c r="O281" s="296">
        <f t="shared" ref="O281:V281" si="7">SUM(O282:O295)</f>
        <v>3022.56</v>
      </c>
      <c r="P281" s="291"/>
      <c r="Q281" s="298">
        <f t="shared" si="7"/>
        <v>220193.62</v>
      </c>
      <c r="R281" s="291"/>
      <c r="S281" s="291"/>
      <c r="T281" s="291">
        <f t="shared" si="7"/>
        <v>0</v>
      </c>
      <c r="U281" s="291"/>
      <c r="V281" s="291">
        <f t="shared" si="7"/>
        <v>223216.18</v>
      </c>
      <c r="BP281" s="117"/>
      <c r="BS281" s="118">
        <f>SUM(BS282:BS299)</f>
        <v>0</v>
      </c>
      <c r="BU281" s="118">
        <f>SUM(BU282:BU299)</f>
        <v>0</v>
      </c>
      <c r="BW281" s="119">
        <f>SUM(BW282:BW299)</f>
        <v>0</v>
      </c>
      <c r="CU281" s="113" t="s">
        <v>81</v>
      </c>
      <c r="CW281" s="120" t="s">
        <v>73</v>
      </c>
      <c r="CX281" s="120" t="s">
        <v>81</v>
      </c>
      <c r="DB281" s="113" t="s">
        <v>282</v>
      </c>
      <c r="DN281" s="121">
        <f>SUM(DN282:DN299)</f>
        <v>223216.18</v>
      </c>
    </row>
    <row r="282" spans="2:120" s="1" customFormat="1" ht="24.2" customHeight="1" x14ac:dyDescent="0.2">
      <c r="B282" s="124"/>
      <c r="C282" s="125" t="s">
        <v>493</v>
      </c>
      <c r="D282" s="125" t="s">
        <v>284</v>
      </c>
      <c r="E282" s="126" t="s">
        <v>522</v>
      </c>
      <c r="F282" s="127" t="s">
        <v>523</v>
      </c>
      <c r="G282" s="128" t="s">
        <v>287</v>
      </c>
      <c r="H282" s="129">
        <v>99.364999999999995</v>
      </c>
      <c r="I282" s="130">
        <v>130.95617506780872</v>
      </c>
      <c r="J282" s="131">
        <f>ROUND(I282*H282,2)</f>
        <v>13012.46</v>
      </c>
      <c r="K282" s="127" t="s">
        <v>293</v>
      </c>
      <c r="L282" s="268">
        <f>S282</f>
        <v>0</v>
      </c>
      <c r="M282" s="272">
        <f>ROUND(L282*I282,2)</f>
        <v>0</v>
      </c>
      <c r="N282" s="243">
        <f>N129</f>
        <v>1.1219999999999999</v>
      </c>
      <c r="O282" s="294">
        <f>ROUND(N282*I282,2)</f>
        <v>146.93</v>
      </c>
      <c r="P282" s="273">
        <f>H282-L282-N282</f>
        <v>98.242999999999995</v>
      </c>
      <c r="Q282" s="287">
        <f>ROUND(P282*I282,2)</f>
        <v>12865.53</v>
      </c>
      <c r="R282" s="137"/>
      <c r="S282" s="269">
        <f>W282+Y282+AA282+AC282+AE282+AG282+AI282+AK282+AM282</f>
        <v>0</v>
      </c>
      <c r="T282" s="269">
        <f>ROUND(S282*I282,2)</f>
        <v>0</v>
      </c>
      <c r="U282" s="269">
        <f>H282-S282</f>
        <v>99.364999999999995</v>
      </c>
      <c r="V282" s="269">
        <f>ROUND(U282*I282,2)</f>
        <v>13012.46</v>
      </c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BP282" s="132" t="s">
        <v>1</v>
      </c>
      <c r="BQ282" s="133" t="s">
        <v>40</v>
      </c>
      <c r="BS282" s="134">
        <f>BR282*H282</f>
        <v>0</v>
      </c>
      <c r="BT282" s="134">
        <v>0</v>
      </c>
      <c r="BU282" s="134">
        <f>BT282*H282</f>
        <v>0</v>
      </c>
      <c r="BV282" s="134">
        <v>0</v>
      </c>
      <c r="BW282" s="135">
        <f>BV282*H282</f>
        <v>0</v>
      </c>
      <c r="CU282" s="136" t="s">
        <v>95</v>
      </c>
      <c r="CW282" s="136" t="s">
        <v>284</v>
      </c>
      <c r="CX282" s="136" t="s">
        <v>83</v>
      </c>
      <c r="DB282" s="16" t="s">
        <v>282</v>
      </c>
      <c r="DH282" s="137">
        <f>IF(BQ282="základní",J282,0)</f>
        <v>13012.46</v>
      </c>
      <c r="DI282" s="137">
        <f>IF(BQ282="snížená",J282,0)</f>
        <v>0</v>
      </c>
      <c r="DJ282" s="137">
        <f>IF(BQ282="zákl. přenesená",J282,0)</f>
        <v>0</v>
      </c>
      <c r="DK282" s="137">
        <f>IF(BQ282="sníž. přenesená",J282,0)</f>
        <v>0</v>
      </c>
      <c r="DL282" s="137">
        <f>IF(BQ282="nulová",J282,0)</f>
        <v>0</v>
      </c>
      <c r="DM282" s="16" t="s">
        <v>81</v>
      </c>
      <c r="DN282" s="137">
        <f>ROUND(I282*H282,2)</f>
        <v>13012.46</v>
      </c>
      <c r="DO282" s="16" t="s">
        <v>95</v>
      </c>
      <c r="DP282" s="136" t="s">
        <v>524</v>
      </c>
    </row>
    <row r="283" spans="2:120" s="1" customFormat="1" ht="19.5" x14ac:dyDescent="0.2">
      <c r="B283" s="31"/>
      <c r="D283" s="138" t="s">
        <v>289</v>
      </c>
      <c r="F283" s="139" t="s">
        <v>525</v>
      </c>
      <c r="I283" s="140"/>
      <c r="L283" s="31"/>
      <c r="N283" s="213"/>
      <c r="O283" s="214"/>
      <c r="Q283" s="229"/>
      <c r="BP283" s="141"/>
      <c r="BW283" s="50"/>
      <c r="CW283" s="16" t="s">
        <v>289</v>
      </c>
      <c r="CX283" s="16" t="s">
        <v>83</v>
      </c>
    </row>
    <row r="284" spans="2:120" s="1" customFormat="1" ht="14.45" customHeight="1" x14ac:dyDescent="0.2">
      <c r="B284" s="124"/>
      <c r="C284" s="125" t="s">
        <v>497</v>
      </c>
      <c r="D284" s="125" t="s">
        <v>284</v>
      </c>
      <c r="E284" s="126" t="s">
        <v>527</v>
      </c>
      <c r="F284" s="127" t="s">
        <v>528</v>
      </c>
      <c r="G284" s="128" t="s">
        <v>287</v>
      </c>
      <c r="H284" s="129">
        <v>99.364999999999995</v>
      </c>
      <c r="I284" s="130">
        <v>200.20823792465458</v>
      </c>
      <c r="J284" s="131">
        <f>ROUND(I284*H284,2)</f>
        <v>19893.689999999999</v>
      </c>
      <c r="K284" s="127" t="s">
        <v>293</v>
      </c>
      <c r="L284" s="268">
        <f>S284</f>
        <v>0</v>
      </c>
      <c r="M284" s="272">
        <f>ROUND(L284*I284,2)</f>
        <v>0</v>
      </c>
      <c r="N284" s="243">
        <f>N282</f>
        <v>1.1219999999999999</v>
      </c>
      <c r="O284" s="294">
        <f>ROUND(N284*I284,2)</f>
        <v>224.63</v>
      </c>
      <c r="P284" s="273">
        <f>H284-L284-N284</f>
        <v>98.242999999999995</v>
      </c>
      <c r="Q284" s="287">
        <f>ROUND(P284*I284,2)</f>
        <v>19669.060000000001</v>
      </c>
      <c r="R284" s="137"/>
      <c r="S284" s="269">
        <f>W284+Y284+AA284+AC284+AE284+AG284+AI284+AK284+AM284</f>
        <v>0</v>
      </c>
      <c r="T284" s="269">
        <f>ROUND(S284*I284,2)</f>
        <v>0</v>
      </c>
      <c r="U284" s="269">
        <f>H284-S284</f>
        <v>99.364999999999995</v>
      </c>
      <c r="V284" s="269">
        <f>ROUND(U284*I284,2)</f>
        <v>19893.689999999999</v>
      </c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9"/>
      <c r="BP284" s="132" t="s">
        <v>1</v>
      </c>
      <c r="BQ284" s="133" t="s">
        <v>40</v>
      </c>
      <c r="BS284" s="134">
        <f>BR284*H284</f>
        <v>0</v>
      </c>
      <c r="BT284" s="134">
        <v>0</v>
      </c>
      <c r="BU284" s="134">
        <f>BT284*H284</f>
        <v>0</v>
      </c>
      <c r="BV284" s="134">
        <v>0</v>
      </c>
      <c r="BW284" s="135">
        <f>BV284*H284</f>
        <v>0</v>
      </c>
      <c r="CU284" s="136" t="s">
        <v>95</v>
      </c>
      <c r="CW284" s="136" t="s">
        <v>284</v>
      </c>
      <c r="CX284" s="136" t="s">
        <v>83</v>
      </c>
      <c r="DB284" s="16" t="s">
        <v>282</v>
      </c>
      <c r="DH284" s="137">
        <f>IF(BQ284="základní",J284,0)</f>
        <v>19893.689999999999</v>
      </c>
      <c r="DI284" s="137">
        <f>IF(BQ284="snížená",J284,0)</f>
        <v>0</v>
      </c>
      <c r="DJ284" s="137">
        <f>IF(BQ284="zákl. přenesená",J284,0)</f>
        <v>0</v>
      </c>
      <c r="DK284" s="137">
        <f>IF(BQ284="sníž. přenesená",J284,0)</f>
        <v>0</v>
      </c>
      <c r="DL284" s="137">
        <f>IF(BQ284="nulová",J284,0)</f>
        <v>0</v>
      </c>
      <c r="DM284" s="16" t="s">
        <v>81</v>
      </c>
      <c r="DN284" s="137">
        <f>ROUND(I284*H284,2)</f>
        <v>19893.689999999999</v>
      </c>
      <c r="DO284" s="16" t="s">
        <v>95</v>
      </c>
      <c r="DP284" s="136" t="s">
        <v>529</v>
      </c>
    </row>
    <row r="285" spans="2:120" s="1" customFormat="1" ht="19.5" x14ac:dyDescent="0.2">
      <c r="B285" s="31"/>
      <c r="D285" s="138" t="s">
        <v>289</v>
      </c>
      <c r="F285" s="139" t="s">
        <v>530</v>
      </c>
      <c r="I285" s="140"/>
      <c r="L285" s="31"/>
      <c r="N285" s="213"/>
      <c r="O285" s="214"/>
      <c r="Q285" s="229"/>
      <c r="BP285" s="141"/>
      <c r="BW285" s="50"/>
      <c r="CW285" s="16" t="s">
        <v>289</v>
      </c>
      <c r="CX285" s="16" t="s">
        <v>83</v>
      </c>
    </row>
    <row r="286" spans="2:120" s="1" customFormat="1" ht="24.2" customHeight="1" x14ac:dyDescent="0.2">
      <c r="B286" s="124"/>
      <c r="C286" s="125" t="s">
        <v>501</v>
      </c>
      <c r="D286" s="125" t="s">
        <v>284</v>
      </c>
      <c r="E286" s="126" t="s">
        <v>532</v>
      </c>
      <c r="F286" s="127" t="s">
        <v>533</v>
      </c>
      <c r="G286" s="128" t="s">
        <v>287</v>
      </c>
      <c r="H286" s="129">
        <v>99.364999999999995</v>
      </c>
      <c r="I286" s="130">
        <v>40.878739778868102</v>
      </c>
      <c r="J286" s="131">
        <f>ROUND(I286*H286,2)</f>
        <v>4061.92</v>
      </c>
      <c r="K286" s="127" t="s">
        <v>293</v>
      </c>
      <c r="L286" s="268">
        <f>S286</f>
        <v>0</v>
      </c>
      <c r="M286" s="272">
        <f>ROUND(L286*I286,2)</f>
        <v>0</v>
      </c>
      <c r="N286" s="243">
        <f>N284</f>
        <v>1.1219999999999999</v>
      </c>
      <c r="O286" s="294">
        <f>ROUND(N286*I286,2)</f>
        <v>45.87</v>
      </c>
      <c r="P286" s="273">
        <f>H286-L286-N286</f>
        <v>98.242999999999995</v>
      </c>
      <c r="Q286" s="287">
        <f>ROUND(P286*I286,2)</f>
        <v>4016.05</v>
      </c>
      <c r="R286" s="137"/>
      <c r="S286" s="269">
        <f>W286+Y286+AA286+AC286+AE286+AG286+AI286+AK286+AM286</f>
        <v>0</v>
      </c>
      <c r="T286" s="269">
        <f>ROUND(S286*I286,2)</f>
        <v>0</v>
      </c>
      <c r="U286" s="269">
        <f>H286-S286</f>
        <v>99.364999999999995</v>
      </c>
      <c r="V286" s="269">
        <f>ROUND(U286*I286,2)</f>
        <v>4061.92</v>
      </c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AK286" s="269"/>
      <c r="AL286" s="269"/>
      <c r="AM286" s="269"/>
      <c r="AN286" s="269"/>
      <c r="BP286" s="132" t="s">
        <v>1</v>
      </c>
      <c r="BQ286" s="133" t="s">
        <v>40</v>
      </c>
      <c r="BS286" s="134">
        <f>BR286*H286</f>
        <v>0</v>
      </c>
      <c r="BT286" s="134">
        <v>0</v>
      </c>
      <c r="BU286" s="134">
        <f>BT286*H286</f>
        <v>0</v>
      </c>
      <c r="BV286" s="134">
        <v>0</v>
      </c>
      <c r="BW286" s="135">
        <f>BV286*H286</f>
        <v>0</v>
      </c>
      <c r="CU286" s="136" t="s">
        <v>95</v>
      </c>
      <c r="CW286" s="136" t="s">
        <v>284</v>
      </c>
      <c r="CX286" s="136" t="s">
        <v>83</v>
      </c>
      <c r="DB286" s="16" t="s">
        <v>282</v>
      </c>
      <c r="DH286" s="137">
        <f>IF(BQ286="základní",J286,0)</f>
        <v>4061.92</v>
      </c>
      <c r="DI286" s="137">
        <f>IF(BQ286="snížená",J286,0)</f>
        <v>0</v>
      </c>
      <c r="DJ286" s="137">
        <f>IF(BQ286="zákl. přenesená",J286,0)</f>
        <v>0</v>
      </c>
      <c r="DK286" s="137">
        <f>IF(BQ286="sníž. přenesená",J286,0)</f>
        <v>0</v>
      </c>
      <c r="DL286" s="137">
        <f>IF(BQ286="nulová",J286,0)</f>
        <v>0</v>
      </c>
      <c r="DM286" s="16" t="s">
        <v>81</v>
      </c>
      <c r="DN286" s="137">
        <f>ROUND(I286*H286,2)</f>
        <v>4061.92</v>
      </c>
      <c r="DO286" s="16" t="s">
        <v>95</v>
      </c>
      <c r="DP286" s="136" t="s">
        <v>534</v>
      </c>
    </row>
    <row r="287" spans="2:120" s="1" customFormat="1" ht="19.5" x14ac:dyDescent="0.2">
      <c r="B287" s="31"/>
      <c r="D287" s="138" t="s">
        <v>289</v>
      </c>
      <c r="F287" s="139" t="s">
        <v>535</v>
      </c>
      <c r="I287" s="140"/>
      <c r="L287" s="31"/>
      <c r="N287" s="213"/>
      <c r="O287" s="214"/>
      <c r="Q287" s="229"/>
      <c r="BP287" s="141"/>
      <c r="BW287" s="50"/>
      <c r="CW287" s="16" t="s">
        <v>289</v>
      </c>
      <c r="CX287" s="16" t="s">
        <v>83</v>
      </c>
    </row>
    <row r="288" spans="2:120" s="1" customFormat="1" ht="24.2" customHeight="1" x14ac:dyDescent="0.2">
      <c r="B288" s="124"/>
      <c r="C288" s="125" t="s">
        <v>505</v>
      </c>
      <c r="D288" s="125" t="s">
        <v>284</v>
      </c>
      <c r="E288" s="126" t="s">
        <v>537</v>
      </c>
      <c r="F288" s="127" t="s">
        <v>538</v>
      </c>
      <c r="G288" s="128" t="s">
        <v>287</v>
      </c>
      <c r="H288" s="129">
        <v>99.364999999999995</v>
      </c>
      <c r="I288" s="130">
        <v>362.67856108310502</v>
      </c>
      <c r="J288" s="131">
        <f>ROUND(I288*H288,2)</f>
        <v>36037.56</v>
      </c>
      <c r="K288" s="127" t="s">
        <v>293</v>
      </c>
      <c r="L288" s="268">
        <f>S288</f>
        <v>0</v>
      </c>
      <c r="M288" s="272">
        <f>ROUND(L288*I288,2)</f>
        <v>0</v>
      </c>
      <c r="N288" s="243">
        <f>N286</f>
        <v>1.1219999999999999</v>
      </c>
      <c r="O288" s="294">
        <f>ROUND(N288*I288,2)</f>
        <v>406.93</v>
      </c>
      <c r="P288" s="273">
        <f>H288-L288-N288</f>
        <v>98.242999999999995</v>
      </c>
      <c r="Q288" s="287">
        <f>ROUND(P288*I288,2)</f>
        <v>35630.629999999997</v>
      </c>
      <c r="R288" s="137"/>
      <c r="S288" s="269">
        <f>W288+Y288+AA288+AC288+AE288+AG288+AI288+AK288+AM288</f>
        <v>0</v>
      </c>
      <c r="T288" s="269">
        <f>ROUND(S288*I288,2)</f>
        <v>0</v>
      </c>
      <c r="U288" s="269">
        <f>H288-S288</f>
        <v>99.364999999999995</v>
      </c>
      <c r="V288" s="269">
        <f>ROUND(U288*I288,2)</f>
        <v>36037.56</v>
      </c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BP288" s="132" t="s">
        <v>1</v>
      </c>
      <c r="BQ288" s="133" t="s">
        <v>40</v>
      </c>
      <c r="BS288" s="134">
        <f>BR288*H288</f>
        <v>0</v>
      </c>
      <c r="BT288" s="134">
        <v>0</v>
      </c>
      <c r="BU288" s="134">
        <f>BT288*H288</f>
        <v>0</v>
      </c>
      <c r="BV288" s="134">
        <v>0</v>
      </c>
      <c r="BW288" s="135">
        <f>BV288*H288</f>
        <v>0</v>
      </c>
      <c r="CU288" s="136" t="s">
        <v>95</v>
      </c>
      <c r="CW288" s="136" t="s">
        <v>284</v>
      </c>
      <c r="CX288" s="136" t="s">
        <v>83</v>
      </c>
      <c r="DB288" s="16" t="s">
        <v>282</v>
      </c>
      <c r="DH288" s="137">
        <f>IF(BQ288="základní",J288,0)</f>
        <v>36037.56</v>
      </c>
      <c r="DI288" s="137">
        <f>IF(BQ288="snížená",J288,0)</f>
        <v>0</v>
      </c>
      <c r="DJ288" s="137">
        <f>IF(BQ288="zákl. přenesená",J288,0)</f>
        <v>0</v>
      </c>
      <c r="DK288" s="137">
        <f>IF(BQ288="sníž. přenesená",J288,0)</f>
        <v>0</v>
      </c>
      <c r="DL288" s="137">
        <f>IF(BQ288="nulová",J288,0)</f>
        <v>0</v>
      </c>
      <c r="DM288" s="16" t="s">
        <v>81</v>
      </c>
      <c r="DN288" s="137">
        <f>ROUND(I288*H288,2)</f>
        <v>36037.56</v>
      </c>
      <c r="DO288" s="16" t="s">
        <v>95</v>
      </c>
      <c r="DP288" s="136" t="s">
        <v>539</v>
      </c>
    </row>
    <row r="289" spans="2:120" s="1" customFormat="1" ht="29.25" x14ac:dyDescent="0.2">
      <c r="B289" s="31"/>
      <c r="D289" s="138" t="s">
        <v>289</v>
      </c>
      <c r="F289" s="139" t="s">
        <v>540</v>
      </c>
      <c r="I289" s="140"/>
      <c r="L289" s="31"/>
      <c r="N289" s="213"/>
      <c r="O289" s="214"/>
      <c r="Q289" s="229"/>
      <c r="BP289" s="141"/>
      <c r="BW289" s="50"/>
      <c r="CW289" s="16" t="s">
        <v>289</v>
      </c>
      <c r="CX289" s="16" t="s">
        <v>83</v>
      </c>
    </row>
    <row r="290" spans="2:120" s="1" customFormat="1" ht="29.25" x14ac:dyDescent="0.2">
      <c r="B290" s="31"/>
      <c r="D290" s="138" t="s">
        <v>299</v>
      </c>
      <c r="F290" s="142" t="s">
        <v>733</v>
      </c>
      <c r="I290" s="140"/>
      <c r="L290" s="31"/>
      <c r="N290" s="213"/>
      <c r="O290" s="214"/>
      <c r="Q290" s="229"/>
      <c r="BP290" s="141"/>
      <c r="BW290" s="50"/>
      <c r="CW290" s="16" t="s">
        <v>299</v>
      </c>
      <c r="CX290" s="16" t="s">
        <v>83</v>
      </c>
    </row>
    <row r="291" spans="2:120" s="11" customFormat="1" x14ac:dyDescent="0.2">
      <c r="B291" s="143"/>
      <c r="D291" s="138" t="s">
        <v>301</v>
      </c>
      <c r="E291" s="144" t="s">
        <v>1</v>
      </c>
      <c r="F291" s="145" t="s">
        <v>541</v>
      </c>
      <c r="H291" s="144" t="s">
        <v>1</v>
      </c>
      <c r="I291" s="146"/>
      <c r="L291" s="143"/>
      <c r="N291" s="215"/>
      <c r="O291" s="216"/>
      <c r="Q291" s="230"/>
      <c r="BP291" s="147"/>
      <c r="BW291" s="148"/>
      <c r="CW291" s="144" t="s">
        <v>301</v>
      </c>
      <c r="CX291" s="144" t="s">
        <v>83</v>
      </c>
      <c r="CY291" s="11" t="s">
        <v>81</v>
      </c>
      <c r="CZ291" s="11" t="s">
        <v>32</v>
      </c>
      <c r="DA291" s="11" t="s">
        <v>74</v>
      </c>
      <c r="DB291" s="144" t="s">
        <v>282</v>
      </c>
    </row>
    <row r="292" spans="2:120" s="12" customFormat="1" x14ac:dyDescent="0.2">
      <c r="B292" s="149"/>
      <c r="D292" s="138" t="s">
        <v>301</v>
      </c>
      <c r="E292" s="150" t="s">
        <v>1</v>
      </c>
      <c r="F292" s="151" t="s">
        <v>768</v>
      </c>
      <c r="H292" s="152">
        <v>99.364999999999995</v>
      </c>
      <c r="I292" s="153"/>
      <c r="L292" s="149"/>
      <c r="N292" s="217"/>
      <c r="O292" s="218"/>
      <c r="Q292" s="231"/>
      <c r="BP292" s="154"/>
      <c r="BW292" s="155"/>
      <c r="CW292" s="150" t="s">
        <v>301</v>
      </c>
      <c r="CX292" s="150" t="s">
        <v>83</v>
      </c>
      <c r="CY292" s="12" t="s">
        <v>83</v>
      </c>
      <c r="CZ292" s="12" t="s">
        <v>32</v>
      </c>
      <c r="DA292" s="12" t="s">
        <v>81</v>
      </c>
      <c r="DB292" s="150" t="s">
        <v>282</v>
      </c>
    </row>
    <row r="293" spans="2:120" s="1" customFormat="1" ht="14.45" customHeight="1" x14ac:dyDescent="0.2">
      <c r="B293" s="124"/>
      <c r="C293" s="125" t="s">
        <v>510</v>
      </c>
      <c r="D293" s="125" t="s">
        <v>284</v>
      </c>
      <c r="E293" s="126" t="s">
        <v>544</v>
      </c>
      <c r="F293" s="127" t="s">
        <v>545</v>
      </c>
      <c r="G293" s="128" t="s">
        <v>287</v>
      </c>
      <c r="H293" s="129">
        <v>369</v>
      </c>
      <c r="I293" s="130">
        <v>18.105699236185</v>
      </c>
      <c r="J293" s="131">
        <f>ROUND(I293*H293,2)</f>
        <v>6681</v>
      </c>
      <c r="K293" s="127" t="s">
        <v>293</v>
      </c>
      <c r="L293" s="268">
        <f>S293</f>
        <v>0</v>
      </c>
      <c r="M293" s="272">
        <f>ROUND(L293*I293,2)</f>
        <v>0</v>
      </c>
      <c r="N293" s="243">
        <f>N142</f>
        <v>5.4000000000000341</v>
      </c>
      <c r="O293" s="294">
        <f>ROUND(N293*I293,2)</f>
        <v>97.77</v>
      </c>
      <c r="P293" s="273">
        <f>H293-L293-N293</f>
        <v>363.59999999999997</v>
      </c>
      <c r="Q293" s="287">
        <f>ROUND(P293*I293,2)</f>
        <v>6583.23</v>
      </c>
      <c r="R293" s="137"/>
      <c r="S293" s="269">
        <f>W293+Y293+AA293+AC293+AE293+AG293+AI293+AK293+AM293</f>
        <v>0</v>
      </c>
      <c r="T293" s="269">
        <f>ROUND(S293*I293,2)</f>
        <v>0</v>
      </c>
      <c r="U293" s="269">
        <f>H293-S293</f>
        <v>369</v>
      </c>
      <c r="V293" s="269">
        <f>ROUND(U293*I293,2)</f>
        <v>6681</v>
      </c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AK293" s="269"/>
      <c r="AL293" s="269"/>
      <c r="AM293" s="269"/>
      <c r="AN293" s="269"/>
      <c r="BP293" s="132" t="s">
        <v>1</v>
      </c>
      <c r="BQ293" s="133" t="s">
        <v>40</v>
      </c>
      <c r="BS293" s="134">
        <f>BR293*H293</f>
        <v>0</v>
      </c>
      <c r="BT293" s="134">
        <v>0</v>
      </c>
      <c r="BU293" s="134">
        <f>BT293*H293</f>
        <v>0</v>
      </c>
      <c r="BV293" s="134">
        <v>0</v>
      </c>
      <c r="BW293" s="135">
        <f>BV293*H293</f>
        <v>0</v>
      </c>
      <c r="CU293" s="136" t="s">
        <v>95</v>
      </c>
      <c r="CW293" s="136" t="s">
        <v>284</v>
      </c>
      <c r="CX293" s="136" t="s">
        <v>83</v>
      </c>
      <c r="DB293" s="16" t="s">
        <v>282</v>
      </c>
      <c r="DH293" s="137">
        <f>IF(BQ293="základní",J293,0)</f>
        <v>6681</v>
      </c>
      <c r="DI293" s="137">
        <f>IF(BQ293="snížená",J293,0)</f>
        <v>0</v>
      </c>
      <c r="DJ293" s="137">
        <f>IF(BQ293="zákl. přenesená",J293,0)</f>
        <v>0</v>
      </c>
      <c r="DK293" s="137">
        <f>IF(BQ293="sníž. přenesená",J293,0)</f>
        <v>0</v>
      </c>
      <c r="DL293" s="137">
        <f>IF(BQ293="nulová",J293,0)</f>
        <v>0</v>
      </c>
      <c r="DM293" s="16" t="s">
        <v>81</v>
      </c>
      <c r="DN293" s="137">
        <f>ROUND(I293*H293,2)</f>
        <v>6681</v>
      </c>
      <c r="DO293" s="16" t="s">
        <v>95</v>
      </c>
      <c r="DP293" s="136" t="s">
        <v>546</v>
      </c>
    </row>
    <row r="294" spans="2:120" s="1" customFormat="1" ht="19.5" x14ac:dyDescent="0.2">
      <c r="B294" s="31"/>
      <c r="D294" s="138" t="s">
        <v>289</v>
      </c>
      <c r="F294" s="139" t="s">
        <v>547</v>
      </c>
      <c r="I294" s="140"/>
      <c r="L294" s="31"/>
      <c r="N294" s="213"/>
      <c r="O294" s="214"/>
      <c r="Q294" s="229"/>
      <c r="BP294" s="141"/>
      <c r="BW294" s="50"/>
      <c r="CW294" s="16" t="s">
        <v>289</v>
      </c>
      <c r="CX294" s="16" t="s">
        <v>83</v>
      </c>
    </row>
    <row r="295" spans="2:120" s="1" customFormat="1" ht="24.2" customHeight="1" x14ac:dyDescent="0.2">
      <c r="B295" s="124"/>
      <c r="C295" s="125" t="s">
        <v>514</v>
      </c>
      <c r="D295" s="125" t="s">
        <v>284</v>
      </c>
      <c r="E295" s="126" t="s">
        <v>549</v>
      </c>
      <c r="F295" s="127" t="s">
        <v>550</v>
      </c>
      <c r="G295" s="128" t="s">
        <v>287</v>
      </c>
      <c r="H295" s="129">
        <v>369</v>
      </c>
      <c r="I295" s="130">
        <v>388.96896513366403</v>
      </c>
      <c r="J295" s="131">
        <f>ROUND(I295*H295,2)</f>
        <v>143529.54999999999</v>
      </c>
      <c r="K295" s="127" t="s">
        <v>293</v>
      </c>
      <c r="L295" s="268">
        <f>S295</f>
        <v>0</v>
      </c>
      <c r="M295" s="272">
        <f>ROUND(L295*I295,2)</f>
        <v>0</v>
      </c>
      <c r="N295" s="243">
        <f>N293</f>
        <v>5.4000000000000341</v>
      </c>
      <c r="O295" s="294">
        <f>ROUND(N295*I295,2)</f>
        <v>2100.4299999999998</v>
      </c>
      <c r="P295" s="273">
        <f>H295-L295-N295</f>
        <v>363.59999999999997</v>
      </c>
      <c r="Q295" s="287">
        <f>ROUND(P295*I295,2)</f>
        <v>141429.12</v>
      </c>
      <c r="R295" s="137"/>
      <c r="S295" s="269">
        <f>W295+Y295+AA295+AC295+AE295+AG295+AI295+AK295+AM295</f>
        <v>0</v>
      </c>
      <c r="T295" s="269">
        <f>ROUND(S295*I295,2)</f>
        <v>0</v>
      </c>
      <c r="U295" s="269">
        <f>H295-S295</f>
        <v>369</v>
      </c>
      <c r="V295" s="269">
        <f>ROUND(U295*I295,2)</f>
        <v>143529.54999999999</v>
      </c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  <c r="AL295" s="269"/>
      <c r="AM295" s="269"/>
      <c r="AN295" s="269"/>
      <c r="BP295" s="132" t="s">
        <v>1</v>
      </c>
      <c r="BQ295" s="133" t="s">
        <v>40</v>
      </c>
      <c r="BS295" s="134">
        <f>BR295*H295</f>
        <v>0</v>
      </c>
      <c r="BT295" s="134">
        <v>0</v>
      </c>
      <c r="BU295" s="134">
        <f>BT295*H295</f>
        <v>0</v>
      </c>
      <c r="BV295" s="134">
        <v>0</v>
      </c>
      <c r="BW295" s="135">
        <f>BV295*H295</f>
        <v>0</v>
      </c>
      <c r="CU295" s="136" t="s">
        <v>95</v>
      </c>
      <c r="CW295" s="136" t="s">
        <v>284</v>
      </c>
      <c r="CX295" s="136" t="s">
        <v>83</v>
      </c>
      <c r="DB295" s="16" t="s">
        <v>282</v>
      </c>
      <c r="DH295" s="137">
        <f>IF(BQ295="základní",J295,0)</f>
        <v>143529.54999999999</v>
      </c>
      <c r="DI295" s="137">
        <f>IF(BQ295="snížená",J295,0)</f>
        <v>0</v>
      </c>
      <c r="DJ295" s="137">
        <f>IF(BQ295="zákl. přenesená",J295,0)</f>
        <v>0</v>
      </c>
      <c r="DK295" s="137">
        <f>IF(BQ295="sníž. přenesená",J295,0)</f>
        <v>0</v>
      </c>
      <c r="DL295" s="137">
        <f>IF(BQ295="nulová",J295,0)</f>
        <v>0</v>
      </c>
      <c r="DM295" s="16" t="s">
        <v>81</v>
      </c>
      <c r="DN295" s="137">
        <f>ROUND(I295*H295,2)</f>
        <v>143529.54999999999</v>
      </c>
      <c r="DO295" s="16" t="s">
        <v>95</v>
      </c>
      <c r="DP295" s="136" t="s">
        <v>551</v>
      </c>
    </row>
    <row r="296" spans="2:120" s="1" customFormat="1" ht="29.25" x14ac:dyDescent="0.2">
      <c r="B296" s="31"/>
      <c r="D296" s="138" t="s">
        <v>289</v>
      </c>
      <c r="F296" s="139" t="s">
        <v>552</v>
      </c>
      <c r="I296" s="140"/>
      <c r="L296" s="31"/>
      <c r="N296" s="213"/>
      <c r="O296" s="214"/>
      <c r="Q296" s="229"/>
      <c r="BP296" s="141"/>
      <c r="BW296" s="50"/>
      <c r="CW296" s="16" t="s">
        <v>289</v>
      </c>
      <c r="CX296" s="16" t="s">
        <v>83</v>
      </c>
    </row>
    <row r="297" spans="2:120" s="1" customFormat="1" ht="29.25" x14ac:dyDescent="0.2">
      <c r="B297" s="31"/>
      <c r="D297" s="138" t="s">
        <v>299</v>
      </c>
      <c r="F297" s="142" t="s">
        <v>733</v>
      </c>
      <c r="I297" s="140"/>
      <c r="L297" s="31"/>
      <c r="N297" s="213"/>
      <c r="O297" s="214"/>
      <c r="Q297" s="229"/>
      <c r="BP297" s="141"/>
      <c r="BW297" s="50"/>
      <c r="CW297" s="16" t="s">
        <v>299</v>
      </c>
      <c r="CX297" s="16" t="s">
        <v>83</v>
      </c>
    </row>
    <row r="298" spans="2:120" s="11" customFormat="1" x14ac:dyDescent="0.2">
      <c r="B298" s="143"/>
      <c r="D298" s="138" t="s">
        <v>301</v>
      </c>
      <c r="E298" s="144" t="s">
        <v>1</v>
      </c>
      <c r="F298" s="145" t="s">
        <v>553</v>
      </c>
      <c r="H298" s="144" t="s">
        <v>1</v>
      </c>
      <c r="I298" s="146"/>
      <c r="L298" s="143"/>
      <c r="N298" s="215"/>
      <c r="O298" s="216"/>
      <c r="Q298" s="230"/>
      <c r="BP298" s="147"/>
      <c r="BW298" s="148"/>
      <c r="CW298" s="144" t="s">
        <v>301</v>
      </c>
      <c r="CX298" s="144" t="s">
        <v>83</v>
      </c>
      <c r="CY298" s="11" t="s">
        <v>81</v>
      </c>
      <c r="CZ298" s="11" t="s">
        <v>32</v>
      </c>
      <c r="DA298" s="11" t="s">
        <v>74</v>
      </c>
      <c r="DB298" s="144" t="s">
        <v>282</v>
      </c>
    </row>
    <row r="299" spans="2:120" s="12" customFormat="1" x14ac:dyDescent="0.2">
      <c r="B299" s="149"/>
      <c r="D299" s="138" t="s">
        <v>301</v>
      </c>
      <c r="E299" s="150" t="s">
        <v>1</v>
      </c>
      <c r="F299" s="151" t="s">
        <v>769</v>
      </c>
      <c r="H299" s="152">
        <v>369</v>
      </c>
      <c r="I299" s="153"/>
      <c r="L299" s="149"/>
      <c r="N299" s="217"/>
      <c r="O299" s="218"/>
      <c r="Q299" s="231"/>
      <c r="BP299" s="154"/>
      <c r="BW299" s="155"/>
      <c r="CW299" s="150" t="s">
        <v>301</v>
      </c>
      <c r="CX299" s="150" t="s">
        <v>83</v>
      </c>
      <c r="CY299" s="12" t="s">
        <v>83</v>
      </c>
      <c r="CZ299" s="12" t="s">
        <v>32</v>
      </c>
      <c r="DA299" s="12" t="s">
        <v>81</v>
      </c>
      <c r="DB299" s="150" t="s">
        <v>282</v>
      </c>
    </row>
    <row r="300" spans="2:120" s="10" customFormat="1" ht="22.9" customHeight="1" x14ac:dyDescent="0.2">
      <c r="B300" s="112"/>
      <c r="D300" s="113" t="s">
        <v>73</v>
      </c>
      <c r="E300" s="122" t="s">
        <v>328</v>
      </c>
      <c r="F300" s="122" t="s">
        <v>555</v>
      </c>
      <c r="I300" s="115"/>
      <c r="J300" s="123">
        <f>DN300</f>
        <v>201296.4</v>
      </c>
      <c r="L300" s="112"/>
      <c r="M300" s="291">
        <f>SUM(M301:M375)</f>
        <v>0</v>
      </c>
      <c r="N300" s="295"/>
      <c r="O300" s="296">
        <f t="shared" ref="O300:V300" si="8">SUM(O301:O375)</f>
        <v>879.07000000000016</v>
      </c>
      <c r="P300" s="291"/>
      <c r="Q300" s="298">
        <f t="shared" si="8"/>
        <v>200500.53</v>
      </c>
      <c r="R300" s="291"/>
      <c r="S300" s="291"/>
      <c r="T300" s="291">
        <f t="shared" si="8"/>
        <v>0</v>
      </c>
      <c r="U300" s="291"/>
      <c r="V300" s="291">
        <f t="shared" si="8"/>
        <v>201296.4</v>
      </c>
      <c r="BP300" s="117"/>
      <c r="BS300" s="118">
        <f>SUM(BS301:BS376)</f>
        <v>0</v>
      </c>
      <c r="BU300" s="118">
        <f>SUM(BU301:BU376)</f>
        <v>12.7842</v>
      </c>
      <c r="BW300" s="119">
        <f>SUM(BW301:BW376)</f>
        <v>0</v>
      </c>
      <c r="CU300" s="113" t="s">
        <v>81</v>
      </c>
      <c r="CW300" s="120" t="s">
        <v>73</v>
      </c>
      <c r="CX300" s="120" t="s">
        <v>81</v>
      </c>
      <c r="DB300" s="113" t="s">
        <v>282</v>
      </c>
      <c r="DN300" s="121">
        <f>SUM(DN301:DN376)</f>
        <v>201296.4</v>
      </c>
    </row>
    <row r="301" spans="2:120" s="1" customFormat="1" ht="24.2" customHeight="1" x14ac:dyDescent="0.2">
      <c r="B301" s="124"/>
      <c r="C301" s="125" t="s">
        <v>521</v>
      </c>
      <c r="D301" s="125" t="s">
        <v>284</v>
      </c>
      <c r="E301" s="126" t="s">
        <v>770</v>
      </c>
      <c r="F301" s="127" t="s">
        <v>771</v>
      </c>
      <c r="G301" s="128" t="s">
        <v>344</v>
      </c>
      <c r="H301" s="129">
        <v>2</v>
      </c>
      <c r="I301" s="130">
        <v>729.66571088016701</v>
      </c>
      <c r="J301" s="131">
        <f>ROUND(I301*H301,2)</f>
        <v>1459.33</v>
      </c>
      <c r="K301" s="127" t="s">
        <v>293</v>
      </c>
      <c r="L301" s="268">
        <f>S301</f>
        <v>0</v>
      </c>
      <c r="M301" s="272">
        <f>ROUND(L301*I301,2)</f>
        <v>0</v>
      </c>
      <c r="N301" s="243">
        <f>N304</f>
        <v>2.76</v>
      </c>
      <c r="O301" s="294">
        <f>ROUND(N301*I301,2)</f>
        <v>2013.88</v>
      </c>
      <c r="P301" s="273">
        <f>H301-L301-N301</f>
        <v>-0.75999999999999979</v>
      </c>
      <c r="Q301" s="287">
        <f>ROUND(P301*I301,2)</f>
        <v>-554.54999999999995</v>
      </c>
      <c r="R301" s="137"/>
      <c r="S301" s="269">
        <f>W301+Y301+AA301+AC301+AE301+AG301+AI301+AK301+AM301</f>
        <v>0</v>
      </c>
      <c r="T301" s="269">
        <f>ROUND(S301*I301,2)</f>
        <v>0</v>
      </c>
      <c r="U301" s="269">
        <f>H301-S301</f>
        <v>2</v>
      </c>
      <c r="V301" s="269">
        <f>ROUND(U301*I301,2)</f>
        <v>1459.33</v>
      </c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  <c r="AL301" s="269"/>
      <c r="AM301" s="269"/>
      <c r="AN301" s="269"/>
      <c r="BP301" s="132" t="s">
        <v>1</v>
      </c>
      <c r="BQ301" s="133" t="s">
        <v>40</v>
      </c>
      <c r="BS301" s="134">
        <f>BR301*H301</f>
        <v>0</v>
      </c>
      <c r="BT301" s="134">
        <v>6.5599999999999999E-3</v>
      </c>
      <c r="BU301" s="134">
        <f>BT301*H301</f>
        <v>1.312E-2</v>
      </c>
      <c r="BV301" s="134">
        <v>0</v>
      </c>
      <c r="BW301" s="135">
        <f>BV301*H301</f>
        <v>0</v>
      </c>
      <c r="CU301" s="136" t="s">
        <v>95</v>
      </c>
      <c r="CW301" s="136" t="s">
        <v>284</v>
      </c>
      <c r="CX301" s="136" t="s">
        <v>83</v>
      </c>
      <c r="DB301" s="16" t="s">
        <v>282</v>
      </c>
      <c r="DH301" s="137">
        <f>IF(BQ301="základní",J301,0)</f>
        <v>1459.33</v>
      </c>
      <c r="DI301" s="137">
        <f>IF(BQ301="snížená",J301,0)</f>
        <v>0</v>
      </c>
      <c r="DJ301" s="137">
        <f>IF(BQ301="zákl. přenesená",J301,0)</f>
        <v>0</v>
      </c>
      <c r="DK301" s="137">
        <f>IF(BQ301="sníž. přenesená",J301,0)</f>
        <v>0</v>
      </c>
      <c r="DL301" s="137">
        <f>IF(BQ301="nulová",J301,0)</f>
        <v>0</v>
      </c>
      <c r="DM301" s="16" t="s">
        <v>81</v>
      </c>
      <c r="DN301" s="137">
        <f>ROUND(I301*H301,2)</f>
        <v>1459.33</v>
      </c>
      <c r="DO301" s="16" t="s">
        <v>95</v>
      </c>
      <c r="DP301" s="136" t="s">
        <v>772</v>
      </c>
    </row>
    <row r="302" spans="2:120" s="1" customFormat="1" ht="29.25" x14ac:dyDescent="0.2">
      <c r="B302" s="31"/>
      <c r="D302" s="138" t="s">
        <v>289</v>
      </c>
      <c r="F302" s="139" t="s">
        <v>773</v>
      </c>
      <c r="I302" s="140"/>
      <c r="L302" s="31"/>
      <c r="N302" s="213"/>
      <c r="O302" s="214"/>
      <c r="Q302" s="229"/>
      <c r="BP302" s="141"/>
      <c r="BW302" s="50"/>
      <c r="CW302" s="16" t="s">
        <v>289</v>
      </c>
      <c r="CX302" s="16" t="s">
        <v>83</v>
      </c>
    </row>
    <row r="303" spans="2:120" s="1" customFormat="1" ht="29.25" x14ac:dyDescent="0.2">
      <c r="B303" s="31"/>
      <c r="D303" s="138" t="s">
        <v>299</v>
      </c>
      <c r="F303" s="142" t="s">
        <v>733</v>
      </c>
      <c r="I303" s="140"/>
      <c r="L303" s="31"/>
      <c r="N303" s="213">
        <v>4.76</v>
      </c>
      <c r="O303" s="214">
        <v>4.76</v>
      </c>
      <c r="Q303" s="229"/>
      <c r="BP303" s="141"/>
      <c r="BW303" s="50"/>
      <c r="CW303" s="16" t="s">
        <v>299</v>
      </c>
      <c r="CX303" s="16" t="s">
        <v>83</v>
      </c>
    </row>
    <row r="304" spans="2:120" s="12" customFormat="1" x14ac:dyDescent="0.2">
      <c r="B304" s="149"/>
      <c r="D304" s="138" t="s">
        <v>301</v>
      </c>
      <c r="E304" s="150" t="s">
        <v>1</v>
      </c>
      <c r="F304" s="151" t="s">
        <v>83</v>
      </c>
      <c r="H304" s="152">
        <v>2</v>
      </c>
      <c r="I304" s="153"/>
      <c r="L304" s="149"/>
      <c r="N304" s="310">
        <f>N303-H304</f>
        <v>2.76</v>
      </c>
      <c r="O304" s="218"/>
      <c r="Q304" s="231"/>
      <c r="BP304" s="154"/>
      <c r="BW304" s="155"/>
      <c r="CW304" s="150" t="s">
        <v>301</v>
      </c>
      <c r="CX304" s="150" t="s">
        <v>83</v>
      </c>
      <c r="CY304" s="12" t="s">
        <v>83</v>
      </c>
      <c r="CZ304" s="12" t="s">
        <v>32</v>
      </c>
      <c r="DA304" s="12" t="s">
        <v>81</v>
      </c>
      <c r="DB304" s="150" t="s">
        <v>282</v>
      </c>
    </row>
    <row r="305" spans="2:120" s="1" customFormat="1" ht="24.2" customHeight="1" x14ac:dyDescent="0.2">
      <c r="B305" s="124"/>
      <c r="C305" s="125" t="s">
        <v>526</v>
      </c>
      <c r="D305" s="125" t="s">
        <v>284</v>
      </c>
      <c r="E305" s="126" t="s">
        <v>557</v>
      </c>
      <c r="F305" s="127" t="s">
        <v>558</v>
      </c>
      <c r="G305" s="128" t="s">
        <v>344</v>
      </c>
      <c r="H305" s="129">
        <v>80</v>
      </c>
      <c r="I305" s="130">
        <v>850.78954015145496</v>
      </c>
      <c r="J305" s="131">
        <f>ROUND(I305*H305,2)</f>
        <v>68063.16</v>
      </c>
      <c r="K305" s="127" t="s">
        <v>293</v>
      </c>
      <c r="L305" s="268">
        <f>S305</f>
        <v>0</v>
      </c>
      <c r="M305" s="272">
        <f>ROUND(L305*I305,2)</f>
        <v>0</v>
      </c>
      <c r="N305" s="243">
        <f>N308</f>
        <v>-1.5600000000000023</v>
      </c>
      <c r="O305" s="294">
        <f>ROUND(N305*I305,2)</f>
        <v>-1327.23</v>
      </c>
      <c r="P305" s="273">
        <f>H305-L305-N305</f>
        <v>81.56</v>
      </c>
      <c r="Q305" s="287">
        <f>ROUND(P305*I305,2)</f>
        <v>69390.39</v>
      </c>
      <c r="R305" s="137"/>
      <c r="S305" s="269">
        <f>W305+Y305+AA305+AC305+AE305+AG305+AI305+AK305+AM305</f>
        <v>0</v>
      </c>
      <c r="T305" s="269">
        <f>ROUND(S305*I305,2)</f>
        <v>0</v>
      </c>
      <c r="U305" s="269">
        <f>H305-S305</f>
        <v>80</v>
      </c>
      <c r="V305" s="269">
        <f>ROUND(U305*I305,2)</f>
        <v>68063.16</v>
      </c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BP305" s="132" t="s">
        <v>1</v>
      </c>
      <c r="BQ305" s="133" t="s">
        <v>40</v>
      </c>
      <c r="BS305" s="134">
        <f>BR305*H305</f>
        <v>0</v>
      </c>
      <c r="BT305" s="134">
        <v>1.323E-2</v>
      </c>
      <c r="BU305" s="134">
        <f>BT305*H305</f>
        <v>1.0584</v>
      </c>
      <c r="BV305" s="134">
        <v>0</v>
      </c>
      <c r="BW305" s="135">
        <f>BV305*H305</f>
        <v>0</v>
      </c>
      <c r="CU305" s="136" t="s">
        <v>95</v>
      </c>
      <c r="CW305" s="136" t="s">
        <v>284</v>
      </c>
      <c r="CX305" s="136" t="s">
        <v>83</v>
      </c>
      <c r="DB305" s="16" t="s">
        <v>282</v>
      </c>
      <c r="DH305" s="137">
        <f>IF(BQ305="základní",J305,0)</f>
        <v>68063.16</v>
      </c>
      <c r="DI305" s="137">
        <f>IF(BQ305="snížená",J305,0)</f>
        <v>0</v>
      </c>
      <c r="DJ305" s="137">
        <f>IF(BQ305="zákl. přenesená",J305,0)</f>
        <v>0</v>
      </c>
      <c r="DK305" s="137">
        <f>IF(BQ305="sníž. přenesená",J305,0)</f>
        <v>0</v>
      </c>
      <c r="DL305" s="137">
        <f>IF(BQ305="nulová",J305,0)</f>
        <v>0</v>
      </c>
      <c r="DM305" s="16" t="s">
        <v>81</v>
      </c>
      <c r="DN305" s="137">
        <f>ROUND(I305*H305,2)</f>
        <v>68063.16</v>
      </c>
      <c r="DO305" s="16" t="s">
        <v>95</v>
      </c>
      <c r="DP305" s="136" t="s">
        <v>559</v>
      </c>
    </row>
    <row r="306" spans="2:120" s="1" customFormat="1" ht="29.25" x14ac:dyDescent="0.2">
      <c r="B306" s="31"/>
      <c r="D306" s="138" t="s">
        <v>289</v>
      </c>
      <c r="F306" s="139" t="s">
        <v>560</v>
      </c>
      <c r="I306" s="140"/>
      <c r="L306" s="31"/>
      <c r="N306" s="213"/>
      <c r="O306" s="214"/>
      <c r="Q306" s="229"/>
      <c r="BP306" s="141"/>
      <c r="BW306" s="50"/>
      <c r="CW306" s="16" t="s">
        <v>289</v>
      </c>
      <c r="CX306" s="16" t="s">
        <v>83</v>
      </c>
    </row>
    <row r="307" spans="2:120" s="1" customFormat="1" ht="29.25" x14ac:dyDescent="0.2">
      <c r="B307" s="31"/>
      <c r="D307" s="138" t="s">
        <v>299</v>
      </c>
      <c r="F307" s="142" t="s">
        <v>733</v>
      </c>
      <c r="I307" s="140"/>
      <c r="L307" s="31"/>
      <c r="N307" s="213">
        <f>78.44</f>
        <v>78.44</v>
      </c>
      <c r="O307" s="214">
        <v>78.44</v>
      </c>
      <c r="Q307" s="229"/>
      <c r="BP307" s="141"/>
      <c r="BW307" s="50"/>
      <c r="CW307" s="16" t="s">
        <v>299</v>
      </c>
      <c r="CX307" s="16" t="s">
        <v>83</v>
      </c>
    </row>
    <row r="308" spans="2:120" s="12" customFormat="1" x14ac:dyDescent="0.2">
      <c r="B308" s="149"/>
      <c r="D308" s="138" t="s">
        <v>301</v>
      </c>
      <c r="E308" s="150" t="s">
        <v>1</v>
      </c>
      <c r="F308" s="151" t="s">
        <v>774</v>
      </c>
      <c r="H308" s="152">
        <v>80</v>
      </c>
      <c r="I308" s="153"/>
      <c r="L308" s="149"/>
      <c r="N308" s="310">
        <f>N307-H308</f>
        <v>-1.5600000000000023</v>
      </c>
      <c r="O308" s="218"/>
      <c r="Q308" s="231"/>
      <c r="BP308" s="154"/>
      <c r="BW308" s="155"/>
      <c r="CW308" s="150" t="s">
        <v>301</v>
      </c>
      <c r="CX308" s="150" t="s">
        <v>83</v>
      </c>
      <c r="CY308" s="12" t="s">
        <v>83</v>
      </c>
      <c r="CZ308" s="12" t="s">
        <v>32</v>
      </c>
      <c r="DA308" s="12" t="s">
        <v>81</v>
      </c>
      <c r="DB308" s="150" t="s">
        <v>282</v>
      </c>
    </row>
    <row r="309" spans="2:120" s="1" customFormat="1" ht="24.2" customHeight="1" x14ac:dyDescent="0.2">
      <c r="B309" s="124"/>
      <c r="C309" s="125" t="s">
        <v>531</v>
      </c>
      <c r="D309" s="125" t="s">
        <v>284</v>
      </c>
      <c r="E309" s="126" t="s">
        <v>563</v>
      </c>
      <c r="F309" s="127" t="s">
        <v>564</v>
      </c>
      <c r="G309" s="128" t="s">
        <v>485</v>
      </c>
      <c r="H309" s="129">
        <v>4</v>
      </c>
      <c r="I309" s="130">
        <v>428.93856860779169</v>
      </c>
      <c r="J309" s="131">
        <f>ROUND(I309*H309,2)</f>
        <v>1715.75</v>
      </c>
      <c r="K309" s="127" t="s">
        <v>293</v>
      </c>
      <c r="L309" s="268">
        <f>S309</f>
        <v>0</v>
      </c>
      <c r="M309" s="272">
        <f>ROUND(L309*I309,2)</f>
        <v>0</v>
      </c>
      <c r="N309" s="243"/>
      <c r="O309" s="294">
        <f>ROUND(N309*I309,2)</f>
        <v>0</v>
      </c>
      <c r="P309" s="273">
        <f>H309-L309-N309</f>
        <v>4</v>
      </c>
      <c r="Q309" s="287">
        <f>ROUND(P309*I309,2)</f>
        <v>1715.75</v>
      </c>
      <c r="R309" s="137"/>
      <c r="S309" s="269">
        <f>W309+Y309+AA309+AC309+AE309+AG309+AI309+AK309+AM309</f>
        <v>0</v>
      </c>
      <c r="T309" s="269">
        <f>ROUND(S309*I309,2)</f>
        <v>0</v>
      </c>
      <c r="U309" s="269">
        <f>H309-S309</f>
        <v>4</v>
      </c>
      <c r="V309" s="269">
        <f>ROUND(U309*I309,2)</f>
        <v>1715.75</v>
      </c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BP309" s="132" t="s">
        <v>1</v>
      </c>
      <c r="BQ309" s="133" t="s">
        <v>40</v>
      </c>
      <c r="BS309" s="134">
        <f>BR309*H309</f>
        <v>0</v>
      </c>
      <c r="BT309" s="134">
        <v>2.0000000000000002E-5</v>
      </c>
      <c r="BU309" s="134">
        <f>BT309*H309</f>
        <v>8.0000000000000007E-5</v>
      </c>
      <c r="BV309" s="134">
        <v>0</v>
      </c>
      <c r="BW309" s="135">
        <f>BV309*H309</f>
        <v>0</v>
      </c>
      <c r="CU309" s="136" t="s">
        <v>95</v>
      </c>
      <c r="CW309" s="136" t="s">
        <v>284</v>
      </c>
      <c r="CX309" s="136" t="s">
        <v>83</v>
      </c>
      <c r="DB309" s="16" t="s">
        <v>282</v>
      </c>
      <c r="DH309" s="137">
        <f>IF(BQ309="základní",J309,0)</f>
        <v>1715.75</v>
      </c>
      <c r="DI309" s="137">
        <f>IF(BQ309="snížená",J309,0)</f>
        <v>0</v>
      </c>
      <c r="DJ309" s="137">
        <f>IF(BQ309="zákl. přenesená",J309,0)</f>
        <v>0</v>
      </c>
      <c r="DK309" s="137">
        <f>IF(BQ309="sníž. přenesená",J309,0)</f>
        <v>0</v>
      </c>
      <c r="DL309" s="137">
        <f>IF(BQ309="nulová",J309,0)</f>
        <v>0</v>
      </c>
      <c r="DM309" s="16" t="s">
        <v>81</v>
      </c>
      <c r="DN309" s="137">
        <f>ROUND(I309*H309,2)</f>
        <v>1715.75</v>
      </c>
      <c r="DO309" s="16" t="s">
        <v>95</v>
      </c>
      <c r="DP309" s="136" t="s">
        <v>565</v>
      </c>
    </row>
    <row r="310" spans="2:120" s="1" customFormat="1" ht="19.5" x14ac:dyDescent="0.2">
      <c r="B310" s="31"/>
      <c r="D310" s="138" t="s">
        <v>289</v>
      </c>
      <c r="F310" s="139" t="s">
        <v>566</v>
      </c>
      <c r="I310" s="140"/>
      <c r="L310" s="31"/>
      <c r="N310" s="213"/>
      <c r="O310" s="214"/>
      <c r="Q310" s="229"/>
      <c r="BP310" s="141"/>
      <c r="BW310" s="50"/>
      <c r="CW310" s="16" t="s">
        <v>289</v>
      </c>
      <c r="CX310" s="16" t="s">
        <v>83</v>
      </c>
    </row>
    <row r="311" spans="2:120" s="1" customFormat="1" ht="19.5" x14ac:dyDescent="0.2">
      <c r="B311" s="31"/>
      <c r="D311" s="138" t="s">
        <v>299</v>
      </c>
      <c r="F311" s="142" t="s">
        <v>317</v>
      </c>
      <c r="I311" s="140"/>
      <c r="L311" s="31"/>
      <c r="N311" s="213"/>
      <c r="O311" s="214"/>
      <c r="Q311" s="229"/>
      <c r="BP311" s="141"/>
      <c r="BW311" s="50"/>
      <c r="CW311" s="16" t="s">
        <v>299</v>
      </c>
      <c r="CX311" s="16" t="s">
        <v>83</v>
      </c>
    </row>
    <row r="312" spans="2:120" s="12" customFormat="1" x14ac:dyDescent="0.2">
      <c r="B312" s="149"/>
      <c r="D312" s="138" t="s">
        <v>301</v>
      </c>
      <c r="E312" s="150" t="s">
        <v>1</v>
      </c>
      <c r="F312" s="151" t="s">
        <v>775</v>
      </c>
      <c r="H312" s="152">
        <v>4</v>
      </c>
      <c r="I312" s="153"/>
      <c r="L312" s="149"/>
      <c r="N312" s="217"/>
      <c r="O312" s="218"/>
      <c r="Q312" s="231"/>
      <c r="BP312" s="154"/>
      <c r="BW312" s="155"/>
      <c r="CW312" s="150" t="s">
        <v>301</v>
      </c>
      <c r="CX312" s="150" t="s">
        <v>83</v>
      </c>
      <c r="CY312" s="12" t="s">
        <v>83</v>
      </c>
      <c r="CZ312" s="12" t="s">
        <v>32</v>
      </c>
      <c r="DA312" s="12" t="s">
        <v>81</v>
      </c>
      <c r="DB312" s="150" t="s">
        <v>282</v>
      </c>
    </row>
    <row r="313" spans="2:120" s="1" customFormat="1" ht="24.2" customHeight="1" x14ac:dyDescent="0.2">
      <c r="B313" s="124"/>
      <c r="C313" s="170" t="s">
        <v>536</v>
      </c>
      <c r="D313" s="170" t="s">
        <v>439</v>
      </c>
      <c r="E313" s="171" t="s">
        <v>569</v>
      </c>
      <c r="F313" s="172" t="s">
        <v>570</v>
      </c>
      <c r="G313" s="173" t="s">
        <v>485</v>
      </c>
      <c r="H313" s="174">
        <v>4</v>
      </c>
      <c r="I313" s="175">
        <v>1984.4168915</v>
      </c>
      <c r="J313" s="176">
        <f>ROUND(I313*H313,2)</f>
        <v>7937.67</v>
      </c>
      <c r="K313" s="172" t="s">
        <v>293</v>
      </c>
      <c r="L313" s="268">
        <f>S313</f>
        <v>0</v>
      </c>
      <c r="M313" s="272">
        <f>ROUND(L313*I313,2)</f>
        <v>0</v>
      </c>
      <c r="N313" s="243"/>
      <c r="O313" s="294">
        <f>ROUND(N313*I313,2)</f>
        <v>0</v>
      </c>
      <c r="P313" s="273">
        <f>H313-L313-N313</f>
        <v>4</v>
      </c>
      <c r="Q313" s="287">
        <f>ROUND(P313*I313,2)</f>
        <v>7937.67</v>
      </c>
      <c r="R313" s="137"/>
      <c r="S313" s="269">
        <f>W313+Y313+AA313+AC313+AE313+AG313+AI313+AK313+AM313</f>
        <v>0</v>
      </c>
      <c r="T313" s="269">
        <f>ROUND(S313*I313,2)</f>
        <v>0</v>
      </c>
      <c r="U313" s="269">
        <f>H313-S313</f>
        <v>4</v>
      </c>
      <c r="V313" s="269">
        <f>ROUND(U313*I313,2)</f>
        <v>7937.67</v>
      </c>
      <c r="W313" s="290"/>
      <c r="X313" s="290"/>
      <c r="Y313" s="290"/>
      <c r="Z313" s="290"/>
      <c r="AA313" s="290"/>
      <c r="AB313" s="290"/>
      <c r="AC313" s="290"/>
      <c r="AD313" s="290"/>
      <c r="AE313" s="290"/>
      <c r="AF313" s="290"/>
      <c r="AG313" s="290"/>
      <c r="AH313" s="290"/>
      <c r="AI313" s="290"/>
      <c r="AJ313" s="290"/>
      <c r="AK313" s="290"/>
      <c r="AL313" s="290"/>
      <c r="AM313" s="290"/>
      <c r="AN313" s="290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77" t="s">
        <v>1</v>
      </c>
      <c r="BQ313" s="178" t="s">
        <v>40</v>
      </c>
      <c r="BS313" s="134">
        <f>BR313*H313</f>
        <v>0</v>
      </c>
      <c r="BT313" s="134">
        <v>4.2599999999999999E-3</v>
      </c>
      <c r="BU313" s="134">
        <f>BT313*H313</f>
        <v>1.704E-2</v>
      </c>
      <c r="BV313" s="134">
        <v>0</v>
      </c>
      <c r="BW313" s="135">
        <f>BV313*H313</f>
        <v>0</v>
      </c>
      <c r="CU313" s="136" t="s">
        <v>328</v>
      </c>
      <c r="CW313" s="136" t="s">
        <v>439</v>
      </c>
      <c r="CX313" s="136" t="s">
        <v>83</v>
      </c>
      <c r="DB313" s="16" t="s">
        <v>282</v>
      </c>
      <c r="DH313" s="137">
        <f>IF(BQ313="základní",J313,0)</f>
        <v>7937.67</v>
      </c>
      <c r="DI313" s="137">
        <f>IF(BQ313="snížená",J313,0)</f>
        <v>0</v>
      </c>
      <c r="DJ313" s="137">
        <f>IF(BQ313="zákl. přenesená",J313,0)</f>
        <v>0</v>
      </c>
      <c r="DK313" s="137">
        <f>IF(BQ313="sníž. přenesená",J313,0)</f>
        <v>0</v>
      </c>
      <c r="DL313" s="137">
        <f>IF(BQ313="nulová",J313,0)</f>
        <v>0</v>
      </c>
      <c r="DM313" s="16" t="s">
        <v>81</v>
      </c>
      <c r="DN313" s="137">
        <f>ROUND(I313*H313,2)</f>
        <v>7937.67</v>
      </c>
      <c r="DO313" s="16" t="s">
        <v>95</v>
      </c>
      <c r="DP313" s="136" t="s">
        <v>571</v>
      </c>
    </row>
    <row r="314" spans="2:120" s="1" customFormat="1" x14ac:dyDescent="0.2">
      <c r="B314" s="31"/>
      <c r="D314" s="138" t="s">
        <v>289</v>
      </c>
      <c r="F314" s="139" t="s">
        <v>570</v>
      </c>
      <c r="I314" s="140"/>
      <c r="L314" s="31"/>
      <c r="N314" s="213"/>
      <c r="O314" s="214"/>
      <c r="Q314" s="229"/>
      <c r="BP314" s="141"/>
      <c r="BW314" s="50"/>
      <c r="CW314" s="16" t="s">
        <v>289</v>
      </c>
      <c r="CX314" s="16" t="s">
        <v>83</v>
      </c>
    </row>
    <row r="315" spans="2:120" s="1" customFormat="1" ht="24.2" customHeight="1" x14ac:dyDescent="0.2">
      <c r="B315" s="124"/>
      <c r="C315" s="125" t="s">
        <v>543</v>
      </c>
      <c r="D315" s="125" t="s">
        <v>284</v>
      </c>
      <c r="E315" s="126" t="s">
        <v>573</v>
      </c>
      <c r="F315" s="127" t="s">
        <v>574</v>
      </c>
      <c r="G315" s="128" t="s">
        <v>344</v>
      </c>
      <c r="H315" s="129">
        <v>82</v>
      </c>
      <c r="I315" s="130">
        <v>42.624706500000002</v>
      </c>
      <c r="J315" s="131">
        <f>ROUND(I315*H315,2)</f>
        <v>3495.23</v>
      </c>
      <c r="K315" s="127" t="s">
        <v>1</v>
      </c>
      <c r="L315" s="268">
        <f>S315</f>
        <v>0</v>
      </c>
      <c r="M315" s="272">
        <f>ROUND(L315*I315,2)</f>
        <v>0</v>
      </c>
      <c r="N315" s="243">
        <v>1.2</v>
      </c>
      <c r="O315" s="294">
        <f>ROUND(N315*I315,2)</f>
        <v>51.15</v>
      </c>
      <c r="P315" s="273">
        <f>H315-L315-N315</f>
        <v>80.8</v>
      </c>
      <c r="Q315" s="287">
        <f>ROUND(P315*I315,2)</f>
        <v>3444.08</v>
      </c>
      <c r="R315" s="137"/>
      <c r="S315" s="269">
        <f>W315+Y315+AA315+AC315+AE315+AG315+AI315+AK315+AM315</f>
        <v>0</v>
      </c>
      <c r="T315" s="269">
        <f>ROUND(S315*I315,2)</f>
        <v>0</v>
      </c>
      <c r="U315" s="269">
        <f>H315-S315</f>
        <v>82</v>
      </c>
      <c r="V315" s="269">
        <f>ROUND(U315*I315,2)</f>
        <v>3495.23</v>
      </c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AK315" s="269"/>
      <c r="AL315" s="269"/>
      <c r="AM315" s="269"/>
      <c r="AN315" s="269"/>
      <c r="BP315" s="132" t="s">
        <v>1</v>
      </c>
      <c r="BQ315" s="133" t="s">
        <v>40</v>
      </c>
      <c r="BS315" s="134">
        <f>BR315*H315</f>
        <v>0</v>
      </c>
      <c r="BT315" s="134">
        <v>0</v>
      </c>
      <c r="BU315" s="134">
        <f>BT315*H315</f>
        <v>0</v>
      </c>
      <c r="BV315" s="134">
        <v>0</v>
      </c>
      <c r="BW315" s="135">
        <f>BV315*H315</f>
        <v>0</v>
      </c>
      <c r="CU315" s="136" t="s">
        <v>95</v>
      </c>
      <c r="CW315" s="136" t="s">
        <v>284</v>
      </c>
      <c r="CX315" s="136" t="s">
        <v>83</v>
      </c>
      <c r="DB315" s="16" t="s">
        <v>282</v>
      </c>
      <c r="DH315" s="137">
        <f>IF(BQ315="základní",J315,0)</f>
        <v>3495.23</v>
      </c>
      <c r="DI315" s="137">
        <f>IF(BQ315="snížená",J315,0)</f>
        <v>0</v>
      </c>
      <c r="DJ315" s="137">
        <f>IF(BQ315="zákl. přenesená",J315,0)</f>
        <v>0</v>
      </c>
      <c r="DK315" s="137">
        <f>IF(BQ315="sníž. přenesená",J315,0)</f>
        <v>0</v>
      </c>
      <c r="DL315" s="137">
        <f>IF(BQ315="nulová",J315,0)</f>
        <v>0</v>
      </c>
      <c r="DM315" s="16" t="s">
        <v>81</v>
      </c>
      <c r="DN315" s="137">
        <f>ROUND(I315*H315,2)</f>
        <v>3495.23</v>
      </c>
      <c r="DO315" s="16" t="s">
        <v>95</v>
      </c>
      <c r="DP315" s="136" t="s">
        <v>575</v>
      </c>
    </row>
    <row r="316" spans="2:120" s="1" customFormat="1" ht="19.5" x14ac:dyDescent="0.2">
      <c r="B316" s="31"/>
      <c r="D316" s="138" t="s">
        <v>289</v>
      </c>
      <c r="F316" s="139" t="s">
        <v>574</v>
      </c>
      <c r="I316" s="140"/>
      <c r="L316" s="31"/>
      <c r="N316" s="213"/>
      <c r="O316" s="214"/>
      <c r="Q316" s="229"/>
      <c r="BP316" s="141"/>
      <c r="BW316" s="50"/>
      <c r="CW316" s="16" t="s">
        <v>289</v>
      </c>
      <c r="CX316" s="16" t="s">
        <v>83</v>
      </c>
    </row>
    <row r="317" spans="2:120" s="1" customFormat="1" ht="14.45" customHeight="1" x14ac:dyDescent="0.2">
      <c r="B317" s="124"/>
      <c r="C317" s="125" t="s">
        <v>548</v>
      </c>
      <c r="D317" s="125" t="s">
        <v>284</v>
      </c>
      <c r="E317" s="126" t="s">
        <v>577</v>
      </c>
      <c r="F317" s="127" t="s">
        <v>578</v>
      </c>
      <c r="G317" s="128" t="s">
        <v>344</v>
      </c>
      <c r="H317" s="129">
        <v>82</v>
      </c>
      <c r="I317" s="130">
        <v>18.944313999999999</v>
      </c>
      <c r="J317" s="131">
        <f>ROUND(I317*H317,2)</f>
        <v>1553.43</v>
      </c>
      <c r="K317" s="127" t="s">
        <v>1</v>
      </c>
      <c r="L317" s="268">
        <f>S317</f>
        <v>0</v>
      </c>
      <c r="M317" s="272">
        <f>ROUND(L317*I317,2)</f>
        <v>0</v>
      </c>
      <c r="N317" s="243">
        <v>1.2</v>
      </c>
      <c r="O317" s="294">
        <f>ROUND(N317*I317,2)</f>
        <v>22.73</v>
      </c>
      <c r="P317" s="273">
        <f>H317-L317-N317</f>
        <v>80.8</v>
      </c>
      <c r="Q317" s="287">
        <f>ROUND(P317*I317,2)</f>
        <v>1530.7</v>
      </c>
      <c r="R317" s="137"/>
      <c r="S317" s="269">
        <f>W317+Y317+AA317+AC317+AE317+AG317+AI317+AK317+AM317</f>
        <v>0</v>
      </c>
      <c r="T317" s="269">
        <f>ROUND(S317*I317,2)</f>
        <v>0</v>
      </c>
      <c r="U317" s="269">
        <f>H317-S317</f>
        <v>82</v>
      </c>
      <c r="V317" s="269">
        <f>ROUND(U317*I317,2)</f>
        <v>1553.43</v>
      </c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BP317" s="132" t="s">
        <v>1</v>
      </c>
      <c r="BQ317" s="133" t="s">
        <v>40</v>
      </c>
      <c r="BS317" s="134">
        <f>BR317*H317</f>
        <v>0</v>
      </c>
      <c r="BT317" s="134">
        <v>0</v>
      </c>
      <c r="BU317" s="134">
        <f>BT317*H317</f>
        <v>0</v>
      </c>
      <c r="BV317" s="134">
        <v>0</v>
      </c>
      <c r="BW317" s="135">
        <f>BV317*H317</f>
        <v>0</v>
      </c>
      <c r="CU317" s="136" t="s">
        <v>95</v>
      </c>
      <c r="CW317" s="136" t="s">
        <v>284</v>
      </c>
      <c r="CX317" s="136" t="s">
        <v>83</v>
      </c>
      <c r="DB317" s="16" t="s">
        <v>282</v>
      </c>
      <c r="DH317" s="137">
        <f>IF(BQ317="základní",J317,0)</f>
        <v>1553.43</v>
      </c>
      <c r="DI317" s="137">
        <f>IF(BQ317="snížená",J317,0)</f>
        <v>0</v>
      </c>
      <c r="DJ317" s="137">
        <f>IF(BQ317="zákl. přenesená",J317,0)</f>
        <v>0</v>
      </c>
      <c r="DK317" s="137">
        <f>IF(BQ317="sníž. přenesená",J317,0)</f>
        <v>0</v>
      </c>
      <c r="DL317" s="137">
        <f>IF(BQ317="nulová",J317,0)</f>
        <v>0</v>
      </c>
      <c r="DM317" s="16" t="s">
        <v>81</v>
      </c>
      <c r="DN317" s="137">
        <f>ROUND(I317*H317,2)</f>
        <v>1553.43</v>
      </c>
      <c r="DO317" s="16" t="s">
        <v>95</v>
      </c>
      <c r="DP317" s="136" t="s">
        <v>579</v>
      </c>
    </row>
    <row r="318" spans="2:120" s="1" customFormat="1" x14ac:dyDescent="0.2">
      <c r="B318" s="31"/>
      <c r="D318" s="138" t="s">
        <v>289</v>
      </c>
      <c r="F318" s="139" t="s">
        <v>578</v>
      </c>
      <c r="I318" s="140"/>
      <c r="L318" s="31"/>
      <c r="N318" s="213"/>
      <c r="O318" s="214"/>
      <c r="Q318" s="229"/>
      <c r="BP318" s="141"/>
      <c r="BW318" s="50"/>
      <c r="CW318" s="16" t="s">
        <v>289</v>
      </c>
      <c r="CX318" s="16" t="s">
        <v>83</v>
      </c>
    </row>
    <row r="319" spans="2:120" s="1" customFormat="1" ht="29.25" x14ac:dyDescent="0.2">
      <c r="B319" s="31"/>
      <c r="D319" s="138" t="s">
        <v>299</v>
      </c>
      <c r="F319" s="142" t="s">
        <v>580</v>
      </c>
      <c r="I319" s="140"/>
      <c r="L319" s="31"/>
      <c r="N319" s="213"/>
      <c r="O319" s="214"/>
      <c r="Q319" s="229"/>
      <c r="BP319" s="141"/>
      <c r="BW319" s="50"/>
      <c r="CW319" s="16" t="s">
        <v>299</v>
      </c>
      <c r="CX319" s="16" t="s">
        <v>83</v>
      </c>
    </row>
    <row r="320" spans="2:120" s="1" customFormat="1" ht="14.45" customHeight="1" x14ac:dyDescent="0.2">
      <c r="B320" s="124"/>
      <c r="C320" s="125" t="s">
        <v>556</v>
      </c>
      <c r="D320" s="125" t="s">
        <v>284</v>
      </c>
      <c r="E320" s="126" t="s">
        <v>776</v>
      </c>
      <c r="F320" s="127" t="s">
        <v>777</v>
      </c>
      <c r="G320" s="128" t="s">
        <v>344</v>
      </c>
      <c r="H320" s="129">
        <v>2</v>
      </c>
      <c r="I320" s="130">
        <v>21.984104604889872</v>
      </c>
      <c r="J320" s="131">
        <f>ROUND(I320*H320,2)</f>
        <v>43.97</v>
      </c>
      <c r="K320" s="127" t="s">
        <v>293</v>
      </c>
      <c r="L320" s="268">
        <f>S320</f>
        <v>0</v>
      </c>
      <c r="M320" s="272">
        <f>ROUND(L320*I320,2)</f>
        <v>0</v>
      </c>
      <c r="N320" s="243"/>
      <c r="O320" s="294">
        <f>ROUND(N320*I320,2)</f>
        <v>0</v>
      </c>
      <c r="P320" s="273">
        <f>H320-L320-N320</f>
        <v>2</v>
      </c>
      <c r="Q320" s="287">
        <f>ROUND(P320*I320,2)</f>
        <v>43.97</v>
      </c>
      <c r="R320" s="137"/>
      <c r="S320" s="269">
        <f>W320+Y320+AA320+AC320+AE320+AG320+AI320+AK320+AM320</f>
        <v>0</v>
      </c>
      <c r="T320" s="269">
        <f>ROUND(S320*I320,2)</f>
        <v>0</v>
      </c>
      <c r="U320" s="269">
        <f>H320-S320</f>
        <v>2</v>
      </c>
      <c r="V320" s="269">
        <f>ROUND(U320*I320,2)</f>
        <v>43.97</v>
      </c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  <c r="AL320" s="269"/>
      <c r="AM320" s="269"/>
      <c r="AN320" s="269"/>
      <c r="BP320" s="132" t="s">
        <v>1</v>
      </c>
      <c r="BQ320" s="133" t="s">
        <v>40</v>
      </c>
      <c r="BS320" s="134">
        <f>BR320*H320</f>
        <v>0</v>
      </c>
      <c r="BT320" s="134">
        <v>0</v>
      </c>
      <c r="BU320" s="134">
        <f>BT320*H320</f>
        <v>0</v>
      </c>
      <c r="BV320" s="134">
        <v>0</v>
      </c>
      <c r="BW320" s="135">
        <f>BV320*H320</f>
        <v>0</v>
      </c>
      <c r="CU320" s="136" t="s">
        <v>95</v>
      </c>
      <c r="CW320" s="136" t="s">
        <v>284</v>
      </c>
      <c r="CX320" s="136" t="s">
        <v>83</v>
      </c>
      <c r="DB320" s="16" t="s">
        <v>282</v>
      </c>
      <c r="DH320" s="137">
        <f>IF(BQ320="základní",J320,0)</f>
        <v>43.97</v>
      </c>
      <c r="DI320" s="137">
        <f>IF(BQ320="snížená",J320,0)</f>
        <v>0</v>
      </c>
      <c r="DJ320" s="137">
        <f>IF(BQ320="zákl. přenesená",J320,0)</f>
        <v>0</v>
      </c>
      <c r="DK320" s="137">
        <f>IF(BQ320="sníž. přenesená",J320,0)</f>
        <v>0</v>
      </c>
      <c r="DL320" s="137">
        <f>IF(BQ320="nulová",J320,0)</f>
        <v>0</v>
      </c>
      <c r="DM320" s="16" t="s">
        <v>81</v>
      </c>
      <c r="DN320" s="137">
        <f>ROUND(I320*H320,2)</f>
        <v>43.97</v>
      </c>
      <c r="DO320" s="16" t="s">
        <v>95</v>
      </c>
      <c r="DP320" s="136" t="s">
        <v>778</v>
      </c>
    </row>
    <row r="321" spans="2:120" s="1" customFormat="1" x14ac:dyDescent="0.2">
      <c r="B321" s="31"/>
      <c r="D321" s="138" t="s">
        <v>289</v>
      </c>
      <c r="F321" s="139" t="s">
        <v>779</v>
      </c>
      <c r="I321" s="140"/>
      <c r="L321" s="31"/>
      <c r="N321" s="213"/>
      <c r="O321" s="214"/>
      <c r="Q321" s="229"/>
      <c r="BP321" s="141"/>
      <c r="BW321" s="50"/>
      <c r="CW321" s="16" t="s">
        <v>289</v>
      </c>
      <c r="CX321" s="16" t="s">
        <v>83</v>
      </c>
    </row>
    <row r="322" spans="2:120" s="1" customFormat="1" ht="19.5" x14ac:dyDescent="0.2">
      <c r="B322" s="31"/>
      <c r="D322" s="138" t="s">
        <v>299</v>
      </c>
      <c r="F322" s="142" t="s">
        <v>587</v>
      </c>
      <c r="I322" s="140"/>
      <c r="L322" s="31"/>
      <c r="N322" s="213"/>
      <c r="O322" s="214"/>
      <c r="Q322" s="229"/>
      <c r="BP322" s="141"/>
      <c r="BW322" s="50"/>
      <c r="CW322" s="16" t="s">
        <v>299</v>
      </c>
      <c r="CX322" s="16" t="s">
        <v>83</v>
      </c>
    </row>
    <row r="323" spans="2:120" s="1" customFormat="1" ht="24.2" customHeight="1" x14ac:dyDescent="0.2">
      <c r="B323" s="124"/>
      <c r="C323" s="125" t="s">
        <v>562</v>
      </c>
      <c r="D323" s="125" t="s">
        <v>284</v>
      </c>
      <c r="E323" s="126" t="s">
        <v>582</v>
      </c>
      <c r="F323" s="127" t="s">
        <v>583</v>
      </c>
      <c r="G323" s="128" t="s">
        <v>584</v>
      </c>
      <c r="H323" s="129">
        <v>3</v>
      </c>
      <c r="I323" s="130">
        <v>933.22469567263556</v>
      </c>
      <c r="J323" s="131">
        <f>ROUND(I323*H323,2)</f>
        <v>2799.67</v>
      </c>
      <c r="K323" s="127" t="s">
        <v>293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3</v>
      </c>
      <c r="Q323" s="287">
        <f>ROUND(P323*I323,2)</f>
        <v>2799.67</v>
      </c>
      <c r="R323" s="137"/>
      <c r="S323" s="269">
        <f>W323+Y323+AA323+AC323+AE323+AG323+AI323+AK323+AM323</f>
        <v>0</v>
      </c>
      <c r="T323" s="269">
        <f>ROUND(S323*I323,2)</f>
        <v>0</v>
      </c>
      <c r="U323" s="269">
        <f>H323-S323</f>
        <v>3</v>
      </c>
      <c r="V323" s="269">
        <f>ROUND(U323*I323,2)</f>
        <v>2799.67</v>
      </c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BP323" s="132" t="s">
        <v>1</v>
      </c>
      <c r="BQ323" s="133" t="s">
        <v>40</v>
      </c>
      <c r="BS323" s="134">
        <f>BR323*H323</f>
        <v>0</v>
      </c>
      <c r="BT323" s="134">
        <v>3.1E-4</v>
      </c>
      <c r="BU323" s="134">
        <f>BT323*H323</f>
        <v>9.3000000000000005E-4</v>
      </c>
      <c r="BV323" s="134">
        <v>0</v>
      </c>
      <c r="BW323" s="135">
        <f>BV323*H323</f>
        <v>0</v>
      </c>
      <c r="CU323" s="136" t="s">
        <v>95</v>
      </c>
      <c r="CW323" s="136" t="s">
        <v>284</v>
      </c>
      <c r="CX323" s="136" t="s">
        <v>83</v>
      </c>
      <c r="DB323" s="16" t="s">
        <v>282</v>
      </c>
      <c r="DH323" s="137">
        <f>IF(BQ323="základní",J323,0)</f>
        <v>2799.67</v>
      </c>
      <c r="DI323" s="137">
        <f>IF(BQ323="snížená",J323,0)</f>
        <v>0</v>
      </c>
      <c r="DJ323" s="137">
        <f>IF(BQ323="zákl. přenesená",J323,0)</f>
        <v>0</v>
      </c>
      <c r="DK323" s="137">
        <f>IF(BQ323="sníž. přenesená",J323,0)</f>
        <v>0</v>
      </c>
      <c r="DL323" s="137">
        <f>IF(BQ323="nulová",J323,0)</f>
        <v>0</v>
      </c>
      <c r="DM323" s="16" t="s">
        <v>81</v>
      </c>
      <c r="DN323" s="137">
        <f>ROUND(I323*H323,2)</f>
        <v>2799.67</v>
      </c>
      <c r="DO323" s="16" t="s">
        <v>95</v>
      </c>
      <c r="DP323" s="136" t="s">
        <v>585</v>
      </c>
    </row>
    <row r="324" spans="2:120" s="1" customFormat="1" x14ac:dyDescent="0.2">
      <c r="B324" s="31"/>
      <c r="D324" s="138" t="s">
        <v>289</v>
      </c>
      <c r="F324" s="139" t="s">
        <v>586</v>
      </c>
      <c r="I324" s="140"/>
      <c r="L324" s="31"/>
      <c r="N324" s="213"/>
      <c r="O324" s="214"/>
      <c r="Q324" s="229"/>
      <c r="BP324" s="141"/>
      <c r="BW324" s="50"/>
      <c r="CW324" s="16" t="s">
        <v>289</v>
      </c>
      <c r="CX324" s="16" t="s">
        <v>83</v>
      </c>
    </row>
    <row r="325" spans="2:120" s="1" customFormat="1" ht="19.5" x14ac:dyDescent="0.2">
      <c r="B325" s="31"/>
      <c r="D325" s="138" t="s">
        <v>299</v>
      </c>
      <c r="F325" s="142" t="s">
        <v>587</v>
      </c>
      <c r="I325" s="140"/>
      <c r="L325" s="31"/>
      <c r="N325" s="213"/>
      <c r="O325" s="214"/>
      <c r="Q325" s="229"/>
      <c r="BP325" s="141"/>
      <c r="BW325" s="50"/>
      <c r="CW325" s="16" t="s">
        <v>299</v>
      </c>
      <c r="CX325" s="16" t="s">
        <v>83</v>
      </c>
    </row>
    <row r="326" spans="2:120" s="11" customFormat="1" x14ac:dyDescent="0.2">
      <c r="B326" s="143"/>
      <c r="D326" s="138" t="s">
        <v>301</v>
      </c>
      <c r="E326" s="144" t="s">
        <v>1</v>
      </c>
      <c r="F326" s="145" t="s">
        <v>588</v>
      </c>
      <c r="H326" s="144" t="s">
        <v>1</v>
      </c>
      <c r="I326" s="146"/>
      <c r="L326" s="143"/>
      <c r="N326" s="215"/>
      <c r="O326" s="216"/>
      <c r="Q326" s="230"/>
      <c r="BP326" s="147"/>
      <c r="BW326" s="148"/>
      <c r="CW326" s="144" t="s">
        <v>301</v>
      </c>
      <c r="CX326" s="144" t="s">
        <v>83</v>
      </c>
      <c r="CY326" s="11" t="s">
        <v>81</v>
      </c>
      <c r="CZ326" s="11" t="s">
        <v>32</v>
      </c>
      <c r="DA326" s="11" t="s">
        <v>74</v>
      </c>
      <c r="DB326" s="144" t="s">
        <v>282</v>
      </c>
    </row>
    <row r="327" spans="2:120" s="12" customFormat="1" x14ac:dyDescent="0.2">
      <c r="B327" s="149"/>
      <c r="D327" s="138" t="s">
        <v>301</v>
      </c>
      <c r="E327" s="150" t="s">
        <v>1</v>
      </c>
      <c r="F327" s="151" t="s">
        <v>90</v>
      </c>
      <c r="H327" s="152">
        <v>3</v>
      </c>
      <c r="I327" s="153"/>
      <c r="L327" s="149"/>
      <c r="N327" s="217"/>
      <c r="O327" s="218"/>
      <c r="Q327" s="231"/>
      <c r="BP327" s="154"/>
      <c r="BW327" s="155"/>
      <c r="CW327" s="150" t="s">
        <v>301</v>
      </c>
      <c r="CX327" s="150" t="s">
        <v>83</v>
      </c>
      <c r="CY327" s="12" t="s">
        <v>83</v>
      </c>
      <c r="CZ327" s="12" t="s">
        <v>32</v>
      </c>
      <c r="DA327" s="12" t="s">
        <v>81</v>
      </c>
      <c r="DB327" s="150" t="s">
        <v>282</v>
      </c>
    </row>
    <row r="328" spans="2:120" s="1" customFormat="1" ht="24.2" customHeight="1" x14ac:dyDescent="0.2">
      <c r="B328" s="124"/>
      <c r="C328" s="125" t="s">
        <v>568</v>
      </c>
      <c r="D328" s="125" t="s">
        <v>284</v>
      </c>
      <c r="E328" s="126" t="s">
        <v>590</v>
      </c>
      <c r="F328" s="127" t="s">
        <v>591</v>
      </c>
      <c r="G328" s="128" t="s">
        <v>344</v>
      </c>
      <c r="H328" s="129">
        <v>82</v>
      </c>
      <c r="I328" s="130">
        <v>29.453410986389244</v>
      </c>
      <c r="J328" s="131">
        <f>ROUND(I328*H328,2)</f>
        <v>2415.1799999999998</v>
      </c>
      <c r="K328" s="127" t="s">
        <v>293</v>
      </c>
      <c r="L328" s="268">
        <f>S328</f>
        <v>0</v>
      </c>
      <c r="M328" s="272">
        <f>ROUND(L328*I328,2)</f>
        <v>0</v>
      </c>
      <c r="N328" s="243">
        <v>1.2</v>
      </c>
      <c r="O328" s="294">
        <f>ROUND(N328*I328,2)</f>
        <v>35.340000000000003</v>
      </c>
      <c r="P328" s="273">
        <f>H328-L328-N328</f>
        <v>80.8</v>
      </c>
      <c r="Q328" s="287">
        <f>ROUND(P328*I328,2)</f>
        <v>2379.84</v>
      </c>
      <c r="R328" s="137"/>
      <c r="S328" s="269">
        <f>W328+Y328+AA328+AC328+AE328+AG328+AI328+AK328+AM328</f>
        <v>0</v>
      </c>
      <c r="T328" s="269">
        <f>ROUND(S328*I328,2)</f>
        <v>0</v>
      </c>
      <c r="U328" s="269">
        <f>H328-S328</f>
        <v>82</v>
      </c>
      <c r="V328" s="269">
        <f>ROUND(U328*I328,2)</f>
        <v>2415.1799999999998</v>
      </c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  <c r="AL328" s="269"/>
      <c r="AM328" s="269"/>
      <c r="AN328" s="269"/>
      <c r="BP328" s="132" t="s">
        <v>1</v>
      </c>
      <c r="BQ328" s="133" t="s">
        <v>40</v>
      </c>
      <c r="BS328" s="134">
        <f>BR328*H328</f>
        <v>0</v>
      </c>
      <c r="BT328" s="134">
        <v>0</v>
      </c>
      <c r="BU328" s="134">
        <f>BT328*H328</f>
        <v>0</v>
      </c>
      <c r="BV328" s="134">
        <v>0</v>
      </c>
      <c r="BW328" s="135">
        <f>BV328*H328</f>
        <v>0</v>
      </c>
      <c r="CU328" s="136" t="s">
        <v>95</v>
      </c>
      <c r="CW328" s="136" t="s">
        <v>284</v>
      </c>
      <c r="CX328" s="136" t="s">
        <v>83</v>
      </c>
      <c r="DB328" s="16" t="s">
        <v>282</v>
      </c>
      <c r="DH328" s="137">
        <f>IF(BQ328="základní",J328,0)</f>
        <v>2415.1799999999998</v>
      </c>
      <c r="DI328" s="137">
        <f>IF(BQ328="snížená",J328,0)</f>
        <v>0</v>
      </c>
      <c r="DJ328" s="137">
        <f>IF(BQ328="zákl. přenesená",J328,0)</f>
        <v>0</v>
      </c>
      <c r="DK328" s="137">
        <f>IF(BQ328="sníž. přenesená",J328,0)</f>
        <v>0</v>
      </c>
      <c r="DL328" s="137">
        <f>IF(BQ328="nulová",J328,0)</f>
        <v>0</v>
      </c>
      <c r="DM328" s="16" t="s">
        <v>81</v>
      </c>
      <c r="DN328" s="137">
        <f>ROUND(I328*H328,2)</f>
        <v>2415.1799999999998</v>
      </c>
      <c r="DO328" s="16" t="s">
        <v>95</v>
      </c>
      <c r="DP328" s="136" t="s">
        <v>592</v>
      </c>
    </row>
    <row r="329" spans="2:120" s="1" customFormat="1" x14ac:dyDescent="0.2">
      <c r="B329" s="31"/>
      <c r="D329" s="138" t="s">
        <v>289</v>
      </c>
      <c r="F329" s="139" t="s">
        <v>593</v>
      </c>
      <c r="I329" s="140"/>
      <c r="L329" s="31"/>
      <c r="N329" s="213"/>
      <c r="O329" s="214"/>
      <c r="Q329" s="229"/>
      <c r="BP329" s="141"/>
      <c r="BW329" s="50"/>
      <c r="CW329" s="16" t="s">
        <v>289</v>
      </c>
      <c r="CX329" s="16" t="s">
        <v>83</v>
      </c>
    </row>
    <row r="330" spans="2:120" s="1" customFormat="1" ht="19.5" x14ac:dyDescent="0.2">
      <c r="B330" s="31"/>
      <c r="D330" s="138" t="s">
        <v>299</v>
      </c>
      <c r="F330" s="142" t="s">
        <v>587</v>
      </c>
      <c r="I330" s="140"/>
      <c r="L330" s="31"/>
      <c r="N330" s="213"/>
      <c r="O330" s="214"/>
      <c r="Q330" s="229"/>
      <c r="BP330" s="141"/>
      <c r="BW330" s="50"/>
      <c r="CW330" s="16" t="s">
        <v>299</v>
      </c>
      <c r="CX330" s="16" t="s">
        <v>83</v>
      </c>
    </row>
    <row r="331" spans="2:120" s="1" customFormat="1" ht="24.2" customHeight="1" x14ac:dyDescent="0.2">
      <c r="B331" s="124"/>
      <c r="C331" s="125" t="s">
        <v>572</v>
      </c>
      <c r="D331" s="125" t="s">
        <v>284</v>
      </c>
      <c r="E331" s="126" t="s">
        <v>595</v>
      </c>
      <c r="F331" s="127" t="s">
        <v>596</v>
      </c>
      <c r="G331" s="128" t="s">
        <v>485</v>
      </c>
      <c r="H331" s="129">
        <v>4</v>
      </c>
      <c r="I331" s="130">
        <v>867.6587001634532</v>
      </c>
      <c r="J331" s="131">
        <f>ROUND(I331*H331,2)</f>
        <v>3470.63</v>
      </c>
      <c r="K331" s="127" t="s">
        <v>293</v>
      </c>
      <c r="L331" s="268">
        <f>S331</f>
        <v>0</v>
      </c>
      <c r="M331" s="272">
        <f>ROUND(L331*I331,2)</f>
        <v>0</v>
      </c>
      <c r="N331" s="243"/>
      <c r="O331" s="294">
        <f>ROUND(N331*I331,2)</f>
        <v>0</v>
      </c>
      <c r="P331" s="273">
        <f>H331-L331-N331</f>
        <v>4</v>
      </c>
      <c r="Q331" s="287">
        <f>ROUND(P331*I331,2)</f>
        <v>3470.63</v>
      </c>
      <c r="R331" s="137"/>
      <c r="S331" s="269">
        <f>W331+Y331+AA331+AC331+AE331+AG331+AI331+AK331+AM331</f>
        <v>0</v>
      </c>
      <c r="T331" s="269">
        <f>ROUND(S331*I331,2)</f>
        <v>0</v>
      </c>
      <c r="U331" s="269">
        <f>H331-S331</f>
        <v>4</v>
      </c>
      <c r="V331" s="269">
        <f>ROUND(U331*I331,2)</f>
        <v>3470.63</v>
      </c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  <c r="AL331" s="269"/>
      <c r="AM331" s="269"/>
      <c r="AN331" s="269"/>
      <c r="BP331" s="132" t="s">
        <v>1</v>
      </c>
      <c r="BQ331" s="133" t="s">
        <v>40</v>
      </c>
      <c r="BS331" s="134">
        <f>BR331*H331</f>
        <v>0</v>
      </c>
      <c r="BT331" s="134">
        <v>1.0189999999999999E-2</v>
      </c>
      <c r="BU331" s="134">
        <f>BT331*H331</f>
        <v>4.0759999999999998E-2</v>
      </c>
      <c r="BV331" s="134">
        <v>0</v>
      </c>
      <c r="BW331" s="135">
        <f>BV331*H331</f>
        <v>0</v>
      </c>
      <c r="CU331" s="136" t="s">
        <v>95</v>
      </c>
      <c r="CW331" s="136" t="s">
        <v>284</v>
      </c>
      <c r="CX331" s="136" t="s">
        <v>83</v>
      </c>
      <c r="DB331" s="16" t="s">
        <v>282</v>
      </c>
      <c r="DH331" s="137">
        <f>IF(BQ331="základní",J331,0)</f>
        <v>3470.63</v>
      </c>
      <c r="DI331" s="137">
        <f>IF(BQ331="snížená",J331,0)</f>
        <v>0</v>
      </c>
      <c r="DJ331" s="137">
        <f>IF(BQ331="zákl. přenesená",J331,0)</f>
        <v>0</v>
      </c>
      <c r="DK331" s="137">
        <f>IF(BQ331="sníž. přenesená",J331,0)</f>
        <v>0</v>
      </c>
      <c r="DL331" s="137">
        <f>IF(BQ331="nulová",J331,0)</f>
        <v>0</v>
      </c>
      <c r="DM331" s="16" t="s">
        <v>81</v>
      </c>
      <c r="DN331" s="137">
        <f>ROUND(I331*H331,2)</f>
        <v>3470.63</v>
      </c>
      <c r="DO331" s="16" t="s">
        <v>95</v>
      </c>
      <c r="DP331" s="136" t="s">
        <v>597</v>
      </c>
    </row>
    <row r="332" spans="2:120" s="1" customFormat="1" ht="19.5" x14ac:dyDescent="0.2">
      <c r="B332" s="31"/>
      <c r="D332" s="138" t="s">
        <v>289</v>
      </c>
      <c r="F332" s="139" t="s">
        <v>596</v>
      </c>
      <c r="I332" s="140"/>
      <c r="L332" s="31"/>
      <c r="N332" s="213"/>
      <c r="O332" s="214"/>
      <c r="Q332" s="229"/>
      <c r="BP332" s="141"/>
      <c r="BW332" s="50"/>
      <c r="CW332" s="16" t="s">
        <v>289</v>
      </c>
      <c r="CX332" s="16" t="s">
        <v>83</v>
      </c>
    </row>
    <row r="333" spans="2:120" s="1" customFormat="1" ht="19.5" x14ac:dyDescent="0.2">
      <c r="B333" s="31"/>
      <c r="D333" s="138" t="s">
        <v>299</v>
      </c>
      <c r="F333" s="142" t="s">
        <v>317</v>
      </c>
      <c r="I333" s="140"/>
      <c r="L333" s="31"/>
      <c r="N333" s="213"/>
      <c r="O333" s="214"/>
      <c r="Q333" s="229"/>
      <c r="BP333" s="141"/>
      <c r="BW333" s="50"/>
      <c r="CW333" s="16" t="s">
        <v>299</v>
      </c>
      <c r="CX333" s="16" t="s">
        <v>83</v>
      </c>
    </row>
    <row r="334" spans="2:120" s="12" customFormat="1" x14ac:dyDescent="0.2">
      <c r="B334" s="149"/>
      <c r="D334" s="138" t="s">
        <v>301</v>
      </c>
      <c r="E334" s="150" t="s">
        <v>1</v>
      </c>
      <c r="F334" s="151" t="s">
        <v>780</v>
      </c>
      <c r="H334" s="152">
        <v>4</v>
      </c>
      <c r="I334" s="153"/>
      <c r="L334" s="149"/>
      <c r="N334" s="217"/>
      <c r="O334" s="218"/>
      <c r="Q334" s="231"/>
      <c r="BP334" s="154"/>
      <c r="BW334" s="155"/>
      <c r="CW334" s="150" t="s">
        <v>301</v>
      </c>
      <c r="CX334" s="150" t="s">
        <v>83</v>
      </c>
      <c r="CY334" s="12" t="s">
        <v>83</v>
      </c>
      <c r="CZ334" s="12" t="s">
        <v>32</v>
      </c>
      <c r="DA334" s="12" t="s">
        <v>81</v>
      </c>
      <c r="DB334" s="150" t="s">
        <v>282</v>
      </c>
    </row>
    <row r="335" spans="2:120" s="1" customFormat="1" ht="24.2" customHeight="1" x14ac:dyDescent="0.2">
      <c r="B335" s="124"/>
      <c r="C335" s="170" t="s">
        <v>576</v>
      </c>
      <c r="D335" s="170" t="s">
        <v>439</v>
      </c>
      <c r="E335" s="171" t="s">
        <v>605</v>
      </c>
      <c r="F335" s="172" t="s">
        <v>606</v>
      </c>
      <c r="G335" s="173" t="s">
        <v>485</v>
      </c>
      <c r="H335" s="174">
        <v>1</v>
      </c>
      <c r="I335" s="175">
        <v>2008.0972839999999</v>
      </c>
      <c r="J335" s="176">
        <f>ROUND(I335*H335,2)</f>
        <v>2008.1</v>
      </c>
      <c r="K335" s="172" t="s">
        <v>293</v>
      </c>
      <c r="L335" s="268">
        <f>S335</f>
        <v>0</v>
      </c>
      <c r="M335" s="272">
        <f>ROUND(L335*I335,2)</f>
        <v>0</v>
      </c>
      <c r="N335" s="243"/>
      <c r="O335" s="294">
        <f>ROUND(N335*I335,2)</f>
        <v>0</v>
      </c>
      <c r="P335" s="273">
        <f>H335-L335-N335</f>
        <v>1</v>
      </c>
      <c r="Q335" s="287">
        <f>ROUND(P335*I335,2)</f>
        <v>2008.1</v>
      </c>
      <c r="R335" s="137"/>
      <c r="S335" s="269">
        <f>W335+Y335+AA335+AC335+AE335+AG335+AI335+AK335+AM335</f>
        <v>0</v>
      </c>
      <c r="T335" s="269">
        <f>ROUND(S335*I335,2)</f>
        <v>0</v>
      </c>
      <c r="U335" s="269">
        <f>H335-S335</f>
        <v>1</v>
      </c>
      <c r="V335" s="269">
        <f>ROUND(U335*I335,2)</f>
        <v>2008.1</v>
      </c>
      <c r="W335" s="290"/>
      <c r="X335" s="290"/>
      <c r="Y335" s="290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90"/>
      <c r="AK335" s="290"/>
      <c r="AL335" s="290"/>
      <c r="AM335" s="290"/>
      <c r="AN335" s="290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77" t="s">
        <v>1</v>
      </c>
      <c r="BQ335" s="178" t="s">
        <v>40</v>
      </c>
      <c r="BS335" s="134">
        <f>BR335*H335</f>
        <v>0</v>
      </c>
      <c r="BT335" s="134">
        <v>0.50600000000000001</v>
      </c>
      <c r="BU335" s="134">
        <f>BT335*H335</f>
        <v>0.50600000000000001</v>
      </c>
      <c r="BV335" s="134">
        <v>0</v>
      </c>
      <c r="BW335" s="135">
        <f>BV335*H335</f>
        <v>0</v>
      </c>
      <c r="CU335" s="136" t="s">
        <v>328</v>
      </c>
      <c r="CW335" s="136" t="s">
        <v>439</v>
      </c>
      <c r="CX335" s="136" t="s">
        <v>83</v>
      </c>
      <c r="DB335" s="16" t="s">
        <v>282</v>
      </c>
      <c r="DH335" s="137">
        <f>IF(BQ335="základní",J335,0)</f>
        <v>2008.1</v>
      </c>
      <c r="DI335" s="137">
        <f>IF(BQ335="snížená",J335,0)</f>
        <v>0</v>
      </c>
      <c r="DJ335" s="137">
        <f>IF(BQ335="zákl. přenesená",J335,0)</f>
        <v>0</v>
      </c>
      <c r="DK335" s="137">
        <f>IF(BQ335="sníž. přenesená",J335,0)</f>
        <v>0</v>
      </c>
      <c r="DL335" s="137">
        <f>IF(BQ335="nulová",J335,0)</f>
        <v>0</v>
      </c>
      <c r="DM335" s="16" t="s">
        <v>81</v>
      </c>
      <c r="DN335" s="137">
        <f>ROUND(I335*H335,2)</f>
        <v>2008.1</v>
      </c>
      <c r="DO335" s="16" t="s">
        <v>95</v>
      </c>
      <c r="DP335" s="136" t="s">
        <v>607</v>
      </c>
    </row>
    <row r="336" spans="2:120" s="1" customFormat="1" x14ac:dyDescent="0.2">
      <c r="B336" s="31"/>
      <c r="D336" s="138" t="s">
        <v>289</v>
      </c>
      <c r="F336" s="139" t="s">
        <v>608</v>
      </c>
      <c r="I336" s="140"/>
      <c r="L336" s="31"/>
      <c r="N336" s="213"/>
      <c r="O336" s="214"/>
      <c r="Q336" s="229"/>
      <c r="BP336" s="141"/>
      <c r="BW336" s="50"/>
      <c r="CW336" s="16" t="s">
        <v>289</v>
      </c>
      <c r="CX336" s="16" t="s">
        <v>83</v>
      </c>
    </row>
    <row r="337" spans="2:120" s="1" customFormat="1" ht="24.2" customHeight="1" x14ac:dyDescent="0.2">
      <c r="B337" s="124"/>
      <c r="C337" s="170" t="s">
        <v>581</v>
      </c>
      <c r="D337" s="170" t="s">
        <v>439</v>
      </c>
      <c r="E337" s="171" t="s">
        <v>610</v>
      </c>
      <c r="F337" s="172" t="s">
        <v>611</v>
      </c>
      <c r="G337" s="173" t="s">
        <v>485</v>
      </c>
      <c r="H337" s="174">
        <v>3</v>
      </c>
      <c r="I337" s="175">
        <v>2661.676117</v>
      </c>
      <c r="J337" s="176">
        <f>ROUND(I337*H337,2)</f>
        <v>7985.03</v>
      </c>
      <c r="K337" s="172" t="s">
        <v>293</v>
      </c>
      <c r="L337" s="268">
        <f>S337</f>
        <v>0</v>
      </c>
      <c r="M337" s="272">
        <f>ROUND(L337*I337,2)</f>
        <v>0</v>
      </c>
      <c r="N337" s="243"/>
      <c r="O337" s="294">
        <f>ROUND(N337*I337,2)</f>
        <v>0</v>
      </c>
      <c r="P337" s="273">
        <f>H337-L337-N337</f>
        <v>3</v>
      </c>
      <c r="Q337" s="287">
        <f>ROUND(P337*I337,2)</f>
        <v>7985.03</v>
      </c>
      <c r="R337" s="137"/>
      <c r="S337" s="269">
        <f>W337+Y337+AA337+AC337+AE337+AG337+AI337+AK337+AM337</f>
        <v>0</v>
      </c>
      <c r="T337" s="269">
        <f>ROUND(S337*I337,2)</f>
        <v>0</v>
      </c>
      <c r="U337" s="269">
        <f>H337-S337</f>
        <v>3</v>
      </c>
      <c r="V337" s="269">
        <f>ROUND(U337*I337,2)</f>
        <v>7985.03</v>
      </c>
      <c r="W337" s="290"/>
      <c r="X337" s="290"/>
      <c r="Y337" s="290"/>
      <c r="Z337" s="290"/>
      <c r="AA337" s="290"/>
      <c r="AB337" s="290"/>
      <c r="AC337" s="290"/>
      <c r="AD337" s="290"/>
      <c r="AE337" s="290"/>
      <c r="AF337" s="290"/>
      <c r="AG337" s="290"/>
      <c r="AH337" s="290"/>
      <c r="AI337" s="290"/>
      <c r="AJ337" s="290"/>
      <c r="AK337" s="290"/>
      <c r="AL337" s="290"/>
      <c r="AM337" s="290"/>
      <c r="AN337" s="290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77" t="s">
        <v>1</v>
      </c>
      <c r="BQ337" s="178" t="s">
        <v>40</v>
      </c>
      <c r="BS337" s="134">
        <f>BR337*H337</f>
        <v>0</v>
      </c>
      <c r="BT337" s="134">
        <v>1.0129999999999999</v>
      </c>
      <c r="BU337" s="134">
        <f>BT337*H337</f>
        <v>3.0389999999999997</v>
      </c>
      <c r="BV337" s="134">
        <v>0</v>
      </c>
      <c r="BW337" s="135">
        <f>BV337*H337</f>
        <v>0</v>
      </c>
      <c r="CU337" s="136" t="s">
        <v>328</v>
      </c>
      <c r="CW337" s="136" t="s">
        <v>439</v>
      </c>
      <c r="CX337" s="136" t="s">
        <v>83</v>
      </c>
      <c r="DB337" s="16" t="s">
        <v>282</v>
      </c>
      <c r="DH337" s="137">
        <f>IF(BQ337="základní",J337,0)</f>
        <v>7985.03</v>
      </c>
      <c r="DI337" s="137">
        <f>IF(BQ337="snížená",J337,0)</f>
        <v>0</v>
      </c>
      <c r="DJ337" s="137">
        <f>IF(BQ337="zákl. přenesená",J337,0)</f>
        <v>0</v>
      </c>
      <c r="DK337" s="137">
        <f>IF(BQ337="sníž. přenesená",J337,0)</f>
        <v>0</v>
      </c>
      <c r="DL337" s="137">
        <f>IF(BQ337="nulová",J337,0)</f>
        <v>0</v>
      </c>
      <c r="DM337" s="16" t="s">
        <v>81</v>
      </c>
      <c r="DN337" s="137">
        <f>ROUND(I337*H337,2)</f>
        <v>7985.03</v>
      </c>
      <c r="DO337" s="16" t="s">
        <v>95</v>
      </c>
      <c r="DP337" s="136" t="s">
        <v>612</v>
      </c>
    </row>
    <row r="338" spans="2:120" s="1" customFormat="1" x14ac:dyDescent="0.2">
      <c r="B338" s="31"/>
      <c r="D338" s="138" t="s">
        <v>289</v>
      </c>
      <c r="F338" s="139" t="s">
        <v>613</v>
      </c>
      <c r="I338" s="140"/>
      <c r="L338" s="31"/>
      <c r="N338" s="213"/>
      <c r="O338" s="214"/>
      <c r="Q338" s="229"/>
      <c r="BP338" s="141"/>
      <c r="BW338" s="50"/>
      <c r="CW338" s="16" t="s">
        <v>289</v>
      </c>
      <c r="CX338" s="16" t="s">
        <v>83</v>
      </c>
    </row>
    <row r="339" spans="2:120" s="1" customFormat="1" ht="24.2" customHeight="1" x14ac:dyDescent="0.2">
      <c r="B339" s="124"/>
      <c r="C339" s="125" t="s">
        <v>589</v>
      </c>
      <c r="D339" s="125" t="s">
        <v>284</v>
      </c>
      <c r="E339" s="126" t="s">
        <v>615</v>
      </c>
      <c r="F339" s="127" t="s">
        <v>616</v>
      </c>
      <c r="G339" s="128" t="s">
        <v>485</v>
      </c>
      <c r="H339" s="129">
        <v>2</v>
      </c>
      <c r="I339" s="130">
        <v>900.06084521218918</v>
      </c>
      <c r="J339" s="131">
        <f>ROUND(I339*H339,2)</f>
        <v>1800.12</v>
      </c>
      <c r="K339" s="127" t="s">
        <v>293</v>
      </c>
      <c r="L339" s="268">
        <f>S339</f>
        <v>0</v>
      </c>
      <c r="M339" s="272">
        <f>ROUND(L339*I339,2)</f>
        <v>0</v>
      </c>
      <c r="N339" s="243"/>
      <c r="O339" s="294">
        <f>ROUND(N339*I339,2)</f>
        <v>0</v>
      </c>
      <c r="P339" s="273">
        <f>H339-L339-N339</f>
        <v>2</v>
      </c>
      <c r="Q339" s="287">
        <f>ROUND(P339*I339,2)</f>
        <v>1800.12</v>
      </c>
      <c r="R339" s="137"/>
      <c r="S339" s="269">
        <f>W339+Y339+AA339+AC339+AE339+AG339+AI339+AK339+AM339</f>
        <v>0</v>
      </c>
      <c r="T339" s="269">
        <f>ROUND(S339*I339,2)</f>
        <v>0</v>
      </c>
      <c r="U339" s="269">
        <f>H339-S339</f>
        <v>2</v>
      </c>
      <c r="V339" s="269">
        <f>ROUND(U339*I339,2)</f>
        <v>1800.12</v>
      </c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I339" s="269"/>
      <c r="AJ339" s="269"/>
      <c r="AK339" s="269"/>
      <c r="AL339" s="269"/>
      <c r="AM339" s="269"/>
      <c r="AN339" s="269"/>
      <c r="BP339" s="132" t="s">
        <v>1</v>
      </c>
      <c r="BQ339" s="133" t="s">
        <v>40</v>
      </c>
      <c r="BS339" s="134">
        <f>BR339*H339</f>
        <v>0</v>
      </c>
      <c r="BT339" s="134">
        <v>1.248E-2</v>
      </c>
      <c r="BU339" s="134">
        <f>BT339*H339</f>
        <v>2.496E-2</v>
      </c>
      <c r="BV339" s="134">
        <v>0</v>
      </c>
      <c r="BW339" s="135">
        <f>BV339*H339</f>
        <v>0</v>
      </c>
      <c r="CU339" s="136" t="s">
        <v>95</v>
      </c>
      <c r="CW339" s="136" t="s">
        <v>284</v>
      </c>
      <c r="CX339" s="136" t="s">
        <v>83</v>
      </c>
      <c r="DB339" s="16" t="s">
        <v>282</v>
      </c>
      <c r="DH339" s="137">
        <f>IF(BQ339="základní",J339,0)</f>
        <v>1800.12</v>
      </c>
      <c r="DI339" s="137">
        <f>IF(BQ339="snížená",J339,0)</f>
        <v>0</v>
      </c>
      <c r="DJ339" s="137">
        <f>IF(BQ339="zákl. přenesená",J339,0)</f>
        <v>0</v>
      </c>
      <c r="DK339" s="137">
        <f>IF(BQ339="sníž. přenesená",J339,0)</f>
        <v>0</v>
      </c>
      <c r="DL339" s="137">
        <f>IF(BQ339="nulová",J339,0)</f>
        <v>0</v>
      </c>
      <c r="DM339" s="16" t="s">
        <v>81</v>
      </c>
      <c r="DN339" s="137">
        <f>ROUND(I339*H339,2)</f>
        <v>1800.12</v>
      </c>
      <c r="DO339" s="16" t="s">
        <v>95</v>
      </c>
      <c r="DP339" s="136" t="s">
        <v>617</v>
      </c>
    </row>
    <row r="340" spans="2:120" s="1" customFormat="1" ht="19.5" x14ac:dyDescent="0.2">
      <c r="B340" s="31"/>
      <c r="D340" s="138" t="s">
        <v>289</v>
      </c>
      <c r="F340" s="139" t="s">
        <v>616</v>
      </c>
      <c r="I340" s="140"/>
      <c r="L340" s="31"/>
      <c r="N340" s="213"/>
      <c r="O340" s="214"/>
      <c r="Q340" s="229"/>
      <c r="BP340" s="141"/>
      <c r="BW340" s="50"/>
      <c r="CW340" s="16" t="s">
        <v>289</v>
      </c>
      <c r="CX340" s="16" t="s">
        <v>83</v>
      </c>
    </row>
    <row r="341" spans="2:120" s="1" customFormat="1" ht="19.5" x14ac:dyDescent="0.2">
      <c r="B341" s="31"/>
      <c r="D341" s="138" t="s">
        <v>299</v>
      </c>
      <c r="F341" s="142" t="s">
        <v>317</v>
      </c>
      <c r="I341" s="140"/>
      <c r="L341" s="31"/>
      <c r="N341" s="213"/>
      <c r="O341" s="214"/>
      <c r="Q341" s="229"/>
      <c r="BP341" s="141"/>
      <c r="BW341" s="50"/>
      <c r="CW341" s="16" t="s">
        <v>299</v>
      </c>
      <c r="CX341" s="16" t="s">
        <v>83</v>
      </c>
    </row>
    <row r="342" spans="2:120" s="12" customFormat="1" x14ac:dyDescent="0.2">
      <c r="B342" s="149"/>
      <c r="D342" s="138" t="s">
        <v>301</v>
      </c>
      <c r="E342" s="150" t="s">
        <v>1</v>
      </c>
      <c r="F342" s="151" t="s">
        <v>83</v>
      </c>
      <c r="H342" s="152">
        <v>2</v>
      </c>
      <c r="I342" s="153"/>
      <c r="L342" s="149"/>
      <c r="N342" s="217"/>
      <c r="O342" s="218"/>
      <c r="Q342" s="231"/>
      <c r="BP342" s="154"/>
      <c r="BW342" s="155"/>
      <c r="CW342" s="150" t="s">
        <v>301</v>
      </c>
      <c r="CX342" s="150" t="s">
        <v>83</v>
      </c>
      <c r="CY342" s="12" t="s">
        <v>83</v>
      </c>
      <c r="CZ342" s="12" t="s">
        <v>32</v>
      </c>
      <c r="DA342" s="12" t="s">
        <v>81</v>
      </c>
      <c r="DB342" s="150" t="s">
        <v>282</v>
      </c>
    </row>
    <row r="343" spans="2:120" s="1" customFormat="1" ht="24.2" customHeight="1" x14ac:dyDescent="0.2">
      <c r="B343" s="124"/>
      <c r="C343" s="170" t="s">
        <v>594</v>
      </c>
      <c r="D343" s="170" t="s">
        <v>439</v>
      </c>
      <c r="E343" s="171" t="s">
        <v>619</v>
      </c>
      <c r="F343" s="172" t="s">
        <v>620</v>
      </c>
      <c r="G343" s="173" t="s">
        <v>485</v>
      </c>
      <c r="H343" s="174">
        <v>2</v>
      </c>
      <c r="I343" s="175">
        <v>2453.2886629999998</v>
      </c>
      <c r="J343" s="176">
        <f>ROUND(I343*H343,2)</f>
        <v>4906.58</v>
      </c>
      <c r="K343" s="172" t="s">
        <v>293</v>
      </c>
      <c r="L343" s="268">
        <f>S343</f>
        <v>0</v>
      </c>
      <c r="M343" s="272">
        <f>ROUND(L343*I343,2)</f>
        <v>0</v>
      </c>
      <c r="N343" s="243"/>
      <c r="O343" s="294">
        <f>ROUND(N343*I343,2)</f>
        <v>0</v>
      </c>
      <c r="P343" s="273">
        <f>H343-L343-N343</f>
        <v>2</v>
      </c>
      <c r="Q343" s="287">
        <f>ROUND(P343*I343,2)</f>
        <v>4906.58</v>
      </c>
      <c r="R343" s="137"/>
      <c r="S343" s="269">
        <f>W343+Y343+AA343+AC343+AE343+AG343+AI343+AK343+AM343</f>
        <v>0</v>
      </c>
      <c r="T343" s="269">
        <f>ROUND(S343*I343,2)</f>
        <v>0</v>
      </c>
      <c r="U343" s="269">
        <f>H343-S343</f>
        <v>2</v>
      </c>
      <c r="V343" s="269">
        <f>ROUND(U343*I343,2)</f>
        <v>4906.58</v>
      </c>
      <c r="W343" s="290"/>
      <c r="X343" s="290"/>
      <c r="Y343" s="290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77" t="s">
        <v>1</v>
      </c>
      <c r="BQ343" s="178" t="s">
        <v>40</v>
      </c>
      <c r="BS343" s="134">
        <f>BR343*H343</f>
        <v>0</v>
      </c>
      <c r="BT343" s="134">
        <v>0.54800000000000004</v>
      </c>
      <c r="BU343" s="134">
        <f>BT343*H343</f>
        <v>1.0960000000000001</v>
      </c>
      <c r="BV343" s="134">
        <v>0</v>
      </c>
      <c r="BW343" s="135">
        <f>BV343*H343</f>
        <v>0</v>
      </c>
      <c r="CU343" s="136" t="s">
        <v>328</v>
      </c>
      <c r="CW343" s="136" t="s">
        <v>439</v>
      </c>
      <c r="CX343" s="136" t="s">
        <v>83</v>
      </c>
      <c r="DB343" s="16" t="s">
        <v>282</v>
      </c>
      <c r="DH343" s="137">
        <f>IF(BQ343="základní",J343,0)</f>
        <v>4906.58</v>
      </c>
      <c r="DI343" s="137">
        <f>IF(BQ343="snížená",J343,0)</f>
        <v>0</v>
      </c>
      <c r="DJ343" s="137">
        <f>IF(BQ343="zákl. přenesená",J343,0)</f>
        <v>0</v>
      </c>
      <c r="DK343" s="137">
        <f>IF(BQ343="sníž. přenesená",J343,0)</f>
        <v>0</v>
      </c>
      <c r="DL343" s="137">
        <f>IF(BQ343="nulová",J343,0)</f>
        <v>0</v>
      </c>
      <c r="DM343" s="16" t="s">
        <v>81</v>
      </c>
      <c r="DN343" s="137">
        <f>ROUND(I343*H343,2)</f>
        <v>4906.58</v>
      </c>
      <c r="DO343" s="16" t="s">
        <v>95</v>
      </c>
      <c r="DP343" s="136" t="s">
        <v>621</v>
      </c>
    </row>
    <row r="344" spans="2:120" s="1" customFormat="1" ht="19.5" x14ac:dyDescent="0.2">
      <c r="B344" s="31"/>
      <c r="D344" s="138" t="s">
        <v>289</v>
      </c>
      <c r="F344" s="139" t="s">
        <v>620</v>
      </c>
      <c r="I344" s="140"/>
      <c r="L344" s="31"/>
      <c r="N344" s="213"/>
      <c r="O344" s="214"/>
      <c r="Q344" s="229"/>
      <c r="BP344" s="141"/>
      <c r="BW344" s="50"/>
      <c r="CW344" s="16" t="s">
        <v>289</v>
      </c>
      <c r="CX344" s="16" t="s">
        <v>83</v>
      </c>
    </row>
    <row r="345" spans="2:120" s="1" customFormat="1" ht="24.2" customHeight="1" x14ac:dyDescent="0.2">
      <c r="B345" s="124"/>
      <c r="C345" s="125" t="s">
        <v>599</v>
      </c>
      <c r="D345" s="125" t="s">
        <v>284</v>
      </c>
      <c r="E345" s="126" t="s">
        <v>623</v>
      </c>
      <c r="F345" s="127" t="s">
        <v>624</v>
      </c>
      <c r="G345" s="128" t="s">
        <v>485</v>
      </c>
      <c r="H345" s="129">
        <v>3</v>
      </c>
      <c r="I345" s="130">
        <v>1039.9593659999746</v>
      </c>
      <c r="J345" s="131">
        <f>ROUND(I345*H345,2)</f>
        <v>3119.88</v>
      </c>
      <c r="K345" s="127" t="s">
        <v>293</v>
      </c>
      <c r="L345" s="268">
        <f>S345</f>
        <v>0</v>
      </c>
      <c r="M345" s="272">
        <f>ROUND(L345*I345,2)</f>
        <v>0</v>
      </c>
      <c r="N345" s="243"/>
      <c r="O345" s="294">
        <f>ROUND(N345*I345,2)</f>
        <v>0</v>
      </c>
      <c r="P345" s="273">
        <f>H345-L345-N345</f>
        <v>3</v>
      </c>
      <c r="Q345" s="287">
        <f>ROUND(P345*I345,2)</f>
        <v>3119.88</v>
      </c>
      <c r="R345" s="137"/>
      <c r="S345" s="269">
        <f>W345+Y345+AA345+AC345+AE345+AG345+AI345+AK345+AM345</f>
        <v>0</v>
      </c>
      <c r="T345" s="269">
        <f>ROUND(S345*I345,2)</f>
        <v>0</v>
      </c>
      <c r="U345" s="269">
        <f>H345-S345</f>
        <v>3</v>
      </c>
      <c r="V345" s="269">
        <f>ROUND(U345*I345,2)</f>
        <v>3119.88</v>
      </c>
      <c r="W345" s="269"/>
      <c r="X345" s="269"/>
      <c r="Y345" s="269"/>
      <c r="Z345" s="269"/>
      <c r="AA345" s="269"/>
      <c r="AB345" s="269"/>
      <c r="AC345" s="269"/>
      <c r="AD345" s="269"/>
      <c r="AE345" s="269"/>
      <c r="AF345" s="269"/>
      <c r="AG345" s="269"/>
      <c r="AH345" s="269"/>
      <c r="AI345" s="269"/>
      <c r="AJ345" s="269"/>
      <c r="AK345" s="269"/>
      <c r="AL345" s="269"/>
      <c r="AM345" s="269"/>
      <c r="AN345" s="269"/>
      <c r="BP345" s="132" t="s">
        <v>1</v>
      </c>
      <c r="BQ345" s="133" t="s">
        <v>40</v>
      </c>
      <c r="BS345" s="134">
        <f>BR345*H345</f>
        <v>0</v>
      </c>
      <c r="BT345" s="134">
        <v>2.8539999999999999E-2</v>
      </c>
      <c r="BU345" s="134">
        <f>BT345*H345</f>
        <v>8.5620000000000002E-2</v>
      </c>
      <c r="BV345" s="134">
        <v>0</v>
      </c>
      <c r="BW345" s="135">
        <f>BV345*H345</f>
        <v>0</v>
      </c>
      <c r="CU345" s="136" t="s">
        <v>95</v>
      </c>
      <c r="CW345" s="136" t="s">
        <v>284</v>
      </c>
      <c r="CX345" s="136" t="s">
        <v>83</v>
      </c>
      <c r="DB345" s="16" t="s">
        <v>282</v>
      </c>
      <c r="DH345" s="137">
        <f>IF(BQ345="základní",J345,0)</f>
        <v>3119.88</v>
      </c>
      <c r="DI345" s="137">
        <f>IF(BQ345="snížená",J345,0)</f>
        <v>0</v>
      </c>
      <c r="DJ345" s="137">
        <f>IF(BQ345="zákl. přenesená",J345,0)</f>
        <v>0</v>
      </c>
      <c r="DK345" s="137">
        <f>IF(BQ345="sníž. přenesená",J345,0)</f>
        <v>0</v>
      </c>
      <c r="DL345" s="137">
        <f>IF(BQ345="nulová",J345,0)</f>
        <v>0</v>
      </c>
      <c r="DM345" s="16" t="s">
        <v>81</v>
      </c>
      <c r="DN345" s="137">
        <f>ROUND(I345*H345,2)</f>
        <v>3119.88</v>
      </c>
      <c r="DO345" s="16" t="s">
        <v>95</v>
      </c>
      <c r="DP345" s="136" t="s">
        <v>625</v>
      </c>
    </row>
    <row r="346" spans="2:120" s="1" customFormat="1" ht="19.5" x14ac:dyDescent="0.2">
      <c r="B346" s="31"/>
      <c r="D346" s="138" t="s">
        <v>289</v>
      </c>
      <c r="F346" s="139" t="s">
        <v>624</v>
      </c>
      <c r="I346" s="140"/>
      <c r="L346" s="31"/>
      <c r="N346" s="213"/>
      <c r="O346" s="214"/>
      <c r="Q346" s="229"/>
      <c r="BP346" s="141"/>
      <c r="BW346" s="50"/>
      <c r="CW346" s="16" t="s">
        <v>289</v>
      </c>
      <c r="CX346" s="16" t="s">
        <v>83</v>
      </c>
    </row>
    <row r="347" spans="2:120" s="1" customFormat="1" ht="19.5" x14ac:dyDescent="0.2">
      <c r="B347" s="31"/>
      <c r="D347" s="138" t="s">
        <v>299</v>
      </c>
      <c r="F347" s="142" t="s">
        <v>317</v>
      </c>
      <c r="I347" s="140"/>
      <c r="L347" s="31"/>
      <c r="N347" s="213"/>
      <c r="O347" s="214"/>
      <c r="Q347" s="229"/>
      <c r="BP347" s="141"/>
      <c r="BW347" s="50"/>
      <c r="CW347" s="16" t="s">
        <v>299</v>
      </c>
      <c r="CX347" s="16" t="s">
        <v>83</v>
      </c>
    </row>
    <row r="348" spans="2:120" s="12" customFormat="1" x14ac:dyDescent="0.2">
      <c r="B348" s="149"/>
      <c r="D348" s="138" t="s">
        <v>301</v>
      </c>
      <c r="E348" s="150" t="s">
        <v>1</v>
      </c>
      <c r="F348" s="151" t="s">
        <v>781</v>
      </c>
      <c r="H348" s="152">
        <v>3</v>
      </c>
      <c r="I348" s="153"/>
      <c r="L348" s="149"/>
      <c r="N348" s="217"/>
      <c r="O348" s="218"/>
      <c r="Q348" s="231"/>
      <c r="BP348" s="154"/>
      <c r="BW348" s="155"/>
      <c r="CW348" s="150" t="s">
        <v>301</v>
      </c>
      <c r="CX348" s="150" t="s">
        <v>83</v>
      </c>
      <c r="CY348" s="12" t="s">
        <v>83</v>
      </c>
      <c r="CZ348" s="12" t="s">
        <v>32</v>
      </c>
      <c r="DA348" s="12" t="s">
        <v>81</v>
      </c>
      <c r="DB348" s="150" t="s">
        <v>282</v>
      </c>
    </row>
    <row r="349" spans="2:120" s="1" customFormat="1" ht="62.65" customHeight="1" x14ac:dyDescent="0.2">
      <c r="B349" s="124"/>
      <c r="C349" s="170" t="s">
        <v>604</v>
      </c>
      <c r="D349" s="170" t="s">
        <v>439</v>
      </c>
      <c r="E349" s="171" t="s">
        <v>632</v>
      </c>
      <c r="F349" s="172" t="s">
        <v>633</v>
      </c>
      <c r="G349" s="173" t="s">
        <v>485</v>
      </c>
      <c r="H349" s="174">
        <v>2</v>
      </c>
      <c r="I349" s="175">
        <v>9051.3334500000001</v>
      </c>
      <c r="J349" s="176">
        <f>ROUND(I349*H349,2)</f>
        <v>18102.669999999998</v>
      </c>
      <c r="K349" s="172" t="s">
        <v>1</v>
      </c>
      <c r="L349" s="268">
        <f>S349</f>
        <v>0</v>
      </c>
      <c r="M349" s="272">
        <f>ROUND(L349*I349,2)</f>
        <v>0</v>
      </c>
      <c r="N349" s="243"/>
      <c r="O349" s="294">
        <f>ROUND(N349*I349,2)</f>
        <v>0</v>
      </c>
      <c r="P349" s="273">
        <f>H349-L349-N349</f>
        <v>2</v>
      </c>
      <c r="Q349" s="287">
        <f>ROUND(P349*I349,2)</f>
        <v>18102.669999999998</v>
      </c>
      <c r="R349" s="137"/>
      <c r="S349" s="269">
        <f>W349+Y349+AA349+AC349+AE349+AG349+AI349+AK349+AM349</f>
        <v>0</v>
      </c>
      <c r="T349" s="269">
        <f>ROUND(S349*I349,2)</f>
        <v>0</v>
      </c>
      <c r="U349" s="269">
        <f>H349-S349</f>
        <v>2</v>
      </c>
      <c r="V349" s="269">
        <f>ROUND(U349*I349,2)</f>
        <v>18102.669999999998</v>
      </c>
      <c r="W349" s="290"/>
      <c r="X349" s="290"/>
      <c r="Y349" s="290"/>
      <c r="Z349" s="290"/>
      <c r="AA349" s="290"/>
      <c r="AB349" s="290"/>
      <c r="AC349" s="290"/>
      <c r="AD349" s="290"/>
      <c r="AE349" s="290"/>
      <c r="AF349" s="290"/>
      <c r="AG349" s="290"/>
      <c r="AH349" s="290"/>
      <c r="AI349" s="290"/>
      <c r="AJ349" s="290"/>
      <c r="AK349" s="290"/>
      <c r="AL349" s="290"/>
      <c r="AM349" s="290"/>
      <c r="AN349" s="290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77" t="s">
        <v>1</v>
      </c>
      <c r="BQ349" s="178" t="s">
        <v>40</v>
      </c>
      <c r="BS349" s="134">
        <f>BR349*H349</f>
        <v>0</v>
      </c>
      <c r="BT349" s="134">
        <v>1.87</v>
      </c>
      <c r="BU349" s="134">
        <f>BT349*H349</f>
        <v>3.74</v>
      </c>
      <c r="BV349" s="134">
        <v>0</v>
      </c>
      <c r="BW349" s="135">
        <f>BV349*H349</f>
        <v>0</v>
      </c>
      <c r="CU349" s="136" t="s">
        <v>328</v>
      </c>
      <c r="CW349" s="136" t="s">
        <v>439</v>
      </c>
      <c r="CX349" s="136" t="s">
        <v>83</v>
      </c>
      <c r="DB349" s="16" t="s">
        <v>282</v>
      </c>
      <c r="DH349" s="137">
        <f>IF(BQ349="základní",J349,0)</f>
        <v>18102.669999999998</v>
      </c>
      <c r="DI349" s="137">
        <f>IF(BQ349="snížená",J349,0)</f>
        <v>0</v>
      </c>
      <c r="DJ349" s="137">
        <f>IF(BQ349="zákl. přenesená",J349,0)</f>
        <v>0</v>
      </c>
      <c r="DK349" s="137">
        <f>IF(BQ349="sníž. přenesená",J349,0)</f>
        <v>0</v>
      </c>
      <c r="DL349" s="137">
        <f>IF(BQ349="nulová",J349,0)</f>
        <v>0</v>
      </c>
      <c r="DM349" s="16" t="s">
        <v>81</v>
      </c>
      <c r="DN349" s="137">
        <f>ROUND(I349*H349,2)</f>
        <v>18102.669999999998</v>
      </c>
      <c r="DO349" s="16" t="s">
        <v>95</v>
      </c>
      <c r="DP349" s="136" t="s">
        <v>634</v>
      </c>
    </row>
    <row r="350" spans="2:120" s="1" customFormat="1" ht="39" x14ac:dyDescent="0.2">
      <c r="B350" s="31"/>
      <c r="D350" s="138" t="s">
        <v>289</v>
      </c>
      <c r="F350" s="139" t="s">
        <v>633</v>
      </c>
      <c r="I350" s="140"/>
      <c r="L350" s="31"/>
      <c r="N350" s="213"/>
      <c r="O350" s="214"/>
      <c r="Q350" s="229"/>
      <c r="BP350" s="141"/>
      <c r="BW350" s="50"/>
      <c r="CW350" s="16" t="s">
        <v>289</v>
      </c>
      <c r="CX350" s="16" t="s">
        <v>83</v>
      </c>
    </row>
    <row r="351" spans="2:120" s="1" customFormat="1" ht="62.65" customHeight="1" x14ac:dyDescent="0.2">
      <c r="B351" s="124"/>
      <c r="C351" s="170" t="s">
        <v>609</v>
      </c>
      <c r="D351" s="170" t="s">
        <v>439</v>
      </c>
      <c r="E351" s="171" t="s">
        <v>782</v>
      </c>
      <c r="F351" s="172" t="s">
        <v>783</v>
      </c>
      <c r="G351" s="173" t="s">
        <v>485</v>
      </c>
      <c r="H351" s="174">
        <v>1</v>
      </c>
      <c r="I351" s="175">
        <v>10945.76485</v>
      </c>
      <c r="J351" s="176">
        <f>ROUND(I351*H351,2)</f>
        <v>10945.76</v>
      </c>
      <c r="K351" s="172" t="s">
        <v>1</v>
      </c>
      <c r="L351" s="268">
        <f>S351</f>
        <v>0</v>
      </c>
      <c r="M351" s="272">
        <f>ROUND(L351*I351,2)</f>
        <v>0</v>
      </c>
      <c r="N351" s="243"/>
      <c r="O351" s="294">
        <f>ROUND(N351*I351,2)</f>
        <v>0</v>
      </c>
      <c r="P351" s="273">
        <f>H351-L351-N351</f>
        <v>1</v>
      </c>
      <c r="Q351" s="287">
        <f>ROUND(P351*I351,2)</f>
        <v>10945.76</v>
      </c>
      <c r="R351" s="137"/>
      <c r="S351" s="269">
        <f>W351+Y351+AA351+AC351+AE351+AG351+AI351+AK351+AM351</f>
        <v>0</v>
      </c>
      <c r="T351" s="269">
        <f>ROUND(S351*I351,2)</f>
        <v>0</v>
      </c>
      <c r="U351" s="269">
        <f>H351-S351</f>
        <v>1</v>
      </c>
      <c r="V351" s="269">
        <f>ROUND(U351*I351,2)</f>
        <v>10945.76</v>
      </c>
      <c r="W351" s="290"/>
      <c r="X351" s="290"/>
      <c r="Y351" s="290"/>
      <c r="Z351" s="290"/>
      <c r="AA351" s="290"/>
      <c r="AB351" s="290"/>
      <c r="AC351" s="290"/>
      <c r="AD351" s="290"/>
      <c r="AE351" s="290"/>
      <c r="AF351" s="290"/>
      <c r="AG351" s="290"/>
      <c r="AH351" s="290"/>
      <c r="AI351" s="290"/>
      <c r="AJ351" s="290"/>
      <c r="AK351" s="290"/>
      <c r="AL351" s="290"/>
      <c r="AM351" s="290"/>
      <c r="AN351" s="290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77" t="s">
        <v>1</v>
      </c>
      <c r="BQ351" s="178" t="s">
        <v>40</v>
      </c>
      <c r="BS351" s="134">
        <f>BR351*H351</f>
        <v>0</v>
      </c>
      <c r="BT351" s="134">
        <v>1.87</v>
      </c>
      <c r="BU351" s="134">
        <f>BT351*H351</f>
        <v>1.87</v>
      </c>
      <c r="BV351" s="134">
        <v>0</v>
      </c>
      <c r="BW351" s="135">
        <f>BV351*H351</f>
        <v>0</v>
      </c>
      <c r="CU351" s="136" t="s">
        <v>328</v>
      </c>
      <c r="CW351" s="136" t="s">
        <v>439</v>
      </c>
      <c r="CX351" s="136" t="s">
        <v>83</v>
      </c>
      <c r="DB351" s="16" t="s">
        <v>282</v>
      </c>
      <c r="DH351" s="137">
        <f>IF(BQ351="základní",J351,0)</f>
        <v>10945.76</v>
      </c>
      <c r="DI351" s="137">
        <f>IF(BQ351="snížená",J351,0)</f>
        <v>0</v>
      </c>
      <c r="DJ351" s="137">
        <f>IF(BQ351="zákl. přenesená",J351,0)</f>
        <v>0</v>
      </c>
      <c r="DK351" s="137">
        <f>IF(BQ351="sníž. přenesená",J351,0)</f>
        <v>0</v>
      </c>
      <c r="DL351" s="137">
        <f>IF(BQ351="nulová",J351,0)</f>
        <v>0</v>
      </c>
      <c r="DM351" s="16" t="s">
        <v>81</v>
      </c>
      <c r="DN351" s="137">
        <f>ROUND(I351*H351,2)</f>
        <v>10945.76</v>
      </c>
      <c r="DO351" s="16" t="s">
        <v>95</v>
      </c>
      <c r="DP351" s="136" t="s">
        <v>784</v>
      </c>
    </row>
    <row r="352" spans="2:120" s="1" customFormat="1" ht="39" x14ac:dyDescent="0.2">
      <c r="B352" s="31"/>
      <c r="D352" s="138" t="s">
        <v>289</v>
      </c>
      <c r="F352" s="139" t="s">
        <v>783</v>
      </c>
      <c r="I352" s="140"/>
      <c r="L352" s="31"/>
      <c r="N352" s="213"/>
      <c r="O352" s="214"/>
      <c r="Q352" s="229"/>
      <c r="BP352" s="141"/>
      <c r="BW352" s="50"/>
      <c r="CW352" s="16" t="s">
        <v>289</v>
      </c>
      <c r="CX352" s="16" t="s">
        <v>83</v>
      </c>
    </row>
    <row r="353" spans="2:120" s="1" customFormat="1" ht="24.2" customHeight="1" x14ac:dyDescent="0.2">
      <c r="B353" s="124"/>
      <c r="C353" s="170" t="s">
        <v>614</v>
      </c>
      <c r="D353" s="170" t="s">
        <v>439</v>
      </c>
      <c r="E353" s="171" t="s">
        <v>640</v>
      </c>
      <c r="F353" s="172" t="s">
        <v>641</v>
      </c>
      <c r="G353" s="173" t="s">
        <v>485</v>
      </c>
      <c r="H353" s="174">
        <v>7</v>
      </c>
      <c r="I353" s="175">
        <v>182.81263010000001</v>
      </c>
      <c r="J353" s="176">
        <f>ROUND(I353*H353,2)</f>
        <v>1279.69</v>
      </c>
      <c r="K353" s="172" t="s">
        <v>293</v>
      </c>
      <c r="L353" s="268">
        <f>S353</f>
        <v>0</v>
      </c>
      <c r="M353" s="272">
        <f>ROUND(L353*I353,2)</f>
        <v>0</v>
      </c>
      <c r="N353" s="243"/>
      <c r="O353" s="294">
        <f>ROUND(N353*I353,2)</f>
        <v>0</v>
      </c>
      <c r="P353" s="273">
        <f>H353-L353-N353</f>
        <v>7</v>
      </c>
      <c r="Q353" s="287">
        <f>ROUND(P353*I353,2)</f>
        <v>1279.69</v>
      </c>
      <c r="R353" s="137"/>
      <c r="S353" s="269">
        <f>W353+Y353+AA353+AC353+AE353+AG353+AI353+AK353+AM353</f>
        <v>0</v>
      </c>
      <c r="T353" s="269">
        <f>ROUND(S353*I353,2)</f>
        <v>0</v>
      </c>
      <c r="U353" s="269">
        <f>H353-S353</f>
        <v>7</v>
      </c>
      <c r="V353" s="269">
        <f>ROUND(U353*I353,2)</f>
        <v>1279.69</v>
      </c>
      <c r="W353" s="290"/>
      <c r="X353" s="290"/>
      <c r="Y353" s="290"/>
      <c r="Z353" s="290"/>
      <c r="AA353" s="290"/>
      <c r="AB353" s="290"/>
      <c r="AC353" s="290"/>
      <c r="AD353" s="290"/>
      <c r="AE353" s="290"/>
      <c r="AF353" s="290"/>
      <c r="AG353" s="290"/>
      <c r="AH353" s="290"/>
      <c r="AI353" s="290"/>
      <c r="AJ353" s="290"/>
      <c r="AK353" s="290"/>
      <c r="AL353" s="290"/>
      <c r="AM353" s="290"/>
      <c r="AN353" s="290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77" t="s">
        <v>1</v>
      </c>
      <c r="BQ353" s="178" t="s">
        <v>40</v>
      </c>
      <c r="BS353" s="134">
        <f>BR353*H353</f>
        <v>0</v>
      </c>
      <c r="BT353" s="134">
        <v>2E-3</v>
      </c>
      <c r="BU353" s="134">
        <f>BT353*H353</f>
        <v>1.4E-2</v>
      </c>
      <c r="BV353" s="134">
        <v>0</v>
      </c>
      <c r="BW353" s="135">
        <f>BV353*H353</f>
        <v>0</v>
      </c>
      <c r="CU353" s="136" t="s">
        <v>328</v>
      </c>
      <c r="CW353" s="136" t="s">
        <v>439</v>
      </c>
      <c r="CX353" s="136" t="s">
        <v>83</v>
      </c>
      <c r="DB353" s="16" t="s">
        <v>282</v>
      </c>
      <c r="DH353" s="137">
        <f>IF(BQ353="základní",J353,0)</f>
        <v>1279.69</v>
      </c>
      <c r="DI353" s="137">
        <f>IF(BQ353="snížená",J353,0)</f>
        <v>0</v>
      </c>
      <c r="DJ353" s="137">
        <f>IF(BQ353="zákl. přenesená",J353,0)</f>
        <v>0</v>
      </c>
      <c r="DK353" s="137">
        <f>IF(BQ353="sníž. přenesená",J353,0)</f>
        <v>0</v>
      </c>
      <c r="DL353" s="137">
        <f>IF(BQ353="nulová",J353,0)</f>
        <v>0</v>
      </c>
      <c r="DM353" s="16" t="s">
        <v>81</v>
      </c>
      <c r="DN353" s="137">
        <f>ROUND(I353*H353,2)</f>
        <v>1279.69</v>
      </c>
      <c r="DO353" s="16" t="s">
        <v>95</v>
      </c>
      <c r="DP353" s="136" t="s">
        <v>642</v>
      </c>
    </row>
    <row r="354" spans="2:120" s="1" customFormat="1" x14ac:dyDescent="0.2">
      <c r="B354" s="31"/>
      <c r="D354" s="138" t="s">
        <v>289</v>
      </c>
      <c r="F354" s="139" t="s">
        <v>641</v>
      </c>
      <c r="I354" s="140"/>
      <c r="L354" s="31"/>
      <c r="N354" s="213"/>
      <c r="O354" s="214"/>
      <c r="Q354" s="229"/>
      <c r="BP354" s="141"/>
      <c r="BW354" s="50"/>
      <c r="CW354" s="16" t="s">
        <v>289</v>
      </c>
      <c r="CX354" s="16" t="s">
        <v>83</v>
      </c>
    </row>
    <row r="355" spans="2:120" s="1" customFormat="1" ht="24.2" customHeight="1" x14ac:dyDescent="0.2">
      <c r="B355" s="124"/>
      <c r="C355" s="125" t="s">
        <v>618</v>
      </c>
      <c r="D355" s="125" t="s">
        <v>284</v>
      </c>
      <c r="E355" s="126" t="s">
        <v>785</v>
      </c>
      <c r="F355" s="127" t="s">
        <v>786</v>
      </c>
      <c r="G355" s="128" t="s">
        <v>485</v>
      </c>
      <c r="H355" s="129">
        <v>1</v>
      </c>
      <c r="I355" s="130">
        <v>670.01283357972886</v>
      </c>
      <c r="J355" s="131">
        <f>ROUND(I355*H355,2)</f>
        <v>670.01</v>
      </c>
      <c r="K355" s="127" t="s">
        <v>293</v>
      </c>
      <c r="L355" s="268">
        <f>S355</f>
        <v>0</v>
      </c>
      <c r="M355" s="272">
        <f>ROUND(L355*I355,2)</f>
        <v>0</v>
      </c>
      <c r="N355" s="243"/>
      <c r="O355" s="294">
        <f>ROUND(N355*I355,2)</f>
        <v>0</v>
      </c>
      <c r="P355" s="273">
        <f>H355-L355-N355</f>
        <v>1</v>
      </c>
      <c r="Q355" s="287">
        <f>ROUND(P355*I355,2)</f>
        <v>670.01</v>
      </c>
      <c r="R355" s="137"/>
      <c r="S355" s="269">
        <f>W355+Y355+AA355+AC355+AE355+AG355+AI355+AK355+AM355</f>
        <v>0</v>
      </c>
      <c r="T355" s="269">
        <f>ROUND(S355*I355,2)</f>
        <v>0</v>
      </c>
      <c r="U355" s="269">
        <f>H355-S355</f>
        <v>1</v>
      </c>
      <c r="V355" s="269">
        <f>ROUND(U355*I355,2)</f>
        <v>670.01</v>
      </c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BP355" s="132" t="s">
        <v>1</v>
      </c>
      <c r="BQ355" s="133" t="s">
        <v>40</v>
      </c>
      <c r="BS355" s="134">
        <f>BR355*H355</f>
        <v>0</v>
      </c>
      <c r="BT355" s="134">
        <v>3.9269999999999999E-2</v>
      </c>
      <c r="BU355" s="134">
        <f>BT355*H355</f>
        <v>3.9269999999999999E-2</v>
      </c>
      <c r="BV355" s="134">
        <v>0</v>
      </c>
      <c r="BW355" s="135">
        <f>BV355*H355</f>
        <v>0</v>
      </c>
      <c r="CU355" s="136" t="s">
        <v>95</v>
      </c>
      <c r="CW355" s="136" t="s">
        <v>284</v>
      </c>
      <c r="CX355" s="136" t="s">
        <v>83</v>
      </c>
      <c r="DB355" s="16" t="s">
        <v>282</v>
      </c>
      <c r="DH355" s="137">
        <f>IF(BQ355="základní",J355,0)</f>
        <v>670.01</v>
      </c>
      <c r="DI355" s="137">
        <f>IF(BQ355="snížená",J355,0)</f>
        <v>0</v>
      </c>
      <c r="DJ355" s="137">
        <f>IF(BQ355="zákl. přenesená",J355,0)</f>
        <v>0</v>
      </c>
      <c r="DK355" s="137">
        <f>IF(BQ355="sníž. přenesená",J355,0)</f>
        <v>0</v>
      </c>
      <c r="DL355" s="137">
        <f>IF(BQ355="nulová",J355,0)</f>
        <v>0</v>
      </c>
      <c r="DM355" s="16" t="s">
        <v>81</v>
      </c>
      <c r="DN355" s="137">
        <f>ROUND(I355*H355,2)</f>
        <v>670.01</v>
      </c>
      <c r="DO355" s="16" t="s">
        <v>95</v>
      </c>
      <c r="DP355" s="136" t="s">
        <v>787</v>
      </c>
    </row>
    <row r="356" spans="2:120" s="1" customFormat="1" ht="19.5" x14ac:dyDescent="0.2">
      <c r="B356" s="31"/>
      <c r="D356" s="138" t="s">
        <v>289</v>
      </c>
      <c r="F356" s="139" t="s">
        <v>786</v>
      </c>
      <c r="I356" s="140"/>
      <c r="L356" s="31"/>
      <c r="N356" s="213"/>
      <c r="O356" s="214"/>
      <c r="Q356" s="229"/>
      <c r="BP356" s="141"/>
      <c r="BW356" s="50"/>
      <c r="CW356" s="16" t="s">
        <v>289</v>
      </c>
      <c r="CX356" s="16" t="s">
        <v>83</v>
      </c>
    </row>
    <row r="357" spans="2:120" s="1" customFormat="1" ht="19.5" x14ac:dyDescent="0.2">
      <c r="B357" s="31"/>
      <c r="D357" s="138" t="s">
        <v>299</v>
      </c>
      <c r="F357" s="142" t="s">
        <v>317</v>
      </c>
      <c r="I357" s="140"/>
      <c r="L357" s="31"/>
      <c r="N357" s="213"/>
      <c r="O357" s="214"/>
      <c r="Q357" s="229"/>
      <c r="BP357" s="141"/>
      <c r="BW357" s="50"/>
      <c r="CW357" s="16" t="s">
        <v>299</v>
      </c>
      <c r="CX357" s="16" t="s">
        <v>83</v>
      </c>
    </row>
    <row r="358" spans="2:120" s="12" customFormat="1" x14ac:dyDescent="0.2">
      <c r="B358" s="149"/>
      <c r="D358" s="138" t="s">
        <v>301</v>
      </c>
      <c r="E358" s="150" t="s">
        <v>1</v>
      </c>
      <c r="F358" s="151" t="s">
        <v>81</v>
      </c>
      <c r="H358" s="152">
        <v>1</v>
      </c>
      <c r="I358" s="153"/>
      <c r="L358" s="149"/>
      <c r="N358" s="217"/>
      <c r="O358" s="218"/>
      <c r="Q358" s="231"/>
      <c r="BP358" s="154"/>
      <c r="BW358" s="155"/>
      <c r="CW358" s="150" t="s">
        <v>301</v>
      </c>
      <c r="CX358" s="150" t="s">
        <v>83</v>
      </c>
      <c r="CY358" s="12" t="s">
        <v>83</v>
      </c>
      <c r="CZ358" s="12" t="s">
        <v>32</v>
      </c>
      <c r="DA358" s="12" t="s">
        <v>81</v>
      </c>
      <c r="DB358" s="150" t="s">
        <v>282</v>
      </c>
    </row>
    <row r="359" spans="2:120" s="1" customFormat="1" ht="24.2" customHeight="1" x14ac:dyDescent="0.2">
      <c r="B359" s="124"/>
      <c r="C359" s="170" t="s">
        <v>622</v>
      </c>
      <c r="D359" s="170" t="s">
        <v>439</v>
      </c>
      <c r="E359" s="171" t="s">
        <v>788</v>
      </c>
      <c r="F359" s="172" t="s">
        <v>789</v>
      </c>
      <c r="G359" s="173" t="s">
        <v>485</v>
      </c>
      <c r="H359" s="174">
        <v>1</v>
      </c>
      <c r="I359" s="175">
        <v>3220.5333799999999</v>
      </c>
      <c r="J359" s="176">
        <f>ROUND(I359*H359,2)</f>
        <v>3220.53</v>
      </c>
      <c r="K359" s="172" t="s">
        <v>1</v>
      </c>
      <c r="L359" s="268">
        <f>S359</f>
        <v>0</v>
      </c>
      <c r="M359" s="272">
        <f>ROUND(L359*I359,2)</f>
        <v>0</v>
      </c>
      <c r="N359" s="243"/>
      <c r="O359" s="294">
        <f>ROUND(N359*I359,2)</f>
        <v>0</v>
      </c>
      <c r="P359" s="273">
        <f>H359-L359-N359</f>
        <v>1</v>
      </c>
      <c r="Q359" s="287">
        <f>ROUND(P359*I359,2)</f>
        <v>3220.53</v>
      </c>
      <c r="R359" s="137"/>
      <c r="S359" s="269">
        <f>W359+Y359+AA359+AC359+AE359+AG359+AI359+AK359+AM359</f>
        <v>0</v>
      </c>
      <c r="T359" s="269">
        <f>ROUND(S359*I359,2)</f>
        <v>0</v>
      </c>
      <c r="U359" s="269">
        <f>H359-S359</f>
        <v>1</v>
      </c>
      <c r="V359" s="269">
        <f>ROUND(U359*I359,2)</f>
        <v>3220.53</v>
      </c>
      <c r="W359" s="290"/>
      <c r="X359" s="290"/>
      <c r="Y359" s="290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90"/>
      <c r="AK359" s="290"/>
      <c r="AL359" s="290"/>
      <c r="AM359" s="290"/>
      <c r="AN359" s="290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77" t="s">
        <v>1</v>
      </c>
      <c r="BQ359" s="178" t="s">
        <v>40</v>
      </c>
      <c r="BS359" s="134">
        <f>BR359*H359</f>
        <v>0</v>
      </c>
      <c r="BT359" s="134">
        <v>0.44900000000000001</v>
      </c>
      <c r="BU359" s="134">
        <f>BT359*H359</f>
        <v>0.44900000000000001</v>
      </c>
      <c r="BV359" s="134">
        <v>0</v>
      </c>
      <c r="BW359" s="135">
        <f>BV359*H359</f>
        <v>0</v>
      </c>
      <c r="CU359" s="136" t="s">
        <v>328</v>
      </c>
      <c r="CW359" s="136" t="s">
        <v>439</v>
      </c>
      <c r="CX359" s="136" t="s">
        <v>83</v>
      </c>
      <c r="DB359" s="16" t="s">
        <v>282</v>
      </c>
      <c r="DH359" s="137">
        <f>IF(BQ359="základní",J359,0)</f>
        <v>3220.53</v>
      </c>
      <c r="DI359" s="137">
        <f>IF(BQ359="snížená",J359,0)</f>
        <v>0</v>
      </c>
      <c r="DJ359" s="137">
        <f>IF(BQ359="zákl. přenesená",J359,0)</f>
        <v>0</v>
      </c>
      <c r="DK359" s="137">
        <f>IF(BQ359="sníž. přenesená",J359,0)</f>
        <v>0</v>
      </c>
      <c r="DL359" s="137">
        <f>IF(BQ359="nulová",J359,0)</f>
        <v>0</v>
      </c>
      <c r="DM359" s="16" t="s">
        <v>81</v>
      </c>
      <c r="DN359" s="137">
        <f>ROUND(I359*H359,2)</f>
        <v>3220.53</v>
      </c>
      <c r="DO359" s="16" t="s">
        <v>95</v>
      </c>
      <c r="DP359" s="136" t="s">
        <v>790</v>
      </c>
    </row>
    <row r="360" spans="2:120" s="1" customFormat="1" x14ac:dyDescent="0.2">
      <c r="B360" s="31"/>
      <c r="D360" s="138" t="s">
        <v>289</v>
      </c>
      <c r="F360" s="139" t="s">
        <v>791</v>
      </c>
      <c r="I360" s="140"/>
      <c r="L360" s="31"/>
      <c r="N360" s="213"/>
      <c r="O360" s="214"/>
      <c r="Q360" s="229"/>
      <c r="BP360" s="141"/>
      <c r="BW360" s="50"/>
      <c r="CW360" s="16" t="s">
        <v>289</v>
      </c>
      <c r="CX360" s="16" t="s">
        <v>83</v>
      </c>
    </row>
    <row r="361" spans="2:120" s="1" customFormat="1" ht="37.9" customHeight="1" x14ac:dyDescent="0.2">
      <c r="B361" s="124"/>
      <c r="C361" s="125" t="s">
        <v>627</v>
      </c>
      <c r="D361" s="125" t="s">
        <v>284</v>
      </c>
      <c r="E361" s="126" t="s">
        <v>792</v>
      </c>
      <c r="F361" s="127" t="s">
        <v>793</v>
      </c>
      <c r="G361" s="128" t="s">
        <v>315</v>
      </c>
      <c r="H361" s="129">
        <v>1</v>
      </c>
      <c r="I361" s="130">
        <v>5683.2942000000003</v>
      </c>
      <c r="J361" s="131">
        <f>ROUND(I361*H361,2)</f>
        <v>5683.29</v>
      </c>
      <c r="K361" s="127" t="s">
        <v>1</v>
      </c>
      <c r="L361" s="268">
        <f>S361</f>
        <v>0</v>
      </c>
      <c r="M361" s="272">
        <f>ROUND(L361*I361,2)</f>
        <v>0</v>
      </c>
      <c r="N361" s="243"/>
      <c r="O361" s="294">
        <f>ROUND(N361*I361,2)</f>
        <v>0</v>
      </c>
      <c r="P361" s="273">
        <f>H361-L361-N361</f>
        <v>1</v>
      </c>
      <c r="Q361" s="287">
        <f>ROUND(P361*I361,2)</f>
        <v>5683.29</v>
      </c>
      <c r="R361" s="137"/>
      <c r="S361" s="269">
        <f>W361+Y361+AA361+AC361+AE361+AG361+AI361+AK361+AM361</f>
        <v>0</v>
      </c>
      <c r="T361" s="269">
        <f>ROUND(S361*I361,2)</f>
        <v>0</v>
      </c>
      <c r="U361" s="269">
        <f>H361-S361</f>
        <v>1</v>
      </c>
      <c r="V361" s="269">
        <f>ROUND(U361*I361,2)</f>
        <v>5683.29</v>
      </c>
      <c r="W361" s="269"/>
      <c r="X361" s="269"/>
      <c r="Y361" s="269"/>
      <c r="Z361" s="269"/>
      <c r="AA361" s="269"/>
      <c r="AB361" s="269"/>
      <c r="AC361" s="269"/>
      <c r="AD361" s="269"/>
      <c r="AE361" s="269"/>
      <c r="AF361" s="269"/>
      <c r="AG361" s="269"/>
      <c r="AH361" s="269"/>
      <c r="AI361" s="269"/>
      <c r="AJ361" s="269"/>
      <c r="AK361" s="269"/>
      <c r="AL361" s="269"/>
      <c r="AM361" s="269"/>
      <c r="AN361" s="269"/>
      <c r="BP361" s="132" t="s">
        <v>1</v>
      </c>
      <c r="BQ361" s="133" t="s">
        <v>40</v>
      </c>
      <c r="BS361" s="134">
        <f>BR361*H361</f>
        <v>0</v>
      </c>
      <c r="BT361" s="134">
        <v>0</v>
      </c>
      <c r="BU361" s="134">
        <f>BT361*H361</f>
        <v>0</v>
      </c>
      <c r="BV361" s="134">
        <v>0</v>
      </c>
      <c r="BW361" s="135">
        <f>BV361*H361</f>
        <v>0</v>
      </c>
      <c r="CU361" s="136" t="s">
        <v>95</v>
      </c>
      <c r="CW361" s="136" t="s">
        <v>284</v>
      </c>
      <c r="CX361" s="136" t="s">
        <v>83</v>
      </c>
      <c r="DB361" s="16" t="s">
        <v>282</v>
      </c>
      <c r="DH361" s="137">
        <f>IF(BQ361="základní",J361,0)</f>
        <v>5683.29</v>
      </c>
      <c r="DI361" s="137">
        <f>IF(BQ361="snížená",J361,0)</f>
        <v>0</v>
      </c>
      <c r="DJ361" s="137">
        <f>IF(BQ361="zákl. přenesená",J361,0)</f>
        <v>0</v>
      </c>
      <c r="DK361" s="137">
        <f>IF(BQ361="sníž. přenesená",J361,0)</f>
        <v>0</v>
      </c>
      <c r="DL361" s="137">
        <f>IF(BQ361="nulová",J361,0)</f>
        <v>0</v>
      </c>
      <c r="DM361" s="16" t="s">
        <v>81</v>
      </c>
      <c r="DN361" s="137">
        <f>ROUND(I361*H361,2)</f>
        <v>5683.29</v>
      </c>
      <c r="DO361" s="16" t="s">
        <v>95</v>
      </c>
      <c r="DP361" s="136" t="s">
        <v>658</v>
      </c>
    </row>
    <row r="362" spans="2:120" s="1" customFormat="1" ht="19.5" x14ac:dyDescent="0.2">
      <c r="B362" s="31"/>
      <c r="D362" s="138" t="s">
        <v>289</v>
      </c>
      <c r="F362" s="139" t="s">
        <v>793</v>
      </c>
      <c r="I362" s="140"/>
      <c r="L362" s="31"/>
      <c r="N362" s="213"/>
      <c r="O362" s="214"/>
      <c r="Q362" s="229"/>
      <c r="BP362" s="141"/>
      <c r="BW362" s="50"/>
      <c r="CW362" s="16" t="s">
        <v>289</v>
      </c>
      <c r="CX362" s="16" t="s">
        <v>83</v>
      </c>
    </row>
    <row r="363" spans="2:120" s="1" customFormat="1" ht="29.25" x14ac:dyDescent="0.2">
      <c r="B363" s="31"/>
      <c r="D363" s="138" t="s">
        <v>299</v>
      </c>
      <c r="F363" s="142" t="s">
        <v>733</v>
      </c>
      <c r="I363" s="140"/>
      <c r="L363" s="31"/>
      <c r="N363" s="213"/>
      <c r="O363" s="214"/>
      <c r="Q363" s="229"/>
      <c r="BP363" s="141"/>
      <c r="BW363" s="50"/>
      <c r="CW363" s="16" t="s">
        <v>299</v>
      </c>
      <c r="CX363" s="16" t="s">
        <v>83</v>
      </c>
    </row>
    <row r="364" spans="2:120" s="12" customFormat="1" x14ac:dyDescent="0.2">
      <c r="B364" s="149"/>
      <c r="D364" s="138" t="s">
        <v>301</v>
      </c>
      <c r="E364" s="150" t="s">
        <v>1</v>
      </c>
      <c r="F364" s="151" t="s">
        <v>794</v>
      </c>
      <c r="H364" s="152">
        <v>1</v>
      </c>
      <c r="I364" s="153"/>
      <c r="L364" s="149"/>
      <c r="N364" s="217"/>
      <c r="O364" s="218"/>
      <c r="Q364" s="231"/>
      <c r="BP364" s="154"/>
      <c r="BW364" s="155"/>
      <c r="CW364" s="150" t="s">
        <v>301</v>
      </c>
      <c r="CX364" s="150" t="s">
        <v>83</v>
      </c>
      <c r="CY364" s="12" t="s">
        <v>83</v>
      </c>
      <c r="CZ364" s="12" t="s">
        <v>32</v>
      </c>
      <c r="DA364" s="12" t="s">
        <v>81</v>
      </c>
      <c r="DB364" s="150" t="s">
        <v>282</v>
      </c>
    </row>
    <row r="365" spans="2:120" s="1" customFormat="1" ht="62.65" customHeight="1" x14ac:dyDescent="0.2">
      <c r="B365" s="124"/>
      <c r="C365" s="125" t="s">
        <v>631</v>
      </c>
      <c r="D365" s="125" t="s">
        <v>284</v>
      </c>
      <c r="E365" s="126" t="s">
        <v>795</v>
      </c>
      <c r="F365" s="127" t="s">
        <v>796</v>
      </c>
      <c r="G365" s="128" t="s">
        <v>315</v>
      </c>
      <c r="H365" s="129">
        <v>1</v>
      </c>
      <c r="I365" s="130">
        <v>35994.196600000003</v>
      </c>
      <c r="J365" s="131">
        <f>ROUND(I365*H365,2)</f>
        <v>35994.199999999997</v>
      </c>
      <c r="K365" s="127" t="s">
        <v>1</v>
      </c>
      <c r="L365" s="268">
        <f>S365</f>
        <v>0</v>
      </c>
      <c r="M365" s="272">
        <f>ROUND(L365*I365,2)</f>
        <v>0</v>
      </c>
      <c r="N365" s="243"/>
      <c r="O365" s="294">
        <f>ROUND(N365*I365,2)</f>
        <v>0</v>
      </c>
      <c r="P365" s="273">
        <f>H365-L365-N365</f>
        <v>1</v>
      </c>
      <c r="Q365" s="287">
        <f>ROUND(P365*I365,2)</f>
        <v>35994.199999999997</v>
      </c>
      <c r="R365" s="137"/>
      <c r="S365" s="269">
        <f>W365+Y365+AA365+AC365+AE365+AG365+AI365+AK365+AM365</f>
        <v>0</v>
      </c>
      <c r="T365" s="269">
        <f>ROUND(S365*I365,2)</f>
        <v>0</v>
      </c>
      <c r="U365" s="269">
        <f>H365-S365</f>
        <v>1</v>
      </c>
      <c r="V365" s="269">
        <f>ROUND(U365*I365,2)</f>
        <v>35994.199999999997</v>
      </c>
      <c r="W365" s="269"/>
      <c r="X365" s="269"/>
      <c r="Y365" s="269"/>
      <c r="Z365" s="269"/>
      <c r="AA365" s="269"/>
      <c r="AB365" s="269"/>
      <c r="AC365" s="269"/>
      <c r="AD365" s="269"/>
      <c r="AE365" s="269"/>
      <c r="AF365" s="269"/>
      <c r="AG365" s="269"/>
      <c r="AH365" s="269"/>
      <c r="AI365" s="269"/>
      <c r="AJ365" s="269"/>
      <c r="AK365" s="269"/>
      <c r="AL365" s="269"/>
      <c r="AM365" s="269"/>
      <c r="AN365" s="269"/>
      <c r="BP365" s="132" t="s">
        <v>1</v>
      </c>
      <c r="BQ365" s="133" t="s">
        <v>40</v>
      </c>
      <c r="BS365" s="134">
        <f>BR365*H365</f>
        <v>0</v>
      </c>
      <c r="BT365" s="134">
        <v>0</v>
      </c>
      <c r="BU365" s="134">
        <f>BT365*H365</f>
        <v>0</v>
      </c>
      <c r="BV365" s="134">
        <v>0</v>
      </c>
      <c r="BW365" s="135">
        <f>BV365*H365</f>
        <v>0</v>
      </c>
      <c r="CU365" s="136" t="s">
        <v>95</v>
      </c>
      <c r="CW365" s="136" t="s">
        <v>284</v>
      </c>
      <c r="CX365" s="136" t="s">
        <v>83</v>
      </c>
      <c r="DB365" s="16" t="s">
        <v>282</v>
      </c>
      <c r="DH365" s="137">
        <f>IF(BQ365="základní",J365,0)</f>
        <v>35994.199999999997</v>
      </c>
      <c r="DI365" s="137">
        <f>IF(BQ365="snížená",J365,0)</f>
        <v>0</v>
      </c>
      <c r="DJ365" s="137">
        <f>IF(BQ365="zákl. přenesená",J365,0)</f>
        <v>0</v>
      </c>
      <c r="DK365" s="137">
        <f>IF(BQ365="sníž. přenesená",J365,0)</f>
        <v>0</v>
      </c>
      <c r="DL365" s="137">
        <f>IF(BQ365="nulová",J365,0)</f>
        <v>0</v>
      </c>
      <c r="DM365" s="16" t="s">
        <v>81</v>
      </c>
      <c r="DN365" s="137">
        <f>ROUND(I365*H365,2)</f>
        <v>35994.199999999997</v>
      </c>
      <c r="DO365" s="16" t="s">
        <v>95</v>
      </c>
      <c r="DP365" s="136" t="s">
        <v>797</v>
      </c>
    </row>
    <row r="366" spans="2:120" s="1" customFormat="1" ht="39" x14ac:dyDescent="0.2">
      <c r="B366" s="31"/>
      <c r="D366" s="138" t="s">
        <v>289</v>
      </c>
      <c r="F366" s="139" t="s">
        <v>796</v>
      </c>
      <c r="I366" s="140"/>
      <c r="L366" s="31"/>
      <c r="N366" s="213"/>
      <c r="O366" s="214"/>
      <c r="Q366" s="229"/>
      <c r="BP366" s="141"/>
      <c r="BW366" s="50"/>
      <c r="CW366" s="16" t="s">
        <v>289</v>
      </c>
      <c r="CX366" s="16" t="s">
        <v>83</v>
      </c>
    </row>
    <row r="367" spans="2:120" s="1" customFormat="1" ht="19.5" x14ac:dyDescent="0.2">
      <c r="B367" s="31"/>
      <c r="D367" s="138" t="s">
        <v>299</v>
      </c>
      <c r="F367" s="142" t="s">
        <v>317</v>
      </c>
      <c r="I367" s="140"/>
      <c r="L367" s="31"/>
      <c r="N367" s="213"/>
      <c r="O367" s="214"/>
      <c r="Q367" s="229"/>
      <c r="BP367" s="141"/>
      <c r="BW367" s="50"/>
      <c r="CW367" s="16" t="s">
        <v>299</v>
      </c>
      <c r="CX367" s="16" t="s">
        <v>83</v>
      </c>
    </row>
    <row r="368" spans="2:120" s="12" customFormat="1" x14ac:dyDescent="0.2">
      <c r="B368" s="149"/>
      <c r="D368" s="138" t="s">
        <v>301</v>
      </c>
      <c r="E368" s="150" t="s">
        <v>1</v>
      </c>
      <c r="F368" s="151" t="s">
        <v>798</v>
      </c>
      <c r="H368" s="152">
        <v>1</v>
      </c>
      <c r="I368" s="153"/>
      <c r="L368" s="149"/>
      <c r="N368" s="217"/>
      <c r="O368" s="218"/>
      <c r="Q368" s="231"/>
      <c r="BP368" s="154"/>
      <c r="BW368" s="155"/>
      <c r="CW368" s="150" t="s">
        <v>301</v>
      </c>
      <c r="CX368" s="150" t="s">
        <v>83</v>
      </c>
      <c r="CY368" s="12" t="s">
        <v>83</v>
      </c>
      <c r="CZ368" s="12" t="s">
        <v>32</v>
      </c>
      <c r="DA368" s="12" t="s">
        <v>81</v>
      </c>
      <c r="DB368" s="150" t="s">
        <v>282</v>
      </c>
    </row>
    <row r="369" spans="2:120" s="1" customFormat="1" ht="24.2" customHeight="1" x14ac:dyDescent="0.2">
      <c r="B369" s="124"/>
      <c r="C369" s="125" t="s">
        <v>635</v>
      </c>
      <c r="D369" s="125" t="s">
        <v>284</v>
      </c>
      <c r="E369" s="126" t="s">
        <v>661</v>
      </c>
      <c r="F369" s="127" t="s">
        <v>662</v>
      </c>
      <c r="G369" s="128" t="s">
        <v>485</v>
      </c>
      <c r="H369" s="129">
        <v>3</v>
      </c>
      <c r="I369" s="130">
        <v>1019.8832798103068</v>
      </c>
      <c r="J369" s="131">
        <f>ROUND(I369*H369,2)</f>
        <v>3059.65</v>
      </c>
      <c r="K369" s="127" t="s">
        <v>293</v>
      </c>
      <c r="L369" s="268">
        <f>S369</f>
        <v>0</v>
      </c>
      <c r="M369" s="272">
        <f>ROUND(L369*I369,2)</f>
        <v>0</v>
      </c>
      <c r="N369" s="243"/>
      <c r="O369" s="294">
        <f>ROUND(N369*I369,2)</f>
        <v>0</v>
      </c>
      <c r="P369" s="273">
        <f>H369-L369-N369</f>
        <v>3</v>
      </c>
      <c r="Q369" s="287">
        <f>ROUND(P369*I369,2)</f>
        <v>3059.65</v>
      </c>
      <c r="R369" s="137"/>
      <c r="S369" s="269">
        <f>W369+Y369+AA369+AC369+AE369+AG369+AI369+AK369+AM369</f>
        <v>0</v>
      </c>
      <c r="T369" s="269">
        <f>ROUND(S369*I369,2)</f>
        <v>0</v>
      </c>
      <c r="U369" s="269">
        <f>H369-S369</f>
        <v>3</v>
      </c>
      <c r="V369" s="269">
        <f>ROUND(U369*I369,2)</f>
        <v>3059.65</v>
      </c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  <c r="AL369" s="269"/>
      <c r="AM369" s="269"/>
      <c r="AN369" s="269"/>
      <c r="BP369" s="132" t="s">
        <v>1</v>
      </c>
      <c r="BQ369" s="133" t="s">
        <v>40</v>
      </c>
      <c r="BS369" s="134">
        <f>BR369*H369</f>
        <v>0</v>
      </c>
      <c r="BT369" s="134">
        <v>0.21734000000000001</v>
      </c>
      <c r="BU369" s="134">
        <f>BT369*H369</f>
        <v>0.65202000000000004</v>
      </c>
      <c r="BV369" s="134">
        <v>0</v>
      </c>
      <c r="BW369" s="135">
        <f>BV369*H369</f>
        <v>0</v>
      </c>
      <c r="CU369" s="136" t="s">
        <v>95</v>
      </c>
      <c r="CW369" s="136" t="s">
        <v>284</v>
      </c>
      <c r="CX369" s="136" t="s">
        <v>83</v>
      </c>
      <c r="DB369" s="16" t="s">
        <v>282</v>
      </c>
      <c r="DH369" s="137">
        <f>IF(BQ369="základní",J369,0)</f>
        <v>3059.65</v>
      </c>
      <c r="DI369" s="137">
        <f>IF(BQ369="snížená",J369,0)</f>
        <v>0</v>
      </c>
      <c r="DJ369" s="137">
        <f>IF(BQ369="zákl. přenesená",J369,0)</f>
        <v>0</v>
      </c>
      <c r="DK369" s="137">
        <f>IF(BQ369="sníž. přenesená",J369,0)</f>
        <v>0</v>
      </c>
      <c r="DL369" s="137">
        <f>IF(BQ369="nulová",J369,0)</f>
        <v>0</v>
      </c>
      <c r="DM369" s="16" t="s">
        <v>81</v>
      </c>
      <c r="DN369" s="137">
        <f>ROUND(I369*H369,2)</f>
        <v>3059.65</v>
      </c>
      <c r="DO369" s="16" t="s">
        <v>95</v>
      </c>
      <c r="DP369" s="136" t="s">
        <v>663</v>
      </c>
    </row>
    <row r="370" spans="2:120" s="1" customFormat="1" ht="19.5" x14ac:dyDescent="0.2">
      <c r="B370" s="31"/>
      <c r="D370" s="138" t="s">
        <v>289</v>
      </c>
      <c r="F370" s="139" t="s">
        <v>664</v>
      </c>
      <c r="I370" s="140"/>
      <c r="L370" s="31"/>
      <c r="N370" s="213"/>
      <c r="O370" s="214"/>
      <c r="Q370" s="229"/>
      <c r="BP370" s="141"/>
      <c r="BW370" s="50"/>
      <c r="CW370" s="16" t="s">
        <v>289</v>
      </c>
      <c r="CX370" s="16" t="s">
        <v>83</v>
      </c>
    </row>
    <row r="371" spans="2:120" s="1" customFormat="1" ht="19.5" x14ac:dyDescent="0.2">
      <c r="B371" s="31"/>
      <c r="D371" s="138" t="s">
        <v>299</v>
      </c>
      <c r="F371" s="142" t="s">
        <v>317</v>
      </c>
      <c r="I371" s="140"/>
      <c r="L371" s="31"/>
      <c r="N371" s="213"/>
      <c r="O371" s="214"/>
      <c r="Q371" s="229"/>
      <c r="BP371" s="141"/>
      <c r="BW371" s="50"/>
      <c r="CW371" s="16" t="s">
        <v>299</v>
      </c>
      <c r="CX371" s="16" t="s">
        <v>83</v>
      </c>
    </row>
    <row r="372" spans="2:120" s="12" customFormat="1" x14ac:dyDescent="0.2">
      <c r="B372" s="149"/>
      <c r="D372" s="138" t="s">
        <v>301</v>
      </c>
      <c r="E372" s="150" t="s">
        <v>1</v>
      </c>
      <c r="F372" s="151" t="s">
        <v>781</v>
      </c>
      <c r="H372" s="152">
        <v>3</v>
      </c>
      <c r="I372" s="153"/>
      <c r="L372" s="149"/>
      <c r="N372" s="217"/>
      <c r="O372" s="218"/>
      <c r="Q372" s="231"/>
      <c r="BP372" s="154"/>
      <c r="BW372" s="155"/>
      <c r="CW372" s="150" t="s">
        <v>301</v>
      </c>
      <c r="CX372" s="150" t="s">
        <v>83</v>
      </c>
      <c r="CY372" s="12" t="s">
        <v>83</v>
      </c>
      <c r="CZ372" s="12" t="s">
        <v>32</v>
      </c>
      <c r="DA372" s="12" t="s">
        <v>81</v>
      </c>
      <c r="DB372" s="150" t="s">
        <v>282</v>
      </c>
    </row>
    <row r="373" spans="2:120" s="1" customFormat="1" ht="24.2" customHeight="1" x14ac:dyDescent="0.2">
      <c r="B373" s="124"/>
      <c r="C373" s="170" t="s">
        <v>639</v>
      </c>
      <c r="D373" s="170" t="s">
        <v>439</v>
      </c>
      <c r="E373" s="171" t="s">
        <v>667</v>
      </c>
      <c r="F373" s="172" t="s">
        <v>668</v>
      </c>
      <c r="G373" s="173" t="s">
        <v>485</v>
      </c>
      <c r="H373" s="174">
        <v>2</v>
      </c>
      <c r="I373" s="175">
        <v>3125.8118100000002</v>
      </c>
      <c r="J373" s="176">
        <f>ROUND(I373*H373,2)</f>
        <v>6251.62</v>
      </c>
      <c r="K373" s="172" t="s">
        <v>1</v>
      </c>
      <c r="L373" s="268">
        <f>S373</f>
        <v>0</v>
      </c>
      <c r="M373" s="272">
        <f>ROUND(L373*I373,2)</f>
        <v>0</v>
      </c>
      <c r="N373" s="243"/>
      <c r="O373" s="294">
        <f>ROUND(N373*I373,2)</f>
        <v>0</v>
      </c>
      <c r="P373" s="273">
        <f>H373-L373-N373</f>
        <v>2</v>
      </c>
      <c r="Q373" s="287">
        <f>ROUND(P373*I373,2)</f>
        <v>6251.62</v>
      </c>
      <c r="R373" s="137"/>
      <c r="S373" s="269">
        <f>W373+Y373+AA373+AC373+AE373+AG373+AI373+AK373+AM373</f>
        <v>0</v>
      </c>
      <c r="T373" s="269">
        <f>ROUND(S373*I373,2)</f>
        <v>0</v>
      </c>
      <c r="U373" s="269">
        <f>H373-S373</f>
        <v>2</v>
      </c>
      <c r="V373" s="269">
        <f>ROUND(U373*I373,2)</f>
        <v>6251.62</v>
      </c>
      <c r="W373" s="290"/>
      <c r="X373" s="290"/>
      <c r="Y373" s="290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90"/>
      <c r="AK373" s="290"/>
      <c r="AL373" s="290"/>
      <c r="AM373" s="290"/>
      <c r="AN373" s="290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77" t="s">
        <v>1</v>
      </c>
      <c r="BQ373" s="178" t="s">
        <v>40</v>
      </c>
      <c r="BS373" s="134">
        <f>BR373*H373</f>
        <v>0</v>
      </c>
      <c r="BT373" s="134">
        <v>4.5999999999999999E-2</v>
      </c>
      <c r="BU373" s="134">
        <f>BT373*H373</f>
        <v>9.1999999999999998E-2</v>
      </c>
      <c r="BV373" s="134">
        <v>0</v>
      </c>
      <c r="BW373" s="135">
        <f>BV373*H373</f>
        <v>0</v>
      </c>
      <c r="CU373" s="136" t="s">
        <v>328</v>
      </c>
      <c r="CW373" s="136" t="s">
        <v>439</v>
      </c>
      <c r="CX373" s="136" t="s">
        <v>83</v>
      </c>
      <c r="DB373" s="16" t="s">
        <v>282</v>
      </c>
      <c r="DH373" s="137">
        <f>IF(BQ373="základní",J373,0)</f>
        <v>6251.62</v>
      </c>
      <c r="DI373" s="137">
        <f>IF(BQ373="snížená",J373,0)</f>
        <v>0</v>
      </c>
      <c r="DJ373" s="137">
        <f>IF(BQ373="zákl. přenesená",J373,0)</f>
        <v>0</v>
      </c>
      <c r="DK373" s="137">
        <f>IF(BQ373="sníž. přenesená",J373,0)</f>
        <v>0</v>
      </c>
      <c r="DL373" s="137">
        <f>IF(BQ373="nulová",J373,0)</f>
        <v>0</v>
      </c>
      <c r="DM373" s="16" t="s">
        <v>81</v>
      </c>
      <c r="DN373" s="137">
        <f>ROUND(I373*H373,2)</f>
        <v>6251.62</v>
      </c>
      <c r="DO373" s="16" t="s">
        <v>95</v>
      </c>
      <c r="DP373" s="136" t="s">
        <v>669</v>
      </c>
    </row>
    <row r="374" spans="2:120" s="1" customFormat="1" ht="19.5" x14ac:dyDescent="0.2">
      <c r="B374" s="31"/>
      <c r="D374" s="138" t="s">
        <v>289</v>
      </c>
      <c r="F374" s="139" t="s">
        <v>668</v>
      </c>
      <c r="I374" s="140"/>
      <c r="L374" s="31"/>
      <c r="N374" s="213"/>
      <c r="O374" s="214"/>
      <c r="Q374" s="229"/>
      <c r="BP374" s="141"/>
      <c r="BW374" s="50"/>
      <c r="CW374" s="16" t="s">
        <v>289</v>
      </c>
      <c r="CX374" s="16" t="s">
        <v>83</v>
      </c>
    </row>
    <row r="375" spans="2:120" s="1" customFormat="1" ht="24.2" customHeight="1" x14ac:dyDescent="0.2">
      <c r="B375" s="124"/>
      <c r="C375" s="170" t="s">
        <v>643</v>
      </c>
      <c r="D375" s="170" t="s">
        <v>439</v>
      </c>
      <c r="E375" s="171" t="s">
        <v>671</v>
      </c>
      <c r="F375" s="172" t="s">
        <v>672</v>
      </c>
      <c r="G375" s="173" t="s">
        <v>485</v>
      </c>
      <c r="H375" s="174">
        <v>1</v>
      </c>
      <c r="I375" s="175">
        <v>3315.25495</v>
      </c>
      <c r="J375" s="176">
        <f>ROUND(I375*H375,2)</f>
        <v>3315.25</v>
      </c>
      <c r="K375" s="172" t="s">
        <v>1</v>
      </c>
      <c r="L375" s="268">
        <f>S375</f>
        <v>0</v>
      </c>
      <c r="M375" s="272">
        <f>ROUND(L375*I375,2)</f>
        <v>0</v>
      </c>
      <c r="N375" s="243"/>
      <c r="O375" s="294">
        <f>ROUND(N375*I375,2)</f>
        <v>0</v>
      </c>
      <c r="P375" s="273">
        <f>H375-L375-N375</f>
        <v>1</v>
      </c>
      <c r="Q375" s="287">
        <f>ROUND(P375*I375,2)</f>
        <v>3315.25</v>
      </c>
      <c r="R375" s="137"/>
      <c r="S375" s="269">
        <f>W375+Y375+AA375+AC375+AE375+AG375+AI375+AK375+AM375</f>
        <v>0</v>
      </c>
      <c r="T375" s="269">
        <f>ROUND(S375*I375,2)</f>
        <v>0</v>
      </c>
      <c r="U375" s="269">
        <f>H375-S375</f>
        <v>1</v>
      </c>
      <c r="V375" s="269">
        <f>ROUND(U375*I375,2)</f>
        <v>3315.25</v>
      </c>
      <c r="W375" s="290"/>
      <c r="X375" s="290"/>
      <c r="Y375" s="290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90"/>
      <c r="AK375" s="290"/>
      <c r="AL375" s="290"/>
      <c r="AM375" s="290"/>
      <c r="AN375" s="290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77" t="s">
        <v>1</v>
      </c>
      <c r="BQ375" s="178" t="s">
        <v>40</v>
      </c>
      <c r="BS375" s="134">
        <f>BR375*H375</f>
        <v>0</v>
      </c>
      <c r="BT375" s="134">
        <v>4.5999999999999999E-2</v>
      </c>
      <c r="BU375" s="134">
        <f>BT375*H375</f>
        <v>4.5999999999999999E-2</v>
      </c>
      <c r="BV375" s="134">
        <v>0</v>
      </c>
      <c r="BW375" s="135">
        <f>BV375*H375</f>
        <v>0</v>
      </c>
      <c r="CU375" s="136" t="s">
        <v>328</v>
      </c>
      <c r="CW375" s="136" t="s">
        <v>439</v>
      </c>
      <c r="CX375" s="136" t="s">
        <v>83</v>
      </c>
      <c r="DB375" s="16" t="s">
        <v>282</v>
      </c>
      <c r="DH375" s="137">
        <f>IF(BQ375="základní",J375,0)</f>
        <v>3315.25</v>
      </c>
      <c r="DI375" s="137">
        <f>IF(BQ375="snížená",J375,0)</f>
        <v>0</v>
      </c>
      <c r="DJ375" s="137">
        <f>IF(BQ375="zákl. přenesená",J375,0)</f>
        <v>0</v>
      </c>
      <c r="DK375" s="137">
        <f>IF(BQ375="sníž. přenesená",J375,0)</f>
        <v>0</v>
      </c>
      <c r="DL375" s="137">
        <f>IF(BQ375="nulová",J375,0)</f>
        <v>0</v>
      </c>
      <c r="DM375" s="16" t="s">
        <v>81</v>
      </c>
      <c r="DN375" s="137">
        <f>ROUND(I375*H375,2)</f>
        <v>3315.25</v>
      </c>
      <c r="DO375" s="16" t="s">
        <v>95</v>
      </c>
      <c r="DP375" s="136" t="s">
        <v>673</v>
      </c>
    </row>
    <row r="376" spans="2:120" s="1" customFormat="1" ht="19.5" x14ac:dyDescent="0.2">
      <c r="B376" s="31"/>
      <c r="D376" s="138" t="s">
        <v>289</v>
      </c>
      <c r="F376" s="139" t="s">
        <v>672</v>
      </c>
      <c r="I376" s="140"/>
      <c r="L376" s="31"/>
      <c r="N376" s="213"/>
      <c r="O376" s="214"/>
      <c r="Q376" s="229"/>
      <c r="BP376" s="141"/>
      <c r="BW376" s="50"/>
      <c r="CW376" s="16" t="s">
        <v>289</v>
      </c>
      <c r="CX376" s="16" t="s">
        <v>83</v>
      </c>
    </row>
    <row r="377" spans="2:120" s="10" customFormat="1" ht="22.9" customHeight="1" x14ac:dyDescent="0.2">
      <c r="B377" s="112"/>
      <c r="D377" s="113" t="s">
        <v>73</v>
      </c>
      <c r="E377" s="122" t="s">
        <v>335</v>
      </c>
      <c r="F377" s="122" t="s">
        <v>674</v>
      </c>
      <c r="I377" s="115"/>
      <c r="J377" s="123">
        <f>DN377</f>
        <v>6180.1900000000005</v>
      </c>
      <c r="L377" s="112"/>
      <c r="M377" s="291">
        <f>M378+M383</f>
        <v>0</v>
      </c>
      <c r="N377" s="295"/>
      <c r="O377" s="296">
        <f t="shared" ref="O377:V377" si="9">O378+O383</f>
        <v>0</v>
      </c>
      <c r="P377" s="291"/>
      <c r="Q377" s="298">
        <f t="shared" si="9"/>
        <v>6180.1900000000005</v>
      </c>
      <c r="R377" s="291"/>
      <c r="S377" s="291"/>
      <c r="T377" s="291">
        <f t="shared" si="9"/>
        <v>0</v>
      </c>
      <c r="U377" s="291"/>
      <c r="V377" s="291">
        <f t="shared" si="9"/>
        <v>6180.1900000000005</v>
      </c>
      <c r="BP377" s="117"/>
      <c r="BS377" s="118">
        <f>SUM(BS378:BS387)</f>
        <v>0</v>
      </c>
      <c r="BU377" s="118">
        <f>SUM(BU378:BU387)</f>
        <v>8.1000000000000006E-4</v>
      </c>
      <c r="BW377" s="119">
        <f>SUM(BW378:BW387)</f>
        <v>0</v>
      </c>
      <c r="CU377" s="113" t="s">
        <v>81</v>
      </c>
      <c r="CW377" s="120" t="s">
        <v>73</v>
      </c>
      <c r="CX377" s="120" t="s">
        <v>81</v>
      </c>
      <c r="DB377" s="113" t="s">
        <v>282</v>
      </c>
      <c r="DN377" s="121">
        <f>SUM(DN378:DN387)</f>
        <v>6180.1900000000005</v>
      </c>
    </row>
    <row r="378" spans="2:120" s="1" customFormat="1" ht="24.2" customHeight="1" x14ac:dyDescent="0.2">
      <c r="B378" s="124"/>
      <c r="C378" s="125" t="s">
        <v>650</v>
      </c>
      <c r="D378" s="125" t="s">
        <v>284</v>
      </c>
      <c r="E378" s="126" t="s">
        <v>682</v>
      </c>
      <c r="F378" s="127" t="s">
        <v>683</v>
      </c>
      <c r="G378" s="128" t="s">
        <v>344</v>
      </c>
      <c r="H378" s="129">
        <v>9</v>
      </c>
      <c r="I378" s="130">
        <v>118.35908321829292</v>
      </c>
      <c r="J378" s="131">
        <f>ROUND(I378*H378,2)</f>
        <v>1065.23</v>
      </c>
      <c r="K378" s="127" t="s">
        <v>293</v>
      </c>
      <c r="L378" s="268">
        <f>S378</f>
        <v>0</v>
      </c>
      <c r="M378" s="272">
        <f>ROUND(L378*I378,2)</f>
        <v>0</v>
      </c>
      <c r="N378" s="243"/>
      <c r="O378" s="294">
        <f>ROUND(N378*I378,2)</f>
        <v>0</v>
      </c>
      <c r="P378" s="273">
        <f>H378-L378-N378</f>
        <v>9</v>
      </c>
      <c r="Q378" s="287">
        <f>ROUND(P378*I378,2)</f>
        <v>1065.23</v>
      </c>
      <c r="R378" s="137"/>
      <c r="S378" s="269">
        <f>W378+Y378+AA378+AC378+AE378+AG378+AI378+AK378+AM378</f>
        <v>0</v>
      </c>
      <c r="T378" s="269">
        <f>ROUND(S378*I378,2)</f>
        <v>0</v>
      </c>
      <c r="U378" s="269">
        <f>H378-S378</f>
        <v>9</v>
      </c>
      <c r="V378" s="269">
        <f>ROUND(U378*I378,2)</f>
        <v>1065.23</v>
      </c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  <c r="AI378" s="269"/>
      <c r="AJ378" s="269"/>
      <c r="AK378" s="269"/>
      <c r="AL378" s="269"/>
      <c r="AM378" s="269"/>
      <c r="AN378" s="269"/>
      <c r="BP378" s="132" t="s">
        <v>1</v>
      </c>
      <c r="BQ378" s="133" t="s">
        <v>40</v>
      </c>
      <c r="BS378" s="134">
        <f>BR378*H378</f>
        <v>0</v>
      </c>
      <c r="BT378" s="134">
        <v>9.0000000000000006E-5</v>
      </c>
      <c r="BU378" s="134">
        <f>BT378*H378</f>
        <v>8.1000000000000006E-4</v>
      </c>
      <c r="BV378" s="134">
        <v>0</v>
      </c>
      <c r="BW378" s="135">
        <f>BV378*H378</f>
        <v>0</v>
      </c>
      <c r="CU378" s="136" t="s">
        <v>95</v>
      </c>
      <c r="CW378" s="136" t="s">
        <v>284</v>
      </c>
      <c r="CX378" s="136" t="s">
        <v>83</v>
      </c>
      <c r="DB378" s="16" t="s">
        <v>282</v>
      </c>
      <c r="DH378" s="137">
        <f>IF(BQ378="základní",J378,0)</f>
        <v>1065.23</v>
      </c>
      <c r="DI378" s="137">
        <f>IF(BQ378="snížená",J378,0)</f>
        <v>0</v>
      </c>
      <c r="DJ378" s="137">
        <f>IF(BQ378="zákl. přenesená",J378,0)</f>
        <v>0</v>
      </c>
      <c r="DK378" s="137">
        <f>IF(BQ378="sníž. přenesená",J378,0)</f>
        <v>0</v>
      </c>
      <c r="DL378" s="137">
        <f>IF(BQ378="nulová",J378,0)</f>
        <v>0</v>
      </c>
      <c r="DM378" s="16" t="s">
        <v>81</v>
      </c>
      <c r="DN378" s="137">
        <f>ROUND(I378*H378,2)</f>
        <v>1065.23</v>
      </c>
      <c r="DO378" s="16" t="s">
        <v>95</v>
      </c>
      <c r="DP378" s="136" t="s">
        <v>684</v>
      </c>
    </row>
    <row r="379" spans="2:120" s="1" customFormat="1" ht="39" x14ac:dyDescent="0.2">
      <c r="B379" s="31"/>
      <c r="D379" s="138" t="s">
        <v>289</v>
      </c>
      <c r="F379" s="139" t="s">
        <v>685</v>
      </c>
      <c r="I379" s="140"/>
      <c r="L379" s="31"/>
      <c r="N379" s="213"/>
      <c r="O379" s="214"/>
      <c r="Q379" s="229"/>
      <c r="BP379" s="141"/>
      <c r="BW379" s="50"/>
      <c r="CW379" s="16" t="s">
        <v>289</v>
      </c>
      <c r="CX379" s="16" t="s">
        <v>83</v>
      </c>
    </row>
    <row r="380" spans="2:120" s="1" customFormat="1" ht="19.5" x14ac:dyDescent="0.2">
      <c r="B380" s="31"/>
      <c r="D380" s="138" t="s">
        <v>299</v>
      </c>
      <c r="F380" s="142" t="s">
        <v>317</v>
      </c>
      <c r="I380" s="140"/>
      <c r="L380" s="31"/>
      <c r="N380" s="213"/>
      <c r="O380" s="214"/>
      <c r="Q380" s="229"/>
      <c r="BP380" s="141"/>
      <c r="BW380" s="50"/>
      <c r="CW380" s="16" t="s">
        <v>299</v>
      </c>
      <c r="CX380" s="16" t="s">
        <v>83</v>
      </c>
    </row>
    <row r="381" spans="2:120" s="11" customFormat="1" x14ac:dyDescent="0.2">
      <c r="B381" s="143"/>
      <c r="D381" s="138" t="s">
        <v>301</v>
      </c>
      <c r="E381" s="144" t="s">
        <v>1</v>
      </c>
      <c r="F381" s="145" t="s">
        <v>686</v>
      </c>
      <c r="H381" s="144" t="s">
        <v>1</v>
      </c>
      <c r="I381" s="146"/>
      <c r="L381" s="143"/>
      <c r="N381" s="215"/>
      <c r="O381" s="216"/>
      <c r="Q381" s="230"/>
      <c r="BP381" s="147"/>
      <c r="BW381" s="148"/>
      <c r="CW381" s="144" t="s">
        <v>301</v>
      </c>
      <c r="CX381" s="144" t="s">
        <v>83</v>
      </c>
      <c r="CY381" s="11" t="s">
        <v>81</v>
      </c>
      <c r="CZ381" s="11" t="s">
        <v>32</v>
      </c>
      <c r="DA381" s="11" t="s">
        <v>74</v>
      </c>
      <c r="DB381" s="144" t="s">
        <v>282</v>
      </c>
    </row>
    <row r="382" spans="2:120" s="12" customFormat="1" x14ac:dyDescent="0.2">
      <c r="B382" s="149"/>
      <c r="D382" s="138" t="s">
        <v>301</v>
      </c>
      <c r="E382" s="150" t="s">
        <v>1</v>
      </c>
      <c r="F382" s="151" t="s">
        <v>687</v>
      </c>
      <c r="H382" s="152">
        <v>9</v>
      </c>
      <c r="I382" s="153"/>
      <c r="L382" s="149"/>
      <c r="N382" s="217"/>
      <c r="O382" s="218"/>
      <c r="Q382" s="231"/>
      <c r="BP382" s="154"/>
      <c r="BW382" s="155"/>
      <c r="CW382" s="150" t="s">
        <v>301</v>
      </c>
      <c r="CX382" s="150" t="s">
        <v>83</v>
      </c>
      <c r="CY382" s="12" t="s">
        <v>83</v>
      </c>
      <c r="CZ382" s="12" t="s">
        <v>32</v>
      </c>
      <c r="DA382" s="12" t="s">
        <v>81</v>
      </c>
      <c r="DB382" s="150" t="s">
        <v>282</v>
      </c>
    </row>
    <row r="383" spans="2:120" s="1" customFormat="1" ht="14.45" customHeight="1" x14ac:dyDescent="0.2">
      <c r="B383" s="124"/>
      <c r="C383" s="125" t="s">
        <v>655</v>
      </c>
      <c r="D383" s="125" t="s">
        <v>284</v>
      </c>
      <c r="E383" s="126" t="s">
        <v>689</v>
      </c>
      <c r="F383" s="127" t="s">
        <v>690</v>
      </c>
      <c r="G383" s="128" t="s">
        <v>315</v>
      </c>
      <c r="H383" s="129">
        <v>3</v>
      </c>
      <c r="I383" s="130">
        <v>1704.9882600000001</v>
      </c>
      <c r="J383" s="131">
        <f>ROUND(I383*H383,2)</f>
        <v>5114.96</v>
      </c>
      <c r="K383" s="127" t="s">
        <v>1</v>
      </c>
      <c r="L383" s="268">
        <f>S383</f>
        <v>0</v>
      </c>
      <c r="M383" s="272">
        <f>ROUND(L383*I383,2)</f>
        <v>0</v>
      </c>
      <c r="N383" s="243"/>
      <c r="O383" s="294">
        <f>ROUND(N383*I383,2)</f>
        <v>0</v>
      </c>
      <c r="P383" s="273">
        <f>H383-L383-N383</f>
        <v>3</v>
      </c>
      <c r="Q383" s="287">
        <f>ROUND(P383*I383,2)</f>
        <v>5114.96</v>
      </c>
      <c r="R383" s="137"/>
      <c r="S383" s="269">
        <f>W383+Y383+AA383+AC383+AE383+AG383+AI383+AK383+AM383</f>
        <v>0</v>
      </c>
      <c r="T383" s="269">
        <f>ROUND(S383*I383,2)</f>
        <v>0</v>
      </c>
      <c r="U383" s="269">
        <f>H383-S383</f>
        <v>3</v>
      </c>
      <c r="V383" s="269">
        <f>ROUND(U383*I383,2)</f>
        <v>5114.96</v>
      </c>
      <c r="W383" s="269"/>
      <c r="X383" s="269"/>
      <c r="Y383" s="269"/>
      <c r="Z383" s="269"/>
      <c r="AA383" s="269"/>
      <c r="AB383" s="269"/>
      <c r="AC383" s="269"/>
      <c r="AD383" s="269"/>
      <c r="AE383" s="269"/>
      <c r="AF383" s="269"/>
      <c r="AG383" s="269"/>
      <c r="AH383" s="269"/>
      <c r="AI383" s="269"/>
      <c r="AJ383" s="269"/>
      <c r="AK383" s="269"/>
      <c r="AL383" s="269"/>
      <c r="AM383" s="269"/>
      <c r="AN383" s="269"/>
      <c r="BP383" s="132" t="s">
        <v>1</v>
      </c>
      <c r="BQ383" s="133" t="s">
        <v>40</v>
      </c>
      <c r="BS383" s="134">
        <f>BR383*H383</f>
        <v>0</v>
      </c>
      <c r="BT383" s="134">
        <v>0</v>
      </c>
      <c r="BU383" s="134">
        <f>BT383*H383</f>
        <v>0</v>
      </c>
      <c r="BV383" s="134">
        <v>0</v>
      </c>
      <c r="BW383" s="135">
        <f>BV383*H383</f>
        <v>0</v>
      </c>
      <c r="CU383" s="136" t="s">
        <v>95</v>
      </c>
      <c r="CW383" s="136" t="s">
        <v>284</v>
      </c>
      <c r="CX383" s="136" t="s">
        <v>83</v>
      </c>
      <c r="DB383" s="16" t="s">
        <v>282</v>
      </c>
      <c r="DH383" s="137">
        <f>IF(BQ383="základní",J383,0)</f>
        <v>5114.96</v>
      </c>
      <c r="DI383" s="137">
        <f>IF(BQ383="snížená",J383,0)</f>
        <v>0</v>
      </c>
      <c r="DJ383" s="137">
        <f>IF(BQ383="zákl. přenesená",J383,0)</f>
        <v>0</v>
      </c>
      <c r="DK383" s="137">
        <f>IF(BQ383="sníž. přenesená",J383,0)</f>
        <v>0</v>
      </c>
      <c r="DL383" s="137">
        <f>IF(BQ383="nulová",J383,0)</f>
        <v>0</v>
      </c>
      <c r="DM383" s="16" t="s">
        <v>81</v>
      </c>
      <c r="DN383" s="137">
        <f>ROUND(I383*H383,2)</f>
        <v>5114.96</v>
      </c>
      <c r="DO383" s="16" t="s">
        <v>95</v>
      </c>
      <c r="DP383" s="136" t="s">
        <v>691</v>
      </c>
    </row>
    <row r="384" spans="2:120" s="1" customFormat="1" ht="48.75" x14ac:dyDescent="0.2">
      <c r="B384" s="31"/>
      <c r="D384" s="138" t="s">
        <v>289</v>
      </c>
      <c r="F384" s="139" t="s">
        <v>692</v>
      </c>
      <c r="I384" s="140"/>
      <c r="L384" s="31"/>
      <c r="N384" s="213"/>
      <c r="O384" s="214"/>
      <c r="Q384" s="229"/>
      <c r="BP384" s="141"/>
      <c r="BW384" s="50"/>
      <c r="CW384" s="16" t="s">
        <v>289</v>
      </c>
      <c r="CX384" s="16" t="s">
        <v>83</v>
      </c>
    </row>
    <row r="385" spans="2:120" s="1" customFormat="1" ht="19.5" x14ac:dyDescent="0.2">
      <c r="B385" s="31"/>
      <c r="D385" s="138" t="s">
        <v>299</v>
      </c>
      <c r="F385" s="142" t="s">
        <v>693</v>
      </c>
      <c r="I385" s="140"/>
      <c r="L385" s="31"/>
      <c r="N385" s="213"/>
      <c r="O385" s="214"/>
      <c r="Q385" s="229"/>
      <c r="BP385" s="141"/>
      <c r="BW385" s="50"/>
      <c r="CW385" s="16" t="s">
        <v>299</v>
      </c>
      <c r="CX385" s="16" t="s">
        <v>83</v>
      </c>
    </row>
    <row r="386" spans="2:120" s="11" customFormat="1" x14ac:dyDescent="0.2">
      <c r="B386" s="143"/>
      <c r="D386" s="138" t="s">
        <v>301</v>
      </c>
      <c r="E386" s="144" t="s">
        <v>1</v>
      </c>
      <c r="F386" s="145" t="s">
        <v>694</v>
      </c>
      <c r="H386" s="144" t="s">
        <v>1</v>
      </c>
      <c r="I386" s="146"/>
      <c r="L386" s="143"/>
      <c r="N386" s="215"/>
      <c r="O386" s="216"/>
      <c r="Q386" s="230"/>
      <c r="BP386" s="147"/>
      <c r="BW386" s="148"/>
      <c r="CW386" s="144" t="s">
        <v>301</v>
      </c>
      <c r="CX386" s="144" t="s">
        <v>83</v>
      </c>
      <c r="CY386" s="11" t="s">
        <v>81</v>
      </c>
      <c r="CZ386" s="11" t="s">
        <v>32</v>
      </c>
      <c r="DA386" s="11" t="s">
        <v>74</v>
      </c>
      <c r="DB386" s="144" t="s">
        <v>282</v>
      </c>
    </row>
    <row r="387" spans="2:120" s="12" customFormat="1" x14ac:dyDescent="0.2">
      <c r="B387" s="149"/>
      <c r="D387" s="138" t="s">
        <v>301</v>
      </c>
      <c r="E387" s="150" t="s">
        <v>1</v>
      </c>
      <c r="F387" s="151" t="s">
        <v>90</v>
      </c>
      <c r="H387" s="152">
        <v>3</v>
      </c>
      <c r="I387" s="153"/>
      <c r="L387" s="149"/>
      <c r="N387" s="217"/>
      <c r="O387" s="218"/>
      <c r="Q387" s="231"/>
      <c r="BP387" s="154"/>
      <c r="BW387" s="155"/>
      <c r="CW387" s="150" t="s">
        <v>301</v>
      </c>
      <c r="CX387" s="150" t="s">
        <v>83</v>
      </c>
      <c r="CY387" s="12" t="s">
        <v>83</v>
      </c>
      <c r="CZ387" s="12" t="s">
        <v>32</v>
      </c>
      <c r="DA387" s="12" t="s">
        <v>81</v>
      </c>
      <c r="DB387" s="150" t="s">
        <v>282</v>
      </c>
    </row>
    <row r="388" spans="2:120" s="10" customFormat="1" ht="22.9" customHeight="1" x14ac:dyDescent="0.2">
      <c r="B388" s="112"/>
      <c r="D388" s="113" t="s">
        <v>73</v>
      </c>
      <c r="E388" s="122" t="s">
        <v>695</v>
      </c>
      <c r="F388" s="122" t="s">
        <v>696</v>
      </c>
      <c r="I388" s="115"/>
      <c r="J388" s="123">
        <f>DN388</f>
        <v>66020.78</v>
      </c>
      <c r="L388" s="112"/>
      <c r="M388" s="291">
        <f>M389+M394+M400+M402+M406</f>
        <v>0</v>
      </c>
      <c r="N388" s="295"/>
      <c r="O388" s="296">
        <f t="shared" ref="O388:V388" si="10">O389+O394+O400+O402+O406</f>
        <v>990.31000000000006</v>
      </c>
      <c r="P388" s="291"/>
      <c r="Q388" s="298">
        <f t="shared" si="10"/>
        <v>65030.47</v>
      </c>
      <c r="R388" s="291"/>
      <c r="S388" s="291"/>
      <c r="T388" s="291">
        <f t="shared" si="10"/>
        <v>0</v>
      </c>
      <c r="U388" s="291"/>
      <c r="V388" s="291">
        <f t="shared" si="10"/>
        <v>66020.78</v>
      </c>
      <c r="BP388" s="117"/>
      <c r="BS388" s="118">
        <f>SUM(BS389:BS408)</f>
        <v>0</v>
      </c>
      <c r="BU388" s="118">
        <f>SUM(BU389:BU408)</f>
        <v>0</v>
      </c>
      <c r="BW388" s="119">
        <f>SUM(BW389:BW408)</f>
        <v>0</v>
      </c>
      <c r="CU388" s="113" t="s">
        <v>81</v>
      </c>
      <c r="CW388" s="120" t="s">
        <v>73</v>
      </c>
      <c r="CX388" s="120" t="s">
        <v>81</v>
      </c>
      <c r="DB388" s="113" t="s">
        <v>282</v>
      </c>
      <c r="DN388" s="121">
        <f>SUM(DN389:DN408)</f>
        <v>66020.78</v>
      </c>
    </row>
    <row r="389" spans="2:120" s="1" customFormat="1" ht="14.45" customHeight="1" x14ac:dyDescent="0.2">
      <c r="B389" s="124"/>
      <c r="C389" s="125" t="s">
        <v>660</v>
      </c>
      <c r="D389" s="125" t="s">
        <v>284</v>
      </c>
      <c r="E389" s="126" t="s">
        <v>698</v>
      </c>
      <c r="F389" s="127" t="s">
        <v>699</v>
      </c>
      <c r="G389" s="128" t="s">
        <v>418</v>
      </c>
      <c r="H389" s="129">
        <v>167.43600000000001</v>
      </c>
      <c r="I389" s="130">
        <v>40.477390926043419</v>
      </c>
      <c r="J389" s="131">
        <f>ROUND(I389*H389,2)</f>
        <v>6777.37</v>
      </c>
      <c r="K389" s="127" t="s">
        <v>293</v>
      </c>
      <c r="L389" s="268">
        <f>S389</f>
        <v>0</v>
      </c>
      <c r="M389" s="272">
        <f>ROUND(L389*I389,2)</f>
        <v>0</v>
      </c>
      <c r="N389" s="243">
        <f>N393</f>
        <v>2.511540000000025</v>
      </c>
      <c r="O389" s="294">
        <f>ROUND(N389*I389,2)</f>
        <v>101.66</v>
      </c>
      <c r="P389" s="273">
        <f>H389-L389-N389</f>
        <v>164.92445999999998</v>
      </c>
      <c r="Q389" s="287">
        <f>ROUND(P389*I389,2)</f>
        <v>6675.71</v>
      </c>
      <c r="R389" s="137"/>
      <c r="S389" s="269">
        <f>W389+Y389+AA389+AC389+AE389+AG389+AI389+AK389+AM389</f>
        <v>0</v>
      </c>
      <c r="T389" s="269">
        <f>ROUND(S389*I389,2)</f>
        <v>0</v>
      </c>
      <c r="U389" s="269">
        <f>H389-S389</f>
        <v>167.43600000000001</v>
      </c>
      <c r="V389" s="269">
        <f>ROUND(U389*I389,2)</f>
        <v>6777.37</v>
      </c>
      <c r="W389" s="269"/>
      <c r="X389" s="269"/>
      <c r="Y389" s="269"/>
      <c r="Z389" s="269"/>
      <c r="AA389" s="269"/>
      <c r="AB389" s="269"/>
      <c r="AC389" s="269"/>
      <c r="AD389" s="269"/>
      <c r="AE389" s="269"/>
      <c r="AF389" s="269"/>
      <c r="AG389" s="269"/>
      <c r="AH389" s="269"/>
      <c r="AI389" s="269"/>
      <c r="AJ389" s="269"/>
      <c r="AK389" s="269"/>
      <c r="AL389" s="269"/>
      <c r="AM389" s="269"/>
      <c r="AN389" s="269"/>
      <c r="BP389" s="132" t="s">
        <v>1</v>
      </c>
      <c r="BQ389" s="133" t="s">
        <v>40</v>
      </c>
      <c r="BS389" s="134">
        <f>BR389*H389</f>
        <v>0</v>
      </c>
      <c r="BT389" s="134">
        <v>0</v>
      </c>
      <c r="BU389" s="134">
        <f>BT389*H389</f>
        <v>0</v>
      </c>
      <c r="BV389" s="134">
        <v>0</v>
      </c>
      <c r="BW389" s="135">
        <f>BV389*H389</f>
        <v>0</v>
      </c>
      <c r="CU389" s="136" t="s">
        <v>95</v>
      </c>
      <c r="CW389" s="136" t="s">
        <v>284</v>
      </c>
      <c r="CX389" s="136" t="s">
        <v>83</v>
      </c>
      <c r="DB389" s="16" t="s">
        <v>282</v>
      </c>
      <c r="DH389" s="137">
        <f>IF(BQ389="základní",J389,0)</f>
        <v>6777.37</v>
      </c>
      <c r="DI389" s="137">
        <f>IF(BQ389="snížená",J389,0)</f>
        <v>0</v>
      </c>
      <c r="DJ389" s="137">
        <f>IF(BQ389="zákl. přenesená",J389,0)</f>
        <v>0</v>
      </c>
      <c r="DK389" s="137">
        <f>IF(BQ389="sníž. přenesená",J389,0)</f>
        <v>0</v>
      </c>
      <c r="DL389" s="137">
        <f>IF(BQ389="nulová",J389,0)</f>
        <v>0</v>
      </c>
      <c r="DM389" s="16" t="s">
        <v>81</v>
      </c>
      <c r="DN389" s="137">
        <f>ROUND(I389*H389,2)</f>
        <v>6777.37</v>
      </c>
      <c r="DO389" s="16" t="s">
        <v>95</v>
      </c>
      <c r="DP389" s="136" t="s">
        <v>700</v>
      </c>
    </row>
    <row r="390" spans="2:120" s="1" customFormat="1" ht="19.5" x14ac:dyDescent="0.2">
      <c r="B390" s="31"/>
      <c r="D390" s="138" t="s">
        <v>289</v>
      </c>
      <c r="F390" s="139" t="s">
        <v>701</v>
      </c>
      <c r="I390" s="140"/>
      <c r="L390" s="31"/>
      <c r="N390" s="213"/>
      <c r="O390" s="214"/>
      <c r="Q390" s="229"/>
      <c r="BP390" s="141"/>
      <c r="BW390" s="50"/>
      <c r="CW390" s="16" t="s">
        <v>289</v>
      </c>
      <c r="CX390" s="16" t="s">
        <v>83</v>
      </c>
    </row>
    <row r="391" spans="2:120" s="12" customFormat="1" x14ac:dyDescent="0.2">
      <c r="B391" s="149"/>
      <c r="D391" s="138" t="s">
        <v>301</v>
      </c>
      <c r="E391" s="150" t="s">
        <v>1</v>
      </c>
      <c r="F391" s="151" t="s">
        <v>799</v>
      </c>
      <c r="H391" s="152">
        <v>115.264</v>
      </c>
      <c r="I391" s="153"/>
      <c r="L391" s="149"/>
      <c r="N391" s="217">
        <f>1.015*167.436</f>
        <v>169.94754</v>
      </c>
      <c r="O391" s="218" t="s">
        <v>3853</v>
      </c>
      <c r="Q391" s="231"/>
      <c r="BP391" s="154"/>
      <c r="BW391" s="155"/>
      <c r="CW391" s="150" t="s">
        <v>301</v>
      </c>
      <c r="CX391" s="150" t="s">
        <v>83</v>
      </c>
      <c r="CY391" s="12" t="s">
        <v>83</v>
      </c>
      <c r="CZ391" s="12" t="s">
        <v>32</v>
      </c>
      <c r="DA391" s="12" t="s">
        <v>74</v>
      </c>
      <c r="DB391" s="150" t="s">
        <v>282</v>
      </c>
    </row>
    <row r="392" spans="2:120" s="12" customFormat="1" x14ac:dyDescent="0.2">
      <c r="B392" s="149"/>
      <c r="D392" s="138" t="s">
        <v>301</v>
      </c>
      <c r="E392" s="150" t="s">
        <v>1</v>
      </c>
      <c r="F392" s="151" t="s">
        <v>800</v>
      </c>
      <c r="H392" s="152">
        <v>52.171999999999997</v>
      </c>
      <c r="I392" s="153"/>
      <c r="L392" s="149"/>
      <c r="N392" s="217"/>
      <c r="O392" s="218"/>
      <c r="Q392" s="231"/>
      <c r="BP392" s="154"/>
      <c r="BW392" s="155"/>
      <c r="CW392" s="150" t="s">
        <v>301</v>
      </c>
      <c r="CX392" s="150" t="s">
        <v>83</v>
      </c>
      <c r="CY392" s="12" t="s">
        <v>83</v>
      </c>
      <c r="CZ392" s="12" t="s">
        <v>32</v>
      </c>
      <c r="DA392" s="12" t="s">
        <v>74</v>
      </c>
      <c r="DB392" s="150" t="s">
        <v>282</v>
      </c>
    </row>
    <row r="393" spans="2:120" s="13" customFormat="1" x14ac:dyDescent="0.2">
      <c r="B393" s="156"/>
      <c r="D393" s="138" t="s">
        <v>301</v>
      </c>
      <c r="E393" s="157" t="s">
        <v>1</v>
      </c>
      <c r="F393" s="158" t="s">
        <v>305</v>
      </c>
      <c r="H393" s="159">
        <v>167.43599999999998</v>
      </c>
      <c r="I393" s="160"/>
      <c r="L393" s="156"/>
      <c r="N393" s="311">
        <f>N391-H393</f>
        <v>2.511540000000025</v>
      </c>
      <c r="O393" s="220"/>
      <c r="Q393" s="232"/>
      <c r="BP393" s="161"/>
      <c r="BW393" s="162"/>
      <c r="CW393" s="157" t="s">
        <v>301</v>
      </c>
      <c r="CX393" s="157" t="s">
        <v>83</v>
      </c>
      <c r="CY393" s="13" t="s">
        <v>95</v>
      </c>
      <c r="CZ393" s="13" t="s">
        <v>32</v>
      </c>
      <c r="DA393" s="13" t="s">
        <v>81</v>
      </c>
      <c r="DB393" s="157" t="s">
        <v>282</v>
      </c>
    </row>
    <row r="394" spans="2:120" s="1" customFormat="1" ht="24.2" customHeight="1" x14ac:dyDescent="0.2">
      <c r="B394" s="124"/>
      <c r="C394" s="125" t="s">
        <v>666</v>
      </c>
      <c r="D394" s="125" t="s">
        <v>284</v>
      </c>
      <c r="E394" s="126" t="s">
        <v>705</v>
      </c>
      <c r="F394" s="127" t="s">
        <v>706</v>
      </c>
      <c r="G394" s="128" t="s">
        <v>418</v>
      </c>
      <c r="H394" s="129">
        <v>2344.1039999999998</v>
      </c>
      <c r="I394" s="130">
        <v>3.1192340975392101</v>
      </c>
      <c r="J394" s="131">
        <f>ROUND(I394*H394,2)</f>
        <v>7311.81</v>
      </c>
      <c r="K394" s="127" t="s">
        <v>293</v>
      </c>
      <c r="L394" s="268">
        <f>S394</f>
        <v>0</v>
      </c>
      <c r="M394" s="272">
        <f>ROUND(L394*I394,2)</f>
        <v>0</v>
      </c>
      <c r="N394" s="243">
        <f>N399</f>
        <v>35.161559999999554</v>
      </c>
      <c r="O394" s="294">
        <f>ROUND(N394*I394,2)</f>
        <v>109.68</v>
      </c>
      <c r="P394" s="273">
        <f>H394-L394-N394</f>
        <v>2308.9424400000003</v>
      </c>
      <c r="Q394" s="287">
        <f>ROUND(P394*I394,2)</f>
        <v>7202.13</v>
      </c>
      <c r="R394" s="137"/>
      <c r="S394" s="269">
        <f>W394+Y394+AA394+AC394+AE394+AG394+AI394+AK394+AM394</f>
        <v>0</v>
      </c>
      <c r="T394" s="269">
        <f>ROUND(S394*I394,2)</f>
        <v>0</v>
      </c>
      <c r="U394" s="269">
        <f>H394-S394</f>
        <v>2344.1039999999998</v>
      </c>
      <c r="V394" s="269">
        <f>ROUND(U394*I394,2)</f>
        <v>7311.81</v>
      </c>
      <c r="W394" s="269"/>
      <c r="X394" s="269"/>
      <c r="Y394" s="269"/>
      <c r="Z394" s="269"/>
      <c r="AA394" s="269"/>
      <c r="AB394" s="269"/>
      <c r="AC394" s="269"/>
      <c r="AD394" s="269"/>
      <c r="AE394" s="269"/>
      <c r="AF394" s="269"/>
      <c r="AG394" s="269"/>
      <c r="AH394" s="269"/>
      <c r="AI394" s="269"/>
      <c r="AJ394" s="269"/>
      <c r="AK394" s="269"/>
      <c r="AL394" s="269"/>
      <c r="AM394" s="269"/>
      <c r="AN394" s="269"/>
      <c r="BP394" s="132" t="s">
        <v>1</v>
      </c>
      <c r="BQ394" s="133" t="s">
        <v>40</v>
      </c>
      <c r="BS394" s="134">
        <f>BR394*H394</f>
        <v>0</v>
      </c>
      <c r="BT394" s="134">
        <v>0</v>
      </c>
      <c r="BU394" s="134">
        <f>BT394*H394</f>
        <v>0</v>
      </c>
      <c r="BV394" s="134">
        <v>0</v>
      </c>
      <c r="BW394" s="135">
        <f>BV394*H394</f>
        <v>0</v>
      </c>
      <c r="CU394" s="136" t="s">
        <v>95</v>
      </c>
      <c r="CW394" s="136" t="s">
        <v>284</v>
      </c>
      <c r="CX394" s="136" t="s">
        <v>83</v>
      </c>
      <c r="DB394" s="16" t="s">
        <v>282</v>
      </c>
      <c r="DH394" s="137">
        <f>IF(BQ394="základní",J394,0)</f>
        <v>7311.81</v>
      </c>
      <c r="DI394" s="137">
        <f>IF(BQ394="snížená",J394,0)</f>
        <v>0</v>
      </c>
      <c r="DJ394" s="137">
        <f>IF(BQ394="zákl. přenesená",J394,0)</f>
        <v>0</v>
      </c>
      <c r="DK394" s="137">
        <f>IF(BQ394="sníž. přenesená",J394,0)</f>
        <v>0</v>
      </c>
      <c r="DL394" s="137">
        <f>IF(BQ394="nulová",J394,0)</f>
        <v>0</v>
      </c>
      <c r="DM394" s="16" t="s">
        <v>81</v>
      </c>
      <c r="DN394" s="137">
        <f>ROUND(I394*H394,2)</f>
        <v>7311.81</v>
      </c>
      <c r="DO394" s="16" t="s">
        <v>95</v>
      </c>
      <c r="DP394" s="136" t="s">
        <v>707</v>
      </c>
    </row>
    <row r="395" spans="2:120" s="1" customFormat="1" ht="29.25" x14ac:dyDescent="0.2">
      <c r="B395" s="31"/>
      <c r="D395" s="138" t="s">
        <v>289</v>
      </c>
      <c r="F395" s="139" t="s">
        <v>708</v>
      </c>
      <c r="I395" s="140"/>
      <c r="L395" s="31"/>
      <c r="N395" s="213"/>
      <c r="O395" s="214"/>
      <c r="Q395" s="229"/>
      <c r="BP395" s="141"/>
      <c r="BW395" s="50"/>
      <c r="CW395" s="16" t="s">
        <v>289</v>
      </c>
      <c r="CX395" s="16" t="s">
        <v>83</v>
      </c>
    </row>
    <row r="396" spans="2:120" s="12" customFormat="1" x14ac:dyDescent="0.2">
      <c r="B396" s="149"/>
      <c r="D396" s="138" t="s">
        <v>301</v>
      </c>
      <c r="E396" s="150" t="s">
        <v>1</v>
      </c>
      <c r="F396" s="151" t="s">
        <v>799</v>
      </c>
      <c r="H396" s="152">
        <v>115.264</v>
      </c>
      <c r="I396" s="153"/>
      <c r="L396" s="149"/>
      <c r="N396" s="217"/>
      <c r="O396" s="218"/>
      <c r="Q396" s="231"/>
      <c r="BP396" s="154"/>
      <c r="BW396" s="155"/>
      <c r="CW396" s="150" t="s">
        <v>301</v>
      </c>
      <c r="CX396" s="150" t="s">
        <v>83</v>
      </c>
      <c r="CY396" s="12" t="s">
        <v>83</v>
      </c>
      <c r="CZ396" s="12" t="s">
        <v>32</v>
      </c>
      <c r="DA396" s="12" t="s">
        <v>74</v>
      </c>
      <c r="DB396" s="150" t="s">
        <v>282</v>
      </c>
    </row>
    <row r="397" spans="2:120" s="12" customFormat="1" x14ac:dyDescent="0.2">
      <c r="B397" s="149"/>
      <c r="D397" s="138" t="s">
        <v>301</v>
      </c>
      <c r="E397" s="150" t="s">
        <v>1</v>
      </c>
      <c r="F397" s="151" t="s">
        <v>800</v>
      </c>
      <c r="H397" s="152">
        <v>52.171999999999997</v>
      </c>
      <c r="I397" s="153"/>
      <c r="L397" s="149"/>
      <c r="N397" s="217"/>
      <c r="O397" s="218"/>
      <c r="Q397" s="231"/>
      <c r="BP397" s="154"/>
      <c r="BW397" s="155"/>
      <c r="CW397" s="150" t="s">
        <v>301</v>
      </c>
      <c r="CX397" s="150" t="s">
        <v>83</v>
      </c>
      <c r="CY397" s="12" t="s">
        <v>83</v>
      </c>
      <c r="CZ397" s="12" t="s">
        <v>32</v>
      </c>
      <c r="DA397" s="12" t="s">
        <v>74</v>
      </c>
      <c r="DB397" s="150" t="s">
        <v>282</v>
      </c>
    </row>
    <row r="398" spans="2:120" s="13" customFormat="1" x14ac:dyDescent="0.2">
      <c r="B398" s="156"/>
      <c r="D398" s="138" t="s">
        <v>301</v>
      </c>
      <c r="E398" s="157" t="s">
        <v>1</v>
      </c>
      <c r="F398" s="158" t="s">
        <v>305</v>
      </c>
      <c r="H398" s="159">
        <v>167.43599999999998</v>
      </c>
      <c r="I398" s="160"/>
      <c r="L398" s="156"/>
      <c r="N398" s="219">
        <f>1.015*2344.104</f>
        <v>2379.2655599999994</v>
      </c>
      <c r="O398" s="220" t="s">
        <v>3854</v>
      </c>
      <c r="Q398" s="232"/>
      <c r="BP398" s="161"/>
      <c r="BW398" s="162"/>
      <c r="CW398" s="157" t="s">
        <v>301</v>
      </c>
      <c r="CX398" s="157" t="s">
        <v>83</v>
      </c>
      <c r="CY398" s="13" t="s">
        <v>95</v>
      </c>
      <c r="CZ398" s="13" t="s">
        <v>32</v>
      </c>
      <c r="DA398" s="13" t="s">
        <v>81</v>
      </c>
      <c r="DB398" s="157" t="s">
        <v>282</v>
      </c>
    </row>
    <row r="399" spans="2:120" s="12" customFormat="1" x14ac:dyDescent="0.2">
      <c r="B399" s="149"/>
      <c r="D399" s="138" t="s">
        <v>301</v>
      </c>
      <c r="F399" s="151" t="s">
        <v>801</v>
      </c>
      <c r="H399" s="152">
        <v>2344.1039999999998</v>
      </c>
      <c r="I399" s="153"/>
      <c r="L399" s="149"/>
      <c r="N399" s="310">
        <f>N398-H399</f>
        <v>35.161559999999554</v>
      </c>
      <c r="O399" s="218"/>
      <c r="Q399" s="231"/>
      <c r="BP399" s="154"/>
      <c r="BW399" s="155"/>
      <c r="CW399" s="150" t="s">
        <v>301</v>
      </c>
      <c r="CX399" s="150" t="s">
        <v>83</v>
      </c>
      <c r="CY399" s="12" t="s">
        <v>83</v>
      </c>
      <c r="CZ399" s="12" t="s">
        <v>3</v>
      </c>
      <c r="DA399" s="12" t="s">
        <v>81</v>
      </c>
      <c r="DB399" s="150" t="s">
        <v>282</v>
      </c>
    </row>
    <row r="400" spans="2:120" s="1" customFormat="1" ht="24.2" customHeight="1" x14ac:dyDescent="0.2">
      <c r="B400" s="124"/>
      <c r="C400" s="125" t="s">
        <v>670</v>
      </c>
      <c r="D400" s="125" t="s">
        <v>284</v>
      </c>
      <c r="E400" s="126" t="s">
        <v>711</v>
      </c>
      <c r="F400" s="127" t="s">
        <v>712</v>
      </c>
      <c r="G400" s="128" t="s">
        <v>418</v>
      </c>
      <c r="H400" s="129">
        <v>167.43600000000001</v>
      </c>
      <c r="I400" s="130">
        <v>155.98322812074767</v>
      </c>
      <c r="J400" s="131">
        <f>ROUND(I400*H400,2)</f>
        <v>26117.21</v>
      </c>
      <c r="K400" s="127" t="s">
        <v>293</v>
      </c>
      <c r="L400" s="268">
        <f>S400</f>
        <v>0</v>
      </c>
      <c r="M400" s="272">
        <f>ROUND(L400*I400,2)</f>
        <v>0</v>
      </c>
      <c r="N400" s="243">
        <f>N389</f>
        <v>2.511540000000025</v>
      </c>
      <c r="O400" s="294">
        <f>ROUND(N400*I400,2)</f>
        <v>391.76</v>
      </c>
      <c r="P400" s="273">
        <f>H400-L400-N400</f>
        <v>164.92445999999998</v>
      </c>
      <c r="Q400" s="287">
        <f>ROUND(P400*I400,2)</f>
        <v>25725.45</v>
      </c>
      <c r="R400" s="137"/>
      <c r="S400" s="269">
        <f>W400+Y400+AA400+AC400+AE400+AG400+AI400+AK400+AM400</f>
        <v>0</v>
      </c>
      <c r="T400" s="269">
        <f>ROUND(S400*I400,2)</f>
        <v>0</v>
      </c>
      <c r="U400" s="269">
        <f>H400-S400</f>
        <v>167.43600000000001</v>
      </c>
      <c r="V400" s="269">
        <f>ROUND(U400*I400,2)</f>
        <v>26117.21</v>
      </c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AG400" s="269"/>
      <c r="AH400" s="269"/>
      <c r="AI400" s="269"/>
      <c r="AJ400" s="269"/>
      <c r="AK400" s="269"/>
      <c r="AL400" s="269"/>
      <c r="AM400" s="269"/>
      <c r="AN400" s="269"/>
      <c r="BP400" s="132" t="s">
        <v>1</v>
      </c>
      <c r="BQ400" s="133" t="s">
        <v>40</v>
      </c>
      <c r="BS400" s="134">
        <f>BR400*H400</f>
        <v>0</v>
      </c>
      <c r="BT400" s="134">
        <v>0</v>
      </c>
      <c r="BU400" s="134">
        <f>BT400*H400</f>
        <v>0</v>
      </c>
      <c r="BV400" s="134">
        <v>0</v>
      </c>
      <c r="BW400" s="135">
        <f>BV400*H400</f>
        <v>0</v>
      </c>
      <c r="CU400" s="136" t="s">
        <v>95</v>
      </c>
      <c r="CW400" s="136" t="s">
        <v>284</v>
      </c>
      <c r="CX400" s="136" t="s">
        <v>83</v>
      </c>
      <c r="DB400" s="16" t="s">
        <v>282</v>
      </c>
      <c r="DH400" s="137">
        <f>IF(BQ400="základní",J400,0)</f>
        <v>26117.21</v>
      </c>
      <c r="DI400" s="137">
        <f>IF(BQ400="snížená",J400,0)</f>
        <v>0</v>
      </c>
      <c r="DJ400" s="137">
        <f>IF(BQ400="zákl. přenesená",J400,0)</f>
        <v>0</v>
      </c>
      <c r="DK400" s="137">
        <f>IF(BQ400="sníž. přenesená",J400,0)</f>
        <v>0</v>
      </c>
      <c r="DL400" s="137">
        <f>IF(BQ400="nulová",J400,0)</f>
        <v>0</v>
      </c>
      <c r="DM400" s="16" t="s">
        <v>81</v>
      </c>
      <c r="DN400" s="137">
        <f>ROUND(I400*H400,2)</f>
        <v>26117.21</v>
      </c>
      <c r="DO400" s="16" t="s">
        <v>95</v>
      </c>
      <c r="DP400" s="136" t="s">
        <v>713</v>
      </c>
    </row>
    <row r="401" spans="2:120" s="1" customFormat="1" x14ac:dyDescent="0.2">
      <c r="B401" s="31"/>
      <c r="D401" s="138" t="s">
        <v>289</v>
      </c>
      <c r="F401" s="139" t="s">
        <v>714</v>
      </c>
      <c r="I401" s="140"/>
      <c r="L401" s="31"/>
      <c r="N401" s="213"/>
      <c r="O401" s="214"/>
      <c r="Q401" s="229"/>
      <c r="BP401" s="141"/>
      <c r="BW401" s="50"/>
      <c r="CW401" s="16" t="s">
        <v>289</v>
      </c>
      <c r="CX401" s="16" t="s">
        <v>83</v>
      </c>
    </row>
    <row r="402" spans="2:120" s="1" customFormat="1" ht="37.9" customHeight="1" x14ac:dyDescent="0.2">
      <c r="B402" s="124"/>
      <c r="C402" s="125" t="s">
        <v>675</v>
      </c>
      <c r="D402" s="125" t="s">
        <v>284</v>
      </c>
      <c r="E402" s="126" t="s">
        <v>716</v>
      </c>
      <c r="F402" s="127" t="s">
        <v>420</v>
      </c>
      <c r="G402" s="128" t="s">
        <v>418</v>
      </c>
      <c r="H402" s="129">
        <v>115.264</v>
      </c>
      <c r="I402" s="130">
        <v>110.6455721</v>
      </c>
      <c r="J402" s="131">
        <f>ROUND(I402*H402,2)</f>
        <v>12753.45</v>
      </c>
      <c r="K402" s="127" t="s">
        <v>293</v>
      </c>
      <c r="L402" s="268">
        <f>S402</f>
        <v>0</v>
      </c>
      <c r="M402" s="272">
        <f>ROUND(L402*I402,2)</f>
        <v>0</v>
      </c>
      <c r="N402" s="243">
        <f>N405</f>
        <v>1.7289599999999865</v>
      </c>
      <c r="O402" s="294">
        <f>ROUND(N402*I402,2)</f>
        <v>191.3</v>
      </c>
      <c r="P402" s="273">
        <f>H402-L402-N402</f>
        <v>113.53504000000001</v>
      </c>
      <c r="Q402" s="287">
        <f>ROUND(P402*I402,2)</f>
        <v>12562.15</v>
      </c>
      <c r="R402" s="137"/>
      <c r="S402" s="269">
        <f>W402+Y402+AA402+AC402+AE402+AG402+AI402+AK402+AM402</f>
        <v>0</v>
      </c>
      <c r="T402" s="269">
        <f>ROUND(S402*I402,2)</f>
        <v>0</v>
      </c>
      <c r="U402" s="269">
        <f>H402-S402</f>
        <v>115.264</v>
      </c>
      <c r="V402" s="269">
        <f>ROUND(U402*I402,2)</f>
        <v>12753.45</v>
      </c>
      <c r="W402" s="269"/>
      <c r="X402" s="269"/>
      <c r="Y402" s="269"/>
      <c r="Z402" s="269"/>
      <c r="AA402" s="269"/>
      <c r="AB402" s="269"/>
      <c r="AC402" s="269"/>
      <c r="AD402" s="269"/>
      <c r="AE402" s="269"/>
      <c r="AF402" s="269"/>
      <c r="AG402" s="269"/>
      <c r="AH402" s="269"/>
      <c r="AI402" s="269"/>
      <c r="AJ402" s="269"/>
      <c r="AK402" s="269"/>
      <c r="AL402" s="269"/>
      <c r="AM402" s="269"/>
      <c r="AN402" s="269"/>
      <c r="BP402" s="132" t="s">
        <v>1</v>
      </c>
      <c r="BQ402" s="133" t="s">
        <v>40</v>
      </c>
      <c r="BS402" s="134">
        <f>BR402*H402</f>
        <v>0</v>
      </c>
      <c r="BT402" s="134">
        <v>0</v>
      </c>
      <c r="BU402" s="134">
        <f>BT402*H402</f>
        <v>0</v>
      </c>
      <c r="BV402" s="134">
        <v>0</v>
      </c>
      <c r="BW402" s="135">
        <f>BV402*H402</f>
        <v>0</v>
      </c>
      <c r="CU402" s="136" t="s">
        <v>95</v>
      </c>
      <c r="CW402" s="136" t="s">
        <v>284</v>
      </c>
      <c r="CX402" s="136" t="s">
        <v>83</v>
      </c>
      <c r="DB402" s="16" t="s">
        <v>282</v>
      </c>
      <c r="DH402" s="137">
        <f>IF(BQ402="základní",J402,0)</f>
        <v>12753.45</v>
      </c>
      <c r="DI402" s="137">
        <f>IF(BQ402="snížená",J402,0)</f>
        <v>0</v>
      </c>
      <c r="DJ402" s="137">
        <f>IF(BQ402="zákl. přenesená",J402,0)</f>
        <v>0</v>
      </c>
      <c r="DK402" s="137">
        <f>IF(BQ402="sníž. přenesená",J402,0)</f>
        <v>0</v>
      </c>
      <c r="DL402" s="137">
        <f>IF(BQ402="nulová",J402,0)</f>
        <v>0</v>
      </c>
      <c r="DM402" s="16" t="s">
        <v>81</v>
      </c>
      <c r="DN402" s="137">
        <f>ROUND(I402*H402,2)</f>
        <v>12753.45</v>
      </c>
      <c r="DO402" s="16" t="s">
        <v>95</v>
      </c>
      <c r="DP402" s="136" t="s">
        <v>717</v>
      </c>
    </row>
    <row r="403" spans="2:120" s="1" customFormat="1" ht="29.25" x14ac:dyDescent="0.2">
      <c r="B403" s="31"/>
      <c r="D403" s="138" t="s">
        <v>289</v>
      </c>
      <c r="F403" s="139" t="s">
        <v>420</v>
      </c>
      <c r="I403" s="140"/>
      <c r="L403" s="31"/>
      <c r="N403" s="213"/>
      <c r="O403" s="214"/>
      <c r="Q403" s="229"/>
      <c r="BP403" s="141"/>
      <c r="BW403" s="50"/>
      <c r="CW403" s="16" t="s">
        <v>289</v>
      </c>
      <c r="CX403" s="16" t="s">
        <v>83</v>
      </c>
    </row>
    <row r="404" spans="2:120" s="12" customFormat="1" x14ac:dyDescent="0.2">
      <c r="B404" s="149"/>
      <c r="D404" s="138" t="s">
        <v>301</v>
      </c>
      <c r="E404" s="150" t="s">
        <v>1</v>
      </c>
      <c r="F404" s="151" t="s">
        <v>799</v>
      </c>
      <c r="H404" s="152">
        <v>115.264</v>
      </c>
      <c r="I404" s="153"/>
      <c r="L404" s="149"/>
      <c r="N404" s="217">
        <f>1.015*115.264</f>
        <v>116.99295999999998</v>
      </c>
      <c r="O404" s="218" t="s">
        <v>3855</v>
      </c>
      <c r="Q404" s="231"/>
      <c r="BP404" s="154"/>
      <c r="BW404" s="155"/>
      <c r="CW404" s="150" t="s">
        <v>301</v>
      </c>
      <c r="CX404" s="150" t="s">
        <v>83</v>
      </c>
      <c r="CY404" s="12" t="s">
        <v>83</v>
      </c>
      <c r="CZ404" s="12" t="s">
        <v>32</v>
      </c>
      <c r="DA404" s="12" t="s">
        <v>81</v>
      </c>
      <c r="DB404" s="150" t="s">
        <v>282</v>
      </c>
    </row>
    <row r="405" spans="2:120" s="12" customFormat="1" x14ac:dyDescent="0.2">
      <c r="B405" s="149"/>
      <c r="D405" s="138"/>
      <c r="E405" s="150"/>
      <c r="F405" s="151"/>
      <c r="H405" s="152"/>
      <c r="I405" s="153"/>
      <c r="L405" s="149"/>
      <c r="N405" s="310">
        <f>N404-H404</f>
        <v>1.7289599999999865</v>
      </c>
      <c r="O405" s="218"/>
      <c r="Q405" s="231"/>
      <c r="BP405" s="154"/>
      <c r="BW405" s="155"/>
      <c r="CW405" s="150"/>
      <c r="CX405" s="150"/>
      <c r="DB405" s="150"/>
    </row>
    <row r="406" spans="2:120" s="1" customFormat="1" ht="37.9" customHeight="1" x14ac:dyDescent="0.2">
      <c r="B406" s="124"/>
      <c r="C406" s="125" t="s">
        <v>681</v>
      </c>
      <c r="D406" s="125" t="s">
        <v>284</v>
      </c>
      <c r="E406" s="126" t="s">
        <v>719</v>
      </c>
      <c r="F406" s="127" t="s">
        <v>720</v>
      </c>
      <c r="G406" s="128" t="s">
        <v>418</v>
      </c>
      <c r="H406" s="129">
        <v>52.171999999999997</v>
      </c>
      <c r="I406" s="130">
        <v>250.3439285</v>
      </c>
      <c r="J406" s="131">
        <f>ROUND(I406*H406,2)</f>
        <v>13060.94</v>
      </c>
      <c r="K406" s="127" t="s">
        <v>293</v>
      </c>
      <c r="L406" s="268">
        <f>S406</f>
        <v>0</v>
      </c>
      <c r="M406" s="272">
        <f>ROUND(L406*I406,2)</f>
        <v>0</v>
      </c>
      <c r="N406" s="243">
        <f>N409</f>
        <v>0.78257999999999583</v>
      </c>
      <c r="O406" s="294">
        <f>ROUND(N406*I406,2)</f>
        <v>195.91</v>
      </c>
      <c r="P406" s="273">
        <f>H406-L406-N406</f>
        <v>51.389420000000001</v>
      </c>
      <c r="Q406" s="287">
        <f>ROUND(P406*I406,2)</f>
        <v>12865.03</v>
      </c>
      <c r="R406" s="137"/>
      <c r="S406" s="269">
        <f>W406+Y406+AA406+AC406+AE406+AG406+AI406+AK406+AM406</f>
        <v>0</v>
      </c>
      <c r="T406" s="269">
        <f>ROUND(S406*I406,2)</f>
        <v>0</v>
      </c>
      <c r="U406" s="269">
        <f>H406-S406</f>
        <v>52.171999999999997</v>
      </c>
      <c r="V406" s="269">
        <f>ROUND(U406*I406,2)</f>
        <v>13060.94</v>
      </c>
      <c r="W406" s="269"/>
      <c r="X406" s="269"/>
      <c r="Y406" s="269"/>
      <c r="Z406" s="269"/>
      <c r="AA406" s="269"/>
      <c r="AB406" s="269"/>
      <c r="AC406" s="269"/>
      <c r="AD406" s="269"/>
      <c r="AE406" s="269"/>
      <c r="AF406" s="269"/>
      <c r="AG406" s="269"/>
      <c r="AH406" s="269"/>
      <c r="AI406" s="269"/>
      <c r="AJ406" s="269"/>
      <c r="AK406" s="269"/>
      <c r="AL406" s="269"/>
      <c r="AM406" s="269"/>
      <c r="AN406" s="269"/>
      <c r="BP406" s="132" t="s">
        <v>1</v>
      </c>
      <c r="BQ406" s="133" t="s">
        <v>40</v>
      </c>
      <c r="BS406" s="134">
        <f>BR406*H406</f>
        <v>0</v>
      </c>
      <c r="BT406" s="134">
        <v>0</v>
      </c>
      <c r="BU406" s="134">
        <f>BT406*H406</f>
        <v>0</v>
      </c>
      <c r="BV406" s="134">
        <v>0</v>
      </c>
      <c r="BW406" s="135">
        <f>BV406*H406</f>
        <v>0</v>
      </c>
      <c r="CU406" s="136" t="s">
        <v>95</v>
      </c>
      <c r="CW406" s="136" t="s">
        <v>284</v>
      </c>
      <c r="CX406" s="136" t="s">
        <v>83</v>
      </c>
      <c r="DB406" s="16" t="s">
        <v>282</v>
      </c>
      <c r="DH406" s="137">
        <f>IF(BQ406="základní",J406,0)</f>
        <v>13060.94</v>
      </c>
      <c r="DI406" s="137">
        <f>IF(BQ406="snížená",J406,0)</f>
        <v>0</v>
      </c>
      <c r="DJ406" s="137">
        <f>IF(BQ406="zákl. přenesená",J406,0)</f>
        <v>0</v>
      </c>
      <c r="DK406" s="137">
        <f>IF(BQ406="sníž. přenesená",J406,0)</f>
        <v>0</v>
      </c>
      <c r="DL406" s="137">
        <f>IF(BQ406="nulová",J406,0)</f>
        <v>0</v>
      </c>
      <c r="DM406" s="16" t="s">
        <v>81</v>
      </c>
      <c r="DN406" s="137">
        <f>ROUND(I406*H406,2)</f>
        <v>13060.94</v>
      </c>
      <c r="DO406" s="16" t="s">
        <v>95</v>
      </c>
      <c r="DP406" s="136" t="s">
        <v>721</v>
      </c>
    </row>
    <row r="407" spans="2:120" s="1" customFormat="1" ht="29.25" x14ac:dyDescent="0.2">
      <c r="B407" s="31"/>
      <c r="D407" s="138" t="s">
        <v>289</v>
      </c>
      <c r="F407" s="139" t="s">
        <v>720</v>
      </c>
      <c r="I407" s="140"/>
      <c r="L407" s="31"/>
      <c r="N407" s="213"/>
      <c r="O407" s="214"/>
      <c r="Q407" s="229"/>
      <c r="BP407" s="141"/>
      <c r="BW407" s="50"/>
      <c r="CW407" s="16" t="s">
        <v>289</v>
      </c>
      <c r="CX407" s="16" t="s">
        <v>83</v>
      </c>
    </row>
    <row r="408" spans="2:120" s="12" customFormat="1" x14ac:dyDescent="0.2">
      <c r="B408" s="149"/>
      <c r="D408" s="138" t="s">
        <v>301</v>
      </c>
      <c r="E408" s="150" t="s">
        <v>1</v>
      </c>
      <c r="F408" s="151" t="s">
        <v>800</v>
      </c>
      <c r="H408" s="152">
        <v>52.171999999999997</v>
      </c>
      <c r="I408" s="153"/>
      <c r="L408" s="149"/>
      <c r="N408" s="217">
        <f>1.015*52.172</f>
        <v>52.954579999999993</v>
      </c>
      <c r="O408" s="218" t="s">
        <v>3856</v>
      </c>
      <c r="Q408" s="231"/>
      <c r="BP408" s="154"/>
      <c r="BW408" s="155"/>
      <c r="CW408" s="150" t="s">
        <v>301</v>
      </c>
      <c r="CX408" s="150" t="s">
        <v>83</v>
      </c>
      <c r="CY408" s="12" t="s">
        <v>83</v>
      </c>
      <c r="CZ408" s="12" t="s">
        <v>32</v>
      </c>
      <c r="DA408" s="12" t="s">
        <v>81</v>
      </c>
      <c r="DB408" s="150" t="s">
        <v>282</v>
      </c>
    </row>
    <row r="409" spans="2:120" s="12" customFormat="1" x14ac:dyDescent="0.2">
      <c r="B409" s="149"/>
      <c r="D409" s="138"/>
      <c r="E409" s="150"/>
      <c r="F409" s="151"/>
      <c r="H409" s="152"/>
      <c r="I409" s="153"/>
      <c r="L409" s="149"/>
      <c r="N409" s="310">
        <f>N408-H408</f>
        <v>0.78257999999999583</v>
      </c>
      <c r="O409" s="218"/>
      <c r="Q409" s="231"/>
      <c r="BP409" s="154"/>
      <c r="BW409" s="155"/>
      <c r="CW409" s="150"/>
      <c r="CX409" s="150"/>
      <c r="DB409" s="150"/>
    </row>
    <row r="410" spans="2:120" s="10" customFormat="1" ht="22.9" customHeight="1" x14ac:dyDescent="0.2">
      <c r="B410" s="112"/>
      <c r="D410" s="113" t="s">
        <v>73</v>
      </c>
      <c r="E410" s="122" t="s">
        <v>722</v>
      </c>
      <c r="F410" s="122" t="s">
        <v>723</v>
      </c>
      <c r="I410" s="115"/>
      <c r="J410" s="123">
        <f>DN410</f>
        <v>31052.09</v>
      </c>
      <c r="L410" s="112"/>
      <c r="M410" s="291">
        <f>M411</f>
        <v>0</v>
      </c>
      <c r="N410" s="295"/>
      <c r="O410" s="296">
        <f t="shared" ref="O410:V410" si="11">O411</f>
        <v>465.78</v>
      </c>
      <c r="P410" s="291"/>
      <c r="Q410" s="298">
        <f t="shared" si="11"/>
        <v>30586.31</v>
      </c>
      <c r="R410" s="291"/>
      <c r="S410" s="291"/>
      <c r="T410" s="291">
        <f t="shared" si="11"/>
        <v>0</v>
      </c>
      <c r="U410" s="291"/>
      <c r="V410" s="291">
        <f t="shared" si="11"/>
        <v>31052.09</v>
      </c>
      <c r="BP410" s="117"/>
      <c r="BS410" s="118">
        <f>SUM(BS411:BS414)</f>
        <v>0</v>
      </c>
      <c r="BU410" s="118">
        <f>SUM(BU411:BU414)</f>
        <v>0</v>
      </c>
      <c r="BW410" s="119">
        <f>SUM(BW411:BW414)</f>
        <v>0</v>
      </c>
      <c r="CU410" s="113" t="s">
        <v>81</v>
      </c>
      <c r="CW410" s="120" t="s">
        <v>73</v>
      </c>
      <c r="CX410" s="120" t="s">
        <v>81</v>
      </c>
      <c r="DB410" s="113" t="s">
        <v>282</v>
      </c>
      <c r="DN410" s="121">
        <f>SUM(DN411:DN414)</f>
        <v>31052.09</v>
      </c>
    </row>
    <row r="411" spans="2:120" s="1" customFormat="1" ht="24.2" customHeight="1" x14ac:dyDescent="0.2">
      <c r="B411" s="124"/>
      <c r="C411" s="125" t="s">
        <v>688</v>
      </c>
      <c r="D411" s="125" t="s">
        <v>284</v>
      </c>
      <c r="E411" s="126" t="s">
        <v>725</v>
      </c>
      <c r="F411" s="127" t="s">
        <v>726</v>
      </c>
      <c r="G411" s="128" t="s">
        <v>418</v>
      </c>
      <c r="H411" s="129">
        <v>34.32</v>
      </c>
      <c r="I411" s="130">
        <v>904.78117744148574</v>
      </c>
      <c r="J411" s="131">
        <f>ROUND(I411*H411,2)</f>
        <v>31052.09</v>
      </c>
      <c r="K411" s="127" t="s">
        <v>293</v>
      </c>
      <c r="L411" s="268">
        <f>S411</f>
        <v>0</v>
      </c>
      <c r="M411" s="272">
        <f>ROUND(L411*I411,2)</f>
        <v>0</v>
      </c>
      <c r="N411" s="243">
        <f>N413</f>
        <v>0.51479999999999393</v>
      </c>
      <c r="O411" s="294">
        <f>ROUND(N411*I411,2)</f>
        <v>465.78</v>
      </c>
      <c r="P411" s="273">
        <f>H411-L411-N411</f>
        <v>33.805200000000006</v>
      </c>
      <c r="Q411" s="287">
        <f>ROUND(P411*I411,2)</f>
        <v>30586.31</v>
      </c>
      <c r="R411" s="137"/>
      <c r="S411" s="269">
        <f>W411+Y411+AA411+AC411+AE411+AG411+AI411+AK411+AM411</f>
        <v>0</v>
      </c>
      <c r="T411" s="269">
        <f>ROUND(S411*I411,2)</f>
        <v>0</v>
      </c>
      <c r="U411" s="269">
        <f>H411-S411</f>
        <v>34.32</v>
      </c>
      <c r="V411" s="269">
        <f>ROUND(U411*I411,2)</f>
        <v>31052.09</v>
      </c>
      <c r="W411" s="269"/>
      <c r="X411" s="269"/>
      <c r="Y411" s="269"/>
      <c r="Z411" s="269"/>
      <c r="AA411" s="269"/>
      <c r="AB411" s="269"/>
      <c r="AC411" s="269"/>
      <c r="AD411" s="269"/>
      <c r="AE411" s="269"/>
      <c r="AF411" s="269"/>
      <c r="AG411" s="269"/>
      <c r="AH411" s="269"/>
      <c r="AI411" s="269"/>
      <c r="AJ411" s="269"/>
      <c r="AK411" s="269"/>
      <c r="AL411" s="269"/>
      <c r="AM411" s="269"/>
      <c r="AN411" s="269"/>
      <c r="BP411" s="132" t="s">
        <v>1</v>
      </c>
      <c r="BQ411" s="133" t="s">
        <v>40</v>
      </c>
      <c r="BS411" s="134">
        <f>BR411*H411</f>
        <v>0</v>
      </c>
      <c r="BT411" s="134">
        <v>0</v>
      </c>
      <c r="BU411" s="134">
        <f>BT411*H411</f>
        <v>0</v>
      </c>
      <c r="BV411" s="134">
        <v>0</v>
      </c>
      <c r="BW411" s="135">
        <f>BV411*H411</f>
        <v>0</v>
      </c>
      <c r="CU411" s="136" t="s">
        <v>95</v>
      </c>
      <c r="CW411" s="136" t="s">
        <v>284</v>
      </c>
      <c r="CX411" s="136" t="s">
        <v>83</v>
      </c>
      <c r="DB411" s="16" t="s">
        <v>282</v>
      </c>
      <c r="DH411" s="137">
        <f>IF(BQ411="základní",J411,0)</f>
        <v>31052.09</v>
      </c>
      <c r="DI411" s="137">
        <f>IF(BQ411="snížená",J411,0)</f>
        <v>0</v>
      </c>
      <c r="DJ411" s="137">
        <f>IF(BQ411="zákl. přenesená",J411,0)</f>
        <v>0</v>
      </c>
      <c r="DK411" s="137">
        <f>IF(BQ411="sníž. přenesená",J411,0)</f>
        <v>0</v>
      </c>
      <c r="DL411" s="137">
        <f>IF(BQ411="nulová",J411,0)</f>
        <v>0</v>
      </c>
      <c r="DM411" s="16" t="s">
        <v>81</v>
      </c>
      <c r="DN411" s="137">
        <f>ROUND(I411*H411,2)</f>
        <v>31052.09</v>
      </c>
      <c r="DO411" s="16" t="s">
        <v>95</v>
      </c>
      <c r="DP411" s="136" t="s">
        <v>727</v>
      </c>
    </row>
    <row r="412" spans="2:120" s="1" customFormat="1" ht="29.25" x14ac:dyDescent="0.2">
      <c r="B412" s="31"/>
      <c r="D412" s="138" t="s">
        <v>289</v>
      </c>
      <c r="F412" s="139" t="s">
        <v>728</v>
      </c>
      <c r="I412" s="140"/>
      <c r="L412" s="31"/>
      <c r="N412" s="213">
        <f>1.015*34.32</f>
        <v>34.834799999999994</v>
      </c>
      <c r="O412" s="214" t="s">
        <v>3857</v>
      </c>
      <c r="Q412" s="229"/>
      <c r="BP412" s="141"/>
      <c r="BW412" s="50"/>
      <c r="CW412" s="16" t="s">
        <v>289</v>
      </c>
      <c r="CX412" s="16" t="s">
        <v>83</v>
      </c>
    </row>
    <row r="413" spans="2:120" s="11" customFormat="1" x14ac:dyDescent="0.2">
      <c r="B413" s="143"/>
      <c r="D413" s="138" t="s">
        <v>301</v>
      </c>
      <c r="E413" s="144" t="s">
        <v>1</v>
      </c>
      <c r="F413" s="145" t="s">
        <v>729</v>
      </c>
      <c r="H413" s="144" t="s">
        <v>1</v>
      </c>
      <c r="I413" s="146"/>
      <c r="L413" s="143"/>
      <c r="N413" s="319">
        <f>N412-H414</f>
        <v>0.51479999999999393</v>
      </c>
      <c r="O413" s="216"/>
      <c r="Q413" s="230"/>
      <c r="BP413" s="147"/>
      <c r="BW413" s="148"/>
      <c r="CW413" s="144" t="s">
        <v>301</v>
      </c>
      <c r="CX413" s="144" t="s">
        <v>83</v>
      </c>
      <c r="CY413" s="11" t="s">
        <v>81</v>
      </c>
      <c r="CZ413" s="11" t="s">
        <v>32</v>
      </c>
      <c r="DA413" s="11" t="s">
        <v>74</v>
      </c>
      <c r="DB413" s="144" t="s">
        <v>282</v>
      </c>
    </row>
    <row r="414" spans="2:120" s="12" customFormat="1" x14ac:dyDescent="0.2">
      <c r="B414" s="149"/>
      <c r="D414" s="138" t="s">
        <v>301</v>
      </c>
      <c r="E414" s="150" t="s">
        <v>1</v>
      </c>
      <c r="F414" s="151" t="s">
        <v>802</v>
      </c>
      <c r="H414" s="152">
        <v>34.32</v>
      </c>
      <c r="I414" s="153"/>
      <c r="L414" s="149"/>
      <c r="N414" s="217"/>
      <c r="O414" s="218"/>
      <c r="Q414" s="231"/>
      <c r="BP414" s="179"/>
      <c r="BQ414" s="180"/>
      <c r="BR414" s="180"/>
      <c r="BS414" s="180"/>
      <c r="BT414" s="180"/>
      <c r="BU414" s="180"/>
      <c r="BV414" s="180"/>
      <c r="BW414" s="181"/>
      <c r="CW414" s="150" t="s">
        <v>301</v>
      </c>
      <c r="CX414" s="150" t="s">
        <v>83</v>
      </c>
      <c r="CY414" s="12" t="s">
        <v>83</v>
      </c>
      <c r="CZ414" s="12" t="s">
        <v>32</v>
      </c>
      <c r="DA414" s="12" t="s">
        <v>81</v>
      </c>
      <c r="DB414" s="150" t="s">
        <v>282</v>
      </c>
    </row>
    <row r="415" spans="2:120" s="1" customFormat="1" ht="6.95" customHeight="1" thickBot="1" x14ac:dyDescent="0.25">
      <c r="B415" s="43"/>
      <c r="C415" s="44"/>
      <c r="D415" s="44"/>
      <c r="E415" s="44"/>
      <c r="F415" s="44"/>
      <c r="G415" s="44"/>
      <c r="H415" s="44"/>
      <c r="I415" s="44"/>
      <c r="J415" s="44"/>
      <c r="K415" s="44"/>
      <c r="L415" s="235"/>
      <c r="M415" s="237"/>
      <c r="N415" s="239"/>
      <c r="O415" s="240"/>
      <c r="P415" s="238"/>
      <c r="Q415" s="241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</row>
  </sheetData>
  <autoFilter ref="C124:K414"/>
  <mergeCells count="28">
    <mergeCell ref="I123:K123"/>
    <mergeCell ref="E117:H117"/>
    <mergeCell ref="L2:BY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  <mergeCell ref="L124:Q124"/>
    <mergeCell ref="L125:M125"/>
    <mergeCell ref="N125:O125"/>
    <mergeCell ref="P125:Q125"/>
    <mergeCell ref="S125:T125"/>
    <mergeCell ref="W125:X125"/>
    <mergeCell ref="Y125:Z125"/>
    <mergeCell ref="AA125:AB125"/>
    <mergeCell ref="AC125:AD125"/>
    <mergeCell ref="U125:V125"/>
    <mergeCell ref="AE125:AF125"/>
    <mergeCell ref="AG125:AH125"/>
    <mergeCell ref="AI125:AJ125"/>
    <mergeCell ref="AK125:AL125"/>
    <mergeCell ref="AM125:AN12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F401"/>
  <sheetViews>
    <sheetView windowProtection="1" showGridLines="0" topLeftCell="A113" zoomScale="90" zoomScaleNormal="90" workbookViewId="0">
      <selection activeCell="P137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4.33203125" customWidth="1"/>
    <col min="13" max="13" width="14.6640625" customWidth="1"/>
    <col min="14" max="14" width="12.5" customWidth="1"/>
    <col min="15" max="15" width="17" customWidth="1"/>
    <col min="16" max="16" width="12.5" hidden="1" customWidth="1"/>
    <col min="17" max="17" width="16.1640625" hidden="1" customWidth="1"/>
    <col min="18" max="107" width="12.5" customWidth="1"/>
    <col min="108" max="109" width="12.6640625" customWidth="1"/>
    <col min="110" max="110" width="10.83203125" customWidth="1"/>
    <col min="112" max="117" width="14.1640625" customWidth="1"/>
    <col min="118" max="118" width="16.33203125" customWidth="1"/>
    <col min="119" max="119" width="12.33203125" customWidth="1"/>
    <col min="120" max="120" width="16.33203125" customWidth="1"/>
    <col min="121" max="121" width="12.33203125" customWidth="1"/>
    <col min="122" max="122" width="15" customWidth="1"/>
    <col min="123" max="123" width="11" customWidth="1"/>
    <col min="124" max="124" width="15" customWidth="1"/>
    <col min="125" max="125" width="16.33203125" customWidth="1"/>
    <col min="126" max="126" width="11" customWidth="1"/>
    <col min="127" max="127" width="15" customWidth="1"/>
    <col min="128" max="128" width="16.33203125" customWidth="1"/>
    <col min="141" max="162" width="9.33203125" hidden="1"/>
  </cols>
  <sheetData>
    <row r="1" spans="2:143" hidden="1" x14ac:dyDescent="0.2"/>
    <row r="2" spans="2:143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9"/>
      <c r="DG2" s="399"/>
      <c r="DH2" s="399"/>
      <c r="DI2" s="399"/>
      <c r="DJ2" s="399"/>
      <c r="DK2" s="399"/>
      <c r="DL2" s="399"/>
      <c r="DM2" s="399"/>
      <c r="DN2" s="399"/>
      <c r="DO2" s="399"/>
      <c r="EM2" s="16" t="s">
        <v>102</v>
      </c>
    </row>
    <row r="3" spans="2:143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M3" s="16" t="s">
        <v>83</v>
      </c>
    </row>
    <row r="4" spans="2:143" ht="24.95" hidden="1" customHeight="1" x14ac:dyDescent="0.2">
      <c r="B4" s="19"/>
      <c r="D4" s="20" t="s">
        <v>243</v>
      </c>
      <c r="L4" s="19"/>
      <c r="DF4" s="79" t="s">
        <v>10</v>
      </c>
      <c r="EM4" s="16" t="s">
        <v>3</v>
      </c>
    </row>
    <row r="5" spans="2:143" ht="6.95" hidden="1" customHeight="1" x14ac:dyDescent="0.2">
      <c r="B5" s="19"/>
      <c r="L5" s="19"/>
    </row>
    <row r="6" spans="2:143" ht="12" hidden="1" customHeight="1" x14ac:dyDescent="0.2">
      <c r="B6" s="19"/>
      <c r="D6" s="26" t="s">
        <v>16</v>
      </c>
      <c r="L6" s="19"/>
    </row>
    <row r="7" spans="2:143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43" ht="12.75" hidden="1" x14ac:dyDescent="0.2">
      <c r="B8" s="19"/>
      <c r="D8" s="26" t="s">
        <v>244</v>
      </c>
      <c r="L8" s="19"/>
    </row>
    <row r="9" spans="2:143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43" ht="12" hidden="1" customHeight="1" x14ac:dyDescent="0.2">
      <c r="B10" s="19"/>
      <c r="D10" s="26" t="s">
        <v>246</v>
      </c>
      <c r="L10" s="19"/>
    </row>
    <row r="11" spans="2:143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43" s="1" customFormat="1" ht="12" hidden="1" customHeight="1" x14ac:dyDescent="0.2">
      <c r="B12" s="31"/>
      <c r="D12" s="26" t="s">
        <v>248</v>
      </c>
      <c r="L12" s="31"/>
    </row>
    <row r="13" spans="2:143" s="1" customFormat="1" ht="16.5" hidden="1" customHeight="1" x14ac:dyDescent="0.2">
      <c r="B13" s="31"/>
      <c r="E13" s="432" t="s">
        <v>803</v>
      </c>
      <c r="F13" s="433"/>
      <c r="G13" s="433"/>
      <c r="H13" s="433"/>
      <c r="L13" s="31"/>
    </row>
    <row r="14" spans="2:143" s="1" customFormat="1" hidden="1" x14ac:dyDescent="0.2">
      <c r="B14" s="31"/>
      <c r="L14" s="31"/>
    </row>
    <row r="15" spans="2:143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43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877894.11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ROUND((SUM(EX121:EX400)),  2)</f>
        <v>877894.11</v>
      </c>
      <c r="I37" s="84">
        <v>0.21</v>
      </c>
      <c r="J37" s="71">
        <f>ROUND(((SUM(EX121:EX400))*I37),  2)</f>
        <v>184357.76000000001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ROUND((SUM(EY121:EY400)),  2)</f>
        <v>0</v>
      </c>
      <c r="I38" s="84">
        <v>0.15</v>
      </c>
      <c r="J38" s="71">
        <f>ROUND(((SUM(EY121:EY400))*I38),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ROUND((SUM(EZ121:EZ400)),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ROUND((SUM(FA121:FA400)),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ROUND((SUM(FB121:FB400)),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1062251.8700000001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00003 - DSO 01.1c Stoka A2a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44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44" s="1" customFormat="1" ht="10.35" hidden="1" customHeight="1" x14ac:dyDescent="0.2">
      <c r="B98" s="31"/>
      <c r="L98" s="31"/>
    </row>
    <row r="99" spans="2:144" s="1" customFormat="1" ht="22.9" hidden="1" customHeight="1" x14ac:dyDescent="0.2">
      <c r="B99" s="31"/>
      <c r="C99" s="95" t="s">
        <v>256</v>
      </c>
      <c r="J99" s="58">
        <f>J121</f>
        <v>877894.11</v>
      </c>
      <c r="L99" s="31"/>
      <c r="EN99" s="16" t="s">
        <v>257</v>
      </c>
    </row>
    <row r="100" spans="2:144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877894.11</v>
      </c>
      <c r="L100" s="96"/>
    </row>
    <row r="101" spans="2:144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417021.88</v>
      </c>
      <c r="L101" s="100"/>
    </row>
    <row r="102" spans="2:144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J237</f>
        <v>13863.59</v>
      </c>
      <c r="L102" s="100"/>
    </row>
    <row r="103" spans="2:144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J243</f>
        <v>11861.28</v>
      </c>
      <c r="L103" s="100"/>
    </row>
    <row r="104" spans="2:144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J267</f>
        <v>223216.18</v>
      </c>
      <c r="L104" s="100"/>
    </row>
    <row r="105" spans="2:144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J286</f>
        <v>148681.07999999999</v>
      </c>
      <c r="L105" s="100"/>
    </row>
    <row r="106" spans="2:144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J363</f>
        <v>5825.11</v>
      </c>
      <c r="L106" s="100"/>
    </row>
    <row r="107" spans="2:144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J374</f>
        <v>39452.42</v>
      </c>
      <c r="L107" s="100"/>
    </row>
    <row r="108" spans="2:144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J396</f>
        <v>17972.57</v>
      </c>
      <c r="L108" s="100"/>
    </row>
    <row r="109" spans="2:144" s="1" customFormat="1" ht="21.75" hidden="1" customHeight="1" x14ac:dyDescent="0.2">
      <c r="B109" s="31"/>
      <c r="L109" s="31"/>
    </row>
    <row r="110" spans="2:144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44" hidden="1" x14ac:dyDescent="0.2"/>
    <row r="112" spans="2:144" hidden="1" x14ac:dyDescent="0.2"/>
    <row r="114" spans="2:162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62" s="1" customFormat="1" ht="24.95" customHeight="1" x14ac:dyDescent="0.2">
      <c r="B115" s="31"/>
      <c r="C115" s="20" t="s">
        <v>3307</v>
      </c>
      <c r="L115" s="31"/>
    </row>
    <row r="116" spans="2:162" s="1" customFormat="1" ht="6.95" customHeight="1" x14ac:dyDescent="0.2">
      <c r="B116" s="31"/>
      <c r="L116" s="31"/>
    </row>
    <row r="117" spans="2:162" s="1" customFormat="1" ht="40.15" customHeight="1" x14ac:dyDescent="0.2">
      <c r="B117" s="31"/>
      <c r="C117" s="303" t="s">
        <v>3336</v>
      </c>
      <c r="F117" s="24"/>
      <c r="I117" s="26"/>
      <c r="J117" s="29"/>
      <c r="L117" s="31"/>
    </row>
    <row r="118" spans="2:162" s="1" customFormat="1" ht="15.2" customHeight="1" x14ac:dyDescent="0.2">
      <c r="B118" s="31"/>
      <c r="C118" s="26"/>
      <c r="F118" s="24"/>
      <c r="I118" s="26"/>
      <c r="J118" s="29"/>
      <c r="L118" s="31"/>
    </row>
    <row r="119" spans="2:162" s="1" customFormat="1" ht="23.25" customHeight="1" x14ac:dyDescent="0.2">
      <c r="B119" s="31"/>
      <c r="H119" s="430" t="s">
        <v>3305</v>
      </c>
      <c r="I119" s="430"/>
      <c r="J119" s="430"/>
      <c r="K119" s="431"/>
      <c r="L119" s="31"/>
    </row>
    <row r="120" spans="2:162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DF120" s="52" t="s">
        <v>1</v>
      </c>
      <c r="DG120" s="53" t="s">
        <v>39</v>
      </c>
      <c r="DH120" s="53" t="s">
        <v>273</v>
      </c>
      <c r="DI120" s="53" t="s">
        <v>274</v>
      </c>
      <c r="DJ120" s="53" t="s">
        <v>275</v>
      </c>
      <c r="DK120" s="53" t="s">
        <v>276</v>
      </c>
      <c r="DL120" s="53" t="s">
        <v>277</v>
      </c>
      <c r="DM120" s="54" t="s">
        <v>278</v>
      </c>
    </row>
    <row r="121" spans="2:162" s="1" customFormat="1" ht="22.9" customHeight="1" x14ac:dyDescent="0.25">
      <c r="B121" s="31"/>
      <c r="C121" s="57" t="s">
        <v>279</v>
      </c>
      <c r="G121" s="1" t="s">
        <v>3306</v>
      </c>
      <c r="J121" s="108">
        <f>FD121</f>
        <v>877894.11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3314</v>
      </c>
      <c r="X121" s="444"/>
      <c r="Y121" s="444" t="s">
        <v>3315</v>
      </c>
      <c r="Z121" s="444"/>
      <c r="AA121" s="444" t="s">
        <v>3316</v>
      </c>
      <c r="AB121" s="444"/>
      <c r="AC121" s="444" t="s">
        <v>3317</v>
      </c>
      <c r="AD121" s="444"/>
      <c r="AE121" s="444" t="s">
        <v>3318</v>
      </c>
      <c r="AF121" s="444"/>
      <c r="AG121" s="444" t="s">
        <v>3319</v>
      </c>
      <c r="AH121" s="444"/>
      <c r="AI121" s="444" t="s">
        <v>3320</v>
      </c>
      <c r="AJ121" s="444"/>
      <c r="AK121" s="444" t="s">
        <v>3321</v>
      </c>
      <c r="AL121" s="444"/>
      <c r="AM121" s="444" t="s">
        <v>3322</v>
      </c>
      <c r="AN121" s="444"/>
      <c r="AO121" s="444" t="s">
        <v>3323</v>
      </c>
      <c r="AP121" s="444"/>
      <c r="AQ121" s="444" t="s">
        <v>3324</v>
      </c>
      <c r="AR121" s="444"/>
      <c r="AS121" s="444" t="s">
        <v>3325</v>
      </c>
      <c r="AT121" s="444"/>
      <c r="AU121" s="444" t="s">
        <v>3326</v>
      </c>
      <c r="AV121" s="444"/>
      <c r="AW121" s="444" t="s">
        <v>3327</v>
      </c>
      <c r="AX121" s="445"/>
      <c r="DF121" s="55"/>
      <c r="DG121" s="49"/>
      <c r="DH121" s="49"/>
      <c r="DI121" s="109">
        <f>DI122</f>
        <v>0</v>
      </c>
      <c r="DJ121" s="49"/>
      <c r="DK121" s="109">
        <f>DK122</f>
        <v>324.35967249999999</v>
      </c>
      <c r="DL121" s="49"/>
      <c r="DM121" s="110">
        <f>DM122</f>
        <v>101.56147999999999</v>
      </c>
      <c r="EM121" s="16" t="s">
        <v>73</v>
      </c>
      <c r="EN121" s="16" t="s">
        <v>257</v>
      </c>
      <c r="FD121" s="111">
        <f>FD122</f>
        <v>877894.11</v>
      </c>
    </row>
    <row r="122" spans="2:162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FD122</f>
        <v>877894.11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4" t="s">
        <v>3328</v>
      </c>
      <c r="AI122" s="194" t="s">
        <v>270</v>
      </c>
      <c r="AJ122" s="194" t="s">
        <v>3328</v>
      </c>
      <c r="AK122" s="194" t="s">
        <v>270</v>
      </c>
      <c r="AL122" s="194" t="s">
        <v>3328</v>
      </c>
      <c r="AM122" s="194" t="s">
        <v>270</v>
      </c>
      <c r="AN122" s="194" t="s">
        <v>3328</v>
      </c>
      <c r="AO122" s="194" t="s">
        <v>270</v>
      </c>
      <c r="AP122" s="194" t="s">
        <v>3328</v>
      </c>
      <c r="AQ122" s="194" t="s">
        <v>270</v>
      </c>
      <c r="AR122" s="194" t="s">
        <v>3328</v>
      </c>
      <c r="AS122" s="194" t="s">
        <v>270</v>
      </c>
      <c r="AT122" s="194" t="s">
        <v>3328</v>
      </c>
      <c r="AU122" s="194" t="s">
        <v>270</v>
      </c>
      <c r="AV122" s="194" t="s">
        <v>3328</v>
      </c>
      <c r="AW122" s="194" t="s">
        <v>270</v>
      </c>
      <c r="AX122" s="195" t="s">
        <v>3328</v>
      </c>
      <c r="DF122" s="117"/>
      <c r="DI122" s="118">
        <f>DI124+DI237+DI243+DI267+DI286+DI363+DI374+DI396</f>
        <v>0</v>
      </c>
      <c r="DK122" s="118">
        <f>DK124+DK237+DK243+DK267+DK286+DK363+DK374+DK396</f>
        <v>324.35967249999999</v>
      </c>
      <c r="DM122" s="119">
        <f>DM124+DM237+DM243+DM267+DM286+DM363+DM374+DM396</f>
        <v>101.56147999999999</v>
      </c>
      <c r="EK122" s="113" t="s">
        <v>81</v>
      </c>
      <c r="EM122" s="120" t="s">
        <v>73</v>
      </c>
      <c r="EN122" s="120" t="s">
        <v>74</v>
      </c>
      <c r="ER122" s="113" t="s">
        <v>282</v>
      </c>
      <c r="FD122" s="121">
        <f>FD124+FD237+FD243+FD267+FD286+FD363+FD374+FD396</f>
        <v>877894.11</v>
      </c>
    </row>
    <row r="123" spans="2:162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M124+M237+M243+M267+M286+M363+M374+M396</f>
        <v>0</v>
      </c>
      <c r="N123" s="208"/>
      <c r="O123" s="208">
        <f>O124+O237+O243+O267+O286+O363+O374+O396</f>
        <v>1323.1799999999955</v>
      </c>
      <c r="P123" s="192"/>
      <c r="Q123" s="192">
        <f>Q124+Q237+Q243+Q267+Q286+Q363+Q374+Q396</f>
        <v>876570.97999999986</v>
      </c>
      <c r="S123" s="196"/>
      <c r="T123" s="197">
        <f>T124+T237+T243+T267+T286+T363+T374+T396</f>
        <v>0</v>
      </c>
      <c r="U123" s="197"/>
      <c r="V123" s="197">
        <f>V124+V237+V243+V267+V286+V363+V374+V396</f>
        <v>877894.11</v>
      </c>
      <c r="W123" s="197"/>
      <c r="X123" s="197">
        <f>X124+X237+X243+X267+X286+X363+X374+X396</f>
        <v>0</v>
      </c>
      <c r="Y123" s="197"/>
      <c r="Z123" s="197">
        <f>Z124+Z237+Z243+Z267+Z286+Z363+Z374+Z396</f>
        <v>0</v>
      </c>
      <c r="AA123" s="197"/>
      <c r="AB123" s="197">
        <f>AB124+AB237+AB243+AB267+AB286+AB363+AB374+AB396</f>
        <v>0</v>
      </c>
      <c r="AC123" s="197"/>
      <c r="AD123" s="197">
        <f>AD124+AD237+AD243+AD267+AD286+AD363+AD374+AD396</f>
        <v>0</v>
      </c>
      <c r="AE123" s="197"/>
      <c r="AF123" s="197">
        <f>AF124+AF237+AF243+AF267+AF286+AF363+AF374+AF396</f>
        <v>0</v>
      </c>
      <c r="AG123" s="197"/>
      <c r="AH123" s="197">
        <f>AH124+AH237+AH243+AH267+AH286+AH363+AH374+AH396</f>
        <v>0</v>
      </c>
      <c r="AI123" s="197"/>
      <c r="AJ123" s="197">
        <f>AJ124+AJ237+AJ243+AJ267+AJ286+AJ363+AJ374+AJ396</f>
        <v>0</v>
      </c>
      <c r="AK123" s="197"/>
      <c r="AL123" s="197">
        <f>AL124+AL237+AL243+AL267+AL286+AL363+AL374+AL396</f>
        <v>0</v>
      </c>
      <c r="AM123" s="197"/>
      <c r="AN123" s="197">
        <f>AN124+AN237+AN243+AN267+AN286+AN363+AN374+AN396</f>
        <v>0</v>
      </c>
      <c r="AO123" s="197"/>
      <c r="AP123" s="197">
        <f>AP124+AP237+AP243+AP267+AP286+AP363+AP374+AP396</f>
        <v>0</v>
      </c>
      <c r="AQ123" s="197"/>
      <c r="AR123" s="197">
        <f>AR124+AR237+AR243+AR267+AR286+AR363+AR374+AR396</f>
        <v>0</v>
      </c>
      <c r="AS123" s="197"/>
      <c r="AT123" s="197">
        <f>AT124+AT237+AT243+AT267+AT286+AT363+AT374+AT396</f>
        <v>0</v>
      </c>
      <c r="AU123" s="197"/>
      <c r="AV123" s="197">
        <f>AV124+AV237+AV243+AV267+AV286+AV363+AV374+AV396</f>
        <v>0</v>
      </c>
      <c r="AW123" s="197"/>
      <c r="AX123" s="242">
        <f>AX124+AX237+AX243+AX267+AX286+AX363+AX374+AX396</f>
        <v>0</v>
      </c>
      <c r="DF123" s="117"/>
      <c r="DI123" s="118"/>
      <c r="DK123" s="118"/>
      <c r="DM123" s="119"/>
      <c r="EK123" s="113"/>
      <c r="EM123" s="120"/>
      <c r="EN123" s="120"/>
      <c r="ER123" s="113"/>
      <c r="FD123" s="121"/>
    </row>
    <row r="124" spans="2:162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FD124</f>
        <v>417021.88</v>
      </c>
      <c r="L124" s="112"/>
      <c r="M124" s="270">
        <f>SUM(M125:M234)</f>
        <v>0</v>
      </c>
      <c r="N124" s="299"/>
      <c r="O124" s="300">
        <f t="shared" ref="O124:V124" si="0">SUM(O125:O234)</f>
        <v>24185.879999999997</v>
      </c>
      <c r="P124" s="270"/>
      <c r="Q124" s="286">
        <f t="shared" si="0"/>
        <v>392836.03999999992</v>
      </c>
      <c r="R124" s="270"/>
      <c r="S124" s="270"/>
      <c r="T124" s="270">
        <f t="shared" si="0"/>
        <v>0</v>
      </c>
      <c r="U124" s="270"/>
      <c r="V124" s="270">
        <f t="shared" si="0"/>
        <v>417021.88</v>
      </c>
      <c r="DF124" s="117"/>
      <c r="DI124" s="118">
        <f>SUM(DI125:DI236)</f>
        <v>0</v>
      </c>
      <c r="DK124" s="118">
        <f>SUM(DK125:DK236)</f>
        <v>304.6747325</v>
      </c>
      <c r="DM124" s="119">
        <f>SUM(DM125:DM236)</f>
        <v>101.56147999999999</v>
      </c>
      <c r="EK124" s="113" t="s">
        <v>81</v>
      </c>
      <c r="EM124" s="120" t="s">
        <v>73</v>
      </c>
      <c r="EN124" s="120" t="s">
        <v>81</v>
      </c>
      <c r="ER124" s="113" t="s">
        <v>282</v>
      </c>
      <c r="FD124" s="121">
        <f>SUM(FD125:FD236)</f>
        <v>417021.88</v>
      </c>
    </row>
    <row r="125" spans="2:162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63.935000000000002</v>
      </c>
      <c r="I125" s="130">
        <v>68.767172335543137</v>
      </c>
      <c r="J125" s="131">
        <f>ROUND(I125*H125,2)</f>
        <v>4396.63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N127</f>
        <v>2.9579999999999984</v>
      </c>
      <c r="O125" s="294">
        <f>ROUND(N125*I125,2)</f>
        <v>203.41</v>
      </c>
      <c r="P125" s="273">
        <f>H125-L125-N125</f>
        <v>60.977000000000004</v>
      </c>
      <c r="Q125" s="287">
        <f>ROUND(P125*I125,2)</f>
        <v>4193.22</v>
      </c>
      <c r="R125" s="137"/>
      <c r="S125" s="269">
        <f>W125+Y125+AA125+AC125+AE125+AG125+AI125+AK125+AM125+AO125+AQ125+AS125+AU125+AW125</f>
        <v>0</v>
      </c>
      <c r="T125" s="269">
        <f>ROUND(S125*I125,2)</f>
        <v>0</v>
      </c>
      <c r="U125" s="269">
        <f>H125-S125</f>
        <v>63.935000000000002</v>
      </c>
      <c r="V125" s="269">
        <f>ROUND(U125*I125,2)</f>
        <v>4396.63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DF125" s="132" t="s">
        <v>1</v>
      </c>
      <c r="DG125" s="133" t="s">
        <v>40</v>
      </c>
      <c r="DI125" s="134">
        <f>DH125*H125</f>
        <v>0</v>
      </c>
      <c r="DJ125" s="134">
        <v>0</v>
      </c>
      <c r="DK125" s="134">
        <f>DJ125*H125</f>
        <v>0</v>
      </c>
      <c r="DL125" s="134">
        <v>0.57999999999999996</v>
      </c>
      <c r="DM125" s="135">
        <f>DL125*H125</f>
        <v>37.082299999999996</v>
      </c>
      <c r="EK125" s="136" t="s">
        <v>95</v>
      </c>
      <c r="EM125" s="136" t="s">
        <v>284</v>
      </c>
      <c r="EN125" s="136" t="s">
        <v>83</v>
      </c>
      <c r="ER125" s="16" t="s">
        <v>282</v>
      </c>
      <c r="EX125" s="137">
        <f>IF(DG125="základní",J125,0)</f>
        <v>4396.63</v>
      </c>
      <c r="EY125" s="137">
        <f>IF(DG125="snížená",J125,0)</f>
        <v>0</v>
      </c>
      <c r="EZ125" s="137">
        <f>IF(DG125="zákl. přenesená",J125,0)</f>
        <v>0</v>
      </c>
      <c r="FA125" s="137">
        <f>IF(DG125="sníž. přenesená",J125,0)</f>
        <v>0</v>
      </c>
      <c r="FB125" s="137">
        <f>IF(DG125="nulová",J125,0)</f>
        <v>0</v>
      </c>
      <c r="FC125" s="16" t="s">
        <v>81</v>
      </c>
      <c r="FD125" s="137">
        <f>ROUND(I125*H125,2)</f>
        <v>4396.63</v>
      </c>
      <c r="FE125" s="16" t="s">
        <v>95</v>
      </c>
      <c r="FF125" s="136" t="s">
        <v>288</v>
      </c>
    </row>
    <row r="126" spans="2:162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DF126" s="141"/>
      <c r="DM126" s="50"/>
      <c r="EM126" s="16" t="s">
        <v>289</v>
      </c>
      <c r="EN126" s="16" t="s">
        <v>83</v>
      </c>
    </row>
    <row r="127" spans="2:162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63.935000000000002</v>
      </c>
      <c r="I127" s="130">
        <v>68.767172335543137</v>
      </c>
      <c r="J127" s="131">
        <f>ROUND(I127*H127,2)</f>
        <v>4396.63</v>
      </c>
      <c r="K127" s="127" t="s">
        <v>293</v>
      </c>
      <c r="L127" s="268">
        <f>S127</f>
        <v>0</v>
      </c>
      <c r="M127" s="272">
        <f>ROUND(L127*I127,2)</f>
        <v>0</v>
      </c>
      <c r="N127" s="243">
        <f>N129</f>
        <v>2.9579999999999984</v>
      </c>
      <c r="O127" s="294">
        <f>ROUND(N127*I127,2)</f>
        <v>203.41</v>
      </c>
      <c r="P127" s="273">
        <f>H127-L127-N127</f>
        <v>60.977000000000004</v>
      </c>
      <c r="Q127" s="287">
        <f>ROUND(P127*I127,2)</f>
        <v>4193.22</v>
      </c>
      <c r="R127" s="137"/>
      <c r="S127" s="269">
        <f>W127+Y127+AA127+AC127+AE127+AG127+AI127+AK127+AM127+AO127+AQ127+AS127+AU127+AW127</f>
        <v>0</v>
      </c>
      <c r="T127" s="269">
        <f>ROUND(S127*I127,2)</f>
        <v>0</v>
      </c>
      <c r="U127" s="269">
        <f>H127-S127</f>
        <v>63.935000000000002</v>
      </c>
      <c r="V127" s="269">
        <f>ROUND(U127*I127,2)</f>
        <v>4396.63</v>
      </c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DF127" s="132" t="s">
        <v>1</v>
      </c>
      <c r="DG127" s="133" t="s">
        <v>40</v>
      </c>
      <c r="DI127" s="134">
        <f>DH127*H127</f>
        <v>0</v>
      </c>
      <c r="DJ127" s="134">
        <v>0</v>
      </c>
      <c r="DK127" s="134">
        <f>DJ127*H127</f>
        <v>0</v>
      </c>
      <c r="DL127" s="134">
        <v>0.57999999999999996</v>
      </c>
      <c r="DM127" s="135">
        <f>DL127*H127</f>
        <v>37.082299999999996</v>
      </c>
      <c r="EK127" s="136" t="s">
        <v>95</v>
      </c>
      <c r="EM127" s="136" t="s">
        <v>284</v>
      </c>
      <c r="EN127" s="136" t="s">
        <v>83</v>
      </c>
      <c r="ER127" s="16" t="s">
        <v>282</v>
      </c>
      <c r="EX127" s="137">
        <f>IF(DG127="základní",J127,0)</f>
        <v>4396.63</v>
      </c>
      <c r="EY127" s="137">
        <f>IF(DG127="snížená",J127,0)</f>
        <v>0</v>
      </c>
      <c r="EZ127" s="137">
        <f>IF(DG127="zákl. přenesená",J127,0)</f>
        <v>0</v>
      </c>
      <c r="FA127" s="137">
        <f>IF(DG127="sníž. přenesená",J127,0)</f>
        <v>0</v>
      </c>
      <c r="FB127" s="137">
        <f>IF(DG127="nulová",J127,0)</f>
        <v>0</v>
      </c>
      <c r="FC127" s="16" t="s">
        <v>81</v>
      </c>
      <c r="FD127" s="137">
        <f>ROUND(I127*H127,2)</f>
        <v>4396.63</v>
      </c>
      <c r="FE127" s="16" t="s">
        <v>95</v>
      </c>
      <c r="FF127" s="136" t="s">
        <v>294</v>
      </c>
    </row>
    <row r="128" spans="2:162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DF128" s="141"/>
      <c r="DM128" s="50"/>
      <c r="EM128" s="16" t="s">
        <v>289</v>
      </c>
      <c r="EN128" s="16" t="s">
        <v>83</v>
      </c>
    </row>
    <row r="129" spans="2:162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732</v>
      </c>
      <c r="G129" s="128" t="s">
        <v>287</v>
      </c>
      <c r="H129" s="129">
        <v>63.935000000000002</v>
      </c>
      <c r="I129" s="130">
        <v>27.886826761540966</v>
      </c>
      <c r="J129" s="131">
        <f>ROUND(I129*H129,2)</f>
        <v>1782.94</v>
      </c>
      <c r="K129" s="127" t="s">
        <v>293</v>
      </c>
      <c r="L129" s="268">
        <f>S129</f>
        <v>0</v>
      </c>
      <c r="M129" s="272">
        <f>ROUND(L129*I129,2)</f>
        <v>0</v>
      </c>
      <c r="N129" s="243">
        <f>N137</f>
        <v>2.9579999999999984</v>
      </c>
      <c r="O129" s="294">
        <f>ROUND(N129*I129,2)</f>
        <v>82.49</v>
      </c>
      <c r="P129" s="273">
        <f>H129-L129-N129</f>
        <v>60.977000000000004</v>
      </c>
      <c r="Q129" s="287">
        <f>ROUND(P129*I129,2)</f>
        <v>1700.46</v>
      </c>
      <c r="R129" s="137"/>
      <c r="S129" s="269">
        <f>W129+Y129+AA129+AC129+AE129+AG129+AI129+AK129+AM129+AO129+AQ129+AS129+AU129+AW129</f>
        <v>0</v>
      </c>
      <c r="T129" s="269">
        <f>ROUND(S129*I129,2)</f>
        <v>0</v>
      </c>
      <c r="U129" s="269">
        <f>H129-S129</f>
        <v>63.935000000000002</v>
      </c>
      <c r="V129" s="269">
        <f>ROUND(U129*I129,2)</f>
        <v>1782.94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DF129" s="132" t="s">
        <v>1</v>
      </c>
      <c r="DG129" s="133" t="s">
        <v>40</v>
      </c>
      <c r="DI129" s="134">
        <f>DH129*H129</f>
        <v>0</v>
      </c>
      <c r="DJ129" s="134">
        <v>0</v>
      </c>
      <c r="DK129" s="134">
        <f>DJ129*H129</f>
        <v>0</v>
      </c>
      <c r="DL129" s="134">
        <v>9.8000000000000004E-2</v>
      </c>
      <c r="DM129" s="135">
        <f>DL129*H129</f>
        <v>6.2656300000000007</v>
      </c>
      <c r="EK129" s="136" t="s">
        <v>95</v>
      </c>
      <c r="EM129" s="136" t="s">
        <v>284</v>
      </c>
      <c r="EN129" s="136" t="s">
        <v>83</v>
      </c>
      <c r="ER129" s="16" t="s">
        <v>282</v>
      </c>
      <c r="EX129" s="137">
        <f>IF(DG129="základní",J129,0)</f>
        <v>1782.94</v>
      </c>
      <c r="EY129" s="137">
        <f>IF(DG129="snížená",J129,0)</f>
        <v>0</v>
      </c>
      <c r="EZ129" s="137">
        <f>IF(DG129="zákl. přenesená",J129,0)</f>
        <v>0</v>
      </c>
      <c r="FA129" s="137">
        <f>IF(DG129="sníž. přenesená",J129,0)</f>
        <v>0</v>
      </c>
      <c r="FB129" s="137">
        <f>IF(DG129="nulová",J129,0)</f>
        <v>0</v>
      </c>
      <c r="FC129" s="16" t="s">
        <v>81</v>
      </c>
      <c r="FD129" s="137">
        <f>ROUND(I129*H129,2)</f>
        <v>1782.94</v>
      </c>
      <c r="FE129" s="16" t="s">
        <v>95</v>
      </c>
      <c r="FF129" s="136" t="s">
        <v>297</v>
      </c>
    </row>
    <row r="130" spans="2:162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DF130" s="141"/>
      <c r="DM130" s="50"/>
      <c r="EM130" s="16" t="s">
        <v>289</v>
      </c>
      <c r="EN130" s="16" t="s">
        <v>83</v>
      </c>
    </row>
    <row r="131" spans="2:162" s="1" customFormat="1" ht="29.25" x14ac:dyDescent="0.2">
      <c r="B131" s="31"/>
      <c r="D131" s="138" t="s">
        <v>299</v>
      </c>
      <c r="F131" s="142" t="s">
        <v>804</v>
      </c>
      <c r="I131" s="140"/>
      <c r="L131" s="31"/>
      <c r="N131" s="213"/>
      <c r="O131" s="214"/>
      <c r="Q131" s="229"/>
      <c r="DF131" s="141"/>
      <c r="DM131" s="50"/>
      <c r="EM131" s="16" t="s">
        <v>299</v>
      </c>
      <c r="EN131" s="16" t="s">
        <v>83</v>
      </c>
    </row>
    <row r="132" spans="2:162" s="11" customFormat="1" x14ac:dyDescent="0.2">
      <c r="B132" s="143"/>
      <c r="D132" s="138" t="s">
        <v>301</v>
      </c>
      <c r="E132" s="144" t="s">
        <v>1</v>
      </c>
      <c r="F132" s="145" t="s">
        <v>302</v>
      </c>
      <c r="H132" s="144" t="s">
        <v>1</v>
      </c>
      <c r="I132" s="146"/>
      <c r="L132" s="143"/>
      <c r="N132" s="215"/>
      <c r="O132" s="216"/>
      <c r="Q132" s="230"/>
      <c r="DF132" s="147"/>
      <c r="DM132" s="148"/>
      <c r="EM132" s="144" t="s">
        <v>301</v>
      </c>
      <c r="EN132" s="144" t="s">
        <v>83</v>
      </c>
      <c r="EO132" s="11" t="s">
        <v>81</v>
      </c>
      <c r="EP132" s="11" t="s">
        <v>32</v>
      </c>
      <c r="EQ132" s="11" t="s">
        <v>74</v>
      </c>
      <c r="ER132" s="144" t="s">
        <v>282</v>
      </c>
    </row>
    <row r="133" spans="2:162" s="12" customFormat="1" x14ac:dyDescent="0.2">
      <c r="B133" s="149"/>
      <c r="D133" s="138" t="s">
        <v>301</v>
      </c>
      <c r="E133" s="150" t="s">
        <v>1</v>
      </c>
      <c r="F133" s="151" t="s">
        <v>734</v>
      </c>
      <c r="H133" s="152">
        <v>2</v>
      </c>
      <c r="I133" s="153"/>
      <c r="L133" s="149"/>
      <c r="N133" s="217">
        <f>3.32*1</f>
        <v>3.32</v>
      </c>
      <c r="O133" s="359" t="s">
        <v>3378</v>
      </c>
      <c r="Q133" s="231"/>
      <c r="DF133" s="154"/>
      <c r="DM133" s="155"/>
      <c r="EM133" s="150" t="s">
        <v>301</v>
      </c>
      <c r="EN133" s="150" t="s">
        <v>83</v>
      </c>
      <c r="EO133" s="12" t="s">
        <v>83</v>
      </c>
      <c r="EP133" s="12" t="s">
        <v>32</v>
      </c>
      <c r="EQ133" s="12" t="s">
        <v>74</v>
      </c>
      <c r="ER133" s="150" t="s">
        <v>282</v>
      </c>
    </row>
    <row r="134" spans="2:162" s="12" customFormat="1" x14ac:dyDescent="0.2">
      <c r="B134" s="149"/>
      <c r="D134" s="138" t="s">
        <v>301</v>
      </c>
      <c r="E134" s="150" t="s">
        <v>1</v>
      </c>
      <c r="F134" s="151" t="s">
        <v>805</v>
      </c>
      <c r="H134" s="152">
        <v>53.024999999999999</v>
      </c>
      <c r="I134" s="153"/>
      <c r="L134" s="149"/>
      <c r="N134" s="217">
        <f>52.06*1.05</f>
        <v>54.663000000000004</v>
      </c>
      <c r="O134" s="359" t="s">
        <v>3379</v>
      </c>
      <c r="Q134" s="231"/>
      <c r="DF134" s="154"/>
      <c r="DM134" s="155"/>
      <c r="EM134" s="150" t="s">
        <v>301</v>
      </c>
      <c r="EN134" s="150" t="s">
        <v>83</v>
      </c>
      <c r="EO134" s="12" t="s">
        <v>83</v>
      </c>
      <c r="EP134" s="12" t="s">
        <v>32</v>
      </c>
      <c r="EQ134" s="12" t="s">
        <v>74</v>
      </c>
      <c r="ER134" s="150" t="s">
        <v>282</v>
      </c>
    </row>
    <row r="135" spans="2:162" s="12" customFormat="1" x14ac:dyDescent="0.2">
      <c r="B135" s="149"/>
      <c r="D135" s="138" t="s">
        <v>301</v>
      </c>
      <c r="E135" s="150" t="s">
        <v>1</v>
      </c>
      <c r="F135" s="151" t="s">
        <v>806</v>
      </c>
      <c r="H135" s="152">
        <v>8.91</v>
      </c>
      <c r="I135" s="153"/>
      <c r="L135" s="149"/>
      <c r="N135" s="217">
        <v>8.91</v>
      </c>
      <c r="O135" s="218"/>
      <c r="Q135" s="231"/>
      <c r="DF135" s="154"/>
      <c r="DM135" s="155"/>
      <c r="EM135" s="150" t="s">
        <v>301</v>
      </c>
      <c r="EN135" s="150" t="s">
        <v>83</v>
      </c>
      <c r="EO135" s="12" t="s">
        <v>83</v>
      </c>
      <c r="EP135" s="12" t="s">
        <v>32</v>
      </c>
      <c r="EQ135" s="12" t="s">
        <v>74</v>
      </c>
      <c r="ER135" s="150" t="s">
        <v>282</v>
      </c>
    </row>
    <row r="136" spans="2:162" s="13" customFormat="1" x14ac:dyDescent="0.2">
      <c r="B136" s="156"/>
      <c r="D136" s="138" t="s">
        <v>301</v>
      </c>
      <c r="E136" s="157" t="s">
        <v>1</v>
      </c>
      <c r="F136" s="158" t="s">
        <v>305</v>
      </c>
      <c r="H136" s="159">
        <v>63.935000000000002</v>
      </c>
      <c r="I136" s="160"/>
      <c r="L136" s="156"/>
      <c r="N136" s="219">
        <f>N133+N134+N135</f>
        <v>66.893000000000001</v>
      </c>
      <c r="O136" s="220"/>
      <c r="Q136" s="232"/>
      <c r="DF136" s="161"/>
      <c r="DM136" s="162"/>
      <c r="EM136" s="157" t="s">
        <v>301</v>
      </c>
      <c r="EN136" s="157" t="s">
        <v>83</v>
      </c>
      <c r="EO136" s="13" t="s">
        <v>95</v>
      </c>
      <c r="EP136" s="13" t="s">
        <v>32</v>
      </c>
      <c r="EQ136" s="13" t="s">
        <v>81</v>
      </c>
      <c r="ER136" s="157" t="s">
        <v>282</v>
      </c>
    </row>
    <row r="137" spans="2:162" s="13" customFormat="1" x14ac:dyDescent="0.2">
      <c r="B137" s="156"/>
      <c r="D137" s="138"/>
      <c r="E137" s="157"/>
      <c r="F137" s="158"/>
      <c r="H137" s="159"/>
      <c r="I137" s="160"/>
      <c r="L137" s="156"/>
      <c r="N137" s="311">
        <f>N136-H129</f>
        <v>2.9579999999999984</v>
      </c>
      <c r="O137" s="220"/>
      <c r="Q137" s="232"/>
      <c r="DF137" s="161"/>
      <c r="DM137" s="162"/>
      <c r="EM137" s="157"/>
      <c r="EN137" s="157"/>
      <c r="ER137" s="157"/>
    </row>
    <row r="138" spans="2:162" s="1" customFormat="1" ht="24.2" customHeight="1" x14ac:dyDescent="0.2">
      <c r="B138" s="124"/>
      <c r="C138" s="125" t="s">
        <v>95</v>
      </c>
      <c r="D138" s="125" t="s">
        <v>284</v>
      </c>
      <c r="E138" s="126" t="s">
        <v>306</v>
      </c>
      <c r="F138" s="127" t="s">
        <v>307</v>
      </c>
      <c r="G138" s="128" t="s">
        <v>287</v>
      </c>
      <c r="H138" s="129">
        <v>183.75</v>
      </c>
      <c r="I138" s="130">
        <v>55.314624729404002</v>
      </c>
      <c r="J138" s="131">
        <f>ROUND(I138*H138,2)</f>
        <v>10164.06</v>
      </c>
      <c r="K138" s="127" t="s">
        <v>293</v>
      </c>
      <c r="L138" s="268">
        <f>S138</f>
        <v>0</v>
      </c>
      <c r="M138" s="272">
        <f>ROUND(L138*I138,2)</f>
        <v>0</v>
      </c>
      <c r="N138" s="243">
        <f>N143</f>
        <v>10.080000000000013</v>
      </c>
      <c r="O138" s="294">
        <f>ROUND(N138*I138,2)</f>
        <v>557.57000000000005</v>
      </c>
      <c r="P138" s="273">
        <f>H138-L138-N138</f>
        <v>173.67</v>
      </c>
      <c r="Q138" s="287">
        <f>ROUND(P138*I138,2)</f>
        <v>9606.49</v>
      </c>
      <c r="R138" s="137"/>
      <c r="S138" s="269">
        <f>W138+Y138+AA138+AC138+AE138+AG138+AI138+AK138+AM138+AO138+AQ138+AS138+AU138+AW138</f>
        <v>0</v>
      </c>
      <c r="T138" s="269">
        <f>ROUND(S138*I138,2)</f>
        <v>0</v>
      </c>
      <c r="U138" s="269">
        <f>H138-S138</f>
        <v>183.75</v>
      </c>
      <c r="V138" s="269">
        <f>ROUND(U138*I138,2)</f>
        <v>10164.06</v>
      </c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DF138" s="132" t="s">
        <v>1</v>
      </c>
      <c r="DG138" s="133" t="s">
        <v>40</v>
      </c>
      <c r="DI138" s="134">
        <f>DH138*H138</f>
        <v>0</v>
      </c>
      <c r="DJ138" s="134">
        <v>6.9999999999999994E-5</v>
      </c>
      <c r="DK138" s="134">
        <f>DJ138*H138</f>
        <v>1.2862499999999999E-2</v>
      </c>
      <c r="DL138" s="134">
        <v>0.115</v>
      </c>
      <c r="DM138" s="135">
        <f>DL138*H138</f>
        <v>21.131250000000001</v>
      </c>
      <c r="EK138" s="136" t="s">
        <v>95</v>
      </c>
      <c r="EM138" s="136" t="s">
        <v>284</v>
      </c>
      <c r="EN138" s="136" t="s">
        <v>83</v>
      </c>
      <c r="ER138" s="16" t="s">
        <v>282</v>
      </c>
      <c r="EX138" s="137">
        <f>IF(DG138="základní",J138,0)</f>
        <v>10164.06</v>
      </c>
      <c r="EY138" s="137">
        <f>IF(DG138="snížená",J138,0)</f>
        <v>0</v>
      </c>
      <c r="EZ138" s="137">
        <f>IF(DG138="zákl. přenesená",J138,0)</f>
        <v>0</v>
      </c>
      <c r="FA138" s="137">
        <f>IF(DG138="sníž. přenesená",J138,0)</f>
        <v>0</v>
      </c>
      <c r="FB138" s="137">
        <f>IF(DG138="nulová",J138,0)</f>
        <v>0</v>
      </c>
      <c r="FC138" s="16" t="s">
        <v>81</v>
      </c>
      <c r="FD138" s="137">
        <f>ROUND(I138*H138,2)</f>
        <v>10164.06</v>
      </c>
      <c r="FE138" s="16" t="s">
        <v>95</v>
      </c>
      <c r="FF138" s="136" t="s">
        <v>308</v>
      </c>
    </row>
    <row r="139" spans="2:162" s="1" customFormat="1" ht="29.25" x14ac:dyDescent="0.2">
      <c r="B139" s="31"/>
      <c r="D139" s="138" t="s">
        <v>289</v>
      </c>
      <c r="F139" s="139" t="s">
        <v>309</v>
      </c>
      <c r="I139" s="140"/>
      <c r="L139" s="31"/>
      <c r="N139" s="213"/>
      <c r="O139" s="214"/>
      <c r="Q139" s="229"/>
      <c r="DF139" s="141"/>
      <c r="DM139" s="50"/>
      <c r="EM139" s="16" t="s">
        <v>289</v>
      </c>
      <c r="EN139" s="16" t="s">
        <v>83</v>
      </c>
    </row>
    <row r="140" spans="2:162" s="1" customFormat="1" ht="29.25" x14ac:dyDescent="0.2">
      <c r="B140" s="31"/>
      <c r="D140" s="138" t="s">
        <v>299</v>
      </c>
      <c r="F140" s="142" t="s">
        <v>804</v>
      </c>
      <c r="I140" s="140"/>
      <c r="L140" s="31"/>
      <c r="N140" s="213"/>
      <c r="O140" s="214"/>
      <c r="Q140" s="229"/>
      <c r="DF140" s="141"/>
      <c r="DM140" s="50"/>
      <c r="EM140" s="16" t="s">
        <v>299</v>
      </c>
      <c r="EN140" s="16" t="s">
        <v>83</v>
      </c>
    </row>
    <row r="141" spans="2:162" s="11" customFormat="1" x14ac:dyDescent="0.2">
      <c r="B141" s="143"/>
      <c r="D141" s="138" t="s">
        <v>301</v>
      </c>
      <c r="E141" s="144" t="s">
        <v>1</v>
      </c>
      <c r="F141" s="145" t="s">
        <v>310</v>
      </c>
      <c r="H141" s="144" t="s">
        <v>1</v>
      </c>
      <c r="I141" s="146"/>
      <c r="L141" s="143"/>
      <c r="N141" s="215"/>
      <c r="O141" s="216"/>
      <c r="Q141" s="230"/>
      <c r="DF141" s="147"/>
      <c r="DM141" s="148"/>
      <c r="EM141" s="144" t="s">
        <v>301</v>
      </c>
      <c r="EN141" s="144" t="s">
        <v>83</v>
      </c>
      <c r="EO141" s="11" t="s">
        <v>81</v>
      </c>
      <c r="EP141" s="11" t="s">
        <v>32</v>
      </c>
      <c r="EQ141" s="11" t="s">
        <v>74</v>
      </c>
      <c r="ER141" s="144" t="s">
        <v>282</v>
      </c>
    </row>
    <row r="142" spans="2:162" s="12" customFormat="1" x14ac:dyDescent="0.2">
      <c r="B142" s="149"/>
      <c r="D142" s="138" t="s">
        <v>301</v>
      </c>
      <c r="E142" s="150" t="s">
        <v>1</v>
      </c>
      <c r="F142" s="151" t="s">
        <v>807</v>
      </c>
      <c r="H142" s="152">
        <v>183.75</v>
      </c>
      <c r="I142" s="153"/>
      <c r="L142" s="149"/>
      <c r="N142" s="217">
        <f>(52.06+3.32)*3.5</f>
        <v>193.83</v>
      </c>
      <c r="O142" s="359" t="s">
        <v>3380</v>
      </c>
      <c r="Q142" s="231"/>
      <c r="DF142" s="154"/>
      <c r="DM142" s="155"/>
      <c r="EM142" s="150" t="s">
        <v>301</v>
      </c>
      <c r="EN142" s="150" t="s">
        <v>83</v>
      </c>
      <c r="EO142" s="12" t="s">
        <v>83</v>
      </c>
      <c r="EP142" s="12" t="s">
        <v>32</v>
      </c>
      <c r="EQ142" s="12" t="s">
        <v>81</v>
      </c>
      <c r="ER142" s="150" t="s">
        <v>282</v>
      </c>
    </row>
    <row r="143" spans="2:162" s="12" customFormat="1" x14ac:dyDescent="0.2">
      <c r="B143" s="149"/>
      <c r="D143" s="138"/>
      <c r="E143" s="150"/>
      <c r="F143" s="151"/>
      <c r="H143" s="152"/>
      <c r="I143" s="153"/>
      <c r="L143" s="149"/>
      <c r="N143" s="310">
        <f>N142-H138</f>
        <v>10.080000000000013</v>
      </c>
      <c r="O143" s="359"/>
      <c r="Q143" s="231"/>
      <c r="DF143" s="154"/>
      <c r="DM143" s="155"/>
      <c r="EM143" s="150"/>
      <c r="EN143" s="150"/>
      <c r="ER143" s="150"/>
    </row>
    <row r="144" spans="2:162" s="1" customFormat="1" ht="24.2" customHeight="1" x14ac:dyDescent="0.2">
      <c r="B144" s="124"/>
      <c r="C144" s="125" t="s">
        <v>312</v>
      </c>
      <c r="D144" s="125" t="s">
        <v>284</v>
      </c>
      <c r="E144" s="126" t="s">
        <v>313</v>
      </c>
      <c r="F144" s="127" t="s">
        <v>314</v>
      </c>
      <c r="G144" s="128" t="s">
        <v>315</v>
      </c>
      <c r="H144" s="129">
        <v>1</v>
      </c>
      <c r="I144" s="130">
        <v>3788.8627999999999</v>
      </c>
      <c r="J144" s="131">
        <f>ROUND(I144*H144,2)</f>
        <v>3788.86</v>
      </c>
      <c r="K144" s="127" t="s">
        <v>1</v>
      </c>
      <c r="L144" s="268">
        <f>S144</f>
        <v>0</v>
      </c>
      <c r="M144" s="272">
        <f>ROUND(L144*I144,2)</f>
        <v>0</v>
      </c>
      <c r="N144" s="243"/>
      <c r="O144" s="294">
        <f>ROUND(N144*I144,2)</f>
        <v>0</v>
      </c>
      <c r="P144" s="273">
        <f>H144-L144-N144</f>
        <v>1</v>
      </c>
      <c r="Q144" s="287">
        <f>ROUND(P144*I144,2)</f>
        <v>3788.86</v>
      </c>
      <c r="R144" s="137"/>
      <c r="S144" s="269">
        <f>W144+Y144+AA144+AC144+AE144+AG144+AI144+AK144+AM144+AO144+AQ144+AS144+AU144+AW144</f>
        <v>0</v>
      </c>
      <c r="T144" s="269">
        <f>ROUND(S144*I144,2)</f>
        <v>0</v>
      </c>
      <c r="U144" s="269">
        <f>H144-S144</f>
        <v>1</v>
      </c>
      <c r="V144" s="269">
        <f>ROUND(U144*I144,2)</f>
        <v>3788.86</v>
      </c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DF144" s="132" t="s">
        <v>1</v>
      </c>
      <c r="DG144" s="133" t="s">
        <v>40</v>
      </c>
      <c r="DI144" s="134">
        <f>DH144*H144</f>
        <v>0</v>
      </c>
      <c r="DJ144" s="134">
        <v>0</v>
      </c>
      <c r="DK144" s="134">
        <f>DJ144*H144</f>
        <v>0</v>
      </c>
      <c r="DL144" s="134">
        <v>0</v>
      </c>
      <c r="DM144" s="135">
        <f>DL144*H144</f>
        <v>0</v>
      </c>
      <c r="EK144" s="136" t="s">
        <v>95</v>
      </c>
      <c r="EM144" s="136" t="s">
        <v>284</v>
      </c>
      <c r="EN144" s="136" t="s">
        <v>83</v>
      </c>
      <c r="ER144" s="16" t="s">
        <v>282</v>
      </c>
      <c r="EX144" s="137">
        <f>IF(DG144="základní",J144,0)</f>
        <v>3788.86</v>
      </c>
      <c r="EY144" s="137">
        <f>IF(DG144="snížená",J144,0)</f>
        <v>0</v>
      </c>
      <c r="EZ144" s="137">
        <f>IF(DG144="zákl. přenesená",J144,0)</f>
        <v>0</v>
      </c>
      <c r="FA144" s="137">
        <f>IF(DG144="sníž. přenesená",J144,0)</f>
        <v>0</v>
      </c>
      <c r="FB144" s="137">
        <f>IF(DG144="nulová",J144,0)</f>
        <v>0</v>
      </c>
      <c r="FC144" s="16" t="s">
        <v>81</v>
      </c>
      <c r="FD144" s="137">
        <f>ROUND(I144*H144,2)</f>
        <v>3788.86</v>
      </c>
      <c r="FE144" s="16" t="s">
        <v>95</v>
      </c>
      <c r="FF144" s="136" t="s">
        <v>316</v>
      </c>
    </row>
    <row r="145" spans="2:162" s="1" customFormat="1" ht="19.5" x14ac:dyDescent="0.2">
      <c r="B145" s="31"/>
      <c r="D145" s="138" t="s">
        <v>289</v>
      </c>
      <c r="F145" s="139" t="s">
        <v>314</v>
      </c>
      <c r="I145" s="140"/>
      <c r="L145" s="31"/>
      <c r="N145" s="213"/>
      <c r="O145" s="214"/>
      <c r="Q145" s="229"/>
      <c r="DF145" s="141"/>
      <c r="DM145" s="50"/>
      <c r="EM145" s="16" t="s">
        <v>289</v>
      </c>
      <c r="EN145" s="16" t="s">
        <v>83</v>
      </c>
    </row>
    <row r="146" spans="2:162" s="1" customFormat="1" ht="19.5" x14ac:dyDescent="0.2">
      <c r="B146" s="31"/>
      <c r="D146" s="138" t="s">
        <v>299</v>
      </c>
      <c r="F146" s="142" t="s">
        <v>317</v>
      </c>
      <c r="I146" s="140"/>
      <c r="L146" s="31"/>
      <c r="N146" s="213"/>
      <c r="O146" s="214"/>
      <c r="Q146" s="229"/>
      <c r="DF146" s="141"/>
      <c r="DM146" s="50"/>
      <c r="EM146" s="16" t="s">
        <v>299</v>
      </c>
      <c r="EN146" s="16" t="s">
        <v>83</v>
      </c>
    </row>
    <row r="147" spans="2:162" s="12" customFormat="1" x14ac:dyDescent="0.2">
      <c r="B147" s="149"/>
      <c r="D147" s="138" t="s">
        <v>301</v>
      </c>
      <c r="E147" s="150" t="s">
        <v>1</v>
      </c>
      <c r="F147" s="151" t="s">
        <v>81</v>
      </c>
      <c r="H147" s="152">
        <v>1</v>
      </c>
      <c r="I147" s="153"/>
      <c r="L147" s="149"/>
      <c r="N147" s="217"/>
      <c r="O147" s="218"/>
      <c r="Q147" s="231"/>
      <c r="DF147" s="154"/>
      <c r="DM147" s="155"/>
      <c r="EM147" s="150" t="s">
        <v>301</v>
      </c>
      <c r="EN147" s="150" t="s">
        <v>83</v>
      </c>
      <c r="EO147" s="12" t="s">
        <v>83</v>
      </c>
      <c r="EP147" s="12" t="s">
        <v>32</v>
      </c>
      <c r="EQ147" s="12" t="s">
        <v>81</v>
      </c>
      <c r="ER147" s="150" t="s">
        <v>282</v>
      </c>
    </row>
    <row r="148" spans="2:162" s="1" customFormat="1" ht="24.2" customHeight="1" x14ac:dyDescent="0.2">
      <c r="B148" s="124"/>
      <c r="C148" s="125" t="s">
        <v>318</v>
      </c>
      <c r="D148" s="125" t="s">
        <v>284</v>
      </c>
      <c r="E148" s="126" t="s">
        <v>324</v>
      </c>
      <c r="F148" s="127" t="s">
        <v>325</v>
      </c>
      <c r="G148" s="128" t="s">
        <v>315</v>
      </c>
      <c r="H148" s="129">
        <v>2</v>
      </c>
      <c r="I148" s="130">
        <v>1847.0706150000001</v>
      </c>
      <c r="J148" s="131">
        <f>ROUND(I148*H148,2)</f>
        <v>3694.14</v>
      </c>
      <c r="K148" s="127" t="s">
        <v>1</v>
      </c>
      <c r="L148" s="268">
        <f>S148</f>
        <v>0</v>
      </c>
      <c r="M148" s="272">
        <f>ROUND(L148*I148,2)</f>
        <v>0</v>
      </c>
      <c r="N148" s="243"/>
      <c r="O148" s="294">
        <f>ROUND(N148*I148,2)</f>
        <v>0</v>
      </c>
      <c r="P148" s="273">
        <f>H148-L148-N148</f>
        <v>2</v>
      </c>
      <c r="Q148" s="287">
        <f>ROUND(P148*I148,2)</f>
        <v>3694.14</v>
      </c>
      <c r="R148" s="137"/>
      <c r="S148" s="269">
        <f>W148+Y148+AA148+AC148+AE148+AG148+AI148+AK148+AM148+AO148+AQ148+AS148+AU148+AW148</f>
        <v>0</v>
      </c>
      <c r="T148" s="269">
        <f>ROUND(S148*I148,2)</f>
        <v>0</v>
      </c>
      <c r="U148" s="269">
        <f>H148-S148</f>
        <v>2</v>
      </c>
      <c r="V148" s="269">
        <f>ROUND(U148*I148,2)</f>
        <v>3694.14</v>
      </c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DF148" s="132" t="s">
        <v>1</v>
      </c>
      <c r="DG148" s="133" t="s">
        <v>40</v>
      </c>
      <c r="DI148" s="134">
        <f>DH148*H148</f>
        <v>0</v>
      </c>
      <c r="DJ148" s="134">
        <v>0</v>
      </c>
      <c r="DK148" s="134">
        <f>DJ148*H148</f>
        <v>0</v>
      </c>
      <c r="DL148" s="134">
        <v>0</v>
      </c>
      <c r="DM148" s="135">
        <f>DL148*H148</f>
        <v>0</v>
      </c>
      <c r="EK148" s="136" t="s">
        <v>95</v>
      </c>
      <c r="EM148" s="136" t="s">
        <v>284</v>
      </c>
      <c r="EN148" s="136" t="s">
        <v>83</v>
      </c>
      <c r="ER148" s="16" t="s">
        <v>282</v>
      </c>
      <c r="EX148" s="137">
        <f>IF(DG148="základní",J148,0)</f>
        <v>3694.14</v>
      </c>
      <c r="EY148" s="137">
        <f>IF(DG148="snížená",J148,0)</f>
        <v>0</v>
      </c>
      <c r="EZ148" s="137">
        <f>IF(DG148="zákl. přenesená",J148,0)</f>
        <v>0</v>
      </c>
      <c r="FA148" s="137">
        <f>IF(DG148="sníž. přenesená",J148,0)</f>
        <v>0</v>
      </c>
      <c r="FB148" s="137">
        <f>IF(DG148="nulová",J148,0)</f>
        <v>0</v>
      </c>
      <c r="FC148" s="16" t="s">
        <v>81</v>
      </c>
      <c r="FD148" s="137">
        <f>ROUND(I148*H148,2)</f>
        <v>3694.14</v>
      </c>
      <c r="FE148" s="16" t="s">
        <v>95</v>
      </c>
      <c r="FF148" s="136" t="s">
        <v>326</v>
      </c>
    </row>
    <row r="149" spans="2:162" s="1" customFormat="1" ht="19.5" x14ac:dyDescent="0.2">
      <c r="B149" s="31"/>
      <c r="D149" s="138" t="s">
        <v>289</v>
      </c>
      <c r="F149" s="139" t="s">
        <v>325</v>
      </c>
      <c r="I149" s="140"/>
      <c r="L149" s="31"/>
      <c r="N149" s="213"/>
      <c r="O149" s="214"/>
      <c r="Q149" s="229"/>
      <c r="DF149" s="141"/>
      <c r="DM149" s="50"/>
      <c r="EM149" s="16" t="s">
        <v>289</v>
      </c>
      <c r="EN149" s="16" t="s">
        <v>83</v>
      </c>
    </row>
    <row r="150" spans="2:162" s="1" customFormat="1" ht="19.5" x14ac:dyDescent="0.2">
      <c r="B150" s="31"/>
      <c r="D150" s="138" t="s">
        <v>299</v>
      </c>
      <c r="F150" s="142" t="s">
        <v>317</v>
      </c>
      <c r="I150" s="140"/>
      <c r="L150" s="31"/>
      <c r="N150" s="213"/>
      <c r="O150" s="214"/>
      <c r="Q150" s="229"/>
      <c r="DF150" s="141"/>
      <c r="DM150" s="50"/>
      <c r="EM150" s="16" t="s">
        <v>299</v>
      </c>
      <c r="EN150" s="16" t="s">
        <v>83</v>
      </c>
    </row>
    <row r="151" spans="2:162" s="12" customFormat="1" x14ac:dyDescent="0.2">
      <c r="B151" s="149"/>
      <c r="D151" s="138" t="s">
        <v>301</v>
      </c>
      <c r="E151" s="150" t="s">
        <v>1</v>
      </c>
      <c r="F151" s="151" t="s">
        <v>83</v>
      </c>
      <c r="H151" s="152">
        <v>2</v>
      </c>
      <c r="I151" s="153"/>
      <c r="L151" s="149"/>
      <c r="N151" s="217"/>
      <c r="O151" s="218"/>
      <c r="Q151" s="231"/>
      <c r="DF151" s="154"/>
      <c r="DM151" s="155"/>
      <c r="EM151" s="150" t="s">
        <v>301</v>
      </c>
      <c r="EN151" s="150" t="s">
        <v>83</v>
      </c>
      <c r="EO151" s="12" t="s">
        <v>83</v>
      </c>
      <c r="EP151" s="12" t="s">
        <v>32</v>
      </c>
      <c r="EQ151" s="12" t="s">
        <v>81</v>
      </c>
      <c r="ER151" s="150" t="s">
        <v>282</v>
      </c>
    </row>
    <row r="152" spans="2:162" s="1" customFormat="1" ht="24.2" customHeight="1" x14ac:dyDescent="0.2">
      <c r="B152" s="124"/>
      <c r="C152" s="125" t="s">
        <v>323</v>
      </c>
      <c r="D152" s="125" t="s">
        <v>284</v>
      </c>
      <c r="E152" s="126" t="s">
        <v>329</v>
      </c>
      <c r="F152" s="127" t="s">
        <v>330</v>
      </c>
      <c r="G152" s="128" t="s">
        <v>331</v>
      </c>
      <c r="H152" s="129">
        <v>160</v>
      </c>
      <c r="I152" s="130">
        <v>70.957591385341729</v>
      </c>
      <c r="J152" s="131">
        <f>ROUND(I152*H152,2)</f>
        <v>11353.21</v>
      </c>
      <c r="K152" s="127" t="s">
        <v>293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160</v>
      </c>
      <c r="Q152" s="287">
        <f>ROUND(P152*I152,2)</f>
        <v>11353.21</v>
      </c>
      <c r="R152" s="137"/>
      <c r="S152" s="269">
        <f>W152+Y152+AA152+AC152+AE152+AG152+AI152+AK152+AM152+AO152+AQ152+AS152+AU152+AW152</f>
        <v>0</v>
      </c>
      <c r="T152" s="269">
        <f>ROUND(S152*I152,2)</f>
        <v>0</v>
      </c>
      <c r="U152" s="269">
        <f>H152-S152</f>
        <v>160</v>
      </c>
      <c r="V152" s="269">
        <f>ROUND(U152*I152,2)</f>
        <v>11353.21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DF152" s="132" t="s">
        <v>1</v>
      </c>
      <c r="DG152" s="133" t="s">
        <v>40</v>
      </c>
      <c r="DI152" s="134">
        <f>DH152*H152</f>
        <v>0</v>
      </c>
      <c r="DJ152" s="134">
        <v>3.0000000000000001E-5</v>
      </c>
      <c r="DK152" s="134">
        <f>DJ152*H152</f>
        <v>4.8000000000000004E-3</v>
      </c>
      <c r="DL152" s="134">
        <v>0</v>
      </c>
      <c r="DM152" s="135">
        <f>DL152*H152</f>
        <v>0</v>
      </c>
      <c r="EK152" s="136" t="s">
        <v>95</v>
      </c>
      <c r="EM152" s="136" t="s">
        <v>284</v>
      </c>
      <c r="EN152" s="136" t="s">
        <v>83</v>
      </c>
      <c r="ER152" s="16" t="s">
        <v>282</v>
      </c>
      <c r="EX152" s="137">
        <f>IF(DG152="základní",J152,0)</f>
        <v>11353.21</v>
      </c>
      <c r="EY152" s="137">
        <f>IF(DG152="snížená",J152,0)</f>
        <v>0</v>
      </c>
      <c r="EZ152" s="137">
        <f>IF(DG152="zákl. přenesená",J152,0)</f>
        <v>0</v>
      </c>
      <c r="FA152" s="137">
        <f>IF(DG152="sníž. přenesená",J152,0)</f>
        <v>0</v>
      </c>
      <c r="FB152" s="137">
        <f>IF(DG152="nulová",J152,0)</f>
        <v>0</v>
      </c>
      <c r="FC152" s="16" t="s">
        <v>81</v>
      </c>
      <c r="FD152" s="137">
        <f>ROUND(I152*H152,2)</f>
        <v>11353.21</v>
      </c>
      <c r="FE152" s="16" t="s">
        <v>95</v>
      </c>
      <c r="FF152" s="136" t="s">
        <v>332</v>
      </c>
    </row>
    <row r="153" spans="2:162" s="1" customFormat="1" ht="19.5" x14ac:dyDescent="0.2">
      <c r="B153" s="31"/>
      <c r="D153" s="138" t="s">
        <v>289</v>
      </c>
      <c r="F153" s="139" t="s">
        <v>333</v>
      </c>
      <c r="I153" s="140"/>
      <c r="L153" s="31"/>
      <c r="N153" s="213"/>
      <c r="O153" s="214"/>
      <c r="Q153" s="229"/>
      <c r="DF153" s="141"/>
      <c r="DM153" s="50"/>
      <c r="EM153" s="16" t="s">
        <v>289</v>
      </c>
      <c r="EN153" s="16" t="s">
        <v>83</v>
      </c>
    </row>
    <row r="154" spans="2:162" s="12" customFormat="1" x14ac:dyDescent="0.2">
      <c r="B154" s="149"/>
      <c r="D154" s="138" t="s">
        <v>301</v>
      </c>
      <c r="E154" s="150" t="s">
        <v>1</v>
      </c>
      <c r="F154" s="151" t="s">
        <v>808</v>
      </c>
      <c r="H154" s="152">
        <v>160</v>
      </c>
      <c r="I154" s="153"/>
      <c r="L154" s="149"/>
      <c r="N154" s="217"/>
      <c r="O154" s="218"/>
      <c r="Q154" s="231"/>
      <c r="DF154" s="154"/>
      <c r="DM154" s="155"/>
      <c r="EM154" s="150" t="s">
        <v>301</v>
      </c>
      <c r="EN154" s="150" t="s">
        <v>83</v>
      </c>
      <c r="EO154" s="12" t="s">
        <v>83</v>
      </c>
      <c r="EP154" s="12" t="s">
        <v>32</v>
      </c>
      <c r="EQ154" s="12" t="s">
        <v>81</v>
      </c>
      <c r="ER154" s="150" t="s">
        <v>282</v>
      </c>
    </row>
    <row r="155" spans="2:162" s="1" customFormat="1" ht="24.2" customHeight="1" x14ac:dyDescent="0.2">
      <c r="B155" s="124"/>
      <c r="C155" s="125" t="s">
        <v>328</v>
      </c>
      <c r="D155" s="125" t="s">
        <v>284</v>
      </c>
      <c r="E155" s="126" t="s">
        <v>336</v>
      </c>
      <c r="F155" s="127" t="s">
        <v>337</v>
      </c>
      <c r="G155" s="128" t="s">
        <v>338</v>
      </c>
      <c r="H155" s="129">
        <v>20</v>
      </c>
      <c r="I155" s="130">
        <v>41.621835247115101</v>
      </c>
      <c r="J155" s="131">
        <f>ROUND(I155*H155,2)</f>
        <v>832.44</v>
      </c>
      <c r="K155" s="127" t="s">
        <v>293</v>
      </c>
      <c r="L155" s="268">
        <f>S155</f>
        <v>0</v>
      </c>
      <c r="M155" s="272">
        <f>ROUND(L155*I155,2)</f>
        <v>0</v>
      </c>
      <c r="N155" s="243"/>
      <c r="O155" s="294">
        <f>ROUND(N155*I155,2)</f>
        <v>0</v>
      </c>
      <c r="P155" s="273">
        <f>H155-L155-N155</f>
        <v>20</v>
      </c>
      <c r="Q155" s="287">
        <f>ROUND(P155*I155,2)</f>
        <v>832.44</v>
      </c>
      <c r="R155" s="137"/>
      <c r="S155" s="269">
        <f>W155+Y155+AA155+AC155+AE155+AG155+AI155+AK155+AM155+AO155+AQ155+AS155+AU155+AW155</f>
        <v>0</v>
      </c>
      <c r="T155" s="269">
        <f>ROUND(S155*I155,2)</f>
        <v>0</v>
      </c>
      <c r="U155" s="269">
        <f>H155-S155</f>
        <v>20</v>
      </c>
      <c r="V155" s="269">
        <f>ROUND(U155*I155,2)</f>
        <v>832.44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DF155" s="132" t="s">
        <v>1</v>
      </c>
      <c r="DG155" s="133" t="s">
        <v>40</v>
      </c>
      <c r="DI155" s="134">
        <f>DH155*H155</f>
        <v>0</v>
      </c>
      <c r="DJ155" s="134">
        <v>0</v>
      </c>
      <c r="DK155" s="134">
        <f>DJ155*H155</f>
        <v>0</v>
      </c>
      <c r="DL155" s="134">
        <v>0</v>
      </c>
      <c r="DM155" s="135">
        <f>DL155*H155</f>
        <v>0</v>
      </c>
      <c r="EK155" s="136" t="s">
        <v>95</v>
      </c>
      <c r="EM155" s="136" t="s">
        <v>284</v>
      </c>
      <c r="EN155" s="136" t="s">
        <v>83</v>
      </c>
      <c r="ER155" s="16" t="s">
        <v>282</v>
      </c>
      <c r="EX155" s="137">
        <f>IF(DG155="základní",J155,0)</f>
        <v>832.44</v>
      </c>
      <c r="EY155" s="137">
        <f>IF(DG155="snížená",J155,0)</f>
        <v>0</v>
      </c>
      <c r="EZ155" s="137">
        <f>IF(DG155="zákl. přenesená",J155,0)</f>
        <v>0</v>
      </c>
      <c r="FA155" s="137">
        <f>IF(DG155="sníž. přenesená",J155,0)</f>
        <v>0</v>
      </c>
      <c r="FB155" s="137">
        <f>IF(DG155="nulová",J155,0)</f>
        <v>0</v>
      </c>
      <c r="FC155" s="16" t="s">
        <v>81</v>
      </c>
      <c r="FD155" s="137">
        <f>ROUND(I155*H155,2)</f>
        <v>832.44</v>
      </c>
      <c r="FE155" s="16" t="s">
        <v>95</v>
      </c>
      <c r="FF155" s="136" t="s">
        <v>339</v>
      </c>
    </row>
    <row r="156" spans="2:162" s="1" customFormat="1" ht="19.5" x14ac:dyDescent="0.2">
      <c r="B156" s="31"/>
      <c r="D156" s="138" t="s">
        <v>289</v>
      </c>
      <c r="F156" s="139" t="s">
        <v>340</v>
      </c>
      <c r="I156" s="140"/>
      <c r="L156" s="31"/>
      <c r="N156" s="213"/>
      <c r="O156" s="214"/>
      <c r="Q156" s="229"/>
      <c r="DF156" s="141"/>
      <c r="DM156" s="50"/>
      <c r="EM156" s="16" t="s">
        <v>289</v>
      </c>
      <c r="EN156" s="16" t="s">
        <v>83</v>
      </c>
    </row>
    <row r="157" spans="2:162" s="1" customFormat="1" ht="24.2" customHeight="1" x14ac:dyDescent="0.2">
      <c r="B157" s="124"/>
      <c r="C157" s="125" t="s">
        <v>335</v>
      </c>
      <c r="D157" s="125" t="s">
        <v>284</v>
      </c>
      <c r="E157" s="126" t="s">
        <v>364</v>
      </c>
      <c r="F157" s="127" t="s">
        <v>365</v>
      </c>
      <c r="G157" s="128" t="s">
        <v>366</v>
      </c>
      <c r="H157" s="129">
        <v>70.188999999999993</v>
      </c>
      <c r="I157" s="130">
        <v>285.201942457955</v>
      </c>
      <c r="J157" s="131">
        <f>ROUND(I157*H157,2)</f>
        <v>20018.04</v>
      </c>
      <c r="K157" s="127" t="s">
        <v>293</v>
      </c>
      <c r="L157" s="268">
        <f>S157</f>
        <v>0</v>
      </c>
      <c r="M157" s="272">
        <f>ROUND(L157*I157,2)</f>
        <v>0</v>
      </c>
      <c r="N157" s="243">
        <f>N166</f>
        <v>3.1792250000000166</v>
      </c>
      <c r="O157" s="294">
        <f>ROUND(N157*I157,2)</f>
        <v>906.72</v>
      </c>
      <c r="P157" s="273">
        <f>H157-L157-N157</f>
        <v>67.009774999999976</v>
      </c>
      <c r="Q157" s="287">
        <f>ROUND(P157*I157,2)</f>
        <v>19111.32</v>
      </c>
      <c r="R157" s="137"/>
      <c r="S157" s="269">
        <f>W157+Y157+AA157+AC157+AE157+AG157+AI157+AK157+AM157+AO157+AQ157+AS157+AU157+AW157</f>
        <v>0</v>
      </c>
      <c r="T157" s="269">
        <f>ROUND(S157*I157,2)</f>
        <v>0</v>
      </c>
      <c r="U157" s="269">
        <f>H157-S157</f>
        <v>70.188999999999993</v>
      </c>
      <c r="V157" s="269">
        <f>ROUND(U157*I157,2)</f>
        <v>20018.04</v>
      </c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DF157" s="132" t="s">
        <v>1</v>
      </c>
      <c r="DG157" s="133" t="s">
        <v>40</v>
      </c>
      <c r="DI157" s="134">
        <f>DH157*H157</f>
        <v>0</v>
      </c>
      <c r="DJ157" s="134">
        <v>0</v>
      </c>
      <c r="DK157" s="134">
        <f>DJ157*H157</f>
        <v>0</v>
      </c>
      <c r="DL157" s="134">
        <v>0</v>
      </c>
      <c r="DM157" s="135">
        <f>DL157*H157</f>
        <v>0</v>
      </c>
      <c r="EK157" s="136" t="s">
        <v>95</v>
      </c>
      <c r="EM157" s="136" t="s">
        <v>284</v>
      </c>
      <c r="EN157" s="136" t="s">
        <v>83</v>
      </c>
      <c r="ER157" s="16" t="s">
        <v>282</v>
      </c>
      <c r="EX157" s="137">
        <f>IF(DG157="základní",J157,0)</f>
        <v>20018.04</v>
      </c>
      <c r="EY157" s="137">
        <f>IF(DG157="snížená",J157,0)</f>
        <v>0</v>
      </c>
      <c r="EZ157" s="137">
        <f>IF(DG157="zákl. přenesená",J157,0)</f>
        <v>0</v>
      </c>
      <c r="FA157" s="137">
        <f>IF(DG157="sníž. přenesená",J157,0)</f>
        <v>0</v>
      </c>
      <c r="FB157" s="137">
        <f>IF(DG157="nulová",J157,0)</f>
        <v>0</v>
      </c>
      <c r="FC157" s="16" t="s">
        <v>81</v>
      </c>
      <c r="FD157" s="137">
        <f>ROUND(I157*H157,2)</f>
        <v>20018.04</v>
      </c>
      <c r="FE157" s="16" t="s">
        <v>95</v>
      </c>
      <c r="FF157" s="136" t="s">
        <v>367</v>
      </c>
    </row>
    <row r="158" spans="2:162" s="1" customFormat="1" ht="39" x14ac:dyDescent="0.2">
      <c r="B158" s="31"/>
      <c r="D158" s="138" t="s">
        <v>289</v>
      </c>
      <c r="F158" s="139" t="s">
        <v>368</v>
      </c>
      <c r="I158" s="140"/>
      <c r="L158" s="31"/>
      <c r="N158" s="213"/>
      <c r="O158" s="214"/>
      <c r="Q158" s="229"/>
      <c r="DF158" s="141"/>
      <c r="DM158" s="50"/>
      <c r="EM158" s="16" t="s">
        <v>289</v>
      </c>
      <c r="EN158" s="16" t="s">
        <v>83</v>
      </c>
    </row>
    <row r="159" spans="2:162" s="1" customFormat="1" ht="39" x14ac:dyDescent="0.2">
      <c r="B159" s="31"/>
      <c r="D159" s="138" t="s">
        <v>299</v>
      </c>
      <c r="F159" s="142" t="s">
        <v>809</v>
      </c>
      <c r="I159" s="140"/>
      <c r="L159" s="31"/>
      <c r="N159" s="213"/>
      <c r="O159" s="214"/>
      <c r="Q159" s="229"/>
      <c r="DF159" s="141"/>
      <c r="DM159" s="50"/>
      <c r="EM159" s="16" t="s">
        <v>299</v>
      </c>
      <c r="EN159" s="16" t="s">
        <v>83</v>
      </c>
    </row>
    <row r="160" spans="2:162" s="11" customFormat="1" ht="22.5" x14ac:dyDescent="0.2">
      <c r="B160" s="143"/>
      <c r="D160" s="138" t="s">
        <v>301</v>
      </c>
      <c r="E160" s="144" t="s">
        <v>1</v>
      </c>
      <c r="F160" s="145" t="s">
        <v>370</v>
      </c>
      <c r="H160" s="144" t="s">
        <v>1</v>
      </c>
      <c r="I160" s="146"/>
      <c r="L160" s="143"/>
      <c r="N160" s="215"/>
      <c r="O160" s="216"/>
      <c r="Q160" s="230"/>
      <c r="DF160" s="147"/>
      <c r="DM160" s="148"/>
      <c r="EM160" s="144" t="s">
        <v>301</v>
      </c>
      <c r="EN160" s="144" t="s">
        <v>83</v>
      </c>
      <c r="EO160" s="11" t="s">
        <v>81</v>
      </c>
      <c r="EP160" s="11" t="s">
        <v>32</v>
      </c>
      <c r="EQ160" s="11" t="s">
        <v>74</v>
      </c>
      <c r="ER160" s="144" t="s">
        <v>282</v>
      </c>
    </row>
    <row r="161" spans="2:162" s="12" customFormat="1" x14ac:dyDescent="0.2">
      <c r="B161" s="149"/>
      <c r="D161" s="138" t="s">
        <v>301</v>
      </c>
      <c r="E161" s="150" t="s">
        <v>1</v>
      </c>
      <c r="F161" s="151" t="s">
        <v>742</v>
      </c>
      <c r="H161" s="152">
        <v>4.3</v>
      </c>
      <c r="I161" s="153"/>
      <c r="L161" s="149"/>
      <c r="N161" s="217">
        <f>3.32*1*(2.6-0.45)</f>
        <v>7.137999999999999</v>
      </c>
      <c r="O161" s="359" t="s">
        <v>3381</v>
      </c>
      <c r="Q161" s="231"/>
      <c r="DF161" s="154"/>
      <c r="DM161" s="155"/>
      <c r="EM161" s="150" t="s">
        <v>301</v>
      </c>
      <c r="EN161" s="150" t="s">
        <v>83</v>
      </c>
      <c r="EO161" s="12" t="s">
        <v>83</v>
      </c>
      <c r="EP161" s="12" t="s">
        <v>32</v>
      </c>
      <c r="EQ161" s="12" t="s">
        <v>74</v>
      </c>
      <c r="ER161" s="150" t="s">
        <v>282</v>
      </c>
    </row>
    <row r="162" spans="2:162" s="12" customFormat="1" x14ac:dyDescent="0.2">
      <c r="B162" s="149"/>
      <c r="D162" s="138" t="s">
        <v>301</v>
      </c>
      <c r="E162" s="150" t="s">
        <v>1</v>
      </c>
      <c r="F162" s="151" t="s">
        <v>810</v>
      </c>
      <c r="H162" s="152">
        <v>114.004</v>
      </c>
      <c r="I162" s="153"/>
      <c r="L162" s="149"/>
      <c r="N162" s="217">
        <f>52.06*1.05*(2.6-0.45)</f>
        <v>117.52545000000001</v>
      </c>
      <c r="O162" s="218" t="s">
        <v>3382</v>
      </c>
      <c r="Q162" s="231"/>
      <c r="DF162" s="154"/>
      <c r="DM162" s="155"/>
      <c r="EM162" s="150" t="s">
        <v>301</v>
      </c>
      <c r="EN162" s="150" t="s">
        <v>83</v>
      </c>
      <c r="EO162" s="12" t="s">
        <v>83</v>
      </c>
      <c r="EP162" s="12" t="s">
        <v>32</v>
      </c>
      <c r="EQ162" s="12" t="s">
        <v>74</v>
      </c>
      <c r="ER162" s="150" t="s">
        <v>282</v>
      </c>
    </row>
    <row r="163" spans="2:162" s="12" customFormat="1" ht="22.5" x14ac:dyDescent="0.2">
      <c r="B163" s="149"/>
      <c r="D163" s="138" t="s">
        <v>301</v>
      </c>
      <c r="E163" s="150" t="s">
        <v>1</v>
      </c>
      <c r="F163" s="151" t="s">
        <v>811</v>
      </c>
      <c r="H163" s="152">
        <v>22.073</v>
      </c>
      <c r="I163" s="153"/>
      <c r="L163" s="149"/>
      <c r="N163" s="310">
        <f>H163</f>
        <v>22.073</v>
      </c>
      <c r="O163" s="218"/>
      <c r="Q163" s="231"/>
      <c r="DF163" s="154"/>
      <c r="DM163" s="155"/>
      <c r="EM163" s="150" t="s">
        <v>301</v>
      </c>
      <c r="EN163" s="150" t="s">
        <v>83</v>
      </c>
      <c r="EO163" s="12" t="s">
        <v>83</v>
      </c>
      <c r="EP163" s="12" t="s">
        <v>32</v>
      </c>
      <c r="EQ163" s="12" t="s">
        <v>74</v>
      </c>
      <c r="ER163" s="150" t="s">
        <v>282</v>
      </c>
    </row>
    <row r="164" spans="2:162" s="14" customFormat="1" x14ac:dyDescent="0.2">
      <c r="B164" s="163"/>
      <c r="D164" s="138" t="s">
        <v>301</v>
      </c>
      <c r="E164" s="164" t="s">
        <v>1</v>
      </c>
      <c r="F164" s="165" t="s">
        <v>373</v>
      </c>
      <c r="H164" s="166">
        <v>140.37700000000001</v>
      </c>
      <c r="I164" s="167"/>
      <c r="L164" s="163"/>
      <c r="N164" s="318">
        <f>N161+N162+N163</f>
        <v>146.73645000000002</v>
      </c>
      <c r="O164" s="222"/>
      <c r="Q164" s="233"/>
      <c r="DF164" s="168"/>
      <c r="DM164" s="169"/>
      <c r="EM164" s="164" t="s">
        <v>301</v>
      </c>
      <c r="EN164" s="164" t="s">
        <v>83</v>
      </c>
      <c r="EO164" s="14" t="s">
        <v>90</v>
      </c>
      <c r="EP164" s="14" t="s">
        <v>32</v>
      </c>
      <c r="EQ164" s="14" t="s">
        <v>74</v>
      </c>
      <c r="ER164" s="164" t="s">
        <v>282</v>
      </c>
    </row>
    <row r="165" spans="2:162" s="12" customFormat="1" x14ac:dyDescent="0.2">
      <c r="B165" s="149"/>
      <c r="D165" s="138" t="s">
        <v>301</v>
      </c>
      <c r="E165" s="150" t="s">
        <v>1</v>
      </c>
      <c r="F165" s="151" t="s">
        <v>812</v>
      </c>
      <c r="H165" s="152">
        <v>70.188999999999993</v>
      </c>
      <c r="I165" s="153"/>
      <c r="L165" s="149"/>
      <c r="N165" s="217">
        <f>N164*0.5</f>
        <v>73.36822500000001</v>
      </c>
      <c r="O165" s="218"/>
      <c r="Q165" s="231"/>
      <c r="DF165" s="154"/>
      <c r="DM165" s="155"/>
      <c r="EM165" s="150" t="s">
        <v>301</v>
      </c>
      <c r="EN165" s="150" t="s">
        <v>83</v>
      </c>
      <c r="EO165" s="12" t="s">
        <v>83</v>
      </c>
      <c r="EP165" s="12" t="s">
        <v>32</v>
      </c>
      <c r="EQ165" s="12" t="s">
        <v>81</v>
      </c>
      <c r="ER165" s="150" t="s">
        <v>282</v>
      </c>
    </row>
    <row r="166" spans="2:162" s="12" customFormat="1" x14ac:dyDescent="0.2">
      <c r="B166" s="149"/>
      <c r="D166" s="138"/>
      <c r="E166" s="150"/>
      <c r="F166" s="151"/>
      <c r="H166" s="152"/>
      <c r="I166" s="153"/>
      <c r="L166" s="149"/>
      <c r="N166" s="310">
        <f>N165-H165</f>
        <v>3.1792250000000166</v>
      </c>
      <c r="O166" s="218"/>
      <c r="Q166" s="231"/>
      <c r="DF166" s="154"/>
      <c r="DM166" s="155"/>
      <c r="EM166" s="150"/>
      <c r="EN166" s="150"/>
      <c r="ER166" s="150"/>
    </row>
    <row r="167" spans="2:162" s="1" customFormat="1" ht="24.2" customHeight="1" x14ac:dyDescent="0.2">
      <c r="B167" s="124"/>
      <c r="C167" s="125" t="s">
        <v>341</v>
      </c>
      <c r="D167" s="125" t="s">
        <v>284</v>
      </c>
      <c r="E167" s="126" t="s">
        <v>375</v>
      </c>
      <c r="F167" s="127" t="s">
        <v>376</v>
      </c>
      <c r="G167" s="128" t="s">
        <v>366</v>
      </c>
      <c r="H167" s="129">
        <v>70.188999999999993</v>
      </c>
      <c r="I167" s="130">
        <v>390.55963566140201</v>
      </c>
      <c r="J167" s="131">
        <f>ROUND(I167*H167,2)</f>
        <v>27412.99</v>
      </c>
      <c r="K167" s="127" t="s">
        <v>293</v>
      </c>
      <c r="L167" s="268">
        <f>S167</f>
        <v>0</v>
      </c>
      <c r="M167" s="272">
        <f>ROUND(L167*I167,2)</f>
        <v>0</v>
      </c>
      <c r="N167" s="243">
        <f>N166</f>
        <v>3.1792250000000166</v>
      </c>
      <c r="O167" s="294">
        <f>ROUND(N167*I167,2)</f>
        <v>1241.68</v>
      </c>
      <c r="P167" s="273">
        <f>H167-L167-N167</f>
        <v>67.009774999999976</v>
      </c>
      <c r="Q167" s="287">
        <f>ROUND(P167*I167,2)</f>
        <v>26171.31</v>
      </c>
      <c r="R167" s="137"/>
      <c r="S167" s="269">
        <f>W167+Y167+AA167+AC167+AE167+AG167+AI167+AK167+AM167+AO167+AQ167+AS167+AU167+AW167</f>
        <v>0</v>
      </c>
      <c r="T167" s="269">
        <f>ROUND(S167*I167,2)</f>
        <v>0</v>
      </c>
      <c r="U167" s="269">
        <f>H167-S167</f>
        <v>70.188999999999993</v>
      </c>
      <c r="V167" s="269">
        <f>ROUND(U167*I167,2)</f>
        <v>27412.99</v>
      </c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DF167" s="132" t="s">
        <v>1</v>
      </c>
      <c r="DG167" s="133" t="s">
        <v>40</v>
      </c>
      <c r="DI167" s="134">
        <f>DH167*H167</f>
        <v>0</v>
      </c>
      <c r="DJ167" s="134">
        <v>0</v>
      </c>
      <c r="DK167" s="134">
        <f>DJ167*H167</f>
        <v>0</v>
      </c>
      <c r="DL167" s="134">
        <v>0</v>
      </c>
      <c r="DM167" s="135">
        <f>DL167*H167</f>
        <v>0</v>
      </c>
      <c r="EK167" s="136" t="s">
        <v>95</v>
      </c>
      <c r="EM167" s="136" t="s">
        <v>284</v>
      </c>
      <c r="EN167" s="136" t="s">
        <v>83</v>
      </c>
      <c r="ER167" s="16" t="s">
        <v>282</v>
      </c>
      <c r="EX167" s="137">
        <f>IF(DG167="základní",J167,0)</f>
        <v>27412.99</v>
      </c>
      <c r="EY167" s="137">
        <f>IF(DG167="snížená",J167,0)</f>
        <v>0</v>
      </c>
      <c r="EZ167" s="137">
        <f>IF(DG167="zákl. přenesená",J167,0)</f>
        <v>0</v>
      </c>
      <c r="FA167" s="137">
        <f>IF(DG167="sníž. přenesená",J167,0)</f>
        <v>0</v>
      </c>
      <c r="FB167" s="137">
        <f>IF(DG167="nulová",J167,0)</f>
        <v>0</v>
      </c>
      <c r="FC167" s="16" t="s">
        <v>81</v>
      </c>
      <c r="FD167" s="137">
        <f>ROUND(I167*H167,2)</f>
        <v>27412.99</v>
      </c>
      <c r="FE167" s="16" t="s">
        <v>95</v>
      </c>
      <c r="FF167" s="136" t="s">
        <v>377</v>
      </c>
    </row>
    <row r="168" spans="2:162" s="1" customFormat="1" ht="39" x14ac:dyDescent="0.2">
      <c r="B168" s="31"/>
      <c r="D168" s="138" t="s">
        <v>289</v>
      </c>
      <c r="F168" s="139" t="s">
        <v>378</v>
      </c>
      <c r="I168" s="140"/>
      <c r="L168" s="31"/>
      <c r="N168" s="213"/>
      <c r="O168" s="214"/>
      <c r="Q168" s="229"/>
      <c r="DF168" s="141"/>
      <c r="DM168" s="50"/>
      <c r="EM168" s="16" t="s">
        <v>289</v>
      </c>
      <c r="EN168" s="16" t="s">
        <v>83</v>
      </c>
    </row>
    <row r="169" spans="2:162" s="1" customFormat="1" ht="39" x14ac:dyDescent="0.2">
      <c r="B169" s="31"/>
      <c r="D169" s="138" t="s">
        <v>299</v>
      </c>
      <c r="F169" s="142" t="s">
        <v>809</v>
      </c>
      <c r="I169" s="140"/>
      <c r="L169" s="31"/>
      <c r="N169" s="213"/>
      <c r="O169" s="214"/>
      <c r="Q169" s="229"/>
      <c r="DF169" s="141"/>
      <c r="DM169" s="50"/>
      <c r="EM169" s="16" t="s">
        <v>299</v>
      </c>
      <c r="EN169" s="16" t="s">
        <v>83</v>
      </c>
    </row>
    <row r="170" spans="2:162" s="1" customFormat="1" ht="24.2" customHeight="1" x14ac:dyDescent="0.2">
      <c r="B170" s="124"/>
      <c r="C170" s="125" t="s">
        <v>348</v>
      </c>
      <c r="D170" s="125" t="s">
        <v>284</v>
      </c>
      <c r="E170" s="126" t="s">
        <v>380</v>
      </c>
      <c r="F170" s="127" t="s">
        <v>381</v>
      </c>
      <c r="G170" s="128" t="s">
        <v>366</v>
      </c>
      <c r="H170" s="129">
        <v>28.076000000000001</v>
      </c>
      <c r="I170" s="130">
        <v>650.27058629099099</v>
      </c>
      <c r="J170" s="131">
        <f>ROUND(I170*H170,2)</f>
        <v>18257</v>
      </c>
      <c r="K170" s="127" t="s">
        <v>293</v>
      </c>
      <c r="L170" s="268">
        <f>S170</f>
        <v>0</v>
      </c>
      <c r="M170" s="272">
        <f>ROUND(L170*I170,2)</f>
        <v>0</v>
      </c>
      <c r="N170" s="243">
        <f>N174</f>
        <v>7.1199999999997488E-2</v>
      </c>
      <c r="O170" s="294">
        <f>ROUND(N170*I170,2)</f>
        <v>46.3</v>
      </c>
      <c r="P170" s="273">
        <f>H170-L170-N170</f>
        <v>28.004800000000003</v>
      </c>
      <c r="Q170" s="287">
        <f>ROUND(P170*I170,2)</f>
        <v>18210.7</v>
      </c>
      <c r="R170" s="137"/>
      <c r="S170" s="269">
        <f>W170+Y170+AA170+AC170+AE170+AG170+AI170+AK170+AM170+AO170+AQ170+AS170+AU170+AW170</f>
        <v>0</v>
      </c>
      <c r="T170" s="269">
        <f>ROUND(S170*I170,2)</f>
        <v>0</v>
      </c>
      <c r="U170" s="269">
        <f>H170-S170</f>
        <v>28.076000000000001</v>
      </c>
      <c r="V170" s="269">
        <f>ROUND(U170*I170,2)</f>
        <v>18257</v>
      </c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DF170" s="132" t="s">
        <v>1</v>
      </c>
      <c r="DG170" s="133" t="s">
        <v>40</v>
      </c>
      <c r="DI170" s="134">
        <f>DH170*H170</f>
        <v>0</v>
      </c>
      <c r="DJ170" s="134">
        <v>0</v>
      </c>
      <c r="DK170" s="134">
        <f>DJ170*H170</f>
        <v>0</v>
      </c>
      <c r="DL170" s="134">
        <v>0</v>
      </c>
      <c r="DM170" s="135">
        <f>DL170*H170</f>
        <v>0</v>
      </c>
      <c r="EK170" s="136" t="s">
        <v>95</v>
      </c>
      <c r="EM170" s="136" t="s">
        <v>284</v>
      </c>
      <c r="EN170" s="136" t="s">
        <v>83</v>
      </c>
      <c r="ER170" s="16" t="s">
        <v>282</v>
      </c>
      <c r="EX170" s="137">
        <f>IF(DG170="základní",J170,0)</f>
        <v>18257</v>
      </c>
      <c r="EY170" s="137">
        <f>IF(DG170="snížená",J170,0)</f>
        <v>0</v>
      </c>
      <c r="EZ170" s="137">
        <f>IF(DG170="zákl. přenesená",J170,0)</f>
        <v>0</v>
      </c>
      <c r="FA170" s="137">
        <f>IF(DG170="sníž. přenesená",J170,0)</f>
        <v>0</v>
      </c>
      <c r="FB170" s="137">
        <f>IF(DG170="nulová",J170,0)</f>
        <v>0</v>
      </c>
      <c r="FC170" s="16" t="s">
        <v>81</v>
      </c>
      <c r="FD170" s="137">
        <f>ROUND(I170*H170,2)</f>
        <v>18257</v>
      </c>
      <c r="FE170" s="16" t="s">
        <v>95</v>
      </c>
      <c r="FF170" s="136" t="s">
        <v>382</v>
      </c>
    </row>
    <row r="171" spans="2:162" s="1" customFormat="1" ht="29.25" x14ac:dyDescent="0.2">
      <c r="B171" s="31"/>
      <c r="D171" s="138" t="s">
        <v>289</v>
      </c>
      <c r="F171" s="139" t="s">
        <v>383</v>
      </c>
      <c r="I171" s="140"/>
      <c r="L171" s="31"/>
      <c r="N171" s="213"/>
      <c r="O171" s="214"/>
      <c r="Q171" s="229"/>
      <c r="DF171" s="141"/>
      <c r="DM171" s="50"/>
      <c r="EM171" s="16" t="s">
        <v>289</v>
      </c>
      <c r="EN171" s="16" t="s">
        <v>83</v>
      </c>
    </row>
    <row r="172" spans="2:162" s="11" customFormat="1" x14ac:dyDescent="0.2">
      <c r="B172" s="143"/>
      <c r="D172" s="138" t="s">
        <v>301</v>
      </c>
      <c r="E172" s="144" t="s">
        <v>1</v>
      </c>
      <c r="F172" s="145" t="s">
        <v>384</v>
      </c>
      <c r="H172" s="144" t="s">
        <v>1</v>
      </c>
      <c r="I172" s="146"/>
      <c r="L172" s="143"/>
      <c r="N172" s="215"/>
      <c r="O172" s="216"/>
      <c r="Q172" s="230"/>
      <c r="DF172" s="147"/>
      <c r="DM172" s="148"/>
      <c r="EM172" s="144" t="s">
        <v>301</v>
      </c>
      <c r="EN172" s="144" t="s">
        <v>83</v>
      </c>
      <c r="EO172" s="11" t="s">
        <v>81</v>
      </c>
      <c r="EP172" s="11" t="s">
        <v>32</v>
      </c>
      <c r="EQ172" s="11" t="s">
        <v>74</v>
      </c>
      <c r="ER172" s="144" t="s">
        <v>282</v>
      </c>
    </row>
    <row r="173" spans="2:162" s="12" customFormat="1" x14ac:dyDescent="0.2">
      <c r="B173" s="149"/>
      <c r="D173" s="138" t="s">
        <v>301</v>
      </c>
      <c r="E173" s="150" t="s">
        <v>1</v>
      </c>
      <c r="F173" s="151" t="s">
        <v>813</v>
      </c>
      <c r="H173" s="152">
        <v>28.076000000000001</v>
      </c>
      <c r="I173" s="153"/>
      <c r="L173" s="149"/>
      <c r="N173" s="217">
        <f>(70.368+70.368)*0.2</f>
        <v>28.147199999999998</v>
      </c>
      <c r="O173" s="218" t="s">
        <v>3383</v>
      </c>
      <c r="Q173" s="231"/>
      <c r="DF173" s="154"/>
      <c r="DM173" s="155"/>
      <c r="EM173" s="150" t="s">
        <v>301</v>
      </c>
      <c r="EN173" s="150" t="s">
        <v>83</v>
      </c>
      <c r="EO173" s="12" t="s">
        <v>83</v>
      </c>
      <c r="EP173" s="12" t="s">
        <v>32</v>
      </c>
      <c r="EQ173" s="12" t="s">
        <v>81</v>
      </c>
      <c r="ER173" s="150" t="s">
        <v>282</v>
      </c>
    </row>
    <row r="174" spans="2:162" s="12" customFormat="1" x14ac:dyDescent="0.2">
      <c r="B174" s="149"/>
      <c r="D174" s="138"/>
      <c r="E174" s="150"/>
      <c r="F174" s="151"/>
      <c r="H174" s="152"/>
      <c r="I174" s="153"/>
      <c r="L174" s="149"/>
      <c r="N174" s="310">
        <f>N173-H170</f>
        <v>7.1199999999997488E-2</v>
      </c>
      <c r="O174" s="218"/>
      <c r="Q174" s="231"/>
      <c r="DF174" s="154"/>
      <c r="DM174" s="155"/>
      <c r="EM174" s="150"/>
      <c r="EN174" s="150"/>
      <c r="ER174" s="150"/>
    </row>
    <row r="175" spans="2:162" s="1" customFormat="1" ht="14.45" customHeight="1" x14ac:dyDescent="0.2">
      <c r="B175" s="124"/>
      <c r="C175" s="125" t="s">
        <v>327</v>
      </c>
      <c r="D175" s="125" t="s">
        <v>284</v>
      </c>
      <c r="E175" s="126" t="s">
        <v>387</v>
      </c>
      <c r="F175" s="127" t="s">
        <v>388</v>
      </c>
      <c r="G175" s="128" t="s">
        <v>287</v>
      </c>
      <c r="H175" s="129">
        <v>273</v>
      </c>
      <c r="I175" s="130">
        <v>156.6895922457376</v>
      </c>
      <c r="J175" s="131">
        <f>ROUND(I175*H175,2)</f>
        <v>42776.26</v>
      </c>
      <c r="K175" s="127" t="s">
        <v>293</v>
      </c>
      <c r="L175" s="268">
        <f>S175</f>
        <v>0</v>
      </c>
      <c r="M175" s="272">
        <f>ROUND(L175*I175,2)</f>
        <v>0</v>
      </c>
      <c r="N175" s="243">
        <f>N181</f>
        <v>14.976000000000056</v>
      </c>
      <c r="O175" s="294">
        <f>ROUND(N175*I175,2)</f>
        <v>2346.58</v>
      </c>
      <c r="P175" s="273">
        <f>H175-L175-N175</f>
        <v>258.02399999999994</v>
      </c>
      <c r="Q175" s="287">
        <f>ROUND(P175*I175,2)</f>
        <v>40429.68</v>
      </c>
      <c r="R175" s="137"/>
      <c r="S175" s="269">
        <f>W175+Y175+AA175+AC175+AE175+AG175+AI175+AK175+AM175+AO175+AQ175+AS175+AU175+AW175</f>
        <v>0</v>
      </c>
      <c r="T175" s="269">
        <f>ROUND(S175*I175,2)</f>
        <v>0</v>
      </c>
      <c r="U175" s="269">
        <f>H175-S175</f>
        <v>273</v>
      </c>
      <c r="V175" s="269">
        <f>ROUND(U175*I175,2)</f>
        <v>42776.26</v>
      </c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DF175" s="132" t="s">
        <v>1</v>
      </c>
      <c r="DG175" s="133" t="s">
        <v>40</v>
      </c>
      <c r="DI175" s="134">
        <f>DH175*H175</f>
        <v>0</v>
      </c>
      <c r="DJ175" s="134">
        <v>5.9000000000000003E-4</v>
      </c>
      <c r="DK175" s="134">
        <f>DJ175*H175</f>
        <v>0.16107000000000002</v>
      </c>
      <c r="DL175" s="134">
        <v>0</v>
      </c>
      <c r="DM175" s="135">
        <f>DL175*H175</f>
        <v>0</v>
      </c>
      <c r="EK175" s="136" t="s">
        <v>95</v>
      </c>
      <c r="EM175" s="136" t="s">
        <v>284</v>
      </c>
      <c r="EN175" s="136" t="s">
        <v>83</v>
      </c>
      <c r="ER175" s="16" t="s">
        <v>282</v>
      </c>
      <c r="EX175" s="137">
        <f>IF(DG175="základní",J175,0)</f>
        <v>42776.26</v>
      </c>
      <c r="EY175" s="137">
        <f>IF(DG175="snížená",J175,0)</f>
        <v>0</v>
      </c>
      <c r="EZ175" s="137">
        <f>IF(DG175="zákl. přenesená",J175,0)</f>
        <v>0</v>
      </c>
      <c r="FA175" s="137">
        <f>IF(DG175="sníž. přenesená",J175,0)</f>
        <v>0</v>
      </c>
      <c r="FB175" s="137">
        <f>IF(DG175="nulová",J175,0)</f>
        <v>0</v>
      </c>
      <c r="FC175" s="16" t="s">
        <v>81</v>
      </c>
      <c r="FD175" s="137">
        <f>ROUND(I175*H175,2)</f>
        <v>42776.26</v>
      </c>
      <c r="FE175" s="16" t="s">
        <v>95</v>
      </c>
      <c r="FF175" s="136" t="s">
        <v>389</v>
      </c>
    </row>
    <row r="176" spans="2:162" s="1" customFormat="1" ht="19.5" x14ac:dyDescent="0.2">
      <c r="B176" s="31"/>
      <c r="D176" s="138" t="s">
        <v>289</v>
      </c>
      <c r="F176" s="139" t="s">
        <v>390</v>
      </c>
      <c r="I176" s="140"/>
      <c r="L176" s="31"/>
      <c r="N176" s="213"/>
      <c r="O176" s="214"/>
      <c r="Q176" s="229"/>
      <c r="DF176" s="141"/>
      <c r="DM176" s="50"/>
      <c r="EM176" s="16" t="s">
        <v>289</v>
      </c>
      <c r="EN176" s="16" t="s">
        <v>83</v>
      </c>
    </row>
    <row r="177" spans="2:162" s="1" customFormat="1" ht="19.5" x14ac:dyDescent="0.2">
      <c r="B177" s="31"/>
      <c r="D177" s="138" t="s">
        <v>299</v>
      </c>
      <c r="F177" s="142" t="s">
        <v>317</v>
      </c>
      <c r="I177" s="140"/>
      <c r="L177" s="31"/>
      <c r="N177" s="213"/>
      <c r="O177" s="214"/>
      <c r="Q177" s="229"/>
      <c r="DF177" s="141"/>
      <c r="DM177" s="50"/>
      <c r="EM177" s="16" t="s">
        <v>299</v>
      </c>
      <c r="EN177" s="16" t="s">
        <v>83</v>
      </c>
    </row>
    <row r="178" spans="2:162" s="12" customFormat="1" x14ac:dyDescent="0.2">
      <c r="B178" s="149"/>
      <c r="D178" s="138" t="s">
        <v>301</v>
      </c>
      <c r="E178" s="150" t="s">
        <v>1</v>
      </c>
      <c r="F178" s="151" t="s">
        <v>747</v>
      </c>
      <c r="H178" s="152">
        <v>10.4</v>
      </c>
      <c r="I178" s="153"/>
      <c r="L178" s="149"/>
      <c r="N178" s="217">
        <f>3.32*2.6*2</f>
        <v>17.263999999999999</v>
      </c>
      <c r="O178" s="359" t="s">
        <v>3384</v>
      </c>
      <c r="Q178" s="231"/>
      <c r="DF178" s="154"/>
      <c r="DM178" s="155"/>
      <c r="EM178" s="150" t="s">
        <v>301</v>
      </c>
      <c r="EN178" s="150" t="s">
        <v>83</v>
      </c>
      <c r="EO178" s="12" t="s">
        <v>83</v>
      </c>
      <c r="EP178" s="12" t="s">
        <v>32</v>
      </c>
      <c r="EQ178" s="12" t="s">
        <v>74</v>
      </c>
      <c r="ER178" s="150" t="s">
        <v>282</v>
      </c>
    </row>
    <row r="179" spans="2:162" s="12" customFormat="1" x14ac:dyDescent="0.2">
      <c r="B179" s="149"/>
      <c r="D179" s="138" t="s">
        <v>301</v>
      </c>
      <c r="E179" s="150" t="s">
        <v>1</v>
      </c>
      <c r="F179" s="151" t="s">
        <v>814</v>
      </c>
      <c r="H179" s="152">
        <v>262.60000000000002</v>
      </c>
      <c r="I179" s="153"/>
      <c r="L179" s="149"/>
      <c r="N179" s="217">
        <f>52.06*2.6*2</f>
        <v>270.71200000000005</v>
      </c>
      <c r="O179" s="359" t="s">
        <v>3385</v>
      </c>
      <c r="Q179" s="231"/>
      <c r="DF179" s="154"/>
      <c r="DM179" s="155"/>
      <c r="EM179" s="150" t="s">
        <v>301</v>
      </c>
      <c r="EN179" s="150" t="s">
        <v>83</v>
      </c>
      <c r="EO179" s="12" t="s">
        <v>83</v>
      </c>
      <c r="EP179" s="12" t="s">
        <v>32</v>
      </c>
      <c r="EQ179" s="12" t="s">
        <v>74</v>
      </c>
      <c r="ER179" s="150" t="s">
        <v>282</v>
      </c>
    </row>
    <row r="180" spans="2:162" s="13" customFormat="1" x14ac:dyDescent="0.2">
      <c r="B180" s="156"/>
      <c r="D180" s="138" t="s">
        <v>301</v>
      </c>
      <c r="E180" s="157" t="s">
        <v>1</v>
      </c>
      <c r="F180" s="158" t="s">
        <v>305</v>
      </c>
      <c r="H180" s="159">
        <v>273</v>
      </c>
      <c r="I180" s="160"/>
      <c r="L180" s="156"/>
      <c r="N180" s="219">
        <f>N178+N179</f>
        <v>287.97600000000006</v>
      </c>
      <c r="O180" s="220"/>
      <c r="Q180" s="232"/>
      <c r="DF180" s="161"/>
      <c r="DM180" s="162"/>
      <c r="EM180" s="157" t="s">
        <v>301</v>
      </c>
      <c r="EN180" s="157" t="s">
        <v>83</v>
      </c>
      <c r="EO180" s="13" t="s">
        <v>95</v>
      </c>
      <c r="EP180" s="13" t="s">
        <v>32</v>
      </c>
      <c r="EQ180" s="13" t="s">
        <v>81</v>
      </c>
      <c r="ER180" s="157" t="s">
        <v>282</v>
      </c>
    </row>
    <row r="181" spans="2:162" s="13" customFormat="1" x14ac:dyDescent="0.2">
      <c r="B181" s="156"/>
      <c r="D181" s="138"/>
      <c r="E181" s="157"/>
      <c r="F181" s="158"/>
      <c r="H181" s="159"/>
      <c r="I181" s="160"/>
      <c r="L181" s="156"/>
      <c r="N181" s="311">
        <f>N180-H180</f>
        <v>14.976000000000056</v>
      </c>
      <c r="O181" s="220"/>
      <c r="Q181" s="232"/>
      <c r="DF181" s="161"/>
      <c r="DM181" s="162"/>
      <c r="EM181" s="157"/>
      <c r="EN181" s="157"/>
      <c r="ER181" s="157"/>
    </row>
    <row r="182" spans="2:162" s="1" customFormat="1" ht="14.45" customHeight="1" x14ac:dyDescent="0.2">
      <c r="B182" s="124"/>
      <c r="C182" s="125" t="s">
        <v>359</v>
      </c>
      <c r="D182" s="125" t="s">
        <v>284</v>
      </c>
      <c r="E182" s="126" t="s">
        <v>393</v>
      </c>
      <c r="F182" s="127" t="s">
        <v>394</v>
      </c>
      <c r="G182" s="128" t="s">
        <v>287</v>
      </c>
      <c r="H182" s="129">
        <v>273</v>
      </c>
      <c r="I182" s="130">
        <v>103.33666316345877</v>
      </c>
      <c r="J182" s="131">
        <f>ROUND(I182*H182,2)</f>
        <v>28210.91</v>
      </c>
      <c r="K182" s="127" t="s">
        <v>293</v>
      </c>
      <c r="L182" s="268">
        <f>S182</f>
        <v>0</v>
      </c>
      <c r="M182" s="272">
        <f>ROUND(L182*I182,2)</f>
        <v>0</v>
      </c>
      <c r="N182" s="243">
        <f>N181</f>
        <v>14.976000000000056</v>
      </c>
      <c r="O182" s="294">
        <f>ROUND(N182*I182,2)</f>
        <v>1547.57</v>
      </c>
      <c r="P182" s="273">
        <f>H182-L182-N182</f>
        <v>258.02399999999994</v>
      </c>
      <c r="Q182" s="287">
        <f>ROUND(P182*I182,2)</f>
        <v>26663.34</v>
      </c>
      <c r="R182" s="137"/>
      <c r="S182" s="269">
        <f>W182+Y182+AA182+AC182+AE182+AG182+AI182+AK182+AM182+AO182+AQ182+AS182+AU182+AW182</f>
        <v>0</v>
      </c>
      <c r="T182" s="269">
        <f>ROUND(S182*I182,2)</f>
        <v>0</v>
      </c>
      <c r="U182" s="269">
        <f>H182-S182</f>
        <v>273</v>
      </c>
      <c r="V182" s="269">
        <f>ROUND(U182*I182,2)</f>
        <v>28210.91</v>
      </c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DF182" s="132" t="s">
        <v>1</v>
      </c>
      <c r="DG182" s="133" t="s">
        <v>40</v>
      </c>
      <c r="DI182" s="134">
        <f>DH182*H182</f>
        <v>0</v>
      </c>
      <c r="DJ182" s="134">
        <v>0</v>
      </c>
      <c r="DK182" s="134">
        <f>DJ182*H182</f>
        <v>0</v>
      </c>
      <c r="DL182" s="134">
        <v>0</v>
      </c>
      <c r="DM182" s="135">
        <f>DL182*H182</f>
        <v>0</v>
      </c>
      <c r="EK182" s="136" t="s">
        <v>95</v>
      </c>
      <c r="EM182" s="136" t="s">
        <v>284</v>
      </c>
      <c r="EN182" s="136" t="s">
        <v>83</v>
      </c>
      <c r="ER182" s="16" t="s">
        <v>282</v>
      </c>
      <c r="EX182" s="137">
        <f>IF(DG182="základní",J182,0)</f>
        <v>28210.91</v>
      </c>
      <c r="EY182" s="137">
        <f>IF(DG182="snížená",J182,0)</f>
        <v>0</v>
      </c>
      <c r="EZ182" s="137">
        <f>IF(DG182="zákl. přenesená",J182,0)</f>
        <v>0</v>
      </c>
      <c r="FA182" s="137">
        <f>IF(DG182="sníž. přenesená",J182,0)</f>
        <v>0</v>
      </c>
      <c r="FB182" s="137">
        <f>IF(DG182="nulová",J182,0)</f>
        <v>0</v>
      </c>
      <c r="FC182" s="16" t="s">
        <v>81</v>
      </c>
      <c r="FD182" s="137">
        <f>ROUND(I182*H182,2)</f>
        <v>28210.91</v>
      </c>
      <c r="FE182" s="16" t="s">
        <v>95</v>
      </c>
      <c r="FF182" s="136" t="s">
        <v>395</v>
      </c>
    </row>
    <row r="183" spans="2:162" s="1" customFormat="1" ht="19.5" x14ac:dyDescent="0.2">
      <c r="B183" s="31"/>
      <c r="D183" s="138" t="s">
        <v>289</v>
      </c>
      <c r="F183" s="139" t="s">
        <v>396</v>
      </c>
      <c r="I183" s="140"/>
      <c r="L183" s="31"/>
      <c r="N183" s="213"/>
      <c r="O183" s="214"/>
      <c r="Q183" s="229"/>
      <c r="DF183" s="141"/>
      <c r="DM183" s="50"/>
      <c r="EM183" s="16" t="s">
        <v>289</v>
      </c>
      <c r="EN183" s="16" t="s">
        <v>83</v>
      </c>
    </row>
    <row r="184" spans="2:162" s="1" customFormat="1" ht="37.9" customHeight="1" x14ac:dyDescent="0.2">
      <c r="B184" s="124"/>
      <c r="C184" s="125" t="s">
        <v>363</v>
      </c>
      <c r="D184" s="125" t="s">
        <v>284</v>
      </c>
      <c r="E184" s="126" t="s">
        <v>398</v>
      </c>
      <c r="F184" s="127" t="s">
        <v>399</v>
      </c>
      <c r="G184" s="128" t="s">
        <v>366</v>
      </c>
      <c r="H184" s="129">
        <v>140.37799999999999</v>
      </c>
      <c r="I184" s="130">
        <v>282.06861194786097</v>
      </c>
      <c r="J184" s="131">
        <f>ROUND(I184*H184,2)</f>
        <v>39596.230000000003</v>
      </c>
      <c r="K184" s="127" t="s">
        <v>293</v>
      </c>
      <c r="L184" s="268">
        <f>S184</f>
        <v>0</v>
      </c>
      <c r="M184" s="272">
        <f>ROUND(L184*I184,2)</f>
        <v>0</v>
      </c>
      <c r="N184" s="243">
        <f>N188</f>
        <v>6.3580000000000041</v>
      </c>
      <c r="O184" s="294">
        <f>ROUND(N184*I184,2)</f>
        <v>1793.39</v>
      </c>
      <c r="P184" s="273">
        <f>H184-L184-N184</f>
        <v>134.01999999999998</v>
      </c>
      <c r="Q184" s="287">
        <f>ROUND(P184*I184,2)</f>
        <v>37802.839999999997</v>
      </c>
      <c r="R184" s="137"/>
      <c r="S184" s="269">
        <f>W184+Y184+AA184+AC184+AE184+AG184+AI184+AK184+AM184+AO184+AQ184+AS184+AU184+AW184</f>
        <v>0</v>
      </c>
      <c r="T184" s="269">
        <f>ROUND(S184*I184,2)</f>
        <v>0</v>
      </c>
      <c r="U184" s="269">
        <f>H184-S184</f>
        <v>140.37799999999999</v>
      </c>
      <c r="V184" s="269">
        <f>ROUND(U184*I184,2)</f>
        <v>39596.230000000003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DF184" s="132" t="s">
        <v>1</v>
      </c>
      <c r="DG184" s="133" t="s">
        <v>40</v>
      </c>
      <c r="DI184" s="134">
        <f>DH184*H184</f>
        <v>0</v>
      </c>
      <c r="DJ184" s="134">
        <v>0</v>
      </c>
      <c r="DK184" s="134">
        <f>DJ184*H184</f>
        <v>0</v>
      </c>
      <c r="DL184" s="134">
        <v>0</v>
      </c>
      <c r="DM184" s="135">
        <f>DL184*H184</f>
        <v>0</v>
      </c>
      <c r="EK184" s="136" t="s">
        <v>95</v>
      </c>
      <c r="EM184" s="136" t="s">
        <v>284</v>
      </c>
      <c r="EN184" s="136" t="s">
        <v>83</v>
      </c>
      <c r="ER184" s="16" t="s">
        <v>282</v>
      </c>
      <c r="EX184" s="137">
        <f>IF(DG184="základní",J184,0)</f>
        <v>39596.230000000003</v>
      </c>
      <c r="EY184" s="137">
        <f>IF(DG184="snížená",J184,0)</f>
        <v>0</v>
      </c>
      <c r="EZ184" s="137">
        <f>IF(DG184="zákl. přenesená",J184,0)</f>
        <v>0</v>
      </c>
      <c r="FA184" s="137">
        <f>IF(DG184="sníž. přenesená",J184,0)</f>
        <v>0</v>
      </c>
      <c r="FB184" s="137">
        <f>IF(DG184="nulová",J184,0)</f>
        <v>0</v>
      </c>
      <c r="FC184" s="16" t="s">
        <v>81</v>
      </c>
      <c r="FD184" s="137">
        <f>ROUND(I184*H184,2)</f>
        <v>39596.230000000003</v>
      </c>
      <c r="FE184" s="16" t="s">
        <v>95</v>
      </c>
      <c r="FF184" s="136" t="s">
        <v>400</v>
      </c>
    </row>
    <row r="185" spans="2:162" s="1" customFormat="1" ht="39" x14ac:dyDescent="0.2">
      <c r="B185" s="31"/>
      <c r="D185" s="138" t="s">
        <v>289</v>
      </c>
      <c r="F185" s="139" t="s">
        <v>401</v>
      </c>
      <c r="I185" s="140"/>
      <c r="L185" s="31"/>
      <c r="N185" s="213"/>
      <c r="O185" s="214"/>
      <c r="Q185" s="229"/>
      <c r="DF185" s="141"/>
      <c r="DM185" s="50"/>
      <c r="EM185" s="16" t="s">
        <v>289</v>
      </c>
      <c r="EN185" s="16" t="s">
        <v>83</v>
      </c>
    </row>
    <row r="186" spans="2:162" s="11" customFormat="1" x14ac:dyDescent="0.2">
      <c r="B186" s="143"/>
      <c r="D186" s="138" t="s">
        <v>301</v>
      </c>
      <c r="E186" s="144" t="s">
        <v>1</v>
      </c>
      <c r="F186" s="145" t="s">
        <v>402</v>
      </c>
      <c r="H186" s="144" t="s">
        <v>1</v>
      </c>
      <c r="I186" s="146"/>
      <c r="L186" s="143"/>
      <c r="N186" s="215"/>
      <c r="O186" s="216"/>
      <c r="Q186" s="230"/>
      <c r="DF186" s="147"/>
      <c r="DM186" s="148"/>
      <c r="EM186" s="144" t="s">
        <v>301</v>
      </c>
      <c r="EN186" s="144" t="s">
        <v>83</v>
      </c>
      <c r="EO186" s="11" t="s">
        <v>81</v>
      </c>
      <c r="EP186" s="11" t="s">
        <v>32</v>
      </c>
      <c r="EQ186" s="11" t="s">
        <v>74</v>
      </c>
      <c r="ER186" s="144" t="s">
        <v>282</v>
      </c>
    </row>
    <row r="187" spans="2:162" s="12" customFormat="1" x14ac:dyDescent="0.2">
      <c r="B187" s="149"/>
      <c r="D187" s="138" t="s">
        <v>301</v>
      </c>
      <c r="E187" s="150" t="s">
        <v>1</v>
      </c>
      <c r="F187" s="151" t="s">
        <v>815</v>
      </c>
      <c r="H187" s="152">
        <v>140.37799999999999</v>
      </c>
      <c r="I187" s="153"/>
      <c r="L187" s="149"/>
      <c r="N187" s="217">
        <f>73.368+73.368</f>
        <v>146.73599999999999</v>
      </c>
      <c r="O187" s="218" t="s">
        <v>3386</v>
      </c>
      <c r="Q187" s="231"/>
      <c r="DF187" s="154"/>
      <c r="DM187" s="155"/>
      <c r="EM187" s="150" t="s">
        <v>301</v>
      </c>
      <c r="EN187" s="150" t="s">
        <v>83</v>
      </c>
      <c r="EO187" s="12" t="s">
        <v>83</v>
      </c>
      <c r="EP187" s="12" t="s">
        <v>32</v>
      </c>
      <c r="EQ187" s="12" t="s">
        <v>81</v>
      </c>
      <c r="ER187" s="150" t="s">
        <v>282</v>
      </c>
    </row>
    <row r="188" spans="2:162" s="12" customFormat="1" x14ac:dyDescent="0.2">
      <c r="B188" s="149"/>
      <c r="D188" s="138"/>
      <c r="E188" s="150"/>
      <c r="F188" s="151"/>
      <c r="H188" s="152"/>
      <c r="I188" s="153"/>
      <c r="L188" s="149"/>
      <c r="N188" s="310">
        <f>N187-H184</f>
        <v>6.3580000000000041</v>
      </c>
      <c r="O188" s="218"/>
      <c r="Q188" s="231"/>
      <c r="DF188" s="154"/>
      <c r="DM188" s="155"/>
      <c r="EM188" s="150"/>
      <c r="EN188" s="150"/>
      <c r="ER188" s="150"/>
    </row>
    <row r="189" spans="2:162" s="1" customFormat="1" ht="37.9" customHeight="1" x14ac:dyDescent="0.2">
      <c r="B189" s="124"/>
      <c r="C189" s="125" t="s">
        <v>8</v>
      </c>
      <c r="D189" s="125" t="s">
        <v>284</v>
      </c>
      <c r="E189" s="126" t="s">
        <v>405</v>
      </c>
      <c r="F189" s="127" t="s">
        <v>406</v>
      </c>
      <c r="G189" s="128" t="s">
        <v>366</v>
      </c>
      <c r="H189" s="129">
        <v>701.89</v>
      </c>
      <c r="I189" s="130">
        <v>3.4208109177592001</v>
      </c>
      <c r="J189" s="131">
        <f>ROUND(I189*H189,2)</f>
        <v>2401.0300000000002</v>
      </c>
      <c r="K189" s="127" t="s">
        <v>293</v>
      </c>
      <c r="L189" s="268">
        <f>S189</f>
        <v>0</v>
      </c>
      <c r="M189" s="272">
        <f>ROUND(L189*I189,2)</f>
        <v>0</v>
      </c>
      <c r="N189" s="243">
        <f>N192</f>
        <v>31.789999999999964</v>
      </c>
      <c r="O189" s="294">
        <f>ROUND(N189*I189,2)</f>
        <v>108.75</v>
      </c>
      <c r="P189" s="273">
        <f>H189-L189-N189</f>
        <v>670.1</v>
      </c>
      <c r="Q189" s="287">
        <f>ROUND(P189*I189,2)</f>
        <v>2292.29</v>
      </c>
      <c r="R189" s="137"/>
      <c r="S189" s="269">
        <f>W189+Y189+AA189+AC189+AE189+AG189+AI189+AK189+AM189+AO189+AQ189+AS189+AU189+AW189</f>
        <v>0</v>
      </c>
      <c r="T189" s="269">
        <f>ROUND(S189*I189,2)</f>
        <v>0</v>
      </c>
      <c r="U189" s="269">
        <f>H189-S189</f>
        <v>701.89</v>
      </c>
      <c r="V189" s="269">
        <f>ROUND(U189*I189,2)</f>
        <v>2401.0300000000002</v>
      </c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DF189" s="132" t="s">
        <v>1</v>
      </c>
      <c r="DG189" s="133" t="s">
        <v>40</v>
      </c>
      <c r="DI189" s="134">
        <f>DH189*H189</f>
        <v>0</v>
      </c>
      <c r="DJ189" s="134">
        <v>0</v>
      </c>
      <c r="DK189" s="134">
        <f>DJ189*H189</f>
        <v>0</v>
      </c>
      <c r="DL189" s="134">
        <v>0</v>
      </c>
      <c r="DM189" s="135">
        <f>DL189*H189</f>
        <v>0</v>
      </c>
      <c r="EK189" s="136" t="s">
        <v>95</v>
      </c>
      <c r="EM189" s="136" t="s">
        <v>284</v>
      </c>
      <c r="EN189" s="136" t="s">
        <v>83</v>
      </c>
      <c r="ER189" s="16" t="s">
        <v>282</v>
      </c>
      <c r="EX189" s="137">
        <f>IF(DG189="základní",J189,0)</f>
        <v>2401.0300000000002</v>
      </c>
      <c r="EY189" s="137">
        <f>IF(DG189="snížená",J189,0)</f>
        <v>0</v>
      </c>
      <c r="EZ189" s="137">
        <f>IF(DG189="zákl. přenesená",J189,0)</f>
        <v>0</v>
      </c>
      <c r="FA189" s="137">
        <f>IF(DG189="sníž. přenesená",J189,0)</f>
        <v>0</v>
      </c>
      <c r="FB189" s="137">
        <f>IF(DG189="nulová",J189,0)</f>
        <v>0</v>
      </c>
      <c r="FC189" s="16" t="s">
        <v>81</v>
      </c>
      <c r="FD189" s="137">
        <f>ROUND(I189*H189,2)</f>
        <v>2401.0300000000002</v>
      </c>
      <c r="FE189" s="16" t="s">
        <v>95</v>
      </c>
      <c r="FF189" s="136" t="s">
        <v>407</v>
      </c>
    </row>
    <row r="190" spans="2:162" s="1" customFormat="1" ht="48.75" x14ac:dyDescent="0.2">
      <c r="B190" s="31"/>
      <c r="D190" s="138" t="s">
        <v>289</v>
      </c>
      <c r="F190" s="139" t="s">
        <v>408</v>
      </c>
      <c r="I190" s="140"/>
      <c r="L190" s="31"/>
      <c r="N190" s="213"/>
      <c r="O190" s="214"/>
      <c r="Q190" s="229"/>
      <c r="DF190" s="141"/>
      <c r="DM190" s="50"/>
      <c r="EM190" s="16" t="s">
        <v>289</v>
      </c>
      <c r="EN190" s="16" t="s">
        <v>83</v>
      </c>
    </row>
    <row r="191" spans="2:162" s="12" customFormat="1" x14ac:dyDescent="0.2">
      <c r="B191" s="149"/>
      <c r="D191" s="138" t="s">
        <v>301</v>
      </c>
      <c r="F191" s="151" t="s">
        <v>816</v>
      </c>
      <c r="H191" s="152">
        <v>701.89</v>
      </c>
      <c r="I191" s="153"/>
      <c r="L191" s="149"/>
      <c r="N191" s="217">
        <f>146.736*5</f>
        <v>733.68</v>
      </c>
      <c r="O191" s="218" t="s">
        <v>3387</v>
      </c>
      <c r="Q191" s="231"/>
      <c r="DF191" s="154"/>
      <c r="DM191" s="155"/>
      <c r="EM191" s="150" t="s">
        <v>301</v>
      </c>
      <c r="EN191" s="150" t="s">
        <v>83</v>
      </c>
      <c r="EO191" s="12" t="s">
        <v>83</v>
      </c>
      <c r="EP191" s="12" t="s">
        <v>3</v>
      </c>
      <c r="EQ191" s="12" t="s">
        <v>81</v>
      </c>
      <c r="ER191" s="150" t="s">
        <v>282</v>
      </c>
    </row>
    <row r="192" spans="2:162" s="12" customFormat="1" x14ac:dyDescent="0.2">
      <c r="B192" s="149"/>
      <c r="D192" s="138"/>
      <c r="F192" s="151"/>
      <c r="H192" s="152"/>
      <c r="I192" s="153"/>
      <c r="L192" s="149"/>
      <c r="N192" s="310">
        <f>N191-H191</f>
        <v>31.789999999999964</v>
      </c>
      <c r="O192" s="218"/>
      <c r="Q192" s="231"/>
      <c r="DF192" s="154"/>
      <c r="DM192" s="155"/>
      <c r="EM192" s="150"/>
      <c r="EN192" s="150"/>
      <c r="ER192" s="150"/>
    </row>
    <row r="193" spans="2:162" s="1" customFormat="1" ht="24.2" customHeight="1" x14ac:dyDescent="0.2">
      <c r="B193" s="124"/>
      <c r="C193" s="125" t="s">
        <v>379</v>
      </c>
      <c r="D193" s="125" t="s">
        <v>284</v>
      </c>
      <c r="E193" s="126" t="s">
        <v>410</v>
      </c>
      <c r="F193" s="127" t="s">
        <v>411</v>
      </c>
      <c r="G193" s="128" t="s">
        <v>287</v>
      </c>
      <c r="H193" s="129">
        <v>63.935000000000002</v>
      </c>
      <c r="I193" s="130">
        <v>6.3644601414457247</v>
      </c>
      <c r="J193" s="131">
        <f>ROUND(I193*H193,2)</f>
        <v>406.91</v>
      </c>
      <c r="K193" s="127" t="s">
        <v>293</v>
      </c>
      <c r="L193" s="268">
        <f>S193</f>
        <v>0</v>
      </c>
      <c r="M193" s="272">
        <f>ROUND(L193*I193,2)</f>
        <v>0</v>
      </c>
      <c r="N193" s="243">
        <f>N200</f>
        <v>2.9579999999999984</v>
      </c>
      <c r="O193" s="294">
        <f>ROUND(N193*I193,2)</f>
        <v>18.829999999999998</v>
      </c>
      <c r="P193" s="273">
        <f>H193-L193-N193</f>
        <v>60.977000000000004</v>
      </c>
      <c r="Q193" s="287">
        <f>ROUND(P193*I193,2)</f>
        <v>388.09</v>
      </c>
      <c r="R193" s="137"/>
      <c r="S193" s="269">
        <f>W193+Y193+AA193+AC193+AE193+AG193+AI193+AK193+AM193+AO193+AQ193+AS193+AU193+AW193</f>
        <v>0</v>
      </c>
      <c r="T193" s="269">
        <f>ROUND(S193*I193,2)</f>
        <v>0</v>
      </c>
      <c r="U193" s="269">
        <f>H193-S193</f>
        <v>63.935000000000002</v>
      </c>
      <c r="V193" s="269">
        <f>ROUND(U193*I193,2)</f>
        <v>406.91</v>
      </c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DF193" s="132" t="s">
        <v>1</v>
      </c>
      <c r="DG193" s="133" t="s">
        <v>40</v>
      </c>
      <c r="DI193" s="134">
        <f>DH193*H193</f>
        <v>0</v>
      </c>
      <c r="DJ193" s="134">
        <v>0</v>
      </c>
      <c r="DK193" s="134">
        <f>DJ193*H193</f>
        <v>0</v>
      </c>
      <c r="DL193" s="134">
        <v>0</v>
      </c>
      <c r="DM193" s="135">
        <f>DL193*H193</f>
        <v>0</v>
      </c>
      <c r="EK193" s="136" t="s">
        <v>95</v>
      </c>
      <c r="EM193" s="136" t="s">
        <v>284</v>
      </c>
      <c r="EN193" s="136" t="s">
        <v>83</v>
      </c>
      <c r="ER193" s="16" t="s">
        <v>282</v>
      </c>
      <c r="EX193" s="137">
        <f>IF(DG193="základní",J193,0)</f>
        <v>406.91</v>
      </c>
      <c r="EY193" s="137">
        <f>IF(DG193="snížená",J193,0)</f>
        <v>0</v>
      </c>
      <c r="EZ193" s="137">
        <f>IF(DG193="zákl. přenesená",J193,0)</f>
        <v>0</v>
      </c>
      <c r="FA193" s="137">
        <f>IF(DG193="sníž. přenesená",J193,0)</f>
        <v>0</v>
      </c>
      <c r="FB193" s="137">
        <f>IF(DG193="nulová",J193,0)</f>
        <v>0</v>
      </c>
      <c r="FC193" s="16" t="s">
        <v>81</v>
      </c>
      <c r="FD193" s="137">
        <f>ROUND(I193*H193,2)</f>
        <v>406.91</v>
      </c>
      <c r="FE193" s="16" t="s">
        <v>95</v>
      </c>
      <c r="FF193" s="136" t="s">
        <v>412</v>
      </c>
    </row>
    <row r="194" spans="2:162" s="1" customFormat="1" ht="19.5" x14ac:dyDescent="0.2">
      <c r="B194" s="31"/>
      <c r="D194" s="138" t="s">
        <v>289</v>
      </c>
      <c r="F194" s="139" t="s">
        <v>413</v>
      </c>
      <c r="I194" s="140"/>
      <c r="L194" s="31"/>
      <c r="N194" s="213"/>
      <c r="O194" s="214"/>
      <c r="Q194" s="229"/>
      <c r="DF194" s="141"/>
      <c r="DM194" s="50"/>
      <c r="EM194" s="16" t="s">
        <v>289</v>
      </c>
      <c r="EN194" s="16" t="s">
        <v>83</v>
      </c>
    </row>
    <row r="195" spans="2:162" s="1" customFormat="1" ht="19.5" x14ac:dyDescent="0.2">
      <c r="B195" s="31"/>
      <c r="D195" s="138" t="s">
        <v>299</v>
      </c>
      <c r="F195" s="142" t="s">
        <v>317</v>
      </c>
      <c r="I195" s="140"/>
      <c r="L195" s="31"/>
      <c r="N195" s="213"/>
      <c r="O195" s="214"/>
      <c r="Q195" s="229"/>
      <c r="DF195" s="141"/>
      <c r="DM195" s="50"/>
      <c r="EM195" s="16" t="s">
        <v>299</v>
      </c>
      <c r="EN195" s="16" t="s">
        <v>83</v>
      </c>
    </row>
    <row r="196" spans="2:162" s="12" customFormat="1" x14ac:dyDescent="0.2">
      <c r="B196" s="149"/>
      <c r="D196" s="138" t="s">
        <v>301</v>
      </c>
      <c r="E196" s="150" t="s">
        <v>1</v>
      </c>
      <c r="F196" s="151" t="s">
        <v>734</v>
      </c>
      <c r="H196" s="152">
        <v>2</v>
      </c>
      <c r="I196" s="153"/>
      <c r="L196" s="149"/>
      <c r="N196" s="217">
        <f>3.32*1</f>
        <v>3.32</v>
      </c>
      <c r="O196" s="218" t="s">
        <v>3378</v>
      </c>
      <c r="Q196" s="231"/>
      <c r="DF196" s="154"/>
      <c r="DM196" s="155"/>
      <c r="EM196" s="150" t="s">
        <v>301</v>
      </c>
      <c r="EN196" s="150" t="s">
        <v>83</v>
      </c>
      <c r="EO196" s="12" t="s">
        <v>83</v>
      </c>
      <c r="EP196" s="12" t="s">
        <v>32</v>
      </c>
      <c r="EQ196" s="12" t="s">
        <v>74</v>
      </c>
      <c r="ER196" s="150" t="s">
        <v>282</v>
      </c>
    </row>
    <row r="197" spans="2:162" s="12" customFormat="1" x14ac:dyDescent="0.2">
      <c r="B197" s="149"/>
      <c r="D197" s="138" t="s">
        <v>301</v>
      </c>
      <c r="E197" s="150" t="s">
        <v>1</v>
      </c>
      <c r="F197" s="151" t="s">
        <v>805</v>
      </c>
      <c r="H197" s="152">
        <v>53.024999999999999</v>
      </c>
      <c r="I197" s="153"/>
      <c r="L197" s="149"/>
      <c r="N197" s="217">
        <f>52.06*1.05</f>
        <v>54.663000000000004</v>
      </c>
      <c r="O197" s="218" t="s">
        <v>3379</v>
      </c>
      <c r="Q197" s="231"/>
      <c r="DF197" s="154"/>
      <c r="DM197" s="155"/>
      <c r="EM197" s="150" t="s">
        <v>301</v>
      </c>
      <c r="EN197" s="150" t="s">
        <v>83</v>
      </c>
      <c r="EO197" s="12" t="s">
        <v>83</v>
      </c>
      <c r="EP197" s="12" t="s">
        <v>32</v>
      </c>
      <c r="EQ197" s="12" t="s">
        <v>74</v>
      </c>
      <c r="ER197" s="150" t="s">
        <v>282</v>
      </c>
    </row>
    <row r="198" spans="2:162" s="12" customFormat="1" x14ac:dyDescent="0.2">
      <c r="B198" s="149"/>
      <c r="D198" s="138" t="s">
        <v>301</v>
      </c>
      <c r="E198" s="150" t="s">
        <v>1</v>
      </c>
      <c r="F198" s="151" t="s">
        <v>806</v>
      </c>
      <c r="H198" s="152">
        <v>8.91</v>
      </c>
      <c r="I198" s="153"/>
      <c r="L198" s="149"/>
      <c r="N198" s="217">
        <v>8.91</v>
      </c>
      <c r="O198" s="218"/>
      <c r="Q198" s="231"/>
      <c r="DF198" s="154"/>
      <c r="DM198" s="155"/>
      <c r="EM198" s="150" t="s">
        <v>301</v>
      </c>
      <c r="EN198" s="150" t="s">
        <v>83</v>
      </c>
      <c r="EO198" s="12" t="s">
        <v>83</v>
      </c>
      <c r="EP198" s="12" t="s">
        <v>32</v>
      </c>
      <c r="EQ198" s="12" t="s">
        <v>74</v>
      </c>
      <c r="ER198" s="150" t="s">
        <v>282</v>
      </c>
    </row>
    <row r="199" spans="2:162" s="13" customFormat="1" x14ac:dyDescent="0.2">
      <c r="B199" s="156"/>
      <c r="D199" s="138" t="s">
        <v>301</v>
      </c>
      <c r="E199" s="157" t="s">
        <v>1</v>
      </c>
      <c r="F199" s="158" t="s">
        <v>305</v>
      </c>
      <c r="H199" s="159">
        <v>63.935000000000002</v>
      </c>
      <c r="I199" s="160"/>
      <c r="L199" s="156"/>
      <c r="N199" s="219">
        <f>N196+N197+N198</f>
        <v>66.893000000000001</v>
      </c>
      <c r="O199" s="220"/>
      <c r="Q199" s="232"/>
      <c r="DF199" s="161"/>
      <c r="DM199" s="162"/>
      <c r="EM199" s="157" t="s">
        <v>301</v>
      </c>
      <c r="EN199" s="157" t="s">
        <v>83</v>
      </c>
      <c r="EO199" s="13" t="s">
        <v>95</v>
      </c>
      <c r="EP199" s="13" t="s">
        <v>32</v>
      </c>
      <c r="EQ199" s="13" t="s">
        <v>81</v>
      </c>
      <c r="ER199" s="157" t="s">
        <v>282</v>
      </c>
    </row>
    <row r="200" spans="2:162" s="13" customFormat="1" x14ac:dyDescent="0.2">
      <c r="B200" s="156"/>
      <c r="D200" s="138"/>
      <c r="E200" s="157"/>
      <c r="F200" s="158"/>
      <c r="H200" s="159"/>
      <c r="I200" s="160"/>
      <c r="L200" s="156"/>
      <c r="N200" s="311">
        <f>N199-H199</f>
        <v>2.9579999999999984</v>
      </c>
      <c r="O200" s="220"/>
      <c r="Q200" s="232"/>
      <c r="DF200" s="161"/>
      <c r="DM200" s="162"/>
      <c r="EM200" s="157"/>
      <c r="EN200" s="157"/>
      <c r="ER200" s="157"/>
    </row>
    <row r="201" spans="2:162" s="1" customFormat="1" ht="24.2" customHeight="1" x14ac:dyDescent="0.2">
      <c r="B201" s="124"/>
      <c r="C201" s="125" t="s">
        <v>386</v>
      </c>
      <c r="D201" s="125" t="s">
        <v>284</v>
      </c>
      <c r="E201" s="126" t="s">
        <v>416</v>
      </c>
      <c r="F201" s="127" t="s">
        <v>417</v>
      </c>
      <c r="G201" s="128" t="s">
        <v>418</v>
      </c>
      <c r="H201" s="129">
        <v>252.68</v>
      </c>
      <c r="I201" s="130">
        <v>110.6455721</v>
      </c>
      <c r="J201" s="131">
        <f>ROUND(I201*H201,2)</f>
        <v>27957.919999999998</v>
      </c>
      <c r="K201" s="127" t="s">
        <v>293</v>
      </c>
      <c r="L201" s="268">
        <f>S201</f>
        <v>0</v>
      </c>
      <c r="M201" s="272">
        <f>ROUND(L201*I201,2)</f>
        <v>0</v>
      </c>
      <c r="N201" s="243">
        <f>N204</f>
        <v>11.444799999999987</v>
      </c>
      <c r="O201" s="294">
        <f>ROUND(N201*I201,2)</f>
        <v>1266.32</v>
      </c>
      <c r="P201" s="273">
        <f>H201-L201-N201</f>
        <v>241.23520000000002</v>
      </c>
      <c r="Q201" s="287">
        <f>ROUND(P201*I201,2)</f>
        <v>26691.61</v>
      </c>
      <c r="R201" s="137"/>
      <c r="S201" s="269">
        <f>W201+Y201+AA201+AC201+AE201+AG201+AI201+AK201+AM201+AO201+AQ201+AS201+AU201+AW201</f>
        <v>0</v>
      </c>
      <c r="T201" s="269">
        <f>ROUND(S201*I201,2)</f>
        <v>0</v>
      </c>
      <c r="U201" s="269">
        <f>H201-S201</f>
        <v>252.68</v>
      </c>
      <c r="V201" s="269">
        <f>ROUND(U201*I201,2)</f>
        <v>27957.919999999998</v>
      </c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  <c r="AX201" s="269"/>
      <c r="DF201" s="132" t="s">
        <v>1</v>
      </c>
      <c r="DG201" s="133" t="s">
        <v>40</v>
      </c>
      <c r="DI201" s="134">
        <f>DH201*H201</f>
        <v>0</v>
      </c>
      <c r="DJ201" s="134">
        <v>0</v>
      </c>
      <c r="DK201" s="134">
        <f>DJ201*H201</f>
        <v>0</v>
      </c>
      <c r="DL201" s="134">
        <v>0</v>
      </c>
      <c r="DM201" s="135">
        <f>DL201*H201</f>
        <v>0</v>
      </c>
      <c r="EK201" s="136" t="s">
        <v>95</v>
      </c>
      <c r="EM201" s="136" t="s">
        <v>284</v>
      </c>
      <c r="EN201" s="136" t="s">
        <v>83</v>
      </c>
      <c r="ER201" s="16" t="s">
        <v>282</v>
      </c>
      <c r="EX201" s="137">
        <f>IF(DG201="základní",J201,0)</f>
        <v>27957.919999999998</v>
      </c>
      <c r="EY201" s="137">
        <f>IF(DG201="snížená",J201,0)</f>
        <v>0</v>
      </c>
      <c r="EZ201" s="137">
        <f>IF(DG201="zákl. přenesená",J201,0)</f>
        <v>0</v>
      </c>
      <c r="FA201" s="137">
        <f>IF(DG201="sníž. přenesená",J201,0)</f>
        <v>0</v>
      </c>
      <c r="FB201" s="137">
        <f>IF(DG201="nulová",J201,0)</f>
        <v>0</v>
      </c>
      <c r="FC201" s="16" t="s">
        <v>81</v>
      </c>
      <c r="FD201" s="137">
        <f>ROUND(I201*H201,2)</f>
        <v>27957.919999999998</v>
      </c>
      <c r="FE201" s="16" t="s">
        <v>95</v>
      </c>
      <c r="FF201" s="136" t="s">
        <v>419</v>
      </c>
    </row>
    <row r="202" spans="2:162" s="1" customFormat="1" ht="29.25" x14ac:dyDescent="0.2">
      <c r="B202" s="31"/>
      <c r="D202" s="138" t="s">
        <v>289</v>
      </c>
      <c r="F202" s="139" t="s">
        <v>420</v>
      </c>
      <c r="I202" s="140"/>
      <c r="L202" s="31"/>
      <c r="N202" s="213"/>
      <c r="O202" s="214"/>
      <c r="Q202" s="229"/>
      <c r="DF202" s="141"/>
      <c r="DM202" s="50"/>
      <c r="EM202" s="16" t="s">
        <v>289</v>
      </c>
      <c r="EN202" s="16" t="s">
        <v>83</v>
      </c>
    </row>
    <row r="203" spans="2:162" s="12" customFormat="1" x14ac:dyDescent="0.2">
      <c r="B203" s="149"/>
      <c r="D203" s="138" t="s">
        <v>301</v>
      </c>
      <c r="F203" s="151" t="s">
        <v>817</v>
      </c>
      <c r="H203" s="152">
        <v>252.68</v>
      </c>
      <c r="I203" s="153"/>
      <c r="L203" s="149"/>
      <c r="N203" s="217">
        <f>146.736*1.8</f>
        <v>264.12479999999999</v>
      </c>
      <c r="O203" s="218" t="s">
        <v>3388</v>
      </c>
      <c r="Q203" s="231"/>
      <c r="DF203" s="154"/>
      <c r="DM203" s="155"/>
      <c r="EM203" s="150" t="s">
        <v>301</v>
      </c>
      <c r="EN203" s="150" t="s">
        <v>83</v>
      </c>
      <c r="EO203" s="12" t="s">
        <v>83</v>
      </c>
      <c r="EP203" s="12" t="s">
        <v>3</v>
      </c>
      <c r="EQ203" s="12" t="s">
        <v>81</v>
      </c>
      <c r="ER203" s="150" t="s">
        <v>282</v>
      </c>
    </row>
    <row r="204" spans="2:162" s="12" customFormat="1" x14ac:dyDescent="0.2">
      <c r="B204" s="149"/>
      <c r="D204" s="138"/>
      <c r="F204" s="151"/>
      <c r="H204" s="152"/>
      <c r="I204" s="153"/>
      <c r="L204" s="149"/>
      <c r="N204" s="310">
        <f>N203-H201</f>
        <v>11.444799999999987</v>
      </c>
      <c r="O204" s="218"/>
      <c r="Q204" s="231"/>
      <c r="DF204" s="154"/>
      <c r="DM204" s="155"/>
      <c r="EM204" s="150"/>
      <c r="EN204" s="150"/>
      <c r="ER204" s="150"/>
    </row>
    <row r="205" spans="2:162" s="1" customFormat="1" ht="24.2" customHeight="1" x14ac:dyDescent="0.2">
      <c r="B205" s="124"/>
      <c r="C205" s="125" t="s">
        <v>392</v>
      </c>
      <c r="D205" s="125" t="s">
        <v>284</v>
      </c>
      <c r="E205" s="126" t="s">
        <v>423</v>
      </c>
      <c r="F205" s="127" t="s">
        <v>424</v>
      </c>
      <c r="G205" s="128" t="s">
        <v>366</v>
      </c>
      <c r="H205" s="129">
        <v>122.084</v>
      </c>
      <c r="I205" s="130">
        <v>140.64048227116101</v>
      </c>
      <c r="J205" s="131">
        <f>ROUND(I205*H205,2)</f>
        <v>17169.95</v>
      </c>
      <c r="K205" s="127" t="s">
        <v>293</v>
      </c>
      <c r="L205" s="268">
        <f>S205</f>
        <v>0</v>
      </c>
      <c r="M205" s="272">
        <f>ROUND(L205*I205,2)</f>
        <v>0</v>
      </c>
      <c r="N205" s="243">
        <f>N219</f>
        <v>11.188250000000025</v>
      </c>
      <c r="O205" s="294">
        <f>ROUND(N205*I205,2)</f>
        <v>1573.52</v>
      </c>
      <c r="P205" s="273">
        <f>H205-L205-N205</f>
        <v>110.89574999999998</v>
      </c>
      <c r="Q205" s="287">
        <f>ROUND(P205*I205,2)</f>
        <v>15596.43</v>
      </c>
      <c r="R205" s="137"/>
      <c r="S205" s="269">
        <f>W205+Y205+AA205+AC205+AE205+AG205+AI205+AK205+AM205+AO205+AQ205+AS205+AU205+AW205</f>
        <v>0</v>
      </c>
      <c r="T205" s="269">
        <f>ROUND(S205*I205,2)</f>
        <v>0</v>
      </c>
      <c r="U205" s="269">
        <f>H205-S205</f>
        <v>122.084</v>
      </c>
      <c r="V205" s="269">
        <f>ROUND(U205*I205,2)</f>
        <v>17169.95</v>
      </c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DF205" s="132" t="s">
        <v>1</v>
      </c>
      <c r="DG205" s="133" t="s">
        <v>40</v>
      </c>
      <c r="DI205" s="134">
        <f>DH205*H205</f>
        <v>0</v>
      </c>
      <c r="DJ205" s="134">
        <v>0</v>
      </c>
      <c r="DK205" s="134">
        <f>DJ205*H205</f>
        <v>0</v>
      </c>
      <c r="DL205" s="134">
        <v>0</v>
      </c>
      <c r="DM205" s="135">
        <f>DL205*H205</f>
        <v>0</v>
      </c>
      <c r="EK205" s="136" t="s">
        <v>95</v>
      </c>
      <c r="EM205" s="136" t="s">
        <v>284</v>
      </c>
      <c r="EN205" s="136" t="s">
        <v>83</v>
      </c>
      <c r="ER205" s="16" t="s">
        <v>282</v>
      </c>
      <c r="EX205" s="137">
        <f>IF(DG205="základní",J205,0)</f>
        <v>17169.95</v>
      </c>
      <c r="EY205" s="137">
        <f>IF(DG205="snížená",J205,0)</f>
        <v>0</v>
      </c>
      <c r="EZ205" s="137">
        <f>IF(DG205="zákl. přenesená",J205,0)</f>
        <v>0</v>
      </c>
      <c r="FA205" s="137">
        <f>IF(DG205="sníž. přenesená",J205,0)</f>
        <v>0</v>
      </c>
      <c r="FB205" s="137">
        <f>IF(DG205="nulová",J205,0)</f>
        <v>0</v>
      </c>
      <c r="FC205" s="16" t="s">
        <v>81</v>
      </c>
      <c r="FD205" s="137">
        <f>ROUND(I205*H205,2)</f>
        <v>17169.95</v>
      </c>
      <c r="FE205" s="16" t="s">
        <v>95</v>
      </c>
      <c r="FF205" s="136" t="s">
        <v>425</v>
      </c>
    </row>
    <row r="206" spans="2:162" s="1" customFormat="1" ht="29.25" x14ac:dyDescent="0.2">
      <c r="B206" s="31"/>
      <c r="D206" s="138" t="s">
        <v>289</v>
      </c>
      <c r="F206" s="139" t="s">
        <v>426</v>
      </c>
      <c r="I206" s="140"/>
      <c r="L206" s="31"/>
      <c r="N206" s="213"/>
      <c r="O206" s="214"/>
      <c r="Q206" s="229"/>
      <c r="DF206" s="141"/>
      <c r="DM206" s="50"/>
      <c r="EM206" s="16" t="s">
        <v>289</v>
      </c>
      <c r="EN206" s="16" t="s">
        <v>83</v>
      </c>
    </row>
    <row r="207" spans="2:162" s="11" customFormat="1" x14ac:dyDescent="0.2">
      <c r="B207" s="143"/>
      <c r="D207" s="138" t="s">
        <v>301</v>
      </c>
      <c r="E207" s="144" t="s">
        <v>1</v>
      </c>
      <c r="F207" s="145" t="s">
        <v>427</v>
      </c>
      <c r="H207" s="144" t="s">
        <v>1</v>
      </c>
      <c r="I207" s="146"/>
      <c r="L207" s="143"/>
      <c r="N207" s="215"/>
      <c r="O207" s="216"/>
      <c r="Q207" s="230"/>
      <c r="DF207" s="147"/>
      <c r="DM207" s="148"/>
      <c r="EM207" s="144" t="s">
        <v>301</v>
      </c>
      <c r="EN207" s="144" t="s">
        <v>83</v>
      </c>
      <c r="EO207" s="11" t="s">
        <v>81</v>
      </c>
      <c r="EP207" s="11" t="s">
        <v>32</v>
      </c>
      <c r="EQ207" s="11" t="s">
        <v>74</v>
      </c>
      <c r="ER207" s="144" t="s">
        <v>282</v>
      </c>
    </row>
    <row r="208" spans="2:162" s="12" customFormat="1" x14ac:dyDescent="0.2">
      <c r="B208" s="149"/>
      <c r="D208" s="138" t="s">
        <v>301</v>
      </c>
      <c r="E208" s="150" t="s">
        <v>1</v>
      </c>
      <c r="F208" s="151" t="s">
        <v>815</v>
      </c>
      <c r="H208" s="152">
        <v>140.37799999999999</v>
      </c>
      <c r="I208" s="153"/>
      <c r="L208" s="149"/>
      <c r="N208" s="217">
        <f>73.368+73.368</f>
        <v>146.73599999999999</v>
      </c>
      <c r="O208" s="218" t="s">
        <v>3386</v>
      </c>
      <c r="Q208" s="231"/>
      <c r="DF208" s="154"/>
      <c r="DM208" s="155"/>
      <c r="EM208" s="150" t="s">
        <v>301</v>
      </c>
      <c r="EN208" s="150" t="s">
        <v>83</v>
      </c>
      <c r="EO208" s="12" t="s">
        <v>83</v>
      </c>
      <c r="EP208" s="12" t="s">
        <v>32</v>
      </c>
      <c r="EQ208" s="12" t="s">
        <v>74</v>
      </c>
      <c r="ER208" s="150" t="s">
        <v>282</v>
      </c>
    </row>
    <row r="209" spans="2:162" s="11" customFormat="1" x14ac:dyDescent="0.2">
      <c r="B209" s="143"/>
      <c r="D209" s="138" t="s">
        <v>301</v>
      </c>
      <c r="E209" s="144" t="s">
        <v>1</v>
      </c>
      <c r="F209" s="145" t="s">
        <v>428</v>
      </c>
      <c r="H209" s="144" t="s">
        <v>1</v>
      </c>
      <c r="I209" s="146"/>
      <c r="L209" s="143"/>
      <c r="N209" s="215"/>
      <c r="O209" s="216"/>
      <c r="Q209" s="230"/>
      <c r="DF209" s="147"/>
      <c r="DM209" s="148"/>
      <c r="EM209" s="144" t="s">
        <v>301</v>
      </c>
      <c r="EN209" s="144" t="s">
        <v>83</v>
      </c>
      <c r="EO209" s="11" t="s">
        <v>81</v>
      </c>
      <c r="EP209" s="11" t="s">
        <v>32</v>
      </c>
      <c r="EQ209" s="11" t="s">
        <v>74</v>
      </c>
      <c r="ER209" s="144" t="s">
        <v>282</v>
      </c>
    </row>
    <row r="210" spans="2:162" s="12" customFormat="1" x14ac:dyDescent="0.2">
      <c r="B210" s="149"/>
      <c r="D210" s="138" t="s">
        <v>301</v>
      </c>
      <c r="E210" s="150" t="s">
        <v>1</v>
      </c>
      <c r="F210" s="151" t="s">
        <v>818</v>
      </c>
      <c r="H210" s="152">
        <v>-30.164000000000001</v>
      </c>
      <c r="I210" s="153"/>
      <c r="L210" s="149"/>
      <c r="N210" s="217">
        <f>-N229</f>
        <v>-31.724650000000004</v>
      </c>
      <c r="O210" s="218"/>
      <c r="Q210" s="231"/>
      <c r="DF210" s="154"/>
      <c r="DM210" s="155"/>
      <c r="EM210" s="150" t="s">
        <v>301</v>
      </c>
      <c r="EN210" s="150" t="s">
        <v>83</v>
      </c>
      <c r="EO210" s="12" t="s">
        <v>83</v>
      </c>
      <c r="EP210" s="12" t="s">
        <v>32</v>
      </c>
      <c r="EQ210" s="12" t="s">
        <v>74</v>
      </c>
      <c r="ER210" s="150" t="s">
        <v>282</v>
      </c>
    </row>
    <row r="211" spans="2:162" s="11" customFormat="1" x14ac:dyDescent="0.2">
      <c r="B211" s="143"/>
      <c r="D211" s="138" t="s">
        <v>301</v>
      </c>
      <c r="E211" s="144" t="s">
        <v>1</v>
      </c>
      <c r="F211" s="145" t="s">
        <v>430</v>
      </c>
      <c r="H211" s="144" t="s">
        <v>1</v>
      </c>
      <c r="I211" s="146"/>
      <c r="L211" s="143"/>
      <c r="N211" s="215"/>
      <c r="O211" s="216"/>
      <c r="Q211" s="230"/>
      <c r="DF211" s="147"/>
      <c r="DM211" s="148"/>
      <c r="EM211" s="144" t="s">
        <v>301</v>
      </c>
      <c r="EN211" s="144" t="s">
        <v>83</v>
      </c>
      <c r="EO211" s="11" t="s">
        <v>81</v>
      </c>
      <c r="EP211" s="11" t="s">
        <v>32</v>
      </c>
      <c r="EQ211" s="11" t="s">
        <v>74</v>
      </c>
      <c r="ER211" s="144" t="s">
        <v>282</v>
      </c>
    </row>
    <row r="212" spans="2:162" s="12" customFormat="1" x14ac:dyDescent="0.2">
      <c r="B212" s="149"/>
      <c r="D212" s="138" t="s">
        <v>301</v>
      </c>
      <c r="E212" s="150" t="s">
        <v>1</v>
      </c>
      <c r="F212" s="151" t="s">
        <v>819</v>
      </c>
      <c r="H212" s="152">
        <v>-6.7530000000000001</v>
      </c>
      <c r="I212" s="153"/>
      <c r="L212" s="149"/>
      <c r="N212" s="369">
        <f>-N244-1.25</f>
        <v>-1.5453000000000001</v>
      </c>
      <c r="O212" s="218"/>
      <c r="Q212" s="231"/>
      <c r="DF212" s="154"/>
      <c r="DM212" s="155"/>
      <c r="EM212" s="150" t="s">
        <v>301</v>
      </c>
      <c r="EN212" s="150" t="s">
        <v>83</v>
      </c>
      <c r="EO212" s="12" t="s">
        <v>83</v>
      </c>
      <c r="EP212" s="12" t="s">
        <v>32</v>
      </c>
      <c r="EQ212" s="12" t="s">
        <v>74</v>
      </c>
      <c r="ER212" s="150" t="s">
        <v>282</v>
      </c>
    </row>
    <row r="213" spans="2:162" s="11" customFormat="1" x14ac:dyDescent="0.2">
      <c r="B213" s="143"/>
      <c r="D213" s="138" t="s">
        <v>301</v>
      </c>
      <c r="E213" s="144" t="s">
        <v>1</v>
      </c>
      <c r="F213" s="145" t="s">
        <v>432</v>
      </c>
      <c r="H213" s="144" t="s">
        <v>1</v>
      </c>
      <c r="I213" s="146"/>
      <c r="L213" s="143"/>
      <c r="N213" s="215"/>
      <c r="O213" s="216"/>
      <c r="Q213" s="230"/>
      <c r="DF213" s="147"/>
      <c r="DM213" s="148"/>
      <c r="EM213" s="144" t="s">
        <v>301</v>
      </c>
      <c r="EN213" s="144" t="s">
        <v>83</v>
      </c>
      <c r="EO213" s="11" t="s">
        <v>81</v>
      </c>
      <c r="EP213" s="11" t="s">
        <v>32</v>
      </c>
      <c r="EQ213" s="11" t="s">
        <v>74</v>
      </c>
      <c r="ER213" s="144" t="s">
        <v>282</v>
      </c>
    </row>
    <row r="214" spans="2:162" s="12" customFormat="1" x14ac:dyDescent="0.2">
      <c r="B214" s="149"/>
      <c r="D214" s="138" t="s">
        <v>301</v>
      </c>
      <c r="E214" s="150" t="s">
        <v>1</v>
      </c>
      <c r="F214" s="151" t="s">
        <v>820</v>
      </c>
      <c r="H214" s="152">
        <v>-0.67500000000000004</v>
      </c>
      <c r="I214" s="153"/>
      <c r="L214" s="149"/>
      <c r="N214" s="217">
        <v>-0.67500000000000004</v>
      </c>
      <c r="O214" s="218"/>
      <c r="Q214" s="231"/>
      <c r="DF214" s="154"/>
      <c r="DM214" s="155"/>
      <c r="EM214" s="150" t="s">
        <v>301</v>
      </c>
      <c r="EN214" s="150" t="s">
        <v>83</v>
      </c>
      <c r="EO214" s="12" t="s">
        <v>83</v>
      </c>
      <c r="EP214" s="12" t="s">
        <v>32</v>
      </c>
      <c r="EQ214" s="12" t="s">
        <v>74</v>
      </c>
      <c r="ER214" s="150" t="s">
        <v>282</v>
      </c>
    </row>
    <row r="215" spans="2:162" s="12" customFormat="1" x14ac:dyDescent="0.2">
      <c r="B215" s="149"/>
      <c r="D215" s="138" t="s">
        <v>301</v>
      </c>
      <c r="E215" s="150" t="s">
        <v>1</v>
      </c>
      <c r="F215" s="151" t="s">
        <v>821</v>
      </c>
      <c r="H215" s="152">
        <v>-6.2759999999999998</v>
      </c>
      <c r="I215" s="153"/>
      <c r="L215" s="149"/>
      <c r="N215" s="310">
        <f>H215</f>
        <v>-6.2759999999999998</v>
      </c>
      <c r="O215" s="218"/>
      <c r="Q215" s="231"/>
      <c r="DF215" s="154"/>
      <c r="DM215" s="155"/>
      <c r="EM215" s="150" t="s">
        <v>301</v>
      </c>
      <c r="EN215" s="150" t="s">
        <v>83</v>
      </c>
      <c r="EO215" s="12" t="s">
        <v>83</v>
      </c>
      <c r="EP215" s="12" t="s">
        <v>32</v>
      </c>
      <c r="EQ215" s="12" t="s">
        <v>74</v>
      </c>
      <c r="ER215" s="150" t="s">
        <v>282</v>
      </c>
    </row>
    <row r="216" spans="2:162" s="11" customFormat="1" x14ac:dyDescent="0.2">
      <c r="B216" s="143"/>
      <c r="D216" s="138" t="s">
        <v>301</v>
      </c>
      <c r="E216" s="144" t="s">
        <v>1</v>
      </c>
      <c r="F216" s="145" t="s">
        <v>436</v>
      </c>
      <c r="H216" s="144" t="s">
        <v>1</v>
      </c>
      <c r="I216" s="146"/>
      <c r="L216" s="143"/>
      <c r="N216" s="215"/>
      <c r="O216" s="216"/>
      <c r="Q216" s="230"/>
      <c r="DF216" s="147"/>
      <c r="DM216" s="148"/>
      <c r="EM216" s="144" t="s">
        <v>301</v>
      </c>
      <c r="EN216" s="144" t="s">
        <v>83</v>
      </c>
      <c r="EO216" s="11" t="s">
        <v>81</v>
      </c>
      <c r="EP216" s="11" t="s">
        <v>32</v>
      </c>
      <c r="EQ216" s="11" t="s">
        <v>74</v>
      </c>
      <c r="ER216" s="144" t="s">
        <v>282</v>
      </c>
    </row>
    <row r="217" spans="2:162" s="12" customFormat="1" x14ac:dyDescent="0.2">
      <c r="B217" s="149"/>
      <c r="D217" s="138" t="s">
        <v>301</v>
      </c>
      <c r="E217" s="150" t="s">
        <v>1</v>
      </c>
      <c r="F217" s="151" t="s">
        <v>822</v>
      </c>
      <c r="H217" s="152">
        <v>25.574000000000002</v>
      </c>
      <c r="I217" s="153"/>
      <c r="L217" s="149"/>
      <c r="N217" s="217">
        <f>66.893*(0.45-0.05)</f>
        <v>26.757200000000001</v>
      </c>
      <c r="O217" s="218" t="s">
        <v>3394</v>
      </c>
      <c r="Q217" s="231"/>
      <c r="DF217" s="154"/>
      <c r="DM217" s="155"/>
      <c r="EM217" s="150" t="s">
        <v>301</v>
      </c>
      <c r="EN217" s="150" t="s">
        <v>83</v>
      </c>
      <c r="EO217" s="12" t="s">
        <v>83</v>
      </c>
      <c r="EP217" s="12" t="s">
        <v>32</v>
      </c>
      <c r="EQ217" s="12" t="s">
        <v>74</v>
      </c>
      <c r="ER217" s="150" t="s">
        <v>282</v>
      </c>
    </row>
    <row r="218" spans="2:162" s="13" customFormat="1" x14ac:dyDescent="0.2">
      <c r="B218" s="156"/>
      <c r="D218" s="138" t="s">
        <v>301</v>
      </c>
      <c r="E218" s="157" t="s">
        <v>1</v>
      </c>
      <c r="F218" s="158" t="s">
        <v>305</v>
      </c>
      <c r="H218" s="159">
        <v>122.08399999999999</v>
      </c>
      <c r="I218" s="160"/>
      <c r="L218" s="156"/>
      <c r="N218" s="311">
        <f>N208+N210+N212+N214+N215+N217</f>
        <v>133.27225000000001</v>
      </c>
      <c r="O218" s="220"/>
      <c r="Q218" s="232"/>
      <c r="DF218" s="161"/>
      <c r="DM218" s="162"/>
      <c r="EM218" s="157" t="s">
        <v>301</v>
      </c>
      <c r="EN218" s="157" t="s">
        <v>83</v>
      </c>
      <c r="EO218" s="13" t="s">
        <v>95</v>
      </c>
      <c r="EP218" s="13" t="s">
        <v>32</v>
      </c>
      <c r="EQ218" s="13" t="s">
        <v>81</v>
      </c>
      <c r="ER218" s="157" t="s">
        <v>282</v>
      </c>
    </row>
    <row r="219" spans="2:162" s="13" customFormat="1" x14ac:dyDescent="0.2">
      <c r="B219" s="156"/>
      <c r="D219" s="138"/>
      <c r="E219" s="157"/>
      <c r="F219" s="158"/>
      <c r="H219" s="159"/>
      <c r="I219" s="160"/>
      <c r="L219" s="156"/>
      <c r="N219" s="311">
        <f>N218-H218</f>
        <v>11.188250000000025</v>
      </c>
      <c r="O219" s="220"/>
      <c r="Q219" s="232"/>
      <c r="DF219" s="161"/>
      <c r="DM219" s="162"/>
      <c r="EM219" s="157"/>
      <c r="EN219" s="157"/>
      <c r="ER219" s="157"/>
    </row>
    <row r="220" spans="2:162" s="1" customFormat="1" ht="14.45" customHeight="1" x14ac:dyDescent="0.2">
      <c r="B220" s="124"/>
      <c r="C220" s="170" t="s">
        <v>397</v>
      </c>
      <c r="D220" s="170" t="s">
        <v>439</v>
      </c>
      <c r="E220" s="171" t="s">
        <v>440</v>
      </c>
      <c r="F220" s="172" t="s">
        <v>441</v>
      </c>
      <c r="G220" s="173" t="s">
        <v>418</v>
      </c>
      <c r="H220" s="174">
        <v>244.16800000000001</v>
      </c>
      <c r="I220" s="175">
        <v>390.0974172</v>
      </c>
      <c r="J220" s="176">
        <f>ROUND(I220*H220,2)</f>
        <v>95249.31</v>
      </c>
      <c r="K220" s="172" t="s">
        <v>293</v>
      </c>
      <c r="L220" s="268">
        <f>S220</f>
        <v>0</v>
      </c>
      <c r="M220" s="272">
        <f>ROUND(L220*I220,2)</f>
        <v>0</v>
      </c>
      <c r="N220" s="243">
        <f>N223</f>
        <v>22.38</v>
      </c>
      <c r="O220" s="294">
        <f>ROUND(N220*I220,2)</f>
        <v>8730.3799999999992</v>
      </c>
      <c r="P220" s="273">
        <f>H220-L220-N220</f>
        <v>221.78800000000001</v>
      </c>
      <c r="Q220" s="287">
        <f>ROUND(P220*I220,2)</f>
        <v>86518.93</v>
      </c>
      <c r="R220" s="137"/>
      <c r="S220" s="269">
        <f>W220+Y220+AA220+AC220+AE220+AG220+AI220+AK220+AM220+AO220+AQ220+AS220+AU220+AW220</f>
        <v>0</v>
      </c>
      <c r="T220" s="269">
        <f>ROUND(S220*I220,2)</f>
        <v>0</v>
      </c>
      <c r="U220" s="269">
        <f>H220-S220</f>
        <v>244.16800000000001</v>
      </c>
      <c r="V220" s="269">
        <f>ROUND(U220*I220,2)</f>
        <v>95249.31</v>
      </c>
      <c r="W220" s="290"/>
      <c r="X220" s="290"/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  <c r="AM220" s="290"/>
      <c r="AN220" s="290"/>
      <c r="AO220" s="290"/>
      <c r="AP220" s="290"/>
      <c r="AQ220" s="290"/>
      <c r="AR220" s="290"/>
      <c r="AS220" s="290"/>
      <c r="AT220" s="290"/>
      <c r="AU220" s="290"/>
      <c r="AV220" s="290"/>
      <c r="AW220" s="290"/>
      <c r="AX220" s="290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77" t="s">
        <v>1</v>
      </c>
      <c r="DG220" s="178" t="s">
        <v>40</v>
      </c>
      <c r="DI220" s="134">
        <f>DH220*H220</f>
        <v>0</v>
      </c>
      <c r="DJ220" s="134">
        <v>1</v>
      </c>
      <c r="DK220" s="134">
        <f>DJ220*H220</f>
        <v>244.16800000000001</v>
      </c>
      <c r="DL220" s="134">
        <v>0</v>
      </c>
      <c r="DM220" s="135">
        <f>DL220*H220</f>
        <v>0</v>
      </c>
      <c r="EK220" s="136" t="s">
        <v>328</v>
      </c>
      <c r="EM220" s="136" t="s">
        <v>439</v>
      </c>
      <c r="EN220" s="136" t="s">
        <v>83</v>
      </c>
      <c r="ER220" s="16" t="s">
        <v>282</v>
      </c>
      <c r="EX220" s="137">
        <f>IF(DG220="základní",J220,0)</f>
        <v>95249.31</v>
      </c>
      <c r="EY220" s="137">
        <f>IF(DG220="snížená",J220,0)</f>
        <v>0</v>
      </c>
      <c r="EZ220" s="137">
        <f>IF(DG220="zákl. přenesená",J220,0)</f>
        <v>0</v>
      </c>
      <c r="FA220" s="137">
        <f>IF(DG220="sníž. přenesená",J220,0)</f>
        <v>0</v>
      </c>
      <c r="FB220" s="137">
        <f>IF(DG220="nulová",J220,0)</f>
        <v>0</v>
      </c>
      <c r="FC220" s="16" t="s">
        <v>81</v>
      </c>
      <c r="FD220" s="137">
        <f>ROUND(I220*H220,2)</f>
        <v>95249.31</v>
      </c>
      <c r="FE220" s="16" t="s">
        <v>95</v>
      </c>
      <c r="FF220" s="136" t="s">
        <v>442</v>
      </c>
    </row>
    <row r="221" spans="2:162" s="1" customFormat="1" x14ac:dyDescent="0.2">
      <c r="B221" s="31"/>
      <c r="D221" s="138" t="s">
        <v>289</v>
      </c>
      <c r="F221" s="139" t="s">
        <v>441</v>
      </c>
      <c r="I221" s="140"/>
      <c r="L221" s="31"/>
      <c r="N221" s="213"/>
      <c r="O221" s="214"/>
      <c r="Q221" s="229"/>
      <c r="DF221" s="141"/>
      <c r="DM221" s="50"/>
      <c r="EM221" s="16" t="s">
        <v>289</v>
      </c>
      <c r="EN221" s="16" t="s">
        <v>83</v>
      </c>
    </row>
    <row r="222" spans="2:162" s="1" customFormat="1" ht="19.5" x14ac:dyDescent="0.2">
      <c r="B222" s="31"/>
      <c r="D222" s="138" t="s">
        <v>299</v>
      </c>
      <c r="F222" s="142" t="s">
        <v>443</v>
      </c>
      <c r="I222" s="140"/>
      <c r="L222" s="31"/>
      <c r="N222" s="213"/>
      <c r="O222" s="214"/>
      <c r="Q222" s="229"/>
      <c r="DF222" s="141"/>
      <c r="DM222" s="50"/>
      <c r="EM222" s="16" t="s">
        <v>299</v>
      </c>
      <c r="EN222" s="16" t="s">
        <v>83</v>
      </c>
    </row>
    <row r="223" spans="2:162" s="12" customFormat="1" x14ac:dyDescent="0.2">
      <c r="B223" s="149"/>
      <c r="D223" s="138" t="s">
        <v>301</v>
      </c>
      <c r="F223" s="151" t="s">
        <v>823</v>
      </c>
      <c r="H223" s="152">
        <v>244.16800000000001</v>
      </c>
      <c r="I223" s="153"/>
      <c r="L223" s="149"/>
      <c r="N223" s="217">
        <f>11.19*2</f>
        <v>22.38</v>
      </c>
      <c r="O223" s="218" t="s">
        <v>3395</v>
      </c>
      <c r="Q223" s="231"/>
      <c r="DF223" s="154"/>
      <c r="DM223" s="155"/>
      <c r="EM223" s="150" t="s">
        <v>301</v>
      </c>
      <c r="EN223" s="150" t="s">
        <v>83</v>
      </c>
      <c r="EO223" s="12" t="s">
        <v>83</v>
      </c>
      <c r="EP223" s="12" t="s">
        <v>3</v>
      </c>
      <c r="EQ223" s="12" t="s">
        <v>81</v>
      </c>
      <c r="ER223" s="150" t="s">
        <v>282</v>
      </c>
    </row>
    <row r="224" spans="2:162" s="1" customFormat="1" ht="24.2" customHeight="1" x14ac:dyDescent="0.2">
      <c r="B224" s="124"/>
      <c r="C224" s="125" t="s">
        <v>404</v>
      </c>
      <c r="D224" s="125" t="s">
        <v>284</v>
      </c>
      <c r="E224" s="126" t="s">
        <v>446</v>
      </c>
      <c r="F224" s="127" t="s">
        <v>447</v>
      </c>
      <c r="G224" s="128" t="s">
        <v>366</v>
      </c>
      <c r="H224" s="129">
        <v>30.164000000000001</v>
      </c>
      <c r="I224" s="130">
        <v>510.38291484661499</v>
      </c>
      <c r="J224" s="131">
        <f>ROUND(I224*H224,2)</f>
        <v>15395.19</v>
      </c>
      <c r="K224" s="127" t="s">
        <v>293</v>
      </c>
      <c r="L224" s="268">
        <f>S224</f>
        <v>0</v>
      </c>
      <c r="M224" s="272">
        <f>ROUND(L224*I224,2)</f>
        <v>0</v>
      </c>
      <c r="N224" s="243">
        <f>N230</f>
        <v>1.5606500000000025</v>
      </c>
      <c r="O224" s="294">
        <f>ROUND(N224*I224,2)</f>
        <v>796.53</v>
      </c>
      <c r="P224" s="273">
        <f>H224-L224-N224</f>
        <v>28.603349999999999</v>
      </c>
      <c r="Q224" s="287">
        <f>ROUND(P224*I224,2)</f>
        <v>14598.66</v>
      </c>
      <c r="R224" s="137"/>
      <c r="S224" s="269">
        <f>W224+Y224+AA224+AC224+AE224+AG224+AI224+AK224+AM224+AO224+AQ224+AS224+AU224+AW224</f>
        <v>0</v>
      </c>
      <c r="T224" s="269">
        <f>ROUND(S224*I224,2)</f>
        <v>0</v>
      </c>
      <c r="U224" s="269">
        <f>H224-S224</f>
        <v>30.164000000000001</v>
      </c>
      <c r="V224" s="269">
        <f>ROUND(U224*I224,2)</f>
        <v>15395.19</v>
      </c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  <c r="AX224" s="269"/>
      <c r="DF224" s="132" t="s">
        <v>1</v>
      </c>
      <c r="DG224" s="133" t="s">
        <v>40</v>
      </c>
      <c r="DI224" s="134">
        <f>DH224*H224</f>
        <v>0</v>
      </c>
      <c r="DJ224" s="134">
        <v>0</v>
      </c>
      <c r="DK224" s="134">
        <f>DJ224*H224</f>
        <v>0</v>
      </c>
      <c r="DL224" s="134">
        <v>0</v>
      </c>
      <c r="DM224" s="135">
        <f>DL224*H224</f>
        <v>0</v>
      </c>
      <c r="EK224" s="136" t="s">
        <v>95</v>
      </c>
      <c r="EM224" s="136" t="s">
        <v>284</v>
      </c>
      <c r="EN224" s="136" t="s">
        <v>83</v>
      </c>
      <c r="ER224" s="16" t="s">
        <v>282</v>
      </c>
      <c r="EX224" s="137">
        <f>IF(DG224="základní",J224,0)</f>
        <v>15395.19</v>
      </c>
      <c r="EY224" s="137">
        <f>IF(DG224="snížená",J224,0)</f>
        <v>0</v>
      </c>
      <c r="EZ224" s="137">
        <f>IF(DG224="zákl. přenesená",J224,0)</f>
        <v>0</v>
      </c>
      <c r="FA224" s="137">
        <f>IF(DG224="sníž. přenesená",J224,0)</f>
        <v>0</v>
      </c>
      <c r="FB224" s="137">
        <f>IF(DG224="nulová",J224,0)</f>
        <v>0</v>
      </c>
      <c r="FC224" s="16" t="s">
        <v>81</v>
      </c>
      <c r="FD224" s="137">
        <f>ROUND(I224*H224,2)</f>
        <v>15395.19</v>
      </c>
      <c r="FE224" s="16" t="s">
        <v>95</v>
      </c>
      <c r="FF224" s="136" t="s">
        <v>448</v>
      </c>
    </row>
    <row r="225" spans="2:162" s="1" customFormat="1" ht="39" x14ac:dyDescent="0.2">
      <c r="B225" s="31"/>
      <c r="D225" s="138" t="s">
        <v>289</v>
      </c>
      <c r="F225" s="139" t="s">
        <v>449</v>
      </c>
      <c r="I225" s="140"/>
      <c r="L225" s="31"/>
      <c r="N225" s="213"/>
      <c r="O225" s="214"/>
      <c r="Q225" s="229"/>
      <c r="DF225" s="141"/>
      <c r="DM225" s="50"/>
      <c r="EM225" s="16" t="s">
        <v>289</v>
      </c>
      <c r="EN225" s="16" t="s">
        <v>83</v>
      </c>
    </row>
    <row r="226" spans="2:162" s="1" customFormat="1" ht="19.5" x14ac:dyDescent="0.2">
      <c r="B226" s="31"/>
      <c r="D226" s="138" t="s">
        <v>299</v>
      </c>
      <c r="F226" s="142" t="s">
        <v>317</v>
      </c>
      <c r="I226" s="140"/>
      <c r="L226" s="31"/>
      <c r="N226" s="213"/>
      <c r="O226" s="214"/>
      <c r="Q226" s="229"/>
      <c r="DF226" s="141"/>
      <c r="DM226" s="50"/>
      <c r="EM226" s="16" t="s">
        <v>299</v>
      </c>
      <c r="EN226" s="16" t="s">
        <v>83</v>
      </c>
    </row>
    <row r="227" spans="2:162" s="12" customFormat="1" x14ac:dyDescent="0.2">
      <c r="B227" s="149"/>
      <c r="D227" s="138" t="s">
        <v>301</v>
      </c>
      <c r="E227" s="150" t="s">
        <v>1</v>
      </c>
      <c r="F227" s="151" t="s">
        <v>758</v>
      </c>
      <c r="H227" s="152">
        <v>1</v>
      </c>
      <c r="I227" s="153"/>
      <c r="L227" s="149"/>
      <c r="N227" s="217">
        <f>3.32*1*0.5</f>
        <v>1.66</v>
      </c>
      <c r="O227" s="359" t="s">
        <v>3389</v>
      </c>
      <c r="Q227" s="231"/>
      <c r="DF227" s="154"/>
      <c r="DM227" s="155"/>
      <c r="EM227" s="150" t="s">
        <v>301</v>
      </c>
      <c r="EN227" s="150" t="s">
        <v>83</v>
      </c>
      <c r="EO227" s="12" t="s">
        <v>83</v>
      </c>
      <c r="EP227" s="12" t="s">
        <v>32</v>
      </c>
      <c r="EQ227" s="12" t="s">
        <v>74</v>
      </c>
      <c r="ER227" s="150" t="s">
        <v>282</v>
      </c>
    </row>
    <row r="228" spans="2:162" s="12" customFormat="1" x14ac:dyDescent="0.2">
      <c r="B228" s="149"/>
      <c r="D228" s="138" t="s">
        <v>301</v>
      </c>
      <c r="E228" s="150" t="s">
        <v>1</v>
      </c>
      <c r="F228" s="151" t="s">
        <v>824</v>
      </c>
      <c r="H228" s="152">
        <v>29.164000000000001</v>
      </c>
      <c r="I228" s="153"/>
      <c r="L228" s="149"/>
      <c r="N228" s="217">
        <f>52.06*1.05*0.55</f>
        <v>30.064650000000004</v>
      </c>
      <c r="O228" s="359" t="s">
        <v>3390</v>
      </c>
      <c r="Q228" s="231"/>
      <c r="DF228" s="154"/>
      <c r="DM228" s="155"/>
      <c r="EM228" s="150" t="s">
        <v>301</v>
      </c>
      <c r="EN228" s="150" t="s">
        <v>83</v>
      </c>
      <c r="EO228" s="12" t="s">
        <v>83</v>
      </c>
      <c r="EP228" s="12" t="s">
        <v>32</v>
      </c>
      <c r="EQ228" s="12" t="s">
        <v>74</v>
      </c>
      <c r="ER228" s="150" t="s">
        <v>282</v>
      </c>
    </row>
    <row r="229" spans="2:162" s="13" customFormat="1" x14ac:dyDescent="0.2">
      <c r="B229" s="156"/>
      <c r="D229" s="138" t="s">
        <v>301</v>
      </c>
      <c r="E229" s="157" t="s">
        <v>1</v>
      </c>
      <c r="F229" s="158" t="s">
        <v>305</v>
      </c>
      <c r="H229" s="159">
        <v>30.164000000000001</v>
      </c>
      <c r="I229" s="160"/>
      <c r="L229" s="156"/>
      <c r="N229" s="219">
        <f>N227+N228</f>
        <v>31.724650000000004</v>
      </c>
      <c r="O229" s="220"/>
      <c r="Q229" s="232"/>
      <c r="DF229" s="161"/>
      <c r="DM229" s="162"/>
      <c r="EM229" s="157" t="s">
        <v>301</v>
      </c>
      <c r="EN229" s="157" t="s">
        <v>83</v>
      </c>
      <c r="EO229" s="13" t="s">
        <v>95</v>
      </c>
      <c r="EP229" s="13" t="s">
        <v>32</v>
      </c>
      <c r="EQ229" s="13" t="s">
        <v>81</v>
      </c>
      <c r="ER229" s="157" t="s">
        <v>282</v>
      </c>
    </row>
    <row r="230" spans="2:162" s="13" customFormat="1" x14ac:dyDescent="0.2">
      <c r="B230" s="156"/>
      <c r="D230" s="138"/>
      <c r="E230" s="157"/>
      <c r="F230" s="158"/>
      <c r="H230" s="159"/>
      <c r="I230" s="160"/>
      <c r="L230" s="156"/>
      <c r="N230" s="311">
        <f>N229-H229</f>
        <v>1.5606500000000025</v>
      </c>
      <c r="O230" s="220"/>
      <c r="Q230" s="232"/>
      <c r="DF230" s="161"/>
      <c r="DM230" s="162"/>
      <c r="EM230" s="157"/>
      <c r="EN230" s="157"/>
      <c r="ER230" s="157"/>
    </row>
    <row r="231" spans="2:162" s="1" customFormat="1" ht="14.45" customHeight="1" x14ac:dyDescent="0.2">
      <c r="B231" s="124"/>
      <c r="C231" s="170" t="s">
        <v>7</v>
      </c>
      <c r="D231" s="170" t="s">
        <v>439</v>
      </c>
      <c r="E231" s="171" t="s">
        <v>452</v>
      </c>
      <c r="F231" s="172" t="s">
        <v>453</v>
      </c>
      <c r="G231" s="173" t="s">
        <v>418</v>
      </c>
      <c r="H231" s="174">
        <v>60.328000000000003</v>
      </c>
      <c r="I231" s="175">
        <v>380.62816190000001</v>
      </c>
      <c r="J231" s="176">
        <f>ROUND(I231*H231,2)</f>
        <v>22962.54</v>
      </c>
      <c r="K231" s="172" t="s">
        <v>293</v>
      </c>
      <c r="L231" s="268">
        <f>S231</f>
        <v>0</v>
      </c>
      <c r="M231" s="272">
        <f>ROUND(L231*I231,2)</f>
        <v>0</v>
      </c>
      <c r="N231" s="243">
        <f>N233</f>
        <v>3.1213000000000051</v>
      </c>
      <c r="O231" s="294">
        <f>ROUND(N231*I231,2)</f>
        <v>1188.05</v>
      </c>
      <c r="P231" s="273">
        <f>H231-L231-N231</f>
        <v>57.206699999999998</v>
      </c>
      <c r="Q231" s="287">
        <f>ROUND(P231*I231,2)</f>
        <v>21774.48</v>
      </c>
      <c r="R231" s="137"/>
      <c r="S231" s="269">
        <f>W231+Y231+AA231+AC231+AE231+AG231+AI231+AK231+AM231+AO231+AQ231+AS231+AU231+AW231</f>
        <v>0</v>
      </c>
      <c r="T231" s="269">
        <f>ROUND(S231*I231,2)</f>
        <v>0</v>
      </c>
      <c r="U231" s="269">
        <f>H231-S231</f>
        <v>60.328000000000003</v>
      </c>
      <c r="V231" s="269">
        <f>ROUND(U231*I231,2)</f>
        <v>22962.54</v>
      </c>
      <c r="W231" s="290"/>
      <c r="X231" s="290"/>
      <c r="Y231" s="290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90"/>
      <c r="AK231" s="290"/>
      <c r="AL231" s="290"/>
      <c r="AM231" s="290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90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77" t="s">
        <v>1</v>
      </c>
      <c r="DG231" s="178" t="s">
        <v>40</v>
      </c>
      <c r="DI231" s="134">
        <f>DH231*H231</f>
        <v>0</v>
      </c>
      <c r="DJ231" s="134">
        <v>1</v>
      </c>
      <c r="DK231" s="134">
        <f>DJ231*H231</f>
        <v>60.328000000000003</v>
      </c>
      <c r="DL231" s="134">
        <v>0</v>
      </c>
      <c r="DM231" s="135">
        <f>DL231*H231</f>
        <v>0</v>
      </c>
      <c r="EK231" s="136" t="s">
        <v>328</v>
      </c>
      <c r="EM231" s="136" t="s">
        <v>439</v>
      </c>
      <c r="EN231" s="136" t="s">
        <v>83</v>
      </c>
      <c r="ER231" s="16" t="s">
        <v>282</v>
      </c>
      <c r="EX231" s="137">
        <f>IF(DG231="základní",J231,0)</f>
        <v>22962.54</v>
      </c>
      <c r="EY231" s="137">
        <f>IF(DG231="snížená",J231,0)</f>
        <v>0</v>
      </c>
      <c r="EZ231" s="137">
        <f>IF(DG231="zákl. přenesená",J231,0)</f>
        <v>0</v>
      </c>
      <c r="FA231" s="137">
        <f>IF(DG231="sníž. přenesená",J231,0)</f>
        <v>0</v>
      </c>
      <c r="FB231" s="137">
        <f>IF(DG231="nulová",J231,0)</f>
        <v>0</v>
      </c>
      <c r="FC231" s="16" t="s">
        <v>81</v>
      </c>
      <c r="FD231" s="137">
        <f>ROUND(I231*H231,2)</f>
        <v>22962.54</v>
      </c>
      <c r="FE231" s="16" t="s">
        <v>95</v>
      </c>
      <c r="FF231" s="136" t="s">
        <v>454</v>
      </c>
    </row>
    <row r="232" spans="2:162" s="1" customFormat="1" x14ac:dyDescent="0.2">
      <c r="B232" s="31"/>
      <c r="D232" s="138" t="s">
        <v>289</v>
      </c>
      <c r="F232" s="139" t="s">
        <v>453</v>
      </c>
      <c r="I232" s="140"/>
      <c r="L232" s="31"/>
      <c r="N232" s="213"/>
      <c r="O232" s="214"/>
      <c r="Q232" s="229"/>
      <c r="DF232" s="141"/>
      <c r="DM232" s="50"/>
      <c r="EM232" s="16" t="s">
        <v>289</v>
      </c>
      <c r="EN232" s="16" t="s">
        <v>83</v>
      </c>
    </row>
    <row r="233" spans="2:162" s="12" customFormat="1" x14ac:dyDescent="0.2">
      <c r="B233" s="149"/>
      <c r="D233" s="138" t="s">
        <v>301</v>
      </c>
      <c r="F233" s="151" t="s">
        <v>825</v>
      </c>
      <c r="H233" s="152">
        <v>60.328000000000003</v>
      </c>
      <c r="I233" s="153"/>
      <c r="L233" s="149"/>
      <c r="N233" s="217">
        <f>N224*2</f>
        <v>3.1213000000000051</v>
      </c>
      <c r="O233" s="359" t="s">
        <v>3391</v>
      </c>
      <c r="Q233" s="231"/>
      <c r="DF233" s="154"/>
      <c r="DM233" s="155"/>
      <c r="EM233" s="150" t="s">
        <v>301</v>
      </c>
      <c r="EN233" s="150" t="s">
        <v>83</v>
      </c>
      <c r="EO233" s="12" t="s">
        <v>83</v>
      </c>
      <c r="EP233" s="12" t="s">
        <v>3</v>
      </c>
      <c r="EQ233" s="12" t="s">
        <v>81</v>
      </c>
      <c r="ER233" s="150" t="s">
        <v>282</v>
      </c>
    </row>
    <row r="234" spans="2:162" s="1" customFormat="1" ht="24.2" customHeight="1" x14ac:dyDescent="0.2">
      <c r="B234" s="124"/>
      <c r="C234" s="125" t="s">
        <v>415</v>
      </c>
      <c r="D234" s="125" t="s">
        <v>284</v>
      </c>
      <c r="E234" s="126" t="s">
        <v>457</v>
      </c>
      <c r="F234" s="127" t="s">
        <v>458</v>
      </c>
      <c r="G234" s="128" t="s">
        <v>418</v>
      </c>
      <c r="H234" s="129">
        <v>304.49599999999998</v>
      </c>
      <c r="I234" s="130">
        <v>61.737071122597108</v>
      </c>
      <c r="J234" s="131">
        <f>ROUND(I234*H234,2)</f>
        <v>18798.689999999999</v>
      </c>
      <c r="K234" s="127" t="s">
        <v>293</v>
      </c>
      <c r="L234" s="268">
        <f>S234</f>
        <v>0</v>
      </c>
      <c r="M234" s="272">
        <f>ROUND(L234*I234,2)</f>
        <v>0</v>
      </c>
      <c r="N234" s="243">
        <f>N236</f>
        <v>25.501300000000001</v>
      </c>
      <c r="O234" s="294">
        <f>ROUND(N234*I234,2)</f>
        <v>1574.38</v>
      </c>
      <c r="P234" s="273">
        <f>H234-L234-N234</f>
        <v>278.99469999999997</v>
      </c>
      <c r="Q234" s="287">
        <f>ROUND(P234*I234,2)</f>
        <v>17224.32</v>
      </c>
      <c r="R234" s="137"/>
      <c r="S234" s="269">
        <f>W234+Y234+AA234+AC234+AE234+AG234+AI234+AK234+AM234+AO234+AQ234+AS234+AU234+AW234</f>
        <v>0</v>
      </c>
      <c r="T234" s="269">
        <f>ROUND(S234*I234,2)</f>
        <v>0</v>
      </c>
      <c r="U234" s="269">
        <f>H234-S234</f>
        <v>304.49599999999998</v>
      </c>
      <c r="V234" s="269">
        <f>ROUND(U234*I234,2)</f>
        <v>18798.689999999999</v>
      </c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  <c r="AX234" s="269"/>
      <c r="DF234" s="132" t="s">
        <v>1</v>
      </c>
      <c r="DG234" s="133" t="s">
        <v>40</v>
      </c>
      <c r="DI234" s="134">
        <f>DH234*H234</f>
        <v>0</v>
      </c>
      <c r="DJ234" s="134">
        <v>0</v>
      </c>
      <c r="DK234" s="134">
        <f>DJ234*H234</f>
        <v>0</v>
      </c>
      <c r="DL234" s="134">
        <v>0</v>
      </c>
      <c r="DM234" s="135">
        <f>DL234*H234</f>
        <v>0</v>
      </c>
      <c r="EK234" s="136" t="s">
        <v>95</v>
      </c>
      <c r="EM234" s="136" t="s">
        <v>284</v>
      </c>
      <c r="EN234" s="136" t="s">
        <v>83</v>
      </c>
      <c r="ER234" s="16" t="s">
        <v>282</v>
      </c>
      <c r="EX234" s="137">
        <f>IF(DG234="základní",J234,0)</f>
        <v>18798.689999999999</v>
      </c>
      <c r="EY234" s="137">
        <f>IF(DG234="snížená",J234,0)</f>
        <v>0</v>
      </c>
      <c r="EZ234" s="137">
        <f>IF(DG234="zákl. přenesená",J234,0)</f>
        <v>0</v>
      </c>
      <c r="FA234" s="137">
        <f>IF(DG234="sníž. přenesená",J234,0)</f>
        <v>0</v>
      </c>
      <c r="FB234" s="137">
        <f>IF(DG234="nulová",J234,0)</f>
        <v>0</v>
      </c>
      <c r="FC234" s="16" t="s">
        <v>81</v>
      </c>
      <c r="FD234" s="137">
        <f>ROUND(I234*H234,2)</f>
        <v>18798.689999999999</v>
      </c>
      <c r="FE234" s="16" t="s">
        <v>95</v>
      </c>
      <c r="FF234" s="136" t="s">
        <v>459</v>
      </c>
    </row>
    <row r="235" spans="2:162" s="1" customFormat="1" ht="29.25" x14ac:dyDescent="0.2">
      <c r="B235" s="31"/>
      <c r="D235" s="138" t="s">
        <v>289</v>
      </c>
      <c r="F235" s="139" t="s">
        <v>460</v>
      </c>
      <c r="I235" s="140"/>
      <c r="L235" s="31"/>
      <c r="N235" s="213"/>
      <c r="O235" s="214"/>
      <c r="Q235" s="229"/>
      <c r="DF235" s="141"/>
      <c r="DM235" s="50"/>
      <c r="EM235" s="16" t="s">
        <v>289</v>
      </c>
      <c r="EN235" s="16" t="s">
        <v>83</v>
      </c>
    </row>
    <row r="236" spans="2:162" s="12" customFormat="1" x14ac:dyDescent="0.2">
      <c r="B236" s="149"/>
      <c r="D236" s="138" t="s">
        <v>301</v>
      </c>
      <c r="E236" s="150" t="s">
        <v>1</v>
      </c>
      <c r="F236" s="151" t="s">
        <v>826</v>
      </c>
      <c r="H236" s="152">
        <v>304.49599999999998</v>
      </c>
      <c r="I236" s="153"/>
      <c r="L236" s="149"/>
      <c r="N236" s="217">
        <f>22.38+3.1213</f>
        <v>25.501300000000001</v>
      </c>
      <c r="O236" s="218" t="s">
        <v>3396</v>
      </c>
      <c r="Q236" s="231"/>
      <c r="DF236" s="154"/>
      <c r="DM236" s="155"/>
      <c r="EM236" s="150" t="s">
        <v>301</v>
      </c>
      <c r="EN236" s="150" t="s">
        <v>83</v>
      </c>
      <c r="EO236" s="12" t="s">
        <v>83</v>
      </c>
      <c r="EP236" s="12" t="s">
        <v>32</v>
      </c>
      <c r="EQ236" s="12" t="s">
        <v>81</v>
      </c>
      <c r="ER236" s="150" t="s">
        <v>282</v>
      </c>
    </row>
    <row r="237" spans="2:162" s="10" customFormat="1" ht="22.9" customHeight="1" x14ac:dyDescent="0.2">
      <c r="B237" s="112"/>
      <c r="D237" s="113" t="s">
        <v>73</v>
      </c>
      <c r="E237" s="122" t="s">
        <v>83</v>
      </c>
      <c r="F237" s="122" t="s">
        <v>462</v>
      </c>
      <c r="I237" s="115"/>
      <c r="J237" s="123">
        <f>FD237</f>
        <v>13863.59</v>
      </c>
      <c r="L237" s="112"/>
      <c r="M237" s="270">
        <f>M238</f>
        <v>0</v>
      </c>
      <c r="N237" s="301"/>
      <c r="O237" s="302">
        <f t="shared" ref="O237:V237" si="1">O238</f>
        <v>760.52</v>
      </c>
      <c r="P237" s="270"/>
      <c r="Q237" s="288">
        <f t="shared" si="1"/>
        <v>13103.07</v>
      </c>
      <c r="R237" s="270"/>
      <c r="S237" s="270"/>
      <c r="T237" s="270">
        <f t="shared" si="1"/>
        <v>0</v>
      </c>
      <c r="U237" s="270"/>
      <c r="V237" s="270">
        <f t="shared" si="1"/>
        <v>13863.59</v>
      </c>
      <c r="DF237" s="117"/>
      <c r="DI237" s="118">
        <f>SUM(DI238:DI241)</f>
        <v>0</v>
      </c>
      <c r="DK237" s="118">
        <f>SUM(DK238:DK241)</f>
        <v>10.746225000000001</v>
      </c>
      <c r="DM237" s="119">
        <f>SUM(DM238:DM241)</f>
        <v>0</v>
      </c>
      <c r="EK237" s="113" t="s">
        <v>81</v>
      </c>
      <c r="EM237" s="120" t="s">
        <v>73</v>
      </c>
      <c r="EN237" s="120" t="s">
        <v>81</v>
      </c>
      <c r="ER237" s="113" t="s">
        <v>282</v>
      </c>
      <c r="FD237" s="121">
        <f>SUM(FD238:FD241)</f>
        <v>13863.59</v>
      </c>
    </row>
    <row r="238" spans="2:162" s="1" customFormat="1" ht="37.9" customHeight="1" x14ac:dyDescent="0.2">
      <c r="B238" s="124"/>
      <c r="C238" s="125" t="s">
        <v>422</v>
      </c>
      <c r="D238" s="125" t="s">
        <v>284</v>
      </c>
      <c r="E238" s="126" t="s">
        <v>464</v>
      </c>
      <c r="F238" s="127" t="s">
        <v>465</v>
      </c>
      <c r="G238" s="128" t="s">
        <v>344</v>
      </c>
      <c r="H238" s="129">
        <v>52.5</v>
      </c>
      <c r="I238" s="130">
        <v>264.06831423630393</v>
      </c>
      <c r="J238" s="131">
        <f>ROUND(I238*H238,2)</f>
        <v>13863.59</v>
      </c>
      <c r="K238" s="127" t="s">
        <v>293</v>
      </c>
      <c r="L238" s="268">
        <f>S238</f>
        <v>0</v>
      </c>
      <c r="M238" s="272">
        <f>ROUND(L238*I238,2)</f>
        <v>0</v>
      </c>
      <c r="N238" s="243">
        <f>N242</f>
        <v>2.8800000000000026</v>
      </c>
      <c r="O238" s="294">
        <f>ROUND(N238*I238,2)</f>
        <v>760.52</v>
      </c>
      <c r="P238" s="273">
        <f>H238-L238-N238</f>
        <v>49.62</v>
      </c>
      <c r="Q238" s="287">
        <f>ROUND(P238*I238,2)</f>
        <v>13103.07</v>
      </c>
      <c r="R238" s="137"/>
      <c r="S238" s="269">
        <f>W238+Y238+AA238+AC238+AE238+AG238+AI238+AK238+AM238+AO238+AQ238+AS238+AU238+AW238</f>
        <v>0</v>
      </c>
      <c r="T238" s="269">
        <f>ROUND(S238*I238,2)</f>
        <v>0</v>
      </c>
      <c r="U238" s="269">
        <f>H238-S238</f>
        <v>52.5</v>
      </c>
      <c r="V238" s="269">
        <f>ROUND(U238*I238,2)</f>
        <v>13863.59</v>
      </c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  <c r="AX238" s="269"/>
      <c r="DF238" s="132" t="s">
        <v>1</v>
      </c>
      <c r="DG238" s="133" t="s">
        <v>40</v>
      </c>
      <c r="DI238" s="134">
        <f>DH238*H238</f>
        <v>0</v>
      </c>
      <c r="DJ238" s="134">
        <v>0.20469000000000001</v>
      </c>
      <c r="DK238" s="134">
        <f>DJ238*H238</f>
        <v>10.746225000000001</v>
      </c>
      <c r="DL238" s="134">
        <v>0</v>
      </c>
      <c r="DM238" s="135">
        <f>DL238*H238</f>
        <v>0</v>
      </c>
      <c r="EK238" s="136" t="s">
        <v>95</v>
      </c>
      <c r="EM238" s="136" t="s">
        <v>284</v>
      </c>
      <c r="EN238" s="136" t="s">
        <v>83</v>
      </c>
      <c r="ER238" s="16" t="s">
        <v>282</v>
      </c>
      <c r="EX238" s="137">
        <f>IF(DG238="základní",J238,0)</f>
        <v>13863.59</v>
      </c>
      <c r="EY238" s="137">
        <f>IF(DG238="snížená",J238,0)</f>
        <v>0</v>
      </c>
      <c r="EZ238" s="137">
        <f>IF(DG238="zákl. přenesená",J238,0)</f>
        <v>0</v>
      </c>
      <c r="FA238" s="137">
        <f>IF(DG238="sníž. přenesená",J238,0)</f>
        <v>0</v>
      </c>
      <c r="FB238" s="137">
        <f>IF(DG238="nulová",J238,0)</f>
        <v>0</v>
      </c>
      <c r="FC238" s="16" t="s">
        <v>81</v>
      </c>
      <c r="FD238" s="137">
        <f>ROUND(I238*H238,2)</f>
        <v>13863.59</v>
      </c>
      <c r="FE238" s="16" t="s">
        <v>95</v>
      </c>
      <c r="FF238" s="136" t="s">
        <v>466</v>
      </c>
    </row>
    <row r="239" spans="2:162" s="1" customFormat="1" ht="39" x14ac:dyDescent="0.2">
      <c r="B239" s="31"/>
      <c r="D239" s="138" t="s">
        <v>289</v>
      </c>
      <c r="F239" s="139" t="s">
        <v>467</v>
      </c>
      <c r="I239" s="140"/>
      <c r="L239" s="31"/>
      <c r="N239" s="213"/>
      <c r="O239" s="214"/>
      <c r="Q239" s="229"/>
      <c r="DF239" s="141"/>
      <c r="DM239" s="50"/>
      <c r="EM239" s="16" t="s">
        <v>289</v>
      </c>
      <c r="EN239" s="16" t="s">
        <v>83</v>
      </c>
    </row>
    <row r="240" spans="2:162" s="1" customFormat="1" ht="19.5" x14ac:dyDescent="0.2">
      <c r="B240" s="31"/>
      <c r="D240" s="138" t="s">
        <v>299</v>
      </c>
      <c r="F240" s="142" t="s">
        <v>317</v>
      </c>
      <c r="I240" s="140"/>
      <c r="L240" s="31"/>
      <c r="N240" s="213"/>
      <c r="O240" s="214"/>
      <c r="Q240" s="229"/>
      <c r="DF240" s="141"/>
      <c r="DM240" s="50"/>
      <c r="EM240" s="16" t="s">
        <v>299</v>
      </c>
      <c r="EN240" s="16" t="s">
        <v>83</v>
      </c>
    </row>
    <row r="241" spans="2:162" s="12" customFormat="1" x14ac:dyDescent="0.2">
      <c r="B241" s="149"/>
      <c r="D241" s="138" t="s">
        <v>301</v>
      </c>
      <c r="E241" s="150" t="s">
        <v>1</v>
      </c>
      <c r="F241" s="151" t="s">
        <v>827</v>
      </c>
      <c r="H241" s="152">
        <v>52.5</v>
      </c>
      <c r="I241" s="153"/>
      <c r="L241" s="149"/>
      <c r="N241" s="217">
        <f>52.06+3.32</f>
        <v>55.38</v>
      </c>
      <c r="O241" s="218" t="s">
        <v>3397</v>
      </c>
      <c r="Q241" s="231"/>
      <c r="DF241" s="154"/>
      <c r="DM241" s="155"/>
      <c r="EM241" s="150" t="s">
        <v>301</v>
      </c>
      <c r="EN241" s="150" t="s">
        <v>83</v>
      </c>
      <c r="EO241" s="12" t="s">
        <v>83</v>
      </c>
      <c r="EP241" s="12" t="s">
        <v>32</v>
      </c>
      <c r="EQ241" s="12" t="s">
        <v>81</v>
      </c>
      <c r="ER241" s="150" t="s">
        <v>282</v>
      </c>
    </row>
    <row r="242" spans="2:162" s="12" customFormat="1" x14ac:dyDescent="0.2">
      <c r="B242" s="149"/>
      <c r="D242" s="138"/>
      <c r="E242" s="150"/>
      <c r="F242" s="151"/>
      <c r="H242" s="152"/>
      <c r="I242" s="153"/>
      <c r="L242" s="149"/>
      <c r="N242" s="310">
        <f>N241-H241</f>
        <v>2.8800000000000026</v>
      </c>
      <c r="O242" s="218"/>
      <c r="Q242" s="231"/>
      <c r="DF242" s="154"/>
      <c r="DM242" s="155"/>
      <c r="EM242" s="150"/>
      <c r="EN242" s="150"/>
      <c r="ER242" s="150"/>
    </row>
    <row r="243" spans="2:162" s="10" customFormat="1" ht="22.9" customHeight="1" x14ac:dyDescent="0.2">
      <c r="B243" s="112"/>
      <c r="D243" s="113" t="s">
        <v>73</v>
      </c>
      <c r="E243" s="122" t="s">
        <v>95</v>
      </c>
      <c r="F243" s="122" t="s">
        <v>469</v>
      </c>
      <c r="I243" s="115"/>
      <c r="J243" s="123">
        <f>FD243</f>
        <v>11861.28</v>
      </c>
      <c r="L243" s="112"/>
      <c r="M243" s="270">
        <f>SUM(M244:M262)</f>
        <v>0</v>
      </c>
      <c r="N243" s="301"/>
      <c r="O243" s="302">
        <f t="shared" ref="O243:V243" si="2">SUM(O244:O262)</f>
        <v>354.41</v>
      </c>
      <c r="P243" s="270"/>
      <c r="Q243" s="288">
        <f t="shared" si="2"/>
        <v>11506.86</v>
      </c>
      <c r="R243" s="270"/>
      <c r="S243" s="270"/>
      <c r="T243" s="270">
        <f t="shared" si="2"/>
        <v>0</v>
      </c>
      <c r="U243" s="270"/>
      <c r="V243" s="270">
        <f t="shared" si="2"/>
        <v>11861.28</v>
      </c>
      <c r="DF243" s="117"/>
      <c r="DI243" s="118">
        <f>SUM(DI244:DI266)</f>
        <v>0</v>
      </c>
      <c r="DK243" s="118">
        <f>SUM(DK244:DK266)</f>
        <v>0.2984</v>
      </c>
      <c r="DM243" s="119">
        <f>SUM(DM244:DM266)</f>
        <v>0</v>
      </c>
      <c r="EK243" s="113" t="s">
        <v>81</v>
      </c>
      <c r="EM243" s="120" t="s">
        <v>73</v>
      </c>
      <c r="EN243" s="120" t="s">
        <v>81</v>
      </c>
      <c r="ER243" s="113" t="s">
        <v>282</v>
      </c>
      <c r="FD243" s="121">
        <f>SUM(FD244:FD266)</f>
        <v>11861.28</v>
      </c>
    </row>
    <row r="244" spans="2:162" s="1" customFormat="1" ht="14.45" customHeight="1" x14ac:dyDescent="0.2">
      <c r="B244" s="124"/>
      <c r="C244" s="125" t="s">
        <v>438</v>
      </c>
      <c r="D244" s="125" t="s">
        <v>284</v>
      </c>
      <c r="E244" s="126" t="s">
        <v>471</v>
      </c>
      <c r="F244" s="127" t="s">
        <v>472</v>
      </c>
      <c r="G244" s="128" t="s">
        <v>366</v>
      </c>
      <c r="H244" s="129">
        <v>5.5030000000000001</v>
      </c>
      <c r="I244" s="130">
        <v>1200.17173250368</v>
      </c>
      <c r="J244" s="131">
        <f>ROUND(I244*H244,2)</f>
        <v>6604.55</v>
      </c>
      <c r="K244" s="127" t="s">
        <v>293</v>
      </c>
      <c r="L244" s="268">
        <f>S244</f>
        <v>0</v>
      </c>
      <c r="M244" s="272">
        <f>ROUND(L244*I244,2)</f>
        <v>0</v>
      </c>
      <c r="N244" s="243">
        <f>N250</f>
        <v>0.29530000000000012</v>
      </c>
      <c r="O244" s="294">
        <f>ROUND(N244*I244,2)</f>
        <v>354.41</v>
      </c>
      <c r="P244" s="273">
        <f>H244-L244-N244</f>
        <v>5.2077</v>
      </c>
      <c r="Q244" s="287">
        <f>ROUND(P244*I244,2)</f>
        <v>6250.13</v>
      </c>
      <c r="R244" s="137"/>
      <c r="S244" s="269">
        <f>W244+Y244+AA244+AC244+AE244+AG244+AI244+AK244+AM244+AO244+AQ244+AS244+AU244+AW244</f>
        <v>0</v>
      </c>
      <c r="T244" s="269">
        <f>ROUND(S244*I244,2)</f>
        <v>0</v>
      </c>
      <c r="U244" s="269">
        <f>H244-S244</f>
        <v>5.5030000000000001</v>
      </c>
      <c r="V244" s="269">
        <f>ROUND(U244*I244,2)</f>
        <v>6604.55</v>
      </c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DF244" s="132" t="s">
        <v>1</v>
      </c>
      <c r="DG244" s="133" t="s">
        <v>40</v>
      </c>
      <c r="DI244" s="134">
        <f>DH244*H244</f>
        <v>0</v>
      </c>
      <c r="DJ244" s="134">
        <v>0</v>
      </c>
      <c r="DK244" s="134">
        <f>DJ244*H244</f>
        <v>0</v>
      </c>
      <c r="DL244" s="134">
        <v>0</v>
      </c>
      <c r="DM244" s="135">
        <f>DL244*H244</f>
        <v>0</v>
      </c>
      <c r="EK244" s="136" t="s">
        <v>95</v>
      </c>
      <c r="EM244" s="136" t="s">
        <v>284</v>
      </c>
      <c r="EN244" s="136" t="s">
        <v>83</v>
      </c>
      <c r="ER244" s="16" t="s">
        <v>282</v>
      </c>
      <c r="EX244" s="137">
        <f>IF(DG244="základní",J244,0)</f>
        <v>6604.55</v>
      </c>
      <c r="EY244" s="137">
        <f>IF(DG244="snížená",J244,0)</f>
        <v>0</v>
      </c>
      <c r="EZ244" s="137">
        <f>IF(DG244="zákl. přenesená",J244,0)</f>
        <v>0</v>
      </c>
      <c r="FA244" s="137">
        <f>IF(DG244="sníž. přenesená",J244,0)</f>
        <v>0</v>
      </c>
      <c r="FB244" s="137">
        <f>IF(DG244="nulová",J244,0)</f>
        <v>0</v>
      </c>
      <c r="FC244" s="16" t="s">
        <v>81</v>
      </c>
      <c r="FD244" s="137">
        <f>ROUND(I244*H244,2)</f>
        <v>6604.55</v>
      </c>
      <c r="FE244" s="16" t="s">
        <v>95</v>
      </c>
      <c r="FF244" s="136" t="s">
        <v>473</v>
      </c>
    </row>
    <row r="245" spans="2:162" s="1" customFormat="1" ht="19.5" x14ac:dyDescent="0.2">
      <c r="B245" s="31"/>
      <c r="D245" s="138" t="s">
        <v>289</v>
      </c>
      <c r="F245" s="139" t="s">
        <v>474</v>
      </c>
      <c r="I245" s="140"/>
      <c r="L245" s="31"/>
      <c r="N245" s="213"/>
      <c r="O245" s="214"/>
      <c r="Q245" s="229"/>
      <c r="DF245" s="141"/>
      <c r="DM245" s="50"/>
      <c r="EM245" s="16" t="s">
        <v>289</v>
      </c>
      <c r="EN245" s="16" t="s">
        <v>83</v>
      </c>
    </row>
    <row r="246" spans="2:162" s="1" customFormat="1" ht="19.5" x14ac:dyDescent="0.2">
      <c r="B246" s="31"/>
      <c r="D246" s="138" t="s">
        <v>299</v>
      </c>
      <c r="F246" s="142" t="s">
        <v>317</v>
      </c>
      <c r="I246" s="140"/>
      <c r="L246" s="31"/>
      <c r="N246" s="213"/>
      <c r="O246" s="214"/>
      <c r="Q246" s="229"/>
      <c r="DF246" s="141"/>
      <c r="DM246" s="50"/>
      <c r="EM246" s="16" t="s">
        <v>299</v>
      </c>
      <c r="EN246" s="16" t="s">
        <v>83</v>
      </c>
    </row>
    <row r="247" spans="2:162" s="12" customFormat="1" x14ac:dyDescent="0.2">
      <c r="B247" s="149"/>
      <c r="D247" s="138" t="s">
        <v>301</v>
      </c>
      <c r="E247" s="150" t="s">
        <v>1</v>
      </c>
      <c r="F247" s="151" t="s">
        <v>763</v>
      </c>
      <c r="H247" s="152">
        <v>0.2</v>
      </c>
      <c r="I247" s="153"/>
      <c r="L247" s="149"/>
      <c r="N247" s="217">
        <f>3.32*1*0.1</f>
        <v>0.33200000000000002</v>
      </c>
      <c r="O247" s="218" t="s">
        <v>3392</v>
      </c>
      <c r="Q247" s="231"/>
      <c r="DF247" s="154"/>
      <c r="DM247" s="155"/>
      <c r="EM247" s="150" t="s">
        <v>301</v>
      </c>
      <c r="EN247" s="150" t="s">
        <v>83</v>
      </c>
      <c r="EO247" s="12" t="s">
        <v>83</v>
      </c>
      <c r="EP247" s="12" t="s">
        <v>32</v>
      </c>
      <c r="EQ247" s="12" t="s">
        <v>74</v>
      </c>
      <c r="ER247" s="150" t="s">
        <v>282</v>
      </c>
    </row>
    <row r="248" spans="2:162" s="12" customFormat="1" x14ac:dyDescent="0.2">
      <c r="B248" s="149"/>
      <c r="D248" s="138" t="s">
        <v>301</v>
      </c>
      <c r="E248" s="150" t="s">
        <v>1</v>
      </c>
      <c r="F248" s="151" t="s">
        <v>828</v>
      </c>
      <c r="H248" s="152">
        <v>5.3029999999999999</v>
      </c>
      <c r="I248" s="153"/>
      <c r="L248" s="149"/>
      <c r="N248" s="217">
        <f>52.06*1.05*0.1</f>
        <v>5.4663000000000004</v>
      </c>
      <c r="O248" s="218" t="s">
        <v>3393</v>
      </c>
      <c r="Q248" s="231"/>
      <c r="DF248" s="154"/>
      <c r="DM248" s="155"/>
      <c r="EM248" s="150" t="s">
        <v>301</v>
      </c>
      <c r="EN248" s="150" t="s">
        <v>83</v>
      </c>
      <c r="EO248" s="12" t="s">
        <v>83</v>
      </c>
      <c r="EP248" s="12" t="s">
        <v>32</v>
      </c>
      <c r="EQ248" s="12" t="s">
        <v>74</v>
      </c>
      <c r="ER248" s="150" t="s">
        <v>282</v>
      </c>
    </row>
    <row r="249" spans="2:162" s="13" customFormat="1" x14ac:dyDescent="0.2">
      <c r="B249" s="156"/>
      <c r="D249" s="138" t="s">
        <v>301</v>
      </c>
      <c r="E249" s="157" t="s">
        <v>1</v>
      </c>
      <c r="F249" s="158" t="s">
        <v>305</v>
      </c>
      <c r="H249" s="159">
        <v>5.5030000000000001</v>
      </c>
      <c r="I249" s="160"/>
      <c r="L249" s="156"/>
      <c r="N249" s="219">
        <f>N247+N248</f>
        <v>5.7983000000000002</v>
      </c>
      <c r="O249" s="220"/>
      <c r="Q249" s="232"/>
      <c r="DF249" s="161"/>
      <c r="DM249" s="162"/>
      <c r="EM249" s="157" t="s">
        <v>301</v>
      </c>
      <c r="EN249" s="157" t="s">
        <v>83</v>
      </c>
      <c r="EO249" s="13" t="s">
        <v>95</v>
      </c>
      <c r="EP249" s="13" t="s">
        <v>32</v>
      </c>
      <c r="EQ249" s="13" t="s">
        <v>81</v>
      </c>
      <c r="ER249" s="157" t="s">
        <v>282</v>
      </c>
    </row>
    <row r="250" spans="2:162" s="13" customFormat="1" x14ac:dyDescent="0.2">
      <c r="B250" s="156"/>
      <c r="D250" s="138"/>
      <c r="E250" s="157"/>
      <c r="F250" s="158"/>
      <c r="H250" s="159"/>
      <c r="I250" s="160"/>
      <c r="L250" s="156"/>
      <c r="N250" s="311">
        <f>N249-H249</f>
        <v>0.29530000000000012</v>
      </c>
      <c r="O250" s="220"/>
      <c r="Q250" s="232"/>
      <c r="DF250" s="161"/>
      <c r="DM250" s="162"/>
      <c r="EM250" s="157"/>
      <c r="EN250" s="157"/>
      <c r="ER250" s="157"/>
    </row>
    <row r="251" spans="2:162" s="1" customFormat="1" ht="14.45" customHeight="1" x14ac:dyDescent="0.2">
      <c r="B251" s="124"/>
      <c r="C251" s="125" t="s">
        <v>445</v>
      </c>
      <c r="D251" s="125" t="s">
        <v>284</v>
      </c>
      <c r="E251" s="126" t="s">
        <v>477</v>
      </c>
      <c r="F251" s="127" t="s">
        <v>478</v>
      </c>
      <c r="G251" s="128" t="s">
        <v>366</v>
      </c>
      <c r="H251" s="129">
        <v>1.25</v>
      </c>
      <c r="I251" s="130">
        <v>1200.17173250368</v>
      </c>
      <c r="J251" s="131">
        <f>ROUND(I251*H251,2)</f>
        <v>1500.21</v>
      </c>
      <c r="K251" s="127" t="s">
        <v>1</v>
      </c>
      <c r="L251" s="268">
        <f>S251</f>
        <v>0</v>
      </c>
      <c r="M251" s="272">
        <f>ROUND(L251*I251,2)</f>
        <v>0</v>
      </c>
      <c r="N251" s="243"/>
      <c r="O251" s="294">
        <f>ROUND(N251*I251,2)</f>
        <v>0</v>
      </c>
      <c r="P251" s="273">
        <f>H251-L251-N251</f>
        <v>1.25</v>
      </c>
      <c r="Q251" s="287">
        <f>ROUND(P251*I251,2)</f>
        <v>1500.21</v>
      </c>
      <c r="R251" s="137"/>
      <c r="S251" s="269">
        <f>W251+Y251+AA251+AC251+AE251+AG251+AI251+AK251+AM251+AO251+AQ251+AS251+AU251+AW251</f>
        <v>0</v>
      </c>
      <c r="T251" s="269">
        <f>ROUND(S251*I251,2)</f>
        <v>0</v>
      </c>
      <c r="U251" s="269">
        <f>H251-S251</f>
        <v>1.25</v>
      </c>
      <c r="V251" s="269">
        <f>ROUND(U251*I251,2)</f>
        <v>1500.21</v>
      </c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269"/>
      <c r="AX251" s="269"/>
      <c r="DF251" s="132" t="s">
        <v>1</v>
      </c>
      <c r="DG251" s="133" t="s">
        <v>40</v>
      </c>
      <c r="DI251" s="134">
        <f>DH251*H251</f>
        <v>0</v>
      </c>
      <c r="DJ251" s="134">
        <v>0</v>
      </c>
      <c r="DK251" s="134">
        <f>DJ251*H251</f>
        <v>0</v>
      </c>
      <c r="DL251" s="134">
        <v>0</v>
      </c>
      <c r="DM251" s="135">
        <f>DL251*H251</f>
        <v>0</v>
      </c>
      <c r="EK251" s="136" t="s">
        <v>95</v>
      </c>
      <c r="EM251" s="136" t="s">
        <v>284</v>
      </c>
      <c r="EN251" s="136" t="s">
        <v>83</v>
      </c>
      <c r="ER251" s="16" t="s">
        <v>282</v>
      </c>
      <c r="EX251" s="137">
        <f>IF(DG251="základní",J251,0)</f>
        <v>1500.21</v>
      </c>
      <c r="EY251" s="137">
        <f>IF(DG251="snížená",J251,0)</f>
        <v>0</v>
      </c>
      <c r="EZ251" s="137">
        <f>IF(DG251="zákl. přenesená",J251,0)</f>
        <v>0</v>
      </c>
      <c r="FA251" s="137">
        <f>IF(DG251="sníž. přenesená",J251,0)</f>
        <v>0</v>
      </c>
      <c r="FB251" s="137">
        <f>IF(DG251="nulová",J251,0)</f>
        <v>0</v>
      </c>
      <c r="FC251" s="16" t="s">
        <v>81</v>
      </c>
      <c r="FD251" s="137">
        <f>ROUND(I251*H251,2)</f>
        <v>1500.21</v>
      </c>
      <c r="FE251" s="16" t="s">
        <v>95</v>
      </c>
      <c r="FF251" s="136" t="s">
        <v>479</v>
      </c>
    </row>
    <row r="252" spans="2:162" s="1" customFormat="1" ht="19.5" x14ac:dyDescent="0.2">
      <c r="B252" s="31"/>
      <c r="D252" s="138" t="s">
        <v>289</v>
      </c>
      <c r="F252" s="139" t="s">
        <v>474</v>
      </c>
      <c r="I252" s="140"/>
      <c r="L252" s="31"/>
      <c r="N252" s="213"/>
      <c r="O252" s="214"/>
      <c r="Q252" s="229"/>
      <c r="DF252" s="141"/>
      <c r="DM252" s="50"/>
      <c r="EM252" s="16" t="s">
        <v>289</v>
      </c>
      <c r="EN252" s="16" t="s">
        <v>83</v>
      </c>
    </row>
    <row r="253" spans="2:162" s="1" customFormat="1" ht="19.5" x14ac:dyDescent="0.2">
      <c r="B253" s="31"/>
      <c r="D253" s="138" t="s">
        <v>299</v>
      </c>
      <c r="F253" s="142" t="s">
        <v>317</v>
      </c>
      <c r="I253" s="140"/>
      <c r="L253" s="31"/>
      <c r="N253" s="213"/>
      <c r="O253" s="214"/>
      <c r="Q253" s="229"/>
      <c r="DF253" s="141"/>
      <c r="DM253" s="50"/>
      <c r="EM253" s="16" t="s">
        <v>299</v>
      </c>
      <c r="EN253" s="16" t="s">
        <v>83</v>
      </c>
    </row>
    <row r="254" spans="2:162" s="11" customFormat="1" x14ac:dyDescent="0.2">
      <c r="B254" s="143"/>
      <c r="D254" s="138" t="s">
        <v>301</v>
      </c>
      <c r="E254" s="144" t="s">
        <v>1</v>
      </c>
      <c r="F254" s="145" t="s">
        <v>765</v>
      </c>
      <c r="H254" s="144" t="s">
        <v>1</v>
      </c>
      <c r="I254" s="146"/>
      <c r="L254" s="143"/>
      <c r="N254" s="215"/>
      <c r="O254" s="216"/>
      <c r="Q254" s="230"/>
      <c r="DF254" s="147"/>
      <c r="DM254" s="148"/>
      <c r="EM254" s="144" t="s">
        <v>301</v>
      </c>
      <c r="EN254" s="144" t="s">
        <v>83</v>
      </c>
      <c r="EO254" s="11" t="s">
        <v>81</v>
      </c>
      <c r="EP254" s="11" t="s">
        <v>32</v>
      </c>
      <c r="EQ254" s="11" t="s">
        <v>74</v>
      </c>
      <c r="ER254" s="144" t="s">
        <v>282</v>
      </c>
    </row>
    <row r="255" spans="2:162" s="12" customFormat="1" x14ac:dyDescent="0.2">
      <c r="B255" s="149"/>
      <c r="D255" s="138" t="s">
        <v>301</v>
      </c>
      <c r="E255" s="150" t="s">
        <v>1</v>
      </c>
      <c r="F255" s="151" t="s">
        <v>829</v>
      </c>
      <c r="H255" s="152">
        <v>1.25</v>
      </c>
      <c r="I255" s="153"/>
      <c r="L255" s="149"/>
      <c r="N255" s="217"/>
      <c r="O255" s="218"/>
      <c r="Q255" s="231"/>
      <c r="DF255" s="154"/>
      <c r="DM255" s="155"/>
      <c r="EM255" s="150" t="s">
        <v>301</v>
      </c>
      <c r="EN255" s="150" t="s">
        <v>83</v>
      </c>
      <c r="EO255" s="12" t="s">
        <v>83</v>
      </c>
      <c r="EP255" s="12" t="s">
        <v>32</v>
      </c>
      <c r="EQ255" s="12" t="s">
        <v>81</v>
      </c>
      <c r="ER255" s="150" t="s">
        <v>282</v>
      </c>
    </row>
    <row r="256" spans="2:162" s="1" customFormat="1" ht="14.45" customHeight="1" x14ac:dyDescent="0.2">
      <c r="B256" s="124"/>
      <c r="C256" s="125" t="s">
        <v>451</v>
      </c>
      <c r="D256" s="125" t="s">
        <v>284</v>
      </c>
      <c r="E256" s="126" t="s">
        <v>483</v>
      </c>
      <c r="F256" s="127" t="s">
        <v>484</v>
      </c>
      <c r="G256" s="128" t="s">
        <v>485</v>
      </c>
      <c r="H256" s="129">
        <v>4</v>
      </c>
      <c r="I256" s="130">
        <v>136.11246338547087</v>
      </c>
      <c r="J256" s="131">
        <f>ROUND(I256*H256,2)</f>
        <v>544.45000000000005</v>
      </c>
      <c r="K256" s="127" t="s">
        <v>293</v>
      </c>
      <c r="L256" s="268">
        <f>S256</f>
        <v>0</v>
      </c>
      <c r="M256" s="272">
        <f>ROUND(L256*I256,2)</f>
        <v>0</v>
      </c>
      <c r="N256" s="243"/>
      <c r="O256" s="294">
        <f>ROUND(N256*I256,2)</f>
        <v>0</v>
      </c>
      <c r="P256" s="273">
        <f>H256-L256-N256</f>
        <v>4</v>
      </c>
      <c r="Q256" s="287">
        <f>ROUND(P256*I256,2)</f>
        <v>544.45000000000005</v>
      </c>
      <c r="R256" s="137"/>
      <c r="S256" s="269">
        <f>W256+Y256+AA256+AC256+AE256+AG256+AI256+AK256+AM256+AO256+AQ256+AS256+AU256+AW256</f>
        <v>0</v>
      </c>
      <c r="T256" s="269">
        <f>ROUND(S256*I256,2)</f>
        <v>0</v>
      </c>
      <c r="U256" s="269">
        <f>H256-S256</f>
        <v>4</v>
      </c>
      <c r="V256" s="269">
        <f>ROUND(U256*I256,2)</f>
        <v>544.45000000000005</v>
      </c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269"/>
      <c r="AX256" s="269"/>
      <c r="DF256" s="132" t="s">
        <v>1</v>
      </c>
      <c r="DG256" s="133" t="s">
        <v>40</v>
      </c>
      <c r="DI256" s="134">
        <f>DH256*H256</f>
        <v>0</v>
      </c>
      <c r="DJ256" s="134">
        <v>6.6E-3</v>
      </c>
      <c r="DK256" s="134">
        <f>DJ256*H256</f>
        <v>2.64E-2</v>
      </c>
      <c r="DL256" s="134">
        <v>0</v>
      </c>
      <c r="DM256" s="135">
        <f>DL256*H256</f>
        <v>0</v>
      </c>
      <c r="EK256" s="136" t="s">
        <v>95</v>
      </c>
      <c r="EM256" s="136" t="s">
        <v>284</v>
      </c>
      <c r="EN256" s="136" t="s">
        <v>83</v>
      </c>
      <c r="ER256" s="16" t="s">
        <v>282</v>
      </c>
      <c r="EX256" s="137">
        <f>IF(DG256="základní",J256,0)</f>
        <v>544.45000000000005</v>
      </c>
      <c r="EY256" s="137">
        <f>IF(DG256="snížená",J256,0)</f>
        <v>0</v>
      </c>
      <c r="EZ256" s="137">
        <f>IF(DG256="zákl. přenesená",J256,0)</f>
        <v>0</v>
      </c>
      <c r="FA256" s="137">
        <f>IF(DG256="sníž. přenesená",J256,0)</f>
        <v>0</v>
      </c>
      <c r="FB256" s="137">
        <f>IF(DG256="nulová",J256,0)</f>
        <v>0</v>
      </c>
      <c r="FC256" s="16" t="s">
        <v>81</v>
      </c>
      <c r="FD256" s="137">
        <f>ROUND(I256*H256,2)</f>
        <v>544.45000000000005</v>
      </c>
      <c r="FE256" s="16" t="s">
        <v>95</v>
      </c>
      <c r="FF256" s="136" t="s">
        <v>486</v>
      </c>
    </row>
    <row r="257" spans="2:162" s="1" customFormat="1" ht="19.5" x14ac:dyDescent="0.2">
      <c r="B257" s="31"/>
      <c r="D257" s="138" t="s">
        <v>289</v>
      </c>
      <c r="F257" s="139" t="s">
        <v>487</v>
      </c>
      <c r="I257" s="140"/>
      <c r="L257" s="31"/>
      <c r="N257" s="213"/>
      <c r="O257" s="214"/>
      <c r="Q257" s="229"/>
      <c r="DF257" s="141"/>
      <c r="DM257" s="50"/>
      <c r="EM257" s="16" t="s">
        <v>289</v>
      </c>
      <c r="EN257" s="16" t="s">
        <v>83</v>
      </c>
    </row>
    <row r="258" spans="2:162" s="1" customFormat="1" ht="19.5" x14ac:dyDescent="0.2">
      <c r="B258" s="31"/>
      <c r="D258" s="138" t="s">
        <v>299</v>
      </c>
      <c r="F258" s="142" t="s">
        <v>317</v>
      </c>
      <c r="I258" s="140"/>
      <c r="L258" s="31"/>
      <c r="N258" s="213"/>
      <c r="O258" s="214"/>
      <c r="Q258" s="229"/>
      <c r="DF258" s="141"/>
      <c r="DM258" s="50"/>
      <c r="EM258" s="16" t="s">
        <v>299</v>
      </c>
      <c r="EN258" s="16" t="s">
        <v>83</v>
      </c>
    </row>
    <row r="259" spans="2:162" s="12" customFormat="1" x14ac:dyDescent="0.2">
      <c r="B259" s="149"/>
      <c r="D259" s="138" t="s">
        <v>301</v>
      </c>
      <c r="E259" s="150" t="s">
        <v>1</v>
      </c>
      <c r="F259" s="151" t="s">
        <v>95</v>
      </c>
      <c r="H259" s="152">
        <v>4</v>
      </c>
      <c r="I259" s="153"/>
      <c r="L259" s="149"/>
      <c r="N259" s="217"/>
      <c r="O259" s="218"/>
      <c r="Q259" s="231"/>
      <c r="DF259" s="154"/>
      <c r="DM259" s="155"/>
      <c r="EM259" s="150" t="s">
        <v>301</v>
      </c>
      <c r="EN259" s="150" t="s">
        <v>83</v>
      </c>
      <c r="EO259" s="12" t="s">
        <v>83</v>
      </c>
      <c r="EP259" s="12" t="s">
        <v>32</v>
      </c>
      <c r="EQ259" s="12" t="s">
        <v>81</v>
      </c>
      <c r="ER259" s="150" t="s">
        <v>282</v>
      </c>
    </row>
    <row r="260" spans="2:162" s="1" customFormat="1" ht="24.2" customHeight="1" x14ac:dyDescent="0.2">
      <c r="B260" s="124"/>
      <c r="C260" s="170" t="s">
        <v>456</v>
      </c>
      <c r="D260" s="170" t="s">
        <v>439</v>
      </c>
      <c r="E260" s="171" t="s">
        <v>502</v>
      </c>
      <c r="F260" s="172" t="s">
        <v>503</v>
      </c>
      <c r="G260" s="173" t="s">
        <v>485</v>
      </c>
      <c r="H260" s="174">
        <v>4</v>
      </c>
      <c r="I260" s="175">
        <v>314.47561239999999</v>
      </c>
      <c r="J260" s="176">
        <f>ROUND(I260*H260,2)</f>
        <v>1257.9000000000001</v>
      </c>
      <c r="K260" s="172" t="s">
        <v>293</v>
      </c>
      <c r="L260" s="268">
        <f>S260</f>
        <v>0</v>
      </c>
      <c r="M260" s="272">
        <f>ROUND(L260*I260,2)</f>
        <v>0</v>
      </c>
      <c r="N260" s="243"/>
      <c r="O260" s="294">
        <f>ROUND(N260*I260,2)</f>
        <v>0</v>
      </c>
      <c r="P260" s="273">
        <f>H260-L260-N260</f>
        <v>4</v>
      </c>
      <c r="Q260" s="287">
        <f>ROUND(P260*I260,2)</f>
        <v>1257.9000000000001</v>
      </c>
      <c r="R260" s="137"/>
      <c r="S260" s="269">
        <f>W260+Y260+AA260+AC260+AE260+AG260+AI260+AK260+AM260+AO260+AQ260+AS260+AU260+AW260</f>
        <v>0</v>
      </c>
      <c r="T260" s="269">
        <f>ROUND(S260*I260,2)</f>
        <v>0</v>
      </c>
      <c r="U260" s="269">
        <f>H260-S260</f>
        <v>4</v>
      </c>
      <c r="V260" s="269">
        <f>ROUND(U260*I260,2)</f>
        <v>1257.9000000000001</v>
      </c>
      <c r="W260" s="290"/>
      <c r="X260" s="290"/>
      <c r="Y260" s="290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90"/>
      <c r="AK260" s="290"/>
      <c r="AL260" s="290"/>
      <c r="AM260" s="290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90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77" t="s">
        <v>1</v>
      </c>
      <c r="DG260" s="178" t="s">
        <v>40</v>
      </c>
      <c r="DI260" s="134">
        <f>DH260*H260</f>
        <v>0</v>
      </c>
      <c r="DJ260" s="134">
        <v>6.8000000000000005E-2</v>
      </c>
      <c r="DK260" s="134">
        <f>DJ260*H260</f>
        <v>0.27200000000000002</v>
      </c>
      <c r="DL260" s="134">
        <v>0</v>
      </c>
      <c r="DM260" s="135">
        <f>DL260*H260</f>
        <v>0</v>
      </c>
      <c r="EK260" s="136" t="s">
        <v>328</v>
      </c>
      <c r="EM260" s="136" t="s">
        <v>439</v>
      </c>
      <c r="EN260" s="136" t="s">
        <v>83</v>
      </c>
      <c r="ER260" s="16" t="s">
        <v>282</v>
      </c>
      <c r="EX260" s="137">
        <f>IF(DG260="základní",J260,0)</f>
        <v>1257.9000000000001</v>
      </c>
      <c r="EY260" s="137">
        <f>IF(DG260="snížená",J260,0)</f>
        <v>0</v>
      </c>
      <c r="EZ260" s="137">
        <f>IF(DG260="zákl. přenesená",J260,0)</f>
        <v>0</v>
      </c>
      <c r="FA260" s="137">
        <f>IF(DG260="sníž. přenesená",J260,0)</f>
        <v>0</v>
      </c>
      <c r="FB260" s="137">
        <f>IF(DG260="nulová",J260,0)</f>
        <v>0</v>
      </c>
      <c r="FC260" s="16" t="s">
        <v>81</v>
      </c>
      <c r="FD260" s="137">
        <f>ROUND(I260*H260,2)</f>
        <v>1257.9000000000001</v>
      </c>
      <c r="FE260" s="16" t="s">
        <v>95</v>
      </c>
      <c r="FF260" s="136" t="s">
        <v>504</v>
      </c>
    </row>
    <row r="261" spans="2:162" s="1" customFormat="1" x14ac:dyDescent="0.2">
      <c r="B261" s="31"/>
      <c r="D261" s="138" t="s">
        <v>289</v>
      </c>
      <c r="F261" s="139" t="s">
        <v>503</v>
      </c>
      <c r="I261" s="140"/>
      <c r="L261" s="31"/>
      <c r="N261" s="213"/>
      <c r="O261" s="214"/>
      <c r="Q261" s="229"/>
      <c r="DF261" s="141"/>
      <c r="DM261" s="50"/>
      <c r="EM261" s="16" t="s">
        <v>289</v>
      </c>
      <c r="EN261" s="16" t="s">
        <v>83</v>
      </c>
    </row>
    <row r="262" spans="2:162" s="1" customFormat="1" ht="24.2" customHeight="1" x14ac:dyDescent="0.2">
      <c r="B262" s="124"/>
      <c r="C262" s="125" t="s">
        <v>463</v>
      </c>
      <c r="D262" s="125" t="s">
        <v>284</v>
      </c>
      <c r="E262" s="126" t="s">
        <v>515</v>
      </c>
      <c r="F262" s="127" t="s">
        <v>516</v>
      </c>
      <c r="G262" s="128" t="s">
        <v>366</v>
      </c>
      <c r="H262" s="129">
        <v>0.67500000000000004</v>
      </c>
      <c r="I262" s="130">
        <v>2895.0660868876225</v>
      </c>
      <c r="J262" s="131">
        <f>ROUND(I262*H262,2)</f>
        <v>1954.17</v>
      </c>
      <c r="K262" s="127" t="s">
        <v>293</v>
      </c>
      <c r="L262" s="268">
        <f>S262</f>
        <v>0</v>
      </c>
      <c r="M262" s="272">
        <f>ROUND(L262*I262,2)</f>
        <v>0</v>
      </c>
      <c r="N262" s="243"/>
      <c r="O262" s="294">
        <f>ROUND(N262*I262,2)</f>
        <v>0</v>
      </c>
      <c r="P262" s="273">
        <f>H262-L262-N262</f>
        <v>0.67500000000000004</v>
      </c>
      <c r="Q262" s="287">
        <f>ROUND(P262*I262,2)</f>
        <v>1954.17</v>
      </c>
      <c r="R262" s="137"/>
      <c r="S262" s="269">
        <f>W262+Y262+AA262+AC262+AE262+AG262+AI262+AK262+AM262+AO262+AQ262+AS262+AU262+AW262</f>
        <v>0</v>
      </c>
      <c r="T262" s="269">
        <f>ROUND(S262*I262,2)</f>
        <v>0</v>
      </c>
      <c r="U262" s="269">
        <f>H262-S262</f>
        <v>0.67500000000000004</v>
      </c>
      <c r="V262" s="269">
        <f>ROUND(U262*I262,2)</f>
        <v>1954.17</v>
      </c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DF262" s="132" t="s">
        <v>1</v>
      </c>
      <c r="DG262" s="133" t="s">
        <v>40</v>
      </c>
      <c r="DI262" s="134">
        <f>DH262*H262</f>
        <v>0</v>
      </c>
      <c r="DJ262" s="134">
        <v>0</v>
      </c>
      <c r="DK262" s="134">
        <f>DJ262*H262</f>
        <v>0</v>
      </c>
      <c r="DL262" s="134">
        <v>0</v>
      </c>
      <c r="DM262" s="135">
        <f>DL262*H262</f>
        <v>0</v>
      </c>
      <c r="EK262" s="136" t="s">
        <v>95</v>
      </c>
      <c r="EM262" s="136" t="s">
        <v>284</v>
      </c>
      <c r="EN262" s="136" t="s">
        <v>83</v>
      </c>
      <c r="ER262" s="16" t="s">
        <v>282</v>
      </c>
      <c r="EX262" s="137">
        <f>IF(DG262="základní",J262,0)</f>
        <v>1954.17</v>
      </c>
      <c r="EY262" s="137">
        <f>IF(DG262="snížená",J262,0)</f>
        <v>0</v>
      </c>
      <c r="EZ262" s="137">
        <f>IF(DG262="zákl. přenesená",J262,0)</f>
        <v>0</v>
      </c>
      <c r="FA262" s="137">
        <f>IF(DG262="sníž. přenesená",J262,0)</f>
        <v>0</v>
      </c>
      <c r="FB262" s="137">
        <f>IF(DG262="nulová",J262,0)</f>
        <v>0</v>
      </c>
      <c r="FC262" s="16" t="s">
        <v>81</v>
      </c>
      <c r="FD262" s="137">
        <f>ROUND(I262*H262,2)</f>
        <v>1954.17</v>
      </c>
      <c r="FE262" s="16" t="s">
        <v>95</v>
      </c>
      <c r="FF262" s="136" t="s">
        <v>517</v>
      </c>
    </row>
    <row r="263" spans="2:162" s="1" customFormat="1" ht="29.25" x14ac:dyDescent="0.2">
      <c r="B263" s="31"/>
      <c r="D263" s="138" t="s">
        <v>289</v>
      </c>
      <c r="F263" s="139" t="s">
        <v>518</v>
      </c>
      <c r="I263" s="140"/>
      <c r="L263" s="31"/>
      <c r="N263" s="213"/>
      <c r="O263" s="214"/>
      <c r="Q263" s="229"/>
      <c r="DF263" s="141"/>
      <c r="DM263" s="50"/>
      <c r="EM263" s="16" t="s">
        <v>289</v>
      </c>
      <c r="EN263" s="16" t="s">
        <v>83</v>
      </c>
    </row>
    <row r="264" spans="2:162" s="1" customFormat="1" ht="19.5" x14ac:dyDescent="0.2">
      <c r="B264" s="31"/>
      <c r="D264" s="138" t="s">
        <v>299</v>
      </c>
      <c r="F264" s="142" t="s">
        <v>317</v>
      </c>
      <c r="I264" s="140"/>
      <c r="L264" s="31"/>
      <c r="N264" s="213"/>
      <c r="O264" s="214"/>
      <c r="Q264" s="229"/>
      <c r="DF264" s="141"/>
      <c r="DM264" s="50"/>
      <c r="EM264" s="16" t="s">
        <v>299</v>
      </c>
      <c r="EN264" s="16" t="s">
        <v>83</v>
      </c>
    </row>
    <row r="265" spans="2:162" s="11" customFormat="1" x14ac:dyDescent="0.2">
      <c r="B265" s="143"/>
      <c r="D265" s="138" t="s">
        <v>301</v>
      </c>
      <c r="E265" s="144" t="s">
        <v>1</v>
      </c>
      <c r="F265" s="145" t="s">
        <v>765</v>
      </c>
      <c r="H265" s="144" t="s">
        <v>1</v>
      </c>
      <c r="I265" s="146"/>
      <c r="L265" s="143"/>
      <c r="N265" s="215"/>
      <c r="O265" s="216"/>
      <c r="Q265" s="230"/>
      <c r="DF265" s="147"/>
      <c r="DM265" s="148"/>
      <c r="EM265" s="144" t="s">
        <v>301</v>
      </c>
      <c r="EN265" s="144" t="s">
        <v>83</v>
      </c>
      <c r="EO265" s="11" t="s">
        <v>81</v>
      </c>
      <c r="EP265" s="11" t="s">
        <v>32</v>
      </c>
      <c r="EQ265" s="11" t="s">
        <v>74</v>
      </c>
      <c r="ER265" s="144" t="s">
        <v>282</v>
      </c>
    </row>
    <row r="266" spans="2:162" s="12" customFormat="1" x14ac:dyDescent="0.2">
      <c r="B266" s="149"/>
      <c r="D266" s="138" t="s">
        <v>301</v>
      </c>
      <c r="E266" s="150" t="s">
        <v>1</v>
      </c>
      <c r="F266" s="151" t="s">
        <v>830</v>
      </c>
      <c r="H266" s="152">
        <v>0.67500000000000004</v>
      </c>
      <c r="I266" s="153"/>
      <c r="L266" s="149"/>
      <c r="N266" s="217"/>
      <c r="O266" s="218"/>
      <c r="Q266" s="231"/>
      <c r="DF266" s="154"/>
      <c r="DM266" s="155"/>
      <c r="EM266" s="150" t="s">
        <v>301</v>
      </c>
      <c r="EN266" s="150" t="s">
        <v>83</v>
      </c>
      <c r="EO266" s="12" t="s">
        <v>83</v>
      </c>
      <c r="EP266" s="12" t="s">
        <v>32</v>
      </c>
      <c r="EQ266" s="12" t="s">
        <v>81</v>
      </c>
      <c r="ER266" s="150" t="s">
        <v>282</v>
      </c>
    </row>
    <row r="267" spans="2:162" s="10" customFormat="1" ht="22.9" customHeight="1" x14ac:dyDescent="0.2">
      <c r="B267" s="112"/>
      <c r="D267" s="113" t="s">
        <v>73</v>
      </c>
      <c r="E267" s="122" t="s">
        <v>312</v>
      </c>
      <c r="F267" s="122" t="s">
        <v>520</v>
      </c>
      <c r="I267" s="115"/>
      <c r="J267" s="123">
        <f>FD267</f>
        <v>223216.18</v>
      </c>
      <c r="L267" s="112"/>
      <c r="M267" s="270">
        <f>SUM(M268:M281)</f>
        <v>0</v>
      </c>
      <c r="N267" s="301"/>
      <c r="O267" s="302">
        <f t="shared" ref="O267:V267" si="3">SUM(O268:O281)</f>
        <v>6276.6299999999992</v>
      </c>
      <c r="P267" s="270"/>
      <c r="Q267" s="288">
        <f t="shared" si="3"/>
        <v>216939.56</v>
      </c>
      <c r="R267" s="270"/>
      <c r="S267" s="270"/>
      <c r="T267" s="270">
        <f t="shared" si="3"/>
        <v>0</v>
      </c>
      <c r="U267" s="270"/>
      <c r="V267" s="270">
        <f t="shared" si="3"/>
        <v>223216.18</v>
      </c>
      <c r="DF267" s="117"/>
      <c r="DI267" s="118">
        <f>SUM(DI268:DI285)</f>
        <v>0</v>
      </c>
      <c r="DK267" s="118">
        <f>SUM(DK268:DK285)</f>
        <v>0</v>
      </c>
      <c r="DM267" s="119">
        <f>SUM(DM268:DM285)</f>
        <v>0</v>
      </c>
      <c r="EK267" s="113" t="s">
        <v>81</v>
      </c>
      <c r="EM267" s="120" t="s">
        <v>73</v>
      </c>
      <c r="EN267" s="120" t="s">
        <v>81</v>
      </c>
      <c r="ER267" s="113" t="s">
        <v>282</v>
      </c>
      <c r="FD267" s="121">
        <f>SUM(FD268:FD285)</f>
        <v>223216.18</v>
      </c>
    </row>
    <row r="268" spans="2:162" s="1" customFormat="1" ht="24.2" customHeight="1" x14ac:dyDescent="0.2">
      <c r="B268" s="124"/>
      <c r="C268" s="125" t="s">
        <v>470</v>
      </c>
      <c r="D268" s="125" t="s">
        <v>284</v>
      </c>
      <c r="E268" s="126" t="s">
        <v>522</v>
      </c>
      <c r="F268" s="127" t="s">
        <v>523</v>
      </c>
      <c r="G268" s="128" t="s">
        <v>287</v>
      </c>
      <c r="H268" s="129">
        <v>99.364999999999995</v>
      </c>
      <c r="I268" s="130">
        <v>130.95617506780872</v>
      </c>
      <c r="J268" s="131">
        <f>ROUND(I268*H268,2)</f>
        <v>13012.46</v>
      </c>
      <c r="K268" s="127" t="s">
        <v>293</v>
      </c>
      <c r="L268" s="268">
        <f>S268</f>
        <v>0</v>
      </c>
      <c r="M268" s="272">
        <f>ROUND(L268*I268,2)</f>
        <v>0</v>
      </c>
      <c r="N268" s="243">
        <f>N125</f>
        <v>2.9579999999999984</v>
      </c>
      <c r="O268" s="294">
        <f>ROUND(N268*I268,2)</f>
        <v>387.37</v>
      </c>
      <c r="P268" s="273">
        <f>H268-L268-N268</f>
        <v>96.406999999999996</v>
      </c>
      <c r="Q268" s="287">
        <f>ROUND(P268*I268,2)</f>
        <v>12625.09</v>
      </c>
      <c r="R268" s="137"/>
      <c r="S268" s="269">
        <f>W268+Y268+AA268+AC268+AE268+AG268+AI268+AK268+AM268+AO268+AQ268+AS268+AU268+AW268</f>
        <v>0</v>
      </c>
      <c r="T268" s="269">
        <f>ROUND(S268*I268,2)</f>
        <v>0</v>
      </c>
      <c r="U268" s="269">
        <f>H268-S268</f>
        <v>99.364999999999995</v>
      </c>
      <c r="V268" s="269">
        <f>ROUND(U268*I268,2)</f>
        <v>13012.46</v>
      </c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  <c r="AL268" s="269"/>
      <c r="AM268" s="269"/>
      <c r="AN268" s="269"/>
      <c r="AO268" s="269"/>
      <c r="AP268" s="269"/>
      <c r="AQ268" s="269"/>
      <c r="AR268" s="269"/>
      <c r="AS268" s="269"/>
      <c r="AT268" s="269"/>
      <c r="AU268" s="269"/>
      <c r="AV268" s="269"/>
      <c r="AW268" s="269"/>
      <c r="AX268" s="269"/>
      <c r="DF268" s="132" t="s">
        <v>1</v>
      </c>
      <c r="DG268" s="133" t="s">
        <v>40</v>
      </c>
      <c r="DI268" s="134">
        <f>DH268*H268</f>
        <v>0</v>
      </c>
      <c r="DJ268" s="134">
        <v>0</v>
      </c>
      <c r="DK268" s="134">
        <f>DJ268*H268</f>
        <v>0</v>
      </c>
      <c r="DL268" s="134">
        <v>0</v>
      </c>
      <c r="DM268" s="135">
        <f>DL268*H268</f>
        <v>0</v>
      </c>
      <c r="EK268" s="136" t="s">
        <v>95</v>
      </c>
      <c r="EM268" s="136" t="s">
        <v>284</v>
      </c>
      <c r="EN268" s="136" t="s">
        <v>83</v>
      </c>
      <c r="ER268" s="16" t="s">
        <v>282</v>
      </c>
      <c r="EX268" s="137">
        <f>IF(DG268="základní",J268,0)</f>
        <v>13012.46</v>
      </c>
      <c r="EY268" s="137">
        <f>IF(DG268="snížená",J268,0)</f>
        <v>0</v>
      </c>
      <c r="EZ268" s="137">
        <f>IF(DG268="zákl. přenesená",J268,0)</f>
        <v>0</v>
      </c>
      <c r="FA268" s="137">
        <f>IF(DG268="sníž. přenesená",J268,0)</f>
        <v>0</v>
      </c>
      <c r="FB268" s="137">
        <f>IF(DG268="nulová",J268,0)</f>
        <v>0</v>
      </c>
      <c r="FC268" s="16" t="s">
        <v>81</v>
      </c>
      <c r="FD268" s="137">
        <f>ROUND(I268*H268,2)</f>
        <v>13012.46</v>
      </c>
      <c r="FE268" s="16" t="s">
        <v>95</v>
      </c>
      <c r="FF268" s="136" t="s">
        <v>524</v>
      </c>
    </row>
    <row r="269" spans="2:162" s="1" customFormat="1" ht="19.5" x14ac:dyDescent="0.2">
      <c r="B269" s="31"/>
      <c r="D269" s="138" t="s">
        <v>289</v>
      </c>
      <c r="F269" s="139" t="s">
        <v>525</v>
      </c>
      <c r="I269" s="140"/>
      <c r="L269" s="31"/>
      <c r="N269" s="213"/>
      <c r="O269" s="214"/>
      <c r="Q269" s="229"/>
      <c r="DF269" s="141"/>
      <c r="DM269" s="50"/>
      <c r="EM269" s="16" t="s">
        <v>289</v>
      </c>
      <c r="EN269" s="16" t="s">
        <v>83</v>
      </c>
    </row>
    <row r="270" spans="2:162" s="1" customFormat="1" ht="14.45" customHeight="1" x14ac:dyDescent="0.2">
      <c r="B270" s="124"/>
      <c r="C270" s="125" t="s">
        <v>476</v>
      </c>
      <c r="D270" s="125" t="s">
        <v>284</v>
      </c>
      <c r="E270" s="126" t="s">
        <v>527</v>
      </c>
      <c r="F270" s="127" t="s">
        <v>528</v>
      </c>
      <c r="G270" s="128" t="s">
        <v>287</v>
      </c>
      <c r="H270" s="129">
        <v>99.364999999999995</v>
      </c>
      <c r="I270" s="130">
        <v>200.20823792465458</v>
      </c>
      <c r="J270" s="131">
        <f>ROUND(I270*H270,2)</f>
        <v>19893.689999999999</v>
      </c>
      <c r="K270" s="127" t="s">
        <v>293</v>
      </c>
      <c r="L270" s="268">
        <f>S270</f>
        <v>0</v>
      </c>
      <c r="M270" s="272">
        <f>ROUND(L270*I270,2)</f>
        <v>0</v>
      </c>
      <c r="N270" s="243">
        <f>N268</f>
        <v>2.9579999999999984</v>
      </c>
      <c r="O270" s="294">
        <f>ROUND(N270*I270,2)</f>
        <v>592.22</v>
      </c>
      <c r="P270" s="273">
        <f>H270-L270-N270</f>
        <v>96.406999999999996</v>
      </c>
      <c r="Q270" s="287">
        <f>ROUND(P270*I270,2)</f>
        <v>19301.48</v>
      </c>
      <c r="R270" s="137"/>
      <c r="S270" s="269">
        <f>W270+Y270+AA270+AC270+AE270+AG270+AI270+AK270+AM270+AO270+AQ270+AS270+AU270+AW270</f>
        <v>0</v>
      </c>
      <c r="T270" s="269">
        <f>ROUND(S270*I270,2)</f>
        <v>0</v>
      </c>
      <c r="U270" s="269">
        <f>H270-S270</f>
        <v>99.364999999999995</v>
      </c>
      <c r="V270" s="269">
        <f>ROUND(U270*I270,2)</f>
        <v>19893.689999999999</v>
      </c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AO270" s="269"/>
      <c r="AP270" s="269"/>
      <c r="AQ270" s="269"/>
      <c r="AR270" s="269"/>
      <c r="AS270" s="269"/>
      <c r="AT270" s="269"/>
      <c r="AU270" s="269"/>
      <c r="AV270" s="269"/>
      <c r="AW270" s="269"/>
      <c r="AX270" s="269"/>
      <c r="DF270" s="132" t="s">
        <v>1</v>
      </c>
      <c r="DG270" s="133" t="s">
        <v>40</v>
      </c>
      <c r="DI270" s="134">
        <f>DH270*H270</f>
        <v>0</v>
      </c>
      <c r="DJ270" s="134">
        <v>0</v>
      </c>
      <c r="DK270" s="134">
        <f>DJ270*H270</f>
        <v>0</v>
      </c>
      <c r="DL270" s="134">
        <v>0</v>
      </c>
      <c r="DM270" s="135">
        <f>DL270*H270</f>
        <v>0</v>
      </c>
      <c r="EK270" s="136" t="s">
        <v>95</v>
      </c>
      <c r="EM270" s="136" t="s">
        <v>284</v>
      </c>
      <c r="EN270" s="136" t="s">
        <v>83</v>
      </c>
      <c r="ER270" s="16" t="s">
        <v>282</v>
      </c>
      <c r="EX270" s="137">
        <f>IF(DG270="základní",J270,0)</f>
        <v>19893.689999999999</v>
      </c>
      <c r="EY270" s="137">
        <f>IF(DG270="snížená",J270,0)</f>
        <v>0</v>
      </c>
      <c r="EZ270" s="137">
        <f>IF(DG270="zákl. přenesená",J270,0)</f>
        <v>0</v>
      </c>
      <c r="FA270" s="137">
        <f>IF(DG270="sníž. přenesená",J270,0)</f>
        <v>0</v>
      </c>
      <c r="FB270" s="137">
        <f>IF(DG270="nulová",J270,0)</f>
        <v>0</v>
      </c>
      <c r="FC270" s="16" t="s">
        <v>81</v>
      </c>
      <c r="FD270" s="137">
        <f>ROUND(I270*H270,2)</f>
        <v>19893.689999999999</v>
      </c>
      <c r="FE270" s="16" t="s">
        <v>95</v>
      </c>
      <c r="FF270" s="136" t="s">
        <v>529</v>
      </c>
    </row>
    <row r="271" spans="2:162" s="1" customFormat="1" ht="19.5" x14ac:dyDescent="0.2">
      <c r="B271" s="31"/>
      <c r="D271" s="138" t="s">
        <v>289</v>
      </c>
      <c r="F271" s="139" t="s">
        <v>530</v>
      </c>
      <c r="I271" s="140"/>
      <c r="L271" s="31"/>
      <c r="N271" s="213"/>
      <c r="O271" s="214"/>
      <c r="Q271" s="229"/>
      <c r="DF271" s="141"/>
      <c r="DM271" s="50"/>
      <c r="EM271" s="16" t="s">
        <v>289</v>
      </c>
      <c r="EN271" s="16" t="s">
        <v>83</v>
      </c>
    </row>
    <row r="272" spans="2:162" s="1" customFormat="1" ht="24.2" customHeight="1" x14ac:dyDescent="0.2">
      <c r="B272" s="124"/>
      <c r="C272" s="125" t="s">
        <v>482</v>
      </c>
      <c r="D272" s="125" t="s">
        <v>284</v>
      </c>
      <c r="E272" s="126" t="s">
        <v>532</v>
      </c>
      <c r="F272" s="127" t="s">
        <v>533</v>
      </c>
      <c r="G272" s="128" t="s">
        <v>287</v>
      </c>
      <c r="H272" s="129">
        <v>99.364999999999995</v>
      </c>
      <c r="I272" s="130">
        <v>40.878739778868102</v>
      </c>
      <c r="J272" s="131">
        <f>ROUND(I272*H272,2)</f>
        <v>4061.92</v>
      </c>
      <c r="K272" s="127" t="s">
        <v>293</v>
      </c>
      <c r="L272" s="268">
        <f>S272</f>
        <v>0</v>
      </c>
      <c r="M272" s="272">
        <f>ROUND(L272*I272,2)</f>
        <v>0</v>
      </c>
      <c r="N272" s="243">
        <f>N270</f>
        <v>2.9579999999999984</v>
      </c>
      <c r="O272" s="294">
        <f>ROUND(N272*I272,2)</f>
        <v>120.92</v>
      </c>
      <c r="P272" s="273">
        <f>H272-L272-N272</f>
        <v>96.406999999999996</v>
      </c>
      <c r="Q272" s="287">
        <f>ROUND(P272*I272,2)</f>
        <v>3941</v>
      </c>
      <c r="R272" s="137"/>
      <c r="S272" s="269">
        <f>W272+Y272+AA272+AC272+AE272+AG272+AI272+AK272+AM272+AO272+AQ272+AS272+AU272+AW272</f>
        <v>0</v>
      </c>
      <c r="T272" s="269">
        <f>ROUND(S272*I272,2)</f>
        <v>0</v>
      </c>
      <c r="U272" s="269">
        <f>H272-S272</f>
        <v>99.364999999999995</v>
      </c>
      <c r="V272" s="269">
        <f>ROUND(U272*I272,2)</f>
        <v>4061.92</v>
      </c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  <c r="AL272" s="269"/>
      <c r="AM272" s="269"/>
      <c r="AN272" s="269"/>
      <c r="AO272" s="269"/>
      <c r="AP272" s="269"/>
      <c r="AQ272" s="269"/>
      <c r="AR272" s="269"/>
      <c r="AS272" s="269"/>
      <c r="AT272" s="269"/>
      <c r="AU272" s="269"/>
      <c r="AV272" s="269"/>
      <c r="AW272" s="269"/>
      <c r="AX272" s="269"/>
      <c r="DF272" s="132" t="s">
        <v>1</v>
      </c>
      <c r="DG272" s="133" t="s">
        <v>40</v>
      </c>
      <c r="DI272" s="134">
        <f>DH272*H272</f>
        <v>0</v>
      </c>
      <c r="DJ272" s="134">
        <v>0</v>
      </c>
      <c r="DK272" s="134">
        <f>DJ272*H272</f>
        <v>0</v>
      </c>
      <c r="DL272" s="134">
        <v>0</v>
      </c>
      <c r="DM272" s="135">
        <f>DL272*H272</f>
        <v>0</v>
      </c>
      <c r="EK272" s="136" t="s">
        <v>95</v>
      </c>
      <c r="EM272" s="136" t="s">
        <v>284</v>
      </c>
      <c r="EN272" s="136" t="s">
        <v>83</v>
      </c>
      <c r="ER272" s="16" t="s">
        <v>282</v>
      </c>
      <c r="EX272" s="137">
        <f>IF(DG272="základní",J272,0)</f>
        <v>4061.92</v>
      </c>
      <c r="EY272" s="137">
        <f>IF(DG272="snížená",J272,0)</f>
        <v>0</v>
      </c>
      <c r="EZ272" s="137">
        <f>IF(DG272="zákl. přenesená",J272,0)</f>
        <v>0</v>
      </c>
      <c r="FA272" s="137">
        <f>IF(DG272="sníž. přenesená",J272,0)</f>
        <v>0</v>
      </c>
      <c r="FB272" s="137">
        <f>IF(DG272="nulová",J272,0)</f>
        <v>0</v>
      </c>
      <c r="FC272" s="16" t="s">
        <v>81</v>
      </c>
      <c r="FD272" s="137">
        <f>ROUND(I272*H272,2)</f>
        <v>4061.92</v>
      </c>
      <c r="FE272" s="16" t="s">
        <v>95</v>
      </c>
      <c r="FF272" s="136" t="s">
        <v>534</v>
      </c>
    </row>
    <row r="273" spans="2:162" s="1" customFormat="1" ht="19.5" x14ac:dyDescent="0.2">
      <c r="B273" s="31"/>
      <c r="D273" s="138" t="s">
        <v>289</v>
      </c>
      <c r="F273" s="139" t="s">
        <v>535</v>
      </c>
      <c r="I273" s="140"/>
      <c r="L273" s="31"/>
      <c r="N273" s="213"/>
      <c r="O273" s="214"/>
      <c r="Q273" s="229"/>
      <c r="DF273" s="141"/>
      <c r="DM273" s="50"/>
      <c r="EM273" s="16" t="s">
        <v>289</v>
      </c>
      <c r="EN273" s="16" t="s">
        <v>83</v>
      </c>
    </row>
    <row r="274" spans="2:162" s="1" customFormat="1" ht="24.2" customHeight="1" x14ac:dyDescent="0.2">
      <c r="B274" s="124"/>
      <c r="C274" s="125" t="s">
        <v>489</v>
      </c>
      <c r="D274" s="125" t="s">
        <v>284</v>
      </c>
      <c r="E274" s="126" t="s">
        <v>537</v>
      </c>
      <c r="F274" s="127" t="s">
        <v>538</v>
      </c>
      <c r="G274" s="128" t="s">
        <v>287</v>
      </c>
      <c r="H274" s="129">
        <v>99.364999999999995</v>
      </c>
      <c r="I274" s="130">
        <v>362.67856108310502</v>
      </c>
      <c r="J274" s="131">
        <f>ROUND(I274*H274,2)</f>
        <v>36037.56</v>
      </c>
      <c r="K274" s="127" t="s">
        <v>293</v>
      </c>
      <c r="L274" s="268">
        <f>S274</f>
        <v>0</v>
      </c>
      <c r="M274" s="272">
        <f>ROUND(L274*I274,2)</f>
        <v>0</v>
      </c>
      <c r="N274" s="243">
        <f>N272</f>
        <v>2.9579999999999984</v>
      </c>
      <c r="O274" s="294">
        <f>ROUND(N274*I274,2)</f>
        <v>1072.8</v>
      </c>
      <c r="P274" s="273">
        <f>H274-L274-N274</f>
        <v>96.406999999999996</v>
      </c>
      <c r="Q274" s="287">
        <f>ROUND(P274*I274,2)</f>
        <v>34964.75</v>
      </c>
      <c r="R274" s="137"/>
      <c r="S274" s="269">
        <f>W274+Y274+AA274+AC274+AE274+AG274+AI274+AK274+AM274+AO274+AQ274+AS274+AU274+AW274</f>
        <v>0</v>
      </c>
      <c r="T274" s="269">
        <f>ROUND(S274*I274,2)</f>
        <v>0</v>
      </c>
      <c r="U274" s="269">
        <f>H274-S274</f>
        <v>99.364999999999995</v>
      </c>
      <c r="V274" s="269">
        <f>ROUND(U274*I274,2)</f>
        <v>36037.56</v>
      </c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69"/>
      <c r="AO274" s="269"/>
      <c r="AP274" s="269"/>
      <c r="AQ274" s="269"/>
      <c r="AR274" s="269"/>
      <c r="AS274" s="269"/>
      <c r="AT274" s="269"/>
      <c r="AU274" s="269"/>
      <c r="AV274" s="269"/>
      <c r="AW274" s="269"/>
      <c r="AX274" s="269"/>
      <c r="DF274" s="132" t="s">
        <v>1</v>
      </c>
      <c r="DG274" s="133" t="s">
        <v>40</v>
      </c>
      <c r="DI274" s="134">
        <f>DH274*H274</f>
        <v>0</v>
      </c>
      <c r="DJ274" s="134">
        <v>0</v>
      </c>
      <c r="DK274" s="134">
        <f>DJ274*H274</f>
        <v>0</v>
      </c>
      <c r="DL274" s="134">
        <v>0</v>
      </c>
      <c r="DM274" s="135">
        <f>DL274*H274</f>
        <v>0</v>
      </c>
      <c r="EK274" s="136" t="s">
        <v>95</v>
      </c>
      <c r="EM274" s="136" t="s">
        <v>284</v>
      </c>
      <c r="EN274" s="136" t="s">
        <v>83</v>
      </c>
      <c r="ER274" s="16" t="s">
        <v>282</v>
      </c>
      <c r="EX274" s="137">
        <f>IF(DG274="základní",J274,0)</f>
        <v>36037.56</v>
      </c>
      <c r="EY274" s="137">
        <f>IF(DG274="snížená",J274,0)</f>
        <v>0</v>
      </c>
      <c r="EZ274" s="137">
        <f>IF(DG274="zákl. přenesená",J274,0)</f>
        <v>0</v>
      </c>
      <c r="FA274" s="137">
        <f>IF(DG274="sníž. přenesená",J274,0)</f>
        <v>0</v>
      </c>
      <c r="FB274" s="137">
        <f>IF(DG274="nulová",J274,0)</f>
        <v>0</v>
      </c>
      <c r="FC274" s="16" t="s">
        <v>81</v>
      </c>
      <c r="FD274" s="137">
        <f>ROUND(I274*H274,2)</f>
        <v>36037.56</v>
      </c>
      <c r="FE274" s="16" t="s">
        <v>95</v>
      </c>
      <c r="FF274" s="136" t="s">
        <v>539</v>
      </c>
    </row>
    <row r="275" spans="2:162" s="1" customFormat="1" ht="29.25" x14ac:dyDescent="0.2">
      <c r="B275" s="31"/>
      <c r="D275" s="138" t="s">
        <v>289</v>
      </c>
      <c r="F275" s="139" t="s">
        <v>540</v>
      </c>
      <c r="I275" s="140"/>
      <c r="L275" s="31"/>
      <c r="N275" s="213"/>
      <c r="O275" s="214"/>
      <c r="Q275" s="229"/>
      <c r="DF275" s="141"/>
      <c r="DM275" s="50"/>
      <c r="EM275" s="16" t="s">
        <v>289</v>
      </c>
      <c r="EN275" s="16" t="s">
        <v>83</v>
      </c>
    </row>
    <row r="276" spans="2:162" s="1" customFormat="1" ht="29.25" x14ac:dyDescent="0.2">
      <c r="B276" s="31"/>
      <c r="D276" s="138" t="s">
        <v>299</v>
      </c>
      <c r="F276" s="142" t="s">
        <v>804</v>
      </c>
      <c r="I276" s="140"/>
      <c r="L276" s="31"/>
      <c r="N276" s="213"/>
      <c r="O276" s="214"/>
      <c r="Q276" s="229"/>
      <c r="DF276" s="141"/>
      <c r="DM276" s="50"/>
      <c r="EM276" s="16" t="s">
        <v>299</v>
      </c>
      <c r="EN276" s="16" t="s">
        <v>83</v>
      </c>
    </row>
    <row r="277" spans="2:162" s="11" customFormat="1" x14ac:dyDescent="0.2">
      <c r="B277" s="143"/>
      <c r="D277" s="138" t="s">
        <v>301</v>
      </c>
      <c r="E277" s="144" t="s">
        <v>1</v>
      </c>
      <c r="F277" s="145" t="s">
        <v>541</v>
      </c>
      <c r="H277" s="144" t="s">
        <v>1</v>
      </c>
      <c r="I277" s="146"/>
      <c r="L277" s="143"/>
      <c r="N277" s="215"/>
      <c r="O277" s="216"/>
      <c r="Q277" s="230"/>
      <c r="DF277" s="147"/>
      <c r="DM277" s="148"/>
      <c r="EM277" s="144" t="s">
        <v>301</v>
      </c>
      <c r="EN277" s="144" t="s">
        <v>83</v>
      </c>
      <c r="EO277" s="11" t="s">
        <v>81</v>
      </c>
      <c r="EP277" s="11" t="s">
        <v>32</v>
      </c>
      <c r="EQ277" s="11" t="s">
        <v>74</v>
      </c>
      <c r="ER277" s="144" t="s">
        <v>282</v>
      </c>
    </row>
    <row r="278" spans="2:162" s="12" customFormat="1" x14ac:dyDescent="0.2">
      <c r="B278" s="149"/>
      <c r="D278" s="138" t="s">
        <v>301</v>
      </c>
      <c r="E278" s="150" t="s">
        <v>1</v>
      </c>
      <c r="F278" s="151" t="s">
        <v>768</v>
      </c>
      <c r="H278" s="152">
        <v>99.364999999999995</v>
      </c>
      <c r="I278" s="153"/>
      <c r="L278" s="149"/>
      <c r="N278" s="217"/>
      <c r="O278" s="218"/>
      <c r="Q278" s="231"/>
      <c r="DF278" s="154"/>
      <c r="DM278" s="155"/>
      <c r="EM278" s="150" t="s">
        <v>301</v>
      </c>
      <c r="EN278" s="150" t="s">
        <v>83</v>
      </c>
      <c r="EO278" s="12" t="s">
        <v>83</v>
      </c>
      <c r="EP278" s="12" t="s">
        <v>32</v>
      </c>
      <c r="EQ278" s="12" t="s">
        <v>81</v>
      </c>
      <c r="ER278" s="150" t="s">
        <v>282</v>
      </c>
    </row>
    <row r="279" spans="2:162" s="1" customFormat="1" ht="14.45" customHeight="1" x14ac:dyDescent="0.2">
      <c r="B279" s="124"/>
      <c r="C279" s="125" t="s">
        <v>493</v>
      </c>
      <c r="D279" s="125" t="s">
        <v>284</v>
      </c>
      <c r="E279" s="126" t="s">
        <v>544</v>
      </c>
      <c r="F279" s="127" t="s">
        <v>545</v>
      </c>
      <c r="G279" s="128" t="s">
        <v>287</v>
      </c>
      <c r="H279" s="129">
        <v>369</v>
      </c>
      <c r="I279" s="130">
        <v>18.105699236185</v>
      </c>
      <c r="J279" s="131">
        <f>ROUND(I279*H279,2)</f>
        <v>6681</v>
      </c>
      <c r="K279" s="127" t="s">
        <v>293</v>
      </c>
      <c r="L279" s="268">
        <f>S279</f>
        <v>0</v>
      </c>
      <c r="M279" s="272">
        <f>ROUND(L279*I279,2)</f>
        <v>0</v>
      </c>
      <c r="N279" s="243">
        <f>N138</f>
        <v>10.080000000000013</v>
      </c>
      <c r="O279" s="294">
        <f>ROUND(N279*I279,2)</f>
        <v>182.51</v>
      </c>
      <c r="P279" s="273">
        <f>H279-L279-N279</f>
        <v>358.91999999999996</v>
      </c>
      <c r="Q279" s="287">
        <f>ROUND(P279*I279,2)</f>
        <v>6498.5</v>
      </c>
      <c r="R279" s="137"/>
      <c r="S279" s="269">
        <f>W279+Y279+AA279+AC279+AE279+AG279+AI279+AK279+AM279+AO279+AQ279+AS279+AU279+AW279</f>
        <v>0</v>
      </c>
      <c r="T279" s="269">
        <f>ROUND(S279*I279,2)</f>
        <v>0</v>
      </c>
      <c r="U279" s="269">
        <f>H279-S279</f>
        <v>369</v>
      </c>
      <c r="V279" s="269">
        <f>ROUND(U279*I279,2)</f>
        <v>6681</v>
      </c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AQ279" s="269"/>
      <c r="AR279" s="269"/>
      <c r="AS279" s="269"/>
      <c r="AT279" s="269"/>
      <c r="AU279" s="269"/>
      <c r="AV279" s="269"/>
      <c r="AW279" s="269"/>
      <c r="AX279" s="269"/>
      <c r="DF279" s="132" t="s">
        <v>1</v>
      </c>
      <c r="DG279" s="133" t="s">
        <v>40</v>
      </c>
      <c r="DI279" s="134">
        <f>DH279*H279</f>
        <v>0</v>
      </c>
      <c r="DJ279" s="134">
        <v>0</v>
      </c>
      <c r="DK279" s="134">
        <f>DJ279*H279</f>
        <v>0</v>
      </c>
      <c r="DL279" s="134">
        <v>0</v>
      </c>
      <c r="DM279" s="135">
        <f>DL279*H279</f>
        <v>0</v>
      </c>
      <c r="EK279" s="136" t="s">
        <v>95</v>
      </c>
      <c r="EM279" s="136" t="s">
        <v>284</v>
      </c>
      <c r="EN279" s="136" t="s">
        <v>83</v>
      </c>
      <c r="ER279" s="16" t="s">
        <v>282</v>
      </c>
      <c r="EX279" s="137">
        <f>IF(DG279="základní",J279,0)</f>
        <v>6681</v>
      </c>
      <c r="EY279" s="137">
        <f>IF(DG279="snížená",J279,0)</f>
        <v>0</v>
      </c>
      <c r="EZ279" s="137">
        <f>IF(DG279="zákl. přenesená",J279,0)</f>
        <v>0</v>
      </c>
      <c r="FA279" s="137">
        <f>IF(DG279="sníž. přenesená",J279,0)</f>
        <v>0</v>
      </c>
      <c r="FB279" s="137">
        <f>IF(DG279="nulová",J279,0)</f>
        <v>0</v>
      </c>
      <c r="FC279" s="16" t="s">
        <v>81</v>
      </c>
      <c r="FD279" s="137">
        <f>ROUND(I279*H279,2)</f>
        <v>6681</v>
      </c>
      <c r="FE279" s="16" t="s">
        <v>95</v>
      </c>
      <c r="FF279" s="136" t="s">
        <v>546</v>
      </c>
    </row>
    <row r="280" spans="2:162" s="1" customFormat="1" ht="19.5" x14ac:dyDescent="0.2">
      <c r="B280" s="31"/>
      <c r="D280" s="138" t="s">
        <v>289</v>
      </c>
      <c r="F280" s="139" t="s">
        <v>547</v>
      </c>
      <c r="I280" s="140"/>
      <c r="L280" s="31"/>
      <c r="N280" s="213"/>
      <c r="O280" s="214"/>
      <c r="Q280" s="229"/>
      <c r="DF280" s="141"/>
      <c r="DM280" s="50"/>
      <c r="EM280" s="16" t="s">
        <v>289</v>
      </c>
      <c r="EN280" s="16" t="s">
        <v>83</v>
      </c>
    </row>
    <row r="281" spans="2:162" s="1" customFormat="1" ht="24.2" customHeight="1" x14ac:dyDescent="0.2">
      <c r="B281" s="124"/>
      <c r="C281" s="125" t="s">
        <v>497</v>
      </c>
      <c r="D281" s="125" t="s">
        <v>284</v>
      </c>
      <c r="E281" s="126" t="s">
        <v>549</v>
      </c>
      <c r="F281" s="127" t="s">
        <v>550</v>
      </c>
      <c r="G281" s="128" t="s">
        <v>287</v>
      </c>
      <c r="H281" s="129">
        <v>369</v>
      </c>
      <c r="I281" s="130">
        <v>388.96896513366403</v>
      </c>
      <c r="J281" s="131">
        <f>ROUND(I281*H281,2)</f>
        <v>143529.54999999999</v>
      </c>
      <c r="K281" s="127" t="s">
        <v>293</v>
      </c>
      <c r="L281" s="268">
        <f>S281</f>
        <v>0</v>
      </c>
      <c r="M281" s="272">
        <f>ROUND(L281*I281,2)</f>
        <v>0</v>
      </c>
      <c r="N281" s="243">
        <f>N279</f>
        <v>10.080000000000013</v>
      </c>
      <c r="O281" s="294">
        <f>ROUND(N281*I281,2)</f>
        <v>3920.81</v>
      </c>
      <c r="P281" s="273">
        <f>H281-L281-N281</f>
        <v>358.91999999999996</v>
      </c>
      <c r="Q281" s="287">
        <f>ROUND(P281*I281,2)</f>
        <v>139608.74</v>
      </c>
      <c r="R281" s="137"/>
      <c r="S281" s="269">
        <f>W281+Y281+AA281+AC281+AE281+AG281+AI281+AK281+AM281+AO281+AQ281+AS281+AU281+AW281</f>
        <v>0</v>
      </c>
      <c r="T281" s="269">
        <f>ROUND(S281*I281,2)</f>
        <v>0</v>
      </c>
      <c r="U281" s="269">
        <f>H281-S281</f>
        <v>369</v>
      </c>
      <c r="V281" s="269">
        <f>ROUND(U281*I281,2)</f>
        <v>143529.54999999999</v>
      </c>
      <c r="W281" s="269"/>
      <c r="X281" s="269"/>
      <c r="Y281" s="269"/>
      <c r="Z281" s="269"/>
      <c r="AA281" s="269"/>
      <c r="AB281" s="269"/>
      <c r="AC281" s="269"/>
      <c r="AD281" s="269"/>
      <c r="AE281" s="269"/>
      <c r="AF281" s="269"/>
      <c r="AG281" s="269"/>
      <c r="AH281" s="269"/>
      <c r="AI281" s="269"/>
      <c r="AJ281" s="269"/>
      <c r="AK281" s="269"/>
      <c r="AL281" s="269"/>
      <c r="AM281" s="269"/>
      <c r="AN281" s="269"/>
      <c r="AO281" s="269"/>
      <c r="AP281" s="269"/>
      <c r="AQ281" s="269"/>
      <c r="AR281" s="269"/>
      <c r="AS281" s="269"/>
      <c r="AT281" s="269"/>
      <c r="AU281" s="269"/>
      <c r="AV281" s="269"/>
      <c r="AW281" s="269"/>
      <c r="AX281" s="269"/>
      <c r="DF281" s="132" t="s">
        <v>1</v>
      </c>
      <c r="DG281" s="133" t="s">
        <v>40</v>
      </c>
      <c r="DI281" s="134">
        <f>DH281*H281</f>
        <v>0</v>
      </c>
      <c r="DJ281" s="134">
        <v>0</v>
      </c>
      <c r="DK281" s="134">
        <f>DJ281*H281</f>
        <v>0</v>
      </c>
      <c r="DL281" s="134">
        <v>0</v>
      </c>
      <c r="DM281" s="135">
        <f>DL281*H281</f>
        <v>0</v>
      </c>
      <c r="EK281" s="136" t="s">
        <v>95</v>
      </c>
      <c r="EM281" s="136" t="s">
        <v>284</v>
      </c>
      <c r="EN281" s="136" t="s">
        <v>83</v>
      </c>
      <c r="ER281" s="16" t="s">
        <v>282</v>
      </c>
      <c r="EX281" s="137">
        <f>IF(DG281="základní",J281,0)</f>
        <v>143529.54999999999</v>
      </c>
      <c r="EY281" s="137">
        <f>IF(DG281="snížená",J281,0)</f>
        <v>0</v>
      </c>
      <c r="EZ281" s="137">
        <f>IF(DG281="zákl. přenesená",J281,0)</f>
        <v>0</v>
      </c>
      <c r="FA281" s="137">
        <f>IF(DG281="sníž. přenesená",J281,0)</f>
        <v>0</v>
      </c>
      <c r="FB281" s="137">
        <f>IF(DG281="nulová",J281,0)</f>
        <v>0</v>
      </c>
      <c r="FC281" s="16" t="s">
        <v>81</v>
      </c>
      <c r="FD281" s="137">
        <f>ROUND(I281*H281,2)</f>
        <v>143529.54999999999</v>
      </c>
      <c r="FE281" s="16" t="s">
        <v>95</v>
      </c>
      <c r="FF281" s="136" t="s">
        <v>551</v>
      </c>
    </row>
    <row r="282" spans="2:162" s="1" customFormat="1" ht="29.25" x14ac:dyDescent="0.2">
      <c r="B282" s="31"/>
      <c r="D282" s="138" t="s">
        <v>289</v>
      </c>
      <c r="F282" s="139" t="s">
        <v>552</v>
      </c>
      <c r="I282" s="140"/>
      <c r="L282" s="31"/>
      <c r="N282" s="213"/>
      <c r="O282" s="214"/>
      <c r="Q282" s="229"/>
      <c r="DF282" s="141"/>
      <c r="DM282" s="50"/>
      <c r="EM282" s="16" t="s">
        <v>289</v>
      </c>
      <c r="EN282" s="16" t="s">
        <v>83</v>
      </c>
    </row>
    <row r="283" spans="2:162" s="1" customFormat="1" ht="29.25" x14ac:dyDescent="0.2">
      <c r="B283" s="31"/>
      <c r="D283" s="138" t="s">
        <v>299</v>
      </c>
      <c r="F283" s="142" t="s">
        <v>804</v>
      </c>
      <c r="I283" s="140"/>
      <c r="L283" s="31"/>
      <c r="N283" s="213"/>
      <c r="O283" s="214"/>
      <c r="Q283" s="229"/>
      <c r="DF283" s="141"/>
      <c r="DM283" s="50"/>
      <c r="EM283" s="16" t="s">
        <v>299</v>
      </c>
      <c r="EN283" s="16" t="s">
        <v>83</v>
      </c>
    </row>
    <row r="284" spans="2:162" s="11" customFormat="1" x14ac:dyDescent="0.2">
      <c r="B284" s="143"/>
      <c r="D284" s="138" t="s">
        <v>301</v>
      </c>
      <c r="E284" s="144" t="s">
        <v>1</v>
      </c>
      <c r="F284" s="145" t="s">
        <v>553</v>
      </c>
      <c r="H284" s="144" t="s">
        <v>1</v>
      </c>
      <c r="I284" s="146"/>
      <c r="L284" s="143"/>
      <c r="N284" s="215"/>
      <c r="O284" s="216"/>
      <c r="Q284" s="230"/>
      <c r="DF284" s="147"/>
      <c r="DM284" s="148"/>
      <c r="EM284" s="144" t="s">
        <v>301</v>
      </c>
      <c r="EN284" s="144" t="s">
        <v>83</v>
      </c>
      <c r="EO284" s="11" t="s">
        <v>81</v>
      </c>
      <c r="EP284" s="11" t="s">
        <v>32</v>
      </c>
      <c r="EQ284" s="11" t="s">
        <v>74</v>
      </c>
      <c r="ER284" s="144" t="s">
        <v>282</v>
      </c>
    </row>
    <row r="285" spans="2:162" s="12" customFormat="1" x14ac:dyDescent="0.2">
      <c r="B285" s="149"/>
      <c r="D285" s="138" t="s">
        <v>301</v>
      </c>
      <c r="E285" s="150" t="s">
        <v>1</v>
      </c>
      <c r="F285" s="151" t="s">
        <v>769</v>
      </c>
      <c r="H285" s="152">
        <v>369</v>
      </c>
      <c r="I285" s="153"/>
      <c r="L285" s="149"/>
      <c r="N285" s="217"/>
      <c r="O285" s="218"/>
      <c r="Q285" s="231"/>
      <c r="DF285" s="154"/>
      <c r="DM285" s="155"/>
      <c r="EM285" s="150" t="s">
        <v>301</v>
      </c>
      <c r="EN285" s="150" t="s">
        <v>83</v>
      </c>
      <c r="EO285" s="12" t="s">
        <v>83</v>
      </c>
      <c r="EP285" s="12" t="s">
        <v>32</v>
      </c>
      <c r="EQ285" s="12" t="s">
        <v>81</v>
      </c>
      <c r="ER285" s="150" t="s">
        <v>282</v>
      </c>
    </row>
    <row r="286" spans="2:162" s="10" customFormat="1" ht="22.9" customHeight="1" x14ac:dyDescent="0.2">
      <c r="B286" s="112"/>
      <c r="D286" s="113" t="s">
        <v>73</v>
      </c>
      <c r="E286" s="122" t="s">
        <v>328</v>
      </c>
      <c r="F286" s="122" t="s">
        <v>555</v>
      </c>
      <c r="I286" s="115"/>
      <c r="J286" s="123">
        <f>FD286</f>
        <v>148681.07999999999</v>
      </c>
      <c r="L286" s="112"/>
      <c r="M286" s="270">
        <f>SUM(M287:M361)</f>
        <v>0</v>
      </c>
      <c r="N286" s="301"/>
      <c r="O286" s="302">
        <f t="shared" ref="O286:V286" si="4">SUM(O287:O361)</f>
        <v>-33412.639999999999</v>
      </c>
      <c r="P286" s="270"/>
      <c r="Q286" s="288">
        <f t="shared" si="4"/>
        <v>182093.71999999994</v>
      </c>
      <c r="R286" s="270"/>
      <c r="S286" s="270"/>
      <c r="T286" s="270">
        <f t="shared" si="4"/>
        <v>0</v>
      </c>
      <c r="U286" s="270"/>
      <c r="V286" s="270">
        <f t="shared" si="4"/>
        <v>148681.07999999999</v>
      </c>
      <c r="DF286" s="117"/>
      <c r="DI286" s="118">
        <f>SUM(DI287:DI362)</f>
        <v>0</v>
      </c>
      <c r="DK286" s="118">
        <f>SUM(DK287:DK362)</f>
        <v>8.6397750000000002</v>
      </c>
      <c r="DM286" s="119">
        <f>SUM(DM287:DM362)</f>
        <v>0</v>
      </c>
      <c r="EK286" s="113" t="s">
        <v>81</v>
      </c>
      <c r="EM286" s="120" t="s">
        <v>73</v>
      </c>
      <c r="EN286" s="120" t="s">
        <v>81</v>
      </c>
      <c r="ER286" s="113" t="s">
        <v>282</v>
      </c>
      <c r="FD286" s="121">
        <f>SUM(FD287:FD362)</f>
        <v>148681.07999999999</v>
      </c>
    </row>
    <row r="287" spans="2:162" s="1" customFormat="1" ht="24.2" customHeight="1" x14ac:dyDescent="0.2">
      <c r="B287" s="124"/>
      <c r="C287" s="125" t="s">
        <v>501</v>
      </c>
      <c r="D287" s="125" t="s">
        <v>284</v>
      </c>
      <c r="E287" s="126" t="s">
        <v>770</v>
      </c>
      <c r="F287" s="127" t="s">
        <v>771</v>
      </c>
      <c r="G287" s="128" t="s">
        <v>344</v>
      </c>
      <c r="H287" s="129">
        <v>2</v>
      </c>
      <c r="I287" s="130">
        <v>729.66571088016701</v>
      </c>
      <c r="J287" s="131">
        <f>ROUND(I287*H287,2)</f>
        <v>1459.33</v>
      </c>
      <c r="K287" s="127" t="s">
        <v>293</v>
      </c>
      <c r="L287" s="268">
        <f>S287</f>
        <v>0</v>
      </c>
      <c r="M287" s="272">
        <f>ROUND(L287*I287,2)</f>
        <v>0</v>
      </c>
      <c r="N287" s="243">
        <v>1.32</v>
      </c>
      <c r="O287" s="294">
        <f>ROUND(N287*I287,2)</f>
        <v>963.16</v>
      </c>
      <c r="P287" s="273">
        <f>H287-L287-N287</f>
        <v>0.67999999999999994</v>
      </c>
      <c r="Q287" s="287">
        <f>ROUND(P287*I287,2)</f>
        <v>496.17</v>
      </c>
      <c r="R287" s="137"/>
      <c r="S287" s="269">
        <f>W287+Y287+AA287+AC287+AE287+AG287+AI287+AK287+AM287+AO287+AQ287+AS287+AU287+AW287</f>
        <v>0</v>
      </c>
      <c r="T287" s="269">
        <f>ROUND(S287*I287,2)</f>
        <v>0</v>
      </c>
      <c r="U287" s="269">
        <f>H287-S287</f>
        <v>2</v>
      </c>
      <c r="V287" s="269">
        <f>ROUND(U287*I287,2)</f>
        <v>1459.33</v>
      </c>
      <c r="W287" s="269"/>
      <c r="X287" s="269"/>
      <c r="Y287" s="269"/>
      <c r="Z287" s="269"/>
      <c r="AA287" s="269"/>
      <c r="AB287" s="269"/>
      <c r="AC287" s="269"/>
      <c r="AD287" s="269"/>
      <c r="AE287" s="269"/>
      <c r="AF287" s="269"/>
      <c r="AG287" s="269"/>
      <c r="AH287" s="269"/>
      <c r="AI287" s="269"/>
      <c r="AJ287" s="269"/>
      <c r="AK287" s="269"/>
      <c r="AL287" s="269"/>
      <c r="AM287" s="269"/>
      <c r="AN287" s="269"/>
      <c r="AO287" s="269"/>
      <c r="AP287" s="269"/>
      <c r="AQ287" s="269"/>
      <c r="AR287" s="269"/>
      <c r="AS287" s="269"/>
      <c r="AT287" s="269"/>
      <c r="AU287" s="269"/>
      <c r="AV287" s="269"/>
      <c r="AW287" s="269"/>
      <c r="AX287" s="269"/>
      <c r="DF287" s="132" t="s">
        <v>1</v>
      </c>
      <c r="DG287" s="133" t="s">
        <v>40</v>
      </c>
      <c r="DI287" s="134">
        <f>DH287*H287</f>
        <v>0</v>
      </c>
      <c r="DJ287" s="134">
        <v>6.5599999999999999E-3</v>
      </c>
      <c r="DK287" s="134">
        <f>DJ287*H287</f>
        <v>1.312E-2</v>
      </c>
      <c r="DL287" s="134">
        <v>0</v>
      </c>
      <c r="DM287" s="135">
        <f>DL287*H287</f>
        <v>0</v>
      </c>
      <c r="EK287" s="136" t="s">
        <v>95</v>
      </c>
      <c r="EM287" s="136" t="s">
        <v>284</v>
      </c>
      <c r="EN287" s="136" t="s">
        <v>83</v>
      </c>
      <c r="ER287" s="16" t="s">
        <v>282</v>
      </c>
      <c r="EX287" s="137">
        <f>IF(DG287="základní",J287,0)</f>
        <v>1459.33</v>
      </c>
      <c r="EY287" s="137">
        <f>IF(DG287="snížená",J287,0)</f>
        <v>0</v>
      </c>
      <c r="EZ287" s="137">
        <f>IF(DG287="zákl. přenesená",J287,0)</f>
        <v>0</v>
      </c>
      <c r="FA287" s="137">
        <f>IF(DG287="sníž. přenesená",J287,0)</f>
        <v>0</v>
      </c>
      <c r="FB287" s="137">
        <f>IF(DG287="nulová",J287,0)</f>
        <v>0</v>
      </c>
      <c r="FC287" s="16" t="s">
        <v>81</v>
      </c>
      <c r="FD287" s="137">
        <f>ROUND(I287*H287,2)</f>
        <v>1459.33</v>
      </c>
      <c r="FE287" s="16" t="s">
        <v>95</v>
      </c>
      <c r="FF287" s="136" t="s">
        <v>772</v>
      </c>
    </row>
    <row r="288" spans="2:162" s="1" customFormat="1" ht="29.25" x14ac:dyDescent="0.2">
      <c r="B288" s="31"/>
      <c r="D288" s="138" t="s">
        <v>289</v>
      </c>
      <c r="F288" s="139" t="s">
        <v>773</v>
      </c>
      <c r="I288" s="140"/>
      <c r="L288" s="31"/>
      <c r="N288" s="213"/>
      <c r="O288" s="214"/>
      <c r="Q288" s="229"/>
      <c r="DF288" s="141"/>
      <c r="DM288" s="50"/>
      <c r="EM288" s="16" t="s">
        <v>289</v>
      </c>
      <c r="EN288" s="16" t="s">
        <v>83</v>
      </c>
    </row>
    <row r="289" spans="2:162" s="1" customFormat="1" ht="29.25" x14ac:dyDescent="0.2">
      <c r="B289" s="31"/>
      <c r="D289" s="138" t="s">
        <v>299</v>
      </c>
      <c r="F289" s="142" t="s">
        <v>804</v>
      </c>
      <c r="I289" s="140"/>
      <c r="L289" s="31"/>
      <c r="N289" s="213"/>
      <c r="O289" s="214"/>
      <c r="Q289" s="229"/>
      <c r="DF289" s="141"/>
      <c r="DM289" s="50"/>
      <c r="EM289" s="16" t="s">
        <v>299</v>
      </c>
      <c r="EN289" s="16" t="s">
        <v>83</v>
      </c>
    </row>
    <row r="290" spans="2:162" s="12" customFormat="1" x14ac:dyDescent="0.2">
      <c r="B290" s="149"/>
      <c r="D290" s="138" t="s">
        <v>301</v>
      </c>
      <c r="E290" s="150" t="s">
        <v>1</v>
      </c>
      <c r="F290" s="151" t="s">
        <v>83</v>
      </c>
      <c r="H290" s="152">
        <v>2</v>
      </c>
      <c r="I290" s="153"/>
      <c r="L290" s="149"/>
      <c r="N290" s="217">
        <f>3.32-2</f>
        <v>1.3199999999999998</v>
      </c>
      <c r="O290" s="218" t="s">
        <v>3399</v>
      </c>
      <c r="Q290" s="231"/>
      <c r="DF290" s="154"/>
      <c r="DM290" s="155"/>
      <c r="EM290" s="150" t="s">
        <v>301</v>
      </c>
      <c r="EN290" s="150" t="s">
        <v>83</v>
      </c>
      <c r="EO290" s="12" t="s">
        <v>83</v>
      </c>
      <c r="EP290" s="12" t="s">
        <v>32</v>
      </c>
      <c r="EQ290" s="12" t="s">
        <v>81</v>
      </c>
      <c r="ER290" s="150" t="s">
        <v>282</v>
      </c>
    </row>
    <row r="291" spans="2:162" s="1" customFormat="1" ht="24.2" customHeight="1" x14ac:dyDescent="0.2">
      <c r="B291" s="124"/>
      <c r="C291" s="125" t="s">
        <v>505</v>
      </c>
      <c r="D291" s="125" t="s">
        <v>284</v>
      </c>
      <c r="E291" s="126" t="s">
        <v>557</v>
      </c>
      <c r="F291" s="127" t="s">
        <v>558</v>
      </c>
      <c r="G291" s="128" t="s">
        <v>344</v>
      </c>
      <c r="H291" s="129">
        <v>50.5</v>
      </c>
      <c r="I291" s="130">
        <v>850.78954015145496</v>
      </c>
      <c r="J291" s="131">
        <f>ROUND(I291*H291,2)</f>
        <v>42964.87</v>
      </c>
      <c r="K291" s="127" t="s">
        <v>293</v>
      </c>
      <c r="L291" s="268">
        <f>S291</f>
        <v>0</v>
      </c>
      <c r="M291" s="272">
        <f>ROUND(L291*I291,2)</f>
        <v>0</v>
      </c>
      <c r="N291" s="243">
        <f>N294</f>
        <v>1.5600000000000023</v>
      </c>
      <c r="O291" s="294">
        <f>ROUND(N291*I291,2)</f>
        <v>1327.23</v>
      </c>
      <c r="P291" s="273">
        <f>H291-L291-N291</f>
        <v>48.94</v>
      </c>
      <c r="Q291" s="287">
        <f>ROUND(P291*I291,2)</f>
        <v>41637.64</v>
      </c>
      <c r="R291" s="137"/>
      <c r="S291" s="269">
        <f>W291+Y291+AA291+AC291+AE291+AG291+AI291+AK291+AM291+AO291+AQ291+AS291+AU291+AW291</f>
        <v>0</v>
      </c>
      <c r="T291" s="269">
        <f>ROUND(S291*I291,2)</f>
        <v>0</v>
      </c>
      <c r="U291" s="269">
        <f>H291-S291</f>
        <v>50.5</v>
      </c>
      <c r="V291" s="269">
        <f>ROUND(U291*I291,2)</f>
        <v>42964.87</v>
      </c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AM291" s="269"/>
      <c r="AN291" s="269"/>
      <c r="AO291" s="269"/>
      <c r="AP291" s="269"/>
      <c r="AQ291" s="269"/>
      <c r="AR291" s="269"/>
      <c r="AS291" s="269"/>
      <c r="AT291" s="269"/>
      <c r="AU291" s="269"/>
      <c r="AV291" s="269"/>
      <c r="AW291" s="269"/>
      <c r="AX291" s="269"/>
      <c r="DF291" s="132" t="s">
        <v>1</v>
      </c>
      <c r="DG291" s="133" t="s">
        <v>40</v>
      </c>
      <c r="DI291" s="134">
        <f>DH291*H291</f>
        <v>0</v>
      </c>
      <c r="DJ291" s="134">
        <v>1.323E-2</v>
      </c>
      <c r="DK291" s="134">
        <f>DJ291*H291</f>
        <v>0.66811500000000001</v>
      </c>
      <c r="DL291" s="134">
        <v>0</v>
      </c>
      <c r="DM291" s="135">
        <f>DL291*H291</f>
        <v>0</v>
      </c>
      <c r="EK291" s="136" t="s">
        <v>95</v>
      </c>
      <c r="EM291" s="136" t="s">
        <v>284</v>
      </c>
      <c r="EN291" s="136" t="s">
        <v>83</v>
      </c>
      <c r="ER291" s="16" t="s">
        <v>282</v>
      </c>
      <c r="EX291" s="137">
        <f>IF(DG291="základní",J291,0)</f>
        <v>42964.87</v>
      </c>
      <c r="EY291" s="137">
        <f>IF(DG291="snížená",J291,0)</f>
        <v>0</v>
      </c>
      <c r="EZ291" s="137">
        <f>IF(DG291="zákl. přenesená",J291,0)</f>
        <v>0</v>
      </c>
      <c r="FA291" s="137">
        <f>IF(DG291="sníž. přenesená",J291,0)</f>
        <v>0</v>
      </c>
      <c r="FB291" s="137">
        <f>IF(DG291="nulová",J291,0)</f>
        <v>0</v>
      </c>
      <c r="FC291" s="16" t="s">
        <v>81</v>
      </c>
      <c r="FD291" s="137">
        <f>ROUND(I291*H291,2)</f>
        <v>42964.87</v>
      </c>
      <c r="FE291" s="16" t="s">
        <v>95</v>
      </c>
      <c r="FF291" s="136" t="s">
        <v>559</v>
      </c>
    </row>
    <row r="292" spans="2:162" s="1" customFormat="1" ht="29.25" x14ac:dyDescent="0.2">
      <c r="B292" s="31"/>
      <c r="D292" s="138" t="s">
        <v>289</v>
      </c>
      <c r="F292" s="139" t="s">
        <v>560</v>
      </c>
      <c r="I292" s="140"/>
      <c r="L292" s="31"/>
      <c r="N292" s="213"/>
      <c r="O292" s="214"/>
      <c r="Q292" s="229"/>
      <c r="DF292" s="141"/>
      <c r="DM292" s="50"/>
      <c r="EM292" s="16" t="s">
        <v>289</v>
      </c>
      <c r="EN292" s="16" t="s">
        <v>83</v>
      </c>
    </row>
    <row r="293" spans="2:162" s="1" customFormat="1" ht="29.25" x14ac:dyDescent="0.2">
      <c r="B293" s="31"/>
      <c r="D293" s="138" t="s">
        <v>299</v>
      </c>
      <c r="F293" s="142" t="s">
        <v>804</v>
      </c>
      <c r="I293" s="140"/>
      <c r="L293" s="31"/>
      <c r="N293" s="213"/>
      <c r="O293" s="214"/>
      <c r="Q293" s="229"/>
      <c r="DF293" s="141"/>
      <c r="DM293" s="50"/>
      <c r="EM293" s="16" t="s">
        <v>299</v>
      </c>
      <c r="EN293" s="16" t="s">
        <v>83</v>
      </c>
    </row>
    <row r="294" spans="2:162" s="12" customFormat="1" x14ac:dyDescent="0.2">
      <c r="B294" s="149"/>
      <c r="D294" s="138" t="s">
        <v>301</v>
      </c>
      <c r="E294" s="150" t="s">
        <v>1</v>
      </c>
      <c r="F294" s="151" t="s">
        <v>831</v>
      </c>
      <c r="H294" s="152">
        <v>50.5</v>
      </c>
      <c r="I294" s="153"/>
      <c r="L294" s="149"/>
      <c r="N294" s="217">
        <f>52.06-50.5</f>
        <v>1.5600000000000023</v>
      </c>
      <c r="O294" s="218" t="s">
        <v>3398</v>
      </c>
      <c r="Q294" s="231"/>
      <c r="DF294" s="154"/>
      <c r="DM294" s="155"/>
      <c r="EM294" s="150" t="s">
        <v>301</v>
      </c>
      <c r="EN294" s="150" t="s">
        <v>83</v>
      </c>
      <c r="EO294" s="12" t="s">
        <v>83</v>
      </c>
      <c r="EP294" s="12" t="s">
        <v>32</v>
      </c>
      <c r="EQ294" s="12" t="s">
        <v>81</v>
      </c>
      <c r="ER294" s="150" t="s">
        <v>282</v>
      </c>
    </row>
    <row r="295" spans="2:162" s="1" customFormat="1" ht="24.2" customHeight="1" x14ac:dyDescent="0.2">
      <c r="B295" s="124"/>
      <c r="C295" s="125" t="s">
        <v>510</v>
      </c>
      <c r="D295" s="125" t="s">
        <v>284</v>
      </c>
      <c r="E295" s="126" t="s">
        <v>563</v>
      </c>
      <c r="F295" s="127" t="s">
        <v>564</v>
      </c>
      <c r="G295" s="128" t="s">
        <v>485</v>
      </c>
      <c r="H295" s="129">
        <v>3</v>
      </c>
      <c r="I295" s="130">
        <v>428.93856860779169</v>
      </c>
      <c r="J295" s="131">
        <f>ROUND(I295*H295,2)</f>
        <v>1286.82</v>
      </c>
      <c r="K295" s="127" t="s">
        <v>293</v>
      </c>
      <c r="L295" s="268">
        <f>S295</f>
        <v>0</v>
      </c>
      <c r="M295" s="272">
        <f>ROUND(L295*I295,2)</f>
        <v>0</v>
      </c>
      <c r="N295" s="243"/>
      <c r="O295" s="294">
        <f>ROUND(N295*I295,2)</f>
        <v>0</v>
      </c>
      <c r="P295" s="273">
        <f>H295-L295-N295</f>
        <v>3</v>
      </c>
      <c r="Q295" s="287">
        <f>ROUND(P295*I295,2)</f>
        <v>1286.82</v>
      </c>
      <c r="R295" s="137"/>
      <c r="S295" s="269">
        <f>W295+Y295+AA295+AC295+AE295+AG295+AI295+AK295+AM295+AO295+AQ295+AS295+AU295+AW295</f>
        <v>0</v>
      </c>
      <c r="T295" s="269">
        <f>ROUND(S295*I295,2)</f>
        <v>0</v>
      </c>
      <c r="U295" s="269">
        <f>H295-S295</f>
        <v>3</v>
      </c>
      <c r="V295" s="269">
        <f>ROUND(U295*I295,2)</f>
        <v>1286.82</v>
      </c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  <c r="AL295" s="269"/>
      <c r="AM295" s="269"/>
      <c r="AN295" s="269"/>
      <c r="AO295" s="269"/>
      <c r="AP295" s="269"/>
      <c r="AQ295" s="269"/>
      <c r="AR295" s="269"/>
      <c r="AS295" s="269"/>
      <c r="AT295" s="269"/>
      <c r="AU295" s="269"/>
      <c r="AV295" s="269"/>
      <c r="AW295" s="269"/>
      <c r="AX295" s="269"/>
      <c r="DF295" s="132" t="s">
        <v>1</v>
      </c>
      <c r="DG295" s="133" t="s">
        <v>40</v>
      </c>
      <c r="DI295" s="134">
        <f>DH295*H295</f>
        <v>0</v>
      </c>
      <c r="DJ295" s="134">
        <v>2.0000000000000002E-5</v>
      </c>
      <c r="DK295" s="134">
        <f>DJ295*H295</f>
        <v>6.0000000000000008E-5</v>
      </c>
      <c r="DL295" s="134">
        <v>0</v>
      </c>
      <c r="DM295" s="135">
        <f>DL295*H295</f>
        <v>0</v>
      </c>
      <c r="EK295" s="136" t="s">
        <v>95</v>
      </c>
      <c r="EM295" s="136" t="s">
        <v>284</v>
      </c>
      <c r="EN295" s="136" t="s">
        <v>83</v>
      </c>
      <c r="ER295" s="16" t="s">
        <v>282</v>
      </c>
      <c r="EX295" s="137">
        <f>IF(DG295="základní",J295,0)</f>
        <v>1286.82</v>
      </c>
      <c r="EY295" s="137">
        <f>IF(DG295="snížená",J295,0)</f>
        <v>0</v>
      </c>
      <c r="EZ295" s="137">
        <f>IF(DG295="zákl. přenesená",J295,0)</f>
        <v>0</v>
      </c>
      <c r="FA295" s="137">
        <f>IF(DG295="sníž. přenesená",J295,0)</f>
        <v>0</v>
      </c>
      <c r="FB295" s="137">
        <f>IF(DG295="nulová",J295,0)</f>
        <v>0</v>
      </c>
      <c r="FC295" s="16" t="s">
        <v>81</v>
      </c>
      <c r="FD295" s="137">
        <f>ROUND(I295*H295,2)</f>
        <v>1286.82</v>
      </c>
      <c r="FE295" s="16" t="s">
        <v>95</v>
      </c>
      <c r="FF295" s="136" t="s">
        <v>565</v>
      </c>
    </row>
    <row r="296" spans="2:162" s="1" customFormat="1" ht="19.5" x14ac:dyDescent="0.2">
      <c r="B296" s="31"/>
      <c r="D296" s="138" t="s">
        <v>289</v>
      </c>
      <c r="F296" s="139" t="s">
        <v>566</v>
      </c>
      <c r="I296" s="140"/>
      <c r="L296" s="31"/>
      <c r="N296" s="213"/>
      <c r="O296" s="214"/>
      <c r="Q296" s="229"/>
      <c r="DF296" s="141"/>
      <c r="DM296" s="50"/>
      <c r="EM296" s="16" t="s">
        <v>289</v>
      </c>
      <c r="EN296" s="16" t="s">
        <v>83</v>
      </c>
    </row>
    <row r="297" spans="2:162" s="1" customFormat="1" ht="19.5" x14ac:dyDescent="0.2">
      <c r="B297" s="31"/>
      <c r="D297" s="138" t="s">
        <v>299</v>
      </c>
      <c r="F297" s="142" t="s">
        <v>317</v>
      </c>
      <c r="I297" s="140"/>
      <c r="L297" s="31"/>
      <c r="N297" s="213"/>
      <c r="O297" s="214"/>
      <c r="Q297" s="229"/>
      <c r="DF297" s="141"/>
      <c r="DM297" s="50"/>
      <c r="EM297" s="16" t="s">
        <v>299</v>
      </c>
      <c r="EN297" s="16" t="s">
        <v>83</v>
      </c>
    </row>
    <row r="298" spans="2:162" s="12" customFormat="1" x14ac:dyDescent="0.2">
      <c r="B298" s="149"/>
      <c r="D298" s="138" t="s">
        <v>301</v>
      </c>
      <c r="E298" s="150" t="s">
        <v>1</v>
      </c>
      <c r="F298" s="151" t="s">
        <v>832</v>
      </c>
      <c r="H298" s="152">
        <v>3</v>
      </c>
      <c r="I298" s="153"/>
      <c r="L298" s="149"/>
      <c r="N298" s="217"/>
      <c r="O298" s="218"/>
      <c r="Q298" s="231"/>
      <c r="DF298" s="154"/>
      <c r="DM298" s="155"/>
      <c r="EM298" s="150" t="s">
        <v>301</v>
      </c>
      <c r="EN298" s="150" t="s">
        <v>83</v>
      </c>
      <c r="EO298" s="12" t="s">
        <v>83</v>
      </c>
      <c r="EP298" s="12" t="s">
        <v>32</v>
      </c>
      <c r="EQ298" s="12" t="s">
        <v>81</v>
      </c>
      <c r="ER298" s="150" t="s">
        <v>282</v>
      </c>
    </row>
    <row r="299" spans="2:162" s="1" customFormat="1" ht="24.2" customHeight="1" x14ac:dyDescent="0.2">
      <c r="B299" s="124"/>
      <c r="C299" s="170" t="s">
        <v>514</v>
      </c>
      <c r="D299" s="170" t="s">
        <v>439</v>
      </c>
      <c r="E299" s="171" t="s">
        <v>569</v>
      </c>
      <c r="F299" s="172" t="s">
        <v>570</v>
      </c>
      <c r="G299" s="173" t="s">
        <v>485</v>
      </c>
      <c r="H299" s="174">
        <v>3</v>
      </c>
      <c r="I299" s="175">
        <v>1984.4168915</v>
      </c>
      <c r="J299" s="176">
        <f>ROUND(I299*H299,2)</f>
        <v>5953.25</v>
      </c>
      <c r="K299" s="172" t="s">
        <v>293</v>
      </c>
      <c r="L299" s="268">
        <f>S299</f>
        <v>0</v>
      </c>
      <c r="M299" s="272">
        <f>ROUND(L299*I299,2)</f>
        <v>0</v>
      </c>
      <c r="N299" s="243"/>
      <c r="O299" s="294">
        <f>ROUND(N299*I299,2)</f>
        <v>0</v>
      </c>
      <c r="P299" s="273">
        <f>H299-L299-N299</f>
        <v>3</v>
      </c>
      <c r="Q299" s="287">
        <f>ROUND(P299*I299,2)</f>
        <v>5953.25</v>
      </c>
      <c r="R299" s="137"/>
      <c r="S299" s="269">
        <f>W299+Y299+AA299+AC299+AE299+AG299+AI299+AK299+AM299+AO299+AQ299+AS299+AU299+AW299</f>
        <v>0</v>
      </c>
      <c r="T299" s="269">
        <f>ROUND(S299*I299,2)</f>
        <v>0</v>
      </c>
      <c r="U299" s="269">
        <f>H299-S299</f>
        <v>3</v>
      </c>
      <c r="V299" s="269">
        <f>ROUND(U299*I299,2)</f>
        <v>5953.25</v>
      </c>
      <c r="W299" s="290"/>
      <c r="X299" s="290"/>
      <c r="Y299" s="290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90"/>
      <c r="AK299" s="290"/>
      <c r="AL299" s="290"/>
      <c r="AM299" s="290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90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77" t="s">
        <v>1</v>
      </c>
      <c r="DG299" s="178" t="s">
        <v>40</v>
      </c>
      <c r="DI299" s="134">
        <f>DH299*H299</f>
        <v>0</v>
      </c>
      <c r="DJ299" s="134">
        <v>4.2599999999999999E-3</v>
      </c>
      <c r="DK299" s="134">
        <f>DJ299*H299</f>
        <v>1.278E-2</v>
      </c>
      <c r="DL299" s="134">
        <v>0</v>
      </c>
      <c r="DM299" s="135">
        <f>DL299*H299</f>
        <v>0</v>
      </c>
      <c r="EK299" s="136" t="s">
        <v>328</v>
      </c>
      <c r="EM299" s="136" t="s">
        <v>439</v>
      </c>
      <c r="EN299" s="136" t="s">
        <v>83</v>
      </c>
      <c r="ER299" s="16" t="s">
        <v>282</v>
      </c>
      <c r="EX299" s="137">
        <f>IF(DG299="základní",J299,0)</f>
        <v>5953.25</v>
      </c>
      <c r="EY299" s="137">
        <f>IF(DG299="snížená",J299,0)</f>
        <v>0</v>
      </c>
      <c r="EZ299" s="137">
        <f>IF(DG299="zákl. přenesená",J299,0)</f>
        <v>0</v>
      </c>
      <c r="FA299" s="137">
        <f>IF(DG299="sníž. přenesená",J299,0)</f>
        <v>0</v>
      </c>
      <c r="FB299" s="137">
        <f>IF(DG299="nulová",J299,0)</f>
        <v>0</v>
      </c>
      <c r="FC299" s="16" t="s">
        <v>81</v>
      </c>
      <c r="FD299" s="137">
        <f>ROUND(I299*H299,2)</f>
        <v>5953.25</v>
      </c>
      <c r="FE299" s="16" t="s">
        <v>95</v>
      </c>
      <c r="FF299" s="136" t="s">
        <v>571</v>
      </c>
    </row>
    <row r="300" spans="2:162" s="1" customFormat="1" x14ac:dyDescent="0.2">
      <c r="B300" s="31"/>
      <c r="D300" s="138" t="s">
        <v>289</v>
      </c>
      <c r="F300" s="139" t="s">
        <v>570</v>
      </c>
      <c r="I300" s="140"/>
      <c r="L300" s="31"/>
      <c r="N300" s="213"/>
      <c r="O300" s="214"/>
      <c r="Q300" s="229"/>
      <c r="DF300" s="141"/>
      <c r="DM300" s="50"/>
      <c r="EM300" s="16" t="s">
        <v>289</v>
      </c>
      <c r="EN300" s="16" t="s">
        <v>83</v>
      </c>
    </row>
    <row r="301" spans="2:162" s="1" customFormat="1" ht="24.2" customHeight="1" x14ac:dyDescent="0.2">
      <c r="B301" s="124"/>
      <c r="C301" s="125" t="s">
        <v>521</v>
      </c>
      <c r="D301" s="125" t="s">
        <v>284</v>
      </c>
      <c r="E301" s="126" t="s">
        <v>573</v>
      </c>
      <c r="F301" s="127" t="s">
        <v>574</v>
      </c>
      <c r="G301" s="128" t="s">
        <v>344</v>
      </c>
      <c r="H301" s="129">
        <v>52.5</v>
      </c>
      <c r="I301" s="130">
        <v>42.624706500000002</v>
      </c>
      <c r="J301" s="131">
        <f>ROUND(I301*H301,2)</f>
        <v>2237.8000000000002</v>
      </c>
      <c r="K301" s="127" t="s">
        <v>1</v>
      </c>
      <c r="L301" s="268">
        <f>S301</f>
        <v>0</v>
      </c>
      <c r="M301" s="272">
        <f>ROUND(L301*I301,2)</f>
        <v>0</v>
      </c>
      <c r="N301" s="243">
        <f>N302</f>
        <v>2.8800000000000026</v>
      </c>
      <c r="O301" s="294">
        <f>ROUND(N301*I301,2)</f>
        <v>122.76</v>
      </c>
      <c r="P301" s="273">
        <f>H301-L301-N301</f>
        <v>49.62</v>
      </c>
      <c r="Q301" s="287">
        <f>ROUND(P301*I301,2)</f>
        <v>2115.04</v>
      </c>
      <c r="R301" s="137"/>
      <c r="S301" s="269">
        <f>W301+Y301+AA301+AC301+AE301+AG301+AI301+AK301+AM301+AO301+AQ301+AS301+AU301+AW301</f>
        <v>0</v>
      </c>
      <c r="T301" s="269">
        <f>ROUND(S301*I301,2)</f>
        <v>0</v>
      </c>
      <c r="U301" s="269">
        <f>H301-S301</f>
        <v>52.5</v>
      </c>
      <c r="V301" s="269">
        <f>ROUND(U301*I301,2)</f>
        <v>2237.8000000000002</v>
      </c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  <c r="AL301" s="269"/>
      <c r="AM301" s="269"/>
      <c r="AN301" s="269"/>
      <c r="AO301" s="269"/>
      <c r="AP301" s="269"/>
      <c r="AQ301" s="269"/>
      <c r="AR301" s="269"/>
      <c r="AS301" s="269"/>
      <c r="AT301" s="269"/>
      <c r="AU301" s="269"/>
      <c r="AV301" s="269"/>
      <c r="AW301" s="269"/>
      <c r="AX301" s="269"/>
      <c r="DF301" s="132" t="s">
        <v>1</v>
      </c>
      <c r="DG301" s="133" t="s">
        <v>40</v>
      </c>
      <c r="DI301" s="134">
        <f>DH301*H301</f>
        <v>0</v>
      </c>
      <c r="DJ301" s="134">
        <v>0</v>
      </c>
      <c r="DK301" s="134">
        <f>DJ301*H301</f>
        <v>0</v>
      </c>
      <c r="DL301" s="134">
        <v>0</v>
      </c>
      <c r="DM301" s="135">
        <f>DL301*H301</f>
        <v>0</v>
      </c>
      <c r="EK301" s="136" t="s">
        <v>95</v>
      </c>
      <c r="EM301" s="136" t="s">
        <v>284</v>
      </c>
      <c r="EN301" s="136" t="s">
        <v>83</v>
      </c>
      <c r="ER301" s="16" t="s">
        <v>282</v>
      </c>
      <c r="EX301" s="137">
        <f>IF(DG301="základní",J301,0)</f>
        <v>2237.8000000000002</v>
      </c>
      <c r="EY301" s="137">
        <f>IF(DG301="snížená",J301,0)</f>
        <v>0</v>
      </c>
      <c r="EZ301" s="137">
        <f>IF(DG301="zákl. přenesená",J301,0)</f>
        <v>0</v>
      </c>
      <c r="FA301" s="137">
        <f>IF(DG301="sníž. přenesená",J301,0)</f>
        <v>0</v>
      </c>
      <c r="FB301" s="137">
        <f>IF(DG301="nulová",J301,0)</f>
        <v>0</v>
      </c>
      <c r="FC301" s="16" t="s">
        <v>81</v>
      </c>
      <c r="FD301" s="137">
        <f>ROUND(I301*H301,2)</f>
        <v>2237.8000000000002</v>
      </c>
      <c r="FE301" s="16" t="s">
        <v>95</v>
      </c>
      <c r="FF301" s="136" t="s">
        <v>575</v>
      </c>
    </row>
    <row r="302" spans="2:162" s="1" customFormat="1" ht="19.5" x14ac:dyDescent="0.2">
      <c r="B302" s="31"/>
      <c r="D302" s="138" t="s">
        <v>289</v>
      </c>
      <c r="F302" s="139" t="s">
        <v>574</v>
      </c>
      <c r="I302" s="140"/>
      <c r="L302" s="31"/>
      <c r="N302" s="213">
        <f>55.38-52.5</f>
        <v>2.8800000000000026</v>
      </c>
      <c r="O302" s="214" t="s">
        <v>3400</v>
      </c>
      <c r="Q302" s="229"/>
      <c r="DF302" s="141"/>
      <c r="DM302" s="50"/>
      <c r="EM302" s="16" t="s">
        <v>289</v>
      </c>
      <c r="EN302" s="16" t="s">
        <v>83</v>
      </c>
    </row>
    <row r="303" spans="2:162" s="1" customFormat="1" ht="14.45" customHeight="1" x14ac:dyDescent="0.2">
      <c r="B303" s="124"/>
      <c r="C303" s="125" t="s">
        <v>526</v>
      </c>
      <c r="D303" s="125" t="s">
        <v>284</v>
      </c>
      <c r="E303" s="126" t="s">
        <v>577</v>
      </c>
      <c r="F303" s="127" t="s">
        <v>578</v>
      </c>
      <c r="G303" s="128" t="s">
        <v>344</v>
      </c>
      <c r="H303" s="129">
        <v>52.5</v>
      </c>
      <c r="I303" s="130">
        <v>18.944313999999999</v>
      </c>
      <c r="J303" s="131">
        <f>ROUND(I303*H303,2)</f>
        <v>994.58</v>
      </c>
      <c r="K303" s="127" t="s">
        <v>1</v>
      </c>
      <c r="L303" s="268">
        <f>S303</f>
        <v>0</v>
      </c>
      <c r="M303" s="272">
        <f>ROUND(L303*I303,2)</f>
        <v>0</v>
      </c>
      <c r="N303" s="243">
        <f>N301</f>
        <v>2.8800000000000026</v>
      </c>
      <c r="O303" s="294">
        <f>ROUND(N303*I303,2)</f>
        <v>54.56</v>
      </c>
      <c r="P303" s="273">
        <f>H303-L303-N303</f>
        <v>49.62</v>
      </c>
      <c r="Q303" s="287">
        <f>ROUND(P303*I303,2)</f>
        <v>940.02</v>
      </c>
      <c r="R303" s="137"/>
      <c r="S303" s="269">
        <f>W303+Y303+AA303+AC303+AE303+AG303+AI303+AK303+AM303+AO303+AQ303+AS303+AU303+AW303</f>
        <v>0</v>
      </c>
      <c r="T303" s="269">
        <f>ROUND(S303*I303,2)</f>
        <v>0</v>
      </c>
      <c r="U303" s="269">
        <f>H303-S303</f>
        <v>52.5</v>
      </c>
      <c r="V303" s="269">
        <f>ROUND(U303*I303,2)</f>
        <v>994.58</v>
      </c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  <c r="AL303" s="269"/>
      <c r="AM303" s="269"/>
      <c r="AN303" s="269"/>
      <c r="AO303" s="269"/>
      <c r="AP303" s="269"/>
      <c r="AQ303" s="269"/>
      <c r="AR303" s="269"/>
      <c r="AS303" s="269"/>
      <c r="AT303" s="269"/>
      <c r="AU303" s="269"/>
      <c r="AV303" s="269"/>
      <c r="AW303" s="269"/>
      <c r="AX303" s="269"/>
      <c r="DF303" s="132" t="s">
        <v>1</v>
      </c>
      <c r="DG303" s="133" t="s">
        <v>40</v>
      </c>
      <c r="DI303" s="134">
        <f>DH303*H303</f>
        <v>0</v>
      </c>
      <c r="DJ303" s="134">
        <v>0</v>
      </c>
      <c r="DK303" s="134">
        <f>DJ303*H303</f>
        <v>0</v>
      </c>
      <c r="DL303" s="134">
        <v>0</v>
      </c>
      <c r="DM303" s="135">
        <f>DL303*H303</f>
        <v>0</v>
      </c>
      <c r="EK303" s="136" t="s">
        <v>95</v>
      </c>
      <c r="EM303" s="136" t="s">
        <v>284</v>
      </c>
      <c r="EN303" s="136" t="s">
        <v>83</v>
      </c>
      <c r="ER303" s="16" t="s">
        <v>282</v>
      </c>
      <c r="EX303" s="137">
        <f>IF(DG303="základní",J303,0)</f>
        <v>994.58</v>
      </c>
      <c r="EY303" s="137">
        <f>IF(DG303="snížená",J303,0)</f>
        <v>0</v>
      </c>
      <c r="EZ303" s="137">
        <f>IF(DG303="zákl. přenesená",J303,0)</f>
        <v>0</v>
      </c>
      <c r="FA303" s="137">
        <f>IF(DG303="sníž. přenesená",J303,0)</f>
        <v>0</v>
      </c>
      <c r="FB303" s="137">
        <f>IF(DG303="nulová",J303,0)</f>
        <v>0</v>
      </c>
      <c r="FC303" s="16" t="s">
        <v>81</v>
      </c>
      <c r="FD303" s="137">
        <f>ROUND(I303*H303,2)</f>
        <v>994.58</v>
      </c>
      <c r="FE303" s="16" t="s">
        <v>95</v>
      </c>
      <c r="FF303" s="136" t="s">
        <v>579</v>
      </c>
    </row>
    <row r="304" spans="2:162" s="1" customFormat="1" x14ac:dyDescent="0.2">
      <c r="B304" s="31"/>
      <c r="D304" s="138" t="s">
        <v>289</v>
      </c>
      <c r="F304" s="139" t="s">
        <v>578</v>
      </c>
      <c r="I304" s="140"/>
      <c r="L304" s="31"/>
      <c r="N304" s="213"/>
      <c r="O304" s="214"/>
      <c r="Q304" s="229"/>
      <c r="DF304" s="141"/>
      <c r="DM304" s="50"/>
      <c r="EM304" s="16" t="s">
        <v>289</v>
      </c>
      <c r="EN304" s="16" t="s">
        <v>83</v>
      </c>
    </row>
    <row r="305" spans="2:162" s="1" customFormat="1" ht="29.25" x14ac:dyDescent="0.2">
      <c r="B305" s="31"/>
      <c r="D305" s="138" t="s">
        <v>299</v>
      </c>
      <c r="F305" s="142" t="s">
        <v>580</v>
      </c>
      <c r="I305" s="140"/>
      <c r="L305" s="31"/>
      <c r="N305" s="213"/>
      <c r="O305" s="214"/>
      <c r="Q305" s="229"/>
      <c r="DF305" s="141"/>
      <c r="DM305" s="50"/>
      <c r="EM305" s="16" t="s">
        <v>299</v>
      </c>
      <c r="EN305" s="16" t="s">
        <v>83</v>
      </c>
    </row>
    <row r="306" spans="2:162" s="1" customFormat="1" ht="14.45" customHeight="1" x14ac:dyDescent="0.2">
      <c r="B306" s="124"/>
      <c r="C306" s="125" t="s">
        <v>531</v>
      </c>
      <c r="D306" s="125" t="s">
        <v>284</v>
      </c>
      <c r="E306" s="126" t="s">
        <v>776</v>
      </c>
      <c r="F306" s="127" t="s">
        <v>777</v>
      </c>
      <c r="G306" s="128" t="s">
        <v>344</v>
      </c>
      <c r="H306" s="129">
        <v>2</v>
      </c>
      <c r="I306" s="130">
        <v>21.984104604889872</v>
      </c>
      <c r="J306" s="131">
        <f>ROUND(I306*H306,2)</f>
        <v>43.97</v>
      </c>
      <c r="K306" s="127" t="s">
        <v>293</v>
      </c>
      <c r="L306" s="268">
        <f>S306</f>
        <v>0</v>
      </c>
      <c r="M306" s="272">
        <f>ROUND(L306*I306,2)</f>
        <v>0</v>
      </c>
      <c r="N306" s="243">
        <f>N308</f>
        <v>1.3199999999999998</v>
      </c>
      <c r="O306" s="294">
        <f>ROUND(N306*I306,2)</f>
        <v>29.02</v>
      </c>
      <c r="P306" s="273">
        <f>H306-L306-N306</f>
        <v>0.68000000000000016</v>
      </c>
      <c r="Q306" s="287">
        <f>ROUND(P306*I306,2)</f>
        <v>14.95</v>
      </c>
      <c r="R306" s="137"/>
      <c r="S306" s="269">
        <f>W306+Y306+AA306+AC306+AE306+AG306+AI306+AK306+AM306+AO306+AQ306+AS306+AU306+AW306</f>
        <v>0</v>
      </c>
      <c r="T306" s="269">
        <f>ROUND(S306*I306,2)</f>
        <v>0</v>
      </c>
      <c r="U306" s="269">
        <f>H306-S306</f>
        <v>2</v>
      </c>
      <c r="V306" s="269">
        <f>ROUND(U306*I306,2)</f>
        <v>43.97</v>
      </c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  <c r="AL306" s="269"/>
      <c r="AM306" s="269"/>
      <c r="AN306" s="269"/>
      <c r="AO306" s="269"/>
      <c r="AP306" s="269"/>
      <c r="AQ306" s="269"/>
      <c r="AR306" s="269"/>
      <c r="AS306" s="269"/>
      <c r="AT306" s="269"/>
      <c r="AU306" s="269"/>
      <c r="AV306" s="269"/>
      <c r="AW306" s="269"/>
      <c r="AX306" s="269"/>
      <c r="DF306" s="132" t="s">
        <v>1</v>
      </c>
      <c r="DG306" s="133" t="s">
        <v>40</v>
      </c>
      <c r="DI306" s="134">
        <f>DH306*H306</f>
        <v>0</v>
      </c>
      <c r="DJ306" s="134">
        <v>0</v>
      </c>
      <c r="DK306" s="134">
        <f>DJ306*H306</f>
        <v>0</v>
      </c>
      <c r="DL306" s="134">
        <v>0</v>
      </c>
      <c r="DM306" s="135">
        <f>DL306*H306</f>
        <v>0</v>
      </c>
      <c r="EK306" s="136" t="s">
        <v>95</v>
      </c>
      <c r="EM306" s="136" t="s">
        <v>284</v>
      </c>
      <c r="EN306" s="136" t="s">
        <v>83</v>
      </c>
      <c r="ER306" s="16" t="s">
        <v>282</v>
      </c>
      <c r="EX306" s="137">
        <f>IF(DG306="základní",J306,0)</f>
        <v>43.97</v>
      </c>
      <c r="EY306" s="137">
        <f>IF(DG306="snížená",J306,0)</f>
        <v>0</v>
      </c>
      <c r="EZ306" s="137">
        <f>IF(DG306="zákl. přenesená",J306,0)</f>
        <v>0</v>
      </c>
      <c r="FA306" s="137">
        <f>IF(DG306="sníž. přenesená",J306,0)</f>
        <v>0</v>
      </c>
      <c r="FB306" s="137">
        <f>IF(DG306="nulová",J306,0)</f>
        <v>0</v>
      </c>
      <c r="FC306" s="16" t="s">
        <v>81</v>
      </c>
      <c r="FD306" s="137">
        <f>ROUND(I306*H306,2)</f>
        <v>43.97</v>
      </c>
      <c r="FE306" s="16" t="s">
        <v>95</v>
      </c>
      <c r="FF306" s="136" t="s">
        <v>778</v>
      </c>
    </row>
    <row r="307" spans="2:162" s="1" customFormat="1" x14ac:dyDescent="0.2">
      <c r="B307" s="31"/>
      <c r="D307" s="138" t="s">
        <v>289</v>
      </c>
      <c r="F307" s="139" t="s">
        <v>779</v>
      </c>
      <c r="I307" s="140"/>
      <c r="L307" s="31"/>
      <c r="N307" s="213"/>
      <c r="O307" s="214"/>
      <c r="Q307" s="229"/>
      <c r="DF307" s="141"/>
      <c r="DM307" s="50"/>
      <c r="EM307" s="16" t="s">
        <v>289</v>
      </c>
      <c r="EN307" s="16" t="s">
        <v>83</v>
      </c>
    </row>
    <row r="308" spans="2:162" s="1" customFormat="1" ht="19.5" x14ac:dyDescent="0.2">
      <c r="B308" s="31"/>
      <c r="D308" s="138" t="s">
        <v>299</v>
      </c>
      <c r="F308" s="142" t="s">
        <v>587</v>
      </c>
      <c r="I308" s="140"/>
      <c r="L308" s="31"/>
      <c r="N308" s="213">
        <f>3.32-2</f>
        <v>1.3199999999999998</v>
      </c>
      <c r="O308" s="214" t="s">
        <v>3399</v>
      </c>
      <c r="Q308" s="229"/>
      <c r="DF308" s="141"/>
      <c r="DM308" s="50"/>
      <c r="EM308" s="16" t="s">
        <v>299</v>
      </c>
      <c r="EN308" s="16" t="s">
        <v>83</v>
      </c>
    </row>
    <row r="309" spans="2:162" s="1" customFormat="1" ht="24.2" customHeight="1" x14ac:dyDescent="0.2">
      <c r="B309" s="124"/>
      <c r="C309" s="125" t="s">
        <v>536</v>
      </c>
      <c r="D309" s="125" t="s">
        <v>284</v>
      </c>
      <c r="E309" s="126" t="s">
        <v>582</v>
      </c>
      <c r="F309" s="127" t="s">
        <v>583</v>
      </c>
      <c r="G309" s="128" t="s">
        <v>584</v>
      </c>
      <c r="H309" s="129">
        <v>2</v>
      </c>
      <c r="I309" s="130">
        <v>933.22469567263556</v>
      </c>
      <c r="J309" s="131">
        <f>ROUND(I309*H309,2)</f>
        <v>1866.45</v>
      </c>
      <c r="K309" s="127" t="s">
        <v>293</v>
      </c>
      <c r="L309" s="268">
        <f>S309</f>
        <v>0</v>
      </c>
      <c r="M309" s="272">
        <f>ROUND(L309*I309,2)</f>
        <v>0</v>
      </c>
      <c r="N309" s="243"/>
      <c r="O309" s="294">
        <f>ROUND(N309*I309,2)</f>
        <v>0</v>
      </c>
      <c r="P309" s="273">
        <f>H309-L309-N309</f>
        <v>2</v>
      </c>
      <c r="Q309" s="287">
        <f>ROUND(P309*I309,2)</f>
        <v>1866.45</v>
      </c>
      <c r="R309" s="137"/>
      <c r="S309" s="269">
        <f>W309+Y309+AA309+AC309+AE309+AG309+AI309+AK309+AM309+AO309+AQ309+AS309+AU309+AW309</f>
        <v>0</v>
      </c>
      <c r="T309" s="269">
        <f>ROUND(S309*I309,2)</f>
        <v>0</v>
      </c>
      <c r="U309" s="269">
        <f>H309-S309</f>
        <v>2</v>
      </c>
      <c r="V309" s="269">
        <f>ROUND(U309*I309,2)</f>
        <v>1866.45</v>
      </c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AO309" s="269"/>
      <c r="AP309" s="269"/>
      <c r="AQ309" s="269"/>
      <c r="AR309" s="269"/>
      <c r="AS309" s="269"/>
      <c r="AT309" s="269"/>
      <c r="AU309" s="269"/>
      <c r="AV309" s="269"/>
      <c r="AW309" s="269"/>
      <c r="AX309" s="269"/>
      <c r="DF309" s="132" t="s">
        <v>1</v>
      </c>
      <c r="DG309" s="133" t="s">
        <v>40</v>
      </c>
      <c r="DI309" s="134">
        <f>DH309*H309</f>
        <v>0</v>
      </c>
      <c r="DJ309" s="134">
        <v>3.1E-4</v>
      </c>
      <c r="DK309" s="134">
        <f>DJ309*H309</f>
        <v>6.2E-4</v>
      </c>
      <c r="DL309" s="134">
        <v>0</v>
      </c>
      <c r="DM309" s="135">
        <f>DL309*H309</f>
        <v>0</v>
      </c>
      <c r="EK309" s="136" t="s">
        <v>95</v>
      </c>
      <c r="EM309" s="136" t="s">
        <v>284</v>
      </c>
      <c r="EN309" s="136" t="s">
        <v>83</v>
      </c>
      <c r="ER309" s="16" t="s">
        <v>282</v>
      </c>
      <c r="EX309" s="137">
        <f>IF(DG309="základní",J309,0)</f>
        <v>1866.45</v>
      </c>
      <c r="EY309" s="137">
        <f>IF(DG309="snížená",J309,0)</f>
        <v>0</v>
      </c>
      <c r="EZ309" s="137">
        <f>IF(DG309="zákl. přenesená",J309,0)</f>
        <v>0</v>
      </c>
      <c r="FA309" s="137">
        <f>IF(DG309="sníž. přenesená",J309,0)</f>
        <v>0</v>
      </c>
      <c r="FB309" s="137">
        <f>IF(DG309="nulová",J309,0)</f>
        <v>0</v>
      </c>
      <c r="FC309" s="16" t="s">
        <v>81</v>
      </c>
      <c r="FD309" s="137">
        <f>ROUND(I309*H309,2)</f>
        <v>1866.45</v>
      </c>
      <c r="FE309" s="16" t="s">
        <v>95</v>
      </c>
      <c r="FF309" s="136" t="s">
        <v>585</v>
      </c>
    </row>
    <row r="310" spans="2:162" s="1" customFormat="1" x14ac:dyDescent="0.2">
      <c r="B310" s="31"/>
      <c r="D310" s="138" t="s">
        <v>289</v>
      </c>
      <c r="F310" s="139" t="s">
        <v>586</v>
      </c>
      <c r="I310" s="140"/>
      <c r="L310" s="31"/>
      <c r="N310" s="213"/>
      <c r="O310" s="214"/>
      <c r="Q310" s="229"/>
      <c r="DF310" s="141"/>
      <c r="DM310" s="50"/>
      <c r="EM310" s="16" t="s">
        <v>289</v>
      </c>
      <c r="EN310" s="16" t="s">
        <v>83</v>
      </c>
    </row>
    <row r="311" spans="2:162" s="1" customFormat="1" ht="19.5" x14ac:dyDescent="0.2">
      <c r="B311" s="31"/>
      <c r="D311" s="138" t="s">
        <v>299</v>
      </c>
      <c r="F311" s="142" t="s">
        <v>587</v>
      </c>
      <c r="I311" s="140"/>
      <c r="L311" s="31"/>
      <c r="N311" s="213"/>
      <c r="O311" s="214"/>
      <c r="Q311" s="229"/>
      <c r="DF311" s="141"/>
      <c r="DM311" s="50"/>
      <c r="EM311" s="16" t="s">
        <v>299</v>
      </c>
      <c r="EN311" s="16" t="s">
        <v>83</v>
      </c>
    </row>
    <row r="312" spans="2:162" s="11" customFormat="1" x14ac:dyDescent="0.2">
      <c r="B312" s="143"/>
      <c r="D312" s="138" t="s">
        <v>301</v>
      </c>
      <c r="E312" s="144" t="s">
        <v>1</v>
      </c>
      <c r="F312" s="145" t="s">
        <v>588</v>
      </c>
      <c r="H312" s="144" t="s">
        <v>1</v>
      </c>
      <c r="I312" s="146"/>
      <c r="L312" s="143"/>
      <c r="N312" s="215"/>
      <c r="O312" s="216"/>
      <c r="Q312" s="230"/>
      <c r="DF312" s="147"/>
      <c r="DM312" s="148"/>
      <c r="EM312" s="144" t="s">
        <v>301</v>
      </c>
      <c r="EN312" s="144" t="s">
        <v>83</v>
      </c>
      <c r="EO312" s="11" t="s">
        <v>81</v>
      </c>
      <c r="EP312" s="11" t="s">
        <v>32</v>
      </c>
      <c r="EQ312" s="11" t="s">
        <v>74</v>
      </c>
      <c r="ER312" s="144" t="s">
        <v>282</v>
      </c>
    </row>
    <row r="313" spans="2:162" s="12" customFormat="1" x14ac:dyDescent="0.2">
      <c r="B313" s="149"/>
      <c r="D313" s="138" t="s">
        <v>301</v>
      </c>
      <c r="E313" s="150" t="s">
        <v>1</v>
      </c>
      <c r="F313" s="151" t="s">
        <v>83</v>
      </c>
      <c r="H313" s="152">
        <v>2</v>
      </c>
      <c r="I313" s="153"/>
      <c r="L313" s="149"/>
      <c r="N313" s="217"/>
      <c r="O313" s="218"/>
      <c r="Q313" s="231"/>
      <c r="DF313" s="154"/>
      <c r="DM313" s="155"/>
      <c r="EM313" s="150" t="s">
        <v>301</v>
      </c>
      <c r="EN313" s="150" t="s">
        <v>83</v>
      </c>
      <c r="EO313" s="12" t="s">
        <v>83</v>
      </c>
      <c r="EP313" s="12" t="s">
        <v>32</v>
      </c>
      <c r="EQ313" s="12" t="s">
        <v>81</v>
      </c>
      <c r="ER313" s="150" t="s">
        <v>282</v>
      </c>
    </row>
    <row r="314" spans="2:162" s="1" customFormat="1" ht="24.2" customHeight="1" x14ac:dyDescent="0.2">
      <c r="B314" s="124"/>
      <c r="C314" s="125" t="s">
        <v>543</v>
      </c>
      <c r="D314" s="125" t="s">
        <v>284</v>
      </c>
      <c r="E314" s="126" t="s">
        <v>590</v>
      </c>
      <c r="F314" s="127" t="s">
        <v>591</v>
      </c>
      <c r="G314" s="128" t="s">
        <v>344</v>
      </c>
      <c r="H314" s="129">
        <v>52.5</v>
      </c>
      <c r="I314" s="130">
        <v>29.453410986389244</v>
      </c>
      <c r="J314" s="131">
        <f>ROUND(I314*H314,2)</f>
        <v>1546.3</v>
      </c>
      <c r="K314" s="127" t="s">
        <v>293</v>
      </c>
      <c r="L314" s="268">
        <f>S314</f>
        <v>0</v>
      </c>
      <c r="M314" s="272">
        <f>ROUND(L314*I314,2)</f>
        <v>0</v>
      </c>
      <c r="N314" s="243">
        <f>N316</f>
        <v>2.8800000000000026</v>
      </c>
      <c r="O314" s="294">
        <f>ROUND(N314*I314,2)</f>
        <v>84.83</v>
      </c>
      <c r="P314" s="273">
        <f>H314-L314-N314</f>
        <v>49.62</v>
      </c>
      <c r="Q314" s="287">
        <f>ROUND(P314*I314,2)</f>
        <v>1461.48</v>
      </c>
      <c r="R314" s="137"/>
      <c r="S314" s="269">
        <f>W314+Y314+AA314+AC314+AE314+AG314+AI314+AK314+AM314+AO314+AQ314+AS314+AU314+AW314</f>
        <v>0</v>
      </c>
      <c r="T314" s="269">
        <f>ROUND(S314*I314,2)</f>
        <v>0</v>
      </c>
      <c r="U314" s="269">
        <f>H314-S314</f>
        <v>52.5</v>
      </c>
      <c r="V314" s="269">
        <f>ROUND(U314*I314,2)</f>
        <v>1546.3</v>
      </c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AQ314" s="269"/>
      <c r="AR314" s="269"/>
      <c r="AS314" s="269"/>
      <c r="AT314" s="269"/>
      <c r="AU314" s="269"/>
      <c r="AV314" s="269"/>
      <c r="AW314" s="269"/>
      <c r="AX314" s="269"/>
      <c r="DF314" s="132" t="s">
        <v>1</v>
      </c>
      <c r="DG314" s="133" t="s">
        <v>40</v>
      </c>
      <c r="DI314" s="134">
        <f>DH314*H314</f>
        <v>0</v>
      </c>
      <c r="DJ314" s="134">
        <v>0</v>
      </c>
      <c r="DK314" s="134">
        <f>DJ314*H314</f>
        <v>0</v>
      </c>
      <c r="DL314" s="134">
        <v>0</v>
      </c>
      <c r="DM314" s="135">
        <f>DL314*H314</f>
        <v>0</v>
      </c>
      <c r="EK314" s="136" t="s">
        <v>95</v>
      </c>
      <c r="EM314" s="136" t="s">
        <v>284</v>
      </c>
      <c r="EN314" s="136" t="s">
        <v>83</v>
      </c>
      <c r="ER314" s="16" t="s">
        <v>282</v>
      </c>
      <c r="EX314" s="137">
        <f>IF(DG314="základní",J314,0)</f>
        <v>1546.3</v>
      </c>
      <c r="EY314" s="137">
        <f>IF(DG314="snížená",J314,0)</f>
        <v>0</v>
      </c>
      <c r="EZ314" s="137">
        <f>IF(DG314="zákl. přenesená",J314,0)</f>
        <v>0</v>
      </c>
      <c r="FA314" s="137">
        <f>IF(DG314="sníž. přenesená",J314,0)</f>
        <v>0</v>
      </c>
      <c r="FB314" s="137">
        <f>IF(DG314="nulová",J314,0)</f>
        <v>0</v>
      </c>
      <c r="FC314" s="16" t="s">
        <v>81</v>
      </c>
      <c r="FD314" s="137">
        <f>ROUND(I314*H314,2)</f>
        <v>1546.3</v>
      </c>
      <c r="FE314" s="16" t="s">
        <v>95</v>
      </c>
      <c r="FF314" s="136" t="s">
        <v>592</v>
      </c>
    </row>
    <row r="315" spans="2:162" s="1" customFormat="1" x14ac:dyDescent="0.2">
      <c r="B315" s="31"/>
      <c r="D315" s="138" t="s">
        <v>289</v>
      </c>
      <c r="F315" s="139" t="s">
        <v>593</v>
      </c>
      <c r="I315" s="140"/>
      <c r="L315" s="31"/>
      <c r="N315" s="213"/>
      <c r="O315" s="214"/>
      <c r="Q315" s="229"/>
      <c r="DF315" s="141"/>
      <c r="DM315" s="50"/>
      <c r="EM315" s="16" t="s">
        <v>289</v>
      </c>
      <c r="EN315" s="16" t="s">
        <v>83</v>
      </c>
    </row>
    <row r="316" spans="2:162" s="1" customFormat="1" ht="19.5" x14ac:dyDescent="0.2">
      <c r="B316" s="31"/>
      <c r="D316" s="138" t="s">
        <v>299</v>
      </c>
      <c r="F316" s="142" t="s">
        <v>587</v>
      </c>
      <c r="I316" s="140"/>
      <c r="L316" s="31"/>
      <c r="N316" s="213">
        <f>55.38-52.5</f>
        <v>2.8800000000000026</v>
      </c>
      <c r="O316" s="214" t="s">
        <v>3400</v>
      </c>
      <c r="Q316" s="229"/>
      <c r="DF316" s="141"/>
      <c r="DM316" s="50"/>
      <c r="EM316" s="16" t="s">
        <v>299</v>
      </c>
      <c r="EN316" s="16" t="s">
        <v>83</v>
      </c>
    </row>
    <row r="317" spans="2:162" s="1" customFormat="1" ht="24.2" customHeight="1" x14ac:dyDescent="0.2">
      <c r="B317" s="124"/>
      <c r="C317" s="125" t="s">
        <v>548</v>
      </c>
      <c r="D317" s="125" t="s">
        <v>284</v>
      </c>
      <c r="E317" s="126" t="s">
        <v>595</v>
      </c>
      <c r="F317" s="127" t="s">
        <v>596</v>
      </c>
      <c r="G317" s="128" t="s">
        <v>485</v>
      </c>
      <c r="H317" s="129">
        <v>3</v>
      </c>
      <c r="I317" s="130">
        <v>867.6587001634532</v>
      </c>
      <c r="J317" s="131">
        <f>ROUND(I317*H317,2)</f>
        <v>2602.98</v>
      </c>
      <c r="K317" s="127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3</v>
      </c>
      <c r="Q317" s="287">
        <f>ROUND(P317*I317,2)</f>
        <v>2602.98</v>
      </c>
      <c r="R317" s="137"/>
      <c r="S317" s="269">
        <f>W317+Y317+AA317+AC317+AE317+AG317+AI317+AK317+AM317+AO317+AQ317+AS317+AU317+AW317</f>
        <v>0</v>
      </c>
      <c r="T317" s="269">
        <f>ROUND(S317*I317,2)</f>
        <v>0</v>
      </c>
      <c r="U317" s="269">
        <f>H317-S317</f>
        <v>3</v>
      </c>
      <c r="V317" s="269">
        <f>ROUND(U317*I317,2)</f>
        <v>2602.98</v>
      </c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AO317" s="269"/>
      <c r="AP317" s="269"/>
      <c r="AQ317" s="269"/>
      <c r="AR317" s="269"/>
      <c r="AS317" s="269"/>
      <c r="AT317" s="269"/>
      <c r="AU317" s="269"/>
      <c r="AV317" s="269"/>
      <c r="AW317" s="269"/>
      <c r="AX317" s="269"/>
      <c r="DF317" s="132" t="s">
        <v>1</v>
      </c>
      <c r="DG317" s="133" t="s">
        <v>40</v>
      </c>
      <c r="DI317" s="134">
        <f>DH317*H317</f>
        <v>0</v>
      </c>
      <c r="DJ317" s="134">
        <v>1.0189999999999999E-2</v>
      </c>
      <c r="DK317" s="134">
        <f>DJ317*H317</f>
        <v>3.057E-2</v>
      </c>
      <c r="DL317" s="134">
        <v>0</v>
      </c>
      <c r="DM317" s="135">
        <f>DL317*H317</f>
        <v>0</v>
      </c>
      <c r="EK317" s="136" t="s">
        <v>95</v>
      </c>
      <c r="EM317" s="136" t="s">
        <v>284</v>
      </c>
      <c r="EN317" s="136" t="s">
        <v>83</v>
      </c>
      <c r="ER317" s="16" t="s">
        <v>282</v>
      </c>
      <c r="EX317" s="137">
        <f>IF(DG317="základní",J317,0)</f>
        <v>2602.98</v>
      </c>
      <c r="EY317" s="137">
        <f>IF(DG317="snížená",J317,0)</f>
        <v>0</v>
      </c>
      <c r="EZ317" s="137">
        <f>IF(DG317="zákl. přenesená",J317,0)</f>
        <v>0</v>
      </c>
      <c r="FA317" s="137">
        <f>IF(DG317="sníž. přenesená",J317,0)</f>
        <v>0</v>
      </c>
      <c r="FB317" s="137">
        <f>IF(DG317="nulová",J317,0)</f>
        <v>0</v>
      </c>
      <c r="FC317" s="16" t="s">
        <v>81</v>
      </c>
      <c r="FD317" s="137">
        <f>ROUND(I317*H317,2)</f>
        <v>2602.98</v>
      </c>
      <c r="FE317" s="16" t="s">
        <v>95</v>
      </c>
      <c r="FF317" s="136" t="s">
        <v>597</v>
      </c>
    </row>
    <row r="318" spans="2:162" s="1" customFormat="1" ht="19.5" x14ac:dyDescent="0.2">
      <c r="B318" s="31"/>
      <c r="D318" s="138" t="s">
        <v>289</v>
      </c>
      <c r="F318" s="139" t="s">
        <v>596</v>
      </c>
      <c r="I318" s="140"/>
      <c r="L318" s="31"/>
      <c r="N318" s="213"/>
      <c r="O318" s="214"/>
      <c r="Q318" s="229"/>
      <c r="DF318" s="141"/>
      <c r="DM318" s="50"/>
      <c r="EM318" s="16" t="s">
        <v>289</v>
      </c>
      <c r="EN318" s="16" t="s">
        <v>83</v>
      </c>
    </row>
    <row r="319" spans="2:162" s="1" customFormat="1" ht="19.5" x14ac:dyDescent="0.2">
      <c r="B319" s="31"/>
      <c r="D319" s="138" t="s">
        <v>299</v>
      </c>
      <c r="F319" s="142" t="s">
        <v>317</v>
      </c>
      <c r="I319" s="140"/>
      <c r="L319" s="31"/>
      <c r="N319" s="213"/>
      <c r="O319" s="214"/>
      <c r="Q319" s="229"/>
      <c r="DF319" s="141"/>
      <c r="DM319" s="50"/>
      <c r="EM319" s="16" t="s">
        <v>299</v>
      </c>
      <c r="EN319" s="16" t="s">
        <v>83</v>
      </c>
    </row>
    <row r="320" spans="2:162" s="12" customFormat="1" x14ac:dyDescent="0.2">
      <c r="B320" s="149"/>
      <c r="D320" s="138" t="s">
        <v>301</v>
      </c>
      <c r="E320" s="150" t="s">
        <v>1</v>
      </c>
      <c r="F320" s="151" t="s">
        <v>833</v>
      </c>
      <c r="H320" s="152">
        <v>3</v>
      </c>
      <c r="I320" s="153"/>
      <c r="L320" s="149"/>
      <c r="N320" s="217"/>
      <c r="O320" s="218"/>
      <c r="Q320" s="231"/>
      <c r="DF320" s="154"/>
      <c r="DM320" s="155"/>
      <c r="EM320" s="150" t="s">
        <v>301</v>
      </c>
      <c r="EN320" s="150" t="s">
        <v>83</v>
      </c>
      <c r="EO320" s="12" t="s">
        <v>83</v>
      </c>
      <c r="EP320" s="12" t="s">
        <v>32</v>
      </c>
      <c r="EQ320" s="12" t="s">
        <v>81</v>
      </c>
      <c r="ER320" s="150" t="s">
        <v>282</v>
      </c>
    </row>
    <row r="321" spans="2:162" s="1" customFormat="1" ht="24.2" customHeight="1" x14ac:dyDescent="0.2">
      <c r="B321" s="124"/>
      <c r="C321" s="170" t="s">
        <v>556</v>
      </c>
      <c r="D321" s="170" t="s">
        <v>439</v>
      </c>
      <c r="E321" s="171" t="s">
        <v>605</v>
      </c>
      <c r="F321" s="172" t="s">
        <v>606</v>
      </c>
      <c r="G321" s="173" t="s">
        <v>485</v>
      </c>
      <c r="H321" s="174">
        <v>1</v>
      </c>
      <c r="I321" s="175">
        <v>2008.0972839999999</v>
      </c>
      <c r="J321" s="176">
        <f>ROUND(I321*H321,2)</f>
        <v>2008.1</v>
      </c>
      <c r="K321" s="172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1</v>
      </c>
      <c r="Q321" s="287">
        <f>ROUND(P321*I321,2)</f>
        <v>2008.1</v>
      </c>
      <c r="R321" s="137"/>
      <c r="S321" s="269">
        <f>W321+Y321+AA321+AC321+AE321+AG321+AI321+AK321+AM321+AO321+AQ321+AS321+AU321+AW321</f>
        <v>0</v>
      </c>
      <c r="T321" s="269">
        <f>ROUND(S321*I321,2)</f>
        <v>0</v>
      </c>
      <c r="U321" s="269">
        <f>H321-S321</f>
        <v>1</v>
      </c>
      <c r="V321" s="269">
        <f>ROUND(U321*I321,2)</f>
        <v>2008.1</v>
      </c>
      <c r="W321" s="290"/>
      <c r="X321" s="290"/>
      <c r="Y321" s="290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290"/>
      <c r="AK321" s="290"/>
      <c r="AL321" s="290"/>
      <c r="AM321" s="290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90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77" t="s">
        <v>1</v>
      </c>
      <c r="DG321" s="178" t="s">
        <v>40</v>
      </c>
      <c r="DI321" s="134">
        <f>DH321*H321</f>
        <v>0</v>
      </c>
      <c r="DJ321" s="134">
        <v>0.50600000000000001</v>
      </c>
      <c r="DK321" s="134">
        <f>DJ321*H321</f>
        <v>0.50600000000000001</v>
      </c>
      <c r="DL321" s="134">
        <v>0</v>
      </c>
      <c r="DM321" s="135">
        <f>DL321*H321</f>
        <v>0</v>
      </c>
      <c r="EK321" s="136" t="s">
        <v>328</v>
      </c>
      <c r="EM321" s="136" t="s">
        <v>439</v>
      </c>
      <c r="EN321" s="136" t="s">
        <v>83</v>
      </c>
      <c r="ER321" s="16" t="s">
        <v>282</v>
      </c>
      <c r="EX321" s="137">
        <f>IF(DG321="základní",J321,0)</f>
        <v>2008.1</v>
      </c>
      <c r="EY321" s="137">
        <f>IF(DG321="snížená",J321,0)</f>
        <v>0</v>
      </c>
      <c r="EZ321" s="137">
        <f>IF(DG321="zákl. přenesená",J321,0)</f>
        <v>0</v>
      </c>
      <c r="FA321" s="137">
        <f>IF(DG321="sníž. přenesená",J321,0)</f>
        <v>0</v>
      </c>
      <c r="FB321" s="137">
        <f>IF(DG321="nulová",J321,0)</f>
        <v>0</v>
      </c>
      <c r="FC321" s="16" t="s">
        <v>81</v>
      </c>
      <c r="FD321" s="137">
        <f>ROUND(I321*H321,2)</f>
        <v>2008.1</v>
      </c>
      <c r="FE321" s="16" t="s">
        <v>95</v>
      </c>
      <c r="FF321" s="136" t="s">
        <v>607</v>
      </c>
    </row>
    <row r="322" spans="2:162" s="1" customFormat="1" x14ac:dyDescent="0.2">
      <c r="B322" s="31"/>
      <c r="D322" s="138" t="s">
        <v>289</v>
      </c>
      <c r="F322" s="139" t="s">
        <v>608</v>
      </c>
      <c r="I322" s="140"/>
      <c r="L322" s="31"/>
      <c r="N322" s="213"/>
      <c r="O322" s="214"/>
      <c r="Q322" s="229"/>
      <c r="DF322" s="141"/>
      <c r="DM322" s="50"/>
      <c r="EM322" s="16" t="s">
        <v>289</v>
      </c>
      <c r="EN322" s="16" t="s">
        <v>83</v>
      </c>
    </row>
    <row r="323" spans="2:162" s="1" customFormat="1" ht="24.2" customHeight="1" x14ac:dyDescent="0.2">
      <c r="B323" s="124"/>
      <c r="C323" s="170" t="s">
        <v>562</v>
      </c>
      <c r="D323" s="170" t="s">
        <v>439</v>
      </c>
      <c r="E323" s="171" t="s">
        <v>610</v>
      </c>
      <c r="F323" s="172" t="s">
        <v>611</v>
      </c>
      <c r="G323" s="173" t="s">
        <v>485</v>
      </c>
      <c r="H323" s="174">
        <v>2</v>
      </c>
      <c r="I323" s="175">
        <v>2661.676117</v>
      </c>
      <c r="J323" s="176">
        <f>ROUND(I323*H323,2)</f>
        <v>5323.35</v>
      </c>
      <c r="K323" s="172" t="s">
        <v>293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2</v>
      </c>
      <c r="Q323" s="287">
        <f>ROUND(P323*I323,2)</f>
        <v>5323.35</v>
      </c>
      <c r="R323" s="137"/>
      <c r="S323" s="269">
        <f>W323+Y323+AA323+AC323+AE323+AG323+AI323+AK323+AM323+AO323+AQ323+AS323+AU323+AW323</f>
        <v>0</v>
      </c>
      <c r="T323" s="269">
        <f>ROUND(S323*I323,2)</f>
        <v>0</v>
      </c>
      <c r="U323" s="269">
        <f>H323-S323</f>
        <v>2</v>
      </c>
      <c r="V323" s="269">
        <f>ROUND(U323*I323,2)</f>
        <v>5323.35</v>
      </c>
      <c r="W323" s="290"/>
      <c r="X323" s="290"/>
      <c r="Y323" s="290"/>
      <c r="Z323" s="290"/>
      <c r="AA323" s="290"/>
      <c r="AB323" s="290"/>
      <c r="AC323" s="290"/>
      <c r="AD323" s="290"/>
      <c r="AE323" s="290"/>
      <c r="AF323" s="290"/>
      <c r="AG323" s="290"/>
      <c r="AH323" s="290"/>
      <c r="AI323" s="290"/>
      <c r="AJ323" s="290"/>
      <c r="AK323" s="290"/>
      <c r="AL323" s="290"/>
      <c r="AM323" s="290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90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77" t="s">
        <v>1</v>
      </c>
      <c r="DG323" s="178" t="s">
        <v>40</v>
      </c>
      <c r="DI323" s="134">
        <f>DH323*H323</f>
        <v>0</v>
      </c>
      <c r="DJ323" s="134">
        <v>1.0129999999999999</v>
      </c>
      <c r="DK323" s="134">
        <f>DJ323*H323</f>
        <v>2.0259999999999998</v>
      </c>
      <c r="DL323" s="134">
        <v>0</v>
      </c>
      <c r="DM323" s="135">
        <f>DL323*H323</f>
        <v>0</v>
      </c>
      <c r="EK323" s="136" t="s">
        <v>328</v>
      </c>
      <c r="EM323" s="136" t="s">
        <v>439</v>
      </c>
      <c r="EN323" s="136" t="s">
        <v>83</v>
      </c>
      <c r="ER323" s="16" t="s">
        <v>282</v>
      </c>
      <c r="EX323" s="137">
        <f>IF(DG323="základní",J323,0)</f>
        <v>5323.35</v>
      </c>
      <c r="EY323" s="137">
        <f>IF(DG323="snížená",J323,0)</f>
        <v>0</v>
      </c>
      <c r="EZ323" s="137">
        <f>IF(DG323="zákl. přenesená",J323,0)</f>
        <v>0</v>
      </c>
      <c r="FA323" s="137">
        <f>IF(DG323="sníž. přenesená",J323,0)</f>
        <v>0</v>
      </c>
      <c r="FB323" s="137">
        <f>IF(DG323="nulová",J323,0)</f>
        <v>0</v>
      </c>
      <c r="FC323" s="16" t="s">
        <v>81</v>
      </c>
      <c r="FD323" s="137">
        <f>ROUND(I323*H323,2)</f>
        <v>5323.35</v>
      </c>
      <c r="FE323" s="16" t="s">
        <v>95</v>
      </c>
      <c r="FF323" s="136" t="s">
        <v>612</v>
      </c>
    </row>
    <row r="324" spans="2:162" s="1" customFormat="1" x14ac:dyDescent="0.2">
      <c r="B324" s="31"/>
      <c r="D324" s="138" t="s">
        <v>289</v>
      </c>
      <c r="F324" s="139" t="s">
        <v>613</v>
      </c>
      <c r="I324" s="140"/>
      <c r="L324" s="31"/>
      <c r="N324" s="213"/>
      <c r="O324" s="214"/>
      <c r="Q324" s="229"/>
      <c r="DF324" s="141"/>
      <c r="DM324" s="50"/>
      <c r="EM324" s="16" t="s">
        <v>289</v>
      </c>
      <c r="EN324" s="16" t="s">
        <v>83</v>
      </c>
    </row>
    <row r="325" spans="2:162" s="1" customFormat="1" ht="24.2" customHeight="1" x14ac:dyDescent="0.2">
      <c r="B325" s="124"/>
      <c r="C325" s="125" t="s">
        <v>568</v>
      </c>
      <c r="D325" s="125" t="s">
        <v>284</v>
      </c>
      <c r="E325" s="126" t="s">
        <v>615</v>
      </c>
      <c r="F325" s="127" t="s">
        <v>616</v>
      </c>
      <c r="G325" s="128" t="s">
        <v>485</v>
      </c>
      <c r="H325" s="129">
        <v>1</v>
      </c>
      <c r="I325" s="130">
        <v>900.06084521218918</v>
      </c>
      <c r="J325" s="131">
        <f>ROUND(I325*H325,2)</f>
        <v>900.06</v>
      </c>
      <c r="K325" s="127" t="s">
        <v>293</v>
      </c>
      <c r="L325" s="268">
        <f>S325</f>
        <v>0</v>
      </c>
      <c r="M325" s="272">
        <f>ROUND(L325*I325,2)</f>
        <v>0</v>
      </c>
      <c r="N325" s="243"/>
      <c r="O325" s="294">
        <f>ROUND(N325*I325,2)</f>
        <v>0</v>
      </c>
      <c r="P325" s="273">
        <f>H325-L325-N325</f>
        <v>1</v>
      </c>
      <c r="Q325" s="287">
        <f>ROUND(P325*I325,2)</f>
        <v>900.06</v>
      </c>
      <c r="R325" s="137"/>
      <c r="S325" s="269">
        <f>W325+Y325+AA325+AC325+AE325+AG325+AI325+AK325+AM325+AO325+AQ325+AS325+AU325+AW325</f>
        <v>0</v>
      </c>
      <c r="T325" s="269">
        <f>ROUND(S325*I325,2)</f>
        <v>0</v>
      </c>
      <c r="U325" s="269">
        <f>H325-S325</f>
        <v>1</v>
      </c>
      <c r="V325" s="269">
        <f>ROUND(U325*I325,2)</f>
        <v>900.06</v>
      </c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  <c r="AL325" s="269"/>
      <c r="AM325" s="269"/>
      <c r="AN325" s="269"/>
      <c r="AO325" s="269"/>
      <c r="AP325" s="269"/>
      <c r="AQ325" s="269"/>
      <c r="AR325" s="269"/>
      <c r="AS325" s="269"/>
      <c r="AT325" s="269"/>
      <c r="AU325" s="269"/>
      <c r="AV325" s="269"/>
      <c r="AW325" s="269"/>
      <c r="AX325" s="269"/>
      <c r="DF325" s="132" t="s">
        <v>1</v>
      </c>
      <c r="DG325" s="133" t="s">
        <v>40</v>
      </c>
      <c r="DI325" s="134">
        <f>DH325*H325</f>
        <v>0</v>
      </c>
      <c r="DJ325" s="134">
        <v>1.248E-2</v>
      </c>
      <c r="DK325" s="134">
        <f>DJ325*H325</f>
        <v>1.248E-2</v>
      </c>
      <c r="DL325" s="134">
        <v>0</v>
      </c>
      <c r="DM325" s="135">
        <f>DL325*H325</f>
        <v>0</v>
      </c>
      <c r="EK325" s="136" t="s">
        <v>95</v>
      </c>
      <c r="EM325" s="136" t="s">
        <v>284</v>
      </c>
      <c r="EN325" s="136" t="s">
        <v>83</v>
      </c>
      <c r="ER325" s="16" t="s">
        <v>282</v>
      </c>
      <c r="EX325" s="137">
        <f>IF(DG325="základní",J325,0)</f>
        <v>900.06</v>
      </c>
      <c r="EY325" s="137">
        <f>IF(DG325="snížená",J325,0)</f>
        <v>0</v>
      </c>
      <c r="EZ325" s="137">
        <f>IF(DG325="zákl. přenesená",J325,0)</f>
        <v>0</v>
      </c>
      <c r="FA325" s="137">
        <f>IF(DG325="sníž. přenesená",J325,0)</f>
        <v>0</v>
      </c>
      <c r="FB325" s="137">
        <f>IF(DG325="nulová",J325,0)</f>
        <v>0</v>
      </c>
      <c r="FC325" s="16" t="s">
        <v>81</v>
      </c>
      <c r="FD325" s="137">
        <f>ROUND(I325*H325,2)</f>
        <v>900.06</v>
      </c>
      <c r="FE325" s="16" t="s">
        <v>95</v>
      </c>
      <c r="FF325" s="136" t="s">
        <v>617</v>
      </c>
    </row>
    <row r="326" spans="2:162" s="1" customFormat="1" ht="19.5" x14ac:dyDescent="0.2">
      <c r="B326" s="31"/>
      <c r="D326" s="138" t="s">
        <v>289</v>
      </c>
      <c r="F326" s="139" t="s">
        <v>616</v>
      </c>
      <c r="I326" s="140"/>
      <c r="L326" s="31"/>
      <c r="N326" s="213"/>
      <c r="O326" s="214"/>
      <c r="Q326" s="229"/>
      <c r="DF326" s="141"/>
      <c r="DM326" s="50"/>
      <c r="EM326" s="16" t="s">
        <v>289</v>
      </c>
      <c r="EN326" s="16" t="s">
        <v>83</v>
      </c>
    </row>
    <row r="327" spans="2:162" s="1" customFormat="1" ht="19.5" x14ac:dyDescent="0.2">
      <c r="B327" s="31"/>
      <c r="D327" s="138" t="s">
        <v>299</v>
      </c>
      <c r="F327" s="142" t="s">
        <v>317</v>
      </c>
      <c r="I327" s="140"/>
      <c r="L327" s="31"/>
      <c r="N327" s="213"/>
      <c r="O327" s="214"/>
      <c r="Q327" s="229"/>
      <c r="DF327" s="141"/>
      <c r="DM327" s="50"/>
      <c r="EM327" s="16" t="s">
        <v>299</v>
      </c>
      <c r="EN327" s="16" t="s">
        <v>83</v>
      </c>
    </row>
    <row r="328" spans="2:162" s="12" customFormat="1" x14ac:dyDescent="0.2">
      <c r="B328" s="149"/>
      <c r="D328" s="138" t="s">
        <v>301</v>
      </c>
      <c r="E328" s="150" t="s">
        <v>1</v>
      </c>
      <c r="F328" s="151" t="s">
        <v>81</v>
      </c>
      <c r="H328" s="152">
        <v>1</v>
      </c>
      <c r="I328" s="153"/>
      <c r="L328" s="149"/>
      <c r="N328" s="217"/>
      <c r="O328" s="218"/>
      <c r="Q328" s="231"/>
      <c r="DF328" s="154"/>
      <c r="DM328" s="155"/>
      <c r="EM328" s="150" t="s">
        <v>301</v>
      </c>
      <c r="EN328" s="150" t="s">
        <v>83</v>
      </c>
      <c r="EO328" s="12" t="s">
        <v>83</v>
      </c>
      <c r="EP328" s="12" t="s">
        <v>32</v>
      </c>
      <c r="EQ328" s="12" t="s">
        <v>81</v>
      </c>
      <c r="ER328" s="150" t="s">
        <v>282</v>
      </c>
    </row>
    <row r="329" spans="2:162" s="1" customFormat="1" ht="24.2" customHeight="1" x14ac:dyDescent="0.2">
      <c r="B329" s="124"/>
      <c r="C329" s="170" t="s">
        <v>572</v>
      </c>
      <c r="D329" s="170" t="s">
        <v>439</v>
      </c>
      <c r="E329" s="171" t="s">
        <v>619</v>
      </c>
      <c r="F329" s="172" t="s">
        <v>620</v>
      </c>
      <c r="G329" s="173" t="s">
        <v>485</v>
      </c>
      <c r="H329" s="174">
        <v>1</v>
      </c>
      <c r="I329" s="175">
        <v>2453.2886629999998</v>
      </c>
      <c r="J329" s="176">
        <f>ROUND(I329*H329,2)</f>
        <v>2453.29</v>
      </c>
      <c r="K329" s="172" t="s">
        <v>293</v>
      </c>
      <c r="L329" s="268">
        <f>S329</f>
        <v>0</v>
      </c>
      <c r="M329" s="272">
        <f>ROUND(L329*I329,2)</f>
        <v>0</v>
      </c>
      <c r="N329" s="243"/>
      <c r="O329" s="294">
        <f>ROUND(N329*I329,2)</f>
        <v>0</v>
      </c>
      <c r="P329" s="273">
        <f>H329-L329-N329</f>
        <v>1</v>
      </c>
      <c r="Q329" s="287">
        <f>ROUND(P329*I329,2)</f>
        <v>2453.29</v>
      </c>
      <c r="R329" s="137"/>
      <c r="S329" s="269">
        <f>W329+Y329+AA329+AC329+AE329+AG329+AI329+AK329+AM329+AO329+AQ329+AS329+AU329+AW329</f>
        <v>0</v>
      </c>
      <c r="T329" s="269">
        <f>ROUND(S329*I329,2)</f>
        <v>0</v>
      </c>
      <c r="U329" s="269">
        <f>H329-S329</f>
        <v>1</v>
      </c>
      <c r="V329" s="269">
        <f>ROUND(U329*I329,2)</f>
        <v>2453.29</v>
      </c>
      <c r="W329" s="290"/>
      <c r="X329" s="290"/>
      <c r="Y329" s="290"/>
      <c r="Z329" s="290"/>
      <c r="AA329" s="290"/>
      <c r="AB329" s="290"/>
      <c r="AC329" s="290"/>
      <c r="AD329" s="290"/>
      <c r="AE329" s="290"/>
      <c r="AF329" s="290"/>
      <c r="AG329" s="290"/>
      <c r="AH329" s="290"/>
      <c r="AI329" s="290"/>
      <c r="AJ329" s="290"/>
      <c r="AK329" s="290"/>
      <c r="AL329" s="290"/>
      <c r="AM329" s="290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90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77" t="s">
        <v>1</v>
      </c>
      <c r="DG329" s="178" t="s">
        <v>40</v>
      </c>
      <c r="DI329" s="134">
        <f>DH329*H329</f>
        <v>0</v>
      </c>
      <c r="DJ329" s="134">
        <v>0.54800000000000004</v>
      </c>
      <c r="DK329" s="134">
        <f>DJ329*H329</f>
        <v>0.54800000000000004</v>
      </c>
      <c r="DL329" s="134">
        <v>0</v>
      </c>
      <c r="DM329" s="135">
        <f>DL329*H329</f>
        <v>0</v>
      </c>
      <c r="EK329" s="136" t="s">
        <v>328</v>
      </c>
      <c r="EM329" s="136" t="s">
        <v>439</v>
      </c>
      <c r="EN329" s="136" t="s">
        <v>83</v>
      </c>
      <c r="ER329" s="16" t="s">
        <v>282</v>
      </c>
      <c r="EX329" s="137">
        <f>IF(DG329="základní",J329,0)</f>
        <v>2453.29</v>
      </c>
      <c r="EY329" s="137">
        <f>IF(DG329="snížená",J329,0)</f>
        <v>0</v>
      </c>
      <c r="EZ329" s="137">
        <f>IF(DG329="zákl. přenesená",J329,0)</f>
        <v>0</v>
      </c>
      <c r="FA329" s="137">
        <f>IF(DG329="sníž. přenesená",J329,0)</f>
        <v>0</v>
      </c>
      <c r="FB329" s="137">
        <f>IF(DG329="nulová",J329,0)</f>
        <v>0</v>
      </c>
      <c r="FC329" s="16" t="s">
        <v>81</v>
      </c>
      <c r="FD329" s="137">
        <f>ROUND(I329*H329,2)</f>
        <v>2453.29</v>
      </c>
      <c r="FE329" s="16" t="s">
        <v>95</v>
      </c>
      <c r="FF329" s="136" t="s">
        <v>621</v>
      </c>
    </row>
    <row r="330" spans="2:162" s="1" customFormat="1" ht="19.5" x14ac:dyDescent="0.2">
      <c r="B330" s="31"/>
      <c r="D330" s="138" t="s">
        <v>289</v>
      </c>
      <c r="F330" s="139" t="s">
        <v>620</v>
      </c>
      <c r="I330" s="140"/>
      <c r="L330" s="31"/>
      <c r="N330" s="213"/>
      <c r="O330" s="214"/>
      <c r="Q330" s="229"/>
      <c r="DF330" s="141"/>
      <c r="DM330" s="50"/>
      <c r="EM330" s="16" t="s">
        <v>289</v>
      </c>
      <c r="EN330" s="16" t="s">
        <v>83</v>
      </c>
    </row>
    <row r="331" spans="2:162" s="1" customFormat="1" ht="24.2" customHeight="1" x14ac:dyDescent="0.2">
      <c r="B331" s="124"/>
      <c r="C331" s="125" t="s">
        <v>576</v>
      </c>
      <c r="D331" s="125" t="s">
        <v>284</v>
      </c>
      <c r="E331" s="126" t="s">
        <v>623</v>
      </c>
      <c r="F331" s="127" t="s">
        <v>624</v>
      </c>
      <c r="G331" s="128" t="s">
        <v>485</v>
      </c>
      <c r="H331" s="129">
        <v>2</v>
      </c>
      <c r="I331" s="130">
        <v>1039.9593659999746</v>
      </c>
      <c r="J331" s="131">
        <f>ROUND(I331*H331,2)</f>
        <v>2079.92</v>
      </c>
      <c r="K331" s="127" t="s">
        <v>293</v>
      </c>
      <c r="L331" s="268">
        <f>S331</f>
        <v>0</v>
      </c>
      <c r="M331" s="272">
        <f>ROUND(L331*I331,2)</f>
        <v>0</v>
      </c>
      <c r="N331" s="243"/>
      <c r="O331" s="294">
        <f>ROUND(N331*I331,2)</f>
        <v>0</v>
      </c>
      <c r="P331" s="273">
        <f>H331-L331-N331</f>
        <v>2</v>
      </c>
      <c r="Q331" s="287">
        <f>ROUND(P331*I331,2)</f>
        <v>2079.92</v>
      </c>
      <c r="R331" s="137"/>
      <c r="S331" s="269">
        <f>W331+Y331+AA331+AC331+AE331+AG331+AI331+AK331+AM331+AO331+AQ331+AS331+AU331+AW331</f>
        <v>0</v>
      </c>
      <c r="T331" s="269">
        <f>ROUND(S331*I331,2)</f>
        <v>0</v>
      </c>
      <c r="U331" s="269">
        <f>H331-S331</f>
        <v>2</v>
      </c>
      <c r="V331" s="269">
        <f>ROUND(U331*I331,2)</f>
        <v>2079.92</v>
      </c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  <c r="AL331" s="269"/>
      <c r="AM331" s="269"/>
      <c r="AN331" s="269"/>
      <c r="AO331" s="269"/>
      <c r="AP331" s="269"/>
      <c r="AQ331" s="269"/>
      <c r="AR331" s="269"/>
      <c r="AS331" s="269"/>
      <c r="AT331" s="269"/>
      <c r="AU331" s="269"/>
      <c r="AV331" s="269"/>
      <c r="AW331" s="269"/>
      <c r="AX331" s="269"/>
      <c r="DF331" s="132" t="s">
        <v>1</v>
      </c>
      <c r="DG331" s="133" t="s">
        <v>40</v>
      </c>
      <c r="DI331" s="134">
        <f>DH331*H331</f>
        <v>0</v>
      </c>
      <c r="DJ331" s="134">
        <v>2.8539999999999999E-2</v>
      </c>
      <c r="DK331" s="134">
        <f>DJ331*H331</f>
        <v>5.7079999999999999E-2</v>
      </c>
      <c r="DL331" s="134">
        <v>0</v>
      </c>
      <c r="DM331" s="135">
        <f>DL331*H331</f>
        <v>0</v>
      </c>
      <c r="EK331" s="136" t="s">
        <v>95</v>
      </c>
      <c r="EM331" s="136" t="s">
        <v>284</v>
      </c>
      <c r="EN331" s="136" t="s">
        <v>83</v>
      </c>
      <c r="ER331" s="16" t="s">
        <v>282</v>
      </c>
      <c r="EX331" s="137">
        <f>IF(DG331="základní",J331,0)</f>
        <v>2079.92</v>
      </c>
      <c r="EY331" s="137">
        <f>IF(DG331="snížená",J331,0)</f>
        <v>0</v>
      </c>
      <c r="EZ331" s="137">
        <f>IF(DG331="zákl. přenesená",J331,0)</f>
        <v>0</v>
      </c>
      <c r="FA331" s="137">
        <f>IF(DG331="sníž. přenesená",J331,0)</f>
        <v>0</v>
      </c>
      <c r="FB331" s="137">
        <f>IF(DG331="nulová",J331,0)</f>
        <v>0</v>
      </c>
      <c r="FC331" s="16" t="s">
        <v>81</v>
      </c>
      <c r="FD331" s="137">
        <f>ROUND(I331*H331,2)</f>
        <v>2079.92</v>
      </c>
      <c r="FE331" s="16" t="s">
        <v>95</v>
      </c>
      <c r="FF331" s="136" t="s">
        <v>625</v>
      </c>
    </row>
    <row r="332" spans="2:162" s="1" customFormat="1" ht="19.5" x14ac:dyDescent="0.2">
      <c r="B332" s="31"/>
      <c r="D332" s="138" t="s">
        <v>289</v>
      </c>
      <c r="F332" s="139" t="s">
        <v>624</v>
      </c>
      <c r="I332" s="140"/>
      <c r="L332" s="31"/>
      <c r="N332" s="213"/>
      <c r="O332" s="214"/>
      <c r="Q332" s="229"/>
      <c r="DF332" s="141"/>
      <c r="DM332" s="50"/>
      <c r="EM332" s="16" t="s">
        <v>289</v>
      </c>
      <c r="EN332" s="16" t="s">
        <v>83</v>
      </c>
    </row>
    <row r="333" spans="2:162" s="1" customFormat="1" ht="19.5" x14ac:dyDescent="0.2">
      <c r="B333" s="31"/>
      <c r="D333" s="138" t="s">
        <v>299</v>
      </c>
      <c r="F333" s="142" t="s">
        <v>317</v>
      </c>
      <c r="I333" s="140"/>
      <c r="L333" s="31"/>
      <c r="N333" s="213"/>
      <c r="O333" s="214"/>
      <c r="Q333" s="229"/>
      <c r="DF333" s="141"/>
      <c r="DM333" s="50"/>
      <c r="EM333" s="16" t="s">
        <v>299</v>
      </c>
      <c r="EN333" s="16" t="s">
        <v>83</v>
      </c>
    </row>
    <row r="334" spans="2:162" s="12" customFormat="1" x14ac:dyDescent="0.2">
      <c r="B334" s="149"/>
      <c r="D334" s="138" t="s">
        <v>301</v>
      </c>
      <c r="E334" s="150" t="s">
        <v>1</v>
      </c>
      <c r="F334" s="151" t="s">
        <v>834</v>
      </c>
      <c r="H334" s="152">
        <v>2</v>
      </c>
      <c r="I334" s="153"/>
      <c r="L334" s="149"/>
      <c r="N334" s="217"/>
      <c r="O334" s="218"/>
      <c r="Q334" s="231"/>
      <c r="DF334" s="154"/>
      <c r="DM334" s="155"/>
      <c r="EM334" s="150" t="s">
        <v>301</v>
      </c>
      <c r="EN334" s="150" t="s">
        <v>83</v>
      </c>
      <c r="EO334" s="12" t="s">
        <v>83</v>
      </c>
      <c r="EP334" s="12" t="s">
        <v>32</v>
      </c>
      <c r="EQ334" s="12" t="s">
        <v>81</v>
      </c>
      <c r="ER334" s="150" t="s">
        <v>282</v>
      </c>
    </row>
    <row r="335" spans="2:162" s="1" customFormat="1" ht="62.65" customHeight="1" x14ac:dyDescent="0.2">
      <c r="B335" s="124"/>
      <c r="C335" s="170" t="s">
        <v>581</v>
      </c>
      <c r="D335" s="170" t="s">
        <v>439</v>
      </c>
      <c r="E335" s="171" t="s">
        <v>632</v>
      </c>
      <c r="F335" s="172" t="s">
        <v>633</v>
      </c>
      <c r="G335" s="173" t="s">
        <v>485</v>
      </c>
      <c r="H335" s="174">
        <v>1</v>
      </c>
      <c r="I335" s="175">
        <v>9051.3334500000001</v>
      </c>
      <c r="J335" s="176">
        <f>ROUND(I335*H335,2)</f>
        <v>9051.33</v>
      </c>
      <c r="K335" s="172" t="s">
        <v>1</v>
      </c>
      <c r="L335" s="268">
        <f>S335</f>
        <v>0</v>
      </c>
      <c r="M335" s="272">
        <f>ROUND(L335*I335,2)</f>
        <v>0</v>
      </c>
      <c r="N335" s="243"/>
      <c r="O335" s="294">
        <f>ROUND(N335*I335,2)</f>
        <v>0</v>
      </c>
      <c r="P335" s="273">
        <f>H335-L335-N335</f>
        <v>1</v>
      </c>
      <c r="Q335" s="287">
        <f>ROUND(P335*I335,2)</f>
        <v>9051.33</v>
      </c>
      <c r="R335" s="137"/>
      <c r="S335" s="269">
        <f>W335+Y335+AA335+AC335+AE335+AG335+AI335+AK335+AM335+AO335+AQ335+AS335+AU335+AW335</f>
        <v>0</v>
      </c>
      <c r="T335" s="269">
        <f>ROUND(S335*I335,2)</f>
        <v>0</v>
      </c>
      <c r="U335" s="269">
        <f>H335-S335</f>
        <v>1</v>
      </c>
      <c r="V335" s="269">
        <f>ROUND(U335*I335,2)</f>
        <v>9051.33</v>
      </c>
      <c r="W335" s="290"/>
      <c r="X335" s="290"/>
      <c r="Y335" s="290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90"/>
      <c r="AK335" s="290"/>
      <c r="AL335" s="290"/>
      <c r="AM335" s="290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90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77" t="s">
        <v>1</v>
      </c>
      <c r="DG335" s="178" t="s">
        <v>40</v>
      </c>
      <c r="DI335" s="134">
        <f>DH335*H335</f>
        <v>0</v>
      </c>
      <c r="DJ335" s="134">
        <v>1.87</v>
      </c>
      <c r="DK335" s="134">
        <f>DJ335*H335</f>
        <v>1.87</v>
      </c>
      <c r="DL335" s="134">
        <v>0</v>
      </c>
      <c r="DM335" s="135">
        <f>DL335*H335</f>
        <v>0</v>
      </c>
      <c r="EK335" s="136" t="s">
        <v>328</v>
      </c>
      <c r="EM335" s="136" t="s">
        <v>439</v>
      </c>
      <c r="EN335" s="136" t="s">
        <v>83</v>
      </c>
      <c r="ER335" s="16" t="s">
        <v>282</v>
      </c>
      <c r="EX335" s="137">
        <f>IF(DG335="základní",J335,0)</f>
        <v>9051.33</v>
      </c>
      <c r="EY335" s="137">
        <f>IF(DG335="snížená",J335,0)</f>
        <v>0</v>
      </c>
      <c r="EZ335" s="137">
        <f>IF(DG335="zákl. přenesená",J335,0)</f>
        <v>0</v>
      </c>
      <c r="FA335" s="137">
        <f>IF(DG335="sníž. přenesená",J335,0)</f>
        <v>0</v>
      </c>
      <c r="FB335" s="137">
        <f>IF(DG335="nulová",J335,0)</f>
        <v>0</v>
      </c>
      <c r="FC335" s="16" t="s">
        <v>81</v>
      </c>
      <c r="FD335" s="137">
        <f>ROUND(I335*H335,2)</f>
        <v>9051.33</v>
      </c>
      <c r="FE335" s="16" t="s">
        <v>95</v>
      </c>
      <c r="FF335" s="136" t="s">
        <v>634</v>
      </c>
    </row>
    <row r="336" spans="2:162" s="1" customFormat="1" ht="39" x14ac:dyDescent="0.2">
      <c r="B336" s="31"/>
      <c r="D336" s="138" t="s">
        <v>289</v>
      </c>
      <c r="F336" s="139" t="s">
        <v>633</v>
      </c>
      <c r="I336" s="140"/>
      <c r="L336" s="31"/>
      <c r="N336" s="213"/>
      <c r="O336" s="214"/>
      <c r="Q336" s="229"/>
      <c r="DF336" s="141"/>
      <c r="DM336" s="50"/>
      <c r="EM336" s="16" t="s">
        <v>289</v>
      </c>
      <c r="EN336" s="16" t="s">
        <v>83</v>
      </c>
    </row>
    <row r="337" spans="2:162" s="1" customFormat="1" ht="62.65" customHeight="1" x14ac:dyDescent="0.2">
      <c r="B337" s="124"/>
      <c r="C337" s="170" t="s">
        <v>589</v>
      </c>
      <c r="D337" s="170" t="s">
        <v>439</v>
      </c>
      <c r="E337" s="171" t="s">
        <v>782</v>
      </c>
      <c r="F337" s="172" t="s">
        <v>783</v>
      </c>
      <c r="G337" s="173" t="s">
        <v>485</v>
      </c>
      <c r="H337" s="174">
        <v>1</v>
      </c>
      <c r="I337" s="175">
        <v>10945.76485</v>
      </c>
      <c r="J337" s="176">
        <f>ROUND(I337*H337,2)</f>
        <v>10945.76</v>
      </c>
      <c r="K337" s="172" t="s">
        <v>1</v>
      </c>
      <c r="L337" s="268">
        <f>S337</f>
        <v>0</v>
      </c>
      <c r="M337" s="272">
        <f>ROUND(L337*I337,2)</f>
        <v>0</v>
      </c>
      <c r="N337" s="243"/>
      <c r="O337" s="294">
        <f>ROUND(N337*I337,2)</f>
        <v>0</v>
      </c>
      <c r="P337" s="273">
        <f>H337-L337-N337</f>
        <v>1</v>
      </c>
      <c r="Q337" s="287">
        <f>ROUND(P337*I337,2)</f>
        <v>10945.76</v>
      </c>
      <c r="R337" s="137"/>
      <c r="S337" s="269">
        <f>W337+Y337+AA337+AC337+AE337+AG337+AI337+AK337+AM337+AO337+AQ337+AS337+AU337+AW337</f>
        <v>0</v>
      </c>
      <c r="T337" s="269">
        <f>ROUND(S337*I337,2)</f>
        <v>0</v>
      </c>
      <c r="U337" s="269">
        <f>H337-S337</f>
        <v>1</v>
      </c>
      <c r="V337" s="269">
        <f>ROUND(U337*I337,2)</f>
        <v>10945.76</v>
      </c>
      <c r="W337" s="290"/>
      <c r="X337" s="290"/>
      <c r="Y337" s="290"/>
      <c r="Z337" s="290"/>
      <c r="AA337" s="290"/>
      <c r="AB337" s="290"/>
      <c r="AC337" s="290"/>
      <c r="AD337" s="290"/>
      <c r="AE337" s="290"/>
      <c r="AF337" s="290"/>
      <c r="AG337" s="290"/>
      <c r="AH337" s="290"/>
      <c r="AI337" s="290"/>
      <c r="AJ337" s="290"/>
      <c r="AK337" s="290"/>
      <c r="AL337" s="290"/>
      <c r="AM337" s="290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90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77" t="s">
        <v>1</v>
      </c>
      <c r="DG337" s="178" t="s">
        <v>40</v>
      </c>
      <c r="DI337" s="134">
        <f>DH337*H337</f>
        <v>0</v>
      </c>
      <c r="DJ337" s="134">
        <v>1.87</v>
      </c>
      <c r="DK337" s="134">
        <f>DJ337*H337</f>
        <v>1.87</v>
      </c>
      <c r="DL337" s="134">
        <v>0</v>
      </c>
      <c r="DM337" s="135">
        <f>DL337*H337</f>
        <v>0</v>
      </c>
      <c r="EK337" s="136" t="s">
        <v>328</v>
      </c>
      <c r="EM337" s="136" t="s">
        <v>439</v>
      </c>
      <c r="EN337" s="136" t="s">
        <v>83</v>
      </c>
      <c r="ER337" s="16" t="s">
        <v>282</v>
      </c>
      <c r="EX337" s="137">
        <f>IF(DG337="základní",J337,0)</f>
        <v>10945.76</v>
      </c>
      <c r="EY337" s="137">
        <f>IF(DG337="snížená",J337,0)</f>
        <v>0</v>
      </c>
      <c r="EZ337" s="137">
        <f>IF(DG337="zákl. přenesená",J337,0)</f>
        <v>0</v>
      </c>
      <c r="FA337" s="137">
        <f>IF(DG337="sníž. přenesená",J337,0)</f>
        <v>0</v>
      </c>
      <c r="FB337" s="137">
        <f>IF(DG337="nulová",J337,0)</f>
        <v>0</v>
      </c>
      <c r="FC337" s="16" t="s">
        <v>81</v>
      </c>
      <c r="FD337" s="137">
        <f>ROUND(I337*H337,2)</f>
        <v>10945.76</v>
      </c>
      <c r="FE337" s="16" t="s">
        <v>95</v>
      </c>
      <c r="FF337" s="136" t="s">
        <v>784</v>
      </c>
    </row>
    <row r="338" spans="2:162" s="1" customFormat="1" ht="39" x14ac:dyDescent="0.2">
      <c r="B338" s="31"/>
      <c r="D338" s="138" t="s">
        <v>289</v>
      </c>
      <c r="F338" s="139" t="s">
        <v>783</v>
      </c>
      <c r="I338" s="140"/>
      <c r="L338" s="31"/>
      <c r="N338" s="213"/>
      <c r="O338" s="214"/>
      <c r="Q338" s="229"/>
      <c r="DF338" s="141"/>
      <c r="DM338" s="50"/>
      <c r="EM338" s="16" t="s">
        <v>289</v>
      </c>
      <c r="EN338" s="16" t="s">
        <v>83</v>
      </c>
    </row>
    <row r="339" spans="2:162" s="1" customFormat="1" ht="24.2" customHeight="1" x14ac:dyDescent="0.2">
      <c r="B339" s="124"/>
      <c r="C339" s="170" t="s">
        <v>594</v>
      </c>
      <c r="D339" s="170" t="s">
        <v>439</v>
      </c>
      <c r="E339" s="171" t="s">
        <v>640</v>
      </c>
      <c r="F339" s="172" t="s">
        <v>641</v>
      </c>
      <c r="G339" s="173" t="s">
        <v>485</v>
      </c>
      <c r="H339" s="174">
        <v>5</v>
      </c>
      <c r="I339" s="175">
        <v>182.81263010000001</v>
      </c>
      <c r="J339" s="176">
        <f>ROUND(I339*H339,2)</f>
        <v>914.06</v>
      </c>
      <c r="K339" s="172" t="s">
        <v>293</v>
      </c>
      <c r="L339" s="268">
        <f>S339</f>
        <v>0</v>
      </c>
      <c r="M339" s="272">
        <f>ROUND(L339*I339,2)</f>
        <v>0</v>
      </c>
      <c r="N339" s="243"/>
      <c r="O339" s="294">
        <f>ROUND(N339*I339,2)</f>
        <v>0</v>
      </c>
      <c r="P339" s="273">
        <f>H339-L339-N339</f>
        <v>5</v>
      </c>
      <c r="Q339" s="287">
        <f>ROUND(P339*I339,2)</f>
        <v>914.06</v>
      </c>
      <c r="R339" s="137"/>
      <c r="S339" s="269">
        <f>W339+Y339+AA339+AC339+AE339+AG339+AI339+AK339+AM339+AO339+AQ339+AS339+AU339+AW339</f>
        <v>0</v>
      </c>
      <c r="T339" s="269">
        <f>ROUND(S339*I339,2)</f>
        <v>0</v>
      </c>
      <c r="U339" s="269">
        <f>H339-S339</f>
        <v>5</v>
      </c>
      <c r="V339" s="269">
        <f>ROUND(U339*I339,2)</f>
        <v>914.06</v>
      </c>
      <c r="W339" s="290"/>
      <c r="X339" s="290"/>
      <c r="Y339" s="290"/>
      <c r="Z339" s="290"/>
      <c r="AA339" s="290"/>
      <c r="AB339" s="290"/>
      <c r="AC339" s="290"/>
      <c r="AD339" s="290"/>
      <c r="AE339" s="290"/>
      <c r="AF339" s="290"/>
      <c r="AG339" s="290"/>
      <c r="AH339" s="290"/>
      <c r="AI339" s="290"/>
      <c r="AJ339" s="290"/>
      <c r="AK339" s="290"/>
      <c r="AL339" s="290"/>
      <c r="AM339" s="290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90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77" t="s">
        <v>1</v>
      </c>
      <c r="DG339" s="178" t="s">
        <v>40</v>
      </c>
      <c r="DI339" s="134">
        <f>DH339*H339</f>
        <v>0</v>
      </c>
      <c r="DJ339" s="134">
        <v>2E-3</v>
      </c>
      <c r="DK339" s="134">
        <f>DJ339*H339</f>
        <v>0.01</v>
      </c>
      <c r="DL339" s="134">
        <v>0</v>
      </c>
      <c r="DM339" s="135">
        <f>DL339*H339</f>
        <v>0</v>
      </c>
      <c r="EK339" s="136" t="s">
        <v>328</v>
      </c>
      <c r="EM339" s="136" t="s">
        <v>439</v>
      </c>
      <c r="EN339" s="136" t="s">
        <v>83</v>
      </c>
      <c r="ER339" s="16" t="s">
        <v>282</v>
      </c>
      <c r="EX339" s="137">
        <f>IF(DG339="základní",J339,0)</f>
        <v>914.06</v>
      </c>
      <c r="EY339" s="137">
        <f>IF(DG339="snížená",J339,0)</f>
        <v>0</v>
      </c>
      <c r="EZ339" s="137">
        <f>IF(DG339="zákl. přenesená",J339,0)</f>
        <v>0</v>
      </c>
      <c r="FA339" s="137">
        <f>IF(DG339="sníž. přenesená",J339,0)</f>
        <v>0</v>
      </c>
      <c r="FB339" s="137">
        <f>IF(DG339="nulová",J339,0)</f>
        <v>0</v>
      </c>
      <c r="FC339" s="16" t="s">
        <v>81</v>
      </c>
      <c r="FD339" s="137">
        <f>ROUND(I339*H339,2)</f>
        <v>914.06</v>
      </c>
      <c r="FE339" s="16" t="s">
        <v>95</v>
      </c>
      <c r="FF339" s="136" t="s">
        <v>642</v>
      </c>
    </row>
    <row r="340" spans="2:162" s="1" customFormat="1" x14ac:dyDescent="0.2">
      <c r="B340" s="31"/>
      <c r="D340" s="138" t="s">
        <v>289</v>
      </c>
      <c r="F340" s="139" t="s">
        <v>641</v>
      </c>
      <c r="I340" s="140"/>
      <c r="L340" s="31"/>
      <c r="N340" s="213"/>
      <c r="O340" s="214"/>
      <c r="Q340" s="229"/>
      <c r="DF340" s="141"/>
      <c r="DM340" s="50"/>
      <c r="EM340" s="16" t="s">
        <v>289</v>
      </c>
      <c r="EN340" s="16" t="s">
        <v>83</v>
      </c>
    </row>
    <row r="341" spans="2:162" s="1" customFormat="1" ht="24.2" customHeight="1" x14ac:dyDescent="0.2">
      <c r="B341" s="124"/>
      <c r="C341" s="125" t="s">
        <v>599</v>
      </c>
      <c r="D341" s="125" t="s">
        <v>284</v>
      </c>
      <c r="E341" s="126" t="s">
        <v>785</v>
      </c>
      <c r="F341" s="127" t="s">
        <v>786</v>
      </c>
      <c r="G341" s="128" t="s">
        <v>485</v>
      </c>
      <c r="H341" s="129">
        <v>1</v>
      </c>
      <c r="I341" s="130">
        <v>670.01283357972886</v>
      </c>
      <c r="J341" s="131">
        <f>ROUND(I341*H341,2)</f>
        <v>670.01</v>
      </c>
      <c r="K341" s="127" t="s">
        <v>293</v>
      </c>
      <c r="L341" s="268">
        <f>S341</f>
        <v>0</v>
      </c>
      <c r="M341" s="272">
        <f>ROUND(L341*I341,2)</f>
        <v>0</v>
      </c>
      <c r="N341" s="243"/>
      <c r="O341" s="294">
        <f>ROUND(N341*I341,2)</f>
        <v>0</v>
      </c>
      <c r="P341" s="273">
        <f>H341-L341-N341</f>
        <v>1</v>
      </c>
      <c r="Q341" s="287">
        <f>ROUND(P341*I341,2)</f>
        <v>670.01</v>
      </c>
      <c r="R341" s="137"/>
      <c r="S341" s="269">
        <f>W341+Y341+AA341+AC341+AE341+AG341+AI341+AK341+AM341+AO341+AQ341+AS341+AU341+AW341</f>
        <v>0</v>
      </c>
      <c r="T341" s="269">
        <f>ROUND(S341*I341,2)</f>
        <v>0</v>
      </c>
      <c r="U341" s="269">
        <f>H341-S341</f>
        <v>1</v>
      </c>
      <c r="V341" s="269">
        <f>ROUND(U341*I341,2)</f>
        <v>670.01</v>
      </c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AO341" s="269"/>
      <c r="AP341" s="269"/>
      <c r="AQ341" s="269"/>
      <c r="AR341" s="269"/>
      <c r="AS341" s="269"/>
      <c r="AT341" s="269"/>
      <c r="AU341" s="269"/>
      <c r="AV341" s="269"/>
      <c r="AW341" s="269"/>
      <c r="AX341" s="269"/>
      <c r="DF341" s="132" t="s">
        <v>1</v>
      </c>
      <c r="DG341" s="133" t="s">
        <v>40</v>
      </c>
      <c r="DI341" s="134">
        <f>DH341*H341</f>
        <v>0</v>
      </c>
      <c r="DJ341" s="134">
        <v>3.9269999999999999E-2</v>
      </c>
      <c r="DK341" s="134">
        <f>DJ341*H341</f>
        <v>3.9269999999999999E-2</v>
      </c>
      <c r="DL341" s="134">
        <v>0</v>
      </c>
      <c r="DM341" s="135">
        <f>DL341*H341</f>
        <v>0</v>
      </c>
      <c r="EK341" s="136" t="s">
        <v>95</v>
      </c>
      <c r="EM341" s="136" t="s">
        <v>284</v>
      </c>
      <c r="EN341" s="136" t="s">
        <v>83</v>
      </c>
      <c r="ER341" s="16" t="s">
        <v>282</v>
      </c>
      <c r="EX341" s="137">
        <f>IF(DG341="základní",J341,0)</f>
        <v>670.01</v>
      </c>
      <c r="EY341" s="137">
        <f>IF(DG341="snížená",J341,0)</f>
        <v>0</v>
      </c>
      <c r="EZ341" s="137">
        <f>IF(DG341="zákl. přenesená",J341,0)</f>
        <v>0</v>
      </c>
      <c r="FA341" s="137">
        <f>IF(DG341="sníž. přenesená",J341,0)</f>
        <v>0</v>
      </c>
      <c r="FB341" s="137">
        <f>IF(DG341="nulová",J341,0)</f>
        <v>0</v>
      </c>
      <c r="FC341" s="16" t="s">
        <v>81</v>
      </c>
      <c r="FD341" s="137">
        <f>ROUND(I341*H341,2)</f>
        <v>670.01</v>
      </c>
      <c r="FE341" s="16" t="s">
        <v>95</v>
      </c>
      <c r="FF341" s="136" t="s">
        <v>787</v>
      </c>
    </row>
    <row r="342" spans="2:162" s="1" customFormat="1" ht="19.5" x14ac:dyDescent="0.2">
      <c r="B342" s="31"/>
      <c r="D342" s="138" t="s">
        <v>289</v>
      </c>
      <c r="F342" s="139" t="s">
        <v>786</v>
      </c>
      <c r="I342" s="140"/>
      <c r="L342" s="31"/>
      <c r="N342" s="213"/>
      <c r="O342" s="214"/>
      <c r="Q342" s="229"/>
      <c r="DF342" s="141"/>
      <c r="DM342" s="50"/>
      <c r="EM342" s="16" t="s">
        <v>289</v>
      </c>
      <c r="EN342" s="16" t="s">
        <v>83</v>
      </c>
    </row>
    <row r="343" spans="2:162" s="1" customFormat="1" ht="19.5" x14ac:dyDescent="0.2">
      <c r="B343" s="31"/>
      <c r="D343" s="138" t="s">
        <v>299</v>
      </c>
      <c r="F343" s="142" t="s">
        <v>317</v>
      </c>
      <c r="I343" s="140"/>
      <c r="L343" s="31"/>
      <c r="N343" s="213"/>
      <c r="O343" s="214"/>
      <c r="Q343" s="229"/>
      <c r="DF343" s="141"/>
      <c r="DM343" s="50"/>
      <c r="EM343" s="16" t="s">
        <v>299</v>
      </c>
      <c r="EN343" s="16" t="s">
        <v>83</v>
      </c>
    </row>
    <row r="344" spans="2:162" s="12" customFormat="1" x14ac:dyDescent="0.2">
      <c r="B344" s="149"/>
      <c r="D344" s="138" t="s">
        <v>301</v>
      </c>
      <c r="E344" s="150" t="s">
        <v>1</v>
      </c>
      <c r="F344" s="151" t="s">
        <v>81</v>
      </c>
      <c r="H344" s="152">
        <v>1</v>
      </c>
      <c r="I344" s="153"/>
      <c r="L344" s="149"/>
      <c r="N344" s="217"/>
      <c r="O344" s="218"/>
      <c r="Q344" s="231"/>
      <c r="DF344" s="154"/>
      <c r="DM344" s="155"/>
      <c r="EM344" s="150" t="s">
        <v>301</v>
      </c>
      <c r="EN344" s="150" t="s">
        <v>83</v>
      </c>
      <c r="EO344" s="12" t="s">
        <v>83</v>
      </c>
      <c r="EP344" s="12" t="s">
        <v>32</v>
      </c>
      <c r="EQ344" s="12" t="s">
        <v>81</v>
      </c>
      <c r="ER344" s="150" t="s">
        <v>282</v>
      </c>
    </row>
    <row r="345" spans="2:162" s="1" customFormat="1" ht="24.2" customHeight="1" x14ac:dyDescent="0.2">
      <c r="B345" s="124"/>
      <c r="C345" s="170" t="s">
        <v>604</v>
      </c>
      <c r="D345" s="170" t="s">
        <v>439</v>
      </c>
      <c r="E345" s="171" t="s">
        <v>788</v>
      </c>
      <c r="F345" s="172" t="s">
        <v>789</v>
      </c>
      <c r="G345" s="173" t="s">
        <v>485</v>
      </c>
      <c r="H345" s="174">
        <v>1</v>
      </c>
      <c r="I345" s="175">
        <v>3220.5333799999999</v>
      </c>
      <c r="J345" s="176">
        <f>ROUND(I345*H345,2)</f>
        <v>3220.53</v>
      </c>
      <c r="K345" s="172" t="s">
        <v>1</v>
      </c>
      <c r="L345" s="268">
        <f>S345</f>
        <v>0</v>
      </c>
      <c r="M345" s="272">
        <f>ROUND(L345*I345,2)</f>
        <v>0</v>
      </c>
      <c r="N345" s="243"/>
      <c r="O345" s="294">
        <f>ROUND(N345*I345,2)</f>
        <v>0</v>
      </c>
      <c r="P345" s="273">
        <f>H345-L345-N345</f>
        <v>1</v>
      </c>
      <c r="Q345" s="287">
        <f>ROUND(P345*I345,2)</f>
        <v>3220.53</v>
      </c>
      <c r="R345" s="137"/>
      <c r="S345" s="269">
        <f>W345+Y345+AA345+AC345+AE345+AG345+AI345+AK345+AM345+AO345+AQ345+AS345+AU345+AW345</f>
        <v>0</v>
      </c>
      <c r="T345" s="269">
        <f>ROUND(S345*I345,2)</f>
        <v>0</v>
      </c>
      <c r="U345" s="269">
        <f>H345-S345</f>
        <v>1</v>
      </c>
      <c r="V345" s="269">
        <f>ROUND(U345*I345,2)</f>
        <v>3220.53</v>
      </c>
      <c r="W345" s="290"/>
      <c r="X345" s="290"/>
      <c r="Y345" s="290"/>
      <c r="Z345" s="290"/>
      <c r="AA345" s="290"/>
      <c r="AB345" s="290"/>
      <c r="AC345" s="290"/>
      <c r="AD345" s="290"/>
      <c r="AE345" s="290"/>
      <c r="AF345" s="290"/>
      <c r="AG345" s="290"/>
      <c r="AH345" s="290"/>
      <c r="AI345" s="290"/>
      <c r="AJ345" s="290"/>
      <c r="AK345" s="290"/>
      <c r="AL345" s="290"/>
      <c r="AM345" s="290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90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77" t="s">
        <v>1</v>
      </c>
      <c r="DG345" s="178" t="s">
        <v>40</v>
      </c>
      <c r="DI345" s="134">
        <f>DH345*H345</f>
        <v>0</v>
      </c>
      <c r="DJ345" s="134">
        <v>0.44900000000000001</v>
      </c>
      <c r="DK345" s="134">
        <f>DJ345*H345</f>
        <v>0.44900000000000001</v>
      </c>
      <c r="DL345" s="134">
        <v>0</v>
      </c>
      <c r="DM345" s="135">
        <f>DL345*H345</f>
        <v>0</v>
      </c>
      <c r="EK345" s="136" t="s">
        <v>328</v>
      </c>
      <c r="EM345" s="136" t="s">
        <v>439</v>
      </c>
      <c r="EN345" s="136" t="s">
        <v>83</v>
      </c>
      <c r="ER345" s="16" t="s">
        <v>282</v>
      </c>
      <c r="EX345" s="137">
        <f>IF(DG345="základní",J345,0)</f>
        <v>3220.53</v>
      </c>
      <c r="EY345" s="137">
        <f>IF(DG345="snížená",J345,0)</f>
        <v>0</v>
      </c>
      <c r="EZ345" s="137">
        <f>IF(DG345="zákl. přenesená",J345,0)</f>
        <v>0</v>
      </c>
      <c r="FA345" s="137">
        <f>IF(DG345="sníž. přenesená",J345,0)</f>
        <v>0</v>
      </c>
      <c r="FB345" s="137">
        <f>IF(DG345="nulová",J345,0)</f>
        <v>0</v>
      </c>
      <c r="FC345" s="16" t="s">
        <v>81</v>
      </c>
      <c r="FD345" s="137">
        <f>ROUND(I345*H345,2)</f>
        <v>3220.53</v>
      </c>
      <c r="FE345" s="16" t="s">
        <v>95</v>
      </c>
      <c r="FF345" s="136" t="s">
        <v>790</v>
      </c>
    </row>
    <row r="346" spans="2:162" s="1" customFormat="1" x14ac:dyDescent="0.2">
      <c r="B346" s="31"/>
      <c r="D346" s="138" t="s">
        <v>289</v>
      </c>
      <c r="F346" s="139" t="s">
        <v>791</v>
      </c>
      <c r="I346" s="140"/>
      <c r="L346" s="31"/>
      <c r="N346" s="213"/>
      <c r="O346" s="214"/>
      <c r="Q346" s="229"/>
      <c r="DF346" s="141"/>
      <c r="DM346" s="50"/>
      <c r="EM346" s="16" t="s">
        <v>289</v>
      </c>
      <c r="EN346" s="16" t="s">
        <v>83</v>
      </c>
    </row>
    <row r="347" spans="2:162" s="1" customFormat="1" ht="37.9" customHeight="1" x14ac:dyDescent="0.2">
      <c r="B347" s="124"/>
      <c r="C347" s="125" t="s">
        <v>609</v>
      </c>
      <c r="D347" s="125" t="s">
        <v>284</v>
      </c>
      <c r="E347" s="126" t="s">
        <v>792</v>
      </c>
      <c r="F347" s="127" t="s">
        <v>793</v>
      </c>
      <c r="G347" s="128" t="s">
        <v>315</v>
      </c>
      <c r="H347" s="129">
        <v>1</v>
      </c>
      <c r="I347" s="130">
        <v>5683.2942000000003</v>
      </c>
      <c r="J347" s="131">
        <f>ROUND(I347*H347,2)</f>
        <v>5683.29</v>
      </c>
      <c r="K347" s="127" t="s">
        <v>1</v>
      </c>
      <c r="L347" s="268">
        <f>S347</f>
        <v>0</v>
      </c>
      <c r="M347" s="272">
        <f>ROUND(L347*I347,2)</f>
        <v>0</v>
      </c>
      <c r="N347" s="243"/>
      <c r="O347" s="294">
        <f>ROUND(N347*I347,2)</f>
        <v>0</v>
      </c>
      <c r="P347" s="273">
        <f>H347-L347-N347</f>
        <v>1</v>
      </c>
      <c r="Q347" s="287">
        <f>ROUND(P347*I347,2)</f>
        <v>5683.29</v>
      </c>
      <c r="R347" s="137"/>
      <c r="S347" s="269">
        <f>W347+Y347+AA347+AC347+AE347+AG347+AI347+AK347+AM347+AO347+AQ347+AS347+AU347+AW347</f>
        <v>0</v>
      </c>
      <c r="T347" s="269">
        <f>ROUND(S347*I347,2)</f>
        <v>0</v>
      </c>
      <c r="U347" s="269">
        <f>H347-S347</f>
        <v>1</v>
      </c>
      <c r="V347" s="269">
        <f>ROUND(U347*I347,2)</f>
        <v>5683.29</v>
      </c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269"/>
      <c r="AJ347" s="269"/>
      <c r="AK347" s="269"/>
      <c r="AL347" s="269"/>
      <c r="AM347" s="269"/>
      <c r="AN347" s="269"/>
      <c r="AO347" s="269"/>
      <c r="AP347" s="269"/>
      <c r="AQ347" s="269"/>
      <c r="AR347" s="269"/>
      <c r="AS347" s="269"/>
      <c r="AT347" s="269"/>
      <c r="AU347" s="269"/>
      <c r="AV347" s="269"/>
      <c r="AW347" s="269"/>
      <c r="AX347" s="269"/>
      <c r="DF347" s="132" t="s">
        <v>1</v>
      </c>
      <c r="DG347" s="133" t="s">
        <v>40</v>
      </c>
      <c r="DI347" s="134">
        <f>DH347*H347</f>
        <v>0</v>
      </c>
      <c r="DJ347" s="134">
        <v>0</v>
      </c>
      <c r="DK347" s="134">
        <f>DJ347*H347</f>
        <v>0</v>
      </c>
      <c r="DL347" s="134">
        <v>0</v>
      </c>
      <c r="DM347" s="135">
        <f>DL347*H347</f>
        <v>0</v>
      </c>
      <c r="EK347" s="136" t="s">
        <v>95</v>
      </c>
      <c r="EM347" s="136" t="s">
        <v>284</v>
      </c>
      <c r="EN347" s="136" t="s">
        <v>83</v>
      </c>
      <c r="ER347" s="16" t="s">
        <v>282</v>
      </c>
      <c r="EX347" s="137">
        <f>IF(DG347="základní",J347,0)</f>
        <v>5683.29</v>
      </c>
      <c r="EY347" s="137">
        <f>IF(DG347="snížená",J347,0)</f>
        <v>0</v>
      </c>
      <c r="EZ347" s="137">
        <f>IF(DG347="zákl. přenesená",J347,0)</f>
        <v>0</v>
      </c>
      <c r="FA347" s="137">
        <f>IF(DG347="sníž. přenesená",J347,0)</f>
        <v>0</v>
      </c>
      <c r="FB347" s="137">
        <f>IF(DG347="nulová",J347,0)</f>
        <v>0</v>
      </c>
      <c r="FC347" s="16" t="s">
        <v>81</v>
      </c>
      <c r="FD347" s="137">
        <f>ROUND(I347*H347,2)</f>
        <v>5683.29</v>
      </c>
      <c r="FE347" s="16" t="s">
        <v>95</v>
      </c>
      <c r="FF347" s="136" t="s">
        <v>658</v>
      </c>
    </row>
    <row r="348" spans="2:162" s="1" customFormat="1" ht="19.5" x14ac:dyDescent="0.2">
      <c r="B348" s="31"/>
      <c r="D348" s="138" t="s">
        <v>289</v>
      </c>
      <c r="F348" s="139" t="s">
        <v>793</v>
      </c>
      <c r="I348" s="140"/>
      <c r="L348" s="31"/>
      <c r="N348" s="213"/>
      <c r="O348" s="214"/>
      <c r="Q348" s="229"/>
      <c r="DF348" s="141"/>
      <c r="DM348" s="50"/>
      <c r="EM348" s="16" t="s">
        <v>289</v>
      </c>
      <c r="EN348" s="16" t="s">
        <v>83</v>
      </c>
    </row>
    <row r="349" spans="2:162" s="1" customFormat="1" ht="29.25" x14ac:dyDescent="0.2">
      <c r="B349" s="31"/>
      <c r="D349" s="138" t="s">
        <v>299</v>
      </c>
      <c r="F349" s="142" t="s">
        <v>804</v>
      </c>
      <c r="I349" s="140"/>
      <c r="L349" s="31"/>
      <c r="N349" s="213"/>
      <c r="O349" s="214"/>
      <c r="Q349" s="229"/>
      <c r="DF349" s="141"/>
      <c r="DM349" s="50"/>
      <c r="EM349" s="16" t="s">
        <v>299</v>
      </c>
      <c r="EN349" s="16" t="s">
        <v>83</v>
      </c>
    </row>
    <row r="350" spans="2:162" s="12" customFormat="1" x14ac:dyDescent="0.2">
      <c r="B350" s="149"/>
      <c r="D350" s="138" t="s">
        <v>301</v>
      </c>
      <c r="E350" s="150" t="s">
        <v>1</v>
      </c>
      <c r="F350" s="151" t="s">
        <v>835</v>
      </c>
      <c r="H350" s="152">
        <v>1</v>
      </c>
      <c r="I350" s="153"/>
      <c r="L350" s="149"/>
      <c r="N350" s="217"/>
      <c r="O350" s="218"/>
      <c r="Q350" s="231"/>
      <c r="DF350" s="154"/>
      <c r="DM350" s="155"/>
      <c r="EM350" s="150" t="s">
        <v>301</v>
      </c>
      <c r="EN350" s="150" t="s">
        <v>83</v>
      </c>
      <c r="EO350" s="12" t="s">
        <v>83</v>
      </c>
      <c r="EP350" s="12" t="s">
        <v>32</v>
      </c>
      <c r="EQ350" s="12" t="s">
        <v>81</v>
      </c>
      <c r="ER350" s="150" t="s">
        <v>282</v>
      </c>
    </row>
    <row r="351" spans="2:162" s="1" customFormat="1" ht="62.65" customHeight="1" x14ac:dyDescent="0.2">
      <c r="B351" s="124"/>
      <c r="C351" s="125" t="s">
        <v>614</v>
      </c>
      <c r="D351" s="125" t="s">
        <v>284</v>
      </c>
      <c r="E351" s="126" t="s">
        <v>795</v>
      </c>
      <c r="F351" s="127" t="s">
        <v>796</v>
      </c>
      <c r="G351" s="128" t="s">
        <v>315</v>
      </c>
      <c r="H351" s="129">
        <v>1</v>
      </c>
      <c r="I351" s="130">
        <v>35994.196600000003</v>
      </c>
      <c r="J351" s="131">
        <f>ROUND(I351*H351,2)</f>
        <v>35994.199999999997</v>
      </c>
      <c r="K351" s="127" t="s">
        <v>1</v>
      </c>
      <c r="L351" s="268">
        <f>S351</f>
        <v>0</v>
      </c>
      <c r="M351" s="272">
        <f>ROUND(L351*I351,2)</f>
        <v>0</v>
      </c>
      <c r="N351" s="243">
        <v>-1</v>
      </c>
      <c r="O351" s="294">
        <f>ROUND(N351*I351,2)</f>
        <v>-35994.199999999997</v>
      </c>
      <c r="P351" s="273">
        <f>H351-L351-N351</f>
        <v>2</v>
      </c>
      <c r="Q351" s="287">
        <f>ROUND(P351*I351,2)</f>
        <v>71988.39</v>
      </c>
      <c r="R351" s="137"/>
      <c r="S351" s="269">
        <f>W351+Y351+AA351+AC351+AE351+AG351+AI351+AK351+AM351+AO351+AQ351+AS351+AU351+AW351</f>
        <v>0</v>
      </c>
      <c r="T351" s="269">
        <f>ROUND(S351*I351,2)</f>
        <v>0</v>
      </c>
      <c r="U351" s="269">
        <f>H351-S351</f>
        <v>1</v>
      </c>
      <c r="V351" s="269">
        <f>ROUND(U351*I351,2)</f>
        <v>35994.199999999997</v>
      </c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AO351" s="269"/>
      <c r="AP351" s="269"/>
      <c r="AQ351" s="269"/>
      <c r="AR351" s="269"/>
      <c r="AS351" s="269"/>
      <c r="AT351" s="269"/>
      <c r="AU351" s="269"/>
      <c r="AV351" s="269"/>
      <c r="AW351" s="269"/>
      <c r="AX351" s="269"/>
      <c r="DF351" s="132" t="s">
        <v>1</v>
      </c>
      <c r="DG351" s="133" t="s">
        <v>40</v>
      </c>
      <c r="DI351" s="134">
        <f>DH351*H351</f>
        <v>0</v>
      </c>
      <c r="DJ351" s="134">
        <v>0</v>
      </c>
      <c r="DK351" s="134">
        <f>DJ351*H351</f>
        <v>0</v>
      </c>
      <c r="DL351" s="134">
        <v>0</v>
      </c>
      <c r="DM351" s="135">
        <f>DL351*H351</f>
        <v>0</v>
      </c>
      <c r="EK351" s="136" t="s">
        <v>95</v>
      </c>
      <c r="EM351" s="136" t="s">
        <v>284</v>
      </c>
      <c r="EN351" s="136" t="s">
        <v>83</v>
      </c>
      <c r="ER351" s="16" t="s">
        <v>282</v>
      </c>
      <c r="EX351" s="137">
        <f>IF(DG351="základní",J351,0)</f>
        <v>35994.199999999997</v>
      </c>
      <c r="EY351" s="137">
        <f>IF(DG351="snížená",J351,0)</f>
        <v>0</v>
      </c>
      <c r="EZ351" s="137">
        <f>IF(DG351="zákl. přenesená",J351,0)</f>
        <v>0</v>
      </c>
      <c r="FA351" s="137">
        <f>IF(DG351="sníž. přenesená",J351,0)</f>
        <v>0</v>
      </c>
      <c r="FB351" s="137">
        <f>IF(DG351="nulová",J351,0)</f>
        <v>0</v>
      </c>
      <c r="FC351" s="16" t="s">
        <v>81</v>
      </c>
      <c r="FD351" s="137">
        <f>ROUND(I351*H351,2)</f>
        <v>35994.199999999997</v>
      </c>
      <c r="FE351" s="16" t="s">
        <v>95</v>
      </c>
      <c r="FF351" s="136" t="s">
        <v>797</v>
      </c>
    </row>
    <row r="352" spans="2:162" s="1" customFormat="1" ht="39" x14ac:dyDescent="0.2">
      <c r="B352" s="31"/>
      <c r="D352" s="138" t="s">
        <v>289</v>
      </c>
      <c r="F352" s="139" t="s">
        <v>796</v>
      </c>
      <c r="I352" s="140"/>
      <c r="L352" s="31"/>
      <c r="N352" s="213"/>
      <c r="O352" s="214"/>
      <c r="Q352" s="229"/>
      <c r="DF352" s="141"/>
      <c r="DM352" s="50"/>
      <c r="EM352" s="16" t="s">
        <v>289</v>
      </c>
      <c r="EN352" s="16" t="s">
        <v>83</v>
      </c>
    </row>
    <row r="353" spans="2:162" s="1" customFormat="1" ht="19.5" x14ac:dyDescent="0.2">
      <c r="B353" s="31"/>
      <c r="D353" s="138" t="s">
        <v>299</v>
      </c>
      <c r="F353" s="142" t="s">
        <v>317</v>
      </c>
      <c r="I353" s="140"/>
      <c r="L353" s="31"/>
      <c r="N353" s="213"/>
      <c r="O353" s="214"/>
      <c r="Q353" s="229"/>
      <c r="DF353" s="141"/>
      <c r="DM353" s="50"/>
      <c r="EM353" s="16" t="s">
        <v>299</v>
      </c>
      <c r="EN353" s="16" t="s">
        <v>83</v>
      </c>
    </row>
    <row r="354" spans="2:162" s="12" customFormat="1" x14ac:dyDescent="0.2">
      <c r="B354" s="149"/>
      <c r="D354" s="138" t="s">
        <v>301</v>
      </c>
      <c r="E354" s="150" t="s">
        <v>1</v>
      </c>
      <c r="F354" s="151" t="s">
        <v>836</v>
      </c>
      <c r="H354" s="152">
        <v>1</v>
      </c>
      <c r="I354" s="153"/>
      <c r="L354" s="149"/>
      <c r="N354" s="217"/>
      <c r="O354" s="218"/>
      <c r="Q354" s="231"/>
      <c r="DF354" s="154"/>
      <c r="DM354" s="155"/>
      <c r="EM354" s="150" t="s">
        <v>301</v>
      </c>
      <c r="EN354" s="150" t="s">
        <v>83</v>
      </c>
      <c r="EO354" s="12" t="s">
        <v>83</v>
      </c>
      <c r="EP354" s="12" t="s">
        <v>32</v>
      </c>
      <c r="EQ354" s="12" t="s">
        <v>81</v>
      </c>
      <c r="ER354" s="150" t="s">
        <v>282</v>
      </c>
    </row>
    <row r="355" spans="2:162" s="1" customFormat="1" ht="24.2" customHeight="1" x14ac:dyDescent="0.2">
      <c r="B355" s="124"/>
      <c r="C355" s="125" t="s">
        <v>618</v>
      </c>
      <c r="D355" s="125" t="s">
        <v>284</v>
      </c>
      <c r="E355" s="126" t="s">
        <v>661</v>
      </c>
      <c r="F355" s="127" t="s">
        <v>662</v>
      </c>
      <c r="G355" s="128" t="s">
        <v>485</v>
      </c>
      <c r="H355" s="129">
        <v>2</v>
      </c>
      <c r="I355" s="130">
        <v>1019.8832798103068</v>
      </c>
      <c r="J355" s="131">
        <f>ROUND(I355*H355,2)</f>
        <v>2039.77</v>
      </c>
      <c r="K355" s="127" t="s">
        <v>293</v>
      </c>
      <c r="L355" s="268">
        <f>S355</f>
        <v>0</v>
      </c>
      <c r="M355" s="272">
        <f>ROUND(L355*I355,2)</f>
        <v>0</v>
      </c>
      <c r="N355" s="243"/>
      <c r="O355" s="294">
        <f>ROUND(N355*I355,2)</f>
        <v>0</v>
      </c>
      <c r="P355" s="273">
        <f>H355-L355-N355</f>
        <v>2</v>
      </c>
      <c r="Q355" s="287">
        <f>ROUND(P355*I355,2)</f>
        <v>2039.77</v>
      </c>
      <c r="R355" s="137"/>
      <c r="S355" s="269">
        <f>W355+Y355+AA355+AC355+AE355+AG355+AI355+AK355+AM355+AO355+AQ355+AS355+AU355+AW355</f>
        <v>0</v>
      </c>
      <c r="T355" s="269">
        <f>ROUND(S355*I355,2)</f>
        <v>0</v>
      </c>
      <c r="U355" s="269">
        <f>H355-S355</f>
        <v>2</v>
      </c>
      <c r="V355" s="269">
        <f>ROUND(U355*I355,2)</f>
        <v>2039.77</v>
      </c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AO355" s="269"/>
      <c r="AP355" s="269"/>
      <c r="AQ355" s="269"/>
      <c r="AR355" s="269"/>
      <c r="AS355" s="269"/>
      <c r="AT355" s="269"/>
      <c r="AU355" s="269"/>
      <c r="AV355" s="269"/>
      <c r="AW355" s="269"/>
      <c r="AX355" s="269"/>
      <c r="DF355" s="132" t="s">
        <v>1</v>
      </c>
      <c r="DG355" s="133" t="s">
        <v>40</v>
      </c>
      <c r="DI355" s="134">
        <f>DH355*H355</f>
        <v>0</v>
      </c>
      <c r="DJ355" s="134">
        <v>0.21734000000000001</v>
      </c>
      <c r="DK355" s="134">
        <f>DJ355*H355</f>
        <v>0.43468000000000001</v>
      </c>
      <c r="DL355" s="134">
        <v>0</v>
      </c>
      <c r="DM355" s="135">
        <f>DL355*H355</f>
        <v>0</v>
      </c>
      <c r="EK355" s="136" t="s">
        <v>95</v>
      </c>
      <c r="EM355" s="136" t="s">
        <v>284</v>
      </c>
      <c r="EN355" s="136" t="s">
        <v>83</v>
      </c>
      <c r="ER355" s="16" t="s">
        <v>282</v>
      </c>
      <c r="EX355" s="137">
        <f>IF(DG355="základní",J355,0)</f>
        <v>2039.77</v>
      </c>
      <c r="EY355" s="137">
        <f>IF(DG355="snížená",J355,0)</f>
        <v>0</v>
      </c>
      <c r="EZ355" s="137">
        <f>IF(DG355="zákl. přenesená",J355,0)</f>
        <v>0</v>
      </c>
      <c r="FA355" s="137">
        <f>IF(DG355="sníž. přenesená",J355,0)</f>
        <v>0</v>
      </c>
      <c r="FB355" s="137">
        <f>IF(DG355="nulová",J355,0)</f>
        <v>0</v>
      </c>
      <c r="FC355" s="16" t="s">
        <v>81</v>
      </c>
      <c r="FD355" s="137">
        <f>ROUND(I355*H355,2)</f>
        <v>2039.77</v>
      </c>
      <c r="FE355" s="16" t="s">
        <v>95</v>
      </c>
      <c r="FF355" s="136" t="s">
        <v>663</v>
      </c>
    </row>
    <row r="356" spans="2:162" s="1" customFormat="1" ht="19.5" x14ac:dyDescent="0.2">
      <c r="B356" s="31"/>
      <c r="D356" s="138" t="s">
        <v>289</v>
      </c>
      <c r="F356" s="139" t="s">
        <v>664</v>
      </c>
      <c r="I356" s="140"/>
      <c r="L356" s="31"/>
      <c r="N356" s="213"/>
      <c r="O356" s="214"/>
      <c r="Q356" s="229"/>
      <c r="DF356" s="141"/>
      <c r="DM356" s="50"/>
      <c r="EM356" s="16" t="s">
        <v>289</v>
      </c>
      <c r="EN356" s="16" t="s">
        <v>83</v>
      </c>
    </row>
    <row r="357" spans="2:162" s="1" customFormat="1" ht="19.5" x14ac:dyDescent="0.2">
      <c r="B357" s="31"/>
      <c r="D357" s="138" t="s">
        <v>299</v>
      </c>
      <c r="F357" s="142" t="s">
        <v>317</v>
      </c>
      <c r="I357" s="140"/>
      <c r="L357" s="31"/>
      <c r="N357" s="213"/>
      <c r="O357" s="214"/>
      <c r="Q357" s="229"/>
      <c r="DF357" s="141"/>
      <c r="DM357" s="50"/>
      <c r="EM357" s="16" t="s">
        <v>299</v>
      </c>
      <c r="EN357" s="16" t="s">
        <v>83</v>
      </c>
    </row>
    <row r="358" spans="2:162" s="12" customFormat="1" x14ac:dyDescent="0.2">
      <c r="B358" s="149"/>
      <c r="D358" s="138" t="s">
        <v>301</v>
      </c>
      <c r="E358" s="150" t="s">
        <v>1</v>
      </c>
      <c r="F358" s="151" t="s">
        <v>834</v>
      </c>
      <c r="H358" s="152">
        <v>2</v>
      </c>
      <c r="I358" s="153"/>
      <c r="L358" s="149"/>
      <c r="N358" s="217"/>
      <c r="O358" s="218"/>
      <c r="Q358" s="231"/>
      <c r="DF358" s="154"/>
      <c r="DM358" s="155"/>
      <c r="EM358" s="150" t="s">
        <v>301</v>
      </c>
      <c r="EN358" s="150" t="s">
        <v>83</v>
      </c>
      <c r="EO358" s="12" t="s">
        <v>83</v>
      </c>
      <c r="EP358" s="12" t="s">
        <v>32</v>
      </c>
      <c r="EQ358" s="12" t="s">
        <v>81</v>
      </c>
      <c r="ER358" s="150" t="s">
        <v>282</v>
      </c>
    </row>
    <row r="359" spans="2:162" s="1" customFormat="1" ht="24.2" customHeight="1" x14ac:dyDescent="0.2">
      <c r="B359" s="124"/>
      <c r="C359" s="170" t="s">
        <v>622</v>
      </c>
      <c r="D359" s="170" t="s">
        <v>439</v>
      </c>
      <c r="E359" s="171" t="s">
        <v>667</v>
      </c>
      <c r="F359" s="172" t="s">
        <v>668</v>
      </c>
      <c r="G359" s="173" t="s">
        <v>485</v>
      </c>
      <c r="H359" s="174">
        <v>1</v>
      </c>
      <c r="I359" s="175">
        <v>3125.8118100000002</v>
      </c>
      <c r="J359" s="176">
        <f>ROUND(I359*H359,2)</f>
        <v>3125.81</v>
      </c>
      <c r="K359" s="172" t="s">
        <v>1</v>
      </c>
      <c r="L359" s="268">
        <f>S359</f>
        <v>0</v>
      </c>
      <c r="M359" s="272">
        <f>ROUND(L359*I359,2)</f>
        <v>0</v>
      </c>
      <c r="N359" s="243"/>
      <c r="O359" s="294">
        <f>ROUND(N359*I359,2)</f>
        <v>0</v>
      </c>
      <c r="P359" s="273">
        <f>H359-L359-N359</f>
        <v>1</v>
      </c>
      <c r="Q359" s="287">
        <f>ROUND(P359*I359,2)</f>
        <v>3125.81</v>
      </c>
      <c r="R359" s="137"/>
      <c r="S359" s="269">
        <f>W359+Y359+AA359+AC359+AE359+AG359+AI359+AK359+AM359+AO359+AQ359+AS359+AU359+AW359</f>
        <v>0</v>
      </c>
      <c r="T359" s="269">
        <f>ROUND(S359*I359,2)</f>
        <v>0</v>
      </c>
      <c r="U359" s="269">
        <f>H359-S359</f>
        <v>1</v>
      </c>
      <c r="V359" s="269">
        <f>ROUND(U359*I359,2)</f>
        <v>3125.81</v>
      </c>
      <c r="W359" s="290"/>
      <c r="X359" s="290"/>
      <c r="Y359" s="290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90"/>
      <c r="AK359" s="290"/>
      <c r="AL359" s="290"/>
      <c r="AM359" s="290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90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77" t="s">
        <v>1</v>
      </c>
      <c r="DG359" s="178" t="s">
        <v>40</v>
      </c>
      <c r="DI359" s="134">
        <f>DH359*H359</f>
        <v>0</v>
      </c>
      <c r="DJ359" s="134">
        <v>4.5999999999999999E-2</v>
      </c>
      <c r="DK359" s="134">
        <f>DJ359*H359</f>
        <v>4.5999999999999999E-2</v>
      </c>
      <c r="DL359" s="134">
        <v>0</v>
      </c>
      <c r="DM359" s="135">
        <f>DL359*H359</f>
        <v>0</v>
      </c>
      <c r="EK359" s="136" t="s">
        <v>328</v>
      </c>
      <c r="EM359" s="136" t="s">
        <v>439</v>
      </c>
      <c r="EN359" s="136" t="s">
        <v>83</v>
      </c>
      <c r="ER359" s="16" t="s">
        <v>282</v>
      </c>
      <c r="EX359" s="137">
        <f>IF(DG359="základní",J359,0)</f>
        <v>3125.81</v>
      </c>
      <c r="EY359" s="137">
        <f>IF(DG359="snížená",J359,0)</f>
        <v>0</v>
      </c>
      <c r="EZ359" s="137">
        <f>IF(DG359="zákl. přenesená",J359,0)</f>
        <v>0</v>
      </c>
      <c r="FA359" s="137">
        <f>IF(DG359="sníž. přenesená",J359,0)</f>
        <v>0</v>
      </c>
      <c r="FB359" s="137">
        <f>IF(DG359="nulová",J359,0)</f>
        <v>0</v>
      </c>
      <c r="FC359" s="16" t="s">
        <v>81</v>
      </c>
      <c r="FD359" s="137">
        <f>ROUND(I359*H359,2)</f>
        <v>3125.81</v>
      </c>
      <c r="FE359" s="16" t="s">
        <v>95</v>
      </c>
      <c r="FF359" s="136" t="s">
        <v>669</v>
      </c>
    </row>
    <row r="360" spans="2:162" s="1" customFormat="1" ht="19.5" x14ac:dyDescent="0.2">
      <c r="B360" s="31"/>
      <c r="D360" s="138" t="s">
        <v>289</v>
      </c>
      <c r="F360" s="139" t="s">
        <v>668</v>
      </c>
      <c r="I360" s="140"/>
      <c r="L360" s="31"/>
      <c r="N360" s="213"/>
      <c r="O360" s="214"/>
      <c r="Q360" s="229"/>
      <c r="DF360" s="141"/>
      <c r="DM360" s="50"/>
      <c r="EM360" s="16" t="s">
        <v>289</v>
      </c>
      <c r="EN360" s="16" t="s">
        <v>83</v>
      </c>
    </row>
    <row r="361" spans="2:162" s="1" customFormat="1" ht="24.2" customHeight="1" x14ac:dyDescent="0.2">
      <c r="B361" s="124"/>
      <c r="C361" s="170" t="s">
        <v>627</v>
      </c>
      <c r="D361" s="170" t="s">
        <v>439</v>
      </c>
      <c r="E361" s="171" t="s">
        <v>671</v>
      </c>
      <c r="F361" s="172" t="s">
        <v>672</v>
      </c>
      <c r="G361" s="173" t="s">
        <v>485</v>
      </c>
      <c r="H361" s="174">
        <v>1</v>
      </c>
      <c r="I361" s="175">
        <v>3315.25495</v>
      </c>
      <c r="J361" s="176">
        <f>ROUND(I361*H361,2)</f>
        <v>3315.25</v>
      </c>
      <c r="K361" s="172" t="s">
        <v>1</v>
      </c>
      <c r="L361" s="268">
        <f>S361</f>
        <v>0</v>
      </c>
      <c r="M361" s="272">
        <f>ROUND(L361*I361,2)</f>
        <v>0</v>
      </c>
      <c r="N361" s="243"/>
      <c r="O361" s="294">
        <f>ROUND(N361*I361,2)</f>
        <v>0</v>
      </c>
      <c r="P361" s="273">
        <f>H361-L361-N361</f>
        <v>1</v>
      </c>
      <c r="Q361" s="287">
        <f>ROUND(P361*I361,2)</f>
        <v>3315.25</v>
      </c>
      <c r="R361" s="137"/>
      <c r="S361" s="269">
        <f>W361+Y361+AA361+AC361+AE361+AG361+AI361+AK361+AM361+AO361+AQ361+AS361+AU361+AW361</f>
        <v>0</v>
      </c>
      <c r="T361" s="269">
        <f>ROUND(S361*I361,2)</f>
        <v>0</v>
      </c>
      <c r="U361" s="269">
        <f>H361-S361</f>
        <v>1</v>
      </c>
      <c r="V361" s="269">
        <f>ROUND(U361*I361,2)</f>
        <v>3315.25</v>
      </c>
      <c r="W361" s="290"/>
      <c r="X361" s="290"/>
      <c r="Y361" s="290"/>
      <c r="Z361" s="290"/>
      <c r="AA361" s="290"/>
      <c r="AB361" s="290"/>
      <c r="AC361" s="290"/>
      <c r="AD361" s="290"/>
      <c r="AE361" s="290"/>
      <c r="AF361" s="290"/>
      <c r="AG361" s="290"/>
      <c r="AH361" s="290"/>
      <c r="AI361" s="290"/>
      <c r="AJ361" s="290"/>
      <c r="AK361" s="290"/>
      <c r="AL361" s="290"/>
      <c r="AM361" s="290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90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77" t="s">
        <v>1</v>
      </c>
      <c r="DG361" s="178" t="s">
        <v>40</v>
      </c>
      <c r="DI361" s="134">
        <f>DH361*H361</f>
        <v>0</v>
      </c>
      <c r="DJ361" s="134">
        <v>4.5999999999999999E-2</v>
      </c>
      <c r="DK361" s="134">
        <f>DJ361*H361</f>
        <v>4.5999999999999999E-2</v>
      </c>
      <c r="DL361" s="134">
        <v>0</v>
      </c>
      <c r="DM361" s="135">
        <f>DL361*H361</f>
        <v>0</v>
      </c>
      <c r="EK361" s="136" t="s">
        <v>328</v>
      </c>
      <c r="EM361" s="136" t="s">
        <v>439</v>
      </c>
      <c r="EN361" s="136" t="s">
        <v>83</v>
      </c>
      <c r="ER361" s="16" t="s">
        <v>282</v>
      </c>
      <c r="EX361" s="137">
        <f>IF(DG361="základní",J361,0)</f>
        <v>3315.25</v>
      </c>
      <c r="EY361" s="137">
        <f>IF(DG361="snížená",J361,0)</f>
        <v>0</v>
      </c>
      <c r="EZ361" s="137">
        <f>IF(DG361="zákl. přenesená",J361,0)</f>
        <v>0</v>
      </c>
      <c r="FA361" s="137">
        <f>IF(DG361="sníž. přenesená",J361,0)</f>
        <v>0</v>
      </c>
      <c r="FB361" s="137">
        <f>IF(DG361="nulová",J361,0)</f>
        <v>0</v>
      </c>
      <c r="FC361" s="16" t="s">
        <v>81</v>
      </c>
      <c r="FD361" s="137">
        <f>ROUND(I361*H361,2)</f>
        <v>3315.25</v>
      </c>
      <c r="FE361" s="16" t="s">
        <v>95</v>
      </c>
      <c r="FF361" s="136" t="s">
        <v>673</v>
      </c>
    </row>
    <row r="362" spans="2:162" s="1" customFormat="1" ht="19.5" x14ac:dyDescent="0.2">
      <c r="B362" s="31"/>
      <c r="D362" s="138" t="s">
        <v>289</v>
      </c>
      <c r="F362" s="139" t="s">
        <v>672</v>
      </c>
      <c r="I362" s="140"/>
      <c r="L362" s="31"/>
      <c r="N362" s="213"/>
      <c r="O362" s="214"/>
      <c r="Q362" s="229"/>
      <c r="DF362" s="141"/>
      <c r="DM362" s="50"/>
      <c r="EM362" s="16" t="s">
        <v>289</v>
      </c>
      <c r="EN362" s="16" t="s">
        <v>83</v>
      </c>
    </row>
    <row r="363" spans="2:162" s="10" customFormat="1" ht="22.9" customHeight="1" x14ac:dyDescent="0.2">
      <c r="B363" s="112"/>
      <c r="D363" s="113" t="s">
        <v>73</v>
      </c>
      <c r="E363" s="122" t="s">
        <v>335</v>
      </c>
      <c r="F363" s="122" t="s">
        <v>674</v>
      </c>
      <c r="I363" s="115"/>
      <c r="J363" s="123">
        <f>FD363</f>
        <v>5825.11</v>
      </c>
      <c r="L363" s="112"/>
      <c r="M363" s="270">
        <f>M364+M369</f>
        <v>0</v>
      </c>
      <c r="N363" s="301"/>
      <c r="O363" s="302">
        <f t="shared" ref="O363:V363" si="5">O364+O369</f>
        <v>0</v>
      </c>
      <c r="P363" s="270"/>
      <c r="Q363" s="288">
        <f t="shared" si="5"/>
        <v>5825.11</v>
      </c>
      <c r="R363" s="270"/>
      <c r="S363" s="270"/>
      <c r="T363" s="270">
        <f t="shared" si="5"/>
        <v>0</v>
      </c>
      <c r="U363" s="270"/>
      <c r="V363" s="270">
        <f t="shared" si="5"/>
        <v>5825.11</v>
      </c>
      <c r="DF363" s="117"/>
      <c r="DI363" s="118">
        <f>SUM(DI364:DI373)</f>
        <v>0</v>
      </c>
      <c r="DK363" s="118">
        <f>SUM(DK364:DK373)</f>
        <v>5.4000000000000001E-4</v>
      </c>
      <c r="DM363" s="119">
        <f>SUM(DM364:DM373)</f>
        <v>0</v>
      </c>
      <c r="EK363" s="113" t="s">
        <v>81</v>
      </c>
      <c r="EM363" s="120" t="s">
        <v>73</v>
      </c>
      <c r="EN363" s="120" t="s">
        <v>81</v>
      </c>
      <c r="ER363" s="113" t="s">
        <v>282</v>
      </c>
      <c r="FD363" s="121">
        <f>SUM(FD364:FD373)</f>
        <v>5825.11</v>
      </c>
    </row>
    <row r="364" spans="2:162" s="1" customFormat="1" ht="24.2" customHeight="1" x14ac:dyDescent="0.2">
      <c r="B364" s="124"/>
      <c r="C364" s="125" t="s">
        <v>631</v>
      </c>
      <c r="D364" s="125" t="s">
        <v>284</v>
      </c>
      <c r="E364" s="126" t="s">
        <v>682</v>
      </c>
      <c r="F364" s="127" t="s">
        <v>683</v>
      </c>
      <c r="G364" s="128" t="s">
        <v>344</v>
      </c>
      <c r="H364" s="129">
        <v>6</v>
      </c>
      <c r="I364" s="130">
        <v>118.35908321829292</v>
      </c>
      <c r="J364" s="131">
        <f>ROUND(I364*H364,2)</f>
        <v>710.15</v>
      </c>
      <c r="K364" s="127" t="s">
        <v>293</v>
      </c>
      <c r="L364" s="268">
        <f>S364</f>
        <v>0</v>
      </c>
      <c r="M364" s="272">
        <f>ROUND(L364*I364,2)</f>
        <v>0</v>
      </c>
      <c r="N364" s="243"/>
      <c r="O364" s="294">
        <f>ROUND(N364*I364,2)</f>
        <v>0</v>
      </c>
      <c r="P364" s="273">
        <f>H364-L364-N364</f>
        <v>6</v>
      </c>
      <c r="Q364" s="287">
        <f>ROUND(P364*I364,2)</f>
        <v>710.15</v>
      </c>
      <c r="R364" s="137"/>
      <c r="S364" s="269">
        <f>W364+Y364+AA364+AC364+AE364+AG364+AI364+AK364+AM364+AO364+AQ364+AS364+AU364+AW364</f>
        <v>0</v>
      </c>
      <c r="T364" s="269">
        <f>ROUND(S364*I364,2)</f>
        <v>0</v>
      </c>
      <c r="U364" s="269">
        <f>H364-S364</f>
        <v>6</v>
      </c>
      <c r="V364" s="269">
        <f>ROUND(U364*I364,2)</f>
        <v>710.15</v>
      </c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AG364" s="269"/>
      <c r="AH364" s="269"/>
      <c r="AI364" s="269"/>
      <c r="AJ364" s="269"/>
      <c r="AK364" s="269"/>
      <c r="AL364" s="269"/>
      <c r="AM364" s="269"/>
      <c r="AN364" s="269"/>
      <c r="AO364" s="269"/>
      <c r="AP364" s="269"/>
      <c r="AQ364" s="269"/>
      <c r="AR364" s="269"/>
      <c r="AS364" s="269"/>
      <c r="AT364" s="269"/>
      <c r="AU364" s="269"/>
      <c r="AV364" s="269"/>
      <c r="AW364" s="269"/>
      <c r="AX364" s="269"/>
      <c r="DF364" s="132" t="s">
        <v>1</v>
      </c>
      <c r="DG364" s="133" t="s">
        <v>40</v>
      </c>
      <c r="DI364" s="134">
        <f>DH364*H364</f>
        <v>0</v>
      </c>
      <c r="DJ364" s="134">
        <v>9.0000000000000006E-5</v>
      </c>
      <c r="DK364" s="134">
        <f>DJ364*H364</f>
        <v>5.4000000000000001E-4</v>
      </c>
      <c r="DL364" s="134">
        <v>0</v>
      </c>
      <c r="DM364" s="135">
        <f>DL364*H364</f>
        <v>0</v>
      </c>
      <c r="EK364" s="136" t="s">
        <v>95</v>
      </c>
      <c r="EM364" s="136" t="s">
        <v>284</v>
      </c>
      <c r="EN364" s="136" t="s">
        <v>83</v>
      </c>
      <c r="ER364" s="16" t="s">
        <v>282</v>
      </c>
      <c r="EX364" s="137">
        <f>IF(DG364="základní",J364,0)</f>
        <v>710.15</v>
      </c>
      <c r="EY364" s="137">
        <f>IF(DG364="snížená",J364,0)</f>
        <v>0</v>
      </c>
      <c r="EZ364" s="137">
        <f>IF(DG364="zákl. přenesená",J364,0)</f>
        <v>0</v>
      </c>
      <c r="FA364" s="137">
        <f>IF(DG364="sníž. přenesená",J364,0)</f>
        <v>0</v>
      </c>
      <c r="FB364" s="137">
        <f>IF(DG364="nulová",J364,0)</f>
        <v>0</v>
      </c>
      <c r="FC364" s="16" t="s">
        <v>81</v>
      </c>
      <c r="FD364" s="137">
        <f>ROUND(I364*H364,2)</f>
        <v>710.15</v>
      </c>
      <c r="FE364" s="16" t="s">
        <v>95</v>
      </c>
      <c r="FF364" s="136" t="s">
        <v>684</v>
      </c>
    </row>
    <row r="365" spans="2:162" s="1" customFormat="1" ht="39" x14ac:dyDescent="0.2">
      <c r="B365" s="31"/>
      <c r="D365" s="138" t="s">
        <v>289</v>
      </c>
      <c r="F365" s="139" t="s">
        <v>685</v>
      </c>
      <c r="I365" s="140"/>
      <c r="L365" s="31"/>
      <c r="N365" s="213"/>
      <c r="O365" s="214"/>
      <c r="Q365" s="229"/>
      <c r="DF365" s="141"/>
      <c r="DM365" s="50"/>
      <c r="EM365" s="16" t="s">
        <v>289</v>
      </c>
      <c r="EN365" s="16" t="s">
        <v>83</v>
      </c>
    </row>
    <row r="366" spans="2:162" s="1" customFormat="1" ht="19.5" x14ac:dyDescent="0.2">
      <c r="B366" s="31"/>
      <c r="D366" s="138" t="s">
        <v>299</v>
      </c>
      <c r="F366" s="142" t="s">
        <v>317</v>
      </c>
      <c r="I366" s="140"/>
      <c r="L366" s="31"/>
      <c r="N366" s="213"/>
      <c r="O366" s="214"/>
      <c r="Q366" s="229"/>
      <c r="DF366" s="141"/>
      <c r="DM366" s="50"/>
      <c r="EM366" s="16" t="s">
        <v>299</v>
      </c>
      <c r="EN366" s="16" t="s">
        <v>83</v>
      </c>
    </row>
    <row r="367" spans="2:162" s="11" customFormat="1" x14ac:dyDescent="0.2">
      <c r="B367" s="143"/>
      <c r="D367" s="138" t="s">
        <v>301</v>
      </c>
      <c r="E367" s="144" t="s">
        <v>1</v>
      </c>
      <c r="F367" s="145" t="s">
        <v>686</v>
      </c>
      <c r="H367" s="144" t="s">
        <v>1</v>
      </c>
      <c r="I367" s="146"/>
      <c r="L367" s="143"/>
      <c r="N367" s="215"/>
      <c r="O367" s="216"/>
      <c r="Q367" s="230"/>
      <c r="DF367" s="147"/>
      <c r="DM367" s="148"/>
      <c r="EM367" s="144" t="s">
        <v>301</v>
      </c>
      <c r="EN367" s="144" t="s">
        <v>83</v>
      </c>
      <c r="EO367" s="11" t="s">
        <v>81</v>
      </c>
      <c r="EP367" s="11" t="s">
        <v>32</v>
      </c>
      <c r="EQ367" s="11" t="s">
        <v>74</v>
      </c>
      <c r="ER367" s="144" t="s">
        <v>282</v>
      </c>
    </row>
    <row r="368" spans="2:162" s="12" customFormat="1" x14ac:dyDescent="0.2">
      <c r="B368" s="149"/>
      <c r="D368" s="138" t="s">
        <v>301</v>
      </c>
      <c r="E368" s="150" t="s">
        <v>1</v>
      </c>
      <c r="F368" s="151" t="s">
        <v>837</v>
      </c>
      <c r="H368" s="152">
        <v>6</v>
      </c>
      <c r="I368" s="153"/>
      <c r="L368" s="149"/>
      <c r="N368" s="217"/>
      <c r="O368" s="218"/>
      <c r="Q368" s="231"/>
      <c r="DF368" s="154"/>
      <c r="DM368" s="155"/>
      <c r="EM368" s="150" t="s">
        <v>301</v>
      </c>
      <c r="EN368" s="150" t="s">
        <v>83</v>
      </c>
      <c r="EO368" s="12" t="s">
        <v>83</v>
      </c>
      <c r="EP368" s="12" t="s">
        <v>32</v>
      </c>
      <c r="EQ368" s="12" t="s">
        <v>81</v>
      </c>
      <c r="ER368" s="150" t="s">
        <v>282</v>
      </c>
    </row>
    <row r="369" spans="2:162" s="1" customFormat="1" ht="14.45" customHeight="1" x14ac:dyDescent="0.2">
      <c r="B369" s="124"/>
      <c r="C369" s="125" t="s">
        <v>635</v>
      </c>
      <c r="D369" s="125" t="s">
        <v>284</v>
      </c>
      <c r="E369" s="126" t="s">
        <v>689</v>
      </c>
      <c r="F369" s="127" t="s">
        <v>690</v>
      </c>
      <c r="G369" s="128" t="s">
        <v>315</v>
      </c>
      <c r="H369" s="129">
        <v>3</v>
      </c>
      <c r="I369" s="130">
        <v>1704.9882600000001</v>
      </c>
      <c r="J369" s="131">
        <f>ROUND(I369*H369,2)</f>
        <v>5114.96</v>
      </c>
      <c r="K369" s="127" t="s">
        <v>1</v>
      </c>
      <c r="L369" s="268">
        <f>S369</f>
        <v>0</v>
      </c>
      <c r="M369" s="272">
        <f>ROUND(L369*I369,2)</f>
        <v>0</v>
      </c>
      <c r="N369" s="243"/>
      <c r="O369" s="294">
        <f>ROUND(N369*I369,2)</f>
        <v>0</v>
      </c>
      <c r="P369" s="273">
        <f>H369-L369-N369</f>
        <v>3</v>
      </c>
      <c r="Q369" s="287">
        <f>ROUND(P369*I369,2)</f>
        <v>5114.96</v>
      </c>
      <c r="R369" s="137"/>
      <c r="S369" s="269">
        <f>W369+Y369+AA369+AC369+AE369+AG369+AI369+AK369+AM369+AO369+AQ369+AS369+AU369+AW369</f>
        <v>0</v>
      </c>
      <c r="T369" s="269">
        <f>ROUND(S369*I369,2)</f>
        <v>0</v>
      </c>
      <c r="U369" s="269">
        <f>H369-S369</f>
        <v>3</v>
      </c>
      <c r="V369" s="269">
        <f>ROUND(U369*I369,2)</f>
        <v>5114.96</v>
      </c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  <c r="AL369" s="269"/>
      <c r="AM369" s="269"/>
      <c r="AN369" s="269"/>
      <c r="AO369" s="269"/>
      <c r="AP369" s="269"/>
      <c r="AQ369" s="269"/>
      <c r="AR369" s="269"/>
      <c r="AS369" s="269"/>
      <c r="AT369" s="269"/>
      <c r="AU369" s="269"/>
      <c r="AV369" s="269"/>
      <c r="AW369" s="269"/>
      <c r="AX369" s="269"/>
      <c r="DF369" s="132" t="s">
        <v>1</v>
      </c>
      <c r="DG369" s="133" t="s">
        <v>40</v>
      </c>
      <c r="DI369" s="134">
        <f>DH369*H369</f>
        <v>0</v>
      </c>
      <c r="DJ369" s="134">
        <v>0</v>
      </c>
      <c r="DK369" s="134">
        <f>DJ369*H369</f>
        <v>0</v>
      </c>
      <c r="DL369" s="134">
        <v>0</v>
      </c>
      <c r="DM369" s="135">
        <f>DL369*H369</f>
        <v>0</v>
      </c>
      <c r="EK369" s="136" t="s">
        <v>95</v>
      </c>
      <c r="EM369" s="136" t="s">
        <v>284</v>
      </c>
      <c r="EN369" s="136" t="s">
        <v>83</v>
      </c>
      <c r="ER369" s="16" t="s">
        <v>282</v>
      </c>
      <c r="EX369" s="137">
        <f>IF(DG369="základní",J369,0)</f>
        <v>5114.96</v>
      </c>
      <c r="EY369" s="137">
        <f>IF(DG369="snížená",J369,0)</f>
        <v>0</v>
      </c>
      <c r="EZ369" s="137">
        <f>IF(DG369="zákl. přenesená",J369,0)</f>
        <v>0</v>
      </c>
      <c r="FA369" s="137">
        <f>IF(DG369="sníž. přenesená",J369,0)</f>
        <v>0</v>
      </c>
      <c r="FB369" s="137">
        <f>IF(DG369="nulová",J369,0)</f>
        <v>0</v>
      </c>
      <c r="FC369" s="16" t="s">
        <v>81</v>
      </c>
      <c r="FD369" s="137">
        <f>ROUND(I369*H369,2)</f>
        <v>5114.96</v>
      </c>
      <c r="FE369" s="16" t="s">
        <v>95</v>
      </c>
      <c r="FF369" s="136" t="s">
        <v>691</v>
      </c>
    </row>
    <row r="370" spans="2:162" s="1" customFormat="1" ht="48.75" x14ac:dyDescent="0.2">
      <c r="B370" s="31"/>
      <c r="D370" s="138" t="s">
        <v>289</v>
      </c>
      <c r="F370" s="139" t="s">
        <v>692</v>
      </c>
      <c r="I370" s="140"/>
      <c r="L370" s="31"/>
      <c r="N370" s="213"/>
      <c r="O370" s="214"/>
      <c r="Q370" s="229"/>
      <c r="DF370" s="141"/>
      <c r="DM370" s="50"/>
      <c r="EM370" s="16" t="s">
        <v>289</v>
      </c>
      <c r="EN370" s="16" t="s">
        <v>83</v>
      </c>
    </row>
    <row r="371" spans="2:162" s="1" customFormat="1" ht="19.5" x14ac:dyDescent="0.2">
      <c r="B371" s="31"/>
      <c r="D371" s="138" t="s">
        <v>299</v>
      </c>
      <c r="F371" s="142" t="s">
        <v>693</v>
      </c>
      <c r="I371" s="140"/>
      <c r="L371" s="31"/>
      <c r="N371" s="213"/>
      <c r="O371" s="214"/>
      <c r="Q371" s="229"/>
      <c r="DF371" s="141"/>
      <c r="DM371" s="50"/>
      <c r="EM371" s="16" t="s">
        <v>299</v>
      </c>
      <c r="EN371" s="16" t="s">
        <v>83</v>
      </c>
    </row>
    <row r="372" spans="2:162" s="11" customFormat="1" x14ac:dyDescent="0.2">
      <c r="B372" s="143"/>
      <c r="D372" s="138" t="s">
        <v>301</v>
      </c>
      <c r="E372" s="144" t="s">
        <v>1</v>
      </c>
      <c r="F372" s="145" t="s">
        <v>694</v>
      </c>
      <c r="H372" s="144" t="s">
        <v>1</v>
      </c>
      <c r="I372" s="146"/>
      <c r="L372" s="143"/>
      <c r="N372" s="215"/>
      <c r="O372" s="216"/>
      <c r="Q372" s="230"/>
      <c r="DF372" s="147"/>
      <c r="DM372" s="148"/>
      <c r="EM372" s="144" t="s">
        <v>301</v>
      </c>
      <c r="EN372" s="144" t="s">
        <v>83</v>
      </c>
      <c r="EO372" s="11" t="s">
        <v>81</v>
      </c>
      <c r="EP372" s="11" t="s">
        <v>32</v>
      </c>
      <c r="EQ372" s="11" t="s">
        <v>74</v>
      </c>
      <c r="ER372" s="144" t="s">
        <v>282</v>
      </c>
    </row>
    <row r="373" spans="2:162" s="12" customFormat="1" x14ac:dyDescent="0.2">
      <c r="B373" s="149"/>
      <c r="D373" s="138" t="s">
        <v>301</v>
      </c>
      <c r="E373" s="150" t="s">
        <v>1</v>
      </c>
      <c r="F373" s="151" t="s">
        <v>90</v>
      </c>
      <c r="H373" s="152">
        <v>3</v>
      </c>
      <c r="I373" s="153"/>
      <c r="L373" s="149"/>
      <c r="N373" s="217"/>
      <c r="O373" s="218"/>
      <c r="Q373" s="231"/>
      <c r="DF373" s="154"/>
      <c r="DM373" s="155"/>
      <c r="EM373" s="150" t="s">
        <v>301</v>
      </c>
      <c r="EN373" s="150" t="s">
        <v>83</v>
      </c>
      <c r="EO373" s="12" t="s">
        <v>83</v>
      </c>
      <c r="EP373" s="12" t="s">
        <v>32</v>
      </c>
      <c r="EQ373" s="12" t="s">
        <v>81</v>
      </c>
      <c r="ER373" s="150" t="s">
        <v>282</v>
      </c>
    </row>
    <row r="374" spans="2:162" s="10" customFormat="1" ht="22.9" customHeight="1" x14ac:dyDescent="0.2">
      <c r="B374" s="112"/>
      <c r="D374" s="113" t="s">
        <v>73</v>
      </c>
      <c r="E374" s="122" t="s">
        <v>695</v>
      </c>
      <c r="F374" s="122" t="s">
        <v>696</v>
      </c>
      <c r="I374" s="115"/>
      <c r="J374" s="123">
        <f>FD374</f>
        <v>39452.42</v>
      </c>
      <c r="L374" s="112"/>
      <c r="M374" s="270">
        <f>SUM(M375:M392)</f>
        <v>0</v>
      </c>
      <c r="N374" s="301"/>
      <c r="O374" s="302">
        <f>SUM(O375:O392)</f>
        <v>2169.89</v>
      </c>
      <c r="P374" s="270"/>
      <c r="Q374" s="288">
        <f>SUM(Q375:Q392)</f>
        <v>37282.54</v>
      </c>
      <c r="R374" s="270"/>
      <c r="S374" s="270"/>
      <c r="T374" s="270">
        <f>SUM(T375:T392)</f>
        <v>0</v>
      </c>
      <c r="U374" s="270"/>
      <c r="V374" s="270">
        <f>SUM(V375:V392)</f>
        <v>39452.42</v>
      </c>
      <c r="DF374" s="117"/>
      <c r="DI374" s="118">
        <f>SUM(DI375:DI394)</f>
        <v>0</v>
      </c>
      <c r="DK374" s="118">
        <f>SUM(DK375:DK394)</f>
        <v>0</v>
      </c>
      <c r="DM374" s="119">
        <f>SUM(DM375:DM394)</f>
        <v>0</v>
      </c>
      <c r="EK374" s="113" t="s">
        <v>81</v>
      </c>
      <c r="EM374" s="120" t="s">
        <v>73</v>
      </c>
      <c r="EN374" s="120" t="s">
        <v>81</v>
      </c>
      <c r="ER374" s="113" t="s">
        <v>282</v>
      </c>
      <c r="FD374" s="121">
        <f>SUM(FD375:FD394)</f>
        <v>39452.42</v>
      </c>
    </row>
    <row r="375" spans="2:162" s="1" customFormat="1" ht="14.45" customHeight="1" x14ac:dyDescent="0.2">
      <c r="B375" s="124"/>
      <c r="C375" s="125" t="s">
        <v>639</v>
      </c>
      <c r="D375" s="125" t="s">
        <v>284</v>
      </c>
      <c r="E375" s="126" t="s">
        <v>698</v>
      </c>
      <c r="F375" s="127" t="s">
        <v>699</v>
      </c>
      <c r="G375" s="128" t="s">
        <v>418</v>
      </c>
      <c r="H375" s="129">
        <v>101.56100000000001</v>
      </c>
      <c r="I375" s="130">
        <v>40.477390926043419</v>
      </c>
      <c r="J375" s="131">
        <f>ROUND(I375*H375,2)</f>
        <v>4110.92</v>
      </c>
      <c r="K375" s="127" t="s">
        <v>293</v>
      </c>
      <c r="L375" s="268">
        <f>S375</f>
        <v>0</v>
      </c>
      <c r="M375" s="272">
        <f>ROUND(L375*I375,2)</f>
        <v>0</v>
      </c>
      <c r="N375" s="243">
        <f>N378</f>
        <v>5.5858549999999951</v>
      </c>
      <c r="O375" s="294">
        <f>ROUND(N375*I375,2)</f>
        <v>226.1</v>
      </c>
      <c r="P375" s="273">
        <f>H375-L375-N375</f>
        <v>95.975145000000012</v>
      </c>
      <c r="Q375" s="287">
        <f>ROUND(P375*I375,2)</f>
        <v>3884.82</v>
      </c>
      <c r="R375" s="137"/>
      <c r="S375" s="269">
        <f>W375+Y375+AA375+AC375+AE375+AG375+AI375+AK375+AM375+AO375+AQ375+AS375+AU375+AW375</f>
        <v>0</v>
      </c>
      <c r="T375" s="269">
        <f>ROUND(S375*I375,2)</f>
        <v>0</v>
      </c>
      <c r="U375" s="269">
        <f>H375-S375</f>
        <v>101.56100000000001</v>
      </c>
      <c r="V375" s="269">
        <f>ROUND(U375*I375,2)</f>
        <v>4110.92</v>
      </c>
      <c r="W375" s="269"/>
      <c r="X375" s="269"/>
      <c r="Y375" s="269"/>
      <c r="Z375" s="269"/>
      <c r="AA375" s="269"/>
      <c r="AB375" s="269"/>
      <c r="AC375" s="269"/>
      <c r="AD375" s="269"/>
      <c r="AE375" s="269"/>
      <c r="AF375" s="269"/>
      <c r="AG375" s="269"/>
      <c r="AH375" s="269"/>
      <c r="AI375" s="269"/>
      <c r="AJ375" s="269"/>
      <c r="AK375" s="269"/>
      <c r="AL375" s="269"/>
      <c r="AM375" s="269"/>
      <c r="AN375" s="269"/>
      <c r="AO375" s="269"/>
      <c r="AP375" s="269"/>
      <c r="AQ375" s="269"/>
      <c r="AR375" s="269"/>
      <c r="AS375" s="269"/>
      <c r="AT375" s="269"/>
      <c r="AU375" s="269"/>
      <c r="AV375" s="269"/>
      <c r="AW375" s="269"/>
      <c r="AX375" s="269"/>
      <c r="DF375" s="132" t="s">
        <v>1</v>
      </c>
      <c r="DG375" s="133" t="s">
        <v>40</v>
      </c>
      <c r="DI375" s="134">
        <f>DH375*H375</f>
        <v>0</v>
      </c>
      <c r="DJ375" s="134">
        <v>0</v>
      </c>
      <c r="DK375" s="134">
        <f>DJ375*H375</f>
        <v>0</v>
      </c>
      <c r="DL375" s="134">
        <v>0</v>
      </c>
      <c r="DM375" s="135">
        <f>DL375*H375</f>
        <v>0</v>
      </c>
      <c r="EK375" s="136" t="s">
        <v>95</v>
      </c>
      <c r="EM375" s="136" t="s">
        <v>284</v>
      </c>
      <c r="EN375" s="136" t="s">
        <v>83</v>
      </c>
      <c r="ER375" s="16" t="s">
        <v>282</v>
      </c>
      <c r="EX375" s="137">
        <f>IF(DG375="základní",J375,0)</f>
        <v>4110.92</v>
      </c>
      <c r="EY375" s="137">
        <f>IF(DG375="snížená",J375,0)</f>
        <v>0</v>
      </c>
      <c r="EZ375" s="137">
        <f>IF(DG375="zákl. přenesená",J375,0)</f>
        <v>0</v>
      </c>
      <c r="FA375" s="137">
        <f>IF(DG375="sníž. přenesená",J375,0)</f>
        <v>0</v>
      </c>
      <c r="FB375" s="137">
        <f>IF(DG375="nulová",J375,0)</f>
        <v>0</v>
      </c>
      <c r="FC375" s="16" t="s">
        <v>81</v>
      </c>
      <c r="FD375" s="137">
        <f>ROUND(I375*H375,2)</f>
        <v>4110.92</v>
      </c>
      <c r="FE375" s="16" t="s">
        <v>95</v>
      </c>
      <c r="FF375" s="136" t="s">
        <v>700</v>
      </c>
    </row>
    <row r="376" spans="2:162" s="1" customFormat="1" ht="19.5" x14ac:dyDescent="0.2">
      <c r="B376" s="31"/>
      <c r="D376" s="138" t="s">
        <v>289</v>
      </c>
      <c r="F376" s="139" t="s">
        <v>701</v>
      </c>
      <c r="I376" s="140"/>
      <c r="L376" s="31"/>
      <c r="N376" s="213"/>
      <c r="O376" s="214"/>
      <c r="Q376" s="229"/>
      <c r="DF376" s="141"/>
      <c r="DM376" s="50"/>
      <c r="EM376" s="16" t="s">
        <v>289</v>
      </c>
      <c r="EN376" s="16" t="s">
        <v>83</v>
      </c>
    </row>
    <row r="377" spans="2:162" s="12" customFormat="1" x14ac:dyDescent="0.2">
      <c r="B377" s="149"/>
      <c r="D377" s="138" t="s">
        <v>301</v>
      </c>
      <c r="E377" s="150" t="s">
        <v>1</v>
      </c>
      <c r="F377" s="151" t="s">
        <v>838</v>
      </c>
      <c r="H377" s="152">
        <v>74.164000000000001</v>
      </c>
      <c r="I377" s="153"/>
      <c r="L377" s="149"/>
      <c r="N377" s="217">
        <f>1.055*101.561</f>
        <v>107.146855</v>
      </c>
      <c r="O377" s="218" t="s">
        <v>3858</v>
      </c>
      <c r="Q377" s="231"/>
      <c r="DF377" s="154"/>
      <c r="DM377" s="155"/>
      <c r="EM377" s="150" t="s">
        <v>301</v>
      </c>
      <c r="EN377" s="150" t="s">
        <v>83</v>
      </c>
      <c r="EO377" s="12" t="s">
        <v>83</v>
      </c>
      <c r="EP377" s="12" t="s">
        <v>32</v>
      </c>
      <c r="EQ377" s="12" t="s">
        <v>74</v>
      </c>
      <c r="ER377" s="150" t="s">
        <v>282</v>
      </c>
    </row>
    <row r="378" spans="2:162" s="12" customFormat="1" x14ac:dyDescent="0.2">
      <c r="B378" s="149"/>
      <c r="D378" s="138" t="s">
        <v>301</v>
      </c>
      <c r="E378" s="150" t="s">
        <v>1</v>
      </c>
      <c r="F378" s="151" t="s">
        <v>839</v>
      </c>
      <c r="H378" s="152">
        <v>27.396999999999998</v>
      </c>
      <c r="I378" s="153"/>
      <c r="L378" s="149"/>
      <c r="N378" s="310">
        <f>N377-H379</f>
        <v>5.5858549999999951</v>
      </c>
      <c r="O378" s="218"/>
      <c r="Q378" s="231"/>
      <c r="DF378" s="154"/>
      <c r="DM378" s="155"/>
      <c r="EM378" s="150" t="s">
        <v>301</v>
      </c>
      <c r="EN378" s="150" t="s">
        <v>83</v>
      </c>
      <c r="EO378" s="12" t="s">
        <v>83</v>
      </c>
      <c r="EP378" s="12" t="s">
        <v>32</v>
      </c>
      <c r="EQ378" s="12" t="s">
        <v>74</v>
      </c>
      <c r="ER378" s="150" t="s">
        <v>282</v>
      </c>
    </row>
    <row r="379" spans="2:162" s="13" customFormat="1" x14ac:dyDescent="0.2">
      <c r="B379" s="156"/>
      <c r="D379" s="138" t="s">
        <v>301</v>
      </c>
      <c r="E379" s="157" t="s">
        <v>1</v>
      </c>
      <c r="F379" s="158" t="s">
        <v>305</v>
      </c>
      <c r="H379" s="159">
        <v>101.56100000000001</v>
      </c>
      <c r="I379" s="160"/>
      <c r="L379" s="156"/>
      <c r="N379" s="219"/>
      <c r="O379" s="220"/>
      <c r="Q379" s="232"/>
      <c r="DF379" s="161"/>
      <c r="DM379" s="162"/>
      <c r="EM379" s="157" t="s">
        <v>301</v>
      </c>
      <c r="EN379" s="157" t="s">
        <v>83</v>
      </c>
      <c r="EO379" s="13" t="s">
        <v>95</v>
      </c>
      <c r="EP379" s="13" t="s">
        <v>32</v>
      </c>
      <c r="EQ379" s="13" t="s">
        <v>81</v>
      </c>
      <c r="ER379" s="157" t="s">
        <v>282</v>
      </c>
    </row>
    <row r="380" spans="2:162" s="1" customFormat="1" ht="24.2" customHeight="1" x14ac:dyDescent="0.2">
      <c r="B380" s="124"/>
      <c r="C380" s="125" t="s">
        <v>643</v>
      </c>
      <c r="D380" s="125" t="s">
        <v>284</v>
      </c>
      <c r="E380" s="126" t="s">
        <v>705</v>
      </c>
      <c r="F380" s="127" t="s">
        <v>706</v>
      </c>
      <c r="G380" s="128" t="s">
        <v>418</v>
      </c>
      <c r="H380" s="129">
        <v>1421.854</v>
      </c>
      <c r="I380" s="130">
        <v>3.1192340975392101</v>
      </c>
      <c r="J380" s="131">
        <f>ROUND(I380*H380,2)</f>
        <v>4435.1000000000004</v>
      </c>
      <c r="K380" s="127" t="s">
        <v>293</v>
      </c>
      <c r="L380" s="268">
        <f>S380</f>
        <v>0</v>
      </c>
      <c r="M380" s="272">
        <f>ROUND(L380*I380,2)</f>
        <v>0</v>
      </c>
      <c r="N380" s="243">
        <f>N384</f>
        <v>78.201969999999847</v>
      </c>
      <c r="O380" s="294">
        <f>ROUND(N380*I380,2)</f>
        <v>243.93</v>
      </c>
      <c r="P380" s="273">
        <f>H380-L380-N380</f>
        <v>1343.6520300000002</v>
      </c>
      <c r="Q380" s="287">
        <f>ROUND(P380*I380,2)</f>
        <v>4191.17</v>
      </c>
      <c r="R380" s="137"/>
      <c r="S380" s="269">
        <f>W380+Y380+AA380+AC380+AE380+AG380+AI380+AK380+AM380+AO380+AQ380+AS380+AU380+AW380</f>
        <v>0</v>
      </c>
      <c r="T380" s="269">
        <f>ROUND(S380*I380,2)</f>
        <v>0</v>
      </c>
      <c r="U380" s="269">
        <f>H380-S380</f>
        <v>1421.854</v>
      </c>
      <c r="V380" s="269">
        <f>ROUND(U380*I380,2)</f>
        <v>4435.1000000000004</v>
      </c>
      <c r="W380" s="269"/>
      <c r="X380" s="269"/>
      <c r="Y380" s="269"/>
      <c r="Z380" s="269"/>
      <c r="AA380" s="269"/>
      <c r="AB380" s="269"/>
      <c r="AC380" s="269"/>
      <c r="AD380" s="269"/>
      <c r="AE380" s="269"/>
      <c r="AF380" s="269"/>
      <c r="AG380" s="269"/>
      <c r="AH380" s="269"/>
      <c r="AI380" s="269"/>
      <c r="AJ380" s="269"/>
      <c r="AK380" s="269"/>
      <c r="AL380" s="269"/>
      <c r="AM380" s="269"/>
      <c r="AN380" s="269"/>
      <c r="AO380" s="269"/>
      <c r="AP380" s="269"/>
      <c r="AQ380" s="269"/>
      <c r="AR380" s="269"/>
      <c r="AS380" s="269"/>
      <c r="AT380" s="269"/>
      <c r="AU380" s="269"/>
      <c r="AV380" s="269"/>
      <c r="AW380" s="269"/>
      <c r="AX380" s="269"/>
      <c r="DF380" s="132" t="s">
        <v>1</v>
      </c>
      <c r="DG380" s="133" t="s">
        <v>40</v>
      </c>
      <c r="DI380" s="134">
        <f>DH380*H380</f>
        <v>0</v>
      </c>
      <c r="DJ380" s="134">
        <v>0</v>
      </c>
      <c r="DK380" s="134">
        <f>DJ380*H380</f>
        <v>0</v>
      </c>
      <c r="DL380" s="134">
        <v>0</v>
      </c>
      <c r="DM380" s="135">
        <f>DL380*H380</f>
        <v>0</v>
      </c>
      <c r="EK380" s="136" t="s">
        <v>95</v>
      </c>
      <c r="EM380" s="136" t="s">
        <v>284</v>
      </c>
      <c r="EN380" s="136" t="s">
        <v>83</v>
      </c>
      <c r="ER380" s="16" t="s">
        <v>282</v>
      </c>
      <c r="EX380" s="137">
        <f>IF(DG380="základní",J380,0)</f>
        <v>4435.1000000000004</v>
      </c>
      <c r="EY380" s="137">
        <f>IF(DG380="snížená",J380,0)</f>
        <v>0</v>
      </c>
      <c r="EZ380" s="137">
        <f>IF(DG380="zákl. přenesená",J380,0)</f>
        <v>0</v>
      </c>
      <c r="FA380" s="137">
        <f>IF(DG380="sníž. přenesená",J380,0)</f>
        <v>0</v>
      </c>
      <c r="FB380" s="137">
        <f>IF(DG380="nulová",J380,0)</f>
        <v>0</v>
      </c>
      <c r="FC380" s="16" t="s">
        <v>81</v>
      </c>
      <c r="FD380" s="137">
        <f>ROUND(I380*H380,2)</f>
        <v>4435.1000000000004</v>
      </c>
      <c r="FE380" s="16" t="s">
        <v>95</v>
      </c>
      <c r="FF380" s="136" t="s">
        <v>707</v>
      </c>
    </row>
    <row r="381" spans="2:162" s="1" customFormat="1" ht="29.25" x14ac:dyDescent="0.2">
      <c r="B381" s="31"/>
      <c r="D381" s="138" t="s">
        <v>289</v>
      </c>
      <c r="F381" s="139" t="s">
        <v>708</v>
      </c>
      <c r="I381" s="140"/>
      <c r="L381" s="31"/>
      <c r="N381" s="213"/>
      <c r="O381" s="214"/>
      <c r="Q381" s="229"/>
      <c r="DF381" s="141"/>
      <c r="DM381" s="50"/>
      <c r="EM381" s="16" t="s">
        <v>289</v>
      </c>
      <c r="EN381" s="16" t="s">
        <v>83</v>
      </c>
    </row>
    <row r="382" spans="2:162" s="12" customFormat="1" x14ac:dyDescent="0.2">
      <c r="B382" s="149"/>
      <c r="D382" s="138" t="s">
        <v>301</v>
      </c>
      <c r="E382" s="150" t="s">
        <v>1</v>
      </c>
      <c r="F382" s="151" t="s">
        <v>838</v>
      </c>
      <c r="H382" s="152">
        <v>74.164000000000001</v>
      </c>
      <c r="I382" s="153"/>
      <c r="L382" s="149"/>
      <c r="N382" s="217"/>
      <c r="O382" s="218"/>
      <c r="Q382" s="231"/>
      <c r="DF382" s="154"/>
      <c r="DM382" s="155"/>
      <c r="EM382" s="150" t="s">
        <v>301</v>
      </c>
      <c r="EN382" s="150" t="s">
        <v>83</v>
      </c>
      <c r="EO382" s="12" t="s">
        <v>83</v>
      </c>
      <c r="EP382" s="12" t="s">
        <v>32</v>
      </c>
      <c r="EQ382" s="12" t="s">
        <v>74</v>
      </c>
      <c r="ER382" s="150" t="s">
        <v>282</v>
      </c>
    </row>
    <row r="383" spans="2:162" s="12" customFormat="1" x14ac:dyDescent="0.2">
      <c r="B383" s="149"/>
      <c r="D383" s="138" t="s">
        <v>301</v>
      </c>
      <c r="E383" s="150" t="s">
        <v>1</v>
      </c>
      <c r="F383" s="151" t="s">
        <v>839</v>
      </c>
      <c r="H383" s="152">
        <v>27.396999999999998</v>
      </c>
      <c r="I383" s="153"/>
      <c r="L383" s="149"/>
      <c r="N383" s="217">
        <f>1.055*1421.854</f>
        <v>1500.0559699999999</v>
      </c>
      <c r="O383" s="218" t="s">
        <v>3859</v>
      </c>
      <c r="Q383" s="231"/>
      <c r="DF383" s="154"/>
      <c r="DM383" s="155"/>
      <c r="EM383" s="150" t="s">
        <v>301</v>
      </c>
      <c r="EN383" s="150" t="s">
        <v>83</v>
      </c>
      <c r="EO383" s="12" t="s">
        <v>83</v>
      </c>
      <c r="EP383" s="12" t="s">
        <v>32</v>
      </c>
      <c r="EQ383" s="12" t="s">
        <v>74</v>
      </c>
      <c r="ER383" s="150" t="s">
        <v>282</v>
      </c>
    </row>
    <row r="384" spans="2:162" s="13" customFormat="1" x14ac:dyDescent="0.2">
      <c r="B384" s="156"/>
      <c r="D384" s="138" t="s">
        <v>301</v>
      </c>
      <c r="E384" s="157" t="s">
        <v>1</v>
      </c>
      <c r="F384" s="158" t="s">
        <v>305</v>
      </c>
      <c r="H384" s="159">
        <v>101.56100000000001</v>
      </c>
      <c r="I384" s="160"/>
      <c r="L384" s="156"/>
      <c r="N384" s="311">
        <f>N383-H385</f>
        <v>78.201969999999847</v>
      </c>
      <c r="O384" s="220"/>
      <c r="Q384" s="232"/>
      <c r="DF384" s="161"/>
      <c r="DM384" s="162"/>
      <c r="EM384" s="157" t="s">
        <v>301</v>
      </c>
      <c r="EN384" s="157" t="s">
        <v>83</v>
      </c>
      <c r="EO384" s="13" t="s">
        <v>95</v>
      </c>
      <c r="EP384" s="13" t="s">
        <v>32</v>
      </c>
      <c r="EQ384" s="13" t="s">
        <v>81</v>
      </c>
      <c r="ER384" s="157" t="s">
        <v>282</v>
      </c>
    </row>
    <row r="385" spans="2:162" s="12" customFormat="1" x14ac:dyDescent="0.2">
      <c r="B385" s="149"/>
      <c r="D385" s="138" t="s">
        <v>301</v>
      </c>
      <c r="F385" s="151" t="s">
        <v>840</v>
      </c>
      <c r="H385" s="152">
        <v>1421.854</v>
      </c>
      <c r="I385" s="153"/>
      <c r="L385" s="149"/>
      <c r="N385" s="217"/>
      <c r="O385" s="218"/>
      <c r="Q385" s="231"/>
      <c r="DF385" s="154"/>
      <c r="DM385" s="155"/>
      <c r="EM385" s="150" t="s">
        <v>301</v>
      </c>
      <c r="EN385" s="150" t="s">
        <v>83</v>
      </c>
      <c r="EO385" s="12" t="s">
        <v>83</v>
      </c>
      <c r="EP385" s="12" t="s">
        <v>3</v>
      </c>
      <c r="EQ385" s="12" t="s">
        <v>81</v>
      </c>
      <c r="ER385" s="150" t="s">
        <v>282</v>
      </c>
    </row>
    <row r="386" spans="2:162" s="1" customFormat="1" ht="24.2" customHeight="1" x14ac:dyDescent="0.2">
      <c r="B386" s="124"/>
      <c r="C386" s="125" t="s">
        <v>650</v>
      </c>
      <c r="D386" s="125" t="s">
        <v>284</v>
      </c>
      <c r="E386" s="126" t="s">
        <v>711</v>
      </c>
      <c r="F386" s="127" t="s">
        <v>712</v>
      </c>
      <c r="G386" s="128" t="s">
        <v>418</v>
      </c>
      <c r="H386" s="129">
        <v>101.56100000000001</v>
      </c>
      <c r="I386" s="130">
        <v>155.98322812074767</v>
      </c>
      <c r="J386" s="131">
        <f>ROUND(I386*H386,2)</f>
        <v>15841.81</v>
      </c>
      <c r="K386" s="127" t="s">
        <v>293</v>
      </c>
      <c r="L386" s="268">
        <f>S386</f>
        <v>0</v>
      </c>
      <c r="M386" s="272">
        <f>ROUND(L386*I386,2)</f>
        <v>0</v>
      </c>
      <c r="N386" s="243">
        <f>N375</f>
        <v>5.5858549999999951</v>
      </c>
      <c r="O386" s="294">
        <f>ROUND(N386*I386,2)</f>
        <v>871.3</v>
      </c>
      <c r="P386" s="273">
        <f>H386-L386-N386</f>
        <v>95.975145000000012</v>
      </c>
      <c r="Q386" s="287">
        <f>ROUND(P386*I386,2)</f>
        <v>14970.51</v>
      </c>
      <c r="R386" s="137"/>
      <c r="S386" s="269">
        <f>W386+Y386+AA386+AC386+AE386+AG386+AI386+AK386+AM386+AO386+AQ386+AS386+AU386+AW386</f>
        <v>0</v>
      </c>
      <c r="T386" s="269">
        <f>ROUND(S386*I386,2)</f>
        <v>0</v>
      </c>
      <c r="U386" s="269">
        <f>H386-S386</f>
        <v>101.56100000000001</v>
      </c>
      <c r="V386" s="269">
        <f>ROUND(U386*I386,2)</f>
        <v>15841.81</v>
      </c>
      <c r="W386" s="269"/>
      <c r="X386" s="269"/>
      <c r="Y386" s="269"/>
      <c r="Z386" s="269"/>
      <c r="AA386" s="269"/>
      <c r="AB386" s="269"/>
      <c r="AC386" s="269"/>
      <c r="AD386" s="269"/>
      <c r="AE386" s="269"/>
      <c r="AF386" s="269"/>
      <c r="AG386" s="269"/>
      <c r="AH386" s="269"/>
      <c r="AI386" s="269"/>
      <c r="AJ386" s="269"/>
      <c r="AK386" s="269"/>
      <c r="AL386" s="269"/>
      <c r="AM386" s="269"/>
      <c r="AN386" s="269"/>
      <c r="AO386" s="269"/>
      <c r="AP386" s="269"/>
      <c r="AQ386" s="269"/>
      <c r="AR386" s="269"/>
      <c r="AS386" s="269"/>
      <c r="AT386" s="269"/>
      <c r="AU386" s="269"/>
      <c r="AV386" s="269"/>
      <c r="AW386" s="269"/>
      <c r="AX386" s="269"/>
      <c r="DF386" s="132" t="s">
        <v>1</v>
      </c>
      <c r="DG386" s="133" t="s">
        <v>40</v>
      </c>
      <c r="DI386" s="134">
        <f>DH386*H386</f>
        <v>0</v>
      </c>
      <c r="DJ386" s="134">
        <v>0</v>
      </c>
      <c r="DK386" s="134">
        <f>DJ386*H386</f>
        <v>0</v>
      </c>
      <c r="DL386" s="134">
        <v>0</v>
      </c>
      <c r="DM386" s="135">
        <f>DL386*H386</f>
        <v>0</v>
      </c>
      <c r="EK386" s="136" t="s">
        <v>95</v>
      </c>
      <c r="EM386" s="136" t="s">
        <v>284</v>
      </c>
      <c r="EN386" s="136" t="s">
        <v>83</v>
      </c>
      <c r="ER386" s="16" t="s">
        <v>282</v>
      </c>
      <c r="EX386" s="137">
        <f>IF(DG386="základní",J386,0)</f>
        <v>15841.81</v>
      </c>
      <c r="EY386" s="137">
        <f>IF(DG386="snížená",J386,0)</f>
        <v>0</v>
      </c>
      <c r="EZ386" s="137">
        <f>IF(DG386="zákl. přenesená",J386,0)</f>
        <v>0</v>
      </c>
      <c r="FA386" s="137">
        <f>IF(DG386="sníž. přenesená",J386,0)</f>
        <v>0</v>
      </c>
      <c r="FB386" s="137">
        <f>IF(DG386="nulová",J386,0)</f>
        <v>0</v>
      </c>
      <c r="FC386" s="16" t="s">
        <v>81</v>
      </c>
      <c r="FD386" s="137">
        <f>ROUND(I386*H386,2)</f>
        <v>15841.81</v>
      </c>
      <c r="FE386" s="16" t="s">
        <v>95</v>
      </c>
      <c r="FF386" s="136" t="s">
        <v>713</v>
      </c>
    </row>
    <row r="387" spans="2:162" s="1" customFormat="1" x14ac:dyDescent="0.2">
      <c r="B387" s="31"/>
      <c r="D387" s="138" t="s">
        <v>289</v>
      </c>
      <c r="F387" s="139" t="s">
        <v>714</v>
      </c>
      <c r="I387" s="140"/>
      <c r="L387" s="31"/>
      <c r="N387" s="213"/>
      <c r="O387" s="214"/>
      <c r="Q387" s="229"/>
      <c r="DF387" s="141"/>
      <c r="DM387" s="50"/>
      <c r="EM387" s="16" t="s">
        <v>289</v>
      </c>
      <c r="EN387" s="16" t="s">
        <v>83</v>
      </c>
    </row>
    <row r="388" spans="2:162" s="1" customFormat="1" ht="37.9" customHeight="1" x14ac:dyDescent="0.2">
      <c r="B388" s="124"/>
      <c r="C388" s="125" t="s">
        <v>655</v>
      </c>
      <c r="D388" s="125" t="s">
        <v>284</v>
      </c>
      <c r="E388" s="126" t="s">
        <v>716</v>
      </c>
      <c r="F388" s="127" t="s">
        <v>420</v>
      </c>
      <c r="G388" s="128" t="s">
        <v>418</v>
      </c>
      <c r="H388" s="129">
        <v>74.164000000000001</v>
      </c>
      <c r="I388" s="130">
        <v>110.6455721</v>
      </c>
      <c r="J388" s="131">
        <f>ROUND(I388*H388,2)</f>
        <v>8205.92</v>
      </c>
      <c r="K388" s="127" t="s">
        <v>293</v>
      </c>
      <c r="L388" s="268">
        <f>S388</f>
        <v>0</v>
      </c>
      <c r="M388" s="272">
        <f>ROUND(L388*I388,2)</f>
        <v>0</v>
      </c>
      <c r="N388" s="243">
        <f>N391</f>
        <v>4.0790199999999999</v>
      </c>
      <c r="O388" s="294">
        <f>ROUND(N388*I388,2)</f>
        <v>451.33</v>
      </c>
      <c r="P388" s="273">
        <f>H388-L388-N388</f>
        <v>70.084980000000002</v>
      </c>
      <c r="Q388" s="287">
        <f>ROUND(P388*I388,2)</f>
        <v>7754.59</v>
      </c>
      <c r="R388" s="137"/>
      <c r="S388" s="269">
        <f>W388+Y388+AA388+AC388+AE388+AG388+AI388+AK388+AM388+AO388+AQ388+AS388+AU388+AW388</f>
        <v>0</v>
      </c>
      <c r="T388" s="269">
        <f>ROUND(S388*I388,2)</f>
        <v>0</v>
      </c>
      <c r="U388" s="269">
        <f>H388-S388</f>
        <v>74.164000000000001</v>
      </c>
      <c r="V388" s="269">
        <f>ROUND(U388*I388,2)</f>
        <v>8205.92</v>
      </c>
      <c r="W388" s="269"/>
      <c r="X388" s="269"/>
      <c r="Y388" s="269"/>
      <c r="Z388" s="269"/>
      <c r="AA388" s="269"/>
      <c r="AB388" s="269"/>
      <c r="AC388" s="269"/>
      <c r="AD388" s="269"/>
      <c r="AE388" s="269"/>
      <c r="AF388" s="269"/>
      <c r="AG388" s="269"/>
      <c r="AH388" s="269"/>
      <c r="AI388" s="269"/>
      <c r="AJ388" s="269"/>
      <c r="AK388" s="269"/>
      <c r="AL388" s="269"/>
      <c r="AM388" s="269"/>
      <c r="AN388" s="269"/>
      <c r="AO388" s="269"/>
      <c r="AP388" s="269"/>
      <c r="AQ388" s="269"/>
      <c r="AR388" s="269"/>
      <c r="AS388" s="269"/>
      <c r="AT388" s="269"/>
      <c r="AU388" s="269"/>
      <c r="AV388" s="269"/>
      <c r="AW388" s="269"/>
      <c r="AX388" s="269"/>
      <c r="DF388" s="132" t="s">
        <v>1</v>
      </c>
      <c r="DG388" s="133" t="s">
        <v>40</v>
      </c>
      <c r="DI388" s="134">
        <f>DH388*H388</f>
        <v>0</v>
      </c>
      <c r="DJ388" s="134">
        <v>0</v>
      </c>
      <c r="DK388" s="134">
        <f>DJ388*H388</f>
        <v>0</v>
      </c>
      <c r="DL388" s="134">
        <v>0</v>
      </c>
      <c r="DM388" s="135">
        <f>DL388*H388</f>
        <v>0</v>
      </c>
      <c r="EK388" s="136" t="s">
        <v>95</v>
      </c>
      <c r="EM388" s="136" t="s">
        <v>284</v>
      </c>
      <c r="EN388" s="136" t="s">
        <v>83</v>
      </c>
      <c r="ER388" s="16" t="s">
        <v>282</v>
      </c>
      <c r="EX388" s="137">
        <f>IF(DG388="základní",J388,0)</f>
        <v>8205.92</v>
      </c>
      <c r="EY388" s="137">
        <f>IF(DG388="snížená",J388,0)</f>
        <v>0</v>
      </c>
      <c r="EZ388" s="137">
        <f>IF(DG388="zákl. přenesená",J388,0)</f>
        <v>0</v>
      </c>
      <c r="FA388" s="137">
        <f>IF(DG388="sníž. přenesená",J388,0)</f>
        <v>0</v>
      </c>
      <c r="FB388" s="137">
        <f>IF(DG388="nulová",J388,0)</f>
        <v>0</v>
      </c>
      <c r="FC388" s="16" t="s">
        <v>81</v>
      </c>
      <c r="FD388" s="137">
        <f>ROUND(I388*H388,2)</f>
        <v>8205.92</v>
      </c>
      <c r="FE388" s="16" t="s">
        <v>95</v>
      </c>
      <c r="FF388" s="136" t="s">
        <v>717</v>
      </c>
    </row>
    <row r="389" spans="2:162" s="1" customFormat="1" ht="29.25" x14ac:dyDescent="0.2">
      <c r="B389" s="31"/>
      <c r="D389" s="138" t="s">
        <v>289</v>
      </c>
      <c r="F389" s="139" t="s">
        <v>420</v>
      </c>
      <c r="I389" s="140"/>
      <c r="L389" s="31"/>
      <c r="N389" s="213"/>
      <c r="O389" s="214"/>
      <c r="Q389" s="229"/>
      <c r="DF389" s="141"/>
      <c r="DM389" s="50"/>
      <c r="EM389" s="16" t="s">
        <v>289</v>
      </c>
      <c r="EN389" s="16" t="s">
        <v>83</v>
      </c>
    </row>
    <row r="390" spans="2:162" s="12" customFormat="1" x14ac:dyDescent="0.2">
      <c r="B390" s="149"/>
      <c r="D390" s="138" t="s">
        <v>301</v>
      </c>
      <c r="E390" s="150" t="s">
        <v>1</v>
      </c>
      <c r="F390" s="151" t="s">
        <v>838</v>
      </c>
      <c r="H390" s="152">
        <v>74.164000000000001</v>
      </c>
      <c r="I390" s="153"/>
      <c r="L390" s="149"/>
      <c r="N390" s="217">
        <f>1.055*74.164</f>
        <v>78.243020000000001</v>
      </c>
      <c r="O390" s="218" t="s">
        <v>3860</v>
      </c>
      <c r="Q390" s="231"/>
      <c r="DF390" s="154"/>
      <c r="DM390" s="155"/>
      <c r="EM390" s="150" t="s">
        <v>301</v>
      </c>
      <c r="EN390" s="150" t="s">
        <v>83</v>
      </c>
      <c r="EO390" s="12" t="s">
        <v>83</v>
      </c>
      <c r="EP390" s="12" t="s">
        <v>32</v>
      </c>
      <c r="EQ390" s="12" t="s">
        <v>81</v>
      </c>
      <c r="ER390" s="150" t="s">
        <v>282</v>
      </c>
    </row>
    <row r="391" spans="2:162" s="12" customFormat="1" x14ac:dyDescent="0.2">
      <c r="B391" s="149"/>
      <c r="D391" s="138"/>
      <c r="E391" s="150"/>
      <c r="F391" s="151"/>
      <c r="H391" s="152"/>
      <c r="I391" s="153"/>
      <c r="L391" s="149"/>
      <c r="N391" s="310">
        <f>N390-H388</f>
        <v>4.0790199999999999</v>
      </c>
      <c r="O391" s="218"/>
      <c r="Q391" s="231"/>
      <c r="DF391" s="154"/>
      <c r="DM391" s="155"/>
      <c r="EM391" s="150"/>
      <c r="EN391" s="150"/>
      <c r="ER391" s="150"/>
    </row>
    <row r="392" spans="2:162" s="1" customFormat="1" ht="37.9" customHeight="1" x14ac:dyDescent="0.2">
      <c r="B392" s="124"/>
      <c r="C392" s="125" t="s">
        <v>660</v>
      </c>
      <c r="D392" s="125" t="s">
        <v>284</v>
      </c>
      <c r="E392" s="126" t="s">
        <v>719</v>
      </c>
      <c r="F392" s="127" t="s">
        <v>720</v>
      </c>
      <c r="G392" s="128" t="s">
        <v>418</v>
      </c>
      <c r="H392" s="129">
        <v>27.396999999999998</v>
      </c>
      <c r="I392" s="130">
        <v>250.3439285</v>
      </c>
      <c r="J392" s="131">
        <f>ROUND(I392*H392,2)</f>
        <v>6858.67</v>
      </c>
      <c r="K392" s="127" t="s">
        <v>293</v>
      </c>
      <c r="L392" s="268">
        <f>S392</f>
        <v>0</v>
      </c>
      <c r="M392" s="272">
        <f>ROUND(L392*I392,2)</f>
        <v>0</v>
      </c>
      <c r="N392" s="243">
        <f>N395</f>
        <v>1.5068349999999988</v>
      </c>
      <c r="O392" s="294">
        <f>ROUND(N392*I392,2)</f>
        <v>377.23</v>
      </c>
      <c r="P392" s="273">
        <f>H392-L392-N392</f>
        <v>25.890165</v>
      </c>
      <c r="Q392" s="287">
        <f>ROUND(P392*I392,2)</f>
        <v>6481.45</v>
      </c>
      <c r="R392" s="137"/>
      <c r="S392" s="269">
        <f>W392+Y392+AA392+AC392+AE392+AG392+AI392+AK392+AM392+AO392+AQ392+AS392+AU392+AW392</f>
        <v>0</v>
      </c>
      <c r="T392" s="269">
        <f>ROUND(S392*I392,2)</f>
        <v>0</v>
      </c>
      <c r="U392" s="269">
        <f>H392-S392</f>
        <v>27.396999999999998</v>
      </c>
      <c r="V392" s="269">
        <f>ROUND(U392*I392,2)</f>
        <v>6858.67</v>
      </c>
      <c r="W392" s="269"/>
      <c r="X392" s="269"/>
      <c r="Y392" s="269"/>
      <c r="Z392" s="269"/>
      <c r="AA392" s="269"/>
      <c r="AB392" s="269"/>
      <c r="AC392" s="269"/>
      <c r="AD392" s="269"/>
      <c r="AE392" s="269"/>
      <c r="AF392" s="269"/>
      <c r="AG392" s="269"/>
      <c r="AH392" s="269"/>
      <c r="AI392" s="269"/>
      <c r="AJ392" s="269"/>
      <c r="AK392" s="269"/>
      <c r="AL392" s="269"/>
      <c r="AM392" s="269"/>
      <c r="AN392" s="269"/>
      <c r="AO392" s="269"/>
      <c r="AP392" s="269"/>
      <c r="AQ392" s="269"/>
      <c r="AR392" s="269"/>
      <c r="AS392" s="269"/>
      <c r="AT392" s="269"/>
      <c r="AU392" s="269"/>
      <c r="AV392" s="269"/>
      <c r="AW392" s="269"/>
      <c r="AX392" s="269"/>
      <c r="DF392" s="132" t="s">
        <v>1</v>
      </c>
      <c r="DG392" s="133" t="s">
        <v>40</v>
      </c>
      <c r="DI392" s="134">
        <f>DH392*H392</f>
        <v>0</v>
      </c>
      <c r="DJ392" s="134">
        <v>0</v>
      </c>
      <c r="DK392" s="134">
        <f>DJ392*H392</f>
        <v>0</v>
      </c>
      <c r="DL392" s="134">
        <v>0</v>
      </c>
      <c r="DM392" s="135">
        <f>DL392*H392</f>
        <v>0</v>
      </c>
      <c r="EK392" s="136" t="s">
        <v>95</v>
      </c>
      <c r="EM392" s="136" t="s">
        <v>284</v>
      </c>
      <c r="EN392" s="136" t="s">
        <v>83</v>
      </c>
      <c r="ER392" s="16" t="s">
        <v>282</v>
      </c>
      <c r="EX392" s="137">
        <f>IF(DG392="základní",J392,0)</f>
        <v>6858.67</v>
      </c>
      <c r="EY392" s="137">
        <f>IF(DG392="snížená",J392,0)</f>
        <v>0</v>
      </c>
      <c r="EZ392" s="137">
        <f>IF(DG392="zákl. přenesená",J392,0)</f>
        <v>0</v>
      </c>
      <c r="FA392" s="137">
        <f>IF(DG392="sníž. přenesená",J392,0)</f>
        <v>0</v>
      </c>
      <c r="FB392" s="137">
        <f>IF(DG392="nulová",J392,0)</f>
        <v>0</v>
      </c>
      <c r="FC392" s="16" t="s">
        <v>81</v>
      </c>
      <c r="FD392" s="137">
        <f>ROUND(I392*H392,2)</f>
        <v>6858.67</v>
      </c>
      <c r="FE392" s="16" t="s">
        <v>95</v>
      </c>
      <c r="FF392" s="136" t="s">
        <v>721</v>
      </c>
    </row>
    <row r="393" spans="2:162" s="1" customFormat="1" ht="29.25" x14ac:dyDescent="0.2">
      <c r="B393" s="31"/>
      <c r="D393" s="138" t="s">
        <v>289</v>
      </c>
      <c r="F393" s="139" t="s">
        <v>720</v>
      </c>
      <c r="I393" s="140"/>
      <c r="L393" s="31"/>
      <c r="N393" s="213"/>
      <c r="O393" s="214"/>
      <c r="Q393" s="229"/>
      <c r="DF393" s="141"/>
      <c r="DM393" s="50"/>
      <c r="EM393" s="16" t="s">
        <v>289</v>
      </c>
      <c r="EN393" s="16" t="s">
        <v>83</v>
      </c>
    </row>
    <row r="394" spans="2:162" s="12" customFormat="1" x14ac:dyDescent="0.2">
      <c r="B394" s="149"/>
      <c r="D394" s="138" t="s">
        <v>301</v>
      </c>
      <c r="E394" s="150" t="s">
        <v>1</v>
      </c>
      <c r="F394" s="151" t="s">
        <v>839</v>
      </c>
      <c r="H394" s="152">
        <v>27.396999999999998</v>
      </c>
      <c r="I394" s="153"/>
      <c r="L394" s="149"/>
      <c r="N394" s="217">
        <f>1.055*27.397</f>
        <v>28.903834999999997</v>
      </c>
      <c r="O394" s="218" t="s">
        <v>3861</v>
      </c>
      <c r="Q394" s="231"/>
      <c r="DF394" s="154"/>
      <c r="DM394" s="155"/>
      <c r="EM394" s="150" t="s">
        <v>301</v>
      </c>
      <c r="EN394" s="150" t="s">
        <v>83</v>
      </c>
      <c r="EO394" s="12" t="s">
        <v>83</v>
      </c>
      <c r="EP394" s="12" t="s">
        <v>32</v>
      </c>
      <c r="EQ394" s="12" t="s">
        <v>81</v>
      </c>
      <c r="ER394" s="150" t="s">
        <v>282</v>
      </c>
    </row>
    <row r="395" spans="2:162" s="12" customFormat="1" x14ac:dyDescent="0.2">
      <c r="B395" s="149"/>
      <c r="D395" s="138"/>
      <c r="E395" s="150"/>
      <c r="F395" s="151"/>
      <c r="H395" s="152"/>
      <c r="I395" s="153"/>
      <c r="L395" s="149"/>
      <c r="N395" s="310">
        <f>N394-H394</f>
        <v>1.5068349999999988</v>
      </c>
      <c r="O395" s="218"/>
      <c r="Q395" s="231"/>
      <c r="DF395" s="154"/>
      <c r="DM395" s="155"/>
      <c r="EM395" s="150"/>
      <c r="EN395" s="150"/>
      <c r="ER395" s="150"/>
    </row>
    <row r="396" spans="2:162" s="10" customFormat="1" ht="22.9" customHeight="1" x14ac:dyDescent="0.2">
      <c r="B396" s="112"/>
      <c r="D396" s="113" t="s">
        <v>73</v>
      </c>
      <c r="E396" s="122" t="s">
        <v>722</v>
      </c>
      <c r="F396" s="122" t="s">
        <v>723</v>
      </c>
      <c r="I396" s="115"/>
      <c r="J396" s="123">
        <f>FD396</f>
        <v>17972.57</v>
      </c>
      <c r="L396" s="112"/>
      <c r="M396" s="270">
        <f>M397</f>
        <v>0</v>
      </c>
      <c r="N396" s="301"/>
      <c r="O396" s="302">
        <f t="shared" ref="O396:V396" si="6">O397</f>
        <v>988.49</v>
      </c>
      <c r="P396" s="270"/>
      <c r="Q396" s="288">
        <f t="shared" si="6"/>
        <v>16984.080000000002</v>
      </c>
      <c r="R396" s="270"/>
      <c r="S396" s="270"/>
      <c r="T396" s="270">
        <f t="shared" si="6"/>
        <v>0</v>
      </c>
      <c r="U396" s="270"/>
      <c r="V396" s="270">
        <f t="shared" si="6"/>
        <v>17972.57</v>
      </c>
      <c r="DF396" s="117"/>
      <c r="DI396" s="118">
        <f>SUM(DI397:DI400)</f>
        <v>0</v>
      </c>
      <c r="DK396" s="118">
        <f>SUM(DK397:DK400)</f>
        <v>0</v>
      </c>
      <c r="DM396" s="119">
        <f>SUM(DM397:DM400)</f>
        <v>0</v>
      </c>
      <c r="EK396" s="113" t="s">
        <v>81</v>
      </c>
      <c r="EM396" s="120" t="s">
        <v>73</v>
      </c>
      <c r="EN396" s="120" t="s">
        <v>81</v>
      </c>
      <c r="ER396" s="113" t="s">
        <v>282</v>
      </c>
      <c r="FD396" s="121">
        <f>SUM(FD397:FD400)</f>
        <v>17972.57</v>
      </c>
    </row>
    <row r="397" spans="2:162" s="1" customFormat="1" ht="24.2" customHeight="1" x14ac:dyDescent="0.2">
      <c r="B397" s="124"/>
      <c r="C397" s="125" t="s">
        <v>666</v>
      </c>
      <c r="D397" s="125" t="s">
        <v>284</v>
      </c>
      <c r="E397" s="126" t="s">
        <v>725</v>
      </c>
      <c r="F397" s="127" t="s">
        <v>726</v>
      </c>
      <c r="G397" s="128" t="s">
        <v>418</v>
      </c>
      <c r="H397" s="129">
        <v>19.864000000000001</v>
      </c>
      <c r="I397" s="130">
        <v>904.78117744148574</v>
      </c>
      <c r="J397" s="131">
        <f>ROUND(I397*H397,2)</f>
        <v>17972.57</v>
      </c>
      <c r="K397" s="127" t="s">
        <v>293</v>
      </c>
      <c r="L397" s="268">
        <f>S397</f>
        <v>0</v>
      </c>
      <c r="M397" s="272">
        <f>ROUND(L397*I397,2)</f>
        <v>0</v>
      </c>
      <c r="N397" s="243">
        <f>N399</f>
        <v>1.0925200000000004</v>
      </c>
      <c r="O397" s="294">
        <f>ROUND(N397*I397,2)</f>
        <v>988.49</v>
      </c>
      <c r="P397" s="273">
        <f>H397-L397-N397</f>
        <v>18.77148</v>
      </c>
      <c r="Q397" s="287">
        <f>ROUND(P397*I397,2)</f>
        <v>16984.080000000002</v>
      </c>
      <c r="R397" s="137"/>
      <c r="S397" s="269">
        <f>W397+Y397+AA397+AC397+AE397+AG397+AI397+AK397+AM397+AO397+AQ397+AS397+AU397+AW397</f>
        <v>0</v>
      </c>
      <c r="T397" s="269">
        <f>ROUND(S397*I397,2)</f>
        <v>0</v>
      </c>
      <c r="U397" s="269">
        <f>H397-S397</f>
        <v>19.864000000000001</v>
      </c>
      <c r="V397" s="269">
        <f>ROUND(U397*I397,2)</f>
        <v>17972.57</v>
      </c>
      <c r="W397" s="269"/>
      <c r="X397" s="269"/>
      <c r="Y397" s="269"/>
      <c r="Z397" s="269"/>
      <c r="AA397" s="269"/>
      <c r="AB397" s="269"/>
      <c r="AC397" s="269"/>
      <c r="AD397" s="269"/>
      <c r="AE397" s="269"/>
      <c r="AF397" s="269"/>
      <c r="AG397" s="269"/>
      <c r="AH397" s="269"/>
      <c r="AI397" s="269"/>
      <c r="AJ397" s="269"/>
      <c r="AK397" s="269"/>
      <c r="AL397" s="269"/>
      <c r="AM397" s="269"/>
      <c r="AN397" s="269"/>
      <c r="AO397" s="269"/>
      <c r="AP397" s="269"/>
      <c r="AQ397" s="269"/>
      <c r="AR397" s="269"/>
      <c r="AS397" s="269"/>
      <c r="AT397" s="269"/>
      <c r="AU397" s="269"/>
      <c r="AV397" s="269"/>
      <c r="AW397" s="269"/>
      <c r="AX397" s="269"/>
      <c r="DF397" s="132" t="s">
        <v>1</v>
      </c>
      <c r="DG397" s="133" t="s">
        <v>40</v>
      </c>
      <c r="DI397" s="134">
        <f>DH397*H397</f>
        <v>0</v>
      </c>
      <c r="DJ397" s="134">
        <v>0</v>
      </c>
      <c r="DK397" s="134">
        <f>DJ397*H397</f>
        <v>0</v>
      </c>
      <c r="DL397" s="134">
        <v>0</v>
      </c>
      <c r="DM397" s="135">
        <f>DL397*H397</f>
        <v>0</v>
      </c>
      <c r="EK397" s="136" t="s">
        <v>95</v>
      </c>
      <c r="EM397" s="136" t="s">
        <v>284</v>
      </c>
      <c r="EN397" s="136" t="s">
        <v>83</v>
      </c>
      <c r="ER397" s="16" t="s">
        <v>282</v>
      </c>
      <c r="EX397" s="137">
        <f>IF(DG397="základní",J397,0)</f>
        <v>17972.57</v>
      </c>
      <c r="EY397" s="137">
        <f>IF(DG397="snížená",J397,0)</f>
        <v>0</v>
      </c>
      <c r="EZ397" s="137">
        <f>IF(DG397="zákl. přenesená",J397,0)</f>
        <v>0</v>
      </c>
      <c r="FA397" s="137">
        <f>IF(DG397="sníž. přenesená",J397,0)</f>
        <v>0</v>
      </c>
      <c r="FB397" s="137">
        <f>IF(DG397="nulová",J397,0)</f>
        <v>0</v>
      </c>
      <c r="FC397" s="16" t="s">
        <v>81</v>
      </c>
      <c r="FD397" s="137">
        <f>ROUND(I397*H397,2)</f>
        <v>17972.57</v>
      </c>
      <c r="FE397" s="16" t="s">
        <v>95</v>
      </c>
      <c r="FF397" s="136" t="s">
        <v>727</v>
      </c>
    </row>
    <row r="398" spans="2:162" s="1" customFormat="1" ht="29.25" x14ac:dyDescent="0.2">
      <c r="B398" s="31"/>
      <c r="D398" s="138" t="s">
        <v>289</v>
      </c>
      <c r="F398" s="139" t="s">
        <v>728</v>
      </c>
      <c r="I398" s="140"/>
      <c r="L398" s="31"/>
      <c r="N398" s="213">
        <f>1.055*19.864</f>
        <v>20.956520000000001</v>
      </c>
      <c r="O398" s="214" t="s">
        <v>3862</v>
      </c>
      <c r="Q398" s="229"/>
      <c r="DF398" s="141"/>
      <c r="DM398" s="50"/>
      <c r="EM398" s="16" t="s">
        <v>289</v>
      </c>
      <c r="EN398" s="16" t="s">
        <v>83</v>
      </c>
    </row>
    <row r="399" spans="2:162" s="11" customFormat="1" x14ac:dyDescent="0.2">
      <c r="B399" s="143"/>
      <c r="D399" s="138" t="s">
        <v>301</v>
      </c>
      <c r="E399" s="144" t="s">
        <v>1</v>
      </c>
      <c r="F399" s="145" t="s">
        <v>729</v>
      </c>
      <c r="H399" s="144" t="s">
        <v>1</v>
      </c>
      <c r="I399" s="146"/>
      <c r="L399" s="143"/>
      <c r="N399" s="319">
        <f>N398-H400</f>
        <v>1.0925200000000004</v>
      </c>
      <c r="O399" s="216"/>
      <c r="Q399" s="230"/>
      <c r="DF399" s="147"/>
      <c r="DM399" s="148"/>
      <c r="EM399" s="144" t="s">
        <v>301</v>
      </c>
      <c r="EN399" s="144" t="s">
        <v>83</v>
      </c>
      <c r="EO399" s="11" t="s">
        <v>81</v>
      </c>
      <c r="EP399" s="11" t="s">
        <v>32</v>
      </c>
      <c r="EQ399" s="11" t="s">
        <v>74</v>
      </c>
      <c r="ER399" s="144" t="s">
        <v>282</v>
      </c>
    </row>
    <row r="400" spans="2:162" s="12" customFormat="1" x14ac:dyDescent="0.2">
      <c r="B400" s="149"/>
      <c r="D400" s="138" t="s">
        <v>301</v>
      </c>
      <c r="E400" s="150" t="s">
        <v>1</v>
      </c>
      <c r="F400" s="151" t="s">
        <v>841</v>
      </c>
      <c r="H400" s="152">
        <v>19.864000000000001</v>
      </c>
      <c r="I400" s="153"/>
      <c r="L400" s="149"/>
      <c r="N400" s="217"/>
      <c r="O400" s="218"/>
      <c r="Q400" s="231"/>
      <c r="DF400" s="179"/>
      <c r="DG400" s="180"/>
      <c r="DH400" s="180"/>
      <c r="DI400" s="180"/>
      <c r="DJ400" s="180"/>
      <c r="DK400" s="180"/>
      <c r="DL400" s="180"/>
      <c r="DM400" s="181"/>
      <c r="EM400" s="150" t="s">
        <v>301</v>
      </c>
      <c r="EN400" s="150" t="s">
        <v>83</v>
      </c>
      <c r="EO400" s="12" t="s">
        <v>83</v>
      </c>
      <c r="EP400" s="12" t="s">
        <v>32</v>
      </c>
      <c r="EQ400" s="12" t="s">
        <v>81</v>
      </c>
      <c r="ER400" s="150" t="s">
        <v>282</v>
      </c>
    </row>
    <row r="401" spans="2:50" s="1" customFormat="1" ht="6.95" customHeight="1" thickBot="1" x14ac:dyDescent="0.25">
      <c r="B401" s="43"/>
      <c r="C401" s="44"/>
      <c r="D401" s="44"/>
      <c r="E401" s="44"/>
      <c r="F401" s="44"/>
      <c r="G401" s="44"/>
      <c r="H401" s="44"/>
      <c r="I401" s="44"/>
      <c r="J401" s="44"/>
      <c r="K401" s="44"/>
      <c r="L401" s="235"/>
      <c r="M401" s="237"/>
      <c r="N401" s="239"/>
      <c r="O401" s="240"/>
      <c r="P401" s="238"/>
      <c r="Q401" s="241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  <c r="AG401" s="236"/>
      <c r="AH401" s="236"/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  <c r="AT401" s="236"/>
      <c r="AU401" s="236"/>
      <c r="AV401" s="236"/>
      <c r="AW401" s="236"/>
      <c r="AX401" s="236"/>
    </row>
  </sheetData>
  <autoFilter ref="C120:K400"/>
  <mergeCells count="32">
    <mergeCell ref="L2:DO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  <mergeCell ref="H119:K119"/>
    <mergeCell ref="L120:Q120"/>
    <mergeCell ref="L121:M121"/>
    <mergeCell ref="N121:O121"/>
    <mergeCell ref="P121:Q121"/>
    <mergeCell ref="S121:T121"/>
    <mergeCell ref="U121:V121"/>
    <mergeCell ref="W121:X121"/>
    <mergeCell ref="Y121:Z121"/>
    <mergeCell ref="AA121:AB121"/>
    <mergeCell ref="AC121:AD121"/>
    <mergeCell ref="AE121:AF121"/>
    <mergeCell ref="AG121:AH121"/>
    <mergeCell ref="AI121:AJ121"/>
    <mergeCell ref="AK121:AL121"/>
    <mergeCell ref="AW121:AX121"/>
    <mergeCell ref="AM121:AN121"/>
    <mergeCell ref="AO121:AP121"/>
    <mergeCell ref="AQ121:AR121"/>
    <mergeCell ref="AS121:AT121"/>
    <mergeCell ref="AU121:AV121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C383"/>
  <sheetViews>
    <sheetView windowProtection="1" showGridLines="0" topLeftCell="A344" zoomScale="80" zoomScaleNormal="80" workbookViewId="0">
      <selection activeCell="P344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5" customWidth="1"/>
    <col min="13" max="13" width="19.1640625" customWidth="1"/>
    <col min="14" max="14" width="15" customWidth="1"/>
    <col min="15" max="15" width="20.5" customWidth="1"/>
    <col min="16" max="16" width="15" hidden="1" customWidth="1"/>
    <col min="17" max="17" width="18.1640625" hidden="1" customWidth="1"/>
    <col min="18" max="63" width="15" customWidth="1"/>
    <col min="64" max="79" width="14.1640625" customWidth="1"/>
    <col min="80" max="80" width="14.83203125" customWidth="1"/>
    <col min="81" max="81" width="10.83203125" hidden="1" customWidth="1"/>
    <col min="82" max="82" width="0" hidden="1" customWidth="1"/>
    <col min="83" max="88" width="14.1640625" hidden="1" customWidth="1"/>
    <col min="89" max="89" width="16.33203125" customWidth="1"/>
    <col min="90" max="90" width="12.33203125" customWidth="1"/>
    <col min="91" max="91" width="16.33203125" customWidth="1"/>
    <col min="92" max="92" width="12.33203125" customWidth="1"/>
    <col min="93" max="93" width="15" customWidth="1"/>
    <col min="94" max="94" width="11" customWidth="1"/>
    <col min="95" max="95" width="15" customWidth="1"/>
    <col min="96" max="96" width="16.33203125" customWidth="1"/>
    <col min="97" max="97" width="11" customWidth="1"/>
    <col min="98" max="98" width="15" customWidth="1"/>
    <col min="99" max="99" width="16.33203125" customWidth="1"/>
    <col min="112" max="133" width="9.33203125" hidden="1"/>
  </cols>
  <sheetData>
    <row r="1" spans="2:114" hidden="1" x14ac:dyDescent="0.2"/>
    <row r="2" spans="2:114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DJ2" s="16" t="s">
        <v>105</v>
      </c>
    </row>
    <row r="3" spans="2:114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J3" s="16" t="s">
        <v>83</v>
      </c>
    </row>
    <row r="4" spans="2:114" ht="24.95" hidden="1" customHeight="1" x14ac:dyDescent="0.2">
      <c r="B4" s="19"/>
      <c r="D4" s="20" t="s">
        <v>243</v>
      </c>
      <c r="L4" s="19"/>
      <c r="CC4" s="79" t="s">
        <v>10</v>
      </c>
      <c r="DJ4" s="16" t="s">
        <v>3</v>
      </c>
    </row>
    <row r="5" spans="2:114" ht="6.95" hidden="1" customHeight="1" x14ac:dyDescent="0.2">
      <c r="B5" s="19"/>
      <c r="L5" s="19"/>
    </row>
    <row r="6" spans="2:114" ht="12" hidden="1" customHeight="1" x14ac:dyDescent="0.2">
      <c r="B6" s="19"/>
      <c r="D6" s="26" t="s">
        <v>16</v>
      </c>
      <c r="L6" s="19"/>
    </row>
    <row r="7" spans="2:114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14" ht="12.75" hidden="1" x14ac:dyDescent="0.2">
      <c r="B8" s="19"/>
      <c r="D8" s="26" t="s">
        <v>244</v>
      </c>
      <c r="L8" s="19"/>
    </row>
    <row r="9" spans="2:114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14" ht="12" hidden="1" customHeight="1" x14ac:dyDescent="0.2">
      <c r="B10" s="19"/>
      <c r="D10" s="26" t="s">
        <v>246</v>
      </c>
      <c r="L10" s="19"/>
    </row>
    <row r="11" spans="2:114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14" s="1" customFormat="1" ht="12" hidden="1" customHeight="1" x14ac:dyDescent="0.2">
      <c r="B12" s="31"/>
      <c r="D12" s="26" t="s">
        <v>248</v>
      </c>
      <c r="L12" s="31"/>
    </row>
    <row r="13" spans="2:114" s="1" customFormat="1" ht="16.5" hidden="1" customHeight="1" x14ac:dyDescent="0.2">
      <c r="B13" s="31"/>
      <c r="E13" s="432" t="s">
        <v>842</v>
      </c>
      <c r="F13" s="433"/>
      <c r="G13" s="433"/>
      <c r="H13" s="433"/>
      <c r="L13" s="31"/>
    </row>
    <row r="14" spans="2:114" s="1" customFormat="1" hidden="1" x14ac:dyDescent="0.2">
      <c r="B14" s="31"/>
      <c r="L14" s="31"/>
    </row>
    <row r="15" spans="2:114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14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ROUND(J122, 2)</f>
        <v>2600575.08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ROUND((SUM(DU122:DU382)),  2)</f>
        <v>2600575.08</v>
      </c>
      <c r="I37" s="84">
        <v>0.21</v>
      </c>
      <c r="J37" s="71">
        <f>ROUND(((SUM(DU122:DU382))*I37),  2)</f>
        <v>546120.77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ROUND((SUM(DV122:DV382)),  2)</f>
        <v>0</v>
      </c>
      <c r="I38" s="84">
        <v>0.15</v>
      </c>
      <c r="J38" s="71">
        <f>ROUND(((SUM(DV122:DV382))*I38),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ROUND((SUM(DW122:DW382)),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ROUND((SUM(DX122:DX382)),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ROUND((SUM(DY122:DY382)),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3146695.85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00004 - DSO 01.1d Stoka A3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5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5" s="1" customFormat="1" ht="10.35" hidden="1" customHeight="1" x14ac:dyDescent="0.2">
      <c r="B98" s="31"/>
      <c r="L98" s="31"/>
    </row>
    <row r="99" spans="2:115" s="1" customFormat="1" ht="22.9" hidden="1" customHeight="1" x14ac:dyDescent="0.2">
      <c r="B99" s="31"/>
      <c r="C99" s="95" t="s">
        <v>256</v>
      </c>
      <c r="J99" s="58">
        <f>J122</f>
        <v>2600575.0800000005</v>
      </c>
      <c r="L99" s="31"/>
      <c r="DK99" s="16" t="s">
        <v>257</v>
      </c>
    </row>
    <row r="100" spans="2:115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J123</f>
        <v>2600575.0800000005</v>
      </c>
      <c r="L100" s="96"/>
    </row>
    <row r="101" spans="2:115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J125</f>
        <v>1593747.1600000006</v>
      </c>
      <c r="L101" s="100"/>
    </row>
    <row r="102" spans="2:115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J239</f>
        <v>44099.41</v>
      </c>
      <c r="L102" s="100"/>
    </row>
    <row r="103" spans="2:115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J244</f>
        <v>31352.94</v>
      </c>
      <c r="L103" s="100"/>
    </row>
    <row r="104" spans="2:115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J270</f>
        <v>447842.81</v>
      </c>
      <c r="L104" s="100"/>
    </row>
    <row r="105" spans="2:115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J289</f>
        <v>291069.92000000004</v>
      </c>
      <c r="L105" s="100"/>
    </row>
    <row r="106" spans="2:115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J345</f>
        <v>11295.16</v>
      </c>
      <c r="L106" s="100"/>
    </row>
    <row r="107" spans="2:115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J356</f>
        <v>130273.74</v>
      </c>
      <c r="L107" s="100"/>
    </row>
    <row r="108" spans="2:115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J378</f>
        <v>50893.94</v>
      </c>
      <c r="L108" s="100"/>
    </row>
    <row r="109" spans="2:115" s="1" customFormat="1" ht="21.75" hidden="1" customHeight="1" x14ac:dyDescent="0.2">
      <c r="B109" s="31"/>
      <c r="L109" s="31"/>
    </row>
    <row r="110" spans="2:115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15" hidden="1" x14ac:dyDescent="0.2"/>
    <row r="112" spans="2:115" hidden="1" x14ac:dyDescent="0.2"/>
    <row r="114" spans="2:133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33" s="1" customFormat="1" ht="24.95" customHeight="1" x14ac:dyDescent="0.2">
      <c r="B115" s="31"/>
      <c r="C115" s="20" t="s">
        <v>3307</v>
      </c>
      <c r="L115" s="31"/>
    </row>
    <row r="116" spans="2:133" s="1" customFormat="1" ht="6.95" customHeight="1" x14ac:dyDescent="0.2">
      <c r="B116" s="31"/>
      <c r="L116" s="31"/>
    </row>
    <row r="117" spans="2:133" s="1" customFormat="1" ht="6.95" customHeight="1" x14ac:dyDescent="0.2">
      <c r="B117" s="31"/>
      <c r="L117" s="31"/>
    </row>
    <row r="118" spans="2:133" s="1" customFormat="1" ht="40.15" customHeight="1" x14ac:dyDescent="0.2">
      <c r="B118" s="31"/>
      <c r="C118" s="306" t="s">
        <v>3337</v>
      </c>
      <c r="F118" s="24"/>
      <c r="I118" s="26"/>
      <c r="J118" s="29"/>
      <c r="L118" s="31"/>
    </row>
    <row r="119" spans="2:133" s="1" customFormat="1" ht="15.2" customHeight="1" x14ac:dyDescent="0.2">
      <c r="B119" s="31"/>
      <c r="C119" s="26"/>
      <c r="F119" s="24"/>
      <c r="I119" s="26"/>
      <c r="J119" s="29"/>
      <c r="L119" s="31"/>
    </row>
    <row r="120" spans="2:133" s="1" customFormat="1" ht="16.5" customHeight="1" x14ac:dyDescent="0.2">
      <c r="B120" s="31"/>
      <c r="H120" s="430" t="s">
        <v>3305</v>
      </c>
      <c r="I120" s="430"/>
      <c r="J120" s="430"/>
      <c r="K120" s="431"/>
      <c r="L120" s="31"/>
    </row>
    <row r="121" spans="2:133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CC121" s="52" t="s">
        <v>1</v>
      </c>
      <c r="CD121" s="53" t="s">
        <v>39</v>
      </c>
      <c r="CE121" s="53" t="s">
        <v>273</v>
      </c>
      <c r="CF121" s="53" t="s">
        <v>274</v>
      </c>
      <c r="CG121" s="53" t="s">
        <v>275</v>
      </c>
      <c r="CH121" s="53" t="s">
        <v>276</v>
      </c>
      <c r="CI121" s="53" t="s">
        <v>277</v>
      </c>
      <c r="CJ121" s="54" t="s">
        <v>278</v>
      </c>
    </row>
    <row r="122" spans="2:133" s="1" customFormat="1" ht="22.9" customHeight="1" x14ac:dyDescent="0.25">
      <c r="B122" s="31"/>
      <c r="C122" s="57" t="s">
        <v>279</v>
      </c>
      <c r="G122" s="1" t="s">
        <v>3306</v>
      </c>
      <c r="J122" s="108">
        <f>EA122</f>
        <v>2600575.0800000005</v>
      </c>
      <c r="L122" s="440" t="s">
        <v>3308</v>
      </c>
      <c r="M122" s="441"/>
      <c r="N122" s="440" t="s">
        <v>3377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3314</v>
      </c>
      <c r="X122" s="444"/>
      <c r="Y122" s="444" t="s">
        <v>3315</v>
      </c>
      <c r="Z122" s="444"/>
      <c r="AA122" s="444" t="s">
        <v>3316</v>
      </c>
      <c r="AB122" s="444"/>
      <c r="AC122" s="444" t="s">
        <v>3317</v>
      </c>
      <c r="AD122" s="444"/>
      <c r="AE122" s="444" t="s">
        <v>3318</v>
      </c>
      <c r="AF122" s="444"/>
      <c r="AG122" s="444" t="s">
        <v>3319</v>
      </c>
      <c r="AH122" s="444"/>
      <c r="AI122" s="444" t="s">
        <v>3320</v>
      </c>
      <c r="AJ122" s="444"/>
      <c r="AK122" s="444" t="s">
        <v>3321</v>
      </c>
      <c r="AL122" s="444"/>
      <c r="AM122" s="444" t="s">
        <v>3322</v>
      </c>
      <c r="AN122" s="444"/>
      <c r="AO122" s="444" t="s">
        <v>3323</v>
      </c>
      <c r="AP122" s="444"/>
      <c r="AQ122" s="444" t="s">
        <v>3324</v>
      </c>
      <c r="AR122" s="444"/>
      <c r="AS122" s="444" t="s">
        <v>3325</v>
      </c>
      <c r="AT122" s="444"/>
      <c r="AU122" s="444" t="s">
        <v>3326</v>
      </c>
      <c r="AV122" s="444"/>
      <c r="AW122" s="444" t="s">
        <v>3327</v>
      </c>
      <c r="AX122" s="445"/>
      <c r="CC122" s="55"/>
      <c r="CD122" s="49"/>
      <c r="CE122" s="49"/>
      <c r="CF122" s="109">
        <f>CF123</f>
        <v>0</v>
      </c>
      <c r="CG122" s="49"/>
      <c r="CH122" s="109">
        <f>CH123</f>
        <v>1248.8859930000001</v>
      </c>
      <c r="CI122" s="49"/>
      <c r="CJ122" s="110">
        <f>CJ123</f>
        <v>329.43035999999995</v>
      </c>
      <c r="DJ122" s="16" t="s">
        <v>73</v>
      </c>
      <c r="DK122" s="16" t="s">
        <v>257</v>
      </c>
      <c r="EA122" s="111">
        <f>EA123</f>
        <v>2600575.0800000005</v>
      </c>
    </row>
    <row r="123" spans="2:133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EA123</f>
        <v>2600575.0800000005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4" t="s">
        <v>3328</v>
      </c>
      <c r="AE123" s="194" t="s">
        <v>270</v>
      </c>
      <c r="AF123" s="194" t="s">
        <v>3328</v>
      </c>
      <c r="AG123" s="194" t="s">
        <v>270</v>
      </c>
      <c r="AH123" s="194" t="s">
        <v>3328</v>
      </c>
      <c r="AI123" s="194" t="s">
        <v>270</v>
      </c>
      <c r="AJ123" s="194" t="s">
        <v>3328</v>
      </c>
      <c r="AK123" s="194" t="s">
        <v>270</v>
      </c>
      <c r="AL123" s="194" t="s">
        <v>3328</v>
      </c>
      <c r="AM123" s="194" t="s">
        <v>270</v>
      </c>
      <c r="AN123" s="194" t="s">
        <v>3328</v>
      </c>
      <c r="AO123" s="194" t="s">
        <v>270</v>
      </c>
      <c r="AP123" s="194" t="s">
        <v>3328</v>
      </c>
      <c r="AQ123" s="194" t="s">
        <v>270</v>
      </c>
      <c r="AR123" s="194" t="s">
        <v>3328</v>
      </c>
      <c r="AS123" s="194" t="s">
        <v>270</v>
      </c>
      <c r="AT123" s="194" t="s">
        <v>3328</v>
      </c>
      <c r="AU123" s="194" t="s">
        <v>270</v>
      </c>
      <c r="AV123" s="194" t="s">
        <v>3328</v>
      </c>
      <c r="AW123" s="194" t="s">
        <v>270</v>
      </c>
      <c r="AX123" s="195" t="s">
        <v>3328</v>
      </c>
      <c r="CC123" s="117"/>
      <c r="CF123" s="118">
        <f>CF125+CF239+CF244+CF270+CF289+CF345+CF356+CF378</f>
        <v>0</v>
      </c>
      <c r="CH123" s="118">
        <f>CH125+CH239+CH244+CH270+CH289+CH345+CH356+CH378</f>
        <v>1248.8859930000001</v>
      </c>
      <c r="CJ123" s="119">
        <f>CJ125+CJ239+CJ244+CJ270+CJ289+CJ345+CJ356+CJ378</f>
        <v>329.43035999999995</v>
      </c>
      <c r="DH123" s="113" t="s">
        <v>81</v>
      </c>
      <c r="DJ123" s="120" t="s">
        <v>73</v>
      </c>
      <c r="DK123" s="120" t="s">
        <v>74</v>
      </c>
      <c r="DO123" s="113" t="s">
        <v>282</v>
      </c>
      <c r="EA123" s="121">
        <f>EA125+EA239+EA244+EA270+EA289+EA345+EA356+EA378</f>
        <v>2600575.0800000005</v>
      </c>
    </row>
    <row r="124" spans="2:133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M125+M239+M244+M270+M289+M345+M356+M378</f>
        <v>0</v>
      </c>
      <c r="N124" s="208"/>
      <c r="O124" s="208">
        <f>O125+O239+O244+O270+O289+O345+O356+O378</f>
        <v>-2963.8099999999995</v>
      </c>
      <c r="P124" s="192"/>
      <c r="Q124" s="192">
        <f>Q125+Q239+Q244+Q270+Q289+Q345+Q356+Q378</f>
        <v>2603538.9</v>
      </c>
      <c r="S124" s="196"/>
      <c r="T124" s="197">
        <f>T125+T239+T244+T270+T289+T345+T356+T378</f>
        <v>0</v>
      </c>
      <c r="U124" s="197">
        <f>U125+U239+U244+U270+U289+U345+U356+U378</f>
        <v>0</v>
      </c>
      <c r="V124" s="197">
        <f>V125+V239+V244+V270+V289+V345+V356+V378</f>
        <v>2600575.0800000005</v>
      </c>
      <c r="W124" s="197"/>
      <c r="X124" s="197">
        <f>X125+X239+X244+X270+X289+X345+X356+X378</f>
        <v>0</v>
      </c>
      <c r="Y124" s="197"/>
      <c r="Z124" s="197">
        <f>Z125+Z239+Z244+Z270+Z289+Z345+Z356+Z378</f>
        <v>0</v>
      </c>
      <c r="AA124" s="197"/>
      <c r="AB124" s="197">
        <f>AB125+AB239+AB244+AB270+AB289+AB345+AB356+AB378</f>
        <v>0</v>
      </c>
      <c r="AC124" s="197"/>
      <c r="AD124" s="197">
        <f>AD125+AD239+AD244+AD270+AD289+AD345+AD356+AD378</f>
        <v>0</v>
      </c>
      <c r="AE124" s="197"/>
      <c r="AF124" s="197">
        <f>AF125+AF239+AF244+AF270+AF289+AF345+AF356+AF378</f>
        <v>0</v>
      </c>
      <c r="AG124" s="197"/>
      <c r="AH124" s="197">
        <f>AH125+AH239+AH244+AH270+AH289+AH345+AH356+AH378</f>
        <v>0</v>
      </c>
      <c r="AI124" s="197"/>
      <c r="AJ124" s="197">
        <f>AJ125+AJ239+AJ244+AJ270+AJ289+AJ345+AJ356+AJ378</f>
        <v>0</v>
      </c>
      <c r="AK124" s="197"/>
      <c r="AL124" s="197">
        <f>AL125+AL239+AL244+AL270+AL289+AL345+AL356+AL378</f>
        <v>0</v>
      </c>
      <c r="AM124" s="197"/>
      <c r="AN124" s="197">
        <f>AN125+AN239+AN244+AN270+AN289+AN345+AN356+AN378</f>
        <v>0</v>
      </c>
      <c r="AO124" s="197"/>
      <c r="AP124" s="197">
        <f>AP125+AP239+AP244+AP270+AP289+AP345+AP356+AP378</f>
        <v>0</v>
      </c>
      <c r="AQ124" s="197"/>
      <c r="AR124" s="197">
        <f>AR125+AR239+AR244+AR270+AR289+AR345+AR356+AR378</f>
        <v>0</v>
      </c>
      <c r="AS124" s="197"/>
      <c r="AT124" s="197">
        <f>AT125+AT239+AT244+AT270+AT289+AT345+AT356+AT378</f>
        <v>0</v>
      </c>
      <c r="AU124" s="197"/>
      <c r="AV124" s="197">
        <f>AV125+AV239+AV244+AV270+AV289+AV345+AV356+AV378</f>
        <v>0</v>
      </c>
      <c r="AW124" s="197"/>
      <c r="AX124" s="242">
        <f>AX125+AX239+AX244+AX270+AX289+AX345+AX356+AX378</f>
        <v>0</v>
      </c>
      <c r="CC124" s="117"/>
      <c r="CF124" s="118"/>
      <c r="CH124" s="118"/>
      <c r="CJ124" s="119"/>
      <c r="DH124" s="113"/>
      <c r="DJ124" s="120"/>
      <c r="DK124" s="120"/>
      <c r="DO124" s="113"/>
      <c r="EA124" s="121"/>
    </row>
    <row r="125" spans="2:133" s="10" customFormat="1" ht="22.9" customHeight="1" x14ac:dyDescent="0.2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EA125</f>
        <v>1593747.1600000006</v>
      </c>
      <c r="L125" s="112"/>
      <c r="M125" s="291">
        <f>SUM(M126:M236)</f>
        <v>0</v>
      </c>
      <c r="N125" s="292"/>
      <c r="O125" s="293">
        <f>SUM(O126:O236)</f>
        <v>-1916.9099999999999</v>
      </c>
      <c r="P125" s="291"/>
      <c r="Q125" s="297">
        <f>SUM(Q126:Q236)</f>
        <v>1595664.0499999998</v>
      </c>
      <c r="R125" s="291"/>
      <c r="S125" s="291"/>
      <c r="T125" s="291">
        <f>SUM(T126:T236)</f>
        <v>0</v>
      </c>
      <c r="U125" s="291"/>
      <c r="V125" s="291">
        <f>SUM(V126:V236)</f>
        <v>1593747.1600000006</v>
      </c>
      <c r="CC125" s="117"/>
      <c r="CF125" s="118">
        <f>SUM(CF126:CF238)</f>
        <v>0</v>
      </c>
      <c r="CH125" s="118">
        <f>SUM(CH126:CH238)</f>
        <v>1193.582173</v>
      </c>
      <c r="CJ125" s="119">
        <f>SUM(CJ126:CJ238)</f>
        <v>329.43035999999995</v>
      </c>
      <c r="DH125" s="113" t="s">
        <v>81</v>
      </c>
      <c r="DJ125" s="120" t="s">
        <v>73</v>
      </c>
      <c r="DK125" s="120" t="s">
        <v>81</v>
      </c>
      <c r="DO125" s="113" t="s">
        <v>282</v>
      </c>
      <c r="EA125" s="121">
        <f>SUM(EA126:EA238)</f>
        <v>1593747.1600000006</v>
      </c>
    </row>
    <row r="126" spans="2:133" s="1" customFormat="1" ht="24.2" customHeight="1" x14ac:dyDescent="0.2">
      <c r="B126" s="124"/>
      <c r="C126" s="125" t="s">
        <v>81</v>
      </c>
      <c r="D126" s="125" t="s">
        <v>284</v>
      </c>
      <c r="E126" s="126" t="s">
        <v>285</v>
      </c>
      <c r="F126" s="127" t="s">
        <v>286</v>
      </c>
      <c r="G126" s="128" t="s">
        <v>287</v>
      </c>
      <c r="H126" s="129">
        <v>193.17</v>
      </c>
      <c r="I126" s="130">
        <v>68.767172335543137</v>
      </c>
      <c r="J126" s="131">
        <f>ROUND(I126*H126,2)</f>
        <v>13283.75</v>
      </c>
      <c r="K126" s="127" t="s">
        <v>1</v>
      </c>
      <c r="L126" s="268">
        <f>S126</f>
        <v>0</v>
      </c>
      <c r="M126" s="272">
        <f>ROUND(L126*I126,2)</f>
        <v>0</v>
      </c>
      <c r="N126" s="243">
        <f>N128</f>
        <v>-0.23099999999999454</v>
      </c>
      <c r="O126" s="294">
        <f>ROUND(N126*I126,2)</f>
        <v>-15.89</v>
      </c>
      <c r="P126" s="273">
        <f>H126-L126-N126</f>
        <v>193.40099999999998</v>
      </c>
      <c r="Q126" s="287">
        <f>ROUND(P126*I126,2)</f>
        <v>13299.64</v>
      </c>
      <c r="R126" s="137"/>
      <c r="S126" s="269">
        <f>W126+Y126+AA126+AC126+AE126+AG126+AI126+AK126+AM126+AO126+AQ126+AS126+AU126+AW126</f>
        <v>0</v>
      </c>
      <c r="T126" s="269">
        <f>ROUND(S126*I126,2)</f>
        <v>0</v>
      </c>
      <c r="U126" s="269">
        <f>H126-S126</f>
        <v>193.17</v>
      </c>
      <c r="V126" s="269">
        <f>ROUND(U126*I126,2)</f>
        <v>13283.75</v>
      </c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CC126" s="132" t="s">
        <v>1</v>
      </c>
      <c r="CD126" s="133" t="s">
        <v>40</v>
      </c>
      <c r="CF126" s="134">
        <f>CE126*H126</f>
        <v>0</v>
      </c>
      <c r="CG126" s="134">
        <v>0</v>
      </c>
      <c r="CH126" s="134">
        <f>CG126*H126</f>
        <v>0</v>
      </c>
      <c r="CI126" s="134">
        <v>0.57999999999999996</v>
      </c>
      <c r="CJ126" s="135">
        <f>CI126*H126</f>
        <v>112.03859999999999</v>
      </c>
      <c r="DH126" s="136" t="s">
        <v>95</v>
      </c>
      <c r="DJ126" s="136" t="s">
        <v>284</v>
      </c>
      <c r="DK126" s="136" t="s">
        <v>83</v>
      </c>
      <c r="DO126" s="16" t="s">
        <v>282</v>
      </c>
      <c r="DU126" s="137">
        <f>IF(CD126="základní",J126,0)</f>
        <v>13283.75</v>
      </c>
      <c r="DV126" s="137">
        <f>IF(CD126="snížená",J126,0)</f>
        <v>0</v>
      </c>
      <c r="DW126" s="137">
        <f>IF(CD126="zákl. přenesená",J126,0)</f>
        <v>0</v>
      </c>
      <c r="DX126" s="137">
        <f>IF(CD126="sníž. přenesená",J126,0)</f>
        <v>0</v>
      </c>
      <c r="DY126" s="137">
        <f>IF(CD126="nulová",J126,0)</f>
        <v>0</v>
      </c>
      <c r="DZ126" s="16" t="s">
        <v>81</v>
      </c>
      <c r="EA126" s="137">
        <f>ROUND(I126*H126,2)</f>
        <v>13283.75</v>
      </c>
      <c r="EB126" s="16" t="s">
        <v>95</v>
      </c>
      <c r="EC126" s="136" t="s">
        <v>288</v>
      </c>
    </row>
    <row r="127" spans="2:133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CC127" s="141"/>
      <c r="CJ127" s="50"/>
      <c r="DJ127" s="16" t="s">
        <v>289</v>
      </c>
      <c r="DK127" s="16" t="s">
        <v>83</v>
      </c>
    </row>
    <row r="128" spans="2:133" s="1" customFormat="1" ht="24.2" customHeight="1" x14ac:dyDescent="0.2">
      <c r="B128" s="124"/>
      <c r="C128" s="125" t="s">
        <v>83</v>
      </c>
      <c r="D128" s="125" t="s">
        <v>284</v>
      </c>
      <c r="E128" s="126" t="s">
        <v>291</v>
      </c>
      <c r="F128" s="127" t="s">
        <v>292</v>
      </c>
      <c r="G128" s="128" t="s">
        <v>287</v>
      </c>
      <c r="H128" s="129">
        <v>193.17</v>
      </c>
      <c r="I128" s="130">
        <v>68.767172335543137</v>
      </c>
      <c r="J128" s="131">
        <f>ROUND(I128*H128,2)</f>
        <v>13283.75</v>
      </c>
      <c r="K128" s="127" t="s">
        <v>293</v>
      </c>
      <c r="L128" s="268">
        <f>S128</f>
        <v>0</v>
      </c>
      <c r="M128" s="272">
        <f>ROUND(L128*I128,2)</f>
        <v>0</v>
      </c>
      <c r="N128" s="243">
        <f>N130</f>
        <v>-0.23099999999999454</v>
      </c>
      <c r="O128" s="294">
        <f>ROUND(N128*I128,2)</f>
        <v>-15.89</v>
      </c>
      <c r="P128" s="273">
        <f>H128-L128-N128</f>
        <v>193.40099999999998</v>
      </c>
      <c r="Q128" s="287">
        <f>ROUND(P128*I128,2)</f>
        <v>13299.64</v>
      </c>
      <c r="R128" s="137"/>
      <c r="S128" s="269">
        <f>W128+Y128+AA128+AC128+AE128+AG128+AI128+AK128+AM128+AO128+AQ128+AS128+AU128+AW128</f>
        <v>0</v>
      </c>
      <c r="T128" s="269">
        <f>ROUND(S128*I128,2)</f>
        <v>0</v>
      </c>
      <c r="U128" s="269">
        <f>H128-S128</f>
        <v>193.17</v>
      </c>
      <c r="V128" s="269">
        <f>ROUND(U128*I128,2)</f>
        <v>13283.75</v>
      </c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CC128" s="132" t="s">
        <v>1</v>
      </c>
      <c r="CD128" s="133" t="s">
        <v>40</v>
      </c>
      <c r="CF128" s="134">
        <f>CE128*H128</f>
        <v>0</v>
      </c>
      <c r="CG128" s="134">
        <v>0</v>
      </c>
      <c r="CH128" s="134">
        <f>CG128*H128</f>
        <v>0</v>
      </c>
      <c r="CI128" s="134">
        <v>0.57999999999999996</v>
      </c>
      <c r="CJ128" s="135">
        <f>CI128*H128</f>
        <v>112.03859999999999</v>
      </c>
      <c r="DH128" s="136" t="s">
        <v>95</v>
      </c>
      <c r="DJ128" s="136" t="s">
        <v>284</v>
      </c>
      <c r="DK128" s="136" t="s">
        <v>83</v>
      </c>
      <c r="DO128" s="16" t="s">
        <v>282</v>
      </c>
      <c r="DU128" s="137">
        <f>IF(CD128="základní",J128,0)</f>
        <v>13283.75</v>
      </c>
      <c r="DV128" s="137">
        <f>IF(CD128="snížená",J128,0)</f>
        <v>0</v>
      </c>
      <c r="DW128" s="137">
        <f>IF(CD128="zákl. přenesená",J128,0)</f>
        <v>0</v>
      </c>
      <c r="DX128" s="137">
        <f>IF(CD128="sníž. přenesená",J128,0)</f>
        <v>0</v>
      </c>
      <c r="DY128" s="137">
        <f>IF(CD128="nulová",J128,0)</f>
        <v>0</v>
      </c>
      <c r="DZ128" s="16" t="s">
        <v>81</v>
      </c>
      <c r="EA128" s="137">
        <f>ROUND(I128*H128,2)</f>
        <v>13283.75</v>
      </c>
      <c r="EB128" s="16" t="s">
        <v>95</v>
      </c>
      <c r="EC128" s="136" t="s">
        <v>294</v>
      </c>
    </row>
    <row r="129" spans="2:133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CC129" s="141"/>
      <c r="CJ129" s="50"/>
      <c r="DJ129" s="16" t="s">
        <v>289</v>
      </c>
      <c r="DK129" s="16" t="s">
        <v>83</v>
      </c>
    </row>
    <row r="130" spans="2:133" s="1" customFormat="1" ht="24.2" customHeight="1" x14ac:dyDescent="0.2">
      <c r="B130" s="124"/>
      <c r="C130" s="125" t="s">
        <v>90</v>
      </c>
      <c r="D130" s="125" t="s">
        <v>284</v>
      </c>
      <c r="E130" s="126" t="s">
        <v>295</v>
      </c>
      <c r="F130" s="127" t="s">
        <v>296</v>
      </c>
      <c r="G130" s="128" t="s">
        <v>287</v>
      </c>
      <c r="H130" s="129">
        <v>193.17</v>
      </c>
      <c r="I130" s="130">
        <v>27.886826761540966</v>
      </c>
      <c r="J130" s="131">
        <f>ROUND(I130*H130,2)</f>
        <v>5386.9</v>
      </c>
      <c r="K130" s="127" t="s">
        <v>293</v>
      </c>
      <c r="L130" s="268">
        <f>S130</f>
        <v>0</v>
      </c>
      <c r="M130" s="272">
        <f>ROUND(L130*I130,2)</f>
        <v>0</v>
      </c>
      <c r="N130" s="243">
        <f>N137</f>
        <v>-0.23099999999999454</v>
      </c>
      <c r="O130" s="294">
        <f>ROUND(N130*I130,2)</f>
        <v>-6.44</v>
      </c>
      <c r="P130" s="273">
        <f>H130-L130-N130</f>
        <v>193.40099999999998</v>
      </c>
      <c r="Q130" s="287">
        <f>ROUND(P130*I130,2)</f>
        <v>5393.34</v>
      </c>
      <c r="R130" s="137"/>
      <c r="S130" s="269">
        <f>W130+Y130+AA130+AC130+AE130+AG130+AI130+AK130+AM130+AO130+AQ130+AS130+AU130+AW130</f>
        <v>0</v>
      </c>
      <c r="T130" s="269">
        <f>ROUND(S130*I130,2)</f>
        <v>0</v>
      </c>
      <c r="U130" s="269">
        <f>H130-S130</f>
        <v>193.17</v>
      </c>
      <c r="V130" s="269">
        <f>ROUND(U130*I130,2)</f>
        <v>5386.9</v>
      </c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CC130" s="132" t="s">
        <v>1</v>
      </c>
      <c r="CD130" s="133" t="s">
        <v>40</v>
      </c>
      <c r="CF130" s="134">
        <f>CE130*H130</f>
        <v>0</v>
      </c>
      <c r="CG130" s="134">
        <v>0</v>
      </c>
      <c r="CH130" s="134">
        <f>CG130*H130</f>
        <v>0</v>
      </c>
      <c r="CI130" s="134">
        <v>9.8000000000000004E-2</v>
      </c>
      <c r="CJ130" s="135">
        <f>CI130*H130</f>
        <v>18.93066</v>
      </c>
      <c r="DH130" s="136" t="s">
        <v>95</v>
      </c>
      <c r="DJ130" s="136" t="s">
        <v>284</v>
      </c>
      <c r="DK130" s="136" t="s">
        <v>83</v>
      </c>
      <c r="DO130" s="16" t="s">
        <v>282</v>
      </c>
      <c r="DU130" s="137">
        <f>IF(CD130="základní",J130,0)</f>
        <v>5386.9</v>
      </c>
      <c r="DV130" s="137">
        <f>IF(CD130="snížená",J130,0)</f>
        <v>0</v>
      </c>
      <c r="DW130" s="137">
        <f>IF(CD130="zákl. přenesená",J130,0)</f>
        <v>0</v>
      </c>
      <c r="DX130" s="137">
        <f>IF(CD130="sníž. přenesená",J130,0)</f>
        <v>0</v>
      </c>
      <c r="DY130" s="137">
        <f>IF(CD130="nulová",J130,0)</f>
        <v>0</v>
      </c>
      <c r="DZ130" s="16" t="s">
        <v>81</v>
      </c>
      <c r="EA130" s="137">
        <f>ROUND(I130*H130,2)</f>
        <v>5386.9</v>
      </c>
      <c r="EB130" s="16" t="s">
        <v>95</v>
      </c>
      <c r="EC130" s="136" t="s">
        <v>297</v>
      </c>
    </row>
    <row r="131" spans="2:133" s="1" customFormat="1" ht="29.25" x14ac:dyDescent="0.2">
      <c r="B131" s="31"/>
      <c r="D131" s="138" t="s">
        <v>289</v>
      </c>
      <c r="F131" s="139" t="s">
        <v>298</v>
      </c>
      <c r="I131" s="140"/>
      <c r="L131" s="31"/>
      <c r="N131" s="213"/>
      <c r="O131" s="214"/>
      <c r="Q131" s="229"/>
      <c r="CC131" s="141"/>
      <c r="CJ131" s="50"/>
      <c r="DJ131" s="16" t="s">
        <v>289</v>
      </c>
      <c r="DK131" s="16" t="s">
        <v>83</v>
      </c>
    </row>
    <row r="132" spans="2:133" s="1" customFormat="1" ht="29.25" x14ac:dyDescent="0.2">
      <c r="B132" s="31"/>
      <c r="D132" s="138" t="s">
        <v>299</v>
      </c>
      <c r="F132" s="142" t="s">
        <v>843</v>
      </c>
      <c r="I132" s="140"/>
      <c r="L132" s="31"/>
      <c r="N132" s="213"/>
      <c r="O132" s="214"/>
      <c r="Q132" s="229"/>
      <c r="CC132" s="141"/>
      <c r="CJ132" s="50"/>
      <c r="DJ132" s="16" t="s">
        <v>299</v>
      </c>
      <c r="DK132" s="16" t="s">
        <v>83</v>
      </c>
    </row>
    <row r="133" spans="2:133" s="11" customFormat="1" x14ac:dyDescent="0.2">
      <c r="B133" s="143"/>
      <c r="D133" s="138" t="s">
        <v>301</v>
      </c>
      <c r="E133" s="144" t="s">
        <v>1</v>
      </c>
      <c r="F133" s="145" t="s">
        <v>302</v>
      </c>
      <c r="H133" s="144" t="s">
        <v>1</v>
      </c>
      <c r="I133" s="146"/>
      <c r="L133" s="143"/>
      <c r="N133" s="215"/>
      <c r="O133" s="216"/>
      <c r="Q133" s="230"/>
      <c r="CC133" s="147"/>
      <c r="CJ133" s="148"/>
      <c r="DJ133" s="144" t="s">
        <v>301</v>
      </c>
      <c r="DK133" s="144" t="s">
        <v>83</v>
      </c>
      <c r="DL133" s="11" t="s">
        <v>81</v>
      </c>
      <c r="DM133" s="11" t="s">
        <v>32</v>
      </c>
      <c r="DN133" s="11" t="s">
        <v>74</v>
      </c>
      <c r="DO133" s="144" t="s">
        <v>282</v>
      </c>
    </row>
    <row r="134" spans="2:133" s="12" customFormat="1" x14ac:dyDescent="0.2">
      <c r="B134" s="149"/>
      <c r="D134" s="138" t="s">
        <v>301</v>
      </c>
      <c r="E134" s="150" t="s">
        <v>1</v>
      </c>
      <c r="F134" s="151" t="s">
        <v>844</v>
      </c>
      <c r="H134" s="152">
        <v>175.35</v>
      </c>
      <c r="I134" s="153"/>
      <c r="L134" s="149"/>
      <c r="N134" s="217">
        <f>166.78*1.05</f>
        <v>175.119</v>
      </c>
      <c r="O134" s="359" t="s">
        <v>3401</v>
      </c>
      <c r="Q134" s="231"/>
      <c r="CC134" s="154"/>
      <c r="CJ134" s="155"/>
      <c r="DJ134" s="150" t="s">
        <v>301</v>
      </c>
      <c r="DK134" s="150" t="s">
        <v>83</v>
      </c>
      <c r="DL134" s="12" t="s">
        <v>83</v>
      </c>
      <c r="DM134" s="12" t="s">
        <v>32</v>
      </c>
      <c r="DN134" s="12" t="s">
        <v>74</v>
      </c>
      <c r="DO134" s="150" t="s">
        <v>282</v>
      </c>
    </row>
    <row r="135" spans="2:133" s="12" customFormat="1" x14ac:dyDescent="0.2">
      <c r="B135" s="149"/>
      <c r="D135" s="138" t="s">
        <v>301</v>
      </c>
      <c r="E135" s="150" t="s">
        <v>1</v>
      </c>
      <c r="F135" s="151" t="s">
        <v>845</v>
      </c>
      <c r="H135" s="152">
        <v>17.82</v>
      </c>
      <c r="I135" s="153"/>
      <c r="L135" s="149"/>
      <c r="N135" s="310">
        <f>H135</f>
        <v>17.82</v>
      </c>
      <c r="O135" s="218"/>
      <c r="Q135" s="231"/>
      <c r="CC135" s="154"/>
      <c r="CJ135" s="155"/>
      <c r="DJ135" s="150" t="s">
        <v>301</v>
      </c>
      <c r="DK135" s="150" t="s">
        <v>83</v>
      </c>
      <c r="DL135" s="12" t="s">
        <v>83</v>
      </c>
      <c r="DM135" s="12" t="s">
        <v>32</v>
      </c>
      <c r="DN135" s="12" t="s">
        <v>74</v>
      </c>
      <c r="DO135" s="150" t="s">
        <v>282</v>
      </c>
    </row>
    <row r="136" spans="2:133" s="13" customFormat="1" x14ac:dyDescent="0.2">
      <c r="B136" s="156"/>
      <c r="D136" s="138" t="s">
        <v>301</v>
      </c>
      <c r="E136" s="157" t="s">
        <v>1</v>
      </c>
      <c r="F136" s="158" t="s">
        <v>305</v>
      </c>
      <c r="H136" s="159">
        <v>193.17</v>
      </c>
      <c r="I136" s="160"/>
      <c r="L136" s="156"/>
      <c r="N136" s="311">
        <f>N134+N135</f>
        <v>192.93899999999999</v>
      </c>
      <c r="O136" s="220"/>
      <c r="Q136" s="232"/>
      <c r="CC136" s="161"/>
      <c r="CJ136" s="162"/>
      <c r="DJ136" s="157" t="s">
        <v>301</v>
      </c>
      <c r="DK136" s="157" t="s">
        <v>83</v>
      </c>
      <c r="DL136" s="13" t="s">
        <v>95</v>
      </c>
      <c r="DM136" s="13" t="s">
        <v>32</v>
      </c>
      <c r="DN136" s="13" t="s">
        <v>81</v>
      </c>
      <c r="DO136" s="157" t="s">
        <v>282</v>
      </c>
    </row>
    <row r="137" spans="2:133" s="13" customFormat="1" x14ac:dyDescent="0.2">
      <c r="B137" s="156"/>
      <c r="D137" s="138"/>
      <c r="E137" s="157"/>
      <c r="F137" s="158"/>
      <c r="H137" s="159"/>
      <c r="I137" s="160"/>
      <c r="L137" s="156"/>
      <c r="N137" s="311">
        <f>N136-H136</f>
        <v>-0.23099999999999454</v>
      </c>
      <c r="O137" s="220"/>
      <c r="Q137" s="232"/>
      <c r="CC137" s="161"/>
      <c r="CJ137" s="162"/>
      <c r="DJ137" s="157"/>
      <c r="DK137" s="157"/>
      <c r="DO137" s="157"/>
    </row>
    <row r="138" spans="2:133" s="1" customFormat="1" ht="24.2" customHeight="1" x14ac:dyDescent="0.2">
      <c r="B138" s="124"/>
      <c r="C138" s="125" t="s">
        <v>95</v>
      </c>
      <c r="D138" s="125" t="s">
        <v>284</v>
      </c>
      <c r="E138" s="126" t="s">
        <v>306</v>
      </c>
      <c r="F138" s="127" t="s">
        <v>307</v>
      </c>
      <c r="G138" s="128" t="s">
        <v>287</v>
      </c>
      <c r="H138" s="129">
        <v>751.5</v>
      </c>
      <c r="I138" s="130">
        <v>55.314624729404002</v>
      </c>
      <c r="J138" s="131">
        <f>ROUND(I138*H138,2)</f>
        <v>41568.94</v>
      </c>
      <c r="K138" s="127" t="s">
        <v>293</v>
      </c>
      <c r="L138" s="268">
        <f>S138</f>
        <v>0</v>
      </c>
      <c r="M138" s="272">
        <f>ROUND(L138*I138,2)</f>
        <v>0</v>
      </c>
      <c r="N138" s="243">
        <f>N143</f>
        <v>-0.99000000000000909</v>
      </c>
      <c r="O138" s="294">
        <f>ROUND(N138*I138,2)</f>
        <v>-54.76</v>
      </c>
      <c r="P138" s="273">
        <f>H138-L138-N138</f>
        <v>752.49</v>
      </c>
      <c r="Q138" s="287">
        <f>ROUND(P138*I138,2)</f>
        <v>41623.699999999997</v>
      </c>
      <c r="R138" s="137"/>
      <c r="S138" s="269">
        <f>W138+Y138+AA138+AC138+AE138+AG138+AI138+AK138+AM138+AO138+AQ138+AS138+AU138+AW138</f>
        <v>0</v>
      </c>
      <c r="T138" s="269">
        <f>ROUND(S138*I138,2)</f>
        <v>0</v>
      </c>
      <c r="U138" s="269">
        <f>H138-S138</f>
        <v>751.5</v>
      </c>
      <c r="V138" s="269">
        <f>ROUND(U138*I138,2)</f>
        <v>41568.94</v>
      </c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CC138" s="132" t="s">
        <v>1</v>
      </c>
      <c r="CD138" s="133" t="s">
        <v>40</v>
      </c>
      <c r="CF138" s="134">
        <f>CE138*H138</f>
        <v>0</v>
      </c>
      <c r="CG138" s="134">
        <v>6.9999999999999994E-5</v>
      </c>
      <c r="CH138" s="134">
        <f>CG138*H138</f>
        <v>5.2604999999999992E-2</v>
      </c>
      <c r="CI138" s="134">
        <v>0.115</v>
      </c>
      <c r="CJ138" s="135">
        <f>CI138*H138</f>
        <v>86.422499999999999</v>
      </c>
      <c r="DH138" s="136" t="s">
        <v>95</v>
      </c>
      <c r="DJ138" s="136" t="s">
        <v>284</v>
      </c>
      <c r="DK138" s="136" t="s">
        <v>83</v>
      </c>
      <c r="DO138" s="16" t="s">
        <v>282</v>
      </c>
      <c r="DU138" s="137">
        <f>IF(CD138="základní",J138,0)</f>
        <v>41568.94</v>
      </c>
      <c r="DV138" s="137">
        <f>IF(CD138="snížená",J138,0)</f>
        <v>0</v>
      </c>
      <c r="DW138" s="137">
        <f>IF(CD138="zákl. přenesená",J138,0)</f>
        <v>0</v>
      </c>
      <c r="DX138" s="137">
        <f>IF(CD138="sníž. přenesená",J138,0)</f>
        <v>0</v>
      </c>
      <c r="DY138" s="137">
        <f>IF(CD138="nulová",J138,0)</f>
        <v>0</v>
      </c>
      <c r="DZ138" s="16" t="s">
        <v>81</v>
      </c>
      <c r="EA138" s="137">
        <f>ROUND(I138*H138,2)</f>
        <v>41568.94</v>
      </c>
      <c r="EB138" s="16" t="s">
        <v>95</v>
      </c>
      <c r="EC138" s="136" t="s">
        <v>308</v>
      </c>
    </row>
    <row r="139" spans="2:133" s="1" customFormat="1" ht="29.25" x14ac:dyDescent="0.2">
      <c r="B139" s="31"/>
      <c r="D139" s="138" t="s">
        <v>289</v>
      </c>
      <c r="F139" s="139" t="s">
        <v>309</v>
      </c>
      <c r="I139" s="140"/>
      <c r="L139" s="31"/>
      <c r="N139" s="213"/>
      <c r="O139" s="214"/>
      <c r="Q139" s="229"/>
      <c r="CC139" s="141"/>
      <c r="CJ139" s="50"/>
      <c r="DJ139" s="16" t="s">
        <v>289</v>
      </c>
      <c r="DK139" s="16" t="s">
        <v>83</v>
      </c>
    </row>
    <row r="140" spans="2:133" s="1" customFormat="1" ht="29.25" x14ac:dyDescent="0.2">
      <c r="B140" s="31"/>
      <c r="D140" s="138" t="s">
        <v>299</v>
      </c>
      <c r="F140" s="142" t="s">
        <v>843</v>
      </c>
      <c r="I140" s="140"/>
      <c r="L140" s="31"/>
      <c r="N140" s="213"/>
      <c r="O140" s="214"/>
      <c r="Q140" s="229"/>
      <c r="CC140" s="141"/>
      <c r="CJ140" s="50"/>
      <c r="DJ140" s="16" t="s">
        <v>299</v>
      </c>
      <c r="DK140" s="16" t="s">
        <v>83</v>
      </c>
    </row>
    <row r="141" spans="2:133" s="11" customFormat="1" x14ac:dyDescent="0.2">
      <c r="B141" s="143"/>
      <c r="D141" s="138" t="s">
        <v>301</v>
      </c>
      <c r="E141" s="144" t="s">
        <v>1</v>
      </c>
      <c r="F141" s="145" t="s">
        <v>310</v>
      </c>
      <c r="H141" s="144" t="s">
        <v>1</v>
      </c>
      <c r="I141" s="146"/>
      <c r="L141" s="143"/>
      <c r="N141" s="215"/>
      <c r="O141" s="216"/>
      <c r="Q141" s="230"/>
      <c r="CC141" s="147"/>
      <c r="CJ141" s="148"/>
      <c r="DJ141" s="144" t="s">
        <v>301</v>
      </c>
      <c r="DK141" s="144" t="s">
        <v>83</v>
      </c>
      <c r="DL141" s="11" t="s">
        <v>81</v>
      </c>
      <c r="DM141" s="11" t="s">
        <v>32</v>
      </c>
      <c r="DN141" s="11" t="s">
        <v>74</v>
      </c>
      <c r="DO141" s="144" t="s">
        <v>282</v>
      </c>
    </row>
    <row r="142" spans="2:133" s="12" customFormat="1" x14ac:dyDescent="0.2">
      <c r="B142" s="149"/>
      <c r="D142" s="138" t="s">
        <v>301</v>
      </c>
      <c r="E142" s="150" t="s">
        <v>1</v>
      </c>
      <c r="F142" s="151" t="s">
        <v>846</v>
      </c>
      <c r="H142" s="152">
        <v>751.5</v>
      </c>
      <c r="I142" s="153"/>
      <c r="L142" s="149"/>
      <c r="N142" s="217">
        <f>166.78*4.5</f>
        <v>750.51</v>
      </c>
      <c r="O142" s="218" t="s">
        <v>3402</v>
      </c>
      <c r="Q142" s="231"/>
      <c r="CC142" s="154"/>
      <c r="CJ142" s="155"/>
      <c r="DJ142" s="150" t="s">
        <v>301</v>
      </c>
      <c r="DK142" s="150" t="s">
        <v>83</v>
      </c>
      <c r="DL142" s="12" t="s">
        <v>83</v>
      </c>
      <c r="DM142" s="12" t="s">
        <v>32</v>
      </c>
      <c r="DN142" s="12" t="s">
        <v>81</v>
      </c>
      <c r="DO142" s="150" t="s">
        <v>282</v>
      </c>
    </row>
    <row r="143" spans="2:133" s="12" customFormat="1" x14ac:dyDescent="0.2">
      <c r="B143" s="149"/>
      <c r="D143" s="138"/>
      <c r="E143" s="150"/>
      <c r="F143" s="151"/>
      <c r="H143" s="152"/>
      <c r="I143" s="153"/>
      <c r="L143" s="149"/>
      <c r="N143" s="310">
        <f>N142-H142</f>
        <v>-0.99000000000000909</v>
      </c>
      <c r="O143" s="218"/>
      <c r="Q143" s="231"/>
      <c r="CC143" s="154"/>
      <c r="CJ143" s="155"/>
      <c r="DJ143" s="150"/>
      <c r="DK143" s="150"/>
      <c r="DO143" s="150"/>
    </row>
    <row r="144" spans="2:133" s="1" customFormat="1" ht="24.2" customHeight="1" x14ac:dyDescent="0.2">
      <c r="B144" s="124"/>
      <c r="C144" s="125" t="s">
        <v>312</v>
      </c>
      <c r="D144" s="125" t="s">
        <v>284</v>
      </c>
      <c r="E144" s="126" t="s">
        <v>313</v>
      </c>
      <c r="F144" s="127" t="s">
        <v>314</v>
      </c>
      <c r="G144" s="128" t="s">
        <v>315</v>
      </c>
      <c r="H144" s="129">
        <v>1</v>
      </c>
      <c r="I144" s="130">
        <v>3788.8627999999999</v>
      </c>
      <c r="J144" s="131">
        <f>ROUND(I144*H144,2)</f>
        <v>3788.86</v>
      </c>
      <c r="K144" s="127" t="s">
        <v>1</v>
      </c>
      <c r="L144" s="268">
        <f>S144</f>
        <v>0</v>
      </c>
      <c r="M144" s="272">
        <f>ROUND(L144*I144,2)</f>
        <v>0</v>
      </c>
      <c r="N144" s="243"/>
      <c r="O144" s="294">
        <f>ROUND(N144*I144,2)</f>
        <v>0</v>
      </c>
      <c r="P144" s="273">
        <f>H144-L144-N144</f>
        <v>1</v>
      </c>
      <c r="Q144" s="287">
        <f>ROUND(P144*I144,2)</f>
        <v>3788.86</v>
      </c>
      <c r="R144" s="137"/>
      <c r="S144" s="269">
        <f>W144+Y144+AA144+AC144+AE144+AG144+AI144+AK144+AM144+AO144+AQ144+AS144+AU144+AW144</f>
        <v>0</v>
      </c>
      <c r="T144" s="269">
        <f>ROUND(S144*I144,2)</f>
        <v>0</v>
      </c>
      <c r="U144" s="269">
        <f>H144-S144</f>
        <v>1</v>
      </c>
      <c r="V144" s="269">
        <f>ROUND(U144*I144,2)</f>
        <v>3788.86</v>
      </c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CC144" s="132" t="s">
        <v>1</v>
      </c>
      <c r="CD144" s="133" t="s">
        <v>40</v>
      </c>
      <c r="CF144" s="134">
        <f>CE144*H144</f>
        <v>0</v>
      </c>
      <c r="CG144" s="134">
        <v>0</v>
      </c>
      <c r="CH144" s="134">
        <f>CG144*H144</f>
        <v>0</v>
      </c>
      <c r="CI144" s="134">
        <v>0</v>
      </c>
      <c r="CJ144" s="135">
        <f>CI144*H144</f>
        <v>0</v>
      </c>
      <c r="DH144" s="136" t="s">
        <v>95</v>
      </c>
      <c r="DJ144" s="136" t="s">
        <v>284</v>
      </c>
      <c r="DK144" s="136" t="s">
        <v>83</v>
      </c>
      <c r="DO144" s="16" t="s">
        <v>282</v>
      </c>
      <c r="DU144" s="137">
        <f>IF(CD144="základní",J144,0)</f>
        <v>3788.86</v>
      </c>
      <c r="DV144" s="137">
        <f>IF(CD144="snížená",J144,0)</f>
        <v>0</v>
      </c>
      <c r="DW144" s="137">
        <f>IF(CD144="zákl. přenesená",J144,0)</f>
        <v>0</v>
      </c>
      <c r="DX144" s="137">
        <f>IF(CD144="sníž. přenesená",J144,0)</f>
        <v>0</v>
      </c>
      <c r="DY144" s="137">
        <f>IF(CD144="nulová",J144,0)</f>
        <v>0</v>
      </c>
      <c r="DZ144" s="16" t="s">
        <v>81</v>
      </c>
      <c r="EA144" s="137">
        <f>ROUND(I144*H144,2)</f>
        <v>3788.86</v>
      </c>
      <c r="EB144" s="16" t="s">
        <v>95</v>
      </c>
      <c r="EC144" s="136" t="s">
        <v>316</v>
      </c>
    </row>
    <row r="145" spans="2:133" s="1" customFormat="1" ht="19.5" x14ac:dyDescent="0.2">
      <c r="B145" s="31"/>
      <c r="D145" s="138" t="s">
        <v>289</v>
      </c>
      <c r="F145" s="139" t="s">
        <v>314</v>
      </c>
      <c r="I145" s="140"/>
      <c r="L145" s="31"/>
      <c r="N145" s="213"/>
      <c r="O145" s="214"/>
      <c r="Q145" s="229"/>
      <c r="CC145" s="141"/>
      <c r="CJ145" s="50"/>
      <c r="DJ145" s="16" t="s">
        <v>289</v>
      </c>
      <c r="DK145" s="16" t="s">
        <v>83</v>
      </c>
    </row>
    <row r="146" spans="2:133" s="1" customFormat="1" ht="19.5" x14ac:dyDescent="0.2">
      <c r="B146" s="31"/>
      <c r="D146" s="138" t="s">
        <v>299</v>
      </c>
      <c r="F146" s="142" t="s">
        <v>317</v>
      </c>
      <c r="I146" s="140"/>
      <c r="L146" s="31"/>
      <c r="N146" s="213"/>
      <c r="O146" s="214"/>
      <c r="Q146" s="229"/>
      <c r="CC146" s="141"/>
      <c r="CJ146" s="50"/>
      <c r="DJ146" s="16" t="s">
        <v>299</v>
      </c>
      <c r="DK146" s="16" t="s">
        <v>83</v>
      </c>
    </row>
    <row r="147" spans="2:133" s="12" customFormat="1" x14ac:dyDescent="0.2">
      <c r="B147" s="149"/>
      <c r="D147" s="138" t="s">
        <v>301</v>
      </c>
      <c r="E147" s="150" t="s">
        <v>1</v>
      </c>
      <c r="F147" s="151" t="s">
        <v>81</v>
      </c>
      <c r="H147" s="152">
        <v>1</v>
      </c>
      <c r="I147" s="153"/>
      <c r="L147" s="149"/>
      <c r="N147" s="217"/>
      <c r="O147" s="218"/>
      <c r="Q147" s="231"/>
      <c r="CC147" s="154"/>
      <c r="CJ147" s="155"/>
      <c r="DJ147" s="150" t="s">
        <v>301</v>
      </c>
      <c r="DK147" s="150" t="s">
        <v>83</v>
      </c>
      <c r="DL147" s="12" t="s">
        <v>83</v>
      </c>
      <c r="DM147" s="12" t="s">
        <v>32</v>
      </c>
      <c r="DN147" s="12" t="s">
        <v>81</v>
      </c>
      <c r="DO147" s="150" t="s">
        <v>282</v>
      </c>
    </row>
    <row r="148" spans="2:133" s="1" customFormat="1" ht="24.2" customHeight="1" x14ac:dyDescent="0.2">
      <c r="B148" s="124"/>
      <c r="C148" s="125" t="s">
        <v>318</v>
      </c>
      <c r="D148" s="125" t="s">
        <v>284</v>
      </c>
      <c r="E148" s="126" t="s">
        <v>324</v>
      </c>
      <c r="F148" s="127" t="s">
        <v>325</v>
      </c>
      <c r="G148" s="128" t="s">
        <v>315</v>
      </c>
      <c r="H148" s="129">
        <v>3</v>
      </c>
      <c r="I148" s="130">
        <v>1847.0706150000001</v>
      </c>
      <c r="J148" s="131">
        <f>ROUND(I148*H148,2)</f>
        <v>5541.21</v>
      </c>
      <c r="K148" s="127" t="s">
        <v>1</v>
      </c>
      <c r="L148" s="268">
        <f>S148</f>
        <v>0</v>
      </c>
      <c r="M148" s="272">
        <f>ROUND(L148*I148,2)</f>
        <v>0</v>
      </c>
      <c r="N148" s="243"/>
      <c r="O148" s="294">
        <f>ROUND(N148*I148,2)</f>
        <v>0</v>
      </c>
      <c r="P148" s="273">
        <f>H148-L148-N148</f>
        <v>3</v>
      </c>
      <c r="Q148" s="287">
        <f>ROUND(P148*I148,2)</f>
        <v>5541.21</v>
      </c>
      <c r="R148" s="137"/>
      <c r="S148" s="269">
        <f>W148+Y148+AA148+AC148+AE148+AG148+AI148+AK148+AM148+AO148+AQ148+AS148+AU148+AW148</f>
        <v>0</v>
      </c>
      <c r="T148" s="269">
        <f>ROUND(S148*I148,2)</f>
        <v>0</v>
      </c>
      <c r="U148" s="269">
        <f>H148-S148</f>
        <v>3</v>
      </c>
      <c r="V148" s="269">
        <f>ROUND(U148*I148,2)</f>
        <v>5541.21</v>
      </c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CC148" s="132" t="s">
        <v>1</v>
      </c>
      <c r="CD148" s="133" t="s">
        <v>40</v>
      </c>
      <c r="CF148" s="134">
        <f>CE148*H148</f>
        <v>0</v>
      </c>
      <c r="CG148" s="134">
        <v>0</v>
      </c>
      <c r="CH148" s="134">
        <f>CG148*H148</f>
        <v>0</v>
      </c>
      <c r="CI148" s="134">
        <v>0</v>
      </c>
      <c r="CJ148" s="135">
        <f>CI148*H148</f>
        <v>0</v>
      </c>
      <c r="DH148" s="136" t="s">
        <v>95</v>
      </c>
      <c r="DJ148" s="136" t="s">
        <v>284</v>
      </c>
      <c r="DK148" s="136" t="s">
        <v>83</v>
      </c>
      <c r="DO148" s="16" t="s">
        <v>282</v>
      </c>
      <c r="DU148" s="137">
        <f>IF(CD148="základní",J148,0)</f>
        <v>5541.21</v>
      </c>
      <c r="DV148" s="137">
        <f>IF(CD148="snížená",J148,0)</f>
        <v>0</v>
      </c>
      <c r="DW148" s="137">
        <f>IF(CD148="zákl. přenesená",J148,0)</f>
        <v>0</v>
      </c>
      <c r="DX148" s="137">
        <f>IF(CD148="sníž. přenesená",J148,0)</f>
        <v>0</v>
      </c>
      <c r="DY148" s="137">
        <f>IF(CD148="nulová",J148,0)</f>
        <v>0</v>
      </c>
      <c r="DZ148" s="16" t="s">
        <v>81</v>
      </c>
      <c r="EA148" s="137">
        <f>ROUND(I148*H148,2)</f>
        <v>5541.21</v>
      </c>
      <c r="EB148" s="16" t="s">
        <v>95</v>
      </c>
      <c r="EC148" s="136" t="s">
        <v>326</v>
      </c>
    </row>
    <row r="149" spans="2:133" s="1" customFormat="1" ht="19.5" x14ac:dyDescent="0.2">
      <c r="B149" s="31"/>
      <c r="D149" s="138" t="s">
        <v>289</v>
      </c>
      <c r="F149" s="139" t="s">
        <v>325</v>
      </c>
      <c r="I149" s="140"/>
      <c r="L149" s="31"/>
      <c r="N149" s="213"/>
      <c r="O149" s="214"/>
      <c r="Q149" s="229"/>
      <c r="CC149" s="141"/>
      <c r="CJ149" s="50"/>
      <c r="DJ149" s="16" t="s">
        <v>289</v>
      </c>
      <c r="DK149" s="16" t="s">
        <v>83</v>
      </c>
    </row>
    <row r="150" spans="2:133" s="1" customFormat="1" ht="19.5" x14ac:dyDescent="0.2">
      <c r="B150" s="31"/>
      <c r="D150" s="138" t="s">
        <v>299</v>
      </c>
      <c r="F150" s="142" t="s">
        <v>317</v>
      </c>
      <c r="I150" s="140"/>
      <c r="L150" s="31"/>
      <c r="N150" s="213"/>
      <c r="O150" s="214"/>
      <c r="Q150" s="229"/>
      <c r="CC150" s="141"/>
      <c r="CJ150" s="50"/>
      <c r="DJ150" s="16" t="s">
        <v>299</v>
      </c>
      <c r="DK150" s="16" t="s">
        <v>83</v>
      </c>
    </row>
    <row r="151" spans="2:133" s="12" customFormat="1" x14ac:dyDescent="0.2">
      <c r="B151" s="149"/>
      <c r="D151" s="138" t="s">
        <v>301</v>
      </c>
      <c r="E151" s="150" t="s">
        <v>1</v>
      </c>
      <c r="F151" s="151" t="s">
        <v>90</v>
      </c>
      <c r="H151" s="152">
        <v>3</v>
      </c>
      <c r="I151" s="153"/>
      <c r="L151" s="149"/>
      <c r="N151" s="217"/>
      <c r="O151" s="218"/>
      <c r="Q151" s="231"/>
      <c r="CC151" s="154"/>
      <c r="CJ151" s="155"/>
      <c r="DJ151" s="150" t="s">
        <v>301</v>
      </c>
      <c r="DK151" s="150" t="s">
        <v>83</v>
      </c>
      <c r="DL151" s="12" t="s">
        <v>83</v>
      </c>
      <c r="DM151" s="12" t="s">
        <v>32</v>
      </c>
      <c r="DN151" s="12" t="s">
        <v>81</v>
      </c>
      <c r="DO151" s="150" t="s">
        <v>282</v>
      </c>
    </row>
    <row r="152" spans="2:133" s="1" customFormat="1" ht="24.2" customHeight="1" x14ac:dyDescent="0.2">
      <c r="B152" s="124"/>
      <c r="C152" s="125" t="s">
        <v>323</v>
      </c>
      <c r="D152" s="125" t="s">
        <v>284</v>
      </c>
      <c r="E152" s="126" t="s">
        <v>329</v>
      </c>
      <c r="F152" s="127" t="s">
        <v>330</v>
      </c>
      <c r="G152" s="128" t="s">
        <v>331</v>
      </c>
      <c r="H152" s="129">
        <v>360</v>
      </c>
      <c r="I152" s="130">
        <v>70.957591385341729</v>
      </c>
      <c r="J152" s="131">
        <f>ROUND(I152*H152,2)</f>
        <v>25544.73</v>
      </c>
      <c r="K152" s="127" t="s">
        <v>293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360</v>
      </c>
      <c r="Q152" s="287">
        <f>ROUND(P152*I152,2)</f>
        <v>25544.73</v>
      </c>
      <c r="R152" s="137"/>
      <c r="S152" s="269">
        <f>W152+Y152+AA152+AC152+AE152+AG152+AI152+AK152+AM152+AO152+AQ152+AS152+AU152+AW152</f>
        <v>0</v>
      </c>
      <c r="T152" s="269">
        <f>ROUND(S152*I152,2)</f>
        <v>0</v>
      </c>
      <c r="U152" s="269">
        <f>H152-S152</f>
        <v>360</v>
      </c>
      <c r="V152" s="269">
        <f>ROUND(U152*I152,2)</f>
        <v>25544.73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CC152" s="132" t="s">
        <v>1</v>
      </c>
      <c r="CD152" s="133" t="s">
        <v>40</v>
      </c>
      <c r="CF152" s="134">
        <f>CE152*H152</f>
        <v>0</v>
      </c>
      <c r="CG152" s="134">
        <v>3.0000000000000001E-5</v>
      </c>
      <c r="CH152" s="134">
        <f>CG152*H152</f>
        <v>1.0800000000000001E-2</v>
      </c>
      <c r="CI152" s="134">
        <v>0</v>
      </c>
      <c r="CJ152" s="135">
        <f>CI152*H152</f>
        <v>0</v>
      </c>
      <c r="DH152" s="136" t="s">
        <v>95</v>
      </c>
      <c r="DJ152" s="136" t="s">
        <v>284</v>
      </c>
      <c r="DK152" s="136" t="s">
        <v>83</v>
      </c>
      <c r="DO152" s="16" t="s">
        <v>282</v>
      </c>
      <c r="DU152" s="137">
        <f>IF(CD152="základní",J152,0)</f>
        <v>25544.73</v>
      </c>
      <c r="DV152" s="137">
        <f>IF(CD152="snížená",J152,0)</f>
        <v>0</v>
      </c>
      <c r="DW152" s="137">
        <f>IF(CD152="zákl. přenesená",J152,0)</f>
        <v>0</v>
      </c>
      <c r="DX152" s="137">
        <f>IF(CD152="sníž. přenesená",J152,0)</f>
        <v>0</v>
      </c>
      <c r="DY152" s="137">
        <f>IF(CD152="nulová",J152,0)</f>
        <v>0</v>
      </c>
      <c r="DZ152" s="16" t="s">
        <v>81</v>
      </c>
      <c r="EA152" s="137">
        <f>ROUND(I152*H152,2)</f>
        <v>25544.73</v>
      </c>
      <c r="EB152" s="16" t="s">
        <v>95</v>
      </c>
      <c r="EC152" s="136" t="s">
        <v>332</v>
      </c>
    </row>
    <row r="153" spans="2:133" s="1" customFormat="1" ht="19.5" x14ac:dyDescent="0.2">
      <c r="B153" s="31"/>
      <c r="D153" s="138" t="s">
        <v>289</v>
      </c>
      <c r="F153" s="139" t="s">
        <v>333</v>
      </c>
      <c r="I153" s="140"/>
      <c r="L153" s="31"/>
      <c r="N153" s="213"/>
      <c r="O153" s="214"/>
      <c r="Q153" s="229"/>
      <c r="CC153" s="141"/>
      <c r="CJ153" s="50"/>
      <c r="DJ153" s="16" t="s">
        <v>289</v>
      </c>
      <c r="DK153" s="16" t="s">
        <v>83</v>
      </c>
    </row>
    <row r="154" spans="2:133" s="12" customFormat="1" x14ac:dyDescent="0.2">
      <c r="B154" s="149"/>
      <c r="D154" s="138" t="s">
        <v>301</v>
      </c>
      <c r="E154" s="150" t="s">
        <v>1</v>
      </c>
      <c r="F154" s="151" t="s">
        <v>847</v>
      </c>
      <c r="H154" s="152">
        <v>360</v>
      </c>
      <c r="I154" s="153"/>
      <c r="L154" s="149"/>
      <c r="N154" s="217"/>
      <c r="O154" s="218"/>
      <c r="Q154" s="231"/>
      <c r="CC154" s="154"/>
      <c r="CJ154" s="155"/>
      <c r="DJ154" s="150" t="s">
        <v>301</v>
      </c>
      <c r="DK154" s="150" t="s">
        <v>83</v>
      </c>
      <c r="DL154" s="12" t="s">
        <v>83</v>
      </c>
      <c r="DM154" s="12" t="s">
        <v>32</v>
      </c>
      <c r="DN154" s="12" t="s">
        <v>81</v>
      </c>
      <c r="DO154" s="150" t="s">
        <v>282</v>
      </c>
    </row>
    <row r="155" spans="2:133" s="1" customFormat="1" ht="24.2" customHeight="1" x14ac:dyDescent="0.2">
      <c r="B155" s="124"/>
      <c r="C155" s="125" t="s">
        <v>328</v>
      </c>
      <c r="D155" s="125" t="s">
        <v>284</v>
      </c>
      <c r="E155" s="126" t="s">
        <v>336</v>
      </c>
      <c r="F155" s="127" t="s">
        <v>337</v>
      </c>
      <c r="G155" s="128" t="s">
        <v>338</v>
      </c>
      <c r="H155" s="129">
        <v>45</v>
      </c>
      <c r="I155" s="130">
        <v>41.621835247115101</v>
      </c>
      <c r="J155" s="131">
        <f>ROUND(I155*H155,2)</f>
        <v>1872.98</v>
      </c>
      <c r="K155" s="127" t="s">
        <v>293</v>
      </c>
      <c r="L155" s="268">
        <f>S155</f>
        <v>0</v>
      </c>
      <c r="M155" s="272">
        <f>ROUND(L155*I155,2)</f>
        <v>0</v>
      </c>
      <c r="N155" s="243"/>
      <c r="O155" s="294">
        <f>ROUND(N155*I155,2)</f>
        <v>0</v>
      </c>
      <c r="P155" s="273">
        <f>H155-L155-N155</f>
        <v>45</v>
      </c>
      <c r="Q155" s="287">
        <f>ROUND(P155*I155,2)</f>
        <v>1872.98</v>
      </c>
      <c r="R155" s="137"/>
      <c r="S155" s="269">
        <f>W155+Y155+AA155+AC155+AE155+AG155+AI155+AK155+AM155+AO155+AQ155+AS155+AU155+AW155</f>
        <v>0</v>
      </c>
      <c r="T155" s="269">
        <f>ROUND(S155*I155,2)</f>
        <v>0</v>
      </c>
      <c r="U155" s="269">
        <f>H155-S155</f>
        <v>45</v>
      </c>
      <c r="V155" s="269">
        <f>ROUND(U155*I155,2)</f>
        <v>1872.98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CC155" s="132" t="s">
        <v>1</v>
      </c>
      <c r="CD155" s="133" t="s">
        <v>40</v>
      </c>
      <c r="CF155" s="134">
        <f>CE155*H155</f>
        <v>0</v>
      </c>
      <c r="CG155" s="134">
        <v>0</v>
      </c>
      <c r="CH155" s="134">
        <f>CG155*H155</f>
        <v>0</v>
      </c>
      <c r="CI155" s="134">
        <v>0</v>
      </c>
      <c r="CJ155" s="135">
        <f>CI155*H155</f>
        <v>0</v>
      </c>
      <c r="DH155" s="136" t="s">
        <v>95</v>
      </c>
      <c r="DJ155" s="136" t="s">
        <v>284</v>
      </c>
      <c r="DK155" s="136" t="s">
        <v>83</v>
      </c>
      <c r="DO155" s="16" t="s">
        <v>282</v>
      </c>
      <c r="DU155" s="137">
        <f>IF(CD155="základní",J155,0)</f>
        <v>1872.98</v>
      </c>
      <c r="DV155" s="137">
        <f>IF(CD155="snížená",J155,0)</f>
        <v>0</v>
      </c>
      <c r="DW155" s="137">
        <f>IF(CD155="zákl. přenesená",J155,0)</f>
        <v>0</v>
      </c>
      <c r="DX155" s="137">
        <f>IF(CD155="sníž. přenesená",J155,0)</f>
        <v>0</v>
      </c>
      <c r="DY155" s="137">
        <f>IF(CD155="nulová",J155,0)</f>
        <v>0</v>
      </c>
      <c r="DZ155" s="16" t="s">
        <v>81</v>
      </c>
      <c r="EA155" s="137">
        <f>ROUND(I155*H155,2)</f>
        <v>1872.98</v>
      </c>
      <c r="EB155" s="16" t="s">
        <v>95</v>
      </c>
      <c r="EC155" s="136" t="s">
        <v>339</v>
      </c>
    </row>
    <row r="156" spans="2:133" s="1" customFormat="1" ht="19.5" x14ac:dyDescent="0.2">
      <c r="B156" s="31"/>
      <c r="D156" s="138" t="s">
        <v>289</v>
      </c>
      <c r="F156" s="139" t="s">
        <v>340</v>
      </c>
      <c r="I156" s="140"/>
      <c r="L156" s="31"/>
      <c r="N156" s="213"/>
      <c r="O156" s="214"/>
      <c r="Q156" s="229"/>
      <c r="CC156" s="141"/>
      <c r="CJ156" s="50"/>
      <c r="DJ156" s="16" t="s">
        <v>289</v>
      </c>
      <c r="DK156" s="16" t="s">
        <v>83</v>
      </c>
    </row>
    <row r="157" spans="2:133" s="1" customFormat="1" ht="14.45" customHeight="1" x14ac:dyDescent="0.2">
      <c r="B157" s="124"/>
      <c r="C157" s="125" t="s">
        <v>335</v>
      </c>
      <c r="D157" s="125" t="s">
        <v>284</v>
      </c>
      <c r="E157" s="126" t="s">
        <v>342</v>
      </c>
      <c r="F157" s="127" t="s">
        <v>343</v>
      </c>
      <c r="G157" s="128" t="s">
        <v>344</v>
      </c>
      <c r="H157" s="129">
        <v>5.25</v>
      </c>
      <c r="I157" s="130">
        <v>235.02024596209694</v>
      </c>
      <c r="J157" s="131">
        <f>ROUND(I157*H157,2)</f>
        <v>1233.8599999999999</v>
      </c>
      <c r="K157" s="127" t="s">
        <v>293</v>
      </c>
      <c r="L157" s="268">
        <f>S157</f>
        <v>0</v>
      </c>
      <c r="M157" s="272">
        <f>ROUND(L157*I157,2)</f>
        <v>0</v>
      </c>
      <c r="N157" s="243"/>
      <c r="O157" s="294">
        <f>ROUND(N157*I157,2)</f>
        <v>0</v>
      </c>
      <c r="P157" s="273">
        <f>H157-L157-N157</f>
        <v>5.25</v>
      </c>
      <c r="Q157" s="287">
        <f>ROUND(P157*I157,2)</f>
        <v>1233.8599999999999</v>
      </c>
      <c r="R157" s="137"/>
      <c r="S157" s="269">
        <f>W157+Y157+AA157+AC157+AE157+AG157+AI157+AK157+AM157+AO157+AQ157+AS157+AU157+AW157</f>
        <v>0</v>
      </c>
      <c r="T157" s="269">
        <f>ROUND(S157*I157,2)</f>
        <v>0</v>
      </c>
      <c r="U157" s="269">
        <f>H157-S157</f>
        <v>5.25</v>
      </c>
      <c r="V157" s="269">
        <f>ROUND(U157*I157,2)</f>
        <v>1233.8599999999999</v>
      </c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CC157" s="132" t="s">
        <v>1</v>
      </c>
      <c r="CD157" s="133" t="s">
        <v>40</v>
      </c>
      <c r="CF157" s="134">
        <f>CE157*H157</f>
        <v>0</v>
      </c>
      <c r="CG157" s="134">
        <v>3.6900000000000002E-2</v>
      </c>
      <c r="CH157" s="134">
        <f>CG157*H157</f>
        <v>0.19372500000000001</v>
      </c>
      <c r="CI157" s="134">
        <v>0</v>
      </c>
      <c r="CJ157" s="135">
        <f>CI157*H157</f>
        <v>0</v>
      </c>
      <c r="DH157" s="136" t="s">
        <v>95</v>
      </c>
      <c r="DJ157" s="136" t="s">
        <v>284</v>
      </c>
      <c r="DK157" s="136" t="s">
        <v>83</v>
      </c>
      <c r="DO157" s="16" t="s">
        <v>282</v>
      </c>
      <c r="DU157" s="137">
        <f>IF(CD157="základní",J157,0)</f>
        <v>1233.8599999999999</v>
      </c>
      <c r="DV157" s="137">
        <f>IF(CD157="snížená",J157,0)</f>
        <v>0</v>
      </c>
      <c r="DW157" s="137">
        <f>IF(CD157="zákl. přenesená",J157,0)</f>
        <v>0</v>
      </c>
      <c r="DX157" s="137">
        <f>IF(CD157="sníž. přenesená",J157,0)</f>
        <v>0</v>
      </c>
      <c r="DY157" s="137">
        <f>IF(CD157="nulová",J157,0)</f>
        <v>0</v>
      </c>
      <c r="DZ157" s="16" t="s">
        <v>81</v>
      </c>
      <c r="EA157" s="137">
        <f>ROUND(I157*H157,2)</f>
        <v>1233.8599999999999</v>
      </c>
      <c r="EB157" s="16" t="s">
        <v>95</v>
      </c>
      <c r="EC157" s="136" t="s">
        <v>345</v>
      </c>
    </row>
    <row r="158" spans="2:133" s="1" customFormat="1" ht="58.5" x14ac:dyDescent="0.2">
      <c r="B158" s="31"/>
      <c r="D158" s="138" t="s">
        <v>289</v>
      </c>
      <c r="F158" s="139" t="s">
        <v>346</v>
      </c>
      <c r="I158" s="140"/>
      <c r="L158" s="31"/>
      <c r="N158" s="213"/>
      <c r="O158" s="214"/>
      <c r="Q158" s="229"/>
      <c r="CC158" s="141"/>
      <c r="CJ158" s="50"/>
      <c r="DJ158" s="16" t="s">
        <v>289</v>
      </c>
      <c r="DK158" s="16" t="s">
        <v>83</v>
      </c>
    </row>
    <row r="159" spans="2:133" s="1" customFormat="1" ht="29.25" x14ac:dyDescent="0.2">
      <c r="B159" s="31"/>
      <c r="D159" s="138" t="s">
        <v>299</v>
      </c>
      <c r="F159" s="142" t="s">
        <v>843</v>
      </c>
      <c r="I159" s="140"/>
      <c r="L159" s="31"/>
      <c r="N159" s="213"/>
      <c r="O159" s="214"/>
      <c r="Q159" s="229"/>
      <c r="CC159" s="141"/>
      <c r="CJ159" s="50"/>
      <c r="DJ159" s="16" t="s">
        <v>299</v>
      </c>
      <c r="DK159" s="16" t="s">
        <v>83</v>
      </c>
    </row>
    <row r="160" spans="2:133" s="12" customFormat="1" x14ac:dyDescent="0.2">
      <c r="B160" s="149"/>
      <c r="D160" s="138" t="s">
        <v>301</v>
      </c>
      <c r="E160" s="150" t="s">
        <v>1</v>
      </c>
      <c r="F160" s="151" t="s">
        <v>848</v>
      </c>
      <c r="H160" s="152">
        <v>5.25</v>
      </c>
      <c r="I160" s="153"/>
      <c r="L160" s="149"/>
      <c r="N160" s="217"/>
      <c r="O160" s="218"/>
      <c r="Q160" s="231"/>
      <c r="CC160" s="154"/>
      <c r="CJ160" s="155"/>
      <c r="DJ160" s="150" t="s">
        <v>301</v>
      </c>
      <c r="DK160" s="150" t="s">
        <v>83</v>
      </c>
      <c r="DL160" s="12" t="s">
        <v>83</v>
      </c>
      <c r="DM160" s="12" t="s">
        <v>32</v>
      </c>
      <c r="DN160" s="12" t="s">
        <v>81</v>
      </c>
      <c r="DO160" s="150" t="s">
        <v>282</v>
      </c>
    </row>
    <row r="161" spans="2:133" s="1" customFormat="1" ht="24.2" customHeight="1" x14ac:dyDescent="0.2">
      <c r="B161" s="124"/>
      <c r="C161" s="125" t="s">
        <v>341</v>
      </c>
      <c r="D161" s="125" t="s">
        <v>284</v>
      </c>
      <c r="E161" s="126" t="s">
        <v>349</v>
      </c>
      <c r="F161" s="127" t="s">
        <v>350</v>
      </c>
      <c r="G161" s="128" t="s">
        <v>344</v>
      </c>
      <c r="H161" s="129">
        <v>1.05</v>
      </c>
      <c r="I161" s="130">
        <v>225.71950862012659</v>
      </c>
      <c r="J161" s="131">
        <f>ROUND(I161*H161,2)</f>
        <v>237.01</v>
      </c>
      <c r="K161" s="127" t="s">
        <v>293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1.05</v>
      </c>
      <c r="Q161" s="287">
        <f>ROUND(P161*I161,2)</f>
        <v>237.01</v>
      </c>
      <c r="R161" s="137"/>
      <c r="S161" s="269">
        <f>W161+Y161+AA161+AC161+AE161+AG161+AI161+AK161+AM161+AO161+AQ161+AS161+AU161+AW161</f>
        <v>0</v>
      </c>
      <c r="T161" s="269">
        <f>ROUND(S161*I161,2)</f>
        <v>0</v>
      </c>
      <c r="U161" s="269">
        <f>H161-S161</f>
        <v>1.05</v>
      </c>
      <c r="V161" s="269">
        <f>ROUND(U161*I161,2)</f>
        <v>237.01</v>
      </c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CC161" s="132" t="s">
        <v>1</v>
      </c>
      <c r="CD161" s="133" t="s">
        <v>40</v>
      </c>
      <c r="CF161" s="134">
        <f>CE161*H161</f>
        <v>0</v>
      </c>
      <c r="CG161" s="134">
        <v>3.6900000000000002E-2</v>
      </c>
      <c r="CH161" s="134">
        <f>CG161*H161</f>
        <v>3.8745000000000002E-2</v>
      </c>
      <c r="CI161" s="134">
        <v>0</v>
      </c>
      <c r="CJ161" s="135">
        <f>CI161*H161</f>
        <v>0</v>
      </c>
      <c r="DH161" s="136" t="s">
        <v>95</v>
      </c>
      <c r="DJ161" s="136" t="s">
        <v>284</v>
      </c>
      <c r="DK161" s="136" t="s">
        <v>83</v>
      </c>
      <c r="DO161" s="16" t="s">
        <v>282</v>
      </c>
      <c r="DU161" s="137">
        <f>IF(CD161="základní",J161,0)</f>
        <v>237.01</v>
      </c>
      <c r="DV161" s="137">
        <f>IF(CD161="snížená",J161,0)</f>
        <v>0</v>
      </c>
      <c r="DW161" s="137">
        <f>IF(CD161="zákl. přenesená",J161,0)</f>
        <v>0</v>
      </c>
      <c r="DX161" s="137">
        <f>IF(CD161="sníž. přenesená",J161,0)</f>
        <v>0</v>
      </c>
      <c r="DY161" s="137">
        <f>IF(CD161="nulová",J161,0)</f>
        <v>0</v>
      </c>
      <c r="DZ161" s="16" t="s">
        <v>81</v>
      </c>
      <c r="EA161" s="137">
        <f>ROUND(I161*H161,2)</f>
        <v>237.01</v>
      </c>
      <c r="EB161" s="16" t="s">
        <v>95</v>
      </c>
      <c r="EC161" s="136" t="s">
        <v>351</v>
      </c>
    </row>
    <row r="162" spans="2:133" s="1" customFormat="1" ht="58.5" x14ac:dyDescent="0.2">
      <c r="B162" s="31"/>
      <c r="D162" s="138" t="s">
        <v>289</v>
      </c>
      <c r="F162" s="139" t="s">
        <v>352</v>
      </c>
      <c r="I162" s="140"/>
      <c r="L162" s="31"/>
      <c r="N162" s="213"/>
      <c r="O162" s="214"/>
      <c r="Q162" s="229"/>
      <c r="CC162" s="141"/>
      <c r="CJ162" s="50"/>
      <c r="DJ162" s="16" t="s">
        <v>289</v>
      </c>
      <c r="DK162" s="16" t="s">
        <v>83</v>
      </c>
    </row>
    <row r="163" spans="2:133" s="1" customFormat="1" ht="29.25" x14ac:dyDescent="0.2">
      <c r="B163" s="31"/>
      <c r="D163" s="138" t="s">
        <v>299</v>
      </c>
      <c r="F163" s="142" t="s">
        <v>843</v>
      </c>
      <c r="I163" s="140"/>
      <c r="L163" s="31"/>
      <c r="N163" s="213"/>
      <c r="O163" s="214"/>
      <c r="Q163" s="229"/>
      <c r="CC163" s="141"/>
      <c r="CJ163" s="50"/>
      <c r="DJ163" s="16" t="s">
        <v>299</v>
      </c>
      <c r="DK163" s="16" t="s">
        <v>83</v>
      </c>
    </row>
    <row r="164" spans="2:133" s="12" customFormat="1" x14ac:dyDescent="0.2">
      <c r="B164" s="149"/>
      <c r="D164" s="138" t="s">
        <v>301</v>
      </c>
      <c r="E164" s="150" t="s">
        <v>1</v>
      </c>
      <c r="F164" s="151" t="s">
        <v>849</v>
      </c>
      <c r="H164" s="152">
        <v>1.05</v>
      </c>
      <c r="I164" s="153"/>
      <c r="L164" s="149"/>
      <c r="N164" s="217"/>
      <c r="O164" s="218"/>
      <c r="Q164" s="231"/>
      <c r="CC164" s="154"/>
      <c r="CJ164" s="155"/>
      <c r="DJ164" s="150" t="s">
        <v>301</v>
      </c>
      <c r="DK164" s="150" t="s">
        <v>83</v>
      </c>
      <c r="DL164" s="12" t="s">
        <v>83</v>
      </c>
      <c r="DM164" s="12" t="s">
        <v>32</v>
      </c>
      <c r="DN164" s="12" t="s">
        <v>81</v>
      </c>
      <c r="DO164" s="150" t="s">
        <v>282</v>
      </c>
    </row>
    <row r="165" spans="2:133" s="1" customFormat="1" ht="24.2" customHeight="1" x14ac:dyDescent="0.2">
      <c r="B165" s="124"/>
      <c r="C165" s="125" t="s">
        <v>348</v>
      </c>
      <c r="D165" s="125" t="s">
        <v>284</v>
      </c>
      <c r="E165" s="126" t="s">
        <v>364</v>
      </c>
      <c r="F165" s="127" t="s">
        <v>365</v>
      </c>
      <c r="G165" s="128" t="s">
        <v>366</v>
      </c>
      <c r="H165" s="129">
        <v>278.18400000000003</v>
      </c>
      <c r="I165" s="130">
        <v>285.201942457955</v>
      </c>
      <c r="J165" s="131">
        <f>ROUND(I165*H165,2)</f>
        <v>79338.62</v>
      </c>
      <c r="K165" s="127" t="s">
        <v>293</v>
      </c>
      <c r="L165" s="268">
        <f>S165</f>
        <v>0</v>
      </c>
      <c r="M165" s="272">
        <f>ROUND(L165*I165,2)</f>
        <v>0</v>
      </c>
      <c r="N165" s="243">
        <f>N173</f>
        <v>-0.32992500000005975</v>
      </c>
      <c r="O165" s="294">
        <f>ROUND(N165*I165,2)</f>
        <v>-94.1</v>
      </c>
      <c r="P165" s="273">
        <f>H165-L165-N165</f>
        <v>278.51392500000009</v>
      </c>
      <c r="Q165" s="287">
        <f>ROUND(P165*I165,2)</f>
        <v>79432.710000000006</v>
      </c>
      <c r="R165" s="137"/>
      <c r="S165" s="269">
        <f>W165+Y165+AA165+AC165+AE165+AG165+AI165+AK165+AM165+AO165+AQ165+AS165+AU165+AW165</f>
        <v>0</v>
      </c>
      <c r="T165" s="269">
        <f>ROUND(S165*I165,2)</f>
        <v>0</v>
      </c>
      <c r="U165" s="269">
        <f>H165-S165</f>
        <v>278.18400000000003</v>
      </c>
      <c r="V165" s="269">
        <f>ROUND(U165*I165,2)</f>
        <v>79338.62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CC165" s="132" t="s">
        <v>1</v>
      </c>
      <c r="CD165" s="133" t="s">
        <v>40</v>
      </c>
      <c r="CF165" s="134">
        <f>CE165*H165</f>
        <v>0</v>
      </c>
      <c r="CG165" s="134">
        <v>0</v>
      </c>
      <c r="CH165" s="134">
        <f>CG165*H165</f>
        <v>0</v>
      </c>
      <c r="CI165" s="134">
        <v>0</v>
      </c>
      <c r="CJ165" s="135">
        <f>CI165*H165</f>
        <v>0</v>
      </c>
      <c r="DH165" s="136" t="s">
        <v>95</v>
      </c>
      <c r="DJ165" s="136" t="s">
        <v>284</v>
      </c>
      <c r="DK165" s="136" t="s">
        <v>83</v>
      </c>
      <c r="DO165" s="16" t="s">
        <v>282</v>
      </c>
      <c r="DU165" s="137">
        <f>IF(CD165="základní",J165,0)</f>
        <v>79338.62</v>
      </c>
      <c r="DV165" s="137">
        <f>IF(CD165="snížená",J165,0)</f>
        <v>0</v>
      </c>
      <c r="DW165" s="137">
        <f>IF(CD165="zákl. přenesená",J165,0)</f>
        <v>0</v>
      </c>
      <c r="DX165" s="137">
        <f>IF(CD165="sníž. přenesená",J165,0)</f>
        <v>0</v>
      </c>
      <c r="DY165" s="137">
        <f>IF(CD165="nulová",J165,0)</f>
        <v>0</v>
      </c>
      <c r="DZ165" s="16" t="s">
        <v>81</v>
      </c>
      <c r="EA165" s="137">
        <f>ROUND(I165*H165,2)</f>
        <v>79338.62</v>
      </c>
      <c r="EB165" s="16" t="s">
        <v>95</v>
      </c>
      <c r="EC165" s="136" t="s">
        <v>367</v>
      </c>
    </row>
    <row r="166" spans="2:133" s="1" customFormat="1" ht="39" x14ac:dyDescent="0.2">
      <c r="B166" s="31"/>
      <c r="D166" s="138" t="s">
        <v>289</v>
      </c>
      <c r="F166" s="139" t="s">
        <v>368</v>
      </c>
      <c r="I166" s="140"/>
      <c r="L166" s="31"/>
      <c r="N166" s="213"/>
      <c r="O166" s="214"/>
      <c r="Q166" s="229"/>
      <c r="CC166" s="141"/>
      <c r="CJ166" s="50"/>
      <c r="DJ166" s="16" t="s">
        <v>289</v>
      </c>
      <c r="DK166" s="16" t="s">
        <v>83</v>
      </c>
    </row>
    <row r="167" spans="2:133" s="1" customFormat="1" ht="39" x14ac:dyDescent="0.2">
      <c r="B167" s="31"/>
      <c r="D167" s="138" t="s">
        <v>299</v>
      </c>
      <c r="F167" s="142" t="s">
        <v>850</v>
      </c>
      <c r="I167" s="140"/>
      <c r="L167" s="31"/>
      <c r="N167" s="213"/>
      <c r="O167" s="214"/>
      <c r="Q167" s="229"/>
      <c r="CC167" s="141"/>
      <c r="CJ167" s="50"/>
      <c r="DJ167" s="16" t="s">
        <v>299</v>
      </c>
      <c r="DK167" s="16" t="s">
        <v>83</v>
      </c>
    </row>
    <row r="168" spans="2:133" s="11" customFormat="1" ht="22.5" x14ac:dyDescent="0.2">
      <c r="B168" s="143"/>
      <c r="D168" s="138" t="s">
        <v>301</v>
      </c>
      <c r="E168" s="144" t="s">
        <v>1</v>
      </c>
      <c r="F168" s="145" t="s">
        <v>370</v>
      </c>
      <c r="H168" s="144" t="s">
        <v>1</v>
      </c>
      <c r="I168" s="146"/>
      <c r="L168" s="143"/>
      <c r="N168" s="215"/>
      <c r="O168" s="216"/>
      <c r="Q168" s="230"/>
      <c r="CC168" s="147"/>
      <c r="CJ168" s="148"/>
      <c r="DJ168" s="144" t="s">
        <v>301</v>
      </c>
      <c r="DK168" s="144" t="s">
        <v>83</v>
      </c>
      <c r="DL168" s="11" t="s">
        <v>81</v>
      </c>
      <c r="DM168" s="11" t="s">
        <v>32</v>
      </c>
      <c r="DN168" s="11" t="s">
        <v>74</v>
      </c>
      <c r="DO168" s="144" t="s">
        <v>282</v>
      </c>
    </row>
    <row r="169" spans="2:133" s="12" customFormat="1" x14ac:dyDescent="0.2">
      <c r="B169" s="149"/>
      <c r="D169" s="138" t="s">
        <v>301</v>
      </c>
      <c r="E169" s="150" t="s">
        <v>1</v>
      </c>
      <c r="F169" s="151" t="s">
        <v>851</v>
      </c>
      <c r="H169" s="152">
        <v>499.74799999999999</v>
      </c>
      <c r="I169" s="153"/>
      <c r="L169" s="149"/>
      <c r="N169" s="217">
        <f>166.78*1.05*(3.3-0.45)</f>
        <v>499.08914999999996</v>
      </c>
      <c r="O169" s="218" t="s">
        <v>3403</v>
      </c>
      <c r="Q169" s="231"/>
      <c r="CC169" s="154"/>
      <c r="CJ169" s="155"/>
      <c r="DJ169" s="150" t="s">
        <v>301</v>
      </c>
      <c r="DK169" s="150" t="s">
        <v>83</v>
      </c>
      <c r="DL169" s="12" t="s">
        <v>83</v>
      </c>
      <c r="DM169" s="12" t="s">
        <v>32</v>
      </c>
      <c r="DN169" s="12" t="s">
        <v>74</v>
      </c>
      <c r="DO169" s="150" t="s">
        <v>282</v>
      </c>
    </row>
    <row r="170" spans="2:133" s="12" customFormat="1" ht="22.5" x14ac:dyDescent="0.2">
      <c r="B170" s="149"/>
      <c r="D170" s="138" t="s">
        <v>301</v>
      </c>
      <c r="E170" s="150" t="s">
        <v>1</v>
      </c>
      <c r="F170" s="151" t="s">
        <v>852</v>
      </c>
      <c r="H170" s="152">
        <v>56.619</v>
      </c>
      <c r="I170" s="153"/>
      <c r="L170" s="149"/>
      <c r="N170" s="310">
        <f>H170</f>
        <v>56.619</v>
      </c>
      <c r="O170" s="218"/>
      <c r="Q170" s="231"/>
      <c r="CC170" s="154"/>
      <c r="CJ170" s="155"/>
      <c r="DJ170" s="150" t="s">
        <v>301</v>
      </c>
      <c r="DK170" s="150" t="s">
        <v>83</v>
      </c>
      <c r="DL170" s="12" t="s">
        <v>83</v>
      </c>
      <c r="DM170" s="12" t="s">
        <v>32</v>
      </c>
      <c r="DN170" s="12" t="s">
        <v>74</v>
      </c>
      <c r="DO170" s="150" t="s">
        <v>282</v>
      </c>
    </row>
    <row r="171" spans="2:133" s="14" customFormat="1" x14ac:dyDescent="0.2">
      <c r="B171" s="163"/>
      <c r="D171" s="138" t="s">
        <v>301</v>
      </c>
      <c r="E171" s="164" t="s">
        <v>1</v>
      </c>
      <c r="F171" s="165" t="s">
        <v>373</v>
      </c>
      <c r="H171" s="166">
        <v>556.36699999999996</v>
      </c>
      <c r="I171" s="167"/>
      <c r="L171" s="163"/>
      <c r="N171" s="318">
        <f>N169+N170</f>
        <v>555.70814999999993</v>
      </c>
      <c r="O171" s="222"/>
      <c r="Q171" s="233"/>
      <c r="CC171" s="168"/>
      <c r="CJ171" s="169"/>
      <c r="DJ171" s="164" t="s">
        <v>301</v>
      </c>
      <c r="DK171" s="164" t="s">
        <v>83</v>
      </c>
      <c r="DL171" s="14" t="s">
        <v>90</v>
      </c>
      <c r="DM171" s="14" t="s">
        <v>32</v>
      </c>
      <c r="DN171" s="14" t="s">
        <v>74</v>
      </c>
      <c r="DO171" s="164" t="s">
        <v>282</v>
      </c>
    </row>
    <row r="172" spans="2:133" s="12" customFormat="1" x14ac:dyDescent="0.2">
      <c r="B172" s="149"/>
      <c r="D172" s="138" t="s">
        <v>301</v>
      </c>
      <c r="E172" s="150" t="s">
        <v>1</v>
      </c>
      <c r="F172" s="151" t="s">
        <v>853</v>
      </c>
      <c r="H172" s="152">
        <v>278.18400000000003</v>
      </c>
      <c r="I172" s="153"/>
      <c r="L172" s="149"/>
      <c r="N172" s="310">
        <f>N171*0.5</f>
        <v>277.85407499999997</v>
      </c>
      <c r="O172" s="218"/>
      <c r="Q172" s="231"/>
      <c r="CC172" s="154"/>
      <c r="CJ172" s="155"/>
      <c r="DJ172" s="150" t="s">
        <v>301</v>
      </c>
      <c r="DK172" s="150" t="s">
        <v>83</v>
      </c>
      <c r="DL172" s="12" t="s">
        <v>83</v>
      </c>
      <c r="DM172" s="12" t="s">
        <v>32</v>
      </c>
      <c r="DN172" s="12" t="s">
        <v>81</v>
      </c>
      <c r="DO172" s="150" t="s">
        <v>282</v>
      </c>
    </row>
    <row r="173" spans="2:133" s="12" customFormat="1" x14ac:dyDescent="0.2">
      <c r="B173" s="149"/>
      <c r="D173" s="138"/>
      <c r="E173" s="150"/>
      <c r="F173" s="151"/>
      <c r="H173" s="152"/>
      <c r="I173" s="153"/>
      <c r="L173" s="149"/>
      <c r="N173" s="310">
        <f>N172-H172</f>
        <v>-0.32992500000005975</v>
      </c>
      <c r="O173" s="218"/>
      <c r="Q173" s="231"/>
      <c r="CC173" s="154"/>
      <c r="CJ173" s="155"/>
      <c r="DJ173" s="150"/>
      <c r="DK173" s="150"/>
      <c r="DO173" s="150"/>
    </row>
    <row r="174" spans="2:133" s="1" customFormat="1" ht="24.2" customHeight="1" x14ac:dyDescent="0.2">
      <c r="B174" s="124"/>
      <c r="C174" s="125" t="s">
        <v>327</v>
      </c>
      <c r="D174" s="125" t="s">
        <v>284</v>
      </c>
      <c r="E174" s="126" t="s">
        <v>375</v>
      </c>
      <c r="F174" s="127" t="s">
        <v>376</v>
      </c>
      <c r="G174" s="128" t="s">
        <v>366</v>
      </c>
      <c r="H174" s="129">
        <v>278.18400000000003</v>
      </c>
      <c r="I174" s="130">
        <v>390.55963566140201</v>
      </c>
      <c r="J174" s="131">
        <f>ROUND(I174*H174,2)</f>
        <v>108647.44</v>
      </c>
      <c r="K174" s="127" t="s">
        <v>293</v>
      </c>
      <c r="L174" s="268">
        <f>S174</f>
        <v>0</v>
      </c>
      <c r="M174" s="272">
        <f>ROUND(L174*I174,2)</f>
        <v>0</v>
      </c>
      <c r="N174" s="243">
        <f>N173</f>
        <v>-0.32992500000005975</v>
      </c>
      <c r="O174" s="294">
        <f>ROUND(N174*I174,2)</f>
        <v>-128.86000000000001</v>
      </c>
      <c r="P174" s="273">
        <f>H174-L174-N174</f>
        <v>278.51392500000009</v>
      </c>
      <c r="Q174" s="287">
        <f>ROUND(P174*I174,2)</f>
        <v>108776.3</v>
      </c>
      <c r="R174" s="137"/>
      <c r="S174" s="269">
        <f>W174+Y174+AA174+AC174+AE174+AG174+AI174+AK174+AM174+AO174+AQ174+AS174+AU174+AW174</f>
        <v>0</v>
      </c>
      <c r="T174" s="269">
        <f>ROUND(S174*I174,2)</f>
        <v>0</v>
      </c>
      <c r="U174" s="269">
        <f>H174-S174</f>
        <v>278.18400000000003</v>
      </c>
      <c r="V174" s="269">
        <f>ROUND(U174*I174,2)</f>
        <v>108647.44</v>
      </c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CC174" s="132" t="s">
        <v>1</v>
      </c>
      <c r="CD174" s="133" t="s">
        <v>40</v>
      </c>
      <c r="CF174" s="134">
        <f>CE174*H174</f>
        <v>0</v>
      </c>
      <c r="CG174" s="134">
        <v>0</v>
      </c>
      <c r="CH174" s="134">
        <f>CG174*H174</f>
        <v>0</v>
      </c>
      <c r="CI174" s="134">
        <v>0</v>
      </c>
      <c r="CJ174" s="135">
        <f>CI174*H174</f>
        <v>0</v>
      </c>
      <c r="DH174" s="136" t="s">
        <v>95</v>
      </c>
      <c r="DJ174" s="136" t="s">
        <v>284</v>
      </c>
      <c r="DK174" s="136" t="s">
        <v>83</v>
      </c>
      <c r="DO174" s="16" t="s">
        <v>282</v>
      </c>
      <c r="DU174" s="137">
        <f>IF(CD174="základní",J174,0)</f>
        <v>108647.44</v>
      </c>
      <c r="DV174" s="137">
        <f>IF(CD174="snížená",J174,0)</f>
        <v>0</v>
      </c>
      <c r="DW174" s="137">
        <f>IF(CD174="zákl. přenesená",J174,0)</f>
        <v>0</v>
      </c>
      <c r="DX174" s="137">
        <f>IF(CD174="sníž. přenesená",J174,0)</f>
        <v>0</v>
      </c>
      <c r="DY174" s="137">
        <f>IF(CD174="nulová",J174,0)</f>
        <v>0</v>
      </c>
      <c r="DZ174" s="16" t="s">
        <v>81</v>
      </c>
      <c r="EA174" s="137">
        <f>ROUND(I174*H174,2)</f>
        <v>108647.44</v>
      </c>
      <c r="EB174" s="16" t="s">
        <v>95</v>
      </c>
      <c r="EC174" s="136" t="s">
        <v>377</v>
      </c>
    </row>
    <row r="175" spans="2:133" s="1" customFormat="1" ht="39" x14ac:dyDescent="0.2">
      <c r="B175" s="31"/>
      <c r="D175" s="138" t="s">
        <v>289</v>
      </c>
      <c r="F175" s="139" t="s">
        <v>378</v>
      </c>
      <c r="I175" s="140"/>
      <c r="L175" s="31"/>
      <c r="N175" s="213"/>
      <c r="O175" s="214"/>
      <c r="Q175" s="229"/>
      <c r="CC175" s="141"/>
      <c r="CJ175" s="50"/>
      <c r="DJ175" s="16" t="s">
        <v>289</v>
      </c>
      <c r="DK175" s="16" t="s">
        <v>83</v>
      </c>
    </row>
    <row r="176" spans="2:133" s="1" customFormat="1" ht="39" x14ac:dyDescent="0.2">
      <c r="B176" s="31"/>
      <c r="D176" s="138" t="s">
        <v>299</v>
      </c>
      <c r="F176" s="142" t="s">
        <v>850</v>
      </c>
      <c r="I176" s="140"/>
      <c r="L176" s="31"/>
      <c r="N176" s="213"/>
      <c r="O176" s="214"/>
      <c r="Q176" s="229"/>
      <c r="CC176" s="141"/>
      <c r="CJ176" s="50"/>
      <c r="DJ176" s="16" t="s">
        <v>299</v>
      </c>
      <c r="DK176" s="16" t="s">
        <v>83</v>
      </c>
    </row>
    <row r="177" spans="2:133" s="1" customFormat="1" ht="24.2" customHeight="1" x14ac:dyDescent="0.2">
      <c r="B177" s="124"/>
      <c r="C177" s="125" t="s">
        <v>359</v>
      </c>
      <c r="D177" s="125" t="s">
        <v>284</v>
      </c>
      <c r="E177" s="126" t="s">
        <v>380</v>
      </c>
      <c r="F177" s="127" t="s">
        <v>381</v>
      </c>
      <c r="G177" s="128" t="s">
        <v>366</v>
      </c>
      <c r="H177" s="129">
        <v>111.274</v>
      </c>
      <c r="I177" s="130">
        <v>650.27058629099099</v>
      </c>
      <c r="J177" s="131">
        <f>ROUND(I177*H177,2)</f>
        <v>72358.210000000006</v>
      </c>
      <c r="K177" s="127" t="s">
        <v>293</v>
      </c>
      <c r="L177" s="268">
        <f>S177</f>
        <v>0</v>
      </c>
      <c r="M177" s="272">
        <f>ROUND(L177*I177,2)</f>
        <v>0</v>
      </c>
      <c r="N177" s="243">
        <f>N181</f>
        <v>-0.13240000000000407</v>
      </c>
      <c r="O177" s="294">
        <f>ROUND(N177*I177,2)</f>
        <v>-86.1</v>
      </c>
      <c r="P177" s="273">
        <f>H177-L177-N177</f>
        <v>111.4064</v>
      </c>
      <c r="Q177" s="287">
        <f>ROUND(P177*I177,2)</f>
        <v>72444.31</v>
      </c>
      <c r="R177" s="137"/>
      <c r="S177" s="269">
        <f>W177+Y177+AA177+AC177+AE177+AG177+AI177+AK177+AM177+AO177+AQ177+AS177+AU177+AW177</f>
        <v>0</v>
      </c>
      <c r="T177" s="269">
        <f>ROUND(S177*I177,2)</f>
        <v>0</v>
      </c>
      <c r="U177" s="269">
        <f>H177-S177</f>
        <v>111.274</v>
      </c>
      <c r="V177" s="269">
        <f>ROUND(U177*I177,2)</f>
        <v>72358.210000000006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CC177" s="132" t="s">
        <v>1</v>
      </c>
      <c r="CD177" s="133" t="s">
        <v>40</v>
      </c>
      <c r="CF177" s="134">
        <f>CE177*H177</f>
        <v>0</v>
      </c>
      <c r="CG177" s="134">
        <v>0</v>
      </c>
      <c r="CH177" s="134">
        <f>CG177*H177</f>
        <v>0</v>
      </c>
      <c r="CI177" s="134">
        <v>0</v>
      </c>
      <c r="CJ177" s="135">
        <f>CI177*H177</f>
        <v>0</v>
      </c>
      <c r="DH177" s="136" t="s">
        <v>95</v>
      </c>
      <c r="DJ177" s="136" t="s">
        <v>284</v>
      </c>
      <c r="DK177" s="136" t="s">
        <v>83</v>
      </c>
      <c r="DO177" s="16" t="s">
        <v>282</v>
      </c>
      <c r="DU177" s="137">
        <f>IF(CD177="základní",J177,0)</f>
        <v>72358.210000000006</v>
      </c>
      <c r="DV177" s="137">
        <f>IF(CD177="snížená",J177,0)</f>
        <v>0</v>
      </c>
      <c r="DW177" s="137">
        <f>IF(CD177="zákl. přenesená",J177,0)</f>
        <v>0</v>
      </c>
      <c r="DX177" s="137">
        <f>IF(CD177="sníž. přenesená",J177,0)</f>
        <v>0</v>
      </c>
      <c r="DY177" s="137">
        <f>IF(CD177="nulová",J177,0)</f>
        <v>0</v>
      </c>
      <c r="DZ177" s="16" t="s">
        <v>81</v>
      </c>
      <c r="EA177" s="137">
        <f>ROUND(I177*H177,2)</f>
        <v>72358.210000000006</v>
      </c>
      <c r="EB177" s="16" t="s">
        <v>95</v>
      </c>
      <c r="EC177" s="136" t="s">
        <v>382</v>
      </c>
    </row>
    <row r="178" spans="2:133" s="1" customFormat="1" ht="29.25" x14ac:dyDescent="0.2">
      <c r="B178" s="31"/>
      <c r="D178" s="138" t="s">
        <v>289</v>
      </c>
      <c r="F178" s="139" t="s">
        <v>383</v>
      </c>
      <c r="I178" s="140"/>
      <c r="L178" s="31"/>
      <c r="N178" s="213"/>
      <c r="O178" s="214"/>
      <c r="Q178" s="229"/>
      <c r="CC178" s="141"/>
      <c r="CJ178" s="50"/>
      <c r="DJ178" s="16" t="s">
        <v>289</v>
      </c>
      <c r="DK178" s="16" t="s">
        <v>83</v>
      </c>
    </row>
    <row r="179" spans="2:133" s="11" customFormat="1" x14ac:dyDescent="0.2">
      <c r="B179" s="143"/>
      <c r="D179" s="138" t="s">
        <v>301</v>
      </c>
      <c r="E179" s="144" t="s">
        <v>1</v>
      </c>
      <c r="F179" s="145" t="s">
        <v>384</v>
      </c>
      <c r="H179" s="144" t="s">
        <v>1</v>
      </c>
      <c r="I179" s="146"/>
      <c r="L179" s="143"/>
      <c r="N179" s="215"/>
      <c r="O179" s="216"/>
      <c r="Q179" s="230"/>
      <c r="CC179" s="147"/>
      <c r="CJ179" s="148"/>
      <c r="DJ179" s="144" t="s">
        <v>301</v>
      </c>
      <c r="DK179" s="144" t="s">
        <v>83</v>
      </c>
      <c r="DL179" s="11" t="s">
        <v>81</v>
      </c>
      <c r="DM179" s="11" t="s">
        <v>32</v>
      </c>
      <c r="DN179" s="11" t="s">
        <v>74</v>
      </c>
      <c r="DO179" s="144" t="s">
        <v>282</v>
      </c>
    </row>
    <row r="180" spans="2:133" s="12" customFormat="1" x14ac:dyDescent="0.2">
      <c r="B180" s="149"/>
      <c r="D180" s="138" t="s">
        <v>301</v>
      </c>
      <c r="E180" s="150" t="s">
        <v>1</v>
      </c>
      <c r="F180" s="151" t="s">
        <v>854</v>
      </c>
      <c r="H180" s="152">
        <v>111.274</v>
      </c>
      <c r="I180" s="153"/>
      <c r="L180" s="149"/>
      <c r="N180" s="217">
        <f>(277.854+277.854)*0.2</f>
        <v>111.1416</v>
      </c>
      <c r="O180" s="218" t="s">
        <v>3404</v>
      </c>
      <c r="Q180" s="231"/>
      <c r="CC180" s="154"/>
      <c r="CJ180" s="155"/>
      <c r="DJ180" s="150" t="s">
        <v>301</v>
      </c>
      <c r="DK180" s="150" t="s">
        <v>83</v>
      </c>
      <c r="DL180" s="12" t="s">
        <v>83</v>
      </c>
      <c r="DM180" s="12" t="s">
        <v>32</v>
      </c>
      <c r="DN180" s="12" t="s">
        <v>81</v>
      </c>
      <c r="DO180" s="150" t="s">
        <v>282</v>
      </c>
    </row>
    <row r="181" spans="2:133" s="12" customFormat="1" x14ac:dyDescent="0.2">
      <c r="B181" s="149"/>
      <c r="D181" s="138"/>
      <c r="E181" s="150"/>
      <c r="F181" s="151"/>
      <c r="H181" s="152"/>
      <c r="I181" s="153"/>
      <c r="L181" s="149"/>
      <c r="N181" s="310">
        <f>N180-H180</f>
        <v>-0.13240000000000407</v>
      </c>
      <c r="O181" s="218"/>
      <c r="Q181" s="231"/>
      <c r="CC181" s="154"/>
      <c r="CJ181" s="155"/>
      <c r="DJ181" s="150"/>
      <c r="DK181" s="150"/>
      <c r="DO181" s="150"/>
    </row>
    <row r="182" spans="2:133" s="1" customFormat="1" ht="22.5" customHeight="1" x14ac:dyDescent="0.2">
      <c r="B182" s="124"/>
      <c r="C182" s="125" t="s">
        <v>363</v>
      </c>
      <c r="D182" s="125" t="s">
        <v>284</v>
      </c>
      <c r="E182" s="126" t="s">
        <v>387</v>
      </c>
      <c r="F182" s="127" t="s">
        <v>388</v>
      </c>
      <c r="G182" s="128" t="s">
        <v>287</v>
      </c>
      <c r="H182" s="129">
        <v>1102.2</v>
      </c>
      <c r="I182" s="130">
        <v>156.6895922457376</v>
      </c>
      <c r="J182" s="131">
        <f>ROUND(I182*H182,2)</f>
        <v>172703.27</v>
      </c>
      <c r="K182" s="127" t="s">
        <v>293</v>
      </c>
      <c r="L182" s="268">
        <f>S182</f>
        <v>0</v>
      </c>
      <c r="M182" s="272">
        <f>ROUND(L182*I182,2)</f>
        <v>0</v>
      </c>
      <c r="N182" s="243">
        <f>N186</f>
        <v>-1.4519999999999982</v>
      </c>
      <c r="O182" s="294">
        <f>ROUND(N182*I182,2)</f>
        <v>-227.51</v>
      </c>
      <c r="P182" s="273">
        <f>H182-L182-N182</f>
        <v>1103.652</v>
      </c>
      <c r="Q182" s="287">
        <f>ROUND(P182*I182,2)</f>
        <v>172930.78</v>
      </c>
      <c r="R182" s="137"/>
      <c r="S182" s="269">
        <f>W182+Y182+AA182+AC182+AE182+AG182+AI182+AK182+AM182+AO182+AQ182+AS182+AU182+AW182</f>
        <v>0</v>
      </c>
      <c r="T182" s="269">
        <f>ROUND(S182*I182,2)</f>
        <v>0</v>
      </c>
      <c r="U182" s="269">
        <f>H182-S182</f>
        <v>1102.2</v>
      </c>
      <c r="V182" s="269">
        <f>ROUND(U182*I182,2)</f>
        <v>172703.27</v>
      </c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CC182" s="132" t="s">
        <v>1</v>
      </c>
      <c r="CD182" s="133" t="s">
        <v>40</v>
      </c>
      <c r="CF182" s="134">
        <f>CE182*H182</f>
        <v>0</v>
      </c>
      <c r="CG182" s="134">
        <v>5.9000000000000003E-4</v>
      </c>
      <c r="CH182" s="134">
        <f>CG182*H182</f>
        <v>0.65029800000000004</v>
      </c>
      <c r="CI182" s="134">
        <v>0</v>
      </c>
      <c r="CJ182" s="135">
        <f>CI182*H182</f>
        <v>0</v>
      </c>
      <c r="DH182" s="136" t="s">
        <v>95</v>
      </c>
      <c r="DJ182" s="136" t="s">
        <v>284</v>
      </c>
      <c r="DK182" s="136" t="s">
        <v>83</v>
      </c>
      <c r="DO182" s="16" t="s">
        <v>282</v>
      </c>
      <c r="DU182" s="137">
        <f>IF(CD182="základní",J182,0)</f>
        <v>172703.27</v>
      </c>
      <c r="DV182" s="137">
        <f>IF(CD182="snížená",J182,0)</f>
        <v>0</v>
      </c>
      <c r="DW182" s="137">
        <f>IF(CD182="zákl. přenesená",J182,0)</f>
        <v>0</v>
      </c>
      <c r="DX182" s="137">
        <f>IF(CD182="sníž. přenesená",J182,0)</f>
        <v>0</v>
      </c>
      <c r="DY182" s="137">
        <f>IF(CD182="nulová",J182,0)</f>
        <v>0</v>
      </c>
      <c r="DZ182" s="16" t="s">
        <v>81</v>
      </c>
      <c r="EA182" s="137">
        <f>ROUND(I182*H182,2)</f>
        <v>172703.27</v>
      </c>
      <c r="EB182" s="16" t="s">
        <v>95</v>
      </c>
      <c r="EC182" s="136" t="s">
        <v>389</v>
      </c>
    </row>
    <row r="183" spans="2:133" s="1" customFormat="1" ht="19.5" x14ac:dyDescent="0.2">
      <c r="B183" s="31"/>
      <c r="D183" s="138" t="s">
        <v>289</v>
      </c>
      <c r="F183" s="139" t="s">
        <v>390</v>
      </c>
      <c r="I183" s="140"/>
      <c r="L183" s="31"/>
      <c r="N183" s="213"/>
      <c r="O183" s="214"/>
      <c r="Q183" s="229"/>
      <c r="CC183" s="141"/>
      <c r="CJ183" s="50"/>
      <c r="DJ183" s="16" t="s">
        <v>289</v>
      </c>
      <c r="DK183" s="16" t="s">
        <v>83</v>
      </c>
    </row>
    <row r="184" spans="2:133" s="1" customFormat="1" ht="19.5" x14ac:dyDescent="0.2">
      <c r="B184" s="31"/>
      <c r="D184" s="138" t="s">
        <v>299</v>
      </c>
      <c r="F184" s="142" t="s">
        <v>317</v>
      </c>
      <c r="I184" s="140"/>
      <c r="L184" s="31"/>
      <c r="N184" s="213"/>
      <c r="O184" s="214"/>
      <c r="Q184" s="229"/>
      <c r="CC184" s="141"/>
      <c r="CJ184" s="50"/>
      <c r="DJ184" s="16" t="s">
        <v>299</v>
      </c>
      <c r="DK184" s="16" t="s">
        <v>83</v>
      </c>
    </row>
    <row r="185" spans="2:133" s="12" customFormat="1" x14ac:dyDescent="0.2">
      <c r="B185" s="149"/>
      <c r="D185" s="138" t="s">
        <v>301</v>
      </c>
      <c r="E185" s="150" t="s">
        <v>1</v>
      </c>
      <c r="F185" s="151" t="s">
        <v>855</v>
      </c>
      <c r="H185" s="152">
        <v>1102.2</v>
      </c>
      <c r="I185" s="153"/>
      <c r="L185" s="149"/>
      <c r="N185" s="217">
        <f>166.78*3.3*2</f>
        <v>1100.748</v>
      </c>
      <c r="O185" s="218" t="s">
        <v>3405</v>
      </c>
      <c r="Q185" s="231"/>
      <c r="CC185" s="154"/>
      <c r="CJ185" s="155"/>
      <c r="DJ185" s="150" t="s">
        <v>301</v>
      </c>
      <c r="DK185" s="150" t="s">
        <v>83</v>
      </c>
      <c r="DL185" s="12" t="s">
        <v>83</v>
      </c>
      <c r="DM185" s="12" t="s">
        <v>32</v>
      </c>
      <c r="DN185" s="12" t="s">
        <v>81</v>
      </c>
      <c r="DO185" s="150" t="s">
        <v>282</v>
      </c>
    </row>
    <row r="186" spans="2:133" s="12" customFormat="1" x14ac:dyDescent="0.2">
      <c r="B186" s="149"/>
      <c r="D186" s="138"/>
      <c r="E186" s="150"/>
      <c r="F186" s="151"/>
      <c r="H186" s="152"/>
      <c r="I186" s="153"/>
      <c r="L186" s="149"/>
      <c r="N186" s="310">
        <f>N185-H185</f>
        <v>-1.4519999999999982</v>
      </c>
      <c r="O186" s="218"/>
      <c r="Q186" s="231"/>
      <c r="CC186" s="154"/>
      <c r="CJ186" s="155"/>
      <c r="DJ186" s="150"/>
      <c r="DK186" s="150"/>
      <c r="DO186" s="150"/>
    </row>
    <row r="187" spans="2:133" s="1" customFormat="1" ht="14.45" customHeight="1" x14ac:dyDescent="0.2">
      <c r="B187" s="124"/>
      <c r="C187" s="125" t="s">
        <v>8</v>
      </c>
      <c r="D187" s="125" t="s">
        <v>284</v>
      </c>
      <c r="E187" s="126" t="s">
        <v>393</v>
      </c>
      <c r="F187" s="127" t="s">
        <v>394</v>
      </c>
      <c r="G187" s="128" t="s">
        <v>287</v>
      </c>
      <c r="H187" s="129">
        <v>1102.2</v>
      </c>
      <c r="I187" s="130">
        <v>103.33666316345877</v>
      </c>
      <c r="J187" s="131">
        <f>ROUND(I187*H187,2)</f>
        <v>113897.67</v>
      </c>
      <c r="K187" s="127" t="s">
        <v>293</v>
      </c>
      <c r="L187" s="268">
        <f>S187</f>
        <v>0</v>
      </c>
      <c r="M187" s="272">
        <f>ROUND(L187*I187,2)</f>
        <v>0</v>
      </c>
      <c r="N187" s="243">
        <f>N182</f>
        <v>-1.4519999999999982</v>
      </c>
      <c r="O187" s="294">
        <f>ROUND(N187*I187,2)</f>
        <v>-150.04</v>
      </c>
      <c r="P187" s="273">
        <f>H187-L187-N187</f>
        <v>1103.652</v>
      </c>
      <c r="Q187" s="287">
        <f>ROUND(P187*I187,2)</f>
        <v>114047.71</v>
      </c>
      <c r="R187" s="137"/>
      <c r="S187" s="269">
        <f>W187+Y187+AA187+AC187+AE187+AG187+AI187+AK187+AM187+AO187+AQ187+AS187+AU187+AW187</f>
        <v>0</v>
      </c>
      <c r="T187" s="269">
        <f>ROUND(S187*I187,2)</f>
        <v>0</v>
      </c>
      <c r="U187" s="269">
        <f>H187-S187</f>
        <v>1102.2</v>
      </c>
      <c r="V187" s="269">
        <f>ROUND(U187*I187,2)</f>
        <v>113897.67</v>
      </c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CC187" s="132" t="s">
        <v>1</v>
      </c>
      <c r="CD187" s="133" t="s">
        <v>40</v>
      </c>
      <c r="CF187" s="134">
        <f>CE187*H187</f>
        <v>0</v>
      </c>
      <c r="CG187" s="134">
        <v>0</v>
      </c>
      <c r="CH187" s="134">
        <f>CG187*H187</f>
        <v>0</v>
      </c>
      <c r="CI187" s="134">
        <v>0</v>
      </c>
      <c r="CJ187" s="135">
        <f>CI187*H187</f>
        <v>0</v>
      </c>
      <c r="DH187" s="136" t="s">
        <v>95</v>
      </c>
      <c r="DJ187" s="136" t="s">
        <v>284</v>
      </c>
      <c r="DK187" s="136" t="s">
        <v>83</v>
      </c>
      <c r="DO187" s="16" t="s">
        <v>282</v>
      </c>
      <c r="DU187" s="137">
        <f>IF(CD187="základní",J187,0)</f>
        <v>113897.67</v>
      </c>
      <c r="DV187" s="137">
        <f>IF(CD187="snížená",J187,0)</f>
        <v>0</v>
      </c>
      <c r="DW187" s="137">
        <f>IF(CD187="zákl. přenesená",J187,0)</f>
        <v>0</v>
      </c>
      <c r="DX187" s="137">
        <f>IF(CD187="sníž. přenesená",J187,0)</f>
        <v>0</v>
      </c>
      <c r="DY187" s="137">
        <f>IF(CD187="nulová",J187,0)</f>
        <v>0</v>
      </c>
      <c r="DZ187" s="16" t="s">
        <v>81</v>
      </c>
      <c r="EA187" s="137">
        <f>ROUND(I187*H187,2)</f>
        <v>113897.67</v>
      </c>
      <c r="EB187" s="16" t="s">
        <v>95</v>
      </c>
      <c r="EC187" s="136" t="s">
        <v>395</v>
      </c>
    </row>
    <row r="188" spans="2:133" s="1" customFormat="1" ht="19.5" x14ac:dyDescent="0.2">
      <c r="B188" s="31"/>
      <c r="D188" s="138" t="s">
        <v>289</v>
      </c>
      <c r="F188" s="139" t="s">
        <v>396</v>
      </c>
      <c r="I188" s="140"/>
      <c r="L188" s="31"/>
      <c r="N188" s="213"/>
      <c r="O188" s="214"/>
      <c r="Q188" s="229"/>
      <c r="CC188" s="141"/>
      <c r="CJ188" s="50"/>
      <c r="DJ188" s="16" t="s">
        <v>289</v>
      </c>
      <c r="DK188" s="16" t="s">
        <v>83</v>
      </c>
    </row>
    <row r="189" spans="2:133" s="1" customFormat="1" ht="37.9" customHeight="1" x14ac:dyDescent="0.2">
      <c r="B189" s="124"/>
      <c r="C189" s="125" t="s">
        <v>379</v>
      </c>
      <c r="D189" s="125" t="s">
        <v>284</v>
      </c>
      <c r="E189" s="126" t="s">
        <v>398</v>
      </c>
      <c r="F189" s="127" t="s">
        <v>399</v>
      </c>
      <c r="G189" s="128" t="s">
        <v>366</v>
      </c>
      <c r="H189" s="129">
        <v>556.36800000000005</v>
      </c>
      <c r="I189" s="130">
        <v>282.06861194786097</v>
      </c>
      <c r="J189" s="131">
        <f>ROUND(I189*H189,2)</f>
        <v>156933.95000000001</v>
      </c>
      <c r="K189" s="127" t="s">
        <v>293</v>
      </c>
      <c r="L189" s="268">
        <f>S189</f>
        <v>0</v>
      </c>
      <c r="M189" s="272">
        <f>ROUND(L189*I189,2)</f>
        <v>0</v>
      </c>
      <c r="N189" s="243">
        <f>N193</f>
        <v>-0.66000000000008185</v>
      </c>
      <c r="O189" s="294">
        <f>ROUND(N189*I189,2)</f>
        <v>-186.17</v>
      </c>
      <c r="P189" s="273">
        <f>H189-L189-N189</f>
        <v>557.02800000000013</v>
      </c>
      <c r="Q189" s="287">
        <f>ROUND(P189*I189,2)</f>
        <v>157120.10999999999</v>
      </c>
      <c r="R189" s="137"/>
      <c r="S189" s="269">
        <f>W189+Y189+AA189+AC189+AE189+AG189+AI189+AK189+AM189+AO189+AQ189+AS189+AU189+AW189</f>
        <v>0</v>
      </c>
      <c r="T189" s="269">
        <f>ROUND(S189*I189,2)</f>
        <v>0</v>
      </c>
      <c r="U189" s="269">
        <f>H189-S189</f>
        <v>556.36800000000005</v>
      </c>
      <c r="V189" s="269">
        <f>ROUND(U189*I189,2)</f>
        <v>156933.95000000001</v>
      </c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CC189" s="132" t="s">
        <v>1</v>
      </c>
      <c r="CD189" s="133" t="s">
        <v>40</v>
      </c>
      <c r="CF189" s="134">
        <f>CE189*H189</f>
        <v>0</v>
      </c>
      <c r="CG189" s="134">
        <v>0</v>
      </c>
      <c r="CH189" s="134">
        <f>CG189*H189</f>
        <v>0</v>
      </c>
      <c r="CI189" s="134">
        <v>0</v>
      </c>
      <c r="CJ189" s="135">
        <f>CI189*H189</f>
        <v>0</v>
      </c>
      <c r="DH189" s="136" t="s">
        <v>95</v>
      </c>
      <c r="DJ189" s="136" t="s">
        <v>284</v>
      </c>
      <c r="DK189" s="136" t="s">
        <v>83</v>
      </c>
      <c r="DO189" s="16" t="s">
        <v>282</v>
      </c>
      <c r="DU189" s="137">
        <f>IF(CD189="základní",J189,0)</f>
        <v>156933.95000000001</v>
      </c>
      <c r="DV189" s="137">
        <f>IF(CD189="snížená",J189,0)</f>
        <v>0</v>
      </c>
      <c r="DW189" s="137">
        <f>IF(CD189="zákl. přenesená",J189,0)</f>
        <v>0</v>
      </c>
      <c r="DX189" s="137">
        <f>IF(CD189="sníž. přenesená",J189,0)</f>
        <v>0</v>
      </c>
      <c r="DY189" s="137">
        <f>IF(CD189="nulová",J189,0)</f>
        <v>0</v>
      </c>
      <c r="DZ189" s="16" t="s">
        <v>81</v>
      </c>
      <c r="EA189" s="137">
        <f>ROUND(I189*H189,2)</f>
        <v>156933.95000000001</v>
      </c>
      <c r="EB189" s="16" t="s">
        <v>95</v>
      </c>
      <c r="EC189" s="136" t="s">
        <v>400</v>
      </c>
    </row>
    <row r="190" spans="2:133" s="1" customFormat="1" ht="39" x14ac:dyDescent="0.2">
      <c r="B190" s="31"/>
      <c r="D190" s="138" t="s">
        <v>289</v>
      </c>
      <c r="F190" s="139" t="s">
        <v>401</v>
      </c>
      <c r="I190" s="140"/>
      <c r="L190" s="31"/>
      <c r="N190" s="213"/>
      <c r="O190" s="214"/>
      <c r="Q190" s="229"/>
      <c r="CC190" s="141"/>
      <c r="CJ190" s="50"/>
      <c r="DJ190" s="16" t="s">
        <v>289</v>
      </c>
      <c r="DK190" s="16" t="s">
        <v>83</v>
      </c>
    </row>
    <row r="191" spans="2:133" s="11" customFormat="1" x14ac:dyDescent="0.2">
      <c r="B191" s="143"/>
      <c r="D191" s="138" t="s">
        <v>301</v>
      </c>
      <c r="E191" s="144" t="s">
        <v>1</v>
      </c>
      <c r="F191" s="145" t="s">
        <v>402</v>
      </c>
      <c r="H191" s="144" t="s">
        <v>1</v>
      </c>
      <c r="I191" s="146"/>
      <c r="L191" s="143"/>
      <c r="N191" s="215"/>
      <c r="O191" s="216"/>
      <c r="Q191" s="230"/>
      <c r="CC191" s="147"/>
      <c r="CJ191" s="148"/>
      <c r="DJ191" s="144" t="s">
        <v>301</v>
      </c>
      <c r="DK191" s="144" t="s">
        <v>83</v>
      </c>
      <c r="DL191" s="11" t="s">
        <v>81</v>
      </c>
      <c r="DM191" s="11" t="s">
        <v>32</v>
      </c>
      <c r="DN191" s="11" t="s">
        <v>74</v>
      </c>
      <c r="DO191" s="144" t="s">
        <v>282</v>
      </c>
    </row>
    <row r="192" spans="2:133" s="12" customFormat="1" x14ac:dyDescent="0.2">
      <c r="B192" s="149"/>
      <c r="D192" s="138" t="s">
        <v>301</v>
      </c>
      <c r="E192" s="150" t="s">
        <v>1</v>
      </c>
      <c r="F192" s="151" t="s">
        <v>856</v>
      </c>
      <c r="H192" s="152">
        <v>556.36800000000005</v>
      </c>
      <c r="I192" s="153"/>
      <c r="L192" s="149"/>
      <c r="N192" s="217">
        <f>277.854+277.854</f>
        <v>555.70799999999997</v>
      </c>
      <c r="O192" s="218" t="s">
        <v>3406</v>
      </c>
      <c r="Q192" s="231"/>
      <c r="CC192" s="154"/>
      <c r="CJ192" s="155"/>
      <c r="DJ192" s="150" t="s">
        <v>301</v>
      </c>
      <c r="DK192" s="150" t="s">
        <v>83</v>
      </c>
      <c r="DL192" s="12" t="s">
        <v>83</v>
      </c>
      <c r="DM192" s="12" t="s">
        <v>32</v>
      </c>
      <c r="DN192" s="12" t="s">
        <v>81</v>
      </c>
      <c r="DO192" s="150" t="s">
        <v>282</v>
      </c>
    </row>
    <row r="193" spans="2:133" s="12" customFormat="1" x14ac:dyDescent="0.2">
      <c r="B193" s="149"/>
      <c r="D193" s="138"/>
      <c r="E193" s="150"/>
      <c r="F193" s="151"/>
      <c r="H193" s="152"/>
      <c r="I193" s="153"/>
      <c r="L193" s="149"/>
      <c r="N193" s="310">
        <f>N192-H192</f>
        <v>-0.66000000000008185</v>
      </c>
      <c r="O193" s="218"/>
      <c r="Q193" s="231"/>
      <c r="CC193" s="154"/>
      <c r="CJ193" s="155"/>
      <c r="DJ193" s="150"/>
      <c r="DK193" s="150"/>
      <c r="DO193" s="150"/>
    </row>
    <row r="194" spans="2:133" s="1" customFormat="1" ht="37.9" customHeight="1" x14ac:dyDescent="0.2">
      <c r="B194" s="124"/>
      <c r="C194" s="125" t="s">
        <v>386</v>
      </c>
      <c r="D194" s="125" t="s">
        <v>284</v>
      </c>
      <c r="E194" s="126" t="s">
        <v>405</v>
      </c>
      <c r="F194" s="127" t="s">
        <v>406</v>
      </c>
      <c r="G194" s="128" t="s">
        <v>366</v>
      </c>
      <c r="H194" s="129">
        <v>2781.84</v>
      </c>
      <c r="I194" s="130">
        <v>3.4208109177592001</v>
      </c>
      <c r="J194" s="131">
        <f>ROUND(I194*H194,2)</f>
        <v>9516.15</v>
      </c>
      <c r="K194" s="127" t="s">
        <v>293</v>
      </c>
      <c r="L194" s="268">
        <f>S194</f>
        <v>0</v>
      </c>
      <c r="M194" s="272">
        <f>ROUND(L194*I194,2)</f>
        <v>0</v>
      </c>
      <c r="N194" s="243">
        <f>N197</f>
        <v>-3.3000000000001819</v>
      </c>
      <c r="O194" s="294">
        <f>ROUND(N194*I194,2)</f>
        <v>-11.29</v>
      </c>
      <c r="P194" s="273">
        <f>H194-L194-N194</f>
        <v>2785.1400000000003</v>
      </c>
      <c r="Q194" s="287">
        <f>ROUND(P194*I194,2)</f>
        <v>9527.44</v>
      </c>
      <c r="R194" s="137"/>
      <c r="S194" s="269">
        <f>W194+Y194+AA194+AC194+AE194+AG194+AI194+AK194+AM194+AO194+AQ194+AS194+AU194+AW194</f>
        <v>0</v>
      </c>
      <c r="T194" s="269">
        <f>ROUND(S194*I194,2)</f>
        <v>0</v>
      </c>
      <c r="U194" s="269">
        <f>H194-S194</f>
        <v>2781.84</v>
      </c>
      <c r="V194" s="269">
        <f>ROUND(U194*I194,2)</f>
        <v>9516.15</v>
      </c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CC194" s="132" t="s">
        <v>1</v>
      </c>
      <c r="CD194" s="133" t="s">
        <v>40</v>
      </c>
      <c r="CF194" s="134">
        <f>CE194*H194</f>
        <v>0</v>
      </c>
      <c r="CG194" s="134">
        <v>0</v>
      </c>
      <c r="CH194" s="134">
        <f>CG194*H194</f>
        <v>0</v>
      </c>
      <c r="CI194" s="134">
        <v>0</v>
      </c>
      <c r="CJ194" s="135">
        <f>CI194*H194</f>
        <v>0</v>
      </c>
      <c r="DH194" s="136" t="s">
        <v>95</v>
      </c>
      <c r="DJ194" s="136" t="s">
        <v>284</v>
      </c>
      <c r="DK194" s="136" t="s">
        <v>83</v>
      </c>
      <c r="DO194" s="16" t="s">
        <v>282</v>
      </c>
      <c r="DU194" s="137">
        <f>IF(CD194="základní",J194,0)</f>
        <v>9516.15</v>
      </c>
      <c r="DV194" s="137">
        <f>IF(CD194="snížená",J194,0)</f>
        <v>0</v>
      </c>
      <c r="DW194" s="137">
        <f>IF(CD194="zákl. přenesená",J194,0)</f>
        <v>0</v>
      </c>
      <c r="DX194" s="137">
        <f>IF(CD194="sníž. přenesená",J194,0)</f>
        <v>0</v>
      </c>
      <c r="DY194" s="137">
        <f>IF(CD194="nulová",J194,0)</f>
        <v>0</v>
      </c>
      <c r="DZ194" s="16" t="s">
        <v>81</v>
      </c>
      <c r="EA194" s="137">
        <f>ROUND(I194*H194,2)</f>
        <v>9516.15</v>
      </c>
      <c r="EB194" s="16" t="s">
        <v>95</v>
      </c>
      <c r="EC194" s="136" t="s">
        <v>407</v>
      </c>
    </row>
    <row r="195" spans="2:133" s="1" customFormat="1" ht="48.75" x14ac:dyDescent="0.2">
      <c r="B195" s="31"/>
      <c r="D195" s="138" t="s">
        <v>289</v>
      </c>
      <c r="F195" s="139" t="s">
        <v>408</v>
      </c>
      <c r="I195" s="140"/>
      <c r="L195" s="31"/>
      <c r="N195" s="213"/>
      <c r="O195" s="214"/>
      <c r="Q195" s="229"/>
      <c r="CC195" s="141"/>
      <c r="CJ195" s="50"/>
      <c r="DJ195" s="16" t="s">
        <v>289</v>
      </c>
      <c r="DK195" s="16" t="s">
        <v>83</v>
      </c>
    </row>
    <row r="196" spans="2:133" s="12" customFormat="1" x14ac:dyDescent="0.2">
      <c r="B196" s="149"/>
      <c r="D196" s="138" t="s">
        <v>301</v>
      </c>
      <c r="F196" s="151" t="s">
        <v>857</v>
      </c>
      <c r="H196" s="152">
        <v>2781.84</v>
      </c>
      <c r="I196" s="153"/>
      <c r="L196" s="149"/>
      <c r="N196" s="217">
        <f>555.708*5</f>
        <v>2778.54</v>
      </c>
      <c r="O196" s="218" t="s">
        <v>3407</v>
      </c>
      <c r="Q196" s="231"/>
      <c r="CC196" s="154"/>
      <c r="CJ196" s="155"/>
      <c r="DJ196" s="150" t="s">
        <v>301</v>
      </c>
      <c r="DK196" s="150" t="s">
        <v>83</v>
      </c>
      <c r="DL196" s="12" t="s">
        <v>83</v>
      </c>
      <c r="DM196" s="12" t="s">
        <v>3</v>
      </c>
      <c r="DN196" s="12" t="s">
        <v>81</v>
      </c>
      <c r="DO196" s="150" t="s">
        <v>282</v>
      </c>
    </row>
    <row r="197" spans="2:133" s="12" customFormat="1" x14ac:dyDescent="0.2">
      <c r="B197" s="149"/>
      <c r="D197" s="138"/>
      <c r="F197" s="151"/>
      <c r="H197" s="152"/>
      <c r="I197" s="153"/>
      <c r="L197" s="149"/>
      <c r="N197" s="310">
        <f>N196-H196</f>
        <v>-3.3000000000001819</v>
      </c>
      <c r="O197" s="218"/>
      <c r="Q197" s="231"/>
      <c r="CC197" s="154"/>
      <c r="CJ197" s="155"/>
      <c r="DJ197" s="150"/>
      <c r="DK197" s="150"/>
      <c r="DO197" s="150"/>
    </row>
    <row r="198" spans="2:133" s="1" customFormat="1" ht="24.2" customHeight="1" x14ac:dyDescent="0.2">
      <c r="B198" s="124"/>
      <c r="C198" s="125" t="s">
        <v>392</v>
      </c>
      <c r="D198" s="125" t="s">
        <v>284</v>
      </c>
      <c r="E198" s="126" t="s">
        <v>410</v>
      </c>
      <c r="F198" s="127" t="s">
        <v>411</v>
      </c>
      <c r="G198" s="128" t="s">
        <v>287</v>
      </c>
      <c r="H198" s="129">
        <v>193.17</v>
      </c>
      <c r="I198" s="130">
        <v>6.3644601414457247</v>
      </c>
      <c r="J198" s="131">
        <f>ROUND(I198*H198,2)</f>
        <v>1229.42</v>
      </c>
      <c r="K198" s="127" t="s">
        <v>293</v>
      </c>
      <c r="L198" s="268">
        <f>S198</f>
        <v>0</v>
      </c>
      <c r="M198" s="272">
        <f>ROUND(L198*I198,2)</f>
        <v>0</v>
      </c>
      <c r="N198" s="243">
        <f>N204</f>
        <v>-0.23099999999999454</v>
      </c>
      <c r="O198" s="294">
        <f>ROUND(N198*I198,2)</f>
        <v>-1.47</v>
      </c>
      <c r="P198" s="273">
        <f>H198-L198-N198</f>
        <v>193.40099999999998</v>
      </c>
      <c r="Q198" s="287">
        <f>ROUND(P198*I198,2)</f>
        <v>1230.8900000000001</v>
      </c>
      <c r="R198" s="137"/>
      <c r="S198" s="269">
        <f>W198+Y198+AA198+AC198+AE198+AG198+AI198+AK198+AM198+AO198+AQ198+AS198+AU198+AW198</f>
        <v>0</v>
      </c>
      <c r="T198" s="269">
        <f>ROUND(S198*I198,2)</f>
        <v>0</v>
      </c>
      <c r="U198" s="269">
        <f>H198-S198</f>
        <v>193.17</v>
      </c>
      <c r="V198" s="269">
        <f>ROUND(U198*I198,2)</f>
        <v>1229.42</v>
      </c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CC198" s="132" t="s">
        <v>1</v>
      </c>
      <c r="CD198" s="133" t="s">
        <v>40</v>
      </c>
      <c r="CF198" s="134">
        <f>CE198*H198</f>
        <v>0</v>
      </c>
      <c r="CG198" s="134">
        <v>0</v>
      </c>
      <c r="CH198" s="134">
        <f>CG198*H198</f>
        <v>0</v>
      </c>
      <c r="CI198" s="134">
        <v>0</v>
      </c>
      <c r="CJ198" s="135">
        <f>CI198*H198</f>
        <v>0</v>
      </c>
      <c r="DH198" s="136" t="s">
        <v>95</v>
      </c>
      <c r="DJ198" s="136" t="s">
        <v>284</v>
      </c>
      <c r="DK198" s="136" t="s">
        <v>83</v>
      </c>
      <c r="DO198" s="16" t="s">
        <v>282</v>
      </c>
      <c r="DU198" s="137">
        <f>IF(CD198="základní",J198,0)</f>
        <v>1229.42</v>
      </c>
      <c r="DV198" s="137">
        <f>IF(CD198="snížená",J198,0)</f>
        <v>0</v>
      </c>
      <c r="DW198" s="137">
        <f>IF(CD198="zákl. přenesená",J198,0)</f>
        <v>0</v>
      </c>
      <c r="DX198" s="137">
        <f>IF(CD198="sníž. přenesená",J198,0)</f>
        <v>0</v>
      </c>
      <c r="DY198" s="137">
        <f>IF(CD198="nulová",J198,0)</f>
        <v>0</v>
      </c>
      <c r="DZ198" s="16" t="s">
        <v>81</v>
      </c>
      <c r="EA198" s="137">
        <f>ROUND(I198*H198,2)</f>
        <v>1229.42</v>
      </c>
      <c r="EB198" s="16" t="s">
        <v>95</v>
      </c>
      <c r="EC198" s="136" t="s">
        <v>412</v>
      </c>
    </row>
    <row r="199" spans="2:133" s="1" customFormat="1" ht="19.5" x14ac:dyDescent="0.2">
      <c r="B199" s="31"/>
      <c r="D199" s="138" t="s">
        <v>289</v>
      </c>
      <c r="F199" s="139" t="s">
        <v>413</v>
      </c>
      <c r="I199" s="140"/>
      <c r="L199" s="31"/>
      <c r="N199" s="213"/>
      <c r="O199" s="214"/>
      <c r="Q199" s="229"/>
      <c r="CC199" s="141"/>
      <c r="CJ199" s="50"/>
      <c r="DJ199" s="16" t="s">
        <v>289</v>
      </c>
      <c r="DK199" s="16" t="s">
        <v>83</v>
      </c>
    </row>
    <row r="200" spans="2:133" s="1" customFormat="1" ht="19.5" x14ac:dyDescent="0.2">
      <c r="B200" s="31"/>
      <c r="D200" s="138" t="s">
        <v>299</v>
      </c>
      <c r="F200" s="142" t="s">
        <v>317</v>
      </c>
      <c r="I200" s="140"/>
      <c r="L200" s="31"/>
      <c r="N200" s="213"/>
      <c r="O200" s="214"/>
      <c r="Q200" s="229"/>
      <c r="CC200" s="141"/>
      <c r="CJ200" s="50"/>
      <c r="DJ200" s="16" t="s">
        <v>299</v>
      </c>
      <c r="DK200" s="16" t="s">
        <v>83</v>
      </c>
    </row>
    <row r="201" spans="2:133" s="12" customFormat="1" x14ac:dyDescent="0.2">
      <c r="B201" s="149"/>
      <c r="D201" s="138" t="s">
        <v>301</v>
      </c>
      <c r="E201" s="150" t="s">
        <v>1</v>
      </c>
      <c r="F201" s="151" t="s">
        <v>858</v>
      </c>
      <c r="H201" s="152">
        <v>175.35</v>
      </c>
      <c r="I201" s="153"/>
      <c r="L201" s="149"/>
      <c r="N201" s="217">
        <f>166.78*1.05</f>
        <v>175.119</v>
      </c>
      <c r="O201" s="218" t="s">
        <v>3401</v>
      </c>
      <c r="Q201" s="231"/>
      <c r="CC201" s="154"/>
      <c r="CJ201" s="155"/>
      <c r="DJ201" s="150" t="s">
        <v>301</v>
      </c>
      <c r="DK201" s="150" t="s">
        <v>83</v>
      </c>
      <c r="DL201" s="12" t="s">
        <v>83</v>
      </c>
      <c r="DM201" s="12" t="s">
        <v>32</v>
      </c>
      <c r="DN201" s="12" t="s">
        <v>74</v>
      </c>
      <c r="DO201" s="150" t="s">
        <v>282</v>
      </c>
    </row>
    <row r="202" spans="2:133" s="12" customFormat="1" x14ac:dyDescent="0.2">
      <c r="B202" s="149"/>
      <c r="D202" s="138" t="s">
        <v>301</v>
      </c>
      <c r="E202" s="150" t="s">
        <v>1</v>
      </c>
      <c r="F202" s="151" t="s">
        <v>845</v>
      </c>
      <c r="H202" s="152">
        <v>17.82</v>
      </c>
      <c r="I202" s="153"/>
      <c r="L202" s="149"/>
      <c r="N202" s="310">
        <f>H202</f>
        <v>17.82</v>
      </c>
      <c r="O202" s="218"/>
      <c r="Q202" s="231"/>
      <c r="CC202" s="154"/>
      <c r="CJ202" s="155"/>
      <c r="DJ202" s="150" t="s">
        <v>301</v>
      </c>
      <c r="DK202" s="150" t="s">
        <v>83</v>
      </c>
      <c r="DL202" s="12" t="s">
        <v>83</v>
      </c>
      <c r="DM202" s="12" t="s">
        <v>32</v>
      </c>
      <c r="DN202" s="12" t="s">
        <v>74</v>
      </c>
      <c r="DO202" s="150" t="s">
        <v>282</v>
      </c>
    </row>
    <row r="203" spans="2:133" s="13" customFormat="1" x14ac:dyDescent="0.2">
      <c r="B203" s="156"/>
      <c r="D203" s="138" t="s">
        <v>301</v>
      </c>
      <c r="E203" s="157" t="s">
        <v>1</v>
      </c>
      <c r="F203" s="158" t="s">
        <v>305</v>
      </c>
      <c r="H203" s="159">
        <v>193.17</v>
      </c>
      <c r="I203" s="160"/>
      <c r="L203" s="156"/>
      <c r="N203" s="311">
        <f>N201+N202</f>
        <v>192.93899999999999</v>
      </c>
      <c r="O203" s="220"/>
      <c r="Q203" s="232"/>
      <c r="CC203" s="161"/>
      <c r="CJ203" s="162"/>
      <c r="DJ203" s="157" t="s">
        <v>301</v>
      </c>
      <c r="DK203" s="157" t="s">
        <v>83</v>
      </c>
      <c r="DL203" s="13" t="s">
        <v>95</v>
      </c>
      <c r="DM203" s="13" t="s">
        <v>32</v>
      </c>
      <c r="DN203" s="13" t="s">
        <v>81</v>
      </c>
      <c r="DO203" s="157" t="s">
        <v>282</v>
      </c>
    </row>
    <row r="204" spans="2:133" s="13" customFormat="1" x14ac:dyDescent="0.2">
      <c r="B204" s="156"/>
      <c r="D204" s="138"/>
      <c r="E204" s="157"/>
      <c r="F204" s="158"/>
      <c r="H204" s="159"/>
      <c r="I204" s="160"/>
      <c r="L204" s="156"/>
      <c r="N204" s="311">
        <f>N203-H203</f>
        <v>-0.23099999999999454</v>
      </c>
      <c r="O204" s="220"/>
      <c r="Q204" s="232"/>
      <c r="CC204" s="161"/>
      <c r="CJ204" s="162"/>
      <c r="DJ204" s="157"/>
      <c r="DK204" s="157"/>
      <c r="DO204" s="157"/>
    </row>
    <row r="205" spans="2:133" s="1" customFormat="1" ht="24.2" customHeight="1" x14ac:dyDescent="0.2">
      <c r="B205" s="124"/>
      <c r="C205" s="125" t="s">
        <v>397</v>
      </c>
      <c r="D205" s="125" t="s">
        <v>284</v>
      </c>
      <c r="E205" s="126" t="s">
        <v>416</v>
      </c>
      <c r="F205" s="127" t="s">
        <v>417</v>
      </c>
      <c r="G205" s="128" t="s">
        <v>418</v>
      </c>
      <c r="H205" s="129">
        <v>1001.462</v>
      </c>
      <c r="I205" s="130">
        <v>110.6455721</v>
      </c>
      <c r="J205" s="131">
        <f>ROUND(I205*H205,2)</f>
        <v>110807.34</v>
      </c>
      <c r="K205" s="127" t="s">
        <v>293</v>
      </c>
      <c r="L205" s="268">
        <f>S205</f>
        <v>0</v>
      </c>
      <c r="M205" s="272">
        <f>ROUND(L205*I205,2)</f>
        <v>0</v>
      </c>
      <c r="N205" s="243">
        <f>N208</f>
        <v>-1.1875999999999749</v>
      </c>
      <c r="O205" s="294">
        <f>ROUND(N205*I205,2)</f>
        <v>-131.4</v>
      </c>
      <c r="P205" s="273">
        <f>H205-L205-N205</f>
        <v>1002.6496</v>
      </c>
      <c r="Q205" s="287">
        <f>ROUND(P205*I205,2)</f>
        <v>110938.74</v>
      </c>
      <c r="R205" s="137"/>
      <c r="S205" s="269">
        <f>W205+Y205+AA205+AC205+AE205+AG205+AI205+AK205+AM205+AO205+AQ205+AS205+AU205+AW205</f>
        <v>0</v>
      </c>
      <c r="T205" s="269">
        <f>ROUND(S205*I205,2)</f>
        <v>0</v>
      </c>
      <c r="U205" s="269">
        <f>H205-S205</f>
        <v>1001.462</v>
      </c>
      <c r="V205" s="269">
        <f>ROUND(U205*I205,2)</f>
        <v>110807.34</v>
      </c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CC205" s="132" t="s">
        <v>1</v>
      </c>
      <c r="CD205" s="133" t="s">
        <v>40</v>
      </c>
      <c r="CF205" s="134">
        <f>CE205*H205</f>
        <v>0</v>
      </c>
      <c r="CG205" s="134">
        <v>0</v>
      </c>
      <c r="CH205" s="134">
        <f>CG205*H205</f>
        <v>0</v>
      </c>
      <c r="CI205" s="134">
        <v>0</v>
      </c>
      <c r="CJ205" s="135">
        <f>CI205*H205</f>
        <v>0</v>
      </c>
      <c r="DH205" s="136" t="s">
        <v>95</v>
      </c>
      <c r="DJ205" s="136" t="s">
        <v>284</v>
      </c>
      <c r="DK205" s="136" t="s">
        <v>83</v>
      </c>
      <c r="DO205" s="16" t="s">
        <v>282</v>
      </c>
      <c r="DU205" s="137">
        <f>IF(CD205="základní",J205,0)</f>
        <v>110807.34</v>
      </c>
      <c r="DV205" s="137">
        <f>IF(CD205="snížená",J205,0)</f>
        <v>0</v>
      </c>
      <c r="DW205" s="137">
        <f>IF(CD205="zákl. přenesená",J205,0)</f>
        <v>0</v>
      </c>
      <c r="DX205" s="137">
        <f>IF(CD205="sníž. přenesená",J205,0)</f>
        <v>0</v>
      </c>
      <c r="DY205" s="137">
        <f>IF(CD205="nulová",J205,0)</f>
        <v>0</v>
      </c>
      <c r="DZ205" s="16" t="s">
        <v>81</v>
      </c>
      <c r="EA205" s="137">
        <f>ROUND(I205*H205,2)</f>
        <v>110807.34</v>
      </c>
      <c r="EB205" s="16" t="s">
        <v>95</v>
      </c>
      <c r="EC205" s="136" t="s">
        <v>419</v>
      </c>
    </row>
    <row r="206" spans="2:133" s="1" customFormat="1" ht="29.25" x14ac:dyDescent="0.2">
      <c r="B206" s="31"/>
      <c r="D206" s="138" t="s">
        <v>289</v>
      </c>
      <c r="F206" s="139" t="s">
        <v>420</v>
      </c>
      <c r="I206" s="140"/>
      <c r="L206" s="31"/>
      <c r="N206" s="213"/>
      <c r="O206" s="214"/>
      <c r="Q206" s="229"/>
      <c r="CC206" s="141"/>
      <c r="CJ206" s="50"/>
      <c r="DJ206" s="16" t="s">
        <v>289</v>
      </c>
      <c r="DK206" s="16" t="s">
        <v>83</v>
      </c>
    </row>
    <row r="207" spans="2:133" s="12" customFormat="1" x14ac:dyDescent="0.2">
      <c r="B207" s="149"/>
      <c r="D207" s="138" t="s">
        <v>301</v>
      </c>
      <c r="F207" s="151" t="s">
        <v>859</v>
      </c>
      <c r="H207" s="152">
        <v>1001.462</v>
      </c>
      <c r="I207" s="153"/>
      <c r="L207" s="149"/>
      <c r="N207" s="217">
        <f>555.708*1.8</f>
        <v>1000.2744</v>
      </c>
      <c r="O207" s="218" t="s">
        <v>3408</v>
      </c>
      <c r="Q207" s="231"/>
      <c r="CC207" s="154"/>
      <c r="CJ207" s="155"/>
      <c r="DJ207" s="150" t="s">
        <v>301</v>
      </c>
      <c r="DK207" s="150" t="s">
        <v>83</v>
      </c>
      <c r="DL207" s="12" t="s">
        <v>83</v>
      </c>
      <c r="DM207" s="12" t="s">
        <v>3</v>
      </c>
      <c r="DN207" s="12" t="s">
        <v>81</v>
      </c>
      <c r="DO207" s="150" t="s">
        <v>282</v>
      </c>
    </row>
    <row r="208" spans="2:133" s="12" customFormat="1" x14ac:dyDescent="0.2">
      <c r="B208" s="149"/>
      <c r="D208" s="138"/>
      <c r="F208" s="151"/>
      <c r="H208" s="152"/>
      <c r="I208" s="153"/>
      <c r="L208" s="149"/>
      <c r="N208" s="310">
        <f>N207-H207</f>
        <v>-1.1875999999999749</v>
      </c>
      <c r="O208" s="218"/>
      <c r="Q208" s="231"/>
      <c r="CC208" s="154"/>
      <c r="CJ208" s="155"/>
      <c r="DJ208" s="150"/>
      <c r="DK208" s="150"/>
      <c r="DO208" s="150"/>
    </row>
    <row r="209" spans="2:133" s="1" customFormat="1" ht="24.2" customHeight="1" x14ac:dyDescent="0.2">
      <c r="B209" s="124"/>
      <c r="C209" s="125" t="s">
        <v>404</v>
      </c>
      <c r="D209" s="125" t="s">
        <v>284</v>
      </c>
      <c r="E209" s="126" t="s">
        <v>423</v>
      </c>
      <c r="F209" s="127" t="s">
        <v>424</v>
      </c>
      <c r="G209" s="128" t="s">
        <v>366</v>
      </c>
      <c r="H209" s="129">
        <v>499.875</v>
      </c>
      <c r="I209" s="130">
        <v>140.64048227116101</v>
      </c>
      <c r="J209" s="131">
        <f>ROUND(I209*H209,2)</f>
        <v>70302.66</v>
      </c>
      <c r="K209" s="127" t="s">
        <v>293</v>
      </c>
      <c r="L209" s="268">
        <f>S209</f>
        <v>0</v>
      </c>
      <c r="M209" s="272">
        <f>ROUND(L209*I209,2)</f>
        <v>0</v>
      </c>
      <c r="N209" s="243">
        <f>N223</f>
        <v>-0.6017500000000382</v>
      </c>
      <c r="O209" s="294">
        <f>ROUND(N209*I209,2)</f>
        <v>-84.63</v>
      </c>
      <c r="P209" s="273">
        <f>H209-L209-N209</f>
        <v>500.47675000000004</v>
      </c>
      <c r="Q209" s="287">
        <f>ROUND(P209*I209,2)</f>
        <v>70387.289999999994</v>
      </c>
      <c r="R209" s="137"/>
      <c r="S209" s="269">
        <f>W209+Y209+AA209+AC209+AE209+AG209+AI209+AK209+AM209+AO209+AQ209+AS209+AU209+AW209</f>
        <v>0</v>
      </c>
      <c r="T209" s="269">
        <f>ROUND(S209*I209,2)</f>
        <v>0</v>
      </c>
      <c r="U209" s="269">
        <f>H209-S209</f>
        <v>499.875</v>
      </c>
      <c r="V209" s="269">
        <f>ROUND(U209*I209,2)</f>
        <v>70302.66</v>
      </c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CC209" s="132" t="s">
        <v>1</v>
      </c>
      <c r="CD209" s="133" t="s">
        <v>40</v>
      </c>
      <c r="CF209" s="134">
        <f>CE209*H209</f>
        <v>0</v>
      </c>
      <c r="CG209" s="134">
        <v>0</v>
      </c>
      <c r="CH209" s="134">
        <f>CG209*H209</f>
        <v>0</v>
      </c>
      <c r="CI209" s="134">
        <v>0</v>
      </c>
      <c r="CJ209" s="135">
        <f>CI209*H209</f>
        <v>0</v>
      </c>
      <c r="DH209" s="136" t="s">
        <v>95</v>
      </c>
      <c r="DJ209" s="136" t="s">
        <v>284</v>
      </c>
      <c r="DK209" s="136" t="s">
        <v>83</v>
      </c>
      <c r="DO209" s="16" t="s">
        <v>282</v>
      </c>
      <c r="DU209" s="137">
        <f>IF(CD209="základní",J209,0)</f>
        <v>70302.66</v>
      </c>
      <c r="DV209" s="137">
        <f>IF(CD209="snížená",J209,0)</f>
        <v>0</v>
      </c>
      <c r="DW209" s="137">
        <f>IF(CD209="zákl. přenesená",J209,0)</f>
        <v>0</v>
      </c>
      <c r="DX209" s="137">
        <f>IF(CD209="sníž. přenesená",J209,0)</f>
        <v>0</v>
      </c>
      <c r="DY209" s="137">
        <f>IF(CD209="nulová",J209,0)</f>
        <v>0</v>
      </c>
      <c r="DZ209" s="16" t="s">
        <v>81</v>
      </c>
      <c r="EA209" s="137">
        <f>ROUND(I209*H209,2)</f>
        <v>70302.66</v>
      </c>
      <c r="EB209" s="16" t="s">
        <v>95</v>
      </c>
      <c r="EC209" s="136" t="s">
        <v>425</v>
      </c>
    </row>
    <row r="210" spans="2:133" s="1" customFormat="1" ht="29.25" x14ac:dyDescent="0.2">
      <c r="B210" s="31"/>
      <c r="D210" s="138" t="s">
        <v>289</v>
      </c>
      <c r="F210" s="139" t="s">
        <v>426</v>
      </c>
      <c r="I210" s="140"/>
      <c r="L210" s="31"/>
      <c r="N210" s="213"/>
      <c r="O210" s="214"/>
      <c r="Q210" s="229"/>
      <c r="CC210" s="141"/>
      <c r="CJ210" s="50"/>
      <c r="DJ210" s="16" t="s">
        <v>289</v>
      </c>
      <c r="DK210" s="16" t="s">
        <v>83</v>
      </c>
    </row>
    <row r="211" spans="2:133" s="11" customFormat="1" x14ac:dyDescent="0.2">
      <c r="B211" s="143"/>
      <c r="D211" s="138" t="s">
        <v>301</v>
      </c>
      <c r="E211" s="144" t="s">
        <v>1</v>
      </c>
      <c r="F211" s="145" t="s">
        <v>427</v>
      </c>
      <c r="H211" s="144" t="s">
        <v>1</v>
      </c>
      <c r="I211" s="146"/>
      <c r="L211" s="143"/>
      <c r="N211" s="215"/>
      <c r="O211" s="216"/>
      <c r="Q211" s="230"/>
      <c r="CC211" s="147"/>
      <c r="CJ211" s="148"/>
      <c r="DJ211" s="144" t="s">
        <v>301</v>
      </c>
      <c r="DK211" s="144" t="s">
        <v>83</v>
      </c>
      <c r="DL211" s="11" t="s">
        <v>81</v>
      </c>
      <c r="DM211" s="11" t="s">
        <v>32</v>
      </c>
      <c r="DN211" s="11" t="s">
        <v>74</v>
      </c>
      <c r="DO211" s="144" t="s">
        <v>282</v>
      </c>
    </row>
    <row r="212" spans="2:133" s="12" customFormat="1" x14ac:dyDescent="0.2">
      <c r="B212" s="149"/>
      <c r="D212" s="138" t="s">
        <v>301</v>
      </c>
      <c r="E212" s="150" t="s">
        <v>1</v>
      </c>
      <c r="F212" s="151" t="s">
        <v>856</v>
      </c>
      <c r="H212" s="152">
        <v>556.36800000000005</v>
      </c>
      <c r="I212" s="153"/>
      <c r="L212" s="149"/>
      <c r="N212" s="217">
        <f>277.854+277.854</f>
        <v>555.70799999999997</v>
      </c>
      <c r="O212" s="359" t="s">
        <v>3406</v>
      </c>
      <c r="Q212" s="231"/>
      <c r="CC212" s="154"/>
      <c r="CJ212" s="155"/>
      <c r="DJ212" s="150" t="s">
        <v>301</v>
      </c>
      <c r="DK212" s="150" t="s">
        <v>83</v>
      </c>
      <c r="DL212" s="12" t="s">
        <v>83</v>
      </c>
      <c r="DM212" s="12" t="s">
        <v>32</v>
      </c>
      <c r="DN212" s="12" t="s">
        <v>74</v>
      </c>
      <c r="DO212" s="150" t="s">
        <v>282</v>
      </c>
    </row>
    <row r="213" spans="2:133" s="11" customFormat="1" x14ac:dyDescent="0.2">
      <c r="B213" s="143"/>
      <c r="D213" s="138" t="s">
        <v>301</v>
      </c>
      <c r="E213" s="144" t="s">
        <v>1</v>
      </c>
      <c r="F213" s="145" t="s">
        <v>428</v>
      </c>
      <c r="H213" s="144" t="s">
        <v>1</v>
      </c>
      <c r="I213" s="146"/>
      <c r="L213" s="143"/>
      <c r="N213" s="215"/>
      <c r="O213" s="216"/>
      <c r="Q213" s="230"/>
      <c r="CC213" s="147"/>
      <c r="CJ213" s="148"/>
      <c r="DJ213" s="144" t="s">
        <v>301</v>
      </c>
      <c r="DK213" s="144" t="s">
        <v>83</v>
      </c>
      <c r="DL213" s="11" t="s">
        <v>81</v>
      </c>
      <c r="DM213" s="11" t="s">
        <v>32</v>
      </c>
      <c r="DN213" s="11" t="s">
        <v>74</v>
      </c>
      <c r="DO213" s="144" t="s">
        <v>282</v>
      </c>
    </row>
    <row r="214" spans="2:133" s="12" customFormat="1" x14ac:dyDescent="0.2">
      <c r="B214" s="149"/>
      <c r="D214" s="138" t="s">
        <v>301</v>
      </c>
      <c r="E214" s="150" t="s">
        <v>1</v>
      </c>
      <c r="F214" s="151" t="s">
        <v>860</v>
      </c>
      <c r="H214" s="152">
        <v>-96.442999999999998</v>
      </c>
      <c r="I214" s="153"/>
      <c r="L214" s="149"/>
      <c r="N214" s="217">
        <f>-N231</f>
        <v>-96.315450000000013</v>
      </c>
      <c r="O214" s="218"/>
      <c r="Q214" s="231"/>
      <c r="CC214" s="154"/>
      <c r="CJ214" s="155"/>
      <c r="DJ214" s="150" t="s">
        <v>301</v>
      </c>
      <c r="DK214" s="150" t="s">
        <v>83</v>
      </c>
      <c r="DL214" s="12" t="s">
        <v>83</v>
      </c>
      <c r="DM214" s="12" t="s">
        <v>32</v>
      </c>
      <c r="DN214" s="12" t="s">
        <v>74</v>
      </c>
      <c r="DO214" s="150" t="s">
        <v>282</v>
      </c>
    </row>
    <row r="215" spans="2:133" s="11" customFormat="1" x14ac:dyDescent="0.2">
      <c r="B215" s="143"/>
      <c r="D215" s="138" t="s">
        <v>301</v>
      </c>
      <c r="E215" s="144" t="s">
        <v>1</v>
      </c>
      <c r="F215" s="145" t="s">
        <v>430</v>
      </c>
      <c r="H215" s="144" t="s">
        <v>1</v>
      </c>
      <c r="I215" s="146"/>
      <c r="L215" s="143"/>
      <c r="N215" s="215"/>
      <c r="O215" s="216"/>
      <c r="Q215" s="230"/>
      <c r="CC215" s="147"/>
      <c r="CJ215" s="148"/>
      <c r="DJ215" s="144" t="s">
        <v>301</v>
      </c>
      <c r="DK215" s="144" t="s">
        <v>83</v>
      </c>
      <c r="DL215" s="11" t="s">
        <v>81</v>
      </c>
      <c r="DM215" s="11" t="s">
        <v>32</v>
      </c>
      <c r="DN215" s="11" t="s">
        <v>74</v>
      </c>
      <c r="DO215" s="144" t="s">
        <v>282</v>
      </c>
    </row>
    <row r="216" spans="2:133" s="12" customFormat="1" x14ac:dyDescent="0.2">
      <c r="B216" s="149"/>
      <c r="D216" s="138" t="s">
        <v>301</v>
      </c>
      <c r="E216" s="150" t="s">
        <v>1</v>
      </c>
      <c r="F216" s="151" t="s">
        <v>861</v>
      </c>
      <c r="H216" s="152">
        <v>-20.035</v>
      </c>
      <c r="I216" s="153"/>
      <c r="L216" s="149"/>
      <c r="N216" s="217">
        <f>-N248-2.5</f>
        <v>-20.011900000000001</v>
      </c>
      <c r="O216" s="218"/>
      <c r="Q216" s="231"/>
      <c r="CC216" s="154"/>
      <c r="CJ216" s="155"/>
      <c r="DJ216" s="150" t="s">
        <v>301</v>
      </c>
      <c r="DK216" s="150" t="s">
        <v>83</v>
      </c>
      <c r="DL216" s="12" t="s">
        <v>83</v>
      </c>
      <c r="DM216" s="12" t="s">
        <v>32</v>
      </c>
      <c r="DN216" s="12" t="s">
        <v>74</v>
      </c>
      <c r="DO216" s="150" t="s">
        <v>282</v>
      </c>
    </row>
    <row r="217" spans="2:133" s="11" customFormat="1" x14ac:dyDescent="0.2">
      <c r="B217" s="143"/>
      <c r="D217" s="138" t="s">
        <v>301</v>
      </c>
      <c r="E217" s="144" t="s">
        <v>1</v>
      </c>
      <c r="F217" s="145" t="s">
        <v>432</v>
      </c>
      <c r="H217" s="144" t="s">
        <v>1</v>
      </c>
      <c r="I217" s="146"/>
      <c r="L217" s="143"/>
      <c r="N217" s="215"/>
      <c r="O217" s="216"/>
      <c r="Q217" s="230"/>
      <c r="CC217" s="147"/>
      <c r="CJ217" s="148"/>
      <c r="DJ217" s="144" t="s">
        <v>301</v>
      </c>
      <c r="DK217" s="144" t="s">
        <v>83</v>
      </c>
      <c r="DL217" s="11" t="s">
        <v>81</v>
      </c>
      <c r="DM217" s="11" t="s">
        <v>32</v>
      </c>
      <c r="DN217" s="11" t="s">
        <v>74</v>
      </c>
      <c r="DO217" s="144" t="s">
        <v>282</v>
      </c>
    </row>
    <row r="218" spans="2:133" s="12" customFormat="1" x14ac:dyDescent="0.2">
      <c r="B218" s="149"/>
      <c r="D218" s="138" t="s">
        <v>301</v>
      </c>
      <c r="E218" s="150" t="s">
        <v>1</v>
      </c>
      <c r="F218" s="151" t="s">
        <v>862</v>
      </c>
      <c r="H218" s="152">
        <v>-1.35</v>
      </c>
      <c r="I218" s="153"/>
      <c r="L218" s="149"/>
      <c r="N218" s="310">
        <f>H218</f>
        <v>-1.35</v>
      </c>
      <c r="O218" s="218"/>
      <c r="Q218" s="231"/>
      <c r="CC218" s="154"/>
      <c r="CJ218" s="155"/>
      <c r="DJ218" s="150" t="s">
        <v>301</v>
      </c>
      <c r="DK218" s="150" t="s">
        <v>83</v>
      </c>
      <c r="DL218" s="12" t="s">
        <v>83</v>
      </c>
      <c r="DM218" s="12" t="s">
        <v>32</v>
      </c>
      <c r="DN218" s="12" t="s">
        <v>74</v>
      </c>
      <c r="DO218" s="150" t="s">
        <v>282</v>
      </c>
    </row>
    <row r="219" spans="2:133" s="12" customFormat="1" x14ac:dyDescent="0.2">
      <c r="B219" s="149"/>
      <c r="D219" s="138" t="s">
        <v>301</v>
      </c>
      <c r="E219" s="150" t="s">
        <v>1</v>
      </c>
      <c r="F219" s="151" t="s">
        <v>863</v>
      </c>
      <c r="H219" s="152">
        <v>-15.933</v>
      </c>
      <c r="I219" s="153"/>
      <c r="L219" s="149"/>
      <c r="N219" s="310">
        <f>H219</f>
        <v>-15.933</v>
      </c>
      <c r="O219" s="218"/>
      <c r="Q219" s="231"/>
      <c r="CC219" s="154"/>
      <c r="CJ219" s="155"/>
      <c r="DJ219" s="150" t="s">
        <v>301</v>
      </c>
      <c r="DK219" s="150" t="s">
        <v>83</v>
      </c>
      <c r="DL219" s="12" t="s">
        <v>83</v>
      </c>
      <c r="DM219" s="12" t="s">
        <v>32</v>
      </c>
      <c r="DN219" s="12" t="s">
        <v>74</v>
      </c>
      <c r="DO219" s="150" t="s">
        <v>282</v>
      </c>
    </row>
    <row r="220" spans="2:133" s="11" customFormat="1" x14ac:dyDescent="0.2">
      <c r="B220" s="143"/>
      <c r="D220" s="138" t="s">
        <v>301</v>
      </c>
      <c r="E220" s="144" t="s">
        <v>1</v>
      </c>
      <c r="F220" s="145" t="s">
        <v>436</v>
      </c>
      <c r="H220" s="144" t="s">
        <v>1</v>
      </c>
      <c r="I220" s="146"/>
      <c r="L220" s="143"/>
      <c r="N220" s="215"/>
      <c r="O220" s="216"/>
      <c r="Q220" s="230"/>
      <c r="CC220" s="147"/>
      <c r="CJ220" s="148"/>
      <c r="DJ220" s="144" t="s">
        <v>301</v>
      </c>
      <c r="DK220" s="144" t="s">
        <v>83</v>
      </c>
      <c r="DL220" s="11" t="s">
        <v>81</v>
      </c>
      <c r="DM220" s="11" t="s">
        <v>32</v>
      </c>
      <c r="DN220" s="11" t="s">
        <v>74</v>
      </c>
      <c r="DO220" s="144" t="s">
        <v>282</v>
      </c>
    </row>
    <row r="221" spans="2:133" s="12" customFormat="1" x14ac:dyDescent="0.2">
      <c r="B221" s="149"/>
      <c r="D221" s="138" t="s">
        <v>301</v>
      </c>
      <c r="E221" s="150" t="s">
        <v>1</v>
      </c>
      <c r="F221" s="151" t="s">
        <v>864</v>
      </c>
      <c r="H221" s="152">
        <v>77.268000000000001</v>
      </c>
      <c r="I221" s="153"/>
      <c r="L221" s="149"/>
      <c r="N221" s="217">
        <f>192.939*(0.45-0.05)</f>
        <v>77.175600000000003</v>
      </c>
      <c r="O221" s="218" t="s">
        <v>3412</v>
      </c>
      <c r="Q221" s="231"/>
      <c r="CC221" s="154"/>
      <c r="CJ221" s="155"/>
      <c r="DJ221" s="150" t="s">
        <v>301</v>
      </c>
      <c r="DK221" s="150" t="s">
        <v>83</v>
      </c>
      <c r="DL221" s="12" t="s">
        <v>83</v>
      </c>
      <c r="DM221" s="12" t="s">
        <v>32</v>
      </c>
      <c r="DN221" s="12" t="s">
        <v>74</v>
      </c>
      <c r="DO221" s="150" t="s">
        <v>282</v>
      </c>
    </row>
    <row r="222" spans="2:133" s="13" customFormat="1" x14ac:dyDescent="0.2">
      <c r="B222" s="156"/>
      <c r="D222" s="138" t="s">
        <v>301</v>
      </c>
      <c r="E222" s="157" t="s">
        <v>1</v>
      </c>
      <c r="F222" s="158" t="s">
        <v>305</v>
      </c>
      <c r="H222" s="159">
        <v>499.875</v>
      </c>
      <c r="I222" s="160"/>
      <c r="L222" s="156"/>
      <c r="N222" s="311">
        <f>N212+N214+N216+N218+N219+N221</f>
        <v>499.27324999999996</v>
      </c>
      <c r="O222" s="220"/>
      <c r="Q222" s="232"/>
      <c r="CC222" s="161"/>
      <c r="CJ222" s="162"/>
      <c r="DJ222" s="157" t="s">
        <v>301</v>
      </c>
      <c r="DK222" s="157" t="s">
        <v>83</v>
      </c>
      <c r="DL222" s="13" t="s">
        <v>95</v>
      </c>
      <c r="DM222" s="13" t="s">
        <v>32</v>
      </c>
      <c r="DN222" s="13" t="s">
        <v>81</v>
      </c>
      <c r="DO222" s="157" t="s">
        <v>282</v>
      </c>
    </row>
    <row r="223" spans="2:133" s="13" customFormat="1" x14ac:dyDescent="0.2">
      <c r="B223" s="156"/>
      <c r="D223" s="138"/>
      <c r="E223" s="157"/>
      <c r="F223" s="158"/>
      <c r="H223" s="159"/>
      <c r="I223" s="160"/>
      <c r="L223" s="156"/>
      <c r="N223" s="311">
        <f>N222-H222</f>
        <v>-0.6017500000000382</v>
      </c>
      <c r="O223" s="220"/>
      <c r="Q223" s="232"/>
      <c r="CC223" s="161"/>
      <c r="CJ223" s="162"/>
      <c r="DJ223" s="157"/>
      <c r="DK223" s="157"/>
      <c r="DO223" s="157"/>
    </row>
    <row r="224" spans="2:133" s="1" customFormat="1" ht="14.45" customHeight="1" x14ac:dyDescent="0.2">
      <c r="B224" s="124"/>
      <c r="C224" s="170" t="s">
        <v>7</v>
      </c>
      <c r="D224" s="170" t="s">
        <v>439</v>
      </c>
      <c r="E224" s="171" t="s">
        <v>440</v>
      </c>
      <c r="F224" s="172" t="s">
        <v>441</v>
      </c>
      <c r="G224" s="173" t="s">
        <v>418</v>
      </c>
      <c r="H224" s="174">
        <v>999.75</v>
      </c>
      <c r="I224" s="175">
        <v>390.0974172</v>
      </c>
      <c r="J224" s="176">
        <f>ROUND(I224*H224,2)</f>
        <v>389999.89</v>
      </c>
      <c r="K224" s="172" t="s">
        <v>293</v>
      </c>
      <c r="L224" s="268">
        <f>S224</f>
        <v>0</v>
      </c>
      <c r="M224" s="272">
        <f>ROUND(L224*I224,2)</f>
        <v>0</v>
      </c>
      <c r="N224" s="243">
        <f>N227</f>
        <v>-1.204</v>
      </c>
      <c r="O224" s="294">
        <f>ROUND(N224*I224,2)</f>
        <v>-469.68</v>
      </c>
      <c r="P224" s="273">
        <f>H224-L224-N224</f>
        <v>1000.954</v>
      </c>
      <c r="Q224" s="287">
        <f>ROUND(P224*I224,2)</f>
        <v>390469.57</v>
      </c>
      <c r="R224" s="137"/>
      <c r="S224" s="269">
        <f>W224+Y224+AA224+AC224+AE224+AG224+AI224+AK224+AM224+AO224+AQ224+AS224+AU224+AW224</f>
        <v>0</v>
      </c>
      <c r="T224" s="269">
        <f>ROUND(S224*I224,2)</f>
        <v>0</v>
      </c>
      <c r="U224" s="269">
        <f>H224-S224</f>
        <v>999.75</v>
      </c>
      <c r="V224" s="269">
        <f>ROUND(U224*I224,2)</f>
        <v>389999.89</v>
      </c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0"/>
      <c r="AS224" s="290"/>
      <c r="AT224" s="290"/>
      <c r="AU224" s="290"/>
      <c r="AV224" s="290"/>
      <c r="AW224" s="290"/>
      <c r="AX224" s="290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77" t="s">
        <v>1</v>
      </c>
      <c r="CD224" s="178" t="s">
        <v>40</v>
      </c>
      <c r="CF224" s="134">
        <f>CE224*H224</f>
        <v>0</v>
      </c>
      <c r="CG224" s="134">
        <v>1</v>
      </c>
      <c r="CH224" s="134">
        <f>CG224*H224</f>
        <v>999.75</v>
      </c>
      <c r="CI224" s="134">
        <v>0</v>
      </c>
      <c r="CJ224" s="135">
        <f>CI224*H224</f>
        <v>0</v>
      </c>
      <c r="DH224" s="136" t="s">
        <v>328</v>
      </c>
      <c r="DJ224" s="136" t="s">
        <v>439</v>
      </c>
      <c r="DK224" s="136" t="s">
        <v>83</v>
      </c>
      <c r="DO224" s="16" t="s">
        <v>282</v>
      </c>
      <c r="DU224" s="137">
        <f>IF(CD224="základní",J224,0)</f>
        <v>389999.89</v>
      </c>
      <c r="DV224" s="137">
        <f>IF(CD224="snížená",J224,0)</f>
        <v>0</v>
      </c>
      <c r="DW224" s="137">
        <f>IF(CD224="zákl. přenesená",J224,0)</f>
        <v>0</v>
      </c>
      <c r="DX224" s="137">
        <f>IF(CD224="sníž. přenesená",J224,0)</f>
        <v>0</v>
      </c>
      <c r="DY224" s="137">
        <f>IF(CD224="nulová",J224,0)</f>
        <v>0</v>
      </c>
      <c r="DZ224" s="16" t="s">
        <v>81</v>
      </c>
      <c r="EA224" s="137">
        <f>ROUND(I224*H224,2)</f>
        <v>389999.89</v>
      </c>
      <c r="EB224" s="16" t="s">
        <v>95</v>
      </c>
      <c r="EC224" s="136" t="s">
        <v>442</v>
      </c>
    </row>
    <row r="225" spans="2:133" s="1" customFormat="1" x14ac:dyDescent="0.2">
      <c r="B225" s="31"/>
      <c r="D225" s="138" t="s">
        <v>289</v>
      </c>
      <c r="F225" s="139" t="s">
        <v>441</v>
      </c>
      <c r="I225" s="140"/>
      <c r="L225" s="31"/>
      <c r="N225" s="213"/>
      <c r="O225" s="214"/>
      <c r="Q225" s="229"/>
      <c r="CC225" s="141"/>
      <c r="CJ225" s="50"/>
      <c r="DJ225" s="16" t="s">
        <v>289</v>
      </c>
      <c r="DK225" s="16" t="s">
        <v>83</v>
      </c>
    </row>
    <row r="226" spans="2:133" s="1" customFormat="1" ht="19.5" x14ac:dyDescent="0.2">
      <c r="B226" s="31"/>
      <c r="D226" s="138" t="s">
        <v>299</v>
      </c>
      <c r="F226" s="142" t="s">
        <v>443</v>
      </c>
      <c r="I226" s="140"/>
      <c r="L226" s="31"/>
      <c r="N226" s="213"/>
      <c r="O226" s="214"/>
      <c r="Q226" s="229"/>
      <c r="CC226" s="141"/>
      <c r="CJ226" s="50"/>
      <c r="DJ226" s="16" t="s">
        <v>299</v>
      </c>
      <c r="DK226" s="16" t="s">
        <v>83</v>
      </c>
    </row>
    <row r="227" spans="2:133" s="12" customFormat="1" x14ac:dyDescent="0.2">
      <c r="B227" s="149"/>
      <c r="D227" s="138" t="s">
        <v>301</v>
      </c>
      <c r="F227" s="151" t="s">
        <v>865</v>
      </c>
      <c r="H227" s="152">
        <v>999.75</v>
      </c>
      <c r="I227" s="153"/>
      <c r="L227" s="149"/>
      <c r="N227" s="217">
        <f>-0.602*2</f>
        <v>-1.204</v>
      </c>
      <c r="O227" s="218" t="s">
        <v>3413</v>
      </c>
      <c r="Q227" s="231"/>
      <c r="CC227" s="154"/>
      <c r="CJ227" s="155"/>
      <c r="DJ227" s="150" t="s">
        <v>301</v>
      </c>
      <c r="DK227" s="150" t="s">
        <v>83</v>
      </c>
      <c r="DL227" s="12" t="s">
        <v>83</v>
      </c>
      <c r="DM227" s="12" t="s">
        <v>3</v>
      </c>
      <c r="DN227" s="12" t="s">
        <v>81</v>
      </c>
      <c r="DO227" s="150" t="s">
        <v>282</v>
      </c>
    </row>
    <row r="228" spans="2:133" s="1" customFormat="1" ht="24.2" customHeight="1" x14ac:dyDescent="0.2">
      <c r="B228" s="124"/>
      <c r="C228" s="125" t="s">
        <v>415</v>
      </c>
      <c r="D228" s="125" t="s">
        <v>284</v>
      </c>
      <c r="E228" s="126" t="s">
        <v>446</v>
      </c>
      <c r="F228" s="127" t="s">
        <v>447</v>
      </c>
      <c r="G228" s="128" t="s">
        <v>366</v>
      </c>
      <c r="H228" s="129">
        <v>96.442999999999998</v>
      </c>
      <c r="I228" s="130">
        <v>510.38291484661499</v>
      </c>
      <c r="J228" s="131">
        <f>ROUND(I228*H228,2)</f>
        <v>49222.86</v>
      </c>
      <c r="K228" s="127" t="s">
        <v>293</v>
      </c>
      <c r="L228" s="268">
        <f>S228</f>
        <v>0</v>
      </c>
      <c r="M228" s="272">
        <f>ROUND(L228*I228,2)</f>
        <v>0</v>
      </c>
      <c r="N228" s="243">
        <f>N232</f>
        <v>-0.12754999999998518</v>
      </c>
      <c r="O228" s="294">
        <f>ROUND(N228*I228,2)</f>
        <v>-65.099999999999994</v>
      </c>
      <c r="P228" s="273">
        <f>H228-L228-N228</f>
        <v>96.570549999999983</v>
      </c>
      <c r="Q228" s="287">
        <f>ROUND(P228*I228,2)</f>
        <v>49287.96</v>
      </c>
      <c r="R228" s="137"/>
      <c r="S228" s="269">
        <f>W228+Y228+AA228+AC228+AE228+AG228+AI228+AK228+AM228+AO228+AQ228+AS228+AU228+AW228</f>
        <v>0</v>
      </c>
      <c r="T228" s="269">
        <f>ROUND(S228*I228,2)</f>
        <v>0</v>
      </c>
      <c r="U228" s="269">
        <f>H228-S228</f>
        <v>96.442999999999998</v>
      </c>
      <c r="V228" s="269">
        <f>ROUND(U228*I228,2)</f>
        <v>49222.86</v>
      </c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CC228" s="132" t="s">
        <v>1</v>
      </c>
      <c r="CD228" s="133" t="s">
        <v>40</v>
      </c>
      <c r="CF228" s="134">
        <f>CE228*H228</f>
        <v>0</v>
      </c>
      <c r="CG228" s="134">
        <v>0</v>
      </c>
      <c r="CH228" s="134">
        <f>CG228*H228</f>
        <v>0</v>
      </c>
      <c r="CI228" s="134">
        <v>0</v>
      </c>
      <c r="CJ228" s="135">
        <f>CI228*H228</f>
        <v>0</v>
      </c>
      <c r="DH228" s="136" t="s">
        <v>95</v>
      </c>
      <c r="DJ228" s="136" t="s">
        <v>284</v>
      </c>
      <c r="DK228" s="136" t="s">
        <v>83</v>
      </c>
      <c r="DO228" s="16" t="s">
        <v>282</v>
      </c>
      <c r="DU228" s="137">
        <f>IF(CD228="základní",J228,0)</f>
        <v>49222.86</v>
      </c>
      <c r="DV228" s="137">
        <f>IF(CD228="snížená",J228,0)</f>
        <v>0</v>
      </c>
      <c r="DW228" s="137">
        <f>IF(CD228="zákl. přenesená",J228,0)</f>
        <v>0</v>
      </c>
      <c r="DX228" s="137">
        <f>IF(CD228="sníž. přenesená",J228,0)</f>
        <v>0</v>
      </c>
      <c r="DY228" s="137">
        <f>IF(CD228="nulová",J228,0)</f>
        <v>0</v>
      </c>
      <c r="DZ228" s="16" t="s">
        <v>81</v>
      </c>
      <c r="EA228" s="137">
        <f>ROUND(I228*H228,2)</f>
        <v>49222.86</v>
      </c>
      <c r="EB228" s="16" t="s">
        <v>95</v>
      </c>
      <c r="EC228" s="136" t="s">
        <v>448</v>
      </c>
    </row>
    <row r="229" spans="2:133" s="1" customFormat="1" ht="39" x14ac:dyDescent="0.2">
      <c r="B229" s="31"/>
      <c r="D229" s="138" t="s">
        <v>289</v>
      </c>
      <c r="F229" s="139" t="s">
        <v>449</v>
      </c>
      <c r="I229" s="140"/>
      <c r="L229" s="31"/>
      <c r="N229" s="213"/>
      <c r="O229" s="214"/>
      <c r="Q229" s="229"/>
      <c r="CC229" s="141"/>
      <c r="CJ229" s="50"/>
      <c r="DJ229" s="16" t="s">
        <v>289</v>
      </c>
      <c r="DK229" s="16" t="s">
        <v>83</v>
      </c>
    </row>
    <row r="230" spans="2:133" s="1" customFormat="1" ht="19.5" x14ac:dyDescent="0.2">
      <c r="B230" s="31"/>
      <c r="D230" s="138" t="s">
        <v>299</v>
      </c>
      <c r="F230" s="142" t="s">
        <v>317</v>
      </c>
      <c r="I230" s="140"/>
      <c r="L230" s="31"/>
      <c r="N230" s="213"/>
      <c r="O230" s="214"/>
      <c r="Q230" s="229"/>
      <c r="CC230" s="141"/>
      <c r="CJ230" s="50"/>
      <c r="DJ230" s="16" t="s">
        <v>299</v>
      </c>
      <c r="DK230" s="16" t="s">
        <v>83</v>
      </c>
    </row>
    <row r="231" spans="2:133" s="12" customFormat="1" x14ac:dyDescent="0.2">
      <c r="B231" s="149"/>
      <c r="D231" s="138" t="s">
        <v>301</v>
      </c>
      <c r="E231" s="150" t="s">
        <v>1</v>
      </c>
      <c r="F231" s="151" t="s">
        <v>866</v>
      </c>
      <c r="H231" s="152">
        <v>96.442999999999998</v>
      </c>
      <c r="I231" s="153"/>
      <c r="L231" s="149"/>
      <c r="N231" s="217">
        <f>166.78*1.05*0.55</f>
        <v>96.315450000000013</v>
      </c>
      <c r="O231" s="218" t="s">
        <v>3409</v>
      </c>
      <c r="Q231" s="231"/>
      <c r="CC231" s="154"/>
      <c r="CJ231" s="155"/>
      <c r="DJ231" s="150" t="s">
        <v>301</v>
      </c>
      <c r="DK231" s="150" t="s">
        <v>83</v>
      </c>
      <c r="DL231" s="12" t="s">
        <v>83</v>
      </c>
      <c r="DM231" s="12" t="s">
        <v>32</v>
      </c>
      <c r="DN231" s="12" t="s">
        <v>81</v>
      </c>
      <c r="DO231" s="150" t="s">
        <v>282</v>
      </c>
    </row>
    <row r="232" spans="2:133" s="12" customFormat="1" x14ac:dyDescent="0.2">
      <c r="B232" s="149"/>
      <c r="D232" s="138"/>
      <c r="E232" s="150"/>
      <c r="F232" s="151"/>
      <c r="H232" s="152"/>
      <c r="I232" s="153"/>
      <c r="L232" s="149"/>
      <c r="N232" s="310">
        <f>N231-H231</f>
        <v>-0.12754999999998518</v>
      </c>
      <c r="O232" s="218"/>
      <c r="Q232" s="231"/>
      <c r="CC232" s="154"/>
      <c r="CJ232" s="155"/>
      <c r="DJ232" s="150"/>
      <c r="DK232" s="150"/>
      <c r="DO232" s="150"/>
    </row>
    <row r="233" spans="2:133" s="1" customFormat="1" ht="14.45" customHeight="1" x14ac:dyDescent="0.2">
      <c r="B233" s="124"/>
      <c r="C233" s="170" t="s">
        <v>422</v>
      </c>
      <c r="D233" s="170" t="s">
        <v>439</v>
      </c>
      <c r="E233" s="171" t="s">
        <v>452</v>
      </c>
      <c r="F233" s="172" t="s">
        <v>453</v>
      </c>
      <c r="G233" s="173" t="s">
        <v>418</v>
      </c>
      <c r="H233" s="174">
        <v>192.886</v>
      </c>
      <c r="I233" s="175">
        <v>380.62816190000001</v>
      </c>
      <c r="J233" s="176">
        <f>ROUND(I233*H233,2)</f>
        <v>73417.84</v>
      </c>
      <c r="K233" s="172" t="s">
        <v>293</v>
      </c>
      <c r="L233" s="268">
        <f>S233</f>
        <v>0</v>
      </c>
      <c r="M233" s="272">
        <f>ROUND(L233*I233,2)</f>
        <v>0</v>
      </c>
      <c r="N233" s="243">
        <f>N235</f>
        <v>-0.25600000000000001</v>
      </c>
      <c r="O233" s="294">
        <f>ROUND(N233*I233,2)</f>
        <v>-97.44</v>
      </c>
      <c r="P233" s="273">
        <f>H233-L233-N233</f>
        <v>193.142</v>
      </c>
      <c r="Q233" s="287">
        <f>ROUND(P233*I233,2)</f>
        <v>73515.28</v>
      </c>
      <c r="R233" s="137"/>
      <c r="S233" s="269">
        <f>W233+Y233+AA233+AC233+AE233+AG233+AI233+AK233+AM233+AO233+AQ233+AS233+AU233+AW233</f>
        <v>0</v>
      </c>
      <c r="T233" s="269">
        <f>ROUND(S233*I233,2)</f>
        <v>0</v>
      </c>
      <c r="U233" s="269">
        <f>H233-S233</f>
        <v>192.886</v>
      </c>
      <c r="V233" s="269">
        <f>ROUND(U233*I233,2)</f>
        <v>73417.84</v>
      </c>
      <c r="W233" s="290"/>
      <c r="X233" s="290"/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  <c r="AL233" s="290"/>
      <c r="AM233" s="290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90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77" t="s">
        <v>1</v>
      </c>
      <c r="CD233" s="178" t="s">
        <v>40</v>
      </c>
      <c r="CF233" s="134">
        <f>CE233*H233</f>
        <v>0</v>
      </c>
      <c r="CG233" s="134">
        <v>1</v>
      </c>
      <c r="CH233" s="134">
        <f>CG233*H233</f>
        <v>192.886</v>
      </c>
      <c r="CI233" s="134">
        <v>0</v>
      </c>
      <c r="CJ233" s="135">
        <f>CI233*H233</f>
        <v>0</v>
      </c>
      <c r="DH233" s="136" t="s">
        <v>328</v>
      </c>
      <c r="DJ233" s="136" t="s">
        <v>439</v>
      </c>
      <c r="DK233" s="136" t="s">
        <v>83</v>
      </c>
      <c r="DO233" s="16" t="s">
        <v>282</v>
      </c>
      <c r="DU233" s="137">
        <f>IF(CD233="základní",J233,0)</f>
        <v>73417.84</v>
      </c>
      <c r="DV233" s="137">
        <f>IF(CD233="snížená",J233,0)</f>
        <v>0</v>
      </c>
      <c r="DW233" s="137">
        <f>IF(CD233="zákl. přenesená",J233,0)</f>
        <v>0</v>
      </c>
      <c r="DX233" s="137">
        <f>IF(CD233="sníž. přenesená",J233,0)</f>
        <v>0</v>
      </c>
      <c r="DY233" s="137">
        <f>IF(CD233="nulová",J233,0)</f>
        <v>0</v>
      </c>
      <c r="DZ233" s="16" t="s">
        <v>81</v>
      </c>
      <c r="EA233" s="137">
        <f>ROUND(I233*H233,2)</f>
        <v>73417.84</v>
      </c>
      <c r="EB233" s="16" t="s">
        <v>95</v>
      </c>
      <c r="EC233" s="136" t="s">
        <v>454</v>
      </c>
    </row>
    <row r="234" spans="2:133" s="1" customFormat="1" x14ac:dyDescent="0.2">
      <c r="B234" s="31"/>
      <c r="D234" s="138" t="s">
        <v>289</v>
      </c>
      <c r="F234" s="139" t="s">
        <v>453</v>
      </c>
      <c r="I234" s="140"/>
      <c r="L234" s="31"/>
      <c r="N234" s="213"/>
      <c r="O234" s="214"/>
      <c r="Q234" s="229"/>
      <c r="CC234" s="141"/>
      <c r="CJ234" s="50"/>
      <c r="DJ234" s="16" t="s">
        <v>289</v>
      </c>
      <c r="DK234" s="16" t="s">
        <v>83</v>
      </c>
    </row>
    <row r="235" spans="2:133" s="12" customFormat="1" x14ac:dyDescent="0.2">
      <c r="B235" s="149"/>
      <c r="D235" s="138" t="s">
        <v>301</v>
      </c>
      <c r="F235" s="151" t="s">
        <v>867</v>
      </c>
      <c r="H235" s="152">
        <v>192.886</v>
      </c>
      <c r="I235" s="153"/>
      <c r="L235" s="149"/>
      <c r="N235" s="217">
        <f>-0.128*2</f>
        <v>-0.25600000000000001</v>
      </c>
      <c r="O235" s="218" t="s">
        <v>3410</v>
      </c>
      <c r="Q235" s="231"/>
      <c r="CC235" s="154"/>
      <c r="CJ235" s="155"/>
      <c r="DJ235" s="150" t="s">
        <v>301</v>
      </c>
      <c r="DK235" s="150" t="s">
        <v>83</v>
      </c>
      <c r="DL235" s="12" t="s">
        <v>83</v>
      </c>
      <c r="DM235" s="12" t="s">
        <v>3</v>
      </c>
      <c r="DN235" s="12" t="s">
        <v>81</v>
      </c>
      <c r="DO235" s="150" t="s">
        <v>282</v>
      </c>
    </row>
    <row r="236" spans="2:133" s="1" customFormat="1" ht="24.2" customHeight="1" x14ac:dyDescent="0.2">
      <c r="B236" s="124"/>
      <c r="C236" s="125" t="s">
        <v>438</v>
      </c>
      <c r="D236" s="125" t="s">
        <v>284</v>
      </c>
      <c r="E236" s="126" t="s">
        <v>457</v>
      </c>
      <c r="F236" s="127" t="s">
        <v>458</v>
      </c>
      <c r="G236" s="128" t="s">
        <v>418</v>
      </c>
      <c r="H236" s="129">
        <v>1192.636</v>
      </c>
      <c r="I236" s="130">
        <v>61.737071122597108</v>
      </c>
      <c r="J236" s="131">
        <f>ROUND(I236*H236,2)</f>
        <v>73629.850000000006</v>
      </c>
      <c r="K236" s="127" t="s">
        <v>293</v>
      </c>
      <c r="L236" s="268">
        <f>S236</f>
        <v>0</v>
      </c>
      <c r="M236" s="272">
        <f>ROUND(L236*I236,2)</f>
        <v>0</v>
      </c>
      <c r="N236" s="243">
        <f>N238</f>
        <v>-1.46</v>
      </c>
      <c r="O236" s="294">
        <f>ROUND(N236*I236,2)</f>
        <v>-90.14</v>
      </c>
      <c r="P236" s="273">
        <f>H236-L236-N236</f>
        <v>1194.096</v>
      </c>
      <c r="Q236" s="287">
        <f>ROUND(P236*I236,2)</f>
        <v>73719.990000000005</v>
      </c>
      <c r="R236" s="137"/>
      <c r="S236" s="269">
        <f>W236+Y236+AA236+AC236+AE236+AG236+AI236+AK236+AM236+AO236+AQ236+AS236+AU236+AW236</f>
        <v>0</v>
      </c>
      <c r="T236" s="269">
        <f>ROUND(S236*I236,2)</f>
        <v>0</v>
      </c>
      <c r="U236" s="269">
        <f>H236-S236</f>
        <v>1192.636</v>
      </c>
      <c r="V236" s="269">
        <f>ROUND(U236*I236,2)</f>
        <v>73629.850000000006</v>
      </c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CC236" s="132" t="s">
        <v>1</v>
      </c>
      <c r="CD236" s="133" t="s">
        <v>40</v>
      </c>
      <c r="CF236" s="134">
        <f>CE236*H236</f>
        <v>0</v>
      </c>
      <c r="CG236" s="134">
        <v>0</v>
      </c>
      <c r="CH236" s="134">
        <f>CG236*H236</f>
        <v>0</v>
      </c>
      <c r="CI236" s="134">
        <v>0</v>
      </c>
      <c r="CJ236" s="135">
        <f>CI236*H236</f>
        <v>0</v>
      </c>
      <c r="DH236" s="136" t="s">
        <v>95</v>
      </c>
      <c r="DJ236" s="136" t="s">
        <v>284</v>
      </c>
      <c r="DK236" s="136" t="s">
        <v>83</v>
      </c>
      <c r="DO236" s="16" t="s">
        <v>282</v>
      </c>
      <c r="DU236" s="137">
        <f>IF(CD236="základní",J236,0)</f>
        <v>73629.850000000006</v>
      </c>
      <c r="DV236" s="137">
        <f>IF(CD236="snížená",J236,0)</f>
        <v>0</v>
      </c>
      <c r="DW236" s="137">
        <f>IF(CD236="zákl. přenesená",J236,0)</f>
        <v>0</v>
      </c>
      <c r="DX236" s="137">
        <f>IF(CD236="sníž. přenesená",J236,0)</f>
        <v>0</v>
      </c>
      <c r="DY236" s="137">
        <f>IF(CD236="nulová",J236,0)</f>
        <v>0</v>
      </c>
      <c r="DZ236" s="16" t="s">
        <v>81</v>
      </c>
      <c r="EA236" s="137">
        <f>ROUND(I236*H236,2)</f>
        <v>73629.850000000006</v>
      </c>
      <c r="EB236" s="16" t="s">
        <v>95</v>
      </c>
      <c r="EC236" s="136" t="s">
        <v>459</v>
      </c>
    </row>
    <row r="237" spans="2:133" s="1" customFormat="1" ht="29.25" x14ac:dyDescent="0.2">
      <c r="B237" s="31"/>
      <c r="D237" s="138" t="s">
        <v>289</v>
      </c>
      <c r="F237" s="139" t="s">
        <v>460</v>
      </c>
      <c r="I237" s="140"/>
      <c r="L237" s="31"/>
      <c r="N237" s="213"/>
      <c r="O237" s="214"/>
      <c r="Q237" s="229"/>
      <c r="CC237" s="141"/>
      <c r="CJ237" s="50"/>
      <c r="DJ237" s="16" t="s">
        <v>289</v>
      </c>
      <c r="DK237" s="16" t="s">
        <v>83</v>
      </c>
    </row>
    <row r="238" spans="2:133" s="12" customFormat="1" x14ac:dyDescent="0.2">
      <c r="B238" s="149"/>
      <c r="D238" s="138" t="s">
        <v>301</v>
      </c>
      <c r="E238" s="150" t="s">
        <v>1</v>
      </c>
      <c r="F238" s="151" t="s">
        <v>868</v>
      </c>
      <c r="H238" s="152">
        <v>1192.636</v>
      </c>
      <c r="I238" s="153"/>
      <c r="L238" s="149"/>
      <c r="N238" s="217">
        <f>-1.204-0.256</f>
        <v>-1.46</v>
      </c>
      <c r="O238" s="218" t="s">
        <v>3414</v>
      </c>
      <c r="Q238" s="231"/>
      <c r="CC238" s="154"/>
      <c r="CJ238" s="155"/>
      <c r="DJ238" s="150" t="s">
        <v>301</v>
      </c>
      <c r="DK238" s="150" t="s">
        <v>83</v>
      </c>
      <c r="DL238" s="12" t="s">
        <v>83</v>
      </c>
      <c r="DM238" s="12" t="s">
        <v>32</v>
      </c>
      <c r="DN238" s="12" t="s">
        <v>81</v>
      </c>
      <c r="DO238" s="150" t="s">
        <v>282</v>
      </c>
    </row>
    <row r="239" spans="2:133" s="10" customFormat="1" ht="22.9" customHeight="1" x14ac:dyDescent="0.2">
      <c r="B239" s="112"/>
      <c r="D239" s="113" t="s">
        <v>73</v>
      </c>
      <c r="E239" s="122" t="s">
        <v>83</v>
      </c>
      <c r="F239" s="122" t="s">
        <v>462</v>
      </c>
      <c r="I239" s="115"/>
      <c r="J239" s="123">
        <f>EA239</f>
        <v>44099.41</v>
      </c>
      <c r="L239" s="112"/>
      <c r="M239" s="291">
        <f>M240</f>
        <v>0</v>
      </c>
      <c r="N239" s="295"/>
      <c r="O239" s="296">
        <f t="shared" ref="O239:V239" si="0">O240</f>
        <v>-58.1</v>
      </c>
      <c r="P239" s="291"/>
      <c r="Q239" s="298">
        <f t="shared" si="0"/>
        <v>44157.5</v>
      </c>
      <c r="R239" s="291"/>
      <c r="S239" s="291"/>
      <c r="T239" s="291">
        <f t="shared" si="0"/>
        <v>0</v>
      </c>
      <c r="U239" s="291"/>
      <c r="V239" s="291">
        <f t="shared" si="0"/>
        <v>44099.41</v>
      </c>
      <c r="CC239" s="117"/>
      <c r="CF239" s="118">
        <f>SUM(CF240:CF243)</f>
        <v>0</v>
      </c>
      <c r="CH239" s="118">
        <f>SUM(CH240:CH243)</f>
        <v>34.183230000000002</v>
      </c>
      <c r="CJ239" s="119">
        <f>SUM(CJ240:CJ243)</f>
        <v>0</v>
      </c>
      <c r="DH239" s="113" t="s">
        <v>81</v>
      </c>
      <c r="DJ239" s="120" t="s">
        <v>73</v>
      </c>
      <c r="DK239" s="120" t="s">
        <v>81</v>
      </c>
      <c r="DO239" s="113" t="s">
        <v>282</v>
      </c>
      <c r="EA239" s="121">
        <f>SUM(EA240:EA243)</f>
        <v>44099.41</v>
      </c>
    </row>
    <row r="240" spans="2:133" s="1" customFormat="1" ht="37.9" customHeight="1" x14ac:dyDescent="0.2">
      <c r="B240" s="124"/>
      <c r="C240" s="125" t="s">
        <v>445</v>
      </c>
      <c r="D240" s="125" t="s">
        <v>284</v>
      </c>
      <c r="E240" s="126" t="s">
        <v>464</v>
      </c>
      <c r="F240" s="127" t="s">
        <v>465</v>
      </c>
      <c r="G240" s="128" t="s">
        <v>344</v>
      </c>
      <c r="H240" s="129">
        <v>167</v>
      </c>
      <c r="I240" s="130">
        <v>264.06831423630393</v>
      </c>
      <c r="J240" s="131">
        <f>ROUND(I240*H240,2)</f>
        <v>44099.41</v>
      </c>
      <c r="K240" s="127" t="s">
        <v>293</v>
      </c>
      <c r="L240" s="268">
        <f>S240</f>
        <v>0</v>
      </c>
      <c r="M240" s="272">
        <f>ROUND(L240*I240,2)</f>
        <v>0</v>
      </c>
      <c r="N240" s="243">
        <f>N243</f>
        <v>-0.21999999999999886</v>
      </c>
      <c r="O240" s="294">
        <f>ROUND(N240*I240,2)</f>
        <v>-58.1</v>
      </c>
      <c r="P240" s="273">
        <f>H240-L240-N240</f>
        <v>167.22</v>
      </c>
      <c r="Q240" s="287">
        <f>ROUND(P240*I240,2)</f>
        <v>44157.5</v>
      </c>
      <c r="R240" s="137"/>
      <c r="S240" s="269">
        <f>W240+Y240+AA240+AC240+AE240+AG240+AI240+AK240+AM240+AO240+AQ240+AS240+AU240+AW240</f>
        <v>0</v>
      </c>
      <c r="T240" s="269">
        <f>ROUND(S240*I240,2)</f>
        <v>0</v>
      </c>
      <c r="U240" s="269">
        <f>H240-S240</f>
        <v>167</v>
      </c>
      <c r="V240" s="269">
        <f>ROUND(U240*I240,2)</f>
        <v>44099.41</v>
      </c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CC240" s="132" t="s">
        <v>1</v>
      </c>
      <c r="CD240" s="133" t="s">
        <v>40</v>
      </c>
      <c r="CF240" s="134">
        <f>CE240*H240</f>
        <v>0</v>
      </c>
      <c r="CG240" s="134">
        <v>0.20469000000000001</v>
      </c>
      <c r="CH240" s="134">
        <f>CG240*H240</f>
        <v>34.183230000000002</v>
      </c>
      <c r="CI240" s="134">
        <v>0</v>
      </c>
      <c r="CJ240" s="135">
        <f>CI240*H240</f>
        <v>0</v>
      </c>
      <c r="DH240" s="136" t="s">
        <v>95</v>
      </c>
      <c r="DJ240" s="136" t="s">
        <v>284</v>
      </c>
      <c r="DK240" s="136" t="s">
        <v>83</v>
      </c>
      <c r="DO240" s="16" t="s">
        <v>282</v>
      </c>
      <c r="DU240" s="137">
        <f>IF(CD240="základní",J240,0)</f>
        <v>44099.41</v>
      </c>
      <c r="DV240" s="137">
        <f>IF(CD240="snížená",J240,0)</f>
        <v>0</v>
      </c>
      <c r="DW240" s="137">
        <f>IF(CD240="zákl. přenesená",J240,0)</f>
        <v>0</v>
      </c>
      <c r="DX240" s="137">
        <f>IF(CD240="sníž. přenesená",J240,0)</f>
        <v>0</v>
      </c>
      <c r="DY240" s="137">
        <f>IF(CD240="nulová",J240,0)</f>
        <v>0</v>
      </c>
      <c r="DZ240" s="16" t="s">
        <v>81</v>
      </c>
      <c r="EA240" s="137">
        <f>ROUND(I240*H240,2)</f>
        <v>44099.41</v>
      </c>
      <c r="EB240" s="16" t="s">
        <v>95</v>
      </c>
      <c r="EC240" s="136" t="s">
        <v>466</v>
      </c>
    </row>
    <row r="241" spans="2:133" s="1" customFormat="1" ht="39" x14ac:dyDescent="0.2">
      <c r="B241" s="31"/>
      <c r="D241" s="138" t="s">
        <v>289</v>
      </c>
      <c r="F241" s="139" t="s">
        <v>467</v>
      </c>
      <c r="I241" s="140"/>
      <c r="L241" s="31"/>
      <c r="N241" s="213"/>
      <c r="O241" s="214"/>
      <c r="Q241" s="229"/>
      <c r="CC241" s="141"/>
      <c r="CJ241" s="50"/>
      <c r="DJ241" s="16" t="s">
        <v>289</v>
      </c>
      <c r="DK241" s="16" t="s">
        <v>83</v>
      </c>
    </row>
    <row r="242" spans="2:133" s="1" customFormat="1" ht="19.5" x14ac:dyDescent="0.2">
      <c r="B242" s="31"/>
      <c r="D242" s="138" t="s">
        <v>299</v>
      </c>
      <c r="F242" s="142" t="s">
        <v>317</v>
      </c>
      <c r="I242" s="140"/>
      <c r="L242" s="31"/>
      <c r="N242" s="213"/>
      <c r="O242" s="214"/>
      <c r="Q242" s="229"/>
      <c r="CC242" s="141"/>
      <c r="CJ242" s="50"/>
      <c r="DJ242" s="16" t="s">
        <v>299</v>
      </c>
      <c r="DK242" s="16" t="s">
        <v>83</v>
      </c>
    </row>
    <row r="243" spans="2:133" s="12" customFormat="1" x14ac:dyDescent="0.2">
      <c r="B243" s="149"/>
      <c r="D243" s="138" t="s">
        <v>301</v>
      </c>
      <c r="E243" s="150" t="s">
        <v>1</v>
      </c>
      <c r="F243" s="151" t="s">
        <v>869</v>
      </c>
      <c r="H243" s="152">
        <v>167</v>
      </c>
      <c r="I243" s="153"/>
      <c r="L243" s="149"/>
      <c r="N243" s="217">
        <f>166.78-167</f>
        <v>-0.21999999999999886</v>
      </c>
      <c r="O243" s="218" t="s">
        <v>3415</v>
      </c>
      <c r="Q243" s="231"/>
      <c r="CC243" s="154"/>
      <c r="CJ243" s="155"/>
      <c r="DJ243" s="150" t="s">
        <v>301</v>
      </c>
      <c r="DK243" s="150" t="s">
        <v>83</v>
      </c>
      <c r="DL243" s="12" t="s">
        <v>83</v>
      </c>
      <c r="DM243" s="12" t="s">
        <v>32</v>
      </c>
      <c r="DN243" s="12" t="s">
        <v>81</v>
      </c>
      <c r="DO243" s="150" t="s">
        <v>282</v>
      </c>
    </row>
    <row r="244" spans="2:133" s="10" customFormat="1" ht="22.9" customHeight="1" x14ac:dyDescent="0.2">
      <c r="B244" s="112"/>
      <c r="D244" s="113" t="s">
        <v>73</v>
      </c>
      <c r="E244" s="122" t="s">
        <v>95</v>
      </c>
      <c r="F244" s="122" t="s">
        <v>469</v>
      </c>
      <c r="I244" s="115"/>
      <c r="J244" s="123">
        <f>EA244</f>
        <v>31352.94</v>
      </c>
      <c r="L244" s="112"/>
      <c r="M244" s="291">
        <f>SUM(M245:M265)</f>
        <v>0</v>
      </c>
      <c r="N244" s="295"/>
      <c r="O244" s="296">
        <f t="shared" ref="O244:V244" si="1">SUM(O245:O265)</f>
        <v>-27.72</v>
      </c>
      <c r="P244" s="291"/>
      <c r="Q244" s="298">
        <f t="shared" si="1"/>
        <v>31380.670000000002</v>
      </c>
      <c r="R244" s="291"/>
      <c r="S244" s="291"/>
      <c r="T244" s="291">
        <f t="shared" si="1"/>
        <v>0</v>
      </c>
      <c r="U244" s="291"/>
      <c r="V244" s="291">
        <f t="shared" si="1"/>
        <v>31352.94</v>
      </c>
      <c r="CC244" s="117"/>
      <c r="CF244" s="118">
        <f>SUM(CF245:CF269)</f>
        <v>0</v>
      </c>
      <c r="CH244" s="118">
        <f>SUM(CH245:CH269)</f>
        <v>0.48980000000000001</v>
      </c>
      <c r="CJ244" s="119">
        <f>SUM(CJ245:CJ269)</f>
        <v>0</v>
      </c>
      <c r="DH244" s="113" t="s">
        <v>81</v>
      </c>
      <c r="DJ244" s="120" t="s">
        <v>73</v>
      </c>
      <c r="DK244" s="120" t="s">
        <v>81</v>
      </c>
      <c r="DO244" s="113" t="s">
        <v>282</v>
      </c>
      <c r="EA244" s="121">
        <f>SUM(EA245:EA269)</f>
        <v>31352.94</v>
      </c>
    </row>
    <row r="245" spans="2:133" s="1" customFormat="1" ht="14.45" customHeight="1" x14ac:dyDescent="0.2">
      <c r="B245" s="124"/>
      <c r="C245" s="125" t="s">
        <v>451</v>
      </c>
      <c r="D245" s="125" t="s">
        <v>284</v>
      </c>
      <c r="E245" s="126" t="s">
        <v>471</v>
      </c>
      <c r="F245" s="127" t="s">
        <v>472</v>
      </c>
      <c r="G245" s="128" t="s">
        <v>366</v>
      </c>
      <c r="H245" s="129">
        <v>17.535</v>
      </c>
      <c r="I245" s="130">
        <v>1200.17173250368</v>
      </c>
      <c r="J245" s="131">
        <f>ROUND(I245*H245,2)</f>
        <v>21045.01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N249</f>
        <v>-2.3099999999999454E-2</v>
      </c>
      <c r="O245" s="294">
        <f>ROUND(N245*I245,2)</f>
        <v>-27.72</v>
      </c>
      <c r="P245" s="273">
        <f>H245-L245-N245</f>
        <v>17.5581</v>
      </c>
      <c r="Q245" s="287">
        <f>ROUND(P245*I245,2)</f>
        <v>21072.74</v>
      </c>
      <c r="R245" s="137"/>
      <c r="S245" s="269">
        <f>W245+Y245+AA245+AC245+AE245+AG245+AI245+AK245+AM245+AO245+AQ245+AS245+AU245+AW245</f>
        <v>0</v>
      </c>
      <c r="T245" s="269">
        <f>ROUND(S245*I245,2)</f>
        <v>0</v>
      </c>
      <c r="U245" s="269">
        <f>H245-S245</f>
        <v>17.535</v>
      </c>
      <c r="V245" s="269">
        <f>ROUND(U245*I245,2)</f>
        <v>21045.01</v>
      </c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CC245" s="132" t="s">
        <v>1</v>
      </c>
      <c r="CD245" s="133" t="s">
        <v>40</v>
      </c>
      <c r="CF245" s="134">
        <f>CE245*H245</f>
        <v>0</v>
      </c>
      <c r="CG245" s="134">
        <v>0</v>
      </c>
      <c r="CH245" s="134">
        <f>CG245*H245</f>
        <v>0</v>
      </c>
      <c r="CI245" s="134">
        <v>0</v>
      </c>
      <c r="CJ245" s="135">
        <f>CI245*H245</f>
        <v>0</v>
      </c>
      <c r="DH245" s="136" t="s">
        <v>95</v>
      </c>
      <c r="DJ245" s="136" t="s">
        <v>284</v>
      </c>
      <c r="DK245" s="136" t="s">
        <v>83</v>
      </c>
      <c r="DO245" s="16" t="s">
        <v>282</v>
      </c>
      <c r="DU245" s="137">
        <f>IF(CD245="základní",J245,0)</f>
        <v>21045.01</v>
      </c>
      <c r="DV245" s="137">
        <f>IF(CD245="snížená",J245,0)</f>
        <v>0</v>
      </c>
      <c r="DW245" s="137">
        <f>IF(CD245="zákl. přenesená",J245,0)</f>
        <v>0</v>
      </c>
      <c r="DX245" s="137">
        <f>IF(CD245="sníž. přenesená",J245,0)</f>
        <v>0</v>
      </c>
      <c r="DY245" s="137">
        <f>IF(CD245="nulová",J245,0)</f>
        <v>0</v>
      </c>
      <c r="DZ245" s="16" t="s">
        <v>81</v>
      </c>
      <c r="EA245" s="137">
        <f>ROUND(I245*H245,2)</f>
        <v>21045.01</v>
      </c>
      <c r="EB245" s="16" t="s">
        <v>95</v>
      </c>
      <c r="EC245" s="136" t="s">
        <v>473</v>
      </c>
    </row>
    <row r="246" spans="2:133" s="1" customFormat="1" ht="19.5" x14ac:dyDescent="0.2">
      <c r="B246" s="31"/>
      <c r="D246" s="138" t="s">
        <v>289</v>
      </c>
      <c r="F246" s="139" t="s">
        <v>474</v>
      </c>
      <c r="I246" s="140"/>
      <c r="L246" s="31"/>
      <c r="N246" s="213"/>
      <c r="O246" s="214"/>
      <c r="Q246" s="229"/>
      <c r="CC246" s="141"/>
      <c r="CJ246" s="50"/>
      <c r="DJ246" s="16" t="s">
        <v>289</v>
      </c>
      <c r="DK246" s="16" t="s">
        <v>83</v>
      </c>
    </row>
    <row r="247" spans="2:133" s="1" customFormat="1" ht="19.5" x14ac:dyDescent="0.2">
      <c r="B247" s="31"/>
      <c r="D247" s="138" t="s">
        <v>299</v>
      </c>
      <c r="F247" s="142" t="s">
        <v>317</v>
      </c>
      <c r="I247" s="140"/>
      <c r="L247" s="31"/>
      <c r="N247" s="213"/>
      <c r="O247" s="214"/>
      <c r="Q247" s="229"/>
      <c r="CC247" s="141"/>
      <c r="CJ247" s="50"/>
      <c r="DJ247" s="16" t="s">
        <v>299</v>
      </c>
      <c r="DK247" s="16" t="s">
        <v>83</v>
      </c>
    </row>
    <row r="248" spans="2:133" s="12" customFormat="1" x14ac:dyDescent="0.2">
      <c r="B248" s="149"/>
      <c r="D248" s="138" t="s">
        <v>301</v>
      </c>
      <c r="E248" s="150" t="s">
        <v>1</v>
      </c>
      <c r="F248" s="151" t="s">
        <v>870</v>
      </c>
      <c r="H248" s="152">
        <v>17.535</v>
      </c>
      <c r="I248" s="153"/>
      <c r="L248" s="149"/>
      <c r="N248" s="217">
        <f>166.78*1.05*0.1</f>
        <v>17.511900000000001</v>
      </c>
      <c r="O248" s="218" t="s">
        <v>3411</v>
      </c>
      <c r="Q248" s="231"/>
      <c r="CC248" s="154"/>
      <c r="CJ248" s="155"/>
      <c r="DJ248" s="150" t="s">
        <v>301</v>
      </c>
      <c r="DK248" s="150" t="s">
        <v>83</v>
      </c>
      <c r="DL248" s="12" t="s">
        <v>83</v>
      </c>
      <c r="DM248" s="12" t="s">
        <v>32</v>
      </c>
      <c r="DN248" s="12" t="s">
        <v>81</v>
      </c>
      <c r="DO248" s="150" t="s">
        <v>282</v>
      </c>
    </row>
    <row r="249" spans="2:133" s="12" customFormat="1" x14ac:dyDescent="0.2">
      <c r="B249" s="149"/>
      <c r="D249" s="138"/>
      <c r="E249" s="150"/>
      <c r="F249" s="151"/>
      <c r="H249" s="152"/>
      <c r="I249" s="153"/>
      <c r="L249" s="149"/>
      <c r="N249" s="310">
        <f>N248-H248</f>
        <v>-2.3099999999999454E-2</v>
      </c>
      <c r="O249" s="218"/>
      <c r="Q249" s="231"/>
      <c r="CC249" s="154"/>
      <c r="CJ249" s="155"/>
      <c r="DJ249" s="150"/>
      <c r="DK249" s="150"/>
      <c r="DO249" s="150"/>
    </row>
    <row r="250" spans="2:133" s="1" customFormat="1" ht="14.45" customHeight="1" x14ac:dyDescent="0.2">
      <c r="B250" s="124"/>
      <c r="C250" s="125" t="s">
        <v>456</v>
      </c>
      <c r="D250" s="125" t="s">
        <v>284</v>
      </c>
      <c r="E250" s="126" t="s">
        <v>477</v>
      </c>
      <c r="F250" s="127" t="s">
        <v>478</v>
      </c>
      <c r="G250" s="128" t="s">
        <v>366</v>
      </c>
      <c r="H250" s="129">
        <v>2.5</v>
      </c>
      <c r="I250" s="130">
        <v>1200.17173250368</v>
      </c>
      <c r="J250" s="131">
        <f>ROUND(I250*H250,2)</f>
        <v>3000.43</v>
      </c>
      <c r="K250" s="127" t="s">
        <v>1</v>
      </c>
      <c r="L250" s="268">
        <f>S250</f>
        <v>0</v>
      </c>
      <c r="M250" s="272">
        <f>ROUND(L250*I250,2)</f>
        <v>0</v>
      </c>
      <c r="N250" s="243"/>
      <c r="O250" s="294">
        <f>ROUND(N250*I250,2)</f>
        <v>0</v>
      </c>
      <c r="P250" s="273">
        <f>H250-L250-N250</f>
        <v>2.5</v>
      </c>
      <c r="Q250" s="287">
        <f>ROUND(P250*I250,2)</f>
        <v>3000.43</v>
      </c>
      <c r="R250" s="137"/>
      <c r="S250" s="269">
        <f>W250+Y250+AA250+AC250+AE250+AG250+AI250+AK250+AM250+AO250+AQ250+AS250+AU250+AW250</f>
        <v>0</v>
      </c>
      <c r="T250" s="269">
        <f>ROUND(S250*I250,2)</f>
        <v>0</v>
      </c>
      <c r="U250" s="269">
        <f>H250-S250</f>
        <v>2.5</v>
      </c>
      <c r="V250" s="269">
        <f>ROUND(U250*I250,2)</f>
        <v>3000.43</v>
      </c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269"/>
      <c r="AX250" s="269"/>
      <c r="CC250" s="132" t="s">
        <v>1</v>
      </c>
      <c r="CD250" s="133" t="s">
        <v>40</v>
      </c>
      <c r="CF250" s="134">
        <f>CE250*H250</f>
        <v>0</v>
      </c>
      <c r="CG250" s="134">
        <v>0</v>
      </c>
      <c r="CH250" s="134">
        <f>CG250*H250</f>
        <v>0</v>
      </c>
      <c r="CI250" s="134">
        <v>0</v>
      </c>
      <c r="CJ250" s="135">
        <f>CI250*H250</f>
        <v>0</v>
      </c>
      <c r="DH250" s="136" t="s">
        <v>95</v>
      </c>
      <c r="DJ250" s="136" t="s">
        <v>284</v>
      </c>
      <c r="DK250" s="136" t="s">
        <v>83</v>
      </c>
      <c r="DO250" s="16" t="s">
        <v>282</v>
      </c>
      <c r="DU250" s="137">
        <f>IF(CD250="základní",J250,0)</f>
        <v>3000.43</v>
      </c>
      <c r="DV250" s="137">
        <f>IF(CD250="snížená",J250,0)</f>
        <v>0</v>
      </c>
      <c r="DW250" s="137">
        <f>IF(CD250="zákl. přenesená",J250,0)</f>
        <v>0</v>
      </c>
      <c r="DX250" s="137">
        <f>IF(CD250="sníž. přenesená",J250,0)</f>
        <v>0</v>
      </c>
      <c r="DY250" s="137">
        <f>IF(CD250="nulová",J250,0)</f>
        <v>0</v>
      </c>
      <c r="DZ250" s="16" t="s">
        <v>81</v>
      </c>
      <c r="EA250" s="137">
        <f>ROUND(I250*H250,2)</f>
        <v>3000.43</v>
      </c>
      <c r="EB250" s="16" t="s">
        <v>95</v>
      </c>
      <c r="EC250" s="136" t="s">
        <v>479</v>
      </c>
    </row>
    <row r="251" spans="2:133" s="1" customFormat="1" ht="19.5" x14ac:dyDescent="0.2">
      <c r="B251" s="31"/>
      <c r="D251" s="138" t="s">
        <v>289</v>
      </c>
      <c r="F251" s="139" t="s">
        <v>474</v>
      </c>
      <c r="I251" s="140"/>
      <c r="L251" s="31"/>
      <c r="N251" s="213"/>
      <c r="O251" s="214"/>
      <c r="Q251" s="229"/>
      <c r="CC251" s="141"/>
      <c r="CJ251" s="50"/>
      <c r="DJ251" s="16" t="s">
        <v>289</v>
      </c>
      <c r="DK251" s="16" t="s">
        <v>83</v>
      </c>
    </row>
    <row r="252" spans="2:133" s="1" customFormat="1" ht="19.5" x14ac:dyDescent="0.2">
      <c r="B252" s="31"/>
      <c r="D252" s="138" t="s">
        <v>299</v>
      </c>
      <c r="F252" s="142" t="s">
        <v>317</v>
      </c>
      <c r="I252" s="140"/>
      <c r="L252" s="31"/>
      <c r="N252" s="213"/>
      <c r="O252" s="214"/>
      <c r="Q252" s="229"/>
      <c r="CC252" s="141"/>
      <c r="CJ252" s="50"/>
      <c r="DJ252" s="16" t="s">
        <v>299</v>
      </c>
      <c r="DK252" s="16" t="s">
        <v>83</v>
      </c>
    </row>
    <row r="253" spans="2:133" s="11" customFormat="1" x14ac:dyDescent="0.2">
      <c r="B253" s="143"/>
      <c r="D253" s="138" t="s">
        <v>301</v>
      </c>
      <c r="E253" s="144" t="s">
        <v>1</v>
      </c>
      <c r="F253" s="145" t="s">
        <v>765</v>
      </c>
      <c r="H253" s="144" t="s">
        <v>1</v>
      </c>
      <c r="I253" s="146"/>
      <c r="L253" s="143"/>
      <c r="N253" s="215"/>
      <c r="O253" s="216"/>
      <c r="Q253" s="230"/>
      <c r="CC253" s="147"/>
      <c r="CJ253" s="148"/>
      <c r="DJ253" s="144" t="s">
        <v>301</v>
      </c>
      <c r="DK253" s="144" t="s">
        <v>83</v>
      </c>
      <c r="DL253" s="11" t="s">
        <v>81</v>
      </c>
      <c r="DM253" s="11" t="s">
        <v>32</v>
      </c>
      <c r="DN253" s="11" t="s">
        <v>74</v>
      </c>
      <c r="DO253" s="144" t="s">
        <v>282</v>
      </c>
    </row>
    <row r="254" spans="2:133" s="12" customFormat="1" x14ac:dyDescent="0.2">
      <c r="B254" s="149"/>
      <c r="D254" s="138" t="s">
        <v>301</v>
      </c>
      <c r="E254" s="150" t="s">
        <v>1</v>
      </c>
      <c r="F254" s="151" t="s">
        <v>871</v>
      </c>
      <c r="H254" s="152">
        <v>2.5</v>
      </c>
      <c r="I254" s="153"/>
      <c r="L254" s="149"/>
      <c r="N254" s="217"/>
      <c r="O254" s="218"/>
      <c r="Q254" s="231"/>
      <c r="CC254" s="154"/>
      <c r="CJ254" s="155"/>
      <c r="DJ254" s="150" t="s">
        <v>301</v>
      </c>
      <c r="DK254" s="150" t="s">
        <v>83</v>
      </c>
      <c r="DL254" s="12" t="s">
        <v>83</v>
      </c>
      <c r="DM254" s="12" t="s">
        <v>32</v>
      </c>
      <c r="DN254" s="12" t="s">
        <v>81</v>
      </c>
      <c r="DO254" s="150" t="s">
        <v>282</v>
      </c>
    </row>
    <row r="255" spans="2:133" s="1" customFormat="1" ht="14.45" customHeight="1" x14ac:dyDescent="0.2">
      <c r="B255" s="124"/>
      <c r="C255" s="125" t="s">
        <v>463</v>
      </c>
      <c r="D255" s="125" t="s">
        <v>284</v>
      </c>
      <c r="E255" s="126" t="s">
        <v>483</v>
      </c>
      <c r="F255" s="127" t="s">
        <v>484</v>
      </c>
      <c r="G255" s="128" t="s">
        <v>485</v>
      </c>
      <c r="H255" s="129">
        <v>8</v>
      </c>
      <c r="I255" s="130">
        <v>136.11246338547087</v>
      </c>
      <c r="J255" s="131">
        <f>ROUND(I255*H255,2)</f>
        <v>1088.9000000000001</v>
      </c>
      <c r="K255" s="127" t="s">
        <v>293</v>
      </c>
      <c r="L255" s="268">
        <f>S255</f>
        <v>0</v>
      </c>
      <c r="M255" s="272">
        <f>ROUND(L255*I255,2)</f>
        <v>0</v>
      </c>
      <c r="N255" s="243"/>
      <c r="O255" s="294">
        <f>ROUND(N255*I255,2)</f>
        <v>0</v>
      </c>
      <c r="P255" s="273">
        <f>H255-L255-N255</f>
        <v>8</v>
      </c>
      <c r="Q255" s="287">
        <f>ROUND(P255*I255,2)</f>
        <v>1088.9000000000001</v>
      </c>
      <c r="R255" s="137"/>
      <c r="S255" s="269">
        <f>W255+Y255+AA255+AC255+AE255+AG255+AI255+AK255+AM255+AO255+AQ255+AS255+AU255+AW255</f>
        <v>0</v>
      </c>
      <c r="T255" s="269">
        <f>ROUND(S255*I255,2)</f>
        <v>0</v>
      </c>
      <c r="U255" s="269">
        <f>H255-S255</f>
        <v>8</v>
      </c>
      <c r="V255" s="269">
        <f>ROUND(U255*I255,2)</f>
        <v>1088.9000000000001</v>
      </c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AQ255" s="269"/>
      <c r="AR255" s="269"/>
      <c r="AS255" s="269"/>
      <c r="AT255" s="269"/>
      <c r="AU255" s="269"/>
      <c r="AV255" s="269"/>
      <c r="AW255" s="269"/>
      <c r="AX255" s="269"/>
      <c r="CC255" s="132" t="s">
        <v>1</v>
      </c>
      <c r="CD255" s="133" t="s">
        <v>40</v>
      </c>
      <c r="CF255" s="134">
        <f>CE255*H255</f>
        <v>0</v>
      </c>
      <c r="CG255" s="134">
        <v>6.6E-3</v>
      </c>
      <c r="CH255" s="134">
        <f>CG255*H255</f>
        <v>5.28E-2</v>
      </c>
      <c r="CI255" s="134">
        <v>0</v>
      </c>
      <c r="CJ255" s="135">
        <f>CI255*H255</f>
        <v>0</v>
      </c>
      <c r="DH255" s="136" t="s">
        <v>95</v>
      </c>
      <c r="DJ255" s="136" t="s">
        <v>284</v>
      </c>
      <c r="DK255" s="136" t="s">
        <v>83</v>
      </c>
      <c r="DO255" s="16" t="s">
        <v>282</v>
      </c>
      <c r="DU255" s="137">
        <f>IF(CD255="základní",J255,0)</f>
        <v>1088.9000000000001</v>
      </c>
      <c r="DV255" s="137">
        <f>IF(CD255="snížená",J255,0)</f>
        <v>0</v>
      </c>
      <c r="DW255" s="137">
        <f>IF(CD255="zákl. přenesená",J255,0)</f>
        <v>0</v>
      </c>
      <c r="DX255" s="137">
        <f>IF(CD255="sníž. přenesená",J255,0)</f>
        <v>0</v>
      </c>
      <c r="DY255" s="137">
        <f>IF(CD255="nulová",J255,0)</f>
        <v>0</v>
      </c>
      <c r="DZ255" s="16" t="s">
        <v>81</v>
      </c>
      <c r="EA255" s="137">
        <f>ROUND(I255*H255,2)</f>
        <v>1088.9000000000001</v>
      </c>
      <c r="EB255" s="16" t="s">
        <v>95</v>
      </c>
      <c r="EC255" s="136" t="s">
        <v>486</v>
      </c>
    </row>
    <row r="256" spans="2:133" s="1" customFormat="1" ht="19.5" x14ac:dyDescent="0.2">
      <c r="B256" s="31"/>
      <c r="D256" s="138" t="s">
        <v>289</v>
      </c>
      <c r="F256" s="139" t="s">
        <v>487</v>
      </c>
      <c r="I256" s="140"/>
      <c r="L256" s="31"/>
      <c r="N256" s="213"/>
      <c r="O256" s="214"/>
      <c r="Q256" s="229"/>
      <c r="CC256" s="141"/>
      <c r="CJ256" s="50"/>
      <c r="DJ256" s="16" t="s">
        <v>289</v>
      </c>
      <c r="DK256" s="16" t="s">
        <v>83</v>
      </c>
    </row>
    <row r="257" spans="2:133" s="1" customFormat="1" ht="19.5" x14ac:dyDescent="0.2">
      <c r="B257" s="31"/>
      <c r="D257" s="138" t="s">
        <v>299</v>
      </c>
      <c r="F257" s="142" t="s">
        <v>317</v>
      </c>
      <c r="I257" s="140"/>
      <c r="L257" s="31"/>
      <c r="N257" s="213"/>
      <c r="O257" s="214"/>
      <c r="Q257" s="229"/>
      <c r="CC257" s="141"/>
      <c r="CJ257" s="50"/>
      <c r="DJ257" s="16" t="s">
        <v>299</v>
      </c>
      <c r="DK257" s="16" t="s">
        <v>83</v>
      </c>
    </row>
    <row r="258" spans="2:133" s="12" customFormat="1" x14ac:dyDescent="0.2">
      <c r="B258" s="149"/>
      <c r="D258" s="138" t="s">
        <v>301</v>
      </c>
      <c r="E258" s="150" t="s">
        <v>1</v>
      </c>
      <c r="F258" s="151" t="s">
        <v>872</v>
      </c>
      <c r="H258" s="152">
        <v>8</v>
      </c>
      <c r="I258" s="153"/>
      <c r="L258" s="149"/>
      <c r="N258" s="217"/>
      <c r="O258" s="218"/>
      <c r="Q258" s="231"/>
      <c r="CC258" s="154"/>
      <c r="CJ258" s="155"/>
      <c r="DJ258" s="150" t="s">
        <v>301</v>
      </c>
      <c r="DK258" s="150" t="s">
        <v>83</v>
      </c>
      <c r="DL258" s="12" t="s">
        <v>83</v>
      </c>
      <c r="DM258" s="12" t="s">
        <v>32</v>
      </c>
      <c r="DN258" s="12" t="s">
        <v>81</v>
      </c>
      <c r="DO258" s="150" t="s">
        <v>282</v>
      </c>
    </row>
    <row r="259" spans="2:133" s="1" customFormat="1" ht="24.2" customHeight="1" x14ac:dyDescent="0.2">
      <c r="B259" s="124"/>
      <c r="C259" s="170" t="s">
        <v>470</v>
      </c>
      <c r="D259" s="170" t="s">
        <v>439</v>
      </c>
      <c r="E259" s="171" t="s">
        <v>494</v>
      </c>
      <c r="F259" s="172" t="s">
        <v>495</v>
      </c>
      <c r="G259" s="173" t="s">
        <v>485</v>
      </c>
      <c r="H259" s="174">
        <v>2</v>
      </c>
      <c r="I259" s="175">
        <v>244.3816506</v>
      </c>
      <c r="J259" s="176">
        <f>ROUND(I259*H259,2)</f>
        <v>488.76</v>
      </c>
      <c r="K259" s="172" t="s">
        <v>293</v>
      </c>
      <c r="L259" s="268">
        <f>S259</f>
        <v>0</v>
      </c>
      <c r="M259" s="272">
        <f>ROUND(L259*I259,2)</f>
        <v>0</v>
      </c>
      <c r="N259" s="243"/>
      <c r="O259" s="294">
        <f>ROUND(N259*I259,2)</f>
        <v>0</v>
      </c>
      <c r="P259" s="273">
        <f>H259-L259-N259</f>
        <v>2</v>
      </c>
      <c r="Q259" s="287">
        <f>ROUND(P259*I259,2)</f>
        <v>488.76</v>
      </c>
      <c r="R259" s="137"/>
      <c r="S259" s="269">
        <f>W259+Y259+AA259+AC259+AE259+AG259+AI259+AK259+AM259+AO259+AQ259+AS259+AU259+AW259</f>
        <v>0</v>
      </c>
      <c r="T259" s="269">
        <f>ROUND(S259*I259,2)</f>
        <v>0</v>
      </c>
      <c r="U259" s="269">
        <f>H259-S259</f>
        <v>2</v>
      </c>
      <c r="V259" s="269">
        <f>ROUND(U259*I259,2)</f>
        <v>488.76</v>
      </c>
      <c r="W259" s="290"/>
      <c r="X259" s="290"/>
      <c r="Y259" s="290"/>
      <c r="Z259" s="290"/>
      <c r="AA259" s="290"/>
      <c r="AB259" s="290"/>
      <c r="AC259" s="290"/>
      <c r="AD259" s="290"/>
      <c r="AE259" s="290"/>
      <c r="AF259" s="290"/>
      <c r="AG259" s="290"/>
      <c r="AH259" s="290"/>
      <c r="AI259" s="290"/>
      <c r="AJ259" s="290"/>
      <c r="AK259" s="290"/>
      <c r="AL259" s="290"/>
      <c r="AM259" s="290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90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77" t="s">
        <v>1</v>
      </c>
      <c r="CD259" s="178" t="s">
        <v>40</v>
      </c>
      <c r="CF259" s="134">
        <f>CE259*H259</f>
        <v>0</v>
      </c>
      <c r="CG259" s="134">
        <v>0.04</v>
      </c>
      <c r="CH259" s="134">
        <f>CG259*H259</f>
        <v>0.08</v>
      </c>
      <c r="CI259" s="134">
        <v>0</v>
      </c>
      <c r="CJ259" s="135">
        <f>CI259*H259</f>
        <v>0</v>
      </c>
      <c r="DH259" s="136" t="s">
        <v>328</v>
      </c>
      <c r="DJ259" s="136" t="s">
        <v>439</v>
      </c>
      <c r="DK259" s="136" t="s">
        <v>83</v>
      </c>
      <c r="DO259" s="16" t="s">
        <v>282</v>
      </c>
      <c r="DU259" s="137">
        <f>IF(CD259="základní",J259,0)</f>
        <v>488.76</v>
      </c>
      <c r="DV259" s="137">
        <f>IF(CD259="snížená",J259,0)</f>
        <v>0</v>
      </c>
      <c r="DW259" s="137">
        <f>IF(CD259="zákl. přenesená",J259,0)</f>
        <v>0</v>
      </c>
      <c r="DX259" s="137">
        <f>IF(CD259="sníž. přenesená",J259,0)</f>
        <v>0</v>
      </c>
      <c r="DY259" s="137">
        <f>IF(CD259="nulová",J259,0)</f>
        <v>0</v>
      </c>
      <c r="DZ259" s="16" t="s">
        <v>81</v>
      </c>
      <c r="EA259" s="137">
        <f>ROUND(I259*H259,2)</f>
        <v>488.76</v>
      </c>
      <c r="EB259" s="16" t="s">
        <v>95</v>
      </c>
      <c r="EC259" s="136" t="s">
        <v>496</v>
      </c>
    </row>
    <row r="260" spans="2:133" s="1" customFormat="1" x14ac:dyDescent="0.2">
      <c r="B260" s="31"/>
      <c r="D260" s="138" t="s">
        <v>289</v>
      </c>
      <c r="F260" s="139" t="s">
        <v>495</v>
      </c>
      <c r="I260" s="140"/>
      <c r="L260" s="31"/>
      <c r="N260" s="213"/>
      <c r="O260" s="214"/>
      <c r="Q260" s="229"/>
      <c r="CC260" s="141"/>
      <c r="CJ260" s="50"/>
      <c r="DJ260" s="16" t="s">
        <v>289</v>
      </c>
      <c r="DK260" s="16" t="s">
        <v>83</v>
      </c>
    </row>
    <row r="261" spans="2:133" s="1" customFormat="1" ht="24.2" customHeight="1" x14ac:dyDescent="0.2">
      <c r="B261" s="124"/>
      <c r="C261" s="170" t="s">
        <v>476</v>
      </c>
      <c r="D261" s="170" t="s">
        <v>439</v>
      </c>
      <c r="E261" s="171" t="s">
        <v>498</v>
      </c>
      <c r="F261" s="172" t="s">
        <v>499</v>
      </c>
      <c r="G261" s="173" t="s">
        <v>485</v>
      </c>
      <c r="H261" s="174">
        <v>3</v>
      </c>
      <c r="I261" s="175">
        <v>292.68965129999998</v>
      </c>
      <c r="J261" s="176">
        <f>ROUND(I261*H261,2)</f>
        <v>878.07</v>
      </c>
      <c r="K261" s="172" t="s">
        <v>293</v>
      </c>
      <c r="L261" s="268">
        <f>S261</f>
        <v>0</v>
      </c>
      <c r="M261" s="272">
        <f>ROUND(L261*I261,2)</f>
        <v>0</v>
      </c>
      <c r="N261" s="243"/>
      <c r="O261" s="294">
        <f>ROUND(N261*I261,2)</f>
        <v>0</v>
      </c>
      <c r="P261" s="273">
        <f>H261-L261-N261</f>
        <v>3</v>
      </c>
      <c r="Q261" s="287">
        <f>ROUND(P261*I261,2)</f>
        <v>878.07</v>
      </c>
      <c r="R261" s="137"/>
      <c r="S261" s="269">
        <f>W261+Y261+AA261+AC261+AE261+AG261+AI261+AK261+AM261+AO261+AQ261+AS261+AU261+AW261</f>
        <v>0</v>
      </c>
      <c r="T261" s="269">
        <f>ROUND(S261*I261,2)</f>
        <v>0</v>
      </c>
      <c r="U261" s="269">
        <f>H261-S261</f>
        <v>3</v>
      </c>
      <c r="V261" s="269">
        <f>ROUND(U261*I261,2)</f>
        <v>878.07</v>
      </c>
      <c r="W261" s="290"/>
      <c r="X261" s="290"/>
      <c r="Y261" s="290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90"/>
      <c r="AK261" s="290"/>
      <c r="AL261" s="290"/>
      <c r="AM261" s="290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90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77" t="s">
        <v>1</v>
      </c>
      <c r="CD261" s="178" t="s">
        <v>40</v>
      </c>
      <c r="CF261" s="134">
        <f>CE261*H261</f>
        <v>0</v>
      </c>
      <c r="CG261" s="134">
        <v>5.0999999999999997E-2</v>
      </c>
      <c r="CH261" s="134">
        <f>CG261*H261</f>
        <v>0.153</v>
      </c>
      <c r="CI261" s="134">
        <v>0</v>
      </c>
      <c r="CJ261" s="135">
        <f>CI261*H261</f>
        <v>0</v>
      </c>
      <c r="DH261" s="136" t="s">
        <v>328</v>
      </c>
      <c r="DJ261" s="136" t="s">
        <v>439</v>
      </c>
      <c r="DK261" s="136" t="s">
        <v>83</v>
      </c>
      <c r="DO261" s="16" t="s">
        <v>282</v>
      </c>
      <c r="DU261" s="137">
        <f>IF(CD261="základní",J261,0)</f>
        <v>878.07</v>
      </c>
      <c r="DV261" s="137">
        <f>IF(CD261="snížená",J261,0)</f>
        <v>0</v>
      </c>
      <c r="DW261" s="137">
        <f>IF(CD261="zákl. přenesená",J261,0)</f>
        <v>0</v>
      </c>
      <c r="DX261" s="137">
        <f>IF(CD261="sníž. přenesená",J261,0)</f>
        <v>0</v>
      </c>
      <c r="DY261" s="137">
        <f>IF(CD261="nulová",J261,0)</f>
        <v>0</v>
      </c>
      <c r="DZ261" s="16" t="s">
        <v>81</v>
      </c>
      <c r="EA261" s="137">
        <f>ROUND(I261*H261,2)</f>
        <v>878.07</v>
      </c>
      <c r="EB261" s="16" t="s">
        <v>95</v>
      </c>
      <c r="EC261" s="136" t="s">
        <v>500</v>
      </c>
    </row>
    <row r="262" spans="2:133" s="1" customFormat="1" x14ac:dyDescent="0.2">
      <c r="B262" s="31"/>
      <c r="D262" s="138" t="s">
        <v>289</v>
      </c>
      <c r="F262" s="139" t="s">
        <v>499</v>
      </c>
      <c r="I262" s="140"/>
      <c r="L262" s="31"/>
      <c r="N262" s="213"/>
      <c r="O262" s="214"/>
      <c r="Q262" s="229"/>
      <c r="CC262" s="141"/>
      <c r="CJ262" s="50"/>
      <c r="DJ262" s="16" t="s">
        <v>289</v>
      </c>
      <c r="DK262" s="16" t="s">
        <v>83</v>
      </c>
    </row>
    <row r="263" spans="2:133" s="1" customFormat="1" ht="24.2" customHeight="1" x14ac:dyDescent="0.2">
      <c r="B263" s="124"/>
      <c r="C263" s="170" t="s">
        <v>482</v>
      </c>
      <c r="D263" s="170" t="s">
        <v>439</v>
      </c>
      <c r="E263" s="171" t="s">
        <v>502</v>
      </c>
      <c r="F263" s="172" t="s">
        <v>503</v>
      </c>
      <c r="G263" s="173" t="s">
        <v>485</v>
      </c>
      <c r="H263" s="174">
        <v>3</v>
      </c>
      <c r="I263" s="175">
        <v>314.47561239999999</v>
      </c>
      <c r="J263" s="176">
        <f>ROUND(I263*H263,2)</f>
        <v>943.43</v>
      </c>
      <c r="K263" s="172" t="s">
        <v>293</v>
      </c>
      <c r="L263" s="268">
        <f>S263</f>
        <v>0</v>
      </c>
      <c r="M263" s="272">
        <f>ROUND(L263*I263,2)</f>
        <v>0</v>
      </c>
      <c r="N263" s="243"/>
      <c r="O263" s="294">
        <f>ROUND(N263*I263,2)</f>
        <v>0</v>
      </c>
      <c r="P263" s="273">
        <f>H263-L263-N263</f>
        <v>3</v>
      </c>
      <c r="Q263" s="287">
        <f>ROUND(P263*I263,2)</f>
        <v>943.43</v>
      </c>
      <c r="R263" s="137"/>
      <c r="S263" s="269">
        <f>W263+Y263+AA263+AC263+AE263+AG263+AI263+AK263+AM263+AO263+AQ263+AS263+AU263+AW263</f>
        <v>0</v>
      </c>
      <c r="T263" s="269">
        <f>ROUND(S263*I263,2)</f>
        <v>0</v>
      </c>
      <c r="U263" s="269">
        <f>H263-S263</f>
        <v>3</v>
      </c>
      <c r="V263" s="269">
        <f>ROUND(U263*I263,2)</f>
        <v>943.43</v>
      </c>
      <c r="W263" s="290"/>
      <c r="X263" s="290"/>
      <c r="Y263" s="290"/>
      <c r="Z263" s="290"/>
      <c r="AA263" s="290"/>
      <c r="AB263" s="290"/>
      <c r="AC263" s="290"/>
      <c r="AD263" s="290"/>
      <c r="AE263" s="290"/>
      <c r="AF263" s="290"/>
      <c r="AG263" s="290"/>
      <c r="AH263" s="290"/>
      <c r="AI263" s="290"/>
      <c r="AJ263" s="290"/>
      <c r="AK263" s="290"/>
      <c r="AL263" s="290"/>
      <c r="AM263" s="290"/>
      <c r="AN263" s="290"/>
      <c r="AO263" s="290"/>
      <c r="AP263" s="290"/>
      <c r="AQ263" s="290"/>
      <c r="AR263" s="290"/>
      <c r="AS263" s="290"/>
      <c r="AT263" s="290"/>
      <c r="AU263" s="290"/>
      <c r="AV263" s="290"/>
      <c r="AW263" s="290"/>
      <c r="AX263" s="290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77" t="s">
        <v>1</v>
      </c>
      <c r="CD263" s="178" t="s">
        <v>40</v>
      </c>
      <c r="CF263" s="134">
        <f>CE263*H263</f>
        <v>0</v>
      </c>
      <c r="CG263" s="134">
        <v>6.8000000000000005E-2</v>
      </c>
      <c r="CH263" s="134">
        <f>CG263*H263</f>
        <v>0.20400000000000001</v>
      </c>
      <c r="CI263" s="134">
        <v>0</v>
      </c>
      <c r="CJ263" s="135">
        <f>CI263*H263</f>
        <v>0</v>
      </c>
      <c r="DH263" s="136" t="s">
        <v>328</v>
      </c>
      <c r="DJ263" s="136" t="s">
        <v>439</v>
      </c>
      <c r="DK263" s="136" t="s">
        <v>83</v>
      </c>
      <c r="DO263" s="16" t="s">
        <v>282</v>
      </c>
      <c r="DU263" s="137">
        <f>IF(CD263="základní",J263,0)</f>
        <v>943.43</v>
      </c>
      <c r="DV263" s="137">
        <f>IF(CD263="snížená",J263,0)</f>
        <v>0</v>
      </c>
      <c r="DW263" s="137">
        <f>IF(CD263="zákl. přenesená",J263,0)</f>
        <v>0</v>
      </c>
      <c r="DX263" s="137">
        <f>IF(CD263="sníž. přenesená",J263,0)</f>
        <v>0</v>
      </c>
      <c r="DY263" s="137">
        <f>IF(CD263="nulová",J263,0)</f>
        <v>0</v>
      </c>
      <c r="DZ263" s="16" t="s">
        <v>81</v>
      </c>
      <c r="EA263" s="137">
        <f>ROUND(I263*H263,2)</f>
        <v>943.43</v>
      </c>
      <c r="EB263" s="16" t="s">
        <v>95</v>
      </c>
      <c r="EC263" s="136" t="s">
        <v>504</v>
      </c>
    </row>
    <row r="264" spans="2:133" s="1" customFormat="1" x14ac:dyDescent="0.2">
      <c r="B264" s="31"/>
      <c r="D264" s="138" t="s">
        <v>289</v>
      </c>
      <c r="F264" s="139" t="s">
        <v>503</v>
      </c>
      <c r="I264" s="140"/>
      <c r="L264" s="31"/>
      <c r="N264" s="213"/>
      <c r="O264" s="214"/>
      <c r="Q264" s="229"/>
      <c r="CC264" s="141"/>
      <c r="CJ264" s="50"/>
      <c r="DJ264" s="16" t="s">
        <v>289</v>
      </c>
      <c r="DK264" s="16" t="s">
        <v>83</v>
      </c>
    </row>
    <row r="265" spans="2:133" s="1" customFormat="1" ht="24.2" customHeight="1" x14ac:dyDescent="0.2">
      <c r="B265" s="124"/>
      <c r="C265" s="125" t="s">
        <v>489</v>
      </c>
      <c r="D265" s="125" t="s">
        <v>284</v>
      </c>
      <c r="E265" s="126" t="s">
        <v>515</v>
      </c>
      <c r="F265" s="127" t="s">
        <v>516</v>
      </c>
      <c r="G265" s="128" t="s">
        <v>366</v>
      </c>
      <c r="H265" s="129">
        <v>1.35</v>
      </c>
      <c r="I265" s="130">
        <v>2895.0660868876225</v>
      </c>
      <c r="J265" s="131">
        <f>ROUND(I265*H265,2)</f>
        <v>3908.34</v>
      </c>
      <c r="K265" s="127" t="s">
        <v>293</v>
      </c>
      <c r="L265" s="268">
        <f>S265</f>
        <v>0</v>
      </c>
      <c r="M265" s="272">
        <f>ROUND(L265*I265,2)</f>
        <v>0</v>
      </c>
      <c r="N265" s="243"/>
      <c r="O265" s="294">
        <f>ROUND(N265*I265,2)</f>
        <v>0</v>
      </c>
      <c r="P265" s="273">
        <f>H265-L265-N265</f>
        <v>1.35</v>
      </c>
      <c r="Q265" s="287">
        <f>ROUND(P265*I265,2)</f>
        <v>3908.34</v>
      </c>
      <c r="R265" s="137"/>
      <c r="S265" s="269">
        <f>W265+Y265+AA265+AC265+AE265+AG265+AI265+AK265+AM265+AO265+AQ265+AS265+AU265+AW265</f>
        <v>0</v>
      </c>
      <c r="T265" s="269">
        <f>ROUND(S265*I265,2)</f>
        <v>0</v>
      </c>
      <c r="U265" s="269">
        <f>H265-S265</f>
        <v>1.35</v>
      </c>
      <c r="V265" s="269">
        <f>ROUND(U265*I265,2)</f>
        <v>3908.34</v>
      </c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  <c r="AL265" s="269"/>
      <c r="AM265" s="269"/>
      <c r="AN265" s="269"/>
      <c r="AO265" s="269"/>
      <c r="AP265" s="269"/>
      <c r="AQ265" s="269"/>
      <c r="AR265" s="269"/>
      <c r="AS265" s="269"/>
      <c r="AT265" s="269"/>
      <c r="AU265" s="269"/>
      <c r="AV265" s="269"/>
      <c r="AW265" s="269"/>
      <c r="AX265" s="269"/>
      <c r="CC265" s="132" t="s">
        <v>1</v>
      </c>
      <c r="CD265" s="133" t="s">
        <v>40</v>
      </c>
      <c r="CF265" s="134">
        <f>CE265*H265</f>
        <v>0</v>
      </c>
      <c r="CG265" s="134">
        <v>0</v>
      </c>
      <c r="CH265" s="134">
        <f>CG265*H265</f>
        <v>0</v>
      </c>
      <c r="CI265" s="134">
        <v>0</v>
      </c>
      <c r="CJ265" s="135">
        <f>CI265*H265</f>
        <v>0</v>
      </c>
      <c r="DH265" s="136" t="s">
        <v>95</v>
      </c>
      <c r="DJ265" s="136" t="s">
        <v>284</v>
      </c>
      <c r="DK265" s="136" t="s">
        <v>83</v>
      </c>
      <c r="DO265" s="16" t="s">
        <v>282</v>
      </c>
      <c r="DU265" s="137">
        <f>IF(CD265="základní",J265,0)</f>
        <v>3908.34</v>
      </c>
      <c r="DV265" s="137">
        <f>IF(CD265="snížená",J265,0)</f>
        <v>0</v>
      </c>
      <c r="DW265" s="137">
        <f>IF(CD265="zákl. přenesená",J265,0)</f>
        <v>0</v>
      </c>
      <c r="DX265" s="137">
        <f>IF(CD265="sníž. přenesená",J265,0)</f>
        <v>0</v>
      </c>
      <c r="DY265" s="137">
        <f>IF(CD265="nulová",J265,0)</f>
        <v>0</v>
      </c>
      <c r="DZ265" s="16" t="s">
        <v>81</v>
      </c>
      <c r="EA265" s="137">
        <f>ROUND(I265*H265,2)</f>
        <v>3908.34</v>
      </c>
      <c r="EB265" s="16" t="s">
        <v>95</v>
      </c>
      <c r="EC265" s="136" t="s">
        <v>517</v>
      </c>
    </row>
    <row r="266" spans="2:133" s="1" customFormat="1" ht="29.25" x14ac:dyDescent="0.2">
      <c r="B266" s="31"/>
      <c r="D266" s="138" t="s">
        <v>289</v>
      </c>
      <c r="F266" s="139" t="s">
        <v>518</v>
      </c>
      <c r="I266" s="140"/>
      <c r="L266" s="31"/>
      <c r="N266" s="213"/>
      <c r="O266" s="214"/>
      <c r="Q266" s="229"/>
      <c r="CC266" s="141"/>
      <c r="CJ266" s="50"/>
      <c r="DJ266" s="16" t="s">
        <v>289</v>
      </c>
      <c r="DK266" s="16" t="s">
        <v>83</v>
      </c>
    </row>
    <row r="267" spans="2:133" s="1" customFormat="1" ht="19.5" x14ac:dyDescent="0.2">
      <c r="B267" s="31"/>
      <c r="D267" s="138" t="s">
        <v>299</v>
      </c>
      <c r="F267" s="142" t="s">
        <v>317</v>
      </c>
      <c r="I267" s="140"/>
      <c r="L267" s="31"/>
      <c r="N267" s="213"/>
      <c r="O267" s="214"/>
      <c r="Q267" s="229"/>
      <c r="CC267" s="141"/>
      <c r="CJ267" s="50"/>
      <c r="DJ267" s="16" t="s">
        <v>299</v>
      </c>
      <c r="DK267" s="16" t="s">
        <v>83</v>
      </c>
    </row>
    <row r="268" spans="2:133" s="11" customFormat="1" x14ac:dyDescent="0.2">
      <c r="B268" s="143"/>
      <c r="D268" s="138" t="s">
        <v>301</v>
      </c>
      <c r="E268" s="144" t="s">
        <v>1</v>
      </c>
      <c r="F268" s="145" t="s">
        <v>765</v>
      </c>
      <c r="H268" s="144" t="s">
        <v>1</v>
      </c>
      <c r="I268" s="146"/>
      <c r="L268" s="143"/>
      <c r="N268" s="215"/>
      <c r="O268" s="216"/>
      <c r="Q268" s="230"/>
      <c r="CC268" s="147"/>
      <c r="CJ268" s="148"/>
      <c r="DJ268" s="144" t="s">
        <v>301</v>
      </c>
      <c r="DK268" s="144" t="s">
        <v>83</v>
      </c>
      <c r="DL268" s="11" t="s">
        <v>81</v>
      </c>
      <c r="DM268" s="11" t="s">
        <v>32</v>
      </c>
      <c r="DN268" s="11" t="s">
        <v>74</v>
      </c>
      <c r="DO268" s="144" t="s">
        <v>282</v>
      </c>
    </row>
    <row r="269" spans="2:133" s="12" customFormat="1" x14ac:dyDescent="0.2">
      <c r="B269" s="149"/>
      <c r="D269" s="138" t="s">
        <v>301</v>
      </c>
      <c r="E269" s="150" t="s">
        <v>1</v>
      </c>
      <c r="F269" s="151" t="s">
        <v>873</v>
      </c>
      <c r="H269" s="152">
        <v>1.35</v>
      </c>
      <c r="I269" s="153"/>
      <c r="L269" s="149"/>
      <c r="N269" s="217"/>
      <c r="O269" s="218"/>
      <c r="Q269" s="231"/>
      <c r="CC269" s="154"/>
      <c r="CJ269" s="155"/>
      <c r="DJ269" s="150" t="s">
        <v>301</v>
      </c>
      <c r="DK269" s="150" t="s">
        <v>83</v>
      </c>
      <c r="DL269" s="12" t="s">
        <v>83</v>
      </c>
      <c r="DM269" s="12" t="s">
        <v>32</v>
      </c>
      <c r="DN269" s="12" t="s">
        <v>81</v>
      </c>
      <c r="DO269" s="150" t="s">
        <v>282</v>
      </c>
    </row>
    <row r="270" spans="2:133" s="10" customFormat="1" ht="22.9" customHeight="1" x14ac:dyDescent="0.2">
      <c r="B270" s="112"/>
      <c r="D270" s="113" t="s">
        <v>73</v>
      </c>
      <c r="E270" s="122" t="s">
        <v>312</v>
      </c>
      <c r="F270" s="122" t="s">
        <v>520</v>
      </c>
      <c r="I270" s="115"/>
      <c r="J270" s="123">
        <f>EA270</f>
        <v>447842.81</v>
      </c>
      <c r="L270" s="112"/>
      <c r="M270" s="291">
        <f>SUM(M271:M284)</f>
        <v>0</v>
      </c>
      <c r="N270" s="295"/>
      <c r="O270" s="296">
        <f t="shared" ref="O270:V270" si="2">SUM(O271:O284)</f>
        <v>-572.72</v>
      </c>
      <c r="P270" s="291"/>
      <c r="Q270" s="298">
        <f t="shared" si="2"/>
        <v>448415.54</v>
      </c>
      <c r="R270" s="291"/>
      <c r="S270" s="291"/>
      <c r="T270" s="291">
        <f t="shared" si="2"/>
        <v>0</v>
      </c>
      <c r="U270" s="291"/>
      <c r="V270" s="291">
        <f t="shared" si="2"/>
        <v>447842.81</v>
      </c>
      <c r="CC270" s="117"/>
      <c r="CF270" s="118">
        <f>SUM(CF271:CF288)</f>
        <v>0</v>
      </c>
      <c r="CH270" s="118">
        <f>SUM(CH271:CH288)</f>
        <v>0</v>
      </c>
      <c r="CJ270" s="119">
        <f>SUM(CJ271:CJ288)</f>
        <v>0</v>
      </c>
      <c r="DH270" s="113" t="s">
        <v>81</v>
      </c>
      <c r="DJ270" s="120" t="s">
        <v>73</v>
      </c>
      <c r="DK270" s="120" t="s">
        <v>81</v>
      </c>
      <c r="DO270" s="113" t="s">
        <v>282</v>
      </c>
      <c r="EA270" s="121">
        <f>SUM(EA271:EA288)</f>
        <v>447842.81</v>
      </c>
    </row>
    <row r="271" spans="2:133" s="1" customFormat="1" ht="24.2" customHeight="1" x14ac:dyDescent="0.2">
      <c r="B271" s="124"/>
      <c r="C271" s="125" t="s">
        <v>493</v>
      </c>
      <c r="D271" s="125" t="s">
        <v>284</v>
      </c>
      <c r="E271" s="126" t="s">
        <v>522</v>
      </c>
      <c r="F271" s="127" t="s">
        <v>523</v>
      </c>
      <c r="G271" s="128" t="s">
        <v>287</v>
      </c>
      <c r="H271" s="129">
        <v>193.17</v>
      </c>
      <c r="I271" s="130">
        <v>130.95617506780872</v>
      </c>
      <c r="J271" s="131">
        <f>ROUND(I271*H271,2)</f>
        <v>25296.799999999999</v>
      </c>
      <c r="K271" s="127" t="s">
        <v>293</v>
      </c>
      <c r="L271" s="268">
        <f>S271</f>
        <v>0</v>
      </c>
      <c r="M271" s="272">
        <f>ROUND(L271*I271,2)</f>
        <v>0</v>
      </c>
      <c r="N271" s="243">
        <f>N126</f>
        <v>-0.23099999999999454</v>
      </c>
      <c r="O271" s="294">
        <f>ROUND(N271*I271,2)</f>
        <v>-30.25</v>
      </c>
      <c r="P271" s="273">
        <f>H271-L271-N271</f>
        <v>193.40099999999998</v>
      </c>
      <c r="Q271" s="287">
        <f>ROUND(P271*I271,2)</f>
        <v>25327.06</v>
      </c>
      <c r="R271" s="137"/>
      <c r="S271" s="269">
        <f>W271+Y271+AA271+AC271+AE271+AG271+AI271+AK271+AM271+AO271+AQ271+AS271+AU271+AW271</f>
        <v>0</v>
      </c>
      <c r="T271" s="269">
        <f>ROUND(S271*I271,2)</f>
        <v>0</v>
      </c>
      <c r="U271" s="269">
        <f>H271-S271</f>
        <v>193.17</v>
      </c>
      <c r="V271" s="269">
        <f>ROUND(U271*I271,2)</f>
        <v>25296.799999999999</v>
      </c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AM271" s="269"/>
      <c r="AN271" s="269"/>
      <c r="AO271" s="269"/>
      <c r="AP271" s="269"/>
      <c r="AQ271" s="269"/>
      <c r="AR271" s="269"/>
      <c r="AS271" s="269"/>
      <c r="AT271" s="269"/>
      <c r="AU271" s="269"/>
      <c r="AV271" s="269"/>
      <c r="AW271" s="269"/>
      <c r="AX271" s="269"/>
      <c r="CC271" s="132" t="s">
        <v>1</v>
      </c>
      <c r="CD271" s="133" t="s">
        <v>40</v>
      </c>
      <c r="CF271" s="134">
        <f>CE271*H271</f>
        <v>0</v>
      </c>
      <c r="CG271" s="134">
        <v>0</v>
      </c>
      <c r="CH271" s="134">
        <f>CG271*H271</f>
        <v>0</v>
      </c>
      <c r="CI271" s="134">
        <v>0</v>
      </c>
      <c r="CJ271" s="135">
        <f>CI271*H271</f>
        <v>0</v>
      </c>
      <c r="DH271" s="136" t="s">
        <v>95</v>
      </c>
      <c r="DJ271" s="136" t="s">
        <v>284</v>
      </c>
      <c r="DK271" s="136" t="s">
        <v>83</v>
      </c>
      <c r="DO271" s="16" t="s">
        <v>282</v>
      </c>
      <c r="DU271" s="137">
        <f>IF(CD271="základní",J271,0)</f>
        <v>25296.799999999999</v>
      </c>
      <c r="DV271" s="137">
        <f>IF(CD271="snížená",J271,0)</f>
        <v>0</v>
      </c>
      <c r="DW271" s="137">
        <f>IF(CD271="zákl. přenesená",J271,0)</f>
        <v>0</v>
      </c>
      <c r="DX271" s="137">
        <f>IF(CD271="sníž. přenesená",J271,0)</f>
        <v>0</v>
      </c>
      <c r="DY271" s="137">
        <f>IF(CD271="nulová",J271,0)</f>
        <v>0</v>
      </c>
      <c r="DZ271" s="16" t="s">
        <v>81</v>
      </c>
      <c r="EA271" s="137">
        <f>ROUND(I271*H271,2)</f>
        <v>25296.799999999999</v>
      </c>
      <c r="EB271" s="16" t="s">
        <v>95</v>
      </c>
      <c r="EC271" s="136" t="s">
        <v>524</v>
      </c>
    </row>
    <row r="272" spans="2:133" s="1" customFormat="1" ht="19.5" x14ac:dyDescent="0.2">
      <c r="B272" s="31"/>
      <c r="D272" s="138" t="s">
        <v>289</v>
      </c>
      <c r="F272" s="139" t="s">
        <v>525</v>
      </c>
      <c r="I272" s="140"/>
      <c r="L272" s="31"/>
      <c r="N272" s="213"/>
      <c r="O272" s="214"/>
      <c r="Q272" s="229"/>
      <c r="CC272" s="141"/>
      <c r="CJ272" s="50"/>
      <c r="DJ272" s="16" t="s">
        <v>289</v>
      </c>
      <c r="DK272" s="16" t="s">
        <v>83</v>
      </c>
    </row>
    <row r="273" spans="2:133" s="1" customFormat="1" ht="14.45" customHeight="1" x14ac:dyDescent="0.2">
      <c r="B273" s="124"/>
      <c r="C273" s="125" t="s">
        <v>497</v>
      </c>
      <c r="D273" s="125" t="s">
        <v>284</v>
      </c>
      <c r="E273" s="126" t="s">
        <v>527</v>
      </c>
      <c r="F273" s="127" t="s">
        <v>528</v>
      </c>
      <c r="G273" s="128" t="s">
        <v>287</v>
      </c>
      <c r="H273" s="129">
        <v>193.17</v>
      </c>
      <c r="I273" s="130">
        <v>200.20823792465458</v>
      </c>
      <c r="J273" s="131">
        <f>ROUND(I273*H273,2)</f>
        <v>38674.230000000003</v>
      </c>
      <c r="K273" s="127" t="s">
        <v>293</v>
      </c>
      <c r="L273" s="268">
        <f>S273</f>
        <v>0</v>
      </c>
      <c r="M273" s="272">
        <f>ROUND(L273*I273,2)</f>
        <v>0</v>
      </c>
      <c r="N273" s="243">
        <f>N271</f>
        <v>-0.23099999999999454</v>
      </c>
      <c r="O273" s="294">
        <f>ROUND(N273*I273,2)</f>
        <v>-46.25</v>
      </c>
      <c r="P273" s="273">
        <f>H273-L273-N273</f>
        <v>193.40099999999998</v>
      </c>
      <c r="Q273" s="287">
        <f>ROUND(P273*I273,2)</f>
        <v>38720.47</v>
      </c>
      <c r="R273" s="137"/>
      <c r="S273" s="269">
        <f>W273+Y273+AA273+AC273+AE273+AG273+AI273+AK273+AM273+AO273+AQ273+AS273+AU273+AW273</f>
        <v>0</v>
      </c>
      <c r="T273" s="269">
        <f>ROUND(S273*I273,2)</f>
        <v>0</v>
      </c>
      <c r="U273" s="269">
        <f>H273-S273</f>
        <v>193.17</v>
      </c>
      <c r="V273" s="269">
        <f>ROUND(U273*I273,2)</f>
        <v>38674.230000000003</v>
      </c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AQ273" s="269"/>
      <c r="AR273" s="269"/>
      <c r="AS273" s="269"/>
      <c r="AT273" s="269"/>
      <c r="AU273" s="269"/>
      <c r="AV273" s="269"/>
      <c r="AW273" s="269"/>
      <c r="AX273" s="269"/>
      <c r="CC273" s="132" t="s">
        <v>1</v>
      </c>
      <c r="CD273" s="133" t="s">
        <v>40</v>
      </c>
      <c r="CF273" s="134">
        <f>CE273*H273</f>
        <v>0</v>
      </c>
      <c r="CG273" s="134">
        <v>0</v>
      </c>
      <c r="CH273" s="134">
        <f>CG273*H273</f>
        <v>0</v>
      </c>
      <c r="CI273" s="134">
        <v>0</v>
      </c>
      <c r="CJ273" s="135">
        <f>CI273*H273</f>
        <v>0</v>
      </c>
      <c r="DH273" s="136" t="s">
        <v>95</v>
      </c>
      <c r="DJ273" s="136" t="s">
        <v>284</v>
      </c>
      <c r="DK273" s="136" t="s">
        <v>83</v>
      </c>
      <c r="DO273" s="16" t="s">
        <v>282</v>
      </c>
      <c r="DU273" s="137">
        <f>IF(CD273="základní",J273,0)</f>
        <v>38674.230000000003</v>
      </c>
      <c r="DV273" s="137">
        <f>IF(CD273="snížená",J273,0)</f>
        <v>0</v>
      </c>
      <c r="DW273" s="137">
        <f>IF(CD273="zákl. přenesená",J273,0)</f>
        <v>0</v>
      </c>
      <c r="DX273" s="137">
        <f>IF(CD273="sníž. přenesená",J273,0)</f>
        <v>0</v>
      </c>
      <c r="DY273" s="137">
        <f>IF(CD273="nulová",J273,0)</f>
        <v>0</v>
      </c>
      <c r="DZ273" s="16" t="s">
        <v>81</v>
      </c>
      <c r="EA273" s="137">
        <f>ROUND(I273*H273,2)</f>
        <v>38674.230000000003</v>
      </c>
      <c r="EB273" s="16" t="s">
        <v>95</v>
      </c>
      <c r="EC273" s="136" t="s">
        <v>529</v>
      </c>
    </row>
    <row r="274" spans="2:133" s="1" customFormat="1" ht="19.5" x14ac:dyDescent="0.2">
      <c r="B274" s="31"/>
      <c r="D274" s="138" t="s">
        <v>289</v>
      </c>
      <c r="F274" s="139" t="s">
        <v>530</v>
      </c>
      <c r="I274" s="140"/>
      <c r="L274" s="31"/>
      <c r="N274" s="213"/>
      <c r="O274" s="214"/>
      <c r="Q274" s="229"/>
      <c r="CC274" s="141"/>
      <c r="CJ274" s="50"/>
      <c r="DJ274" s="16" t="s">
        <v>289</v>
      </c>
      <c r="DK274" s="16" t="s">
        <v>83</v>
      </c>
    </row>
    <row r="275" spans="2:133" s="1" customFormat="1" ht="24.2" customHeight="1" x14ac:dyDescent="0.2">
      <c r="B275" s="124"/>
      <c r="C275" s="125" t="s">
        <v>501</v>
      </c>
      <c r="D275" s="125" t="s">
        <v>284</v>
      </c>
      <c r="E275" s="126" t="s">
        <v>532</v>
      </c>
      <c r="F275" s="127" t="s">
        <v>533</v>
      </c>
      <c r="G275" s="128" t="s">
        <v>287</v>
      </c>
      <c r="H275" s="129">
        <v>193.17</v>
      </c>
      <c r="I275" s="130">
        <v>40.878739778868102</v>
      </c>
      <c r="J275" s="131">
        <f>ROUND(I275*H275,2)</f>
        <v>7896.55</v>
      </c>
      <c r="K275" s="127" t="s">
        <v>293</v>
      </c>
      <c r="L275" s="268">
        <f>S275</f>
        <v>0</v>
      </c>
      <c r="M275" s="272">
        <f>ROUND(L275*I275,2)</f>
        <v>0</v>
      </c>
      <c r="N275" s="243">
        <f>N273</f>
        <v>-0.23099999999999454</v>
      </c>
      <c r="O275" s="294">
        <f>ROUND(N275*I275,2)</f>
        <v>-9.44</v>
      </c>
      <c r="P275" s="273">
        <f>H275-L275-N275</f>
        <v>193.40099999999998</v>
      </c>
      <c r="Q275" s="287">
        <f>ROUND(P275*I275,2)</f>
        <v>7905.99</v>
      </c>
      <c r="R275" s="137"/>
      <c r="S275" s="269">
        <f>W275+Y275+AA275+AC275+AE275+AG275+AI275+AK275+AM275+AO275+AQ275+AS275+AU275+AW275</f>
        <v>0</v>
      </c>
      <c r="T275" s="269">
        <f>ROUND(S275*I275,2)</f>
        <v>0</v>
      </c>
      <c r="U275" s="269">
        <f>H275-S275</f>
        <v>193.17</v>
      </c>
      <c r="V275" s="269">
        <f>ROUND(U275*I275,2)</f>
        <v>7896.55</v>
      </c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AO275" s="269"/>
      <c r="AP275" s="269"/>
      <c r="AQ275" s="269"/>
      <c r="AR275" s="269"/>
      <c r="AS275" s="269"/>
      <c r="AT275" s="269"/>
      <c r="AU275" s="269"/>
      <c r="AV275" s="269"/>
      <c r="AW275" s="269"/>
      <c r="AX275" s="269"/>
      <c r="CC275" s="132" t="s">
        <v>1</v>
      </c>
      <c r="CD275" s="133" t="s">
        <v>40</v>
      </c>
      <c r="CF275" s="134">
        <f>CE275*H275</f>
        <v>0</v>
      </c>
      <c r="CG275" s="134">
        <v>0</v>
      </c>
      <c r="CH275" s="134">
        <f>CG275*H275</f>
        <v>0</v>
      </c>
      <c r="CI275" s="134">
        <v>0</v>
      </c>
      <c r="CJ275" s="135">
        <f>CI275*H275</f>
        <v>0</v>
      </c>
      <c r="DH275" s="136" t="s">
        <v>95</v>
      </c>
      <c r="DJ275" s="136" t="s">
        <v>284</v>
      </c>
      <c r="DK275" s="136" t="s">
        <v>83</v>
      </c>
      <c r="DO275" s="16" t="s">
        <v>282</v>
      </c>
      <c r="DU275" s="137">
        <f>IF(CD275="základní",J275,0)</f>
        <v>7896.55</v>
      </c>
      <c r="DV275" s="137">
        <f>IF(CD275="snížená",J275,0)</f>
        <v>0</v>
      </c>
      <c r="DW275" s="137">
        <f>IF(CD275="zákl. přenesená",J275,0)</f>
        <v>0</v>
      </c>
      <c r="DX275" s="137">
        <f>IF(CD275="sníž. přenesená",J275,0)</f>
        <v>0</v>
      </c>
      <c r="DY275" s="137">
        <f>IF(CD275="nulová",J275,0)</f>
        <v>0</v>
      </c>
      <c r="DZ275" s="16" t="s">
        <v>81</v>
      </c>
      <c r="EA275" s="137">
        <f>ROUND(I275*H275,2)</f>
        <v>7896.55</v>
      </c>
      <c r="EB275" s="16" t="s">
        <v>95</v>
      </c>
      <c r="EC275" s="136" t="s">
        <v>534</v>
      </c>
    </row>
    <row r="276" spans="2:133" s="1" customFormat="1" ht="19.5" x14ac:dyDescent="0.2">
      <c r="B276" s="31"/>
      <c r="D276" s="138" t="s">
        <v>289</v>
      </c>
      <c r="F276" s="139" t="s">
        <v>535</v>
      </c>
      <c r="I276" s="140"/>
      <c r="L276" s="31"/>
      <c r="N276" s="213"/>
      <c r="O276" s="214"/>
      <c r="Q276" s="229"/>
      <c r="CC276" s="141"/>
      <c r="CJ276" s="50"/>
      <c r="DJ276" s="16" t="s">
        <v>289</v>
      </c>
      <c r="DK276" s="16" t="s">
        <v>83</v>
      </c>
    </row>
    <row r="277" spans="2:133" s="1" customFormat="1" ht="24.2" customHeight="1" x14ac:dyDescent="0.2">
      <c r="B277" s="124"/>
      <c r="C277" s="125" t="s">
        <v>505</v>
      </c>
      <c r="D277" s="125" t="s">
        <v>284</v>
      </c>
      <c r="E277" s="126" t="s">
        <v>537</v>
      </c>
      <c r="F277" s="127" t="s">
        <v>538</v>
      </c>
      <c r="G277" s="128" t="s">
        <v>287</v>
      </c>
      <c r="H277" s="129">
        <v>193.17</v>
      </c>
      <c r="I277" s="130">
        <v>362.67856108310502</v>
      </c>
      <c r="J277" s="131">
        <f>ROUND(I277*H277,2)</f>
        <v>70058.62</v>
      </c>
      <c r="K277" s="127" t="s">
        <v>293</v>
      </c>
      <c r="L277" s="268">
        <f>S277</f>
        <v>0</v>
      </c>
      <c r="M277" s="272">
        <f>ROUND(L277*I277,2)</f>
        <v>0</v>
      </c>
      <c r="N277" s="243">
        <f>N275</f>
        <v>-0.23099999999999454</v>
      </c>
      <c r="O277" s="294">
        <f>ROUND(N277*I277,2)</f>
        <v>-83.78</v>
      </c>
      <c r="P277" s="273">
        <f>H277-L277-N277</f>
        <v>193.40099999999998</v>
      </c>
      <c r="Q277" s="287">
        <f>ROUND(P277*I277,2)</f>
        <v>70142.399999999994</v>
      </c>
      <c r="R277" s="137"/>
      <c r="S277" s="269">
        <f>W277+Y277+AA277+AC277+AE277+AG277+AI277+AK277+AM277+AO277+AQ277+AS277+AU277+AW277</f>
        <v>0</v>
      </c>
      <c r="T277" s="269">
        <f>ROUND(S277*I277,2)</f>
        <v>0</v>
      </c>
      <c r="U277" s="269">
        <f>H277-S277</f>
        <v>193.17</v>
      </c>
      <c r="V277" s="269">
        <f>ROUND(U277*I277,2)</f>
        <v>70058.62</v>
      </c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  <c r="AL277" s="269"/>
      <c r="AM277" s="269"/>
      <c r="AN277" s="269"/>
      <c r="AO277" s="269"/>
      <c r="AP277" s="269"/>
      <c r="AQ277" s="269"/>
      <c r="AR277" s="269"/>
      <c r="AS277" s="269"/>
      <c r="AT277" s="269"/>
      <c r="AU277" s="269"/>
      <c r="AV277" s="269"/>
      <c r="AW277" s="269"/>
      <c r="AX277" s="269"/>
      <c r="CC277" s="132" t="s">
        <v>1</v>
      </c>
      <c r="CD277" s="133" t="s">
        <v>40</v>
      </c>
      <c r="CF277" s="134">
        <f>CE277*H277</f>
        <v>0</v>
      </c>
      <c r="CG277" s="134">
        <v>0</v>
      </c>
      <c r="CH277" s="134">
        <f>CG277*H277</f>
        <v>0</v>
      </c>
      <c r="CI277" s="134">
        <v>0</v>
      </c>
      <c r="CJ277" s="135">
        <f>CI277*H277</f>
        <v>0</v>
      </c>
      <c r="DH277" s="136" t="s">
        <v>95</v>
      </c>
      <c r="DJ277" s="136" t="s">
        <v>284</v>
      </c>
      <c r="DK277" s="136" t="s">
        <v>83</v>
      </c>
      <c r="DO277" s="16" t="s">
        <v>282</v>
      </c>
      <c r="DU277" s="137">
        <f>IF(CD277="základní",J277,0)</f>
        <v>70058.62</v>
      </c>
      <c r="DV277" s="137">
        <f>IF(CD277="snížená",J277,0)</f>
        <v>0</v>
      </c>
      <c r="DW277" s="137">
        <f>IF(CD277="zákl. přenesená",J277,0)</f>
        <v>0</v>
      </c>
      <c r="DX277" s="137">
        <f>IF(CD277="sníž. přenesená",J277,0)</f>
        <v>0</v>
      </c>
      <c r="DY277" s="137">
        <f>IF(CD277="nulová",J277,0)</f>
        <v>0</v>
      </c>
      <c r="DZ277" s="16" t="s">
        <v>81</v>
      </c>
      <c r="EA277" s="137">
        <f>ROUND(I277*H277,2)</f>
        <v>70058.62</v>
      </c>
      <c r="EB277" s="16" t="s">
        <v>95</v>
      </c>
      <c r="EC277" s="136" t="s">
        <v>539</v>
      </c>
    </row>
    <row r="278" spans="2:133" s="1" customFormat="1" ht="29.25" x14ac:dyDescent="0.2">
      <c r="B278" s="31"/>
      <c r="D278" s="138" t="s">
        <v>289</v>
      </c>
      <c r="F278" s="139" t="s">
        <v>540</v>
      </c>
      <c r="I278" s="140"/>
      <c r="L278" s="31"/>
      <c r="N278" s="213"/>
      <c r="O278" s="214"/>
      <c r="Q278" s="229"/>
      <c r="CC278" s="141"/>
      <c r="CJ278" s="50"/>
      <c r="DJ278" s="16" t="s">
        <v>289</v>
      </c>
      <c r="DK278" s="16" t="s">
        <v>83</v>
      </c>
    </row>
    <row r="279" spans="2:133" s="1" customFormat="1" ht="29.25" x14ac:dyDescent="0.2">
      <c r="B279" s="31"/>
      <c r="D279" s="138" t="s">
        <v>299</v>
      </c>
      <c r="F279" s="142" t="s">
        <v>843</v>
      </c>
      <c r="I279" s="140"/>
      <c r="L279" s="31"/>
      <c r="N279" s="213"/>
      <c r="O279" s="214"/>
      <c r="Q279" s="229"/>
      <c r="CC279" s="141"/>
      <c r="CJ279" s="50"/>
      <c r="DJ279" s="16" t="s">
        <v>299</v>
      </c>
      <c r="DK279" s="16" t="s">
        <v>83</v>
      </c>
    </row>
    <row r="280" spans="2:133" s="11" customFormat="1" x14ac:dyDescent="0.2">
      <c r="B280" s="143"/>
      <c r="D280" s="138" t="s">
        <v>301</v>
      </c>
      <c r="E280" s="144" t="s">
        <v>1</v>
      </c>
      <c r="F280" s="145" t="s">
        <v>541</v>
      </c>
      <c r="H280" s="144" t="s">
        <v>1</v>
      </c>
      <c r="I280" s="146"/>
      <c r="L280" s="143"/>
      <c r="N280" s="215"/>
      <c r="O280" s="216"/>
      <c r="Q280" s="230"/>
      <c r="CC280" s="147"/>
      <c r="CJ280" s="148"/>
      <c r="DJ280" s="144" t="s">
        <v>301</v>
      </c>
      <c r="DK280" s="144" t="s">
        <v>83</v>
      </c>
      <c r="DL280" s="11" t="s">
        <v>81</v>
      </c>
      <c r="DM280" s="11" t="s">
        <v>32</v>
      </c>
      <c r="DN280" s="11" t="s">
        <v>74</v>
      </c>
      <c r="DO280" s="144" t="s">
        <v>282</v>
      </c>
    </row>
    <row r="281" spans="2:133" s="12" customFormat="1" x14ac:dyDescent="0.2">
      <c r="B281" s="149"/>
      <c r="D281" s="138" t="s">
        <v>301</v>
      </c>
      <c r="E281" s="150" t="s">
        <v>1</v>
      </c>
      <c r="F281" s="151" t="s">
        <v>874</v>
      </c>
      <c r="H281" s="152">
        <v>193.17</v>
      </c>
      <c r="I281" s="153"/>
      <c r="L281" s="149"/>
      <c r="N281" s="217"/>
      <c r="O281" s="218"/>
      <c r="Q281" s="231"/>
      <c r="CC281" s="154"/>
      <c r="CJ281" s="155"/>
      <c r="DJ281" s="150" t="s">
        <v>301</v>
      </c>
      <c r="DK281" s="150" t="s">
        <v>83</v>
      </c>
      <c r="DL281" s="12" t="s">
        <v>83</v>
      </c>
      <c r="DM281" s="12" t="s">
        <v>32</v>
      </c>
      <c r="DN281" s="12" t="s">
        <v>81</v>
      </c>
      <c r="DO281" s="150" t="s">
        <v>282</v>
      </c>
    </row>
    <row r="282" spans="2:133" s="1" customFormat="1" ht="14.45" customHeight="1" x14ac:dyDescent="0.2">
      <c r="B282" s="124"/>
      <c r="C282" s="125" t="s">
        <v>510</v>
      </c>
      <c r="D282" s="125" t="s">
        <v>284</v>
      </c>
      <c r="E282" s="126" t="s">
        <v>544</v>
      </c>
      <c r="F282" s="127" t="s">
        <v>545</v>
      </c>
      <c r="G282" s="128" t="s">
        <v>287</v>
      </c>
      <c r="H282" s="129">
        <v>751.5</v>
      </c>
      <c r="I282" s="130">
        <v>18.105699236185</v>
      </c>
      <c r="J282" s="131">
        <f>ROUND(I282*H282,2)</f>
        <v>13606.43</v>
      </c>
      <c r="K282" s="127" t="s">
        <v>293</v>
      </c>
      <c r="L282" s="268">
        <f>S282</f>
        <v>0</v>
      </c>
      <c r="M282" s="272">
        <f>ROUND(L282*I282,2)</f>
        <v>0</v>
      </c>
      <c r="N282" s="243">
        <f>N138</f>
        <v>-0.99000000000000909</v>
      </c>
      <c r="O282" s="294">
        <f>ROUND(N282*I282,2)</f>
        <v>-17.920000000000002</v>
      </c>
      <c r="P282" s="273">
        <f>H282-L282-N282</f>
        <v>752.49</v>
      </c>
      <c r="Q282" s="287">
        <f>ROUND(P282*I282,2)</f>
        <v>13624.36</v>
      </c>
      <c r="R282" s="137"/>
      <c r="S282" s="269">
        <f>W282+Y282+AA282+AC282+AE282+AG282+AI282+AK282+AM282+AO282+AQ282+AS282+AU282+AW282</f>
        <v>0</v>
      </c>
      <c r="T282" s="269">
        <f>ROUND(S282*I282,2)</f>
        <v>0</v>
      </c>
      <c r="U282" s="269">
        <f>H282-S282</f>
        <v>751.5</v>
      </c>
      <c r="V282" s="269">
        <f>ROUND(U282*I282,2)</f>
        <v>13606.43</v>
      </c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AO282" s="269"/>
      <c r="AP282" s="269"/>
      <c r="AQ282" s="269"/>
      <c r="AR282" s="269"/>
      <c r="AS282" s="269"/>
      <c r="AT282" s="269"/>
      <c r="AU282" s="269"/>
      <c r="AV282" s="269"/>
      <c r="AW282" s="269"/>
      <c r="AX282" s="269"/>
      <c r="CC282" s="132" t="s">
        <v>1</v>
      </c>
      <c r="CD282" s="133" t="s">
        <v>40</v>
      </c>
      <c r="CF282" s="134">
        <f>CE282*H282</f>
        <v>0</v>
      </c>
      <c r="CG282" s="134">
        <v>0</v>
      </c>
      <c r="CH282" s="134">
        <f>CG282*H282</f>
        <v>0</v>
      </c>
      <c r="CI282" s="134">
        <v>0</v>
      </c>
      <c r="CJ282" s="135">
        <f>CI282*H282</f>
        <v>0</v>
      </c>
      <c r="DH282" s="136" t="s">
        <v>95</v>
      </c>
      <c r="DJ282" s="136" t="s">
        <v>284</v>
      </c>
      <c r="DK282" s="136" t="s">
        <v>83</v>
      </c>
      <c r="DO282" s="16" t="s">
        <v>282</v>
      </c>
      <c r="DU282" s="137">
        <f>IF(CD282="základní",J282,0)</f>
        <v>13606.43</v>
      </c>
      <c r="DV282" s="137">
        <f>IF(CD282="snížená",J282,0)</f>
        <v>0</v>
      </c>
      <c r="DW282" s="137">
        <f>IF(CD282="zákl. přenesená",J282,0)</f>
        <v>0</v>
      </c>
      <c r="DX282" s="137">
        <f>IF(CD282="sníž. přenesená",J282,0)</f>
        <v>0</v>
      </c>
      <c r="DY282" s="137">
        <f>IF(CD282="nulová",J282,0)</f>
        <v>0</v>
      </c>
      <c r="DZ282" s="16" t="s">
        <v>81</v>
      </c>
      <c r="EA282" s="137">
        <f>ROUND(I282*H282,2)</f>
        <v>13606.43</v>
      </c>
      <c r="EB282" s="16" t="s">
        <v>95</v>
      </c>
      <c r="EC282" s="136" t="s">
        <v>546</v>
      </c>
    </row>
    <row r="283" spans="2:133" s="1" customFormat="1" ht="19.5" x14ac:dyDescent="0.2">
      <c r="B283" s="31"/>
      <c r="D283" s="138" t="s">
        <v>289</v>
      </c>
      <c r="F283" s="139" t="s">
        <v>547</v>
      </c>
      <c r="I283" s="140"/>
      <c r="L283" s="31"/>
      <c r="N283" s="213"/>
      <c r="O283" s="214"/>
      <c r="Q283" s="229"/>
      <c r="CC283" s="141"/>
      <c r="CJ283" s="50"/>
      <c r="DJ283" s="16" t="s">
        <v>289</v>
      </c>
      <c r="DK283" s="16" t="s">
        <v>83</v>
      </c>
    </row>
    <row r="284" spans="2:133" s="1" customFormat="1" ht="24.2" customHeight="1" x14ac:dyDescent="0.2">
      <c r="B284" s="124"/>
      <c r="C284" s="125" t="s">
        <v>514</v>
      </c>
      <c r="D284" s="125" t="s">
        <v>284</v>
      </c>
      <c r="E284" s="126" t="s">
        <v>549</v>
      </c>
      <c r="F284" s="127" t="s">
        <v>550</v>
      </c>
      <c r="G284" s="128" t="s">
        <v>287</v>
      </c>
      <c r="H284" s="129">
        <v>751.5</v>
      </c>
      <c r="I284" s="130">
        <v>388.96896513366403</v>
      </c>
      <c r="J284" s="131">
        <f>ROUND(I284*H284,2)</f>
        <v>292310.18</v>
      </c>
      <c r="K284" s="127" t="s">
        <v>293</v>
      </c>
      <c r="L284" s="268">
        <f>S284</f>
        <v>0</v>
      </c>
      <c r="M284" s="272">
        <f>ROUND(L284*I284,2)</f>
        <v>0</v>
      </c>
      <c r="N284" s="243">
        <f>N282</f>
        <v>-0.99000000000000909</v>
      </c>
      <c r="O284" s="294">
        <f>ROUND(N284*I284,2)</f>
        <v>-385.08</v>
      </c>
      <c r="P284" s="273">
        <f>H284-L284-N284</f>
        <v>752.49</v>
      </c>
      <c r="Q284" s="287">
        <f>ROUND(P284*I284,2)</f>
        <v>292695.26</v>
      </c>
      <c r="R284" s="137"/>
      <c r="S284" s="269">
        <f>W284+Y284+AA284+AC284+AE284+AG284+AI284+AK284+AM284+AO284+AQ284+AS284+AU284+AW284</f>
        <v>0</v>
      </c>
      <c r="T284" s="269">
        <f>ROUND(S284*I284,2)</f>
        <v>0</v>
      </c>
      <c r="U284" s="269">
        <f>H284-S284</f>
        <v>751.5</v>
      </c>
      <c r="V284" s="269">
        <f>ROUND(U284*I284,2)</f>
        <v>292310.18</v>
      </c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9"/>
      <c r="AO284" s="269"/>
      <c r="AP284" s="269"/>
      <c r="AQ284" s="269"/>
      <c r="AR284" s="269"/>
      <c r="AS284" s="269"/>
      <c r="AT284" s="269"/>
      <c r="AU284" s="269"/>
      <c r="AV284" s="269"/>
      <c r="AW284" s="269"/>
      <c r="AX284" s="269"/>
      <c r="CC284" s="132" t="s">
        <v>1</v>
      </c>
      <c r="CD284" s="133" t="s">
        <v>40</v>
      </c>
      <c r="CF284" s="134">
        <f>CE284*H284</f>
        <v>0</v>
      </c>
      <c r="CG284" s="134">
        <v>0</v>
      </c>
      <c r="CH284" s="134">
        <f>CG284*H284</f>
        <v>0</v>
      </c>
      <c r="CI284" s="134">
        <v>0</v>
      </c>
      <c r="CJ284" s="135">
        <f>CI284*H284</f>
        <v>0</v>
      </c>
      <c r="DH284" s="136" t="s">
        <v>95</v>
      </c>
      <c r="DJ284" s="136" t="s">
        <v>284</v>
      </c>
      <c r="DK284" s="136" t="s">
        <v>83</v>
      </c>
      <c r="DO284" s="16" t="s">
        <v>282</v>
      </c>
      <c r="DU284" s="137">
        <f>IF(CD284="základní",J284,0)</f>
        <v>292310.18</v>
      </c>
      <c r="DV284" s="137">
        <f>IF(CD284="snížená",J284,0)</f>
        <v>0</v>
      </c>
      <c r="DW284" s="137">
        <f>IF(CD284="zákl. přenesená",J284,0)</f>
        <v>0</v>
      </c>
      <c r="DX284" s="137">
        <f>IF(CD284="sníž. přenesená",J284,0)</f>
        <v>0</v>
      </c>
      <c r="DY284" s="137">
        <f>IF(CD284="nulová",J284,0)</f>
        <v>0</v>
      </c>
      <c r="DZ284" s="16" t="s">
        <v>81</v>
      </c>
      <c r="EA284" s="137">
        <f>ROUND(I284*H284,2)</f>
        <v>292310.18</v>
      </c>
      <c r="EB284" s="16" t="s">
        <v>95</v>
      </c>
      <c r="EC284" s="136" t="s">
        <v>551</v>
      </c>
    </row>
    <row r="285" spans="2:133" s="1" customFormat="1" ht="29.25" x14ac:dyDescent="0.2">
      <c r="B285" s="31"/>
      <c r="D285" s="138" t="s">
        <v>289</v>
      </c>
      <c r="F285" s="139" t="s">
        <v>552</v>
      </c>
      <c r="I285" s="140"/>
      <c r="L285" s="31"/>
      <c r="N285" s="213"/>
      <c r="O285" s="214"/>
      <c r="Q285" s="229"/>
      <c r="CC285" s="141"/>
      <c r="CJ285" s="50"/>
      <c r="DJ285" s="16" t="s">
        <v>289</v>
      </c>
      <c r="DK285" s="16" t="s">
        <v>83</v>
      </c>
    </row>
    <row r="286" spans="2:133" s="1" customFormat="1" ht="29.25" x14ac:dyDescent="0.2">
      <c r="B286" s="31"/>
      <c r="D286" s="138" t="s">
        <v>299</v>
      </c>
      <c r="F286" s="142" t="s">
        <v>843</v>
      </c>
      <c r="I286" s="140"/>
      <c r="L286" s="31"/>
      <c r="N286" s="213"/>
      <c r="O286" s="214"/>
      <c r="Q286" s="229"/>
      <c r="CC286" s="141"/>
      <c r="CJ286" s="50"/>
      <c r="DJ286" s="16" t="s">
        <v>299</v>
      </c>
      <c r="DK286" s="16" t="s">
        <v>83</v>
      </c>
    </row>
    <row r="287" spans="2:133" s="11" customFormat="1" x14ac:dyDescent="0.2">
      <c r="B287" s="143"/>
      <c r="D287" s="138" t="s">
        <v>301</v>
      </c>
      <c r="E287" s="144" t="s">
        <v>1</v>
      </c>
      <c r="F287" s="145" t="s">
        <v>553</v>
      </c>
      <c r="H287" s="144" t="s">
        <v>1</v>
      </c>
      <c r="I287" s="146"/>
      <c r="L287" s="143"/>
      <c r="N287" s="215"/>
      <c r="O287" s="216"/>
      <c r="Q287" s="230"/>
      <c r="CC287" s="147"/>
      <c r="CJ287" s="148"/>
      <c r="DJ287" s="144" t="s">
        <v>301</v>
      </c>
      <c r="DK287" s="144" t="s">
        <v>83</v>
      </c>
      <c r="DL287" s="11" t="s">
        <v>81</v>
      </c>
      <c r="DM287" s="11" t="s">
        <v>32</v>
      </c>
      <c r="DN287" s="11" t="s">
        <v>74</v>
      </c>
      <c r="DO287" s="144" t="s">
        <v>282</v>
      </c>
    </row>
    <row r="288" spans="2:133" s="12" customFormat="1" x14ac:dyDescent="0.2">
      <c r="B288" s="149"/>
      <c r="D288" s="138" t="s">
        <v>301</v>
      </c>
      <c r="E288" s="150" t="s">
        <v>1</v>
      </c>
      <c r="F288" s="151" t="s">
        <v>875</v>
      </c>
      <c r="H288" s="152">
        <v>751.5</v>
      </c>
      <c r="I288" s="153"/>
      <c r="L288" s="149"/>
      <c r="N288" s="217"/>
      <c r="O288" s="218"/>
      <c r="Q288" s="231"/>
      <c r="CC288" s="154"/>
      <c r="CJ288" s="155"/>
      <c r="DJ288" s="150" t="s">
        <v>301</v>
      </c>
      <c r="DK288" s="150" t="s">
        <v>83</v>
      </c>
      <c r="DL288" s="12" t="s">
        <v>83</v>
      </c>
      <c r="DM288" s="12" t="s">
        <v>32</v>
      </c>
      <c r="DN288" s="12" t="s">
        <v>81</v>
      </c>
      <c r="DO288" s="150" t="s">
        <v>282</v>
      </c>
    </row>
    <row r="289" spans="2:133" s="10" customFormat="1" ht="22.9" customHeight="1" x14ac:dyDescent="0.2">
      <c r="B289" s="112"/>
      <c r="D289" s="113" t="s">
        <v>73</v>
      </c>
      <c r="E289" s="122" t="s">
        <v>328</v>
      </c>
      <c r="F289" s="122" t="s">
        <v>555</v>
      </c>
      <c r="I289" s="115"/>
      <c r="J289" s="123">
        <f>EA289</f>
        <v>291069.92000000004</v>
      </c>
      <c r="L289" s="112"/>
      <c r="M289" s="291">
        <f>SUM(M290:M343)</f>
        <v>0</v>
      </c>
      <c r="N289" s="295"/>
      <c r="O289" s="296">
        <f t="shared" ref="O289:V289" si="3">SUM(O290:O343)</f>
        <v>-207.19999999999996</v>
      </c>
      <c r="P289" s="291"/>
      <c r="Q289" s="298">
        <f t="shared" si="3"/>
        <v>291277.12000000005</v>
      </c>
      <c r="R289" s="291"/>
      <c r="S289" s="291"/>
      <c r="T289" s="291">
        <f t="shared" si="3"/>
        <v>0</v>
      </c>
      <c r="U289" s="291"/>
      <c r="V289" s="291">
        <f t="shared" si="3"/>
        <v>291069.92000000004</v>
      </c>
      <c r="CC289" s="117"/>
      <c r="CF289" s="118">
        <f>SUM(CF290:CF344)</f>
        <v>0</v>
      </c>
      <c r="CH289" s="118">
        <f>SUM(CH290:CH344)</f>
        <v>20.629980000000003</v>
      </c>
      <c r="CJ289" s="119">
        <f>SUM(CJ290:CJ344)</f>
        <v>0</v>
      </c>
      <c r="DH289" s="113" t="s">
        <v>81</v>
      </c>
      <c r="DJ289" s="120" t="s">
        <v>73</v>
      </c>
      <c r="DK289" s="120" t="s">
        <v>81</v>
      </c>
      <c r="DO289" s="113" t="s">
        <v>282</v>
      </c>
      <c r="EA289" s="121">
        <f>SUM(EA290:EA344)</f>
        <v>291069.92000000004</v>
      </c>
    </row>
    <row r="290" spans="2:133" s="1" customFormat="1" ht="24.2" customHeight="1" x14ac:dyDescent="0.2">
      <c r="B290" s="124"/>
      <c r="C290" s="125" t="s">
        <v>521</v>
      </c>
      <c r="D290" s="125" t="s">
        <v>284</v>
      </c>
      <c r="E290" s="126" t="s">
        <v>557</v>
      </c>
      <c r="F290" s="127" t="s">
        <v>558</v>
      </c>
      <c r="G290" s="128" t="s">
        <v>344</v>
      </c>
      <c r="H290" s="129">
        <v>167</v>
      </c>
      <c r="I290" s="130">
        <v>850.78954015145496</v>
      </c>
      <c r="J290" s="131">
        <f>ROUND(I290*H290,2)</f>
        <v>142081.85</v>
      </c>
      <c r="K290" s="127" t="s">
        <v>293</v>
      </c>
      <c r="L290" s="268">
        <f>S290</f>
        <v>0</v>
      </c>
      <c r="M290" s="272">
        <f>ROUND(L290*I290,2)</f>
        <v>0</v>
      </c>
      <c r="N290" s="243">
        <f>N293</f>
        <v>-0.21999999999999886</v>
      </c>
      <c r="O290" s="294">
        <f>ROUND(N290*I290,2)</f>
        <v>-187.17</v>
      </c>
      <c r="P290" s="273">
        <f>H290-L290-N290</f>
        <v>167.22</v>
      </c>
      <c r="Q290" s="287">
        <f>ROUND(P290*I290,2)</f>
        <v>142269.03</v>
      </c>
      <c r="R290" s="137"/>
      <c r="S290" s="269">
        <f>W290+Y290+AA290+AC290+AE290+AG290+AI290+AK290+AM290+AO290+AQ290+AS290+AU290+AW290</f>
        <v>0</v>
      </c>
      <c r="T290" s="269">
        <f>ROUND(S290*I290,2)</f>
        <v>0</v>
      </c>
      <c r="U290" s="269">
        <f>H290-S290</f>
        <v>167</v>
      </c>
      <c r="V290" s="269">
        <f>ROUND(U290*I290,2)</f>
        <v>142081.85</v>
      </c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AK290" s="269"/>
      <c r="AL290" s="269"/>
      <c r="AM290" s="269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CC290" s="132" t="s">
        <v>1</v>
      </c>
      <c r="CD290" s="133" t="s">
        <v>40</v>
      </c>
      <c r="CF290" s="134">
        <f>CE290*H290</f>
        <v>0</v>
      </c>
      <c r="CG290" s="134">
        <v>1.323E-2</v>
      </c>
      <c r="CH290" s="134">
        <f>CG290*H290</f>
        <v>2.2094100000000001</v>
      </c>
      <c r="CI290" s="134">
        <v>0</v>
      </c>
      <c r="CJ290" s="135">
        <f>CI290*H290</f>
        <v>0</v>
      </c>
      <c r="DH290" s="136" t="s">
        <v>95</v>
      </c>
      <c r="DJ290" s="136" t="s">
        <v>284</v>
      </c>
      <c r="DK290" s="136" t="s">
        <v>83</v>
      </c>
      <c r="DO290" s="16" t="s">
        <v>282</v>
      </c>
      <c r="DU290" s="137">
        <f>IF(CD290="základní",J290,0)</f>
        <v>142081.85</v>
      </c>
      <c r="DV290" s="137">
        <f>IF(CD290="snížená",J290,0)</f>
        <v>0</v>
      </c>
      <c r="DW290" s="137">
        <f>IF(CD290="zákl. přenesená",J290,0)</f>
        <v>0</v>
      </c>
      <c r="DX290" s="137">
        <f>IF(CD290="sníž. přenesená",J290,0)</f>
        <v>0</v>
      </c>
      <c r="DY290" s="137">
        <f>IF(CD290="nulová",J290,0)</f>
        <v>0</v>
      </c>
      <c r="DZ290" s="16" t="s">
        <v>81</v>
      </c>
      <c r="EA290" s="137">
        <f>ROUND(I290*H290,2)</f>
        <v>142081.85</v>
      </c>
      <c r="EB290" s="16" t="s">
        <v>95</v>
      </c>
      <c r="EC290" s="136" t="s">
        <v>559</v>
      </c>
    </row>
    <row r="291" spans="2:133" s="1" customFormat="1" ht="29.25" x14ac:dyDescent="0.2">
      <c r="B291" s="31"/>
      <c r="D291" s="138" t="s">
        <v>289</v>
      </c>
      <c r="F291" s="139" t="s">
        <v>560</v>
      </c>
      <c r="I291" s="140"/>
      <c r="L291" s="31"/>
      <c r="N291" s="213"/>
      <c r="O291" s="214"/>
      <c r="Q291" s="229"/>
      <c r="CC291" s="141"/>
      <c r="CJ291" s="50"/>
      <c r="DJ291" s="16" t="s">
        <v>289</v>
      </c>
      <c r="DK291" s="16" t="s">
        <v>83</v>
      </c>
    </row>
    <row r="292" spans="2:133" s="1" customFormat="1" ht="29.25" x14ac:dyDescent="0.2">
      <c r="B292" s="31"/>
      <c r="D292" s="138" t="s">
        <v>299</v>
      </c>
      <c r="F292" s="142" t="s">
        <v>843</v>
      </c>
      <c r="I292" s="140"/>
      <c r="L292" s="31"/>
      <c r="N292" s="213"/>
      <c r="O292" s="214"/>
      <c r="Q292" s="229"/>
      <c r="CC292" s="141"/>
      <c r="CJ292" s="50"/>
      <c r="DJ292" s="16" t="s">
        <v>299</v>
      </c>
      <c r="DK292" s="16" t="s">
        <v>83</v>
      </c>
    </row>
    <row r="293" spans="2:133" s="12" customFormat="1" x14ac:dyDescent="0.2">
      <c r="B293" s="149"/>
      <c r="D293" s="138" t="s">
        <v>301</v>
      </c>
      <c r="E293" s="150" t="s">
        <v>1</v>
      </c>
      <c r="F293" s="151" t="s">
        <v>876</v>
      </c>
      <c r="H293" s="152">
        <v>167</v>
      </c>
      <c r="I293" s="153"/>
      <c r="L293" s="149"/>
      <c r="N293" s="217">
        <f>166.78-167</f>
        <v>-0.21999999999999886</v>
      </c>
      <c r="O293" s="218" t="s">
        <v>3415</v>
      </c>
      <c r="Q293" s="231"/>
      <c r="CC293" s="154"/>
      <c r="CJ293" s="155"/>
      <c r="DJ293" s="150" t="s">
        <v>301</v>
      </c>
      <c r="DK293" s="150" t="s">
        <v>83</v>
      </c>
      <c r="DL293" s="12" t="s">
        <v>83</v>
      </c>
      <c r="DM293" s="12" t="s">
        <v>32</v>
      </c>
      <c r="DN293" s="12" t="s">
        <v>81</v>
      </c>
      <c r="DO293" s="150" t="s">
        <v>282</v>
      </c>
    </row>
    <row r="294" spans="2:133" s="1" customFormat="1" ht="24.2" customHeight="1" x14ac:dyDescent="0.2">
      <c r="B294" s="124"/>
      <c r="C294" s="125" t="s">
        <v>526</v>
      </c>
      <c r="D294" s="125" t="s">
        <v>284</v>
      </c>
      <c r="E294" s="126" t="s">
        <v>563</v>
      </c>
      <c r="F294" s="127" t="s">
        <v>564</v>
      </c>
      <c r="G294" s="128" t="s">
        <v>485</v>
      </c>
      <c r="H294" s="129">
        <v>10</v>
      </c>
      <c r="I294" s="130">
        <v>428.93856860779169</v>
      </c>
      <c r="J294" s="131">
        <f>ROUND(I294*H294,2)</f>
        <v>4289.3900000000003</v>
      </c>
      <c r="K294" s="127" t="s">
        <v>293</v>
      </c>
      <c r="L294" s="268">
        <f>S294</f>
        <v>0</v>
      </c>
      <c r="M294" s="272">
        <f>ROUND(L294*I294,2)</f>
        <v>0</v>
      </c>
      <c r="N294" s="243"/>
      <c r="O294" s="294">
        <f>ROUND(N294*I294,2)</f>
        <v>0</v>
      </c>
      <c r="P294" s="273">
        <f>H294-L294-N294</f>
        <v>10</v>
      </c>
      <c r="Q294" s="287">
        <f>ROUND(P294*I294,2)</f>
        <v>4289.3900000000003</v>
      </c>
      <c r="R294" s="137"/>
      <c r="S294" s="269">
        <f>W294+Y294+AA294+AC294+AE294+AG294+AI294+AK294+AM294+AO294+AQ294+AS294+AU294+AW294</f>
        <v>0</v>
      </c>
      <c r="T294" s="269">
        <f>ROUND(S294*I294,2)</f>
        <v>0</v>
      </c>
      <c r="U294" s="269">
        <f>H294-S294</f>
        <v>10</v>
      </c>
      <c r="V294" s="269">
        <f>ROUND(U294*I294,2)</f>
        <v>4289.3900000000003</v>
      </c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AM294" s="269"/>
      <c r="AN294" s="269"/>
      <c r="AO294" s="269"/>
      <c r="AP294" s="269"/>
      <c r="AQ294" s="269"/>
      <c r="AR294" s="269"/>
      <c r="AS294" s="269"/>
      <c r="AT294" s="269"/>
      <c r="AU294" s="269"/>
      <c r="AV294" s="269"/>
      <c r="AW294" s="269"/>
      <c r="AX294" s="269"/>
      <c r="CC294" s="132" t="s">
        <v>1</v>
      </c>
      <c r="CD294" s="133" t="s">
        <v>40</v>
      </c>
      <c r="CF294" s="134">
        <f>CE294*H294</f>
        <v>0</v>
      </c>
      <c r="CG294" s="134">
        <v>2.0000000000000002E-5</v>
      </c>
      <c r="CH294" s="134">
        <f>CG294*H294</f>
        <v>2.0000000000000001E-4</v>
      </c>
      <c r="CI294" s="134">
        <v>0</v>
      </c>
      <c r="CJ294" s="135">
        <f>CI294*H294</f>
        <v>0</v>
      </c>
      <c r="DH294" s="136" t="s">
        <v>95</v>
      </c>
      <c r="DJ294" s="136" t="s">
        <v>284</v>
      </c>
      <c r="DK294" s="136" t="s">
        <v>83</v>
      </c>
      <c r="DO294" s="16" t="s">
        <v>282</v>
      </c>
      <c r="DU294" s="137">
        <f>IF(CD294="základní",J294,0)</f>
        <v>4289.3900000000003</v>
      </c>
      <c r="DV294" s="137">
        <f>IF(CD294="snížená",J294,0)</f>
        <v>0</v>
      </c>
      <c r="DW294" s="137">
        <f>IF(CD294="zákl. přenesená",J294,0)</f>
        <v>0</v>
      </c>
      <c r="DX294" s="137">
        <f>IF(CD294="sníž. přenesená",J294,0)</f>
        <v>0</v>
      </c>
      <c r="DY294" s="137">
        <f>IF(CD294="nulová",J294,0)</f>
        <v>0</v>
      </c>
      <c r="DZ294" s="16" t="s">
        <v>81</v>
      </c>
      <c r="EA294" s="137">
        <f>ROUND(I294*H294,2)</f>
        <v>4289.3900000000003</v>
      </c>
      <c r="EB294" s="16" t="s">
        <v>95</v>
      </c>
      <c r="EC294" s="136" t="s">
        <v>565</v>
      </c>
    </row>
    <row r="295" spans="2:133" s="1" customFormat="1" ht="19.5" x14ac:dyDescent="0.2">
      <c r="B295" s="31"/>
      <c r="D295" s="138" t="s">
        <v>289</v>
      </c>
      <c r="F295" s="139" t="s">
        <v>566</v>
      </c>
      <c r="I295" s="140"/>
      <c r="L295" s="31"/>
      <c r="N295" s="213"/>
      <c r="O295" s="214"/>
      <c r="Q295" s="229"/>
      <c r="CC295" s="141"/>
      <c r="CJ295" s="50"/>
      <c r="DJ295" s="16" t="s">
        <v>289</v>
      </c>
      <c r="DK295" s="16" t="s">
        <v>83</v>
      </c>
    </row>
    <row r="296" spans="2:133" s="1" customFormat="1" ht="19.5" x14ac:dyDescent="0.2">
      <c r="B296" s="31"/>
      <c r="D296" s="138" t="s">
        <v>299</v>
      </c>
      <c r="F296" s="142" t="s">
        <v>317</v>
      </c>
      <c r="I296" s="140"/>
      <c r="L296" s="31"/>
      <c r="N296" s="213"/>
      <c r="O296" s="214"/>
      <c r="Q296" s="229"/>
      <c r="CC296" s="141"/>
      <c r="CJ296" s="50"/>
      <c r="DJ296" s="16" t="s">
        <v>299</v>
      </c>
      <c r="DK296" s="16" t="s">
        <v>83</v>
      </c>
    </row>
    <row r="297" spans="2:133" s="12" customFormat="1" x14ac:dyDescent="0.2">
      <c r="B297" s="149"/>
      <c r="D297" s="138" t="s">
        <v>301</v>
      </c>
      <c r="E297" s="150" t="s">
        <v>1</v>
      </c>
      <c r="F297" s="151" t="s">
        <v>877</v>
      </c>
      <c r="H297" s="152">
        <v>10</v>
      </c>
      <c r="I297" s="153"/>
      <c r="L297" s="149"/>
      <c r="N297" s="217"/>
      <c r="O297" s="218"/>
      <c r="Q297" s="231"/>
      <c r="CC297" s="154"/>
      <c r="CJ297" s="155"/>
      <c r="DJ297" s="150" t="s">
        <v>301</v>
      </c>
      <c r="DK297" s="150" t="s">
        <v>83</v>
      </c>
      <c r="DL297" s="12" t="s">
        <v>83</v>
      </c>
      <c r="DM297" s="12" t="s">
        <v>32</v>
      </c>
      <c r="DN297" s="12" t="s">
        <v>81</v>
      </c>
      <c r="DO297" s="150" t="s">
        <v>282</v>
      </c>
    </row>
    <row r="298" spans="2:133" s="1" customFormat="1" ht="24.2" customHeight="1" x14ac:dyDescent="0.2">
      <c r="B298" s="124"/>
      <c r="C298" s="170" t="s">
        <v>531</v>
      </c>
      <c r="D298" s="170" t="s">
        <v>439</v>
      </c>
      <c r="E298" s="171" t="s">
        <v>569</v>
      </c>
      <c r="F298" s="172" t="s">
        <v>570</v>
      </c>
      <c r="G298" s="173" t="s">
        <v>485</v>
      </c>
      <c r="H298" s="174">
        <v>10</v>
      </c>
      <c r="I298" s="175">
        <v>1984.4168915</v>
      </c>
      <c r="J298" s="176">
        <f>ROUND(I298*H298,2)</f>
        <v>19844.169999999998</v>
      </c>
      <c r="K298" s="172" t="s">
        <v>293</v>
      </c>
      <c r="L298" s="268">
        <f>S298</f>
        <v>0</v>
      </c>
      <c r="M298" s="272">
        <f>ROUND(L298*I298,2)</f>
        <v>0</v>
      </c>
      <c r="N298" s="243"/>
      <c r="O298" s="294">
        <f>ROUND(N298*I298,2)</f>
        <v>0</v>
      </c>
      <c r="P298" s="273">
        <f>H298-L298-N298</f>
        <v>10</v>
      </c>
      <c r="Q298" s="287">
        <f>ROUND(P298*I298,2)</f>
        <v>19844.169999999998</v>
      </c>
      <c r="R298" s="137"/>
      <c r="S298" s="269">
        <f>W298+Y298+AA298+AC298+AE298+AG298+AI298+AK298+AM298+AO298+AQ298+AS298+AU298+AW298</f>
        <v>0</v>
      </c>
      <c r="T298" s="269">
        <f>ROUND(S298*I298,2)</f>
        <v>0</v>
      </c>
      <c r="U298" s="269">
        <f>H298-S298</f>
        <v>10</v>
      </c>
      <c r="V298" s="269">
        <f>ROUND(U298*I298,2)</f>
        <v>19844.169999999998</v>
      </c>
      <c r="W298" s="290"/>
      <c r="X298" s="290"/>
      <c r="Y298" s="290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290"/>
      <c r="AK298" s="290"/>
      <c r="AL298" s="290"/>
      <c r="AM298" s="290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90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77" t="s">
        <v>1</v>
      </c>
      <c r="CD298" s="178" t="s">
        <v>40</v>
      </c>
      <c r="CF298" s="134">
        <f>CE298*H298</f>
        <v>0</v>
      </c>
      <c r="CG298" s="134">
        <v>4.2599999999999999E-3</v>
      </c>
      <c r="CH298" s="134">
        <f>CG298*H298</f>
        <v>4.2599999999999999E-2</v>
      </c>
      <c r="CI298" s="134">
        <v>0</v>
      </c>
      <c r="CJ298" s="135">
        <f>CI298*H298</f>
        <v>0</v>
      </c>
      <c r="DH298" s="136" t="s">
        <v>328</v>
      </c>
      <c r="DJ298" s="136" t="s">
        <v>439</v>
      </c>
      <c r="DK298" s="136" t="s">
        <v>83</v>
      </c>
      <c r="DO298" s="16" t="s">
        <v>282</v>
      </c>
      <c r="DU298" s="137">
        <f>IF(CD298="základní",J298,0)</f>
        <v>19844.169999999998</v>
      </c>
      <c r="DV298" s="137">
        <f>IF(CD298="snížená",J298,0)</f>
        <v>0</v>
      </c>
      <c r="DW298" s="137">
        <f>IF(CD298="zákl. přenesená",J298,0)</f>
        <v>0</v>
      </c>
      <c r="DX298" s="137">
        <f>IF(CD298="sníž. přenesená",J298,0)</f>
        <v>0</v>
      </c>
      <c r="DY298" s="137">
        <f>IF(CD298="nulová",J298,0)</f>
        <v>0</v>
      </c>
      <c r="DZ298" s="16" t="s">
        <v>81</v>
      </c>
      <c r="EA298" s="137">
        <f>ROUND(I298*H298,2)</f>
        <v>19844.169999999998</v>
      </c>
      <c r="EB298" s="16" t="s">
        <v>95</v>
      </c>
      <c r="EC298" s="136" t="s">
        <v>571</v>
      </c>
    </row>
    <row r="299" spans="2:133" s="1" customFormat="1" x14ac:dyDescent="0.2">
      <c r="B299" s="31"/>
      <c r="D299" s="138" t="s">
        <v>289</v>
      </c>
      <c r="F299" s="139" t="s">
        <v>570</v>
      </c>
      <c r="I299" s="140"/>
      <c r="L299" s="31"/>
      <c r="N299" s="213"/>
      <c r="O299" s="214"/>
      <c r="Q299" s="229"/>
      <c r="CC299" s="141"/>
      <c r="CJ299" s="50"/>
      <c r="DJ299" s="16" t="s">
        <v>289</v>
      </c>
      <c r="DK299" s="16" t="s">
        <v>83</v>
      </c>
    </row>
    <row r="300" spans="2:133" s="1" customFormat="1" ht="24.2" customHeight="1" x14ac:dyDescent="0.2">
      <c r="B300" s="124"/>
      <c r="C300" s="125" t="s">
        <v>536</v>
      </c>
      <c r="D300" s="125" t="s">
        <v>284</v>
      </c>
      <c r="E300" s="126" t="s">
        <v>573</v>
      </c>
      <c r="F300" s="127" t="s">
        <v>574</v>
      </c>
      <c r="G300" s="128" t="s">
        <v>344</v>
      </c>
      <c r="H300" s="129">
        <v>167</v>
      </c>
      <c r="I300" s="130">
        <v>42.624706500000002</v>
      </c>
      <c r="J300" s="131">
        <f>ROUND(I300*H300,2)</f>
        <v>7118.33</v>
      </c>
      <c r="K300" s="127" t="s">
        <v>1</v>
      </c>
      <c r="L300" s="268">
        <f>S300</f>
        <v>0</v>
      </c>
      <c r="M300" s="272">
        <f>ROUND(L300*I300,2)</f>
        <v>0</v>
      </c>
      <c r="N300" s="243">
        <f>N301</f>
        <v>-0.21999999999999886</v>
      </c>
      <c r="O300" s="294">
        <f>ROUND(N300*I300,2)</f>
        <v>-9.3800000000000008</v>
      </c>
      <c r="P300" s="273">
        <f>H300-L300-N300</f>
        <v>167.22</v>
      </c>
      <c r="Q300" s="287">
        <f>ROUND(P300*I300,2)</f>
        <v>7127.7</v>
      </c>
      <c r="R300" s="137"/>
      <c r="S300" s="269">
        <f>W300+Y300+AA300+AC300+AE300+AG300+AI300+AK300+AM300+AO300+AQ300+AS300+AU300+AW300</f>
        <v>0</v>
      </c>
      <c r="T300" s="269">
        <f>ROUND(S300*I300,2)</f>
        <v>0</v>
      </c>
      <c r="U300" s="269">
        <f>H300-S300</f>
        <v>167</v>
      </c>
      <c r="V300" s="269">
        <f>ROUND(U300*I300,2)</f>
        <v>7118.33</v>
      </c>
      <c r="W300" s="269"/>
      <c r="X300" s="269"/>
      <c r="Y300" s="269"/>
      <c r="Z300" s="269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269"/>
      <c r="AR300" s="269"/>
      <c r="AS300" s="269"/>
      <c r="AT300" s="269"/>
      <c r="AU300" s="269"/>
      <c r="AV300" s="269"/>
      <c r="AW300" s="269"/>
      <c r="AX300" s="269"/>
      <c r="CC300" s="132" t="s">
        <v>1</v>
      </c>
      <c r="CD300" s="133" t="s">
        <v>40</v>
      </c>
      <c r="CF300" s="134">
        <f>CE300*H300</f>
        <v>0</v>
      </c>
      <c r="CG300" s="134">
        <v>0</v>
      </c>
      <c r="CH300" s="134">
        <f>CG300*H300</f>
        <v>0</v>
      </c>
      <c r="CI300" s="134">
        <v>0</v>
      </c>
      <c r="CJ300" s="135">
        <f>CI300*H300</f>
        <v>0</v>
      </c>
      <c r="DH300" s="136" t="s">
        <v>95</v>
      </c>
      <c r="DJ300" s="136" t="s">
        <v>284</v>
      </c>
      <c r="DK300" s="136" t="s">
        <v>83</v>
      </c>
      <c r="DO300" s="16" t="s">
        <v>282</v>
      </c>
      <c r="DU300" s="137">
        <f>IF(CD300="základní",J300,0)</f>
        <v>7118.33</v>
      </c>
      <c r="DV300" s="137">
        <f>IF(CD300="snížená",J300,0)</f>
        <v>0</v>
      </c>
      <c r="DW300" s="137">
        <f>IF(CD300="zákl. přenesená",J300,0)</f>
        <v>0</v>
      </c>
      <c r="DX300" s="137">
        <f>IF(CD300="sníž. přenesená",J300,0)</f>
        <v>0</v>
      </c>
      <c r="DY300" s="137">
        <f>IF(CD300="nulová",J300,0)</f>
        <v>0</v>
      </c>
      <c r="DZ300" s="16" t="s">
        <v>81</v>
      </c>
      <c r="EA300" s="137">
        <f>ROUND(I300*H300,2)</f>
        <v>7118.33</v>
      </c>
      <c r="EB300" s="16" t="s">
        <v>95</v>
      </c>
      <c r="EC300" s="136" t="s">
        <v>575</v>
      </c>
    </row>
    <row r="301" spans="2:133" s="1" customFormat="1" ht="19.5" x14ac:dyDescent="0.2">
      <c r="B301" s="31"/>
      <c r="D301" s="138" t="s">
        <v>289</v>
      </c>
      <c r="F301" s="139" t="s">
        <v>574</v>
      </c>
      <c r="I301" s="140"/>
      <c r="L301" s="31"/>
      <c r="N301" s="213">
        <f>166.78-167</f>
        <v>-0.21999999999999886</v>
      </c>
      <c r="O301" s="214" t="s">
        <v>3415</v>
      </c>
      <c r="Q301" s="229"/>
      <c r="CC301" s="141"/>
      <c r="CJ301" s="50"/>
      <c r="DJ301" s="16" t="s">
        <v>289</v>
      </c>
      <c r="DK301" s="16" t="s">
        <v>83</v>
      </c>
    </row>
    <row r="302" spans="2:133" s="1" customFormat="1" ht="14.45" customHeight="1" x14ac:dyDescent="0.2">
      <c r="B302" s="124"/>
      <c r="C302" s="125" t="s">
        <v>543</v>
      </c>
      <c r="D302" s="125" t="s">
        <v>284</v>
      </c>
      <c r="E302" s="126" t="s">
        <v>577</v>
      </c>
      <c r="F302" s="127" t="s">
        <v>578</v>
      </c>
      <c r="G302" s="128" t="s">
        <v>344</v>
      </c>
      <c r="H302" s="129">
        <v>167</v>
      </c>
      <c r="I302" s="130">
        <v>18.944313999999999</v>
      </c>
      <c r="J302" s="131">
        <f>ROUND(I302*H302,2)</f>
        <v>3163.7</v>
      </c>
      <c r="K302" s="127" t="s">
        <v>1</v>
      </c>
      <c r="L302" s="268">
        <f>S302</f>
        <v>0</v>
      </c>
      <c r="M302" s="272">
        <f>ROUND(L302*I302,2)</f>
        <v>0</v>
      </c>
      <c r="N302" s="243">
        <f>N300</f>
        <v>-0.21999999999999886</v>
      </c>
      <c r="O302" s="294">
        <f>ROUND(N302*I302,2)</f>
        <v>-4.17</v>
      </c>
      <c r="P302" s="273">
        <f>H302-L302-N302</f>
        <v>167.22</v>
      </c>
      <c r="Q302" s="287">
        <f>ROUND(P302*I302,2)</f>
        <v>3167.87</v>
      </c>
      <c r="R302" s="137"/>
      <c r="S302" s="269">
        <f>W302+Y302+AA302+AC302+AE302+AG302+AI302+AK302+AM302+AO302+AQ302+AS302+AU302+AW302</f>
        <v>0</v>
      </c>
      <c r="T302" s="269">
        <f>ROUND(S302*I302,2)</f>
        <v>0</v>
      </c>
      <c r="U302" s="269">
        <f>H302-S302</f>
        <v>167</v>
      </c>
      <c r="V302" s="269">
        <f>ROUND(U302*I302,2)</f>
        <v>3163.7</v>
      </c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9"/>
      <c r="AR302" s="269"/>
      <c r="AS302" s="269"/>
      <c r="AT302" s="269"/>
      <c r="AU302" s="269"/>
      <c r="AV302" s="269"/>
      <c r="AW302" s="269"/>
      <c r="AX302" s="269"/>
      <c r="CC302" s="132" t="s">
        <v>1</v>
      </c>
      <c r="CD302" s="133" t="s">
        <v>40</v>
      </c>
      <c r="CF302" s="134">
        <f>CE302*H302</f>
        <v>0</v>
      </c>
      <c r="CG302" s="134">
        <v>0</v>
      </c>
      <c r="CH302" s="134">
        <f>CG302*H302</f>
        <v>0</v>
      </c>
      <c r="CI302" s="134">
        <v>0</v>
      </c>
      <c r="CJ302" s="135">
        <f>CI302*H302</f>
        <v>0</v>
      </c>
      <c r="DH302" s="136" t="s">
        <v>95</v>
      </c>
      <c r="DJ302" s="136" t="s">
        <v>284</v>
      </c>
      <c r="DK302" s="136" t="s">
        <v>83</v>
      </c>
      <c r="DO302" s="16" t="s">
        <v>282</v>
      </c>
      <c r="DU302" s="137">
        <f>IF(CD302="základní",J302,0)</f>
        <v>3163.7</v>
      </c>
      <c r="DV302" s="137">
        <f>IF(CD302="snížená",J302,0)</f>
        <v>0</v>
      </c>
      <c r="DW302" s="137">
        <f>IF(CD302="zákl. přenesená",J302,0)</f>
        <v>0</v>
      </c>
      <c r="DX302" s="137">
        <f>IF(CD302="sníž. přenesená",J302,0)</f>
        <v>0</v>
      </c>
      <c r="DY302" s="137">
        <f>IF(CD302="nulová",J302,0)</f>
        <v>0</v>
      </c>
      <c r="DZ302" s="16" t="s">
        <v>81</v>
      </c>
      <c r="EA302" s="137">
        <f>ROUND(I302*H302,2)</f>
        <v>3163.7</v>
      </c>
      <c r="EB302" s="16" t="s">
        <v>95</v>
      </c>
      <c r="EC302" s="136" t="s">
        <v>579</v>
      </c>
    </row>
    <row r="303" spans="2:133" s="1" customFormat="1" x14ac:dyDescent="0.2">
      <c r="B303" s="31"/>
      <c r="D303" s="138" t="s">
        <v>289</v>
      </c>
      <c r="F303" s="139" t="s">
        <v>578</v>
      </c>
      <c r="I303" s="140"/>
      <c r="L303" s="31"/>
      <c r="N303" s="213"/>
      <c r="O303" s="214"/>
      <c r="Q303" s="229"/>
      <c r="CC303" s="141"/>
      <c r="CJ303" s="50"/>
      <c r="DJ303" s="16" t="s">
        <v>289</v>
      </c>
      <c r="DK303" s="16" t="s">
        <v>83</v>
      </c>
    </row>
    <row r="304" spans="2:133" s="1" customFormat="1" ht="29.25" x14ac:dyDescent="0.2">
      <c r="B304" s="31"/>
      <c r="D304" s="138" t="s">
        <v>299</v>
      </c>
      <c r="F304" s="142" t="s">
        <v>580</v>
      </c>
      <c r="I304" s="140"/>
      <c r="L304" s="31"/>
      <c r="N304" s="213"/>
      <c r="O304" s="214"/>
      <c r="Q304" s="229"/>
      <c r="CC304" s="141"/>
      <c r="CJ304" s="50"/>
      <c r="DJ304" s="16" t="s">
        <v>299</v>
      </c>
      <c r="DK304" s="16" t="s">
        <v>83</v>
      </c>
    </row>
    <row r="305" spans="2:133" s="1" customFormat="1" ht="24.2" customHeight="1" x14ac:dyDescent="0.2">
      <c r="B305" s="124"/>
      <c r="C305" s="125" t="s">
        <v>548</v>
      </c>
      <c r="D305" s="125" t="s">
        <v>284</v>
      </c>
      <c r="E305" s="126" t="s">
        <v>582</v>
      </c>
      <c r="F305" s="127" t="s">
        <v>583</v>
      </c>
      <c r="G305" s="128" t="s">
        <v>584</v>
      </c>
      <c r="H305" s="129">
        <v>4</v>
      </c>
      <c r="I305" s="130">
        <v>933.22469567263556</v>
      </c>
      <c r="J305" s="131">
        <f>ROUND(I305*H305,2)</f>
        <v>3732.9</v>
      </c>
      <c r="K305" s="127" t="s">
        <v>293</v>
      </c>
      <c r="L305" s="268">
        <f>S305</f>
        <v>0</v>
      </c>
      <c r="M305" s="272">
        <f>ROUND(L305*I305,2)</f>
        <v>0</v>
      </c>
      <c r="N305" s="243"/>
      <c r="O305" s="294">
        <f>ROUND(N305*I305,2)</f>
        <v>0</v>
      </c>
      <c r="P305" s="273">
        <f>H305-L305-N305</f>
        <v>4</v>
      </c>
      <c r="Q305" s="287">
        <f>ROUND(P305*I305,2)</f>
        <v>3732.9</v>
      </c>
      <c r="R305" s="137"/>
      <c r="S305" s="269">
        <f>W305+Y305+AA305+AC305+AE305+AG305+AI305+AK305+AM305+AO305+AQ305+AS305+AU305+AW305</f>
        <v>0</v>
      </c>
      <c r="T305" s="269">
        <f>ROUND(S305*I305,2)</f>
        <v>0</v>
      </c>
      <c r="U305" s="269">
        <f>H305-S305</f>
        <v>4</v>
      </c>
      <c r="V305" s="269">
        <f>ROUND(U305*I305,2)</f>
        <v>3732.9</v>
      </c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AO305" s="269"/>
      <c r="AP305" s="269"/>
      <c r="AQ305" s="269"/>
      <c r="AR305" s="269"/>
      <c r="AS305" s="269"/>
      <c r="AT305" s="269"/>
      <c r="AU305" s="269"/>
      <c r="AV305" s="269"/>
      <c r="AW305" s="269"/>
      <c r="AX305" s="269"/>
      <c r="CC305" s="132" t="s">
        <v>1</v>
      </c>
      <c r="CD305" s="133" t="s">
        <v>40</v>
      </c>
      <c r="CF305" s="134">
        <f>CE305*H305</f>
        <v>0</v>
      </c>
      <c r="CG305" s="134">
        <v>3.1E-4</v>
      </c>
      <c r="CH305" s="134">
        <f>CG305*H305</f>
        <v>1.24E-3</v>
      </c>
      <c r="CI305" s="134">
        <v>0</v>
      </c>
      <c r="CJ305" s="135">
        <f>CI305*H305</f>
        <v>0</v>
      </c>
      <c r="DH305" s="136" t="s">
        <v>95</v>
      </c>
      <c r="DJ305" s="136" t="s">
        <v>284</v>
      </c>
      <c r="DK305" s="136" t="s">
        <v>83</v>
      </c>
      <c r="DO305" s="16" t="s">
        <v>282</v>
      </c>
      <c r="DU305" s="137">
        <f>IF(CD305="základní",J305,0)</f>
        <v>3732.9</v>
      </c>
      <c r="DV305" s="137">
        <f>IF(CD305="snížená",J305,0)</f>
        <v>0</v>
      </c>
      <c r="DW305" s="137">
        <f>IF(CD305="zákl. přenesená",J305,0)</f>
        <v>0</v>
      </c>
      <c r="DX305" s="137">
        <f>IF(CD305="sníž. přenesená",J305,0)</f>
        <v>0</v>
      </c>
      <c r="DY305" s="137">
        <f>IF(CD305="nulová",J305,0)</f>
        <v>0</v>
      </c>
      <c r="DZ305" s="16" t="s">
        <v>81</v>
      </c>
      <c r="EA305" s="137">
        <f>ROUND(I305*H305,2)</f>
        <v>3732.9</v>
      </c>
      <c r="EB305" s="16" t="s">
        <v>95</v>
      </c>
      <c r="EC305" s="136" t="s">
        <v>585</v>
      </c>
    </row>
    <row r="306" spans="2:133" s="1" customFormat="1" x14ac:dyDescent="0.2">
      <c r="B306" s="31"/>
      <c r="D306" s="138" t="s">
        <v>289</v>
      </c>
      <c r="F306" s="139" t="s">
        <v>586</v>
      </c>
      <c r="I306" s="140"/>
      <c r="L306" s="31"/>
      <c r="N306" s="213"/>
      <c r="O306" s="214"/>
      <c r="Q306" s="229"/>
      <c r="CC306" s="141"/>
      <c r="CJ306" s="50"/>
      <c r="DJ306" s="16" t="s">
        <v>289</v>
      </c>
      <c r="DK306" s="16" t="s">
        <v>83</v>
      </c>
    </row>
    <row r="307" spans="2:133" s="1" customFormat="1" ht="19.5" x14ac:dyDescent="0.2">
      <c r="B307" s="31"/>
      <c r="D307" s="138" t="s">
        <v>299</v>
      </c>
      <c r="F307" s="142" t="s">
        <v>587</v>
      </c>
      <c r="I307" s="140"/>
      <c r="L307" s="31"/>
      <c r="N307" s="213"/>
      <c r="O307" s="214"/>
      <c r="Q307" s="229"/>
      <c r="CC307" s="141"/>
      <c r="CJ307" s="50"/>
      <c r="DJ307" s="16" t="s">
        <v>299</v>
      </c>
      <c r="DK307" s="16" t="s">
        <v>83</v>
      </c>
    </row>
    <row r="308" spans="2:133" s="11" customFormat="1" x14ac:dyDescent="0.2">
      <c r="B308" s="143"/>
      <c r="D308" s="138" t="s">
        <v>301</v>
      </c>
      <c r="E308" s="144" t="s">
        <v>1</v>
      </c>
      <c r="F308" s="145" t="s">
        <v>588</v>
      </c>
      <c r="H308" s="144" t="s">
        <v>1</v>
      </c>
      <c r="I308" s="146"/>
      <c r="L308" s="143"/>
      <c r="N308" s="215"/>
      <c r="O308" s="216"/>
      <c r="Q308" s="230"/>
      <c r="CC308" s="147"/>
      <c r="CJ308" s="148"/>
      <c r="DJ308" s="144" t="s">
        <v>301</v>
      </c>
      <c r="DK308" s="144" t="s">
        <v>83</v>
      </c>
      <c r="DL308" s="11" t="s">
        <v>81</v>
      </c>
      <c r="DM308" s="11" t="s">
        <v>32</v>
      </c>
      <c r="DN308" s="11" t="s">
        <v>74</v>
      </c>
      <c r="DO308" s="144" t="s">
        <v>282</v>
      </c>
    </row>
    <row r="309" spans="2:133" s="12" customFormat="1" x14ac:dyDescent="0.2">
      <c r="B309" s="149"/>
      <c r="D309" s="138" t="s">
        <v>301</v>
      </c>
      <c r="E309" s="150" t="s">
        <v>1</v>
      </c>
      <c r="F309" s="151" t="s">
        <v>95</v>
      </c>
      <c r="H309" s="152">
        <v>4</v>
      </c>
      <c r="I309" s="153"/>
      <c r="L309" s="149"/>
      <c r="N309" s="217"/>
      <c r="O309" s="218"/>
      <c r="Q309" s="231"/>
      <c r="CC309" s="154"/>
      <c r="CJ309" s="155"/>
      <c r="DJ309" s="150" t="s">
        <v>301</v>
      </c>
      <c r="DK309" s="150" t="s">
        <v>83</v>
      </c>
      <c r="DL309" s="12" t="s">
        <v>83</v>
      </c>
      <c r="DM309" s="12" t="s">
        <v>32</v>
      </c>
      <c r="DN309" s="12" t="s">
        <v>81</v>
      </c>
      <c r="DO309" s="150" t="s">
        <v>282</v>
      </c>
    </row>
    <row r="310" spans="2:133" s="1" customFormat="1" ht="24.2" customHeight="1" x14ac:dyDescent="0.2">
      <c r="B310" s="124"/>
      <c r="C310" s="125" t="s">
        <v>556</v>
      </c>
      <c r="D310" s="125" t="s">
        <v>284</v>
      </c>
      <c r="E310" s="126" t="s">
        <v>590</v>
      </c>
      <c r="F310" s="127" t="s">
        <v>591</v>
      </c>
      <c r="G310" s="128" t="s">
        <v>344</v>
      </c>
      <c r="H310" s="129">
        <v>167</v>
      </c>
      <c r="I310" s="130">
        <v>29.453410986389244</v>
      </c>
      <c r="J310" s="131">
        <f>ROUND(I310*H310,2)</f>
        <v>4918.72</v>
      </c>
      <c r="K310" s="127" t="s">
        <v>293</v>
      </c>
      <c r="L310" s="268">
        <f>S310</f>
        <v>0</v>
      </c>
      <c r="M310" s="272">
        <f>ROUND(L310*I310,2)</f>
        <v>0</v>
      </c>
      <c r="N310" s="243">
        <f>N312</f>
        <v>-0.21999999999999886</v>
      </c>
      <c r="O310" s="294">
        <f>ROUND(N310*I310,2)</f>
        <v>-6.48</v>
      </c>
      <c r="P310" s="273">
        <f>H310-L310-N310</f>
        <v>167.22</v>
      </c>
      <c r="Q310" s="287">
        <f>ROUND(P310*I310,2)</f>
        <v>4925.2</v>
      </c>
      <c r="R310" s="137"/>
      <c r="S310" s="269">
        <f>W310+Y310+AA310+AC310+AE310+AG310+AI310+AK310+AM310+AO310+AQ310+AS310+AU310+AW310</f>
        <v>0</v>
      </c>
      <c r="T310" s="269">
        <f>ROUND(S310*I310,2)</f>
        <v>0</v>
      </c>
      <c r="U310" s="269">
        <f>H310-S310</f>
        <v>167</v>
      </c>
      <c r="V310" s="269">
        <f>ROUND(U310*I310,2)</f>
        <v>4918.72</v>
      </c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  <c r="AL310" s="269"/>
      <c r="AM310" s="269"/>
      <c r="AN310" s="269"/>
      <c r="AO310" s="269"/>
      <c r="AP310" s="269"/>
      <c r="AQ310" s="269"/>
      <c r="AR310" s="269"/>
      <c r="AS310" s="269"/>
      <c r="AT310" s="269"/>
      <c r="AU310" s="269"/>
      <c r="AV310" s="269"/>
      <c r="AW310" s="269"/>
      <c r="AX310" s="269"/>
      <c r="CC310" s="132" t="s">
        <v>1</v>
      </c>
      <c r="CD310" s="133" t="s">
        <v>40</v>
      </c>
      <c r="CF310" s="134">
        <f>CE310*H310</f>
        <v>0</v>
      </c>
      <c r="CG310" s="134">
        <v>0</v>
      </c>
      <c r="CH310" s="134">
        <f>CG310*H310</f>
        <v>0</v>
      </c>
      <c r="CI310" s="134">
        <v>0</v>
      </c>
      <c r="CJ310" s="135">
        <f>CI310*H310</f>
        <v>0</v>
      </c>
      <c r="DH310" s="136" t="s">
        <v>95</v>
      </c>
      <c r="DJ310" s="136" t="s">
        <v>284</v>
      </c>
      <c r="DK310" s="136" t="s">
        <v>83</v>
      </c>
      <c r="DO310" s="16" t="s">
        <v>282</v>
      </c>
      <c r="DU310" s="137">
        <f>IF(CD310="základní",J310,0)</f>
        <v>4918.72</v>
      </c>
      <c r="DV310" s="137">
        <f>IF(CD310="snížená",J310,0)</f>
        <v>0</v>
      </c>
      <c r="DW310" s="137">
        <f>IF(CD310="zákl. přenesená",J310,0)</f>
        <v>0</v>
      </c>
      <c r="DX310" s="137">
        <f>IF(CD310="sníž. přenesená",J310,0)</f>
        <v>0</v>
      </c>
      <c r="DY310" s="137">
        <f>IF(CD310="nulová",J310,0)</f>
        <v>0</v>
      </c>
      <c r="DZ310" s="16" t="s">
        <v>81</v>
      </c>
      <c r="EA310" s="137">
        <f>ROUND(I310*H310,2)</f>
        <v>4918.72</v>
      </c>
      <c r="EB310" s="16" t="s">
        <v>95</v>
      </c>
      <c r="EC310" s="136" t="s">
        <v>592</v>
      </c>
    </row>
    <row r="311" spans="2:133" s="1" customFormat="1" x14ac:dyDescent="0.2">
      <c r="B311" s="31"/>
      <c r="D311" s="138" t="s">
        <v>289</v>
      </c>
      <c r="F311" s="139" t="s">
        <v>593</v>
      </c>
      <c r="I311" s="140"/>
      <c r="L311" s="31"/>
      <c r="N311" s="213"/>
      <c r="O311" s="214"/>
      <c r="Q311" s="229"/>
      <c r="CC311" s="141"/>
      <c r="CJ311" s="50"/>
      <c r="DJ311" s="16" t="s">
        <v>289</v>
      </c>
      <c r="DK311" s="16" t="s">
        <v>83</v>
      </c>
    </row>
    <row r="312" spans="2:133" s="1" customFormat="1" ht="19.5" x14ac:dyDescent="0.2">
      <c r="B312" s="31"/>
      <c r="D312" s="138" t="s">
        <v>299</v>
      </c>
      <c r="F312" s="142" t="s">
        <v>587</v>
      </c>
      <c r="I312" s="140"/>
      <c r="L312" s="31"/>
      <c r="N312" s="213">
        <f>166.78-167</f>
        <v>-0.21999999999999886</v>
      </c>
      <c r="O312" s="214" t="s">
        <v>3415</v>
      </c>
      <c r="Q312" s="229"/>
      <c r="CC312" s="141"/>
      <c r="CJ312" s="50"/>
      <c r="DJ312" s="16" t="s">
        <v>299</v>
      </c>
      <c r="DK312" s="16" t="s">
        <v>83</v>
      </c>
    </row>
    <row r="313" spans="2:133" s="1" customFormat="1" ht="24.2" customHeight="1" x14ac:dyDescent="0.2">
      <c r="B313" s="124"/>
      <c r="C313" s="125" t="s">
        <v>562</v>
      </c>
      <c r="D313" s="125" t="s">
        <v>284</v>
      </c>
      <c r="E313" s="126" t="s">
        <v>595</v>
      </c>
      <c r="F313" s="127" t="s">
        <v>596</v>
      </c>
      <c r="G313" s="128" t="s">
        <v>485</v>
      </c>
      <c r="H313" s="129">
        <v>11</v>
      </c>
      <c r="I313" s="130">
        <v>867.6587001634532</v>
      </c>
      <c r="J313" s="131">
        <f>ROUND(I313*H313,2)</f>
        <v>9544.25</v>
      </c>
      <c r="K313" s="127" t="s">
        <v>293</v>
      </c>
      <c r="L313" s="268">
        <f>S313</f>
        <v>0</v>
      </c>
      <c r="M313" s="272">
        <f>ROUND(L313*I313,2)</f>
        <v>0</v>
      </c>
      <c r="N313" s="243"/>
      <c r="O313" s="294">
        <f>ROUND(N313*I313,2)</f>
        <v>0</v>
      </c>
      <c r="P313" s="273">
        <f>H313-L313-N313</f>
        <v>11</v>
      </c>
      <c r="Q313" s="287">
        <f>ROUND(P313*I313,2)</f>
        <v>9544.25</v>
      </c>
      <c r="R313" s="137"/>
      <c r="S313" s="269">
        <f>W313+Y313+AA313+AC313+AE313+AG313+AI313+AK313+AM313+AO313+AQ313+AS313+AU313+AW313</f>
        <v>0</v>
      </c>
      <c r="T313" s="269">
        <f>ROUND(S313*I313,2)</f>
        <v>0</v>
      </c>
      <c r="U313" s="269">
        <f>H313-S313</f>
        <v>11</v>
      </c>
      <c r="V313" s="269">
        <f>ROUND(U313*I313,2)</f>
        <v>9544.25</v>
      </c>
      <c r="W313" s="269"/>
      <c r="X313" s="269"/>
      <c r="Y313" s="269"/>
      <c r="Z313" s="269"/>
      <c r="AA313" s="269"/>
      <c r="AB313" s="269"/>
      <c r="AC313" s="269"/>
      <c r="AD313" s="269"/>
      <c r="AE313" s="269"/>
      <c r="AF313" s="269"/>
      <c r="AG313" s="269"/>
      <c r="AH313" s="269"/>
      <c r="AI313" s="269"/>
      <c r="AJ313" s="269"/>
      <c r="AK313" s="269"/>
      <c r="AL313" s="269"/>
      <c r="AM313" s="269"/>
      <c r="AN313" s="269"/>
      <c r="AO313" s="269"/>
      <c r="AP313" s="269"/>
      <c r="AQ313" s="269"/>
      <c r="AR313" s="269"/>
      <c r="AS313" s="269"/>
      <c r="AT313" s="269"/>
      <c r="AU313" s="269"/>
      <c r="AV313" s="269"/>
      <c r="AW313" s="269"/>
      <c r="AX313" s="269"/>
      <c r="CC313" s="132" t="s">
        <v>1</v>
      </c>
      <c r="CD313" s="133" t="s">
        <v>40</v>
      </c>
      <c r="CF313" s="134">
        <f>CE313*H313</f>
        <v>0</v>
      </c>
      <c r="CG313" s="134">
        <v>1.0189999999999999E-2</v>
      </c>
      <c r="CH313" s="134">
        <f>CG313*H313</f>
        <v>0.11209</v>
      </c>
      <c r="CI313" s="134">
        <v>0</v>
      </c>
      <c r="CJ313" s="135">
        <f>CI313*H313</f>
        <v>0</v>
      </c>
      <c r="DH313" s="136" t="s">
        <v>95</v>
      </c>
      <c r="DJ313" s="136" t="s">
        <v>284</v>
      </c>
      <c r="DK313" s="136" t="s">
        <v>83</v>
      </c>
      <c r="DO313" s="16" t="s">
        <v>282</v>
      </c>
      <c r="DU313" s="137">
        <f>IF(CD313="základní",J313,0)</f>
        <v>9544.25</v>
      </c>
      <c r="DV313" s="137">
        <f>IF(CD313="snížená",J313,0)</f>
        <v>0</v>
      </c>
      <c r="DW313" s="137">
        <f>IF(CD313="zákl. přenesená",J313,0)</f>
        <v>0</v>
      </c>
      <c r="DX313" s="137">
        <f>IF(CD313="sníž. přenesená",J313,0)</f>
        <v>0</v>
      </c>
      <c r="DY313" s="137">
        <f>IF(CD313="nulová",J313,0)</f>
        <v>0</v>
      </c>
      <c r="DZ313" s="16" t="s">
        <v>81</v>
      </c>
      <c r="EA313" s="137">
        <f>ROUND(I313*H313,2)</f>
        <v>9544.25</v>
      </c>
      <c r="EB313" s="16" t="s">
        <v>95</v>
      </c>
      <c r="EC313" s="136" t="s">
        <v>597</v>
      </c>
    </row>
    <row r="314" spans="2:133" s="1" customFormat="1" ht="19.5" x14ac:dyDescent="0.2">
      <c r="B314" s="31"/>
      <c r="D314" s="138" t="s">
        <v>289</v>
      </c>
      <c r="F314" s="139" t="s">
        <v>596</v>
      </c>
      <c r="I314" s="140"/>
      <c r="L314" s="31"/>
      <c r="N314" s="213"/>
      <c r="O314" s="214"/>
      <c r="Q314" s="229"/>
      <c r="CC314" s="141"/>
      <c r="CJ314" s="50"/>
      <c r="DJ314" s="16" t="s">
        <v>289</v>
      </c>
      <c r="DK314" s="16" t="s">
        <v>83</v>
      </c>
    </row>
    <row r="315" spans="2:133" s="1" customFormat="1" ht="19.5" x14ac:dyDescent="0.2">
      <c r="B315" s="31"/>
      <c r="D315" s="138" t="s">
        <v>299</v>
      </c>
      <c r="F315" s="142" t="s">
        <v>317</v>
      </c>
      <c r="I315" s="140"/>
      <c r="L315" s="31"/>
      <c r="N315" s="213"/>
      <c r="O315" s="214"/>
      <c r="Q315" s="229"/>
      <c r="CC315" s="141"/>
      <c r="CJ315" s="50"/>
      <c r="DJ315" s="16" t="s">
        <v>299</v>
      </c>
      <c r="DK315" s="16" t="s">
        <v>83</v>
      </c>
    </row>
    <row r="316" spans="2:133" s="12" customFormat="1" x14ac:dyDescent="0.2">
      <c r="B316" s="149"/>
      <c r="D316" s="138" t="s">
        <v>301</v>
      </c>
      <c r="E316" s="150" t="s">
        <v>1</v>
      </c>
      <c r="F316" s="151" t="s">
        <v>878</v>
      </c>
      <c r="H316" s="152">
        <v>11</v>
      </c>
      <c r="I316" s="153"/>
      <c r="L316" s="149"/>
      <c r="N316" s="217"/>
      <c r="O316" s="218"/>
      <c r="Q316" s="231"/>
      <c r="CC316" s="154"/>
      <c r="CJ316" s="155"/>
      <c r="DJ316" s="150" t="s">
        <v>301</v>
      </c>
      <c r="DK316" s="150" t="s">
        <v>83</v>
      </c>
      <c r="DL316" s="12" t="s">
        <v>83</v>
      </c>
      <c r="DM316" s="12" t="s">
        <v>32</v>
      </c>
      <c r="DN316" s="12" t="s">
        <v>81</v>
      </c>
      <c r="DO316" s="150" t="s">
        <v>282</v>
      </c>
    </row>
    <row r="317" spans="2:133" s="1" customFormat="1" ht="24.2" customHeight="1" x14ac:dyDescent="0.2">
      <c r="B317" s="124"/>
      <c r="C317" s="170" t="s">
        <v>568</v>
      </c>
      <c r="D317" s="170" t="s">
        <v>439</v>
      </c>
      <c r="E317" s="171" t="s">
        <v>600</v>
      </c>
      <c r="F317" s="172" t="s">
        <v>601</v>
      </c>
      <c r="G317" s="173" t="s">
        <v>485</v>
      </c>
      <c r="H317" s="174">
        <v>3</v>
      </c>
      <c r="I317" s="175">
        <v>1250.3247240000001</v>
      </c>
      <c r="J317" s="176">
        <f>ROUND(I317*H317,2)</f>
        <v>3750.97</v>
      </c>
      <c r="K317" s="172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3</v>
      </c>
      <c r="Q317" s="287">
        <f>ROUND(P317*I317,2)</f>
        <v>3750.97</v>
      </c>
      <c r="R317" s="137"/>
      <c r="S317" s="269">
        <f>W317+Y317+AA317+AC317+AE317+AG317+AI317+AK317+AM317+AO317+AQ317+AS317+AU317+AW317</f>
        <v>0</v>
      </c>
      <c r="T317" s="269">
        <f>ROUND(S317*I317,2)</f>
        <v>0</v>
      </c>
      <c r="U317" s="269">
        <f>H317-S317</f>
        <v>3</v>
      </c>
      <c r="V317" s="269">
        <f>ROUND(U317*I317,2)</f>
        <v>3750.97</v>
      </c>
      <c r="W317" s="290"/>
      <c r="X317" s="290"/>
      <c r="Y317" s="290"/>
      <c r="Z317" s="290"/>
      <c r="AA317" s="290"/>
      <c r="AB317" s="290"/>
      <c r="AC317" s="290"/>
      <c r="AD317" s="290"/>
      <c r="AE317" s="290"/>
      <c r="AF317" s="290"/>
      <c r="AG317" s="290"/>
      <c r="AH317" s="290"/>
      <c r="AI317" s="290"/>
      <c r="AJ317" s="290"/>
      <c r="AK317" s="290"/>
      <c r="AL317" s="290"/>
      <c r="AM317" s="290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90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77" t="s">
        <v>1</v>
      </c>
      <c r="CD317" s="178" t="s">
        <v>40</v>
      </c>
      <c r="CF317" s="134">
        <f>CE317*H317</f>
        <v>0</v>
      </c>
      <c r="CG317" s="134">
        <v>0.254</v>
      </c>
      <c r="CH317" s="134">
        <f>CG317*H317</f>
        <v>0.76200000000000001</v>
      </c>
      <c r="CI317" s="134">
        <v>0</v>
      </c>
      <c r="CJ317" s="135">
        <f>CI317*H317</f>
        <v>0</v>
      </c>
      <c r="DH317" s="136" t="s">
        <v>328</v>
      </c>
      <c r="DJ317" s="136" t="s">
        <v>439</v>
      </c>
      <c r="DK317" s="136" t="s">
        <v>83</v>
      </c>
      <c r="DO317" s="16" t="s">
        <v>282</v>
      </c>
      <c r="DU317" s="137">
        <f>IF(CD317="základní",J317,0)</f>
        <v>3750.97</v>
      </c>
      <c r="DV317" s="137">
        <f>IF(CD317="snížená",J317,0)</f>
        <v>0</v>
      </c>
      <c r="DW317" s="137">
        <f>IF(CD317="zákl. přenesená",J317,0)</f>
        <v>0</v>
      </c>
      <c r="DX317" s="137">
        <f>IF(CD317="sníž. přenesená",J317,0)</f>
        <v>0</v>
      </c>
      <c r="DY317" s="137">
        <f>IF(CD317="nulová",J317,0)</f>
        <v>0</v>
      </c>
      <c r="DZ317" s="16" t="s">
        <v>81</v>
      </c>
      <c r="EA317" s="137">
        <f>ROUND(I317*H317,2)</f>
        <v>3750.97</v>
      </c>
      <c r="EB317" s="16" t="s">
        <v>95</v>
      </c>
      <c r="EC317" s="136" t="s">
        <v>602</v>
      </c>
    </row>
    <row r="318" spans="2:133" s="1" customFormat="1" x14ac:dyDescent="0.2">
      <c r="B318" s="31"/>
      <c r="D318" s="138" t="s">
        <v>289</v>
      </c>
      <c r="F318" s="139" t="s">
        <v>603</v>
      </c>
      <c r="I318" s="140"/>
      <c r="L318" s="31"/>
      <c r="N318" s="213"/>
      <c r="O318" s="214"/>
      <c r="Q318" s="229"/>
      <c r="CC318" s="141"/>
      <c r="CJ318" s="50"/>
      <c r="DJ318" s="16" t="s">
        <v>289</v>
      </c>
      <c r="DK318" s="16" t="s">
        <v>83</v>
      </c>
    </row>
    <row r="319" spans="2:133" s="1" customFormat="1" ht="24.2" customHeight="1" x14ac:dyDescent="0.2">
      <c r="B319" s="124"/>
      <c r="C319" s="170" t="s">
        <v>572</v>
      </c>
      <c r="D319" s="170" t="s">
        <v>439</v>
      </c>
      <c r="E319" s="171" t="s">
        <v>605</v>
      </c>
      <c r="F319" s="172" t="s">
        <v>606</v>
      </c>
      <c r="G319" s="173" t="s">
        <v>485</v>
      </c>
      <c r="H319" s="174">
        <v>3</v>
      </c>
      <c r="I319" s="175">
        <v>2008.0972839999999</v>
      </c>
      <c r="J319" s="176">
        <f>ROUND(I319*H319,2)</f>
        <v>6024.29</v>
      </c>
      <c r="K319" s="172" t="s">
        <v>293</v>
      </c>
      <c r="L319" s="268">
        <f>S319</f>
        <v>0</v>
      </c>
      <c r="M319" s="272">
        <f>ROUND(L319*I319,2)</f>
        <v>0</v>
      </c>
      <c r="N319" s="243"/>
      <c r="O319" s="294">
        <f>ROUND(N319*I319,2)</f>
        <v>0</v>
      </c>
      <c r="P319" s="273">
        <f>H319-L319-N319</f>
        <v>3</v>
      </c>
      <c r="Q319" s="287">
        <f>ROUND(P319*I319,2)</f>
        <v>6024.29</v>
      </c>
      <c r="R319" s="137"/>
      <c r="S319" s="269">
        <f>W319+Y319+AA319+AC319+AE319+AG319+AI319+AK319+AM319+AO319+AQ319+AS319+AU319+AW319</f>
        <v>0</v>
      </c>
      <c r="T319" s="269">
        <f>ROUND(S319*I319,2)</f>
        <v>0</v>
      </c>
      <c r="U319" s="269">
        <f>H319-S319</f>
        <v>3</v>
      </c>
      <c r="V319" s="269">
        <f>ROUND(U319*I319,2)</f>
        <v>6024.29</v>
      </c>
      <c r="W319" s="290"/>
      <c r="X319" s="290"/>
      <c r="Y319" s="290"/>
      <c r="Z319" s="290"/>
      <c r="AA319" s="290"/>
      <c r="AB319" s="290"/>
      <c r="AC319" s="290"/>
      <c r="AD319" s="290"/>
      <c r="AE319" s="290"/>
      <c r="AF319" s="290"/>
      <c r="AG319" s="290"/>
      <c r="AH319" s="290"/>
      <c r="AI319" s="290"/>
      <c r="AJ319" s="290"/>
      <c r="AK319" s="290"/>
      <c r="AL319" s="290"/>
      <c r="AM319" s="290"/>
      <c r="AN319" s="290"/>
      <c r="AO319" s="290"/>
      <c r="AP319" s="290"/>
      <c r="AQ319" s="290"/>
      <c r="AR319" s="290"/>
      <c r="AS319" s="290"/>
      <c r="AT319" s="290"/>
      <c r="AU319" s="290"/>
      <c r="AV319" s="290"/>
      <c r="AW319" s="290"/>
      <c r="AX319" s="290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77" t="s">
        <v>1</v>
      </c>
      <c r="CD319" s="178" t="s">
        <v>40</v>
      </c>
      <c r="CF319" s="134">
        <f>CE319*H319</f>
        <v>0</v>
      </c>
      <c r="CG319" s="134">
        <v>0.50600000000000001</v>
      </c>
      <c r="CH319" s="134">
        <f>CG319*H319</f>
        <v>1.518</v>
      </c>
      <c r="CI319" s="134">
        <v>0</v>
      </c>
      <c r="CJ319" s="135">
        <f>CI319*H319</f>
        <v>0</v>
      </c>
      <c r="DH319" s="136" t="s">
        <v>328</v>
      </c>
      <c r="DJ319" s="136" t="s">
        <v>439</v>
      </c>
      <c r="DK319" s="136" t="s">
        <v>83</v>
      </c>
      <c r="DO319" s="16" t="s">
        <v>282</v>
      </c>
      <c r="DU319" s="137">
        <f>IF(CD319="základní",J319,0)</f>
        <v>6024.29</v>
      </c>
      <c r="DV319" s="137">
        <f>IF(CD319="snížená",J319,0)</f>
        <v>0</v>
      </c>
      <c r="DW319" s="137">
        <f>IF(CD319="zákl. přenesená",J319,0)</f>
        <v>0</v>
      </c>
      <c r="DX319" s="137">
        <f>IF(CD319="sníž. přenesená",J319,0)</f>
        <v>0</v>
      </c>
      <c r="DY319" s="137">
        <f>IF(CD319="nulová",J319,0)</f>
        <v>0</v>
      </c>
      <c r="DZ319" s="16" t="s">
        <v>81</v>
      </c>
      <c r="EA319" s="137">
        <f>ROUND(I319*H319,2)</f>
        <v>6024.29</v>
      </c>
      <c r="EB319" s="16" t="s">
        <v>95</v>
      </c>
      <c r="EC319" s="136" t="s">
        <v>607</v>
      </c>
    </row>
    <row r="320" spans="2:133" s="1" customFormat="1" x14ac:dyDescent="0.2">
      <c r="B320" s="31"/>
      <c r="D320" s="138" t="s">
        <v>289</v>
      </c>
      <c r="F320" s="139" t="s">
        <v>608</v>
      </c>
      <c r="I320" s="140"/>
      <c r="L320" s="31"/>
      <c r="N320" s="213"/>
      <c r="O320" s="214"/>
      <c r="Q320" s="229"/>
      <c r="CC320" s="141"/>
      <c r="CJ320" s="50"/>
      <c r="DJ320" s="16" t="s">
        <v>289</v>
      </c>
      <c r="DK320" s="16" t="s">
        <v>83</v>
      </c>
    </row>
    <row r="321" spans="2:133" s="1" customFormat="1" ht="24.2" customHeight="1" x14ac:dyDescent="0.2">
      <c r="B321" s="124"/>
      <c r="C321" s="170" t="s">
        <v>576</v>
      </c>
      <c r="D321" s="170" t="s">
        <v>439</v>
      </c>
      <c r="E321" s="171" t="s">
        <v>610</v>
      </c>
      <c r="F321" s="172" t="s">
        <v>611</v>
      </c>
      <c r="G321" s="173" t="s">
        <v>485</v>
      </c>
      <c r="H321" s="174">
        <v>5</v>
      </c>
      <c r="I321" s="175">
        <v>2661.676117</v>
      </c>
      <c r="J321" s="176">
        <f>ROUND(I321*H321,2)</f>
        <v>13308.38</v>
      </c>
      <c r="K321" s="172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5</v>
      </c>
      <c r="Q321" s="287">
        <f>ROUND(P321*I321,2)</f>
        <v>13308.38</v>
      </c>
      <c r="R321" s="137"/>
      <c r="S321" s="269">
        <f>W321+Y321+AA321+AC321+AE321+AG321+AI321+AK321+AM321+AO321+AQ321+AS321+AU321+AW321</f>
        <v>0</v>
      </c>
      <c r="T321" s="269">
        <f>ROUND(S321*I321,2)</f>
        <v>0</v>
      </c>
      <c r="U321" s="269">
        <f>H321-S321</f>
        <v>5</v>
      </c>
      <c r="V321" s="269">
        <f>ROUND(U321*I321,2)</f>
        <v>13308.38</v>
      </c>
      <c r="W321" s="290"/>
      <c r="X321" s="290"/>
      <c r="Y321" s="290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290"/>
      <c r="AK321" s="290"/>
      <c r="AL321" s="290"/>
      <c r="AM321" s="290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90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77" t="s">
        <v>1</v>
      </c>
      <c r="CD321" s="178" t="s">
        <v>40</v>
      </c>
      <c r="CF321" s="134">
        <f>CE321*H321</f>
        <v>0</v>
      </c>
      <c r="CG321" s="134">
        <v>1.0129999999999999</v>
      </c>
      <c r="CH321" s="134">
        <f>CG321*H321</f>
        <v>5.0649999999999995</v>
      </c>
      <c r="CI321" s="134">
        <v>0</v>
      </c>
      <c r="CJ321" s="135">
        <f>CI321*H321</f>
        <v>0</v>
      </c>
      <c r="DH321" s="136" t="s">
        <v>328</v>
      </c>
      <c r="DJ321" s="136" t="s">
        <v>439</v>
      </c>
      <c r="DK321" s="136" t="s">
        <v>83</v>
      </c>
      <c r="DO321" s="16" t="s">
        <v>282</v>
      </c>
      <c r="DU321" s="137">
        <f>IF(CD321="základní",J321,0)</f>
        <v>13308.38</v>
      </c>
      <c r="DV321" s="137">
        <f>IF(CD321="snížená",J321,0)</f>
        <v>0</v>
      </c>
      <c r="DW321" s="137">
        <f>IF(CD321="zákl. přenesená",J321,0)</f>
        <v>0</v>
      </c>
      <c r="DX321" s="137">
        <f>IF(CD321="sníž. přenesená",J321,0)</f>
        <v>0</v>
      </c>
      <c r="DY321" s="137">
        <f>IF(CD321="nulová",J321,0)</f>
        <v>0</v>
      </c>
      <c r="DZ321" s="16" t="s">
        <v>81</v>
      </c>
      <c r="EA321" s="137">
        <f>ROUND(I321*H321,2)</f>
        <v>13308.38</v>
      </c>
      <c r="EB321" s="16" t="s">
        <v>95</v>
      </c>
      <c r="EC321" s="136" t="s">
        <v>612</v>
      </c>
    </row>
    <row r="322" spans="2:133" s="1" customFormat="1" x14ac:dyDescent="0.2">
      <c r="B322" s="31"/>
      <c r="D322" s="138" t="s">
        <v>289</v>
      </c>
      <c r="F322" s="139" t="s">
        <v>613</v>
      </c>
      <c r="I322" s="140"/>
      <c r="L322" s="31"/>
      <c r="N322" s="213"/>
      <c r="O322" s="214"/>
      <c r="Q322" s="229"/>
      <c r="CC322" s="141"/>
      <c r="CJ322" s="50"/>
      <c r="DJ322" s="16" t="s">
        <v>289</v>
      </c>
      <c r="DK322" s="16" t="s">
        <v>83</v>
      </c>
    </row>
    <row r="323" spans="2:133" s="1" customFormat="1" ht="24.2" customHeight="1" x14ac:dyDescent="0.2">
      <c r="B323" s="124"/>
      <c r="C323" s="125" t="s">
        <v>581</v>
      </c>
      <c r="D323" s="125" t="s">
        <v>284</v>
      </c>
      <c r="E323" s="126" t="s">
        <v>615</v>
      </c>
      <c r="F323" s="127" t="s">
        <v>616</v>
      </c>
      <c r="G323" s="128" t="s">
        <v>485</v>
      </c>
      <c r="H323" s="129">
        <v>4</v>
      </c>
      <c r="I323" s="130">
        <v>900.06084521218918</v>
      </c>
      <c r="J323" s="131">
        <f>ROUND(I323*H323,2)</f>
        <v>3600.24</v>
      </c>
      <c r="K323" s="127" t="s">
        <v>293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4</v>
      </c>
      <c r="Q323" s="287">
        <f>ROUND(P323*I323,2)</f>
        <v>3600.24</v>
      </c>
      <c r="R323" s="137"/>
      <c r="S323" s="269">
        <f>W323+Y323+AA323+AC323+AE323+AG323+AI323+AK323+AM323+AO323+AQ323+AS323+AU323+AW323</f>
        <v>0</v>
      </c>
      <c r="T323" s="269">
        <f>ROUND(S323*I323,2)</f>
        <v>0</v>
      </c>
      <c r="U323" s="269">
        <f>H323-S323</f>
        <v>4</v>
      </c>
      <c r="V323" s="269">
        <f>ROUND(U323*I323,2)</f>
        <v>3600.24</v>
      </c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AO323" s="269"/>
      <c r="AP323" s="269"/>
      <c r="AQ323" s="269"/>
      <c r="AR323" s="269"/>
      <c r="AS323" s="269"/>
      <c r="AT323" s="269"/>
      <c r="AU323" s="269"/>
      <c r="AV323" s="269"/>
      <c r="AW323" s="269"/>
      <c r="AX323" s="269"/>
      <c r="CC323" s="132" t="s">
        <v>1</v>
      </c>
      <c r="CD323" s="133" t="s">
        <v>40</v>
      </c>
      <c r="CF323" s="134">
        <f>CE323*H323</f>
        <v>0</v>
      </c>
      <c r="CG323" s="134">
        <v>1.248E-2</v>
      </c>
      <c r="CH323" s="134">
        <f>CG323*H323</f>
        <v>4.9919999999999999E-2</v>
      </c>
      <c r="CI323" s="134">
        <v>0</v>
      </c>
      <c r="CJ323" s="135">
        <f>CI323*H323</f>
        <v>0</v>
      </c>
      <c r="DH323" s="136" t="s">
        <v>95</v>
      </c>
      <c r="DJ323" s="136" t="s">
        <v>284</v>
      </c>
      <c r="DK323" s="136" t="s">
        <v>83</v>
      </c>
      <c r="DO323" s="16" t="s">
        <v>282</v>
      </c>
      <c r="DU323" s="137">
        <f>IF(CD323="základní",J323,0)</f>
        <v>3600.24</v>
      </c>
      <c r="DV323" s="137">
        <f>IF(CD323="snížená",J323,0)</f>
        <v>0</v>
      </c>
      <c r="DW323" s="137">
        <f>IF(CD323="zákl. přenesená",J323,0)</f>
        <v>0</v>
      </c>
      <c r="DX323" s="137">
        <f>IF(CD323="sníž. přenesená",J323,0)</f>
        <v>0</v>
      </c>
      <c r="DY323" s="137">
        <f>IF(CD323="nulová",J323,0)</f>
        <v>0</v>
      </c>
      <c r="DZ323" s="16" t="s">
        <v>81</v>
      </c>
      <c r="EA323" s="137">
        <f>ROUND(I323*H323,2)</f>
        <v>3600.24</v>
      </c>
      <c r="EB323" s="16" t="s">
        <v>95</v>
      </c>
      <c r="EC323" s="136" t="s">
        <v>617</v>
      </c>
    </row>
    <row r="324" spans="2:133" s="1" customFormat="1" ht="19.5" x14ac:dyDescent="0.2">
      <c r="B324" s="31"/>
      <c r="D324" s="138" t="s">
        <v>289</v>
      </c>
      <c r="F324" s="139" t="s">
        <v>616</v>
      </c>
      <c r="I324" s="140"/>
      <c r="L324" s="31"/>
      <c r="N324" s="213"/>
      <c r="O324" s="214"/>
      <c r="Q324" s="229"/>
      <c r="CC324" s="141"/>
      <c r="CJ324" s="50"/>
      <c r="DJ324" s="16" t="s">
        <v>289</v>
      </c>
      <c r="DK324" s="16" t="s">
        <v>83</v>
      </c>
    </row>
    <row r="325" spans="2:133" s="1" customFormat="1" ht="19.5" x14ac:dyDescent="0.2">
      <c r="B325" s="31"/>
      <c r="D325" s="138" t="s">
        <v>299</v>
      </c>
      <c r="F325" s="142" t="s">
        <v>317</v>
      </c>
      <c r="I325" s="140"/>
      <c r="L325" s="31"/>
      <c r="N325" s="213"/>
      <c r="O325" s="214"/>
      <c r="Q325" s="229"/>
      <c r="CC325" s="141"/>
      <c r="CJ325" s="50"/>
      <c r="DJ325" s="16" t="s">
        <v>299</v>
      </c>
      <c r="DK325" s="16" t="s">
        <v>83</v>
      </c>
    </row>
    <row r="326" spans="2:133" s="12" customFormat="1" x14ac:dyDescent="0.2">
      <c r="B326" s="149"/>
      <c r="D326" s="138" t="s">
        <v>301</v>
      </c>
      <c r="E326" s="150" t="s">
        <v>1</v>
      </c>
      <c r="F326" s="151" t="s">
        <v>95</v>
      </c>
      <c r="H326" s="152">
        <v>4</v>
      </c>
      <c r="I326" s="153"/>
      <c r="L326" s="149"/>
      <c r="N326" s="217"/>
      <c r="O326" s="218"/>
      <c r="Q326" s="231"/>
      <c r="CC326" s="154"/>
      <c r="CJ326" s="155"/>
      <c r="DJ326" s="150" t="s">
        <v>301</v>
      </c>
      <c r="DK326" s="150" t="s">
        <v>83</v>
      </c>
      <c r="DL326" s="12" t="s">
        <v>83</v>
      </c>
      <c r="DM326" s="12" t="s">
        <v>32</v>
      </c>
      <c r="DN326" s="12" t="s">
        <v>81</v>
      </c>
      <c r="DO326" s="150" t="s">
        <v>282</v>
      </c>
    </row>
    <row r="327" spans="2:133" s="1" customFormat="1" ht="24.2" customHeight="1" x14ac:dyDescent="0.2">
      <c r="B327" s="124"/>
      <c r="C327" s="170" t="s">
        <v>589</v>
      </c>
      <c r="D327" s="170" t="s">
        <v>439</v>
      </c>
      <c r="E327" s="171" t="s">
        <v>619</v>
      </c>
      <c r="F327" s="172" t="s">
        <v>620</v>
      </c>
      <c r="G327" s="173" t="s">
        <v>485</v>
      </c>
      <c r="H327" s="174">
        <v>4</v>
      </c>
      <c r="I327" s="175">
        <v>2453.2886629999998</v>
      </c>
      <c r="J327" s="176">
        <f>ROUND(I327*H327,2)</f>
        <v>9813.15</v>
      </c>
      <c r="K327" s="172" t="s">
        <v>293</v>
      </c>
      <c r="L327" s="268">
        <f>S327</f>
        <v>0</v>
      </c>
      <c r="M327" s="272">
        <f>ROUND(L327*I327,2)</f>
        <v>0</v>
      </c>
      <c r="N327" s="243"/>
      <c r="O327" s="294">
        <f>ROUND(N327*I327,2)</f>
        <v>0</v>
      </c>
      <c r="P327" s="273">
        <f>H327-L327-N327</f>
        <v>4</v>
      </c>
      <c r="Q327" s="287">
        <f>ROUND(P327*I327,2)</f>
        <v>9813.15</v>
      </c>
      <c r="R327" s="137"/>
      <c r="S327" s="269">
        <f>W327+Y327+AA327+AC327+AE327+AG327+AI327+AK327+AM327+AO327+AQ327+AS327+AU327+AW327</f>
        <v>0</v>
      </c>
      <c r="T327" s="269">
        <f>ROUND(S327*I327,2)</f>
        <v>0</v>
      </c>
      <c r="U327" s="269">
        <f>H327-S327</f>
        <v>4</v>
      </c>
      <c r="V327" s="269">
        <f>ROUND(U327*I327,2)</f>
        <v>9813.15</v>
      </c>
      <c r="W327" s="290"/>
      <c r="X327" s="290"/>
      <c r="Y327" s="290"/>
      <c r="Z327" s="290"/>
      <c r="AA327" s="290"/>
      <c r="AB327" s="290"/>
      <c r="AC327" s="290"/>
      <c r="AD327" s="290"/>
      <c r="AE327" s="290"/>
      <c r="AF327" s="290"/>
      <c r="AG327" s="290"/>
      <c r="AH327" s="290"/>
      <c r="AI327" s="290"/>
      <c r="AJ327" s="290"/>
      <c r="AK327" s="290"/>
      <c r="AL327" s="290"/>
      <c r="AM327" s="290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90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77" t="s">
        <v>1</v>
      </c>
      <c r="CD327" s="178" t="s">
        <v>40</v>
      </c>
      <c r="CF327" s="134">
        <f>CE327*H327</f>
        <v>0</v>
      </c>
      <c r="CG327" s="134">
        <v>0.54800000000000004</v>
      </c>
      <c r="CH327" s="134">
        <f>CG327*H327</f>
        <v>2.1920000000000002</v>
      </c>
      <c r="CI327" s="134">
        <v>0</v>
      </c>
      <c r="CJ327" s="135">
        <f>CI327*H327</f>
        <v>0</v>
      </c>
      <c r="DH327" s="136" t="s">
        <v>328</v>
      </c>
      <c r="DJ327" s="136" t="s">
        <v>439</v>
      </c>
      <c r="DK327" s="136" t="s">
        <v>83</v>
      </c>
      <c r="DO327" s="16" t="s">
        <v>282</v>
      </c>
      <c r="DU327" s="137">
        <f>IF(CD327="základní",J327,0)</f>
        <v>9813.15</v>
      </c>
      <c r="DV327" s="137">
        <f>IF(CD327="snížená",J327,0)</f>
        <v>0</v>
      </c>
      <c r="DW327" s="137">
        <f>IF(CD327="zákl. přenesená",J327,0)</f>
        <v>0</v>
      </c>
      <c r="DX327" s="137">
        <f>IF(CD327="sníž. přenesená",J327,0)</f>
        <v>0</v>
      </c>
      <c r="DY327" s="137">
        <f>IF(CD327="nulová",J327,0)</f>
        <v>0</v>
      </c>
      <c r="DZ327" s="16" t="s">
        <v>81</v>
      </c>
      <c r="EA327" s="137">
        <f>ROUND(I327*H327,2)</f>
        <v>9813.15</v>
      </c>
      <c r="EB327" s="16" t="s">
        <v>95</v>
      </c>
      <c r="EC327" s="136" t="s">
        <v>621</v>
      </c>
    </row>
    <row r="328" spans="2:133" s="1" customFormat="1" ht="19.5" x14ac:dyDescent="0.2">
      <c r="B328" s="31"/>
      <c r="D328" s="138" t="s">
        <v>289</v>
      </c>
      <c r="F328" s="139" t="s">
        <v>620</v>
      </c>
      <c r="I328" s="140"/>
      <c r="L328" s="31"/>
      <c r="N328" s="213"/>
      <c r="O328" s="214"/>
      <c r="Q328" s="229"/>
      <c r="CC328" s="141"/>
      <c r="CJ328" s="50"/>
      <c r="DJ328" s="16" t="s">
        <v>289</v>
      </c>
      <c r="DK328" s="16" t="s">
        <v>83</v>
      </c>
    </row>
    <row r="329" spans="2:133" s="1" customFormat="1" ht="24.2" customHeight="1" x14ac:dyDescent="0.2">
      <c r="B329" s="124"/>
      <c r="C329" s="125" t="s">
        <v>594</v>
      </c>
      <c r="D329" s="125" t="s">
        <v>284</v>
      </c>
      <c r="E329" s="126" t="s">
        <v>623</v>
      </c>
      <c r="F329" s="127" t="s">
        <v>624</v>
      </c>
      <c r="G329" s="128" t="s">
        <v>485</v>
      </c>
      <c r="H329" s="129">
        <v>4</v>
      </c>
      <c r="I329" s="130">
        <v>1039.9593659999746</v>
      </c>
      <c r="J329" s="131">
        <f>ROUND(I329*H329,2)</f>
        <v>4159.84</v>
      </c>
      <c r="K329" s="127" t="s">
        <v>293</v>
      </c>
      <c r="L329" s="268">
        <f>S329</f>
        <v>0</v>
      </c>
      <c r="M329" s="272">
        <f>ROUND(L329*I329,2)</f>
        <v>0</v>
      </c>
      <c r="N329" s="243"/>
      <c r="O329" s="294">
        <f>ROUND(N329*I329,2)</f>
        <v>0</v>
      </c>
      <c r="P329" s="273">
        <f>H329-L329-N329</f>
        <v>4</v>
      </c>
      <c r="Q329" s="287">
        <f>ROUND(P329*I329,2)</f>
        <v>4159.84</v>
      </c>
      <c r="R329" s="137"/>
      <c r="S329" s="269">
        <f>W329+Y329+AA329+AC329+AE329+AG329+AI329+AK329+AM329+AO329+AQ329+AS329+AU329+AW329</f>
        <v>0</v>
      </c>
      <c r="T329" s="269">
        <f>ROUND(S329*I329,2)</f>
        <v>0</v>
      </c>
      <c r="U329" s="269">
        <f>H329-S329</f>
        <v>4</v>
      </c>
      <c r="V329" s="269">
        <f>ROUND(U329*I329,2)</f>
        <v>4159.84</v>
      </c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  <c r="AL329" s="269"/>
      <c r="AM329" s="269"/>
      <c r="AN329" s="269"/>
      <c r="AO329" s="269"/>
      <c r="AP329" s="269"/>
      <c r="AQ329" s="269"/>
      <c r="AR329" s="269"/>
      <c r="AS329" s="269"/>
      <c r="AT329" s="269"/>
      <c r="AU329" s="269"/>
      <c r="AV329" s="269"/>
      <c r="AW329" s="269"/>
      <c r="AX329" s="269"/>
      <c r="CC329" s="132" t="s">
        <v>1</v>
      </c>
      <c r="CD329" s="133" t="s">
        <v>40</v>
      </c>
      <c r="CF329" s="134">
        <f>CE329*H329</f>
        <v>0</v>
      </c>
      <c r="CG329" s="134">
        <v>2.8539999999999999E-2</v>
      </c>
      <c r="CH329" s="134">
        <f>CG329*H329</f>
        <v>0.11416</v>
      </c>
      <c r="CI329" s="134">
        <v>0</v>
      </c>
      <c r="CJ329" s="135">
        <f>CI329*H329</f>
        <v>0</v>
      </c>
      <c r="DH329" s="136" t="s">
        <v>95</v>
      </c>
      <c r="DJ329" s="136" t="s">
        <v>284</v>
      </c>
      <c r="DK329" s="136" t="s">
        <v>83</v>
      </c>
      <c r="DO329" s="16" t="s">
        <v>282</v>
      </c>
      <c r="DU329" s="137">
        <f>IF(CD329="základní",J329,0)</f>
        <v>4159.84</v>
      </c>
      <c r="DV329" s="137">
        <f>IF(CD329="snížená",J329,0)</f>
        <v>0</v>
      </c>
      <c r="DW329" s="137">
        <f>IF(CD329="zákl. přenesená",J329,0)</f>
        <v>0</v>
      </c>
      <c r="DX329" s="137">
        <f>IF(CD329="sníž. přenesená",J329,0)</f>
        <v>0</v>
      </c>
      <c r="DY329" s="137">
        <f>IF(CD329="nulová",J329,0)</f>
        <v>0</v>
      </c>
      <c r="DZ329" s="16" t="s">
        <v>81</v>
      </c>
      <c r="EA329" s="137">
        <f>ROUND(I329*H329,2)</f>
        <v>4159.84</v>
      </c>
      <c r="EB329" s="16" t="s">
        <v>95</v>
      </c>
      <c r="EC329" s="136" t="s">
        <v>625</v>
      </c>
    </row>
    <row r="330" spans="2:133" s="1" customFormat="1" ht="19.5" x14ac:dyDescent="0.2">
      <c r="B330" s="31"/>
      <c r="D330" s="138" t="s">
        <v>289</v>
      </c>
      <c r="F330" s="139" t="s">
        <v>624</v>
      </c>
      <c r="I330" s="140"/>
      <c r="L330" s="31"/>
      <c r="N330" s="213"/>
      <c r="O330" s="214"/>
      <c r="Q330" s="229"/>
      <c r="CC330" s="141"/>
      <c r="CJ330" s="50"/>
      <c r="DJ330" s="16" t="s">
        <v>289</v>
      </c>
      <c r="DK330" s="16" t="s">
        <v>83</v>
      </c>
    </row>
    <row r="331" spans="2:133" s="1" customFormat="1" ht="19.5" x14ac:dyDescent="0.2">
      <c r="B331" s="31"/>
      <c r="D331" s="138" t="s">
        <v>299</v>
      </c>
      <c r="F331" s="142" t="s">
        <v>317</v>
      </c>
      <c r="I331" s="140"/>
      <c r="L331" s="31"/>
      <c r="N331" s="213"/>
      <c r="O331" s="214"/>
      <c r="Q331" s="229"/>
      <c r="CC331" s="141"/>
      <c r="CJ331" s="50"/>
      <c r="DJ331" s="16" t="s">
        <v>299</v>
      </c>
      <c r="DK331" s="16" t="s">
        <v>83</v>
      </c>
    </row>
    <row r="332" spans="2:133" s="12" customFormat="1" x14ac:dyDescent="0.2">
      <c r="B332" s="149"/>
      <c r="D332" s="138" t="s">
        <v>301</v>
      </c>
      <c r="E332" s="150" t="s">
        <v>1</v>
      </c>
      <c r="F332" s="151" t="s">
        <v>95</v>
      </c>
      <c r="H332" s="152">
        <v>4</v>
      </c>
      <c r="I332" s="153"/>
      <c r="L332" s="149"/>
      <c r="N332" s="217"/>
      <c r="O332" s="218"/>
      <c r="Q332" s="231"/>
      <c r="CC332" s="154"/>
      <c r="CJ332" s="155"/>
      <c r="DJ332" s="150" t="s">
        <v>301</v>
      </c>
      <c r="DK332" s="150" t="s">
        <v>83</v>
      </c>
      <c r="DL332" s="12" t="s">
        <v>83</v>
      </c>
      <c r="DM332" s="12" t="s">
        <v>32</v>
      </c>
      <c r="DN332" s="12" t="s">
        <v>81</v>
      </c>
      <c r="DO332" s="150" t="s">
        <v>282</v>
      </c>
    </row>
    <row r="333" spans="2:133" s="1" customFormat="1" ht="62.65" customHeight="1" x14ac:dyDescent="0.2">
      <c r="B333" s="124"/>
      <c r="C333" s="170" t="s">
        <v>599</v>
      </c>
      <c r="D333" s="170" t="s">
        <v>439</v>
      </c>
      <c r="E333" s="171" t="s">
        <v>632</v>
      </c>
      <c r="F333" s="172" t="s">
        <v>633</v>
      </c>
      <c r="G333" s="173" t="s">
        <v>485</v>
      </c>
      <c r="H333" s="174">
        <v>4</v>
      </c>
      <c r="I333" s="175">
        <v>9051.3334500000001</v>
      </c>
      <c r="J333" s="176">
        <f>ROUND(I333*H333,2)</f>
        <v>36205.33</v>
      </c>
      <c r="K333" s="172" t="s">
        <v>1</v>
      </c>
      <c r="L333" s="268">
        <f>S333</f>
        <v>0</v>
      </c>
      <c r="M333" s="272">
        <f>ROUND(L333*I333,2)</f>
        <v>0</v>
      </c>
      <c r="N333" s="243"/>
      <c r="O333" s="294">
        <f>ROUND(N333*I333,2)</f>
        <v>0</v>
      </c>
      <c r="P333" s="273">
        <f>H333-L333-N333</f>
        <v>4</v>
      </c>
      <c r="Q333" s="287">
        <f>ROUND(P333*I333,2)</f>
        <v>36205.33</v>
      </c>
      <c r="R333" s="137"/>
      <c r="S333" s="269">
        <f>W333+Y333+AA333+AC333+AE333+AG333+AI333+AK333+AM333+AO333+AQ333+AS333+AU333+AW333</f>
        <v>0</v>
      </c>
      <c r="T333" s="269">
        <f>ROUND(S333*I333,2)</f>
        <v>0</v>
      </c>
      <c r="U333" s="269">
        <f>H333-S333</f>
        <v>4</v>
      </c>
      <c r="V333" s="269">
        <f>ROUND(U333*I333,2)</f>
        <v>36205.33</v>
      </c>
      <c r="W333" s="290"/>
      <c r="X333" s="290"/>
      <c r="Y333" s="290"/>
      <c r="Z333" s="290"/>
      <c r="AA333" s="290"/>
      <c r="AB333" s="290"/>
      <c r="AC333" s="290"/>
      <c r="AD333" s="290"/>
      <c r="AE333" s="290"/>
      <c r="AF333" s="290"/>
      <c r="AG333" s="290"/>
      <c r="AH333" s="290"/>
      <c r="AI333" s="290"/>
      <c r="AJ333" s="290"/>
      <c r="AK333" s="290"/>
      <c r="AL333" s="290"/>
      <c r="AM333" s="290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90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77" t="s">
        <v>1</v>
      </c>
      <c r="CD333" s="178" t="s">
        <v>40</v>
      </c>
      <c r="CF333" s="134">
        <f>CE333*H333</f>
        <v>0</v>
      </c>
      <c r="CG333" s="134">
        <v>1.87</v>
      </c>
      <c r="CH333" s="134">
        <f>CG333*H333</f>
        <v>7.48</v>
      </c>
      <c r="CI333" s="134">
        <v>0</v>
      </c>
      <c r="CJ333" s="135">
        <f>CI333*H333</f>
        <v>0</v>
      </c>
      <c r="DH333" s="136" t="s">
        <v>328</v>
      </c>
      <c r="DJ333" s="136" t="s">
        <v>439</v>
      </c>
      <c r="DK333" s="136" t="s">
        <v>83</v>
      </c>
      <c r="DO333" s="16" t="s">
        <v>282</v>
      </c>
      <c r="DU333" s="137">
        <f>IF(CD333="základní",J333,0)</f>
        <v>36205.33</v>
      </c>
      <c r="DV333" s="137">
        <f>IF(CD333="snížená",J333,0)</f>
        <v>0</v>
      </c>
      <c r="DW333" s="137">
        <f>IF(CD333="zákl. přenesená",J333,0)</f>
        <v>0</v>
      </c>
      <c r="DX333" s="137">
        <f>IF(CD333="sníž. přenesená",J333,0)</f>
        <v>0</v>
      </c>
      <c r="DY333" s="137">
        <f>IF(CD333="nulová",J333,0)</f>
        <v>0</v>
      </c>
      <c r="DZ333" s="16" t="s">
        <v>81</v>
      </c>
      <c r="EA333" s="137">
        <f>ROUND(I333*H333,2)</f>
        <v>36205.33</v>
      </c>
      <c r="EB333" s="16" t="s">
        <v>95</v>
      </c>
      <c r="EC333" s="136" t="s">
        <v>634</v>
      </c>
    </row>
    <row r="334" spans="2:133" s="1" customFormat="1" ht="39" x14ac:dyDescent="0.2">
      <c r="B334" s="31"/>
      <c r="D334" s="138" t="s">
        <v>289</v>
      </c>
      <c r="F334" s="139" t="s">
        <v>633</v>
      </c>
      <c r="I334" s="140"/>
      <c r="L334" s="31"/>
      <c r="N334" s="213"/>
      <c r="O334" s="214"/>
      <c r="Q334" s="229"/>
      <c r="CC334" s="141"/>
      <c r="CJ334" s="50"/>
      <c r="DJ334" s="16" t="s">
        <v>289</v>
      </c>
      <c r="DK334" s="16" t="s">
        <v>83</v>
      </c>
    </row>
    <row r="335" spans="2:133" s="1" customFormat="1" ht="24.2" customHeight="1" x14ac:dyDescent="0.2">
      <c r="B335" s="124"/>
      <c r="C335" s="170" t="s">
        <v>604</v>
      </c>
      <c r="D335" s="170" t="s">
        <v>439</v>
      </c>
      <c r="E335" s="171" t="s">
        <v>640</v>
      </c>
      <c r="F335" s="172" t="s">
        <v>641</v>
      </c>
      <c r="G335" s="173" t="s">
        <v>485</v>
      </c>
      <c r="H335" s="174">
        <v>15</v>
      </c>
      <c r="I335" s="175">
        <v>182.81263010000001</v>
      </c>
      <c r="J335" s="176">
        <f>ROUND(I335*H335,2)</f>
        <v>2742.19</v>
      </c>
      <c r="K335" s="172" t="s">
        <v>293</v>
      </c>
      <c r="L335" s="268">
        <f>S335</f>
        <v>0</v>
      </c>
      <c r="M335" s="272">
        <f>ROUND(L335*I335,2)</f>
        <v>0</v>
      </c>
      <c r="N335" s="243"/>
      <c r="O335" s="294">
        <f>ROUND(N335*I335,2)</f>
        <v>0</v>
      </c>
      <c r="P335" s="273">
        <f>H335-L335-N335</f>
        <v>15</v>
      </c>
      <c r="Q335" s="287">
        <f>ROUND(P335*I335,2)</f>
        <v>2742.19</v>
      </c>
      <c r="R335" s="137"/>
      <c r="S335" s="269">
        <f>W335+Y335+AA335+AC335+AE335+AG335+AI335+AK335+AM335+AO335+AQ335+AS335+AU335+AW335</f>
        <v>0</v>
      </c>
      <c r="T335" s="269">
        <f>ROUND(S335*I335,2)</f>
        <v>0</v>
      </c>
      <c r="U335" s="269">
        <f>H335-S335</f>
        <v>15</v>
      </c>
      <c r="V335" s="269">
        <f>ROUND(U335*I335,2)</f>
        <v>2742.19</v>
      </c>
      <c r="W335" s="290"/>
      <c r="X335" s="290"/>
      <c r="Y335" s="290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90"/>
      <c r="AK335" s="290"/>
      <c r="AL335" s="290"/>
      <c r="AM335" s="290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90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77" t="s">
        <v>1</v>
      </c>
      <c r="CD335" s="178" t="s">
        <v>40</v>
      </c>
      <c r="CF335" s="134">
        <f>CE335*H335</f>
        <v>0</v>
      </c>
      <c r="CG335" s="134">
        <v>2E-3</v>
      </c>
      <c r="CH335" s="134">
        <f>CG335*H335</f>
        <v>0.03</v>
      </c>
      <c r="CI335" s="134">
        <v>0</v>
      </c>
      <c r="CJ335" s="135">
        <f>CI335*H335</f>
        <v>0</v>
      </c>
      <c r="DH335" s="136" t="s">
        <v>328</v>
      </c>
      <c r="DJ335" s="136" t="s">
        <v>439</v>
      </c>
      <c r="DK335" s="136" t="s">
        <v>83</v>
      </c>
      <c r="DO335" s="16" t="s">
        <v>282</v>
      </c>
      <c r="DU335" s="137">
        <f>IF(CD335="základní",J335,0)</f>
        <v>2742.19</v>
      </c>
      <c r="DV335" s="137">
        <f>IF(CD335="snížená",J335,0)</f>
        <v>0</v>
      </c>
      <c r="DW335" s="137">
        <f>IF(CD335="zákl. přenesená",J335,0)</f>
        <v>0</v>
      </c>
      <c r="DX335" s="137">
        <f>IF(CD335="sníž. přenesená",J335,0)</f>
        <v>0</v>
      </c>
      <c r="DY335" s="137">
        <f>IF(CD335="nulová",J335,0)</f>
        <v>0</v>
      </c>
      <c r="DZ335" s="16" t="s">
        <v>81</v>
      </c>
      <c r="EA335" s="137">
        <f>ROUND(I335*H335,2)</f>
        <v>2742.19</v>
      </c>
      <c r="EB335" s="16" t="s">
        <v>95</v>
      </c>
      <c r="EC335" s="136" t="s">
        <v>642</v>
      </c>
    </row>
    <row r="336" spans="2:133" s="1" customFormat="1" x14ac:dyDescent="0.2">
      <c r="B336" s="31"/>
      <c r="D336" s="138" t="s">
        <v>289</v>
      </c>
      <c r="F336" s="139" t="s">
        <v>641</v>
      </c>
      <c r="I336" s="140"/>
      <c r="L336" s="31"/>
      <c r="N336" s="213"/>
      <c r="O336" s="214"/>
      <c r="Q336" s="229"/>
      <c r="CC336" s="141"/>
      <c r="CJ336" s="50"/>
      <c r="DJ336" s="16" t="s">
        <v>289</v>
      </c>
      <c r="DK336" s="16" t="s">
        <v>83</v>
      </c>
    </row>
    <row r="337" spans="2:133" s="1" customFormat="1" ht="24.2" customHeight="1" x14ac:dyDescent="0.2">
      <c r="B337" s="124"/>
      <c r="C337" s="125" t="s">
        <v>609</v>
      </c>
      <c r="D337" s="125" t="s">
        <v>284</v>
      </c>
      <c r="E337" s="126" t="s">
        <v>661</v>
      </c>
      <c r="F337" s="127" t="s">
        <v>662</v>
      </c>
      <c r="G337" s="128" t="s">
        <v>485</v>
      </c>
      <c r="H337" s="129">
        <v>4</v>
      </c>
      <c r="I337" s="130">
        <v>1019.8832798103068</v>
      </c>
      <c r="J337" s="131">
        <f>ROUND(I337*H337,2)</f>
        <v>4079.53</v>
      </c>
      <c r="K337" s="127" t="s">
        <v>293</v>
      </c>
      <c r="L337" s="268">
        <f>S337</f>
        <v>0</v>
      </c>
      <c r="M337" s="272">
        <f>ROUND(L337*I337,2)</f>
        <v>0</v>
      </c>
      <c r="N337" s="243"/>
      <c r="O337" s="294">
        <f>ROUND(N337*I337,2)</f>
        <v>0</v>
      </c>
      <c r="P337" s="273">
        <f>H337-L337-N337</f>
        <v>4</v>
      </c>
      <c r="Q337" s="287">
        <f>ROUND(P337*I337,2)</f>
        <v>4079.53</v>
      </c>
      <c r="R337" s="137"/>
      <c r="S337" s="269">
        <f>W337+Y337+AA337+AC337+AE337+AG337+AI337+AK337+AM337+AO337+AQ337+AS337+AU337+AW337</f>
        <v>0</v>
      </c>
      <c r="T337" s="269">
        <f>ROUND(S337*I337,2)</f>
        <v>0</v>
      </c>
      <c r="U337" s="269">
        <f>H337-S337</f>
        <v>4</v>
      </c>
      <c r="V337" s="269">
        <f>ROUND(U337*I337,2)</f>
        <v>4079.53</v>
      </c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I337" s="269"/>
      <c r="AJ337" s="269"/>
      <c r="AK337" s="269"/>
      <c r="AL337" s="269"/>
      <c r="AM337" s="269"/>
      <c r="AN337" s="269"/>
      <c r="AO337" s="269"/>
      <c r="AP337" s="269"/>
      <c r="AQ337" s="269"/>
      <c r="AR337" s="269"/>
      <c r="AS337" s="269"/>
      <c r="AT337" s="269"/>
      <c r="AU337" s="269"/>
      <c r="AV337" s="269"/>
      <c r="AW337" s="269"/>
      <c r="AX337" s="269"/>
      <c r="CC337" s="132" t="s">
        <v>1</v>
      </c>
      <c r="CD337" s="133" t="s">
        <v>40</v>
      </c>
      <c r="CF337" s="134">
        <f>CE337*H337</f>
        <v>0</v>
      </c>
      <c r="CG337" s="134">
        <v>0.21734000000000001</v>
      </c>
      <c r="CH337" s="134">
        <f>CG337*H337</f>
        <v>0.86936000000000002</v>
      </c>
      <c r="CI337" s="134">
        <v>0</v>
      </c>
      <c r="CJ337" s="135">
        <f>CI337*H337</f>
        <v>0</v>
      </c>
      <c r="DH337" s="136" t="s">
        <v>95</v>
      </c>
      <c r="DJ337" s="136" t="s">
        <v>284</v>
      </c>
      <c r="DK337" s="136" t="s">
        <v>83</v>
      </c>
      <c r="DO337" s="16" t="s">
        <v>282</v>
      </c>
      <c r="DU337" s="137">
        <f>IF(CD337="základní",J337,0)</f>
        <v>4079.53</v>
      </c>
      <c r="DV337" s="137">
        <f>IF(CD337="snížená",J337,0)</f>
        <v>0</v>
      </c>
      <c r="DW337" s="137">
        <f>IF(CD337="zákl. přenesená",J337,0)</f>
        <v>0</v>
      </c>
      <c r="DX337" s="137">
        <f>IF(CD337="sníž. přenesená",J337,0)</f>
        <v>0</v>
      </c>
      <c r="DY337" s="137">
        <f>IF(CD337="nulová",J337,0)</f>
        <v>0</v>
      </c>
      <c r="DZ337" s="16" t="s">
        <v>81</v>
      </c>
      <c r="EA337" s="137">
        <f>ROUND(I337*H337,2)</f>
        <v>4079.53</v>
      </c>
      <c r="EB337" s="16" t="s">
        <v>95</v>
      </c>
      <c r="EC337" s="136" t="s">
        <v>663</v>
      </c>
    </row>
    <row r="338" spans="2:133" s="1" customFormat="1" ht="19.5" x14ac:dyDescent="0.2">
      <c r="B338" s="31"/>
      <c r="D338" s="138" t="s">
        <v>289</v>
      </c>
      <c r="F338" s="139" t="s">
        <v>664</v>
      </c>
      <c r="I338" s="140"/>
      <c r="L338" s="31"/>
      <c r="N338" s="213"/>
      <c r="O338" s="214"/>
      <c r="Q338" s="229"/>
      <c r="CC338" s="141"/>
      <c r="CJ338" s="50"/>
      <c r="DJ338" s="16" t="s">
        <v>289</v>
      </c>
      <c r="DK338" s="16" t="s">
        <v>83</v>
      </c>
    </row>
    <row r="339" spans="2:133" s="1" customFormat="1" ht="19.5" x14ac:dyDescent="0.2">
      <c r="B339" s="31"/>
      <c r="D339" s="138" t="s">
        <v>299</v>
      </c>
      <c r="F339" s="142" t="s">
        <v>317</v>
      </c>
      <c r="I339" s="140"/>
      <c r="L339" s="31"/>
      <c r="N339" s="213"/>
      <c r="O339" s="214"/>
      <c r="Q339" s="229"/>
      <c r="CC339" s="141"/>
      <c r="CJ339" s="50"/>
      <c r="DJ339" s="16" t="s">
        <v>299</v>
      </c>
      <c r="DK339" s="16" t="s">
        <v>83</v>
      </c>
    </row>
    <row r="340" spans="2:133" s="12" customFormat="1" x14ac:dyDescent="0.2">
      <c r="B340" s="149"/>
      <c r="D340" s="138" t="s">
        <v>301</v>
      </c>
      <c r="E340" s="150" t="s">
        <v>1</v>
      </c>
      <c r="F340" s="151" t="s">
        <v>879</v>
      </c>
      <c r="H340" s="152">
        <v>4</v>
      </c>
      <c r="I340" s="153"/>
      <c r="L340" s="149"/>
      <c r="N340" s="217"/>
      <c r="O340" s="218"/>
      <c r="Q340" s="231"/>
      <c r="CC340" s="154"/>
      <c r="CJ340" s="155"/>
      <c r="DJ340" s="150" t="s">
        <v>301</v>
      </c>
      <c r="DK340" s="150" t="s">
        <v>83</v>
      </c>
      <c r="DL340" s="12" t="s">
        <v>83</v>
      </c>
      <c r="DM340" s="12" t="s">
        <v>32</v>
      </c>
      <c r="DN340" s="12" t="s">
        <v>81</v>
      </c>
      <c r="DO340" s="150" t="s">
        <v>282</v>
      </c>
    </row>
    <row r="341" spans="2:133" s="1" customFormat="1" ht="24.2" customHeight="1" x14ac:dyDescent="0.2">
      <c r="B341" s="124"/>
      <c r="C341" s="170" t="s">
        <v>614</v>
      </c>
      <c r="D341" s="170" t="s">
        <v>439</v>
      </c>
      <c r="E341" s="171" t="s">
        <v>667</v>
      </c>
      <c r="F341" s="172" t="s">
        <v>668</v>
      </c>
      <c r="G341" s="173" t="s">
        <v>485</v>
      </c>
      <c r="H341" s="174">
        <v>3</v>
      </c>
      <c r="I341" s="175">
        <v>3125.8118100000002</v>
      </c>
      <c r="J341" s="176">
        <f>ROUND(I341*H341,2)</f>
        <v>9377.44</v>
      </c>
      <c r="K341" s="172" t="s">
        <v>1</v>
      </c>
      <c r="L341" s="268">
        <f>S341</f>
        <v>0</v>
      </c>
      <c r="M341" s="272">
        <f>ROUND(L341*I341,2)</f>
        <v>0</v>
      </c>
      <c r="N341" s="243"/>
      <c r="O341" s="294">
        <f>ROUND(N341*I341,2)</f>
        <v>0</v>
      </c>
      <c r="P341" s="273">
        <f>H341-L341-N341</f>
        <v>3</v>
      </c>
      <c r="Q341" s="287">
        <f>ROUND(P341*I341,2)</f>
        <v>9377.44</v>
      </c>
      <c r="R341" s="137"/>
      <c r="S341" s="269">
        <f>W341+Y341+AA341+AC341+AE341+AG341+AI341+AK341+AM341+AO341+AQ341+AS341+AU341+AW341</f>
        <v>0</v>
      </c>
      <c r="T341" s="269">
        <f>ROUND(S341*I341,2)</f>
        <v>0</v>
      </c>
      <c r="U341" s="269">
        <f>H341-S341</f>
        <v>3</v>
      </c>
      <c r="V341" s="269">
        <f>ROUND(U341*I341,2)</f>
        <v>9377.44</v>
      </c>
      <c r="W341" s="290"/>
      <c r="X341" s="290"/>
      <c r="Y341" s="290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90"/>
      <c r="AK341" s="290"/>
      <c r="AL341" s="290"/>
      <c r="AM341" s="290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90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77" t="s">
        <v>1</v>
      </c>
      <c r="CD341" s="178" t="s">
        <v>40</v>
      </c>
      <c r="CF341" s="134">
        <f>CE341*H341</f>
        <v>0</v>
      </c>
      <c r="CG341" s="134">
        <v>4.5999999999999999E-2</v>
      </c>
      <c r="CH341" s="134">
        <f>CG341*H341</f>
        <v>0.13800000000000001</v>
      </c>
      <c r="CI341" s="134">
        <v>0</v>
      </c>
      <c r="CJ341" s="135">
        <f>CI341*H341</f>
        <v>0</v>
      </c>
      <c r="DH341" s="136" t="s">
        <v>328</v>
      </c>
      <c r="DJ341" s="136" t="s">
        <v>439</v>
      </c>
      <c r="DK341" s="136" t="s">
        <v>83</v>
      </c>
      <c r="DO341" s="16" t="s">
        <v>282</v>
      </c>
      <c r="DU341" s="137">
        <f>IF(CD341="základní",J341,0)</f>
        <v>9377.44</v>
      </c>
      <c r="DV341" s="137">
        <f>IF(CD341="snížená",J341,0)</f>
        <v>0</v>
      </c>
      <c r="DW341" s="137">
        <f>IF(CD341="zákl. přenesená",J341,0)</f>
        <v>0</v>
      </c>
      <c r="DX341" s="137">
        <f>IF(CD341="sníž. přenesená",J341,0)</f>
        <v>0</v>
      </c>
      <c r="DY341" s="137">
        <f>IF(CD341="nulová",J341,0)</f>
        <v>0</v>
      </c>
      <c r="DZ341" s="16" t="s">
        <v>81</v>
      </c>
      <c r="EA341" s="137">
        <f>ROUND(I341*H341,2)</f>
        <v>9377.44</v>
      </c>
      <c r="EB341" s="16" t="s">
        <v>95</v>
      </c>
      <c r="EC341" s="136" t="s">
        <v>669</v>
      </c>
    </row>
    <row r="342" spans="2:133" s="1" customFormat="1" ht="19.5" x14ac:dyDescent="0.2">
      <c r="B342" s="31"/>
      <c r="D342" s="138" t="s">
        <v>289</v>
      </c>
      <c r="F342" s="139" t="s">
        <v>668</v>
      </c>
      <c r="I342" s="140"/>
      <c r="L342" s="31"/>
      <c r="N342" s="213"/>
      <c r="O342" s="214"/>
      <c r="Q342" s="229"/>
      <c r="CC342" s="141"/>
      <c r="CJ342" s="50"/>
      <c r="DJ342" s="16" t="s">
        <v>289</v>
      </c>
      <c r="DK342" s="16" t="s">
        <v>83</v>
      </c>
    </row>
    <row r="343" spans="2:133" s="1" customFormat="1" ht="24.2" customHeight="1" x14ac:dyDescent="0.2">
      <c r="B343" s="124"/>
      <c r="C343" s="170" t="s">
        <v>618</v>
      </c>
      <c r="D343" s="170" t="s">
        <v>439</v>
      </c>
      <c r="E343" s="171" t="s">
        <v>671</v>
      </c>
      <c r="F343" s="172" t="s">
        <v>672</v>
      </c>
      <c r="G343" s="173" t="s">
        <v>485</v>
      </c>
      <c r="H343" s="174">
        <v>1</v>
      </c>
      <c r="I343" s="175">
        <v>3315.25495</v>
      </c>
      <c r="J343" s="176">
        <f>ROUND(I343*H343,2)</f>
        <v>3315.25</v>
      </c>
      <c r="K343" s="172" t="s">
        <v>1</v>
      </c>
      <c r="L343" s="268">
        <f>S343</f>
        <v>0</v>
      </c>
      <c r="M343" s="272">
        <f>ROUND(L343*I343,2)</f>
        <v>0</v>
      </c>
      <c r="N343" s="243"/>
      <c r="O343" s="294">
        <f>ROUND(N343*I343,2)</f>
        <v>0</v>
      </c>
      <c r="P343" s="273">
        <f>H343-L343-N343</f>
        <v>1</v>
      </c>
      <c r="Q343" s="287">
        <f>ROUND(P343*I343,2)</f>
        <v>3315.25</v>
      </c>
      <c r="R343" s="137"/>
      <c r="S343" s="269">
        <f>W343+Y343+AA343+AC343+AE343+AG343+AI343+AK343+AM343+AO343+AQ343+AS343+AU343+AW343</f>
        <v>0</v>
      </c>
      <c r="T343" s="269">
        <f>ROUND(S343*I343,2)</f>
        <v>0</v>
      </c>
      <c r="U343" s="269">
        <f>H343-S343</f>
        <v>1</v>
      </c>
      <c r="V343" s="269">
        <f>ROUND(U343*I343,2)</f>
        <v>3315.25</v>
      </c>
      <c r="W343" s="290"/>
      <c r="X343" s="290"/>
      <c r="Y343" s="290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90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77" t="s">
        <v>1</v>
      </c>
      <c r="CD343" s="178" t="s">
        <v>40</v>
      </c>
      <c r="CF343" s="134">
        <f>CE343*H343</f>
        <v>0</v>
      </c>
      <c r="CG343" s="134">
        <v>4.5999999999999999E-2</v>
      </c>
      <c r="CH343" s="134">
        <f>CG343*H343</f>
        <v>4.5999999999999999E-2</v>
      </c>
      <c r="CI343" s="134">
        <v>0</v>
      </c>
      <c r="CJ343" s="135">
        <f>CI343*H343</f>
        <v>0</v>
      </c>
      <c r="DH343" s="136" t="s">
        <v>328</v>
      </c>
      <c r="DJ343" s="136" t="s">
        <v>439</v>
      </c>
      <c r="DK343" s="136" t="s">
        <v>83</v>
      </c>
      <c r="DO343" s="16" t="s">
        <v>282</v>
      </c>
      <c r="DU343" s="137">
        <f>IF(CD343="základní",J343,0)</f>
        <v>3315.25</v>
      </c>
      <c r="DV343" s="137">
        <f>IF(CD343="snížená",J343,0)</f>
        <v>0</v>
      </c>
      <c r="DW343" s="137">
        <f>IF(CD343="zákl. přenesená",J343,0)</f>
        <v>0</v>
      </c>
      <c r="DX343" s="137">
        <f>IF(CD343="sníž. přenesená",J343,0)</f>
        <v>0</v>
      </c>
      <c r="DY343" s="137">
        <f>IF(CD343="nulová",J343,0)</f>
        <v>0</v>
      </c>
      <c r="DZ343" s="16" t="s">
        <v>81</v>
      </c>
      <c r="EA343" s="137">
        <f>ROUND(I343*H343,2)</f>
        <v>3315.25</v>
      </c>
      <c r="EB343" s="16" t="s">
        <v>95</v>
      </c>
      <c r="EC343" s="136" t="s">
        <v>673</v>
      </c>
    </row>
    <row r="344" spans="2:133" s="1" customFormat="1" ht="19.5" x14ac:dyDescent="0.2">
      <c r="B344" s="31"/>
      <c r="D344" s="138" t="s">
        <v>289</v>
      </c>
      <c r="F344" s="139" t="s">
        <v>672</v>
      </c>
      <c r="I344" s="140"/>
      <c r="L344" s="31"/>
      <c r="N344" s="213"/>
      <c r="O344" s="214"/>
      <c r="Q344" s="229"/>
      <c r="CC344" s="141"/>
      <c r="CJ344" s="50"/>
      <c r="DJ344" s="16" t="s">
        <v>289</v>
      </c>
      <c r="DK344" s="16" t="s">
        <v>83</v>
      </c>
    </row>
    <row r="345" spans="2:133" s="10" customFormat="1" ht="22.9" customHeight="1" x14ac:dyDescent="0.2">
      <c r="B345" s="112"/>
      <c r="D345" s="113" t="s">
        <v>73</v>
      </c>
      <c r="E345" s="122" t="s">
        <v>335</v>
      </c>
      <c r="F345" s="122" t="s">
        <v>674</v>
      </c>
      <c r="I345" s="115"/>
      <c r="J345" s="123">
        <f>EA345</f>
        <v>11295.16</v>
      </c>
      <c r="L345" s="112"/>
      <c r="M345" s="291">
        <f>M346+M351</f>
        <v>0</v>
      </c>
      <c r="N345" s="295"/>
      <c r="O345" s="296">
        <f t="shared" ref="O345:V345" si="4">O346+O351</f>
        <v>0</v>
      </c>
      <c r="P345" s="291"/>
      <c r="Q345" s="298">
        <f t="shared" si="4"/>
        <v>11295.16</v>
      </c>
      <c r="R345" s="291"/>
      <c r="S345" s="291"/>
      <c r="T345" s="291">
        <f t="shared" si="4"/>
        <v>0</v>
      </c>
      <c r="U345" s="291"/>
      <c r="V345" s="291">
        <f t="shared" si="4"/>
        <v>11295.16</v>
      </c>
      <c r="CC345" s="117"/>
      <c r="CF345" s="118">
        <f>SUM(CF346:CF355)</f>
        <v>0</v>
      </c>
      <c r="CH345" s="118">
        <f>SUM(CH346:CH355)</f>
        <v>8.1000000000000006E-4</v>
      </c>
      <c r="CJ345" s="119">
        <f>SUM(CJ346:CJ355)</f>
        <v>0</v>
      </c>
      <c r="DH345" s="113" t="s">
        <v>81</v>
      </c>
      <c r="DJ345" s="120" t="s">
        <v>73</v>
      </c>
      <c r="DK345" s="120" t="s">
        <v>81</v>
      </c>
      <c r="DO345" s="113" t="s">
        <v>282</v>
      </c>
      <c r="EA345" s="121">
        <f>SUM(EA346:EA355)</f>
        <v>11295.16</v>
      </c>
    </row>
    <row r="346" spans="2:133" s="1" customFormat="1" ht="24.2" customHeight="1" x14ac:dyDescent="0.2">
      <c r="B346" s="124"/>
      <c r="C346" s="125" t="s">
        <v>622</v>
      </c>
      <c r="D346" s="125" t="s">
        <v>284</v>
      </c>
      <c r="E346" s="126" t="s">
        <v>682</v>
      </c>
      <c r="F346" s="127" t="s">
        <v>683</v>
      </c>
      <c r="G346" s="128" t="s">
        <v>344</v>
      </c>
      <c r="H346" s="129">
        <v>9</v>
      </c>
      <c r="I346" s="130">
        <v>118.35908321829292</v>
      </c>
      <c r="J346" s="131">
        <f>ROUND(I346*H346,2)</f>
        <v>1065.23</v>
      </c>
      <c r="K346" s="127" t="s">
        <v>293</v>
      </c>
      <c r="L346" s="268">
        <f>S346</f>
        <v>0</v>
      </c>
      <c r="M346" s="272">
        <f>ROUND(L346*I346,2)</f>
        <v>0</v>
      </c>
      <c r="N346" s="243"/>
      <c r="O346" s="294">
        <f>ROUND(N346*I346,2)</f>
        <v>0</v>
      </c>
      <c r="P346" s="273">
        <f>H346-L346-N346</f>
        <v>9</v>
      </c>
      <c r="Q346" s="287">
        <f>ROUND(P346*I346,2)</f>
        <v>1065.23</v>
      </c>
      <c r="R346" s="137"/>
      <c r="S346" s="269">
        <f>W346+Y346+AA346+AC346+AE346+AG346+AI346+AK346+AM346+AO346+AQ346+AS346+AU346+AW346</f>
        <v>0</v>
      </c>
      <c r="T346" s="269">
        <f>ROUND(S346*I346,2)</f>
        <v>0</v>
      </c>
      <c r="U346" s="269">
        <f>H346-S346</f>
        <v>9</v>
      </c>
      <c r="V346" s="269">
        <f>ROUND(U346*I346,2)</f>
        <v>1065.23</v>
      </c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AO346" s="269"/>
      <c r="AP346" s="269"/>
      <c r="AQ346" s="269"/>
      <c r="AR346" s="269"/>
      <c r="AS346" s="269"/>
      <c r="AT346" s="269"/>
      <c r="AU346" s="269"/>
      <c r="AV346" s="269"/>
      <c r="AW346" s="269"/>
      <c r="AX346" s="269"/>
      <c r="CC346" s="132" t="s">
        <v>1</v>
      </c>
      <c r="CD346" s="133" t="s">
        <v>40</v>
      </c>
      <c r="CF346" s="134">
        <f>CE346*H346</f>
        <v>0</v>
      </c>
      <c r="CG346" s="134">
        <v>9.0000000000000006E-5</v>
      </c>
      <c r="CH346" s="134">
        <f>CG346*H346</f>
        <v>8.1000000000000006E-4</v>
      </c>
      <c r="CI346" s="134">
        <v>0</v>
      </c>
      <c r="CJ346" s="135">
        <f>CI346*H346</f>
        <v>0</v>
      </c>
      <c r="DH346" s="136" t="s">
        <v>95</v>
      </c>
      <c r="DJ346" s="136" t="s">
        <v>284</v>
      </c>
      <c r="DK346" s="136" t="s">
        <v>83</v>
      </c>
      <c r="DO346" s="16" t="s">
        <v>282</v>
      </c>
      <c r="DU346" s="137">
        <f>IF(CD346="základní",J346,0)</f>
        <v>1065.23</v>
      </c>
      <c r="DV346" s="137">
        <f>IF(CD346="snížená",J346,0)</f>
        <v>0</v>
      </c>
      <c r="DW346" s="137">
        <f>IF(CD346="zákl. přenesená",J346,0)</f>
        <v>0</v>
      </c>
      <c r="DX346" s="137">
        <f>IF(CD346="sníž. přenesená",J346,0)</f>
        <v>0</v>
      </c>
      <c r="DY346" s="137">
        <f>IF(CD346="nulová",J346,0)</f>
        <v>0</v>
      </c>
      <c r="DZ346" s="16" t="s">
        <v>81</v>
      </c>
      <c r="EA346" s="137">
        <f>ROUND(I346*H346,2)</f>
        <v>1065.23</v>
      </c>
      <c r="EB346" s="16" t="s">
        <v>95</v>
      </c>
      <c r="EC346" s="136" t="s">
        <v>684</v>
      </c>
    </row>
    <row r="347" spans="2:133" s="1" customFormat="1" ht="39" x14ac:dyDescent="0.2">
      <c r="B347" s="31"/>
      <c r="D347" s="138" t="s">
        <v>289</v>
      </c>
      <c r="F347" s="139" t="s">
        <v>685</v>
      </c>
      <c r="I347" s="140"/>
      <c r="L347" s="31"/>
      <c r="N347" s="213"/>
      <c r="O347" s="214"/>
      <c r="Q347" s="229"/>
      <c r="CC347" s="141"/>
      <c r="CJ347" s="50"/>
      <c r="DJ347" s="16" t="s">
        <v>289</v>
      </c>
      <c r="DK347" s="16" t="s">
        <v>83</v>
      </c>
    </row>
    <row r="348" spans="2:133" s="1" customFormat="1" ht="19.5" x14ac:dyDescent="0.2">
      <c r="B348" s="31"/>
      <c r="D348" s="138" t="s">
        <v>299</v>
      </c>
      <c r="F348" s="142" t="s">
        <v>317</v>
      </c>
      <c r="I348" s="140"/>
      <c r="L348" s="31"/>
      <c r="N348" s="213"/>
      <c r="O348" s="214"/>
      <c r="Q348" s="229"/>
      <c r="CC348" s="141"/>
      <c r="CJ348" s="50"/>
      <c r="DJ348" s="16" t="s">
        <v>299</v>
      </c>
      <c r="DK348" s="16" t="s">
        <v>83</v>
      </c>
    </row>
    <row r="349" spans="2:133" s="11" customFormat="1" x14ac:dyDescent="0.2">
      <c r="B349" s="143"/>
      <c r="D349" s="138" t="s">
        <v>301</v>
      </c>
      <c r="E349" s="144" t="s">
        <v>1</v>
      </c>
      <c r="F349" s="145" t="s">
        <v>686</v>
      </c>
      <c r="H349" s="144" t="s">
        <v>1</v>
      </c>
      <c r="I349" s="146"/>
      <c r="L349" s="143"/>
      <c r="N349" s="215"/>
      <c r="O349" s="216"/>
      <c r="Q349" s="230"/>
      <c r="CC349" s="147"/>
      <c r="CJ349" s="148"/>
      <c r="DJ349" s="144" t="s">
        <v>301</v>
      </c>
      <c r="DK349" s="144" t="s">
        <v>83</v>
      </c>
      <c r="DL349" s="11" t="s">
        <v>81</v>
      </c>
      <c r="DM349" s="11" t="s">
        <v>32</v>
      </c>
      <c r="DN349" s="11" t="s">
        <v>74</v>
      </c>
      <c r="DO349" s="144" t="s">
        <v>282</v>
      </c>
    </row>
    <row r="350" spans="2:133" s="12" customFormat="1" x14ac:dyDescent="0.2">
      <c r="B350" s="149"/>
      <c r="D350" s="138" t="s">
        <v>301</v>
      </c>
      <c r="E350" s="150" t="s">
        <v>1</v>
      </c>
      <c r="F350" s="151" t="s">
        <v>687</v>
      </c>
      <c r="H350" s="152">
        <v>9</v>
      </c>
      <c r="I350" s="153"/>
      <c r="L350" s="149"/>
      <c r="N350" s="217"/>
      <c r="O350" s="218"/>
      <c r="Q350" s="231"/>
      <c r="CC350" s="154"/>
      <c r="CJ350" s="155"/>
      <c r="DJ350" s="150" t="s">
        <v>301</v>
      </c>
      <c r="DK350" s="150" t="s">
        <v>83</v>
      </c>
      <c r="DL350" s="12" t="s">
        <v>83</v>
      </c>
      <c r="DM350" s="12" t="s">
        <v>32</v>
      </c>
      <c r="DN350" s="12" t="s">
        <v>81</v>
      </c>
      <c r="DO350" s="150" t="s">
        <v>282</v>
      </c>
    </row>
    <row r="351" spans="2:133" s="1" customFormat="1" ht="14.45" customHeight="1" x14ac:dyDescent="0.2">
      <c r="B351" s="124"/>
      <c r="C351" s="125" t="s">
        <v>627</v>
      </c>
      <c r="D351" s="125" t="s">
        <v>284</v>
      </c>
      <c r="E351" s="126" t="s">
        <v>689</v>
      </c>
      <c r="F351" s="127" t="s">
        <v>690</v>
      </c>
      <c r="G351" s="128" t="s">
        <v>315</v>
      </c>
      <c r="H351" s="129">
        <v>6</v>
      </c>
      <c r="I351" s="130">
        <v>1704.9882600000001</v>
      </c>
      <c r="J351" s="131">
        <f>ROUND(I351*H351,2)</f>
        <v>10229.93</v>
      </c>
      <c r="K351" s="127" t="s">
        <v>1</v>
      </c>
      <c r="L351" s="268">
        <f>S351</f>
        <v>0</v>
      </c>
      <c r="M351" s="272">
        <f>ROUND(L351*I351,2)</f>
        <v>0</v>
      </c>
      <c r="N351" s="243"/>
      <c r="O351" s="294">
        <f>ROUND(N351*I351,2)</f>
        <v>0</v>
      </c>
      <c r="P351" s="273">
        <f>H351-L351-N351</f>
        <v>6</v>
      </c>
      <c r="Q351" s="287">
        <f>ROUND(P351*I351,2)</f>
        <v>10229.93</v>
      </c>
      <c r="R351" s="137"/>
      <c r="S351" s="269">
        <f>W351+Y351+AA351+AC351+AE351+AG351+AI351+AK351+AM351+AO351+AQ351+AS351+AU351+AW351</f>
        <v>0</v>
      </c>
      <c r="T351" s="269">
        <f>ROUND(S351*I351,2)</f>
        <v>0</v>
      </c>
      <c r="U351" s="269">
        <f>H351-S351</f>
        <v>6</v>
      </c>
      <c r="V351" s="269">
        <f>ROUND(U351*I351,2)</f>
        <v>10229.93</v>
      </c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AO351" s="269"/>
      <c r="AP351" s="269"/>
      <c r="AQ351" s="269"/>
      <c r="AR351" s="269"/>
      <c r="AS351" s="269"/>
      <c r="AT351" s="269"/>
      <c r="AU351" s="269"/>
      <c r="AV351" s="269"/>
      <c r="AW351" s="269"/>
      <c r="AX351" s="269"/>
      <c r="CC351" s="132" t="s">
        <v>1</v>
      </c>
      <c r="CD351" s="133" t="s">
        <v>40</v>
      </c>
      <c r="CF351" s="134">
        <f>CE351*H351</f>
        <v>0</v>
      </c>
      <c r="CG351" s="134">
        <v>0</v>
      </c>
      <c r="CH351" s="134">
        <f>CG351*H351</f>
        <v>0</v>
      </c>
      <c r="CI351" s="134">
        <v>0</v>
      </c>
      <c r="CJ351" s="135">
        <f>CI351*H351</f>
        <v>0</v>
      </c>
      <c r="DH351" s="136" t="s">
        <v>95</v>
      </c>
      <c r="DJ351" s="136" t="s">
        <v>284</v>
      </c>
      <c r="DK351" s="136" t="s">
        <v>83</v>
      </c>
      <c r="DO351" s="16" t="s">
        <v>282</v>
      </c>
      <c r="DU351" s="137">
        <f>IF(CD351="základní",J351,0)</f>
        <v>10229.93</v>
      </c>
      <c r="DV351" s="137">
        <f>IF(CD351="snížená",J351,0)</f>
        <v>0</v>
      </c>
      <c r="DW351" s="137">
        <f>IF(CD351="zákl. přenesená",J351,0)</f>
        <v>0</v>
      </c>
      <c r="DX351" s="137">
        <f>IF(CD351="sníž. přenesená",J351,0)</f>
        <v>0</v>
      </c>
      <c r="DY351" s="137">
        <f>IF(CD351="nulová",J351,0)</f>
        <v>0</v>
      </c>
      <c r="DZ351" s="16" t="s">
        <v>81</v>
      </c>
      <c r="EA351" s="137">
        <f>ROUND(I351*H351,2)</f>
        <v>10229.93</v>
      </c>
      <c r="EB351" s="16" t="s">
        <v>95</v>
      </c>
      <c r="EC351" s="136" t="s">
        <v>691</v>
      </c>
    </row>
    <row r="352" spans="2:133" s="1" customFormat="1" ht="48.75" x14ac:dyDescent="0.2">
      <c r="B352" s="31"/>
      <c r="D352" s="138" t="s">
        <v>289</v>
      </c>
      <c r="F352" s="139" t="s">
        <v>692</v>
      </c>
      <c r="I352" s="140"/>
      <c r="L352" s="31"/>
      <c r="N352" s="213"/>
      <c r="O352" s="214"/>
      <c r="Q352" s="229"/>
      <c r="CC352" s="141"/>
      <c r="CJ352" s="50"/>
      <c r="DJ352" s="16" t="s">
        <v>289</v>
      </c>
      <c r="DK352" s="16" t="s">
        <v>83</v>
      </c>
    </row>
    <row r="353" spans="2:133" s="1" customFormat="1" ht="19.5" x14ac:dyDescent="0.2">
      <c r="B353" s="31"/>
      <c r="D353" s="138" t="s">
        <v>299</v>
      </c>
      <c r="F353" s="142" t="s">
        <v>693</v>
      </c>
      <c r="I353" s="140"/>
      <c r="L353" s="31"/>
      <c r="N353" s="213"/>
      <c r="O353" s="214"/>
      <c r="Q353" s="229"/>
      <c r="CC353" s="141"/>
      <c r="CJ353" s="50"/>
      <c r="DJ353" s="16" t="s">
        <v>299</v>
      </c>
      <c r="DK353" s="16" t="s">
        <v>83</v>
      </c>
    </row>
    <row r="354" spans="2:133" s="11" customFormat="1" x14ac:dyDescent="0.2">
      <c r="B354" s="143"/>
      <c r="D354" s="138" t="s">
        <v>301</v>
      </c>
      <c r="E354" s="144" t="s">
        <v>1</v>
      </c>
      <c r="F354" s="145" t="s">
        <v>694</v>
      </c>
      <c r="H354" s="144" t="s">
        <v>1</v>
      </c>
      <c r="I354" s="146"/>
      <c r="L354" s="143"/>
      <c r="N354" s="215"/>
      <c r="O354" s="216"/>
      <c r="Q354" s="230"/>
      <c r="CC354" s="147"/>
      <c r="CJ354" s="148"/>
      <c r="DJ354" s="144" t="s">
        <v>301</v>
      </c>
      <c r="DK354" s="144" t="s">
        <v>83</v>
      </c>
      <c r="DL354" s="11" t="s">
        <v>81</v>
      </c>
      <c r="DM354" s="11" t="s">
        <v>32</v>
      </c>
      <c r="DN354" s="11" t="s">
        <v>74</v>
      </c>
      <c r="DO354" s="144" t="s">
        <v>282</v>
      </c>
    </row>
    <row r="355" spans="2:133" s="12" customFormat="1" x14ac:dyDescent="0.2">
      <c r="B355" s="149"/>
      <c r="D355" s="138" t="s">
        <v>301</v>
      </c>
      <c r="E355" s="150" t="s">
        <v>1</v>
      </c>
      <c r="F355" s="151" t="s">
        <v>318</v>
      </c>
      <c r="H355" s="152">
        <v>6</v>
      </c>
      <c r="I355" s="153"/>
      <c r="L355" s="149"/>
      <c r="N355" s="217"/>
      <c r="O355" s="218"/>
      <c r="Q355" s="231"/>
      <c r="CC355" s="154"/>
      <c r="CJ355" s="155"/>
      <c r="DJ355" s="150" t="s">
        <v>301</v>
      </c>
      <c r="DK355" s="150" t="s">
        <v>83</v>
      </c>
      <c r="DL355" s="12" t="s">
        <v>83</v>
      </c>
      <c r="DM355" s="12" t="s">
        <v>32</v>
      </c>
      <c r="DN355" s="12" t="s">
        <v>81</v>
      </c>
      <c r="DO355" s="150" t="s">
        <v>282</v>
      </c>
    </row>
    <row r="356" spans="2:133" s="10" customFormat="1" ht="22.9" customHeight="1" x14ac:dyDescent="0.2">
      <c r="B356" s="112"/>
      <c r="D356" s="113" t="s">
        <v>73</v>
      </c>
      <c r="E356" s="122" t="s">
        <v>695</v>
      </c>
      <c r="F356" s="122" t="s">
        <v>696</v>
      </c>
      <c r="I356" s="115"/>
      <c r="J356" s="123">
        <f>EA356</f>
        <v>130273.74</v>
      </c>
      <c r="L356" s="112"/>
      <c r="M356" s="291">
        <f>SUM(M357:M374)</f>
        <v>0</v>
      </c>
      <c r="N356" s="295"/>
      <c r="O356" s="296">
        <f t="shared" ref="O356:V356" si="5">SUM(O357:O374)</f>
        <v>-130.27000000000001</v>
      </c>
      <c r="P356" s="291"/>
      <c r="Q356" s="298">
        <f t="shared" si="5"/>
        <v>130404.02</v>
      </c>
      <c r="R356" s="291"/>
      <c r="S356" s="291"/>
      <c r="T356" s="291">
        <f t="shared" si="5"/>
        <v>0</v>
      </c>
      <c r="U356" s="291"/>
      <c r="V356" s="291">
        <f t="shared" si="5"/>
        <v>130273.74</v>
      </c>
      <c r="CC356" s="117"/>
      <c r="CF356" s="118">
        <f>SUM(CF357:CF376)</f>
        <v>0</v>
      </c>
      <c r="CH356" s="118">
        <f>SUM(CH357:CH376)</f>
        <v>0</v>
      </c>
      <c r="CJ356" s="119">
        <f>SUM(CJ357:CJ376)</f>
        <v>0</v>
      </c>
      <c r="DH356" s="113" t="s">
        <v>81</v>
      </c>
      <c r="DJ356" s="120" t="s">
        <v>73</v>
      </c>
      <c r="DK356" s="120" t="s">
        <v>81</v>
      </c>
      <c r="DO356" s="113" t="s">
        <v>282</v>
      </c>
      <c r="EA356" s="121">
        <f>SUM(EA357:EA376)</f>
        <v>130273.74</v>
      </c>
    </row>
    <row r="357" spans="2:133" s="1" customFormat="1" ht="14.45" customHeight="1" x14ac:dyDescent="0.2">
      <c r="B357" s="124"/>
      <c r="C357" s="125" t="s">
        <v>631</v>
      </c>
      <c r="D357" s="125" t="s">
        <v>284</v>
      </c>
      <c r="E357" s="126" t="s">
        <v>698</v>
      </c>
      <c r="F357" s="127" t="s">
        <v>699</v>
      </c>
      <c r="G357" s="128" t="s">
        <v>418</v>
      </c>
      <c r="H357" s="129">
        <v>329.43</v>
      </c>
      <c r="I357" s="130">
        <v>40.477390926043419</v>
      </c>
      <c r="J357" s="131">
        <f>ROUND(I357*H357,2)</f>
        <v>13334.47</v>
      </c>
      <c r="K357" s="127" t="s">
        <v>293</v>
      </c>
      <c r="L357" s="268">
        <f>S357</f>
        <v>0</v>
      </c>
      <c r="M357" s="272">
        <f>ROUND(L357*I357,2)</f>
        <v>0</v>
      </c>
      <c r="N357" s="243">
        <f>N360</f>
        <v>-0.32943000000000211</v>
      </c>
      <c r="O357" s="294">
        <f>ROUND(N357*I357,2)</f>
        <v>-13.33</v>
      </c>
      <c r="P357" s="273">
        <f>H357-L357-N357</f>
        <v>329.75943000000001</v>
      </c>
      <c r="Q357" s="287">
        <f>ROUND(P357*I357,2)</f>
        <v>13347.8</v>
      </c>
      <c r="R357" s="137"/>
      <c r="S357" s="269">
        <f>W357+Y357+AA357+AC357+AE357+AG357+AI357+AK357+AM357+AO357+AQ357+AS357+AU357+AW357</f>
        <v>0</v>
      </c>
      <c r="T357" s="269">
        <f>ROUND(S357*I357,2)</f>
        <v>0</v>
      </c>
      <c r="U357" s="269">
        <f>H357-S357</f>
        <v>329.43</v>
      </c>
      <c r="V357" s="269">
        <f>ROUND(U357*I357,2)</f>
        <v>13334.47</v>
      </c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  <c r="AL357" s="269"/>
      <c r="AM357" s="269"/>
      <c r="AN357" s="269"/>
      <c r="AO357" s="269"/>
      <c r="AP357" s="269"/>
      <c r="AQ357" s="269"/>
      <c r="AR357" s="269"/>
      <c r="AS357" s="269"/>
      <c r="AT357" s="269"/>
      <c r="AU357" s="269"/>
      <c r="AV357" s="269"/>
      <c r="AW357" s="269"/>
      <c r="AX357" s="269"/>
      <c r="CC357" s="132" t="s">
        <v>1</v>
      </c>
      <c r="CD357" s="133" t="s">
        <v>40</v>
      </c>
      <c r="CF357" s="134">
        <f>CE357*H357</f>
        <v>0</v>
      </c>
      <c r="CG357" s="134">
        <v>0</v>
      </c>
      <c r="CH357" s="134">
        <f>CG357*H357</f>
        <v>0</v>
      </c>
      <c r="CI357" s="134">
        <v>0</v>
      </c>
      <c r="CJ357" s="135">
        <f>CI357*H357</f>
        <v>0</v>
      </c>
      <c r="DH357" s="136" t="s">
        <v>95</v>
      </c>
      <c r="DJ357" s="136" t="s">
        <v>284</v>
      </c>
      <c r="DK357" s="136" t="s">
        <v>83</v>
      </c>
      <c r="DO357" s="16" t="s">
        <v>282</v>
      </c>
      <c r="DU357" s="137">
        <f>IF(CD357="základní",J357,0)</f>
        <v>13334.47</v>
      </c>
      <c r="DV357" s="137">
        <f>IF(CD357="snížená",J357,0)</f>
        <v>0</v>
      </c>
      <c r="DW357" s="137">
        <f>IF(CD357="zákl. přenesená",J357,0)</f>
        <v>0</v>
      </c>
      <c r="DX357" s="137">
        <f>IF(CD357="sníž. přenesená",J357,0)</f>
        <v>0</v>
      </c>
      <c r="DY357" s="137">
        <f>IF(CD357="nulová",J357,0)</f>
        <v>0</v>
      </c>
      <c r="DZ357" s="16" t="s">
        <v>81</v>
      </c>
      <c r="EA357" s="137">
        <f>ROUND(I357*H357,2)</f>
        <v>13334.47</v>
      </c>
      <c r="EB357" s="16" t="s">
        <v>95</v>
      </c>
      <c r="EC357" s="136" t="s">
        <v>700</v>
      </c>
    </row>
    <row r="358" spans="2:133" s="1" customFormat="1" ht="19.5" x14ac:dyDescent="0.2">
      <c r="B358" s="31"/>
      <c r="D358" s="138" t="s">
        <v>289</v>
      </c>
      <c r="F358" s="139" t="s">
        <v>701</v>
      </c>
      <c r="I358" s="140"/>
      <c r="L358" s="31"/>
      <c r="N358" s="213"/>
      <c r="O358" s="214"/>
      <c r="Q358" s="229"/>
      <c r="CC358" s="141"/>
      <c r="CJ358" s="50"/>
      <c r="DJ358" s="16" t="s">
        <v>289</v>
      </c>
      <c r="DK358" s="16" t="s">
        <v>83</v>
      </c>
    </row>
    <row r="359" spans="2:133" s="12" customFormat="1" x14ac:dyDescent="0.2">
      <c r="B359" s="149"/>
      <c r="D359" s="138" t="s">
        <v>301</v>
      </c>
      <c r="E359" s="150" t="s">
        <v>1</v>
      </c>
      <c r="F359" s="151" t="s">
        <v>880</v>
      </c>
      <c r="H359" s="152">
        <v>224.07599999999999</v>
      </c>
      <c r="I359" s="153"/>
      <c r="L359" s="149"/>
      <c r="N359" s="217">
        <f>0.999*329.43</f>
        <v>329.10057</v>
      </c>
      <c r="O359" s="218" t="s">
        <v>3863</v>
      </c>
      <c r="Q359" s="231"/>
      <c r="CC359" s="154"/>
      <c r="CJ359" s="155"/>
      <c r="DJ359" s="150" t="s">
        <v>301</v>
      </c>
      <c r="DK359" s="150" t="s">
        <v>83</v>
      </c>
      <c r="DL359" s="12" t="s">
        <v>83</v>
      </c>
      <c r="DM359" s="12" t="s">
        <v>32</v>
      </c>
      <c r="DN359" s="12" t="s">
        <v>74</v>
      </c>
      <c r="DO359" s="150" t="s">
        <v>282</v>
      </c>
    </row>
    <row r="360" spans="2:133" s="12" customFormat="1" x14ac:dyDescent="0.2">
      <c r="B360" s="149"/>
      <c r="D360" s="138" t="s">
        <v>301</v>
      </c>
      <c r="E360" s="150" t="s">
        <v>1</v>
      </c>
      <c r="F360" s="151" t="s">
        <v>881</v>
      </c>
      <c r="H360" s="152">
        <v>105.354</v>
      </c>
      <c r="I360" s="153"/>
      <c r="L360" s="149"/>
      <c r="N360" s="310">
        <f>N359-H361</f>
        <v>-0.32943000000000211</v>
      </c>
      <c r="O360" s="218"/>
      <c r="Q360" s="231"/>
      <c r="CC360" s="154"/>
      <c r="CJ360" s="155"/>
      <c r="DJ360" s="150" t="s">
        <v>301</v>
      </c>
      <c r="DK360" s="150" t="s">
        <v>83</v>
      </c>
      <c r="DL360" s="12" t="s">
        <v>83</v>
      </c>
      <c r="DM360" s="12" t="s">
        <v>32</v>
      </c>
      <c r="DN360" s="12" t="s">
        <v>74</v>
      </c>
      <c r="DO360" s="150" t="s">
        <v>282</v>
      </c>
    </row>
    <row r="361" spans="2:133" s="13" customFormat="1" x14ac:dyDescent="0.2">
      <c r="B361" s="156"/>
      <c r="D361" s="138" t="s">
        <v>301</v>
      </c>
      <c r="E361" s="157" t="s">
        <v>1</v>
      </c>
      <c r="F361" s="158" t="s">
        <v>305</v>
      </c>
      <c r="H361" s="159">
        <v>329.43</v>
      </c>
      <c r="I361" s="160"/>
      <c r="L361" s="156"/>
      <c r="N361" s="219"/>
      <c r="O361" s="220"/>
      <c r="Q361" s="232"/>
      <c r="CC361" s="161"/>
      <c r="CJ361" s="162"/>
      <c r="DJ361" s="157" t="s">
        <v>301</v>
      </c>
      <c r="DK361" s="157" t="s">
        <v>83</v>
      </c>
      <c r="DL361" s="13" t="s">
        <v>95</v>
      </c>
      <c r="DM361" s="13" t="s">
        <v>32</v>
      </c>
      <c r="DN361" s="13" t="s">
        <v>81</v>
      </c>
      <c r="DO361" s="157" t="s">
        <v>282</v>
      </c>
    </row>
    <row r="362" spans="2:133" s="1" customFormat="1" ht="24.2" customHeight="1" x14ac:dyDescent="0.2">
      <c r="B362" s="124"/>
      <c r="C362" s="125" t="s">
        <v>635</v>
      </c>
      <c r="D362" s="125" t="s">
        <v>284</v>
      </c>
      <c r="E362" s="126" t="s">
        <v>705</v>
      </c>
      <c r="F362" s="127" t="s">
        <v>706</v>
      </c>
      <c r="G362" s="128" t="s">
        <v>418</v>
      </c>
      <c r="H362" s="129">
        <v>4612.0200000000004</v>
      </c>
      <c r="I362" s="130">
        <v>3.1192340975392101</v>
      </c>
      <c r="J362" s="131">
        <f>ROUND(I362*H362,2)</f>
        <v>14385.97</v>
      </c>
      <c r="K362" s="127" t="s">
        <v>293</v>
      </c>
      <c r="L362" s="268">
        <f>S362</f>
        <v>0</v>
      </c>
      <c r="M362" s="272">
        <f>ROUND(L362*I362,2)</f>
        <v>0</v>
      </c>
      <c r="N362" s="243">
        <f>N365</f>
        <v>-4.6120199999995748</v>
      </c>
      <c r="O362" s="294">
        <f>ROUND(N362*I362,2)</f>
        <v>-14.39</v>
      </c>
      <c r="P362" s="273">
        <f>H362-L362-N362</f>
        <v>4616.63202</v>
      </c>
      <c r="Q362" s="287">
        <f>ROUND(P362*I362,2)</f>
        <v>14400.36</v>
      </c>
      <c r="R362" s="137"/>
      <c r="S362" s="269">
        <f>W362+Y362+AA362+AC362+AE362+AG362+AI362+AK362+AM362+AO362+AQ362+AS362+AU362+AW362</f>
        <v>0</v>
      </c>
      <c r="T362" s="269">
        <f>ROUND(S362*I362,2)</f>
        <v>0</v>
      </c>
      <c r="U362" s="269">
        <f>H362-S362</f>
        <v>4612.0200000000004</v>
      </c>
      <c r="V362" s="269">
        <f>ROUND(U362*I362,2)</f>
        <v>14385.97</v>
      </c>
      <c r="W362" s="269"/>
      <c r="X362" s="269"/>
      <c r="Y362" s="269"/>
      <c r="Z362" s="269"/>
      <c r="AA362" s="269"/>
      <c r="AB362" s="269"/>
      <c r="AC362" s="269"/>
      <c r="AD362" s="269"/>
      <c r="AE362" s="269"/>
      <c r="AF362" s="269"/>
      <c r="AG362" s="269"/>
      <c r="AH362" s="269"/>
      <c r="AI362" s="269"/>
      <c r="AJ362" s="269"/>
      <c r="AK362" s="269"/>
      <c r="AL362" s="269"/>
      <c r="AM362" s="269"/>
      <c r="AN362" s="269"/>
      <c r="AO362" s="269"/>
      <c r="AP362" s="269"/>
      <c r="AQ362" s="269"/>
      <c r="AR362" s="269"/>
      <c r="AS362" s="269"/>
      <c r="AT362" s="269"/>
      <c r="AU362" s="269"/>
      <c r="AV362" s="269"/>
      <c r="AW362" s="269"/>
      <c r="AX362" s="269"/>
      <c r="CC362" s="132" t="s">
        <v>1</v>
      </c>
      <c r="CD362" s="133" t="s">
        <v>40</v>
      </c>
      <c r="CF362" s="134">
        <f>CE362*H362</f>
        <v>0</v>
      </c>
      <c r="CG362" s="134">
        <v>0</v>
      </c>
      <c r="CH362" s="134">
        <f>CG362*H362</f>
        <v>0</v>
      </c>
      <c r="CI362" s="134">
        <v>0</v>
      </c>
      <c r="CJ362" s="135">
        <f>CI362*H362</f>
        <v>0</v>
      </c>
      <c r="DH362" s="136" t="s">
        <v>95</v>
      </c>
      <c r="DJ362" s="136" t="s">
        <v>284</v>
      </c>
      <c r="DK362" s="136" t="s">
        <v>83</v>
      </c>
      <c r="DO362" s="16" t="s">
        <v>282</v>
      </c>
      <c r="DU362" s="137">
        <f>IF(CD362="základní",J362,0)</f>
        <v>14385.97</v>
      </c>
      <c r="DV362" s="137">
        <f>IF(CD362="snížená",J362,0)</f>
        <v>0</v>
      </c>
      <c r="DW362" s="137">
        <f>IF(CD362="zákl. přenesená",J362,0)</f>
        <v>0</v>
      </c>
      <c r="DX362" s="137">
        <f>IF(CD362="sníž. přenesená",J362,0)</f>
        <v>0</v>
      </c>
      <c r="DY362" s="137">
        <f>IF(CD362="nulová",J362,0)</f>
        <v>0</v>
      </c>
      <c r="DZ362" s="16" t="s">
        <v>81</v>
      </c>
      <c r="EA362" s="137">
        <f>ROUND(I362*H362,2)</f>
        <v>14385.97</v>
      </c>
      <c r="EB362" s="16" t="s">
        <v>95</v>
      </c>
      <c r="EC362" s="136" t="s">
        <v>707</v>
      </c>
    </row>
    <row r="363" spans="2:133" s="1" customFormat="1" ht="29.25" x14ac:dyDescent="0.2">
      <c r="B363" s="31"/>
      <c r="D363" s="138" t="s">
        <v>289</v>
      </c>
      <c r="F363" s="139" t="s">
        <v>708</v>
      </c>
      <c r="I363" s="140"/>
      <c r="L363" s="31"/>
      <c r="N363" s="213"/>
      <c r="O363" s="214"/>
      <c r="Q363" s="229"/>
      <c r="CC363" s="141"/>
      <c r="CJ363" s="50"/>
      <c r="DJ363" s="16" t="s">
        <v>289</v>
      </c>
      <c r="DK363" s="16" t="s">
        <v>83</v>
      </c>
    </row>
    <row r="364" spans="2:133" s="12" customFormat="1" x14ac:dyDescent="0.2">
      <c r="B364" s="149"/>
      <c r="D364" s="138" t="s">
        <v>301</v>
      </c>
      <c r="E364" s="150" t="s">
        <v>1</v>
      </c>
      <c r="F364" s="151" t="s">
        <v>880</v>
      </c>
      <c r="H364" s="152">
        <v>224.07599999999999</v>
      </c>
      <c r="I364" s="153"/>
      <c r="L364" s="149"/>
      <c r="N364" s="217">
        <f>0.999*4612.02</f>
        <v>4607.4079800000009</v>
      </c>
      <c r="O364" s="218" t="s">
        <v>3864</v>
      </c>
      <c r="Q364" s="231"/>
      <c r="CC364" s="154"/>
      <c r="CJ364" s="155"/>
      <c r="DJ364" s="150" t="s">
        <v>301</v>
      </c>
      <c r="DK364" s="150" t="s">
        <v>83</v>
      </c>
      <c r="DL364" s="12" t="s">
        <v>83</v>
      </c>
      <c r="DM364" s="12" t="s">
        <v>32</v>
      </c>
      <c r="DN364" s="12" t="s">
        <v>74</v>
      </c>
      <c r="DO364" s="150" t="s">
        <v>282</v>
      </c>
    </row>
    <row r="365" spans="2:133" s="12" customFormat="1" x14ac:dyDescent="0.2">
      <c r="B365" s="149"/>
      <c r="D365" s="138" t="s">
        <v>301</v>
      </c>
      <c r="E365" s="150" t="s">
        <v>1</v>
      </c>
      <c r="F365" s="151" t="s">
        <v>881</v>
      </c>
      <c r="H365" s="152">
        <v>105.354</v>
      </c>
      <c r="I365" s="153"/>
      <c r="L365" s="149"/>
      <c r="N365" s="310">
        <f>N364-H367</f>
        <v>-4.6120199999995748</v>
      </c>
      <c r="O365" s="218"/>
      <c r="Q365" s="231"/>
      <c r="CC365" s="154"/>
      <c r="CJ365" s="155"/>
      <c r="DJ365" s="150" t="s">
        <v>301</v>
      </c>
      <c r="DK365" s="150" t="s">
        <v>83</v>
      </c>
      <c r="DL365" s="12" t="s">
        <v>83</v>
      </c>
      <c r="DM365" s="12" t="s">
        <v>32</v>
      </c>
      <c r="DN365" s="12" t="s">
        <v>74</v>
      </c>
      <c r="DO365" s="150" t="s">
        <v>282</v>
      </c>
    </row>
    <row r="366" spans="2:133" s="13" customFormat="1" x14ac:dyDescent="0.2">
      <c r="B366" s="156"/>
      <c r="D366" s="138" t="s">
        <v>301</v>
      </c>
      <c r="E366" s="157" t="s">
        <v>1</v>
      </c>
      <c r="F366" s="158" t="s">
        <v>305</v>
      </c>
      <c r="H366" s="159">
        <v>329.43</v>
      </c>
      <c r="I366" s="160"/>
      <c r="L366" s="156"/>
      <c r="N366" s="219"/>
      <c r="O366" s="220"/>
      <c r="Q366" s="232"/>
      <c r="CC366" s="161"/>
      <c r="CJ366" s="162"/>
      <c r="DJ366" s="157" t="s">
        <v>301</v>
      </c>
      <c r="DK366" s="157" t="s">
        <v>83</v>
      </c>
      <c r="DL366" s="13" t="s">
        <v>95</v>
      </c>
      <c r="DM366" s="13" t="s">
        <v>32</v>
      </c>
      <c r="DN366" s="13" t="s">
        <v>81</v>
      </c>
      <c r="DO366" s="157" t="s">
        <v>282</v>
      </c>
    </row>
    <row r="367" spans="2:133" s="12" customFormat="1" x14ac:dyDescent="0.2">
      <c r="B367" s="149"/>
      <c r="D367" s="138" t="s">
        <v>301</v>
      </c>
      <c r="F367" s="151" t="s">
        <v>882</v>
      </c>
      <c r="H367" s="152">
        <v>4612.0200000000004</v>
      </c>
      <c r="I367" s="153"/>
      <c r="L367" s="149"/>
      <c r="N367" s="217"/>
      <c r="O367" s="218"/>
      <c r="Q367" s="231"/>
      <c r="CC367" s="154"/>
      <c r="CJ367" s="155"/>
      <c r="DJ367" s="150" t="s">
        <v>301</v>
      </c>
      <c r="DK367" s="150" t="s">
        <v>83</v>
      </c>
      <c r="DL367" s="12" t="s">
        <v>83</v>
      </c>
      <c r="DM367" s="12" t="s">
        <v>3</v>
      </c>
      <c r="DN367" s="12" t="s">
        <v>81</v>
      </c>
      <c r="DO367" s="150" t="s">
        <v>282</v>
      </c>
    </row>
    <row r="368" spans="2:133" s="1" customFormat="1" ht="24.2" customHeight="1" x14ac:dyDescent="0.2">
      <c r="B368" s="124"/>
      <c r="C368" s="125" t="s">
        <v>639</v>
      </c>
      <c r="D368" s="125" t="s">
        <v>284</v>
      </c>
      <c r="E368" s="126" t="s">
        <v>711</v>
      </c>
      <c r="F368" s="127" t="s">
        <v>712</v>
      </c>
      <c r="G368" s="128" t="s">
        <v>418</v>
      </c>
      <c r="H368" s="129">
        <v>329.43</v>
      </c>
      <c r="I368" s="130">
        <v>155.98322812074767</v>
      </c>
      <c r="J368" s="131">
        <f>ROUND(I368*H368,2)</f>
        <v>51385.55</v>
      </c>
      <c r="K368" s="127" t="s">
        <v>293</v>
      </c>
      <c r="L368" s="268">
        <f>S368</f>
        <v>0</v>
      </c>
      <c r="M368" s="272">
        <f>ROUND(L368*I368,2)</f>
        <v>0</v>
      </c>
      <c r="N368" s="243">
        <f>N357</f>
        <v>-0.32943000000000211</v>
      </c>
      <c r="O368" s="294">
        <f>ROUND(N368*I368,2)</f>
        <v>-51.39</v>
      </c>
      <c r="P368" s="273">
        <f>H368-L368-N368</f>
        <v>329.75943000000001</v>
      </c>
      <c r="Q368" s="287">
        <f>ROUND(P368*I368,2)</f>
        <v>51436.94</v>
      </c>
      <c r="R368" s="137"/>
      <c r="S368" s="269">
        <f>W368+Y368+AA368+AC368+AE368+AG368+AI368+AK368+AM368+AO368+AQ368+AS368+AU368+AW368</f>
        <v>0</v>
      </c>
      <c r="T368" s="269">
        <f>ROUND(S368*I368,2)</f>
        <v>0</v>
      </c>
      <c r="U368" s="269">
        <f>H368-S368</f>
        <v>329.43</v>
      </c>
      <c r="V368" s="269">
        <f>ROUND(U368*I368,2)</f>
        <v>51385.55</v>
      </c>
      <c r="W368" s="269"/>
      <c r="X368" s="269"/>
      <c r="Y368" s="269"/>
      <c r="Z368" s="269"/>
      <c r="AA368" s="269"/>
      <c r="AB368" s="269"/>
      <c r="AC368" s="269"/>
      <c r="AD368" s="269"/>
      <c r="AE368" s="269"/>
      <c r="AF368" s="269"/>
      <c r="AG368" s="269"/>
      <c r="AH368" s="269"/>
      <c r="AI368" s="269"/>
      <c r="AJ368" s="269"/>
      <c r="AK368" s="269"/>
      <c r="AL368" s="269"/>
      <c r="AM368" s="269"/>
      <c r="AN368" s="269"/>
      <c r="AO368" s="269"/>
      <c r="AP368" s="269"/>
      <c r="AQ368" s="269"/>
      <c r="AR368" s="269"/>
      <c r="AS368" s="269"/>
      <c r="AT368" s="269"/>
      <c r="AU368" s="269"/>
      <c r="AV368" s="269"/>
      <c r="AW368" s="269"/>
      <c r="AX368" s="269"/>
      <c r="CC368" s="132" t="s">
        <v>1</v>
      </c>
      <c r="CD368" s="133" t="s">
        <v>40</v>
      </c>
      <c r="CF368" s="134">
        <f>CE368*H368</f>
        <v>0</v>
      </c>
      <c r="CG368" s="134">
        <v>0</v>
      </c>
      <c r="CH368" s="134">
        <f>CG368*H368</f>
        <v>0</v>
      </c>
      <c r="CI368" s="134">
        <v>0</v>
      </c>
      <c r="CJ368" s="135">
        <f>CI368*H368</f>
        <v>0</v>
      </c>
      <c r="DH368" s="136" t="s">
        <v>95</v>
      </c>
      <c r="DJ368" s="136" t="s">
        <v>284</v>
      </c>
      <c r="DK368" s="136" t="s">
        <v>83</v>
      </c>
      <c r="DO368" s="16" t="s">
        <v>282</v>
      </c>
      <c r="DU368" s="137">
        <f>IF(CD368="základní",J368,0)</f>
        <v>51385.55</v>
      </c>
      <c r="DV368" s="137">
        <f>IF(CD368="snížená",J368,0)</f>
        <v>0</v>
      </c>
      <c r="DW368" s="137">
        <f>IF(CD368="zákl. přenesená",J368,0)</f>
        <v>0</v>
      </c>
      <c r="DX368" s="137">
        <f>IF(CD368="sníž. přenesená",J368,0)</f>
        <v>0</v>
      </c>
      <c r="DY368" s="137">
        <f>IF(CD368="nulová",J368,0)</f>
        <v>0</v>
      </c>
      <c r="DZ368" s="16" t="s">
        <v>81</v>
      </c>
      <c r="EA368" s="137">
        <f>ROUND(I368*H368,2)</f>
        <v>51385.55</v>
      </c>
      <c r="EB368" s="16" t="s">
        <v>95</v>
      </c>
      <c r="EC368" s="136" t="s">
        <v>713</v>
      </c>
    </row>
    <row r="369" spans="2:133" s="1" customFormat="1" x14ac:dyDescent="0.2">
      <c r="B369" s="31"/>
      <c r="D369" s="138" t="s">
        <v>289</v>
      </c>
      <c r="F369" s="139" t="s">
        <v>714</v>
      </c>
      <c r="I369" s="140"/>
      <c r="L369" s="31"/>
      <c r="N369" s="213"/>
      <c r="O369" s="214"/>
      <c r="Q369" s="229"/>
      <c r="CC369" s="141"/>
      <c r="CJ369" s="50"/>
      <c r="DJ369" s="16" t="s">
        <v>289</v>
      </c>
      <c r="DK369" s="16" t="s">
        <v>83</v>
      </c>
    </row>
    <row r="370" spans="2:133" s="1" customFormat="1" ht="37.9" customHeight="1" x14ac:dyDescent="0.2">
      <c r="B370" s="124"/>
      <c r="C370" s="125" t="s">
        <v>643</v>
      </c>
      <c r="D370" s="125" t="s">
        <v>284</v>
      </c>
      <c r="E370" s="126" t="s">
        <v>716</v>
      </c>
      <c r="F370" s="127" t="s">
        <v>420</v>
      </c>
      <c r="G370" s="128" t="s">
        <v>418</v>
      </c>
      <c r="H370" s="129">
        <v>224.07599999999999</v>
      </c>
      <c r="I370" s="130">
        <v>110.6455721</v>
      </c>
      <c r="J370" s="131">
        <f>ROUND(I370*H370,2)</f>
        <v>24793.02</v>
      </c>
      <c r="K370" s="127" t="s">
        <v>293</v>
      </c>
      <c r="L370" s="268">
        <f>S370</f>
        <v>0</v>
      </c>
      <c r="M370" s="272">
        <f>ROUND(L370*I370,2)</f>
        <v>0</v>
      </c>
      <c r="N370" s="243">
        <f>N373</f>
        <v>-0.22407599999999661</v>
      </c>
      <c r="O370" s="294">
        <f>ROUND(N370*I370,2)</f>
        <v>-24.79</v>
      </c>
      <c r="P370" s="273">
        <f>H370-L370-N370</f>
        <v>224.30007599999999</v>
      </c>
      <c r="Q370" s="287">
        <f>ROUND(P370*I370,2)</f>
        <v>24817.81</v>
      </c>
      <c r="R370" s="137"/>
      <c r="S370" s="269">
        <f>W370+Y370+AA370+AC370+AE370+AG370+AI370+AK370+AM370+AO370+AQ370+AS370+AU370+AW370</f>
        <v>0</v>
      </c>
      <c r="T370" s="269">
        <f>ROUND(S370*I370,2)</f>
        <v>0</v>
      </c>
      <c r="U370" s="269">
        <f>H370-S370</f>
        <v>224.07599999999999</v>
      </c>
      <c r="V370" s="269">
        <f>ROUND(U370*I370,2)</f>
        <v>24793.02</v>
      </c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I370" s="269"/>
      <c r="AJ370" s="269"/>
      <c r="AK370" s="269"/>
      <c r="AL370" s="269"/>
      <c r="AM370" s="269"/>
      <c r="AN370" s="269"/>
      <c r="AO370" s="269"/>
      <c r="AP370" s="269"/>
      <c r="AQ370" s="269"/>
      <c r="AR370" s="269"/>
      <c r="AS370" s="269"/>
      <c r="AT370" s="269"/>
      <c r="AU370" s="269"/>
      <c r="AV370" s="269"/>
      <c r="AW370" s="269"/>
      <c r="AX370" s="269"/>
      <c r="CC370" s="132" t="s">
        <v>1</v>
      </c>
      <c r="CD370" s="133" t="s">
        <v>40</v>
      </c>
      <c r="CF370" s="134">
        <f>CE370*H370</f>
        <v>0</v>
      </c>
      <c r="CG370" s="134">
        <v>0</v>
      </c>
      <c r="CH370" s="134">
        <f>CG370*H370</f>
        <v>0</v>
      </c>
      <c r="CI370" s="134">
        <v>0</v>
      </c>
      <c r="CJ370" s="135">
        <f>CI370*H370</f>
        <v>0</v>
      </c>
      <c r="DH370" s="136" t="s">
        <v>95</v>
      </c>
      <c r="DJ370" s="136" t="s">
        <v>284</v>
      </c>
      <c r="DK370" s="136" t="s">
        <v>83</v>
      </c>
      <c r="DO370" s="16" t="s">
        <v>282</v>
      </c>
      <c r="DU370" s="137">
        <f>IF(CD370="základní",J370,0)</f>
        <v>24793.02</v>
      </c>
      <c r="DV370" s="137">
        <f>IF(CD370="snížená",J370,0)</f>
        <v>0</v>
      </c>
      <c r="DW370" s="137">
        <f>IF(CD370="zákl. přenesená",J370,0)</f>
        <v>0</v>
      </c>
      <c r="DX370" s="137">
        <f>IF(CD370="sníž. přenesená",J370,0)</f>
        <v>0</v>
      </c>
      <c r="DY370" s="137">
        <f>IF(CD370="nulová",J370,0)</f>
        <v>0</v>
      </c>
      <c r="DZ370" s="16" t="s">
        <v>81</v>
      </c>
      <c r="EA370" s="137">
        <f>ROUND(I370*H370,2)</f>
        <v>24793.02</v>
      </c>
      <c r="EB370" s="16" t="s">
        <v>95</v>
      </c>
      <c r="EC370" s="136" t="s">
        <v>717</v>
      </c>
    </row>
    <row r="371" spans="2:133" s="1" customFormat="1" ht="29.25" x14ac:dyDescent="0.2">
      <c r="B371" s="31"/>
      <c r="D371" s="138" t="s">
        <v>289</v>
      </c>
      <c r="F371" s="139" t="s">
        <v>420</v>
      </c>
      <c r="I371" s="140"/>
      <c r="L371" s="31"/>
      <c r="N371" s="213"/>
      <c r="O371" s="214"/>
      <c r="Q371" s="229"/>
      <c r="CC371" s="141"/>
      <c r="CJ371" s="50"/>
      <c r="DJ371" s="16" t="s">
        <v>289</v>
      </c>
      <c r="DK371" s="16" t="s">
        <v>83</v>
      </c>
    </row>
    <row r="372" spans="2:133" s="12" customFormat="1" x14ac:dyDescent="0.2">
      <c r="B372" s="149"/>
      <c r="D372" s="138" t="s">
        <v>301</v>
      </c>
      <c r="E372" s="150" t="s">
        <v>1</v>
      </c>
      <c r="F372" s="151" t="s">
        <v>880</v>
      </c>
      <c r="H372" s="152">
        <v>224.07599999999999</v>
      </c>
      <c r="I372" s="153"/>
      <c r="L372" s="149"/>
      <c r="N372" s="217">
        <f>0.999*224.076</f>
        <v>223.851924</v>
      </c>
      <c r="O372" s="218" t="s">
        <v>3865</v>
      </c>
      <c r="Q372" s="231"/>
      <c r="CC372" s="154"/>
      <c r="CJ372" s="155"/>
      <c r="DJ372" s="150" t="s">
        <v>301</v>
      </c>
      <c r="DK372" s="150" t="s">
        <v>83</v>
      </c>
      <c r="DL372" s="12" t="s">
        <v>83</v>
      </c>
      <c r="DM372" s="12" t="s">
        <v>32</v>
      </c>
      <c r="DN372" s="12" t="s">
        <v>81</v>
      </c>
      <c r="DO372" s="150" t="s">
        <v>282</v>
      </c>
    </row>
    <row r="373" spans="2:133" s="12" customFormat="1" x14ac:dyDescent="0.2">
      <c r="B373" s="149"/>
      <c r="D373" s="138"/>
      <c r="E373" s="150"/>
      <c r="F373" s="151"/>
      <c r="H373" s="152"/>
      <c r="I373" s="153"/>
      <c r="L373" s="149"/>
      <c r="N373" s="310">
        <f>N372-H370</f>
        <v>-0.22407599999999661</v>
      </c>
      <c r="O373" s="218"/>
      <c r="Q373" s="231"/>
      <c r="CC373" s="154"/>
      <c r="CJ373" s="155"/>
      <c r="DJ373" s="150"/>
      <c r="DK373" s="150"/>
      <c r="DO373" s="150"/>
    </row>
    <row r="374" spans="2:133" s="1" customFormat="1" ht="37.9" customHeight="1" x14ac:dyDescent="0.2">
      <c r="B374" s="124"/>
      <c r="C374" s="125" t="s">
        <v>650</v>
      </c>
      <c r="D374" s="125" t="s">
        <v>284</v>
      </c>
      <c r="E374" s="126" t="s">
        <v>719</v>
      </c>
      <c r="F374" s="127" t="s">
        <v>720</v>
      </c>
      <c r="G374" s="128" t="s">
        <v>418</v>
      </c>
      <c r="H374" s="129">
        <v>105.354</v>
      </c>
      <c r="I374" s="130">
        <v>250.3439285</v>
      </c>
      <c r="J374" s="131">
        <f>ROUND(I374*H374,2)</f>
        <v>26374.73</v>
      </c>
      <c r="K374" s="127" t="s">
        <v>293</v>
      </c>
      <c r="L374" s="268">
        <f>S374</f>
        <v>0</v>
      </c>
      <c r="M374" s="272">
        <f>ROUND(L374*I374,2)</f>
        <v>0</v>
      </c>
      <c r="N374" s="243">
        <f>N377</f>
        <v>-0.1053540000000055</v>
      </c>
      <c r="O374" s="294">
        <f>ROUND(N374*I374,2)</f>
        <v>-26.37</v>
      </c>
      <c r="P374" s="273">
        <f>H374-L374-N374</f>
        <v>105.459354</v>
      </c>
      <c r="Q374" s="287">
        <f>ROUND(P374*I374,2)</f>
        <v>26401.11</v>
      </c>
      <c r="R374" s="137"/>
      <c r="S374" s="269">
        <f>W374+Y374+AA374+AC374+AE374+AG374+AI374+AK374+AM374+AO374+AQ374+AS374+AU374+AW374</f>
        <v>0</v>
      </c>
      <c r="T374" s="269">
        <f>ROUND(S374*I374,2)</f>
        <v>0</v>
      </c>
      <c r="U374" s="269">
        <f>H374-S374</f>
        <v>105.354</v>
      </c>
      <c r="V374" s="269">
        <f>ROUND(U374*I374,2)</f>
        <v>26374.73</v>
      </c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I374" s="269"/>
      <c r="AJ374" s="269"/>
      <c r="AK374" s="269"/>
      <c r="AL374" s="269"/>
      <c r="AM374" s="269"/>
      <c r="AN374" s="269"/>
      <c r="AO374" s="269"/>
      <c r="AP374" s="269"/>
      <c r="AQ374" s="269"/>
      <c r="AR374" s="269"/>
      <c r="AS374" s="269"/>
      <c r="AT374" s="269"/>
      <c r="AU374" s="269"/>
      <c r="AV374" s="269"/>
      <c r="AW374" s="269"/>
      <c r="AX374" s="269"/>
      <c r="CC374" s="132" t="s">
        <v>1</v>
      </c>
      <c r="CD374" s="133" t="s">
        <v>40</v>
      </c>
      <c r="CF374" s="134">
        <f>CE374*H374</f>
        <v>0</v>
      </c>
      <c r="CG374" s="134">
        <v>0</v>
      </c>
      <c r="CH374" s="134">
        <f>CG374*H374</f>
        <v>0</v>
      </c>
      <c r="CI374" s="134">
        <v>0</v>
      </c>
      <c r="CJ374" s="135">
        <f>CI374*H374</f>
        <v>0</v>
      </c>
      <c r="DH374" s="136" t="s">
        <v>95</v>
      </c>
      <c r="DJ374" s="136" t="s">
        <v>284</v>
      </c>
      <c r="DK374" s="136" t="s">
        <v>83</v>
      </c>
      <c r="DO374" s="16" t="s">
        <v>282</v>
      </c>
      <c r="DU374" s="137">
        <f>IF(CD374="základní",J374,0)</f>
        <v>26374.73</v>
      </c>
      <c r="DV374" s="137">
        <f>IF(CD374="snížená",J374,0)</f>
        <v>0</v>
      </c>
      <c r="DW374" s="137">
        <f>IF(CD374="zákl. přenesená",J374,0)</f>
        <v>0</v>
      </c>
      <c r="DX374" s="137">
        <f>IF(CD374="sníž. přenesená",J374,0)</f>
        <v>0</v>
      </c>
      <c r="DY374" s="137">
        <f>IF(CD374="nulová",J374,0)</f>
        <v>0</v>
      </c>
      <c r="DZ374" s="16" t="s">
        <v>81</v>
      </c>
      <c r="EA374" s="137">
        <f>ROUND(I374*H374,2)</f>
        <v>26374.73</v>
      </c>
      <c r="EB374" s="16" t="s">
        <v>95</v>
      </c>
      <c r="EC374" s="136" t="s">
        <v>721</v>
      </c>
    </row>
    <row r="375" spans="2:133" s="1" customFormat="1" ht="29.25" x14ac:dyDescent="0.2">
      <c r="B375" s="31"/>
      <c r="D375" s="138" t="s">
        <v>289</v>
      </c>
      <c r="F375" s="139" t="s">
        <v>720</v>
      </c>
      <c r="I375" s="140"/>
      <c r="L375" s="31"/>
      <c r="N375" s="213"/>
      <c r="O375" s="214"/>
      <c r="Q375" s="229"/>
      <c r="CC375" s="141"/>
      <c r="CJ375" s="50"/>
      <c r="DJ375" s="16" t="s">
        <v>289</v>
      </c>
      <c r="DK375" s="16" t="s">
        <v>83</v>
      </c>
    </row>
    <row r="376" spans="2:133" s="12" customFormat="1" x14ac:dyDescent="0.2">
      <c r="B376" s="149"/>
      <c r="D376" s="138" t="s">
        <v>301</v>
      </c>
      <c r="E376" s="150" t="s">
        <v>1</v>
      </c>
      <c r="F376" s="151" t="s">
        <v>881</v>
      </c>
      <c r="H376" s="152">
        <v>105.354</v>
      </c>
      <c r="I376" s="153"/>
      <c r="L376" s="149"/>
      <c r="N376" s="217">
        <f>0.999*105.354</f>
        <v>105.24864599999999</v>
      </c>
      <c r="O376" s="218" t="s">
        <v>3866</v>
      </c>
      <c r="Q376" s="231"/>
      <c r="CC376" s="154"/>
      <c r="CJ376" s="155"/>
      <c r="DJ376" s="150" t="s">
        <v>301</v>
      </c>
      <c r="DK376" s="150" t="s">
        <v>83</v>
      </c>
      <c r="DL376" s="12" t="s">
        <v>83</v>
      </c>
      <c r="DM376" s="12" t="s">
        <v>32</v>
      </c>
      <c r="DN376" s="12" t="s">
        <v>81</v>
      </c>
      <c r="DO376" s="150" t="s">
        <v>282</v>
      </c>
    </row>
    <row r="377" spans="2:133" s="12" customFormat="1" x14ac:dyDescent="0.2">
      <c r="B377" s="149"/>
      <c r="D377" s="138"/>
      <c r="E377" s="150"/>
      <c r="F377" s="151"/>
      <c r="H377" s="152"/>
      <c r="I377" s="153"/>
      <c r="L377" s="149"/>
      <c r="N377" s="310">
        <f>N376-H376</f>
        <v>-0.1053540000000055</v>
      </c>
      <c r="O377" s="218"/>
      <c r="Q377" s="231"/>
      <c r="CC377" s="154"/>
      <c r="CJ377" s="155"/>
      <c r="DJ377" s="150"/>
      <c r="DK377" s="150"/>
      <c r="DO377" s="150"/>
    </row>
    <row r="378" spans="2:133" s="10" customFormat="1" ht="22.9" customHeight="1" x14ac:dyDescent="0.2">
      <c r="B378" s="112"/>
      <c r="D378" s="113" t="s">
        <v>73</v>
      </c>
      <c r="E378" s="122" t="s">
        <v>722</v>
      </c>
      <c r="F378" s="122" t="s">
        <v>723</v>
      </c>
      <c r="I378" s="115"/>
      <c r="J378" s="123">
        <f>EA378</f>
        <v>50893.94</v>
      </c>
      <c r="L378" s="112"/>
      <c r="M378" s="291">
        <f>M379</f>
        <v>0</v>
      </c>
      <c r="N378" s="295"/>
      <c r="O378" s="296">
        <f t="shared" ref="O378:V378" si="6">O379</f>
        <v>-50.89</v>
      </c>
      <c r="P378" s="291"/>
      <c r="Q378" s="298">
        <f t="shared" si="6"/>
        <v>50944.84</v>
      </c>
      <c r="R378" s="291"/>
      <c r="S378" s="291"/>
      <c r="T378" s="291">
        <f t="shared" si="6"/>
        <v>0</v>
      </c>
      <c r="U378" s="291"/>
      <c r="V378" s="291">
        <f t="shared" si="6"/>
        <v>50893.94</v>
      </c>
      <c r="CC378" s="117"/>
      <c r="CF378" s="118">
        <f>SUM(CF379:CF382)</f>
        <v>0</v>
      </c>
      <c r="CH378" s="118">
        <f>SUM(CH379:CH382)</f>
        <v>0</v>
      </c>
      <c r="CJ378" s="119">
        <f>SUM(CJ379:CJ382)</f>
        <v>0</v>
      </c>
      <c r="DH378" s="113" t="s">
        <v>81</v>
      </c>
      <c r="DJ378" s="120" t="s">
        <v>73</v>
      </c>
      <c r="DK378" s="120" t="s">
        <v>81</v>
      </c>
      <c r="DO378" s="113" t="s">
        <v>282</v>
      </c>
      <c r="EA378" s="121">
        <f>SUM(EA379:EA382)</f>
        <v>50893.94</v>
      </c>
    </row>
    <row r="379" spans="2:133" s="1" customFormat="1" ht="24.2" customHeight="1" x14ac:dyDescent="0.2">
      <c r="B379" s="124"/>
      <c r="C379" s="125" t="s">
        <v>655</v>
      </c>
      <c r="D379" s="125" t="s">
        <v>284</v>
      </c>
      <c r="E379" s="126" t="s">
        <v>725</v>
      </c>
      <c r="F379" s="127" t="s">
        <v>726</v>
      </c>
      <c r="G379" s="128" t="s">
        <v>418</v>
      </c>
      <c r="H379" s="129">
        <v>56.25</v>
      </c>
      <c r="I379" s="130">
        <v>904.78117744148574</v>
      </c>
      <c r="J379" s="131">
        <f>ROUND(I379*H379,2)</f>
        <v>50893.94</v>
      </c>
      <c r="K379" s="127" t="s">
        <v>293</v>
      </c>
      <c r="L379" s="268">
        <f>S379</f>
        <v>0</v>
      </c>
      <c r="M379" s="272">
        <f>ROUND(L379*I379,2)</f>
        <v>0</v>
      </c>
      <c r="N379" s="243">
        <f>N381</f>
        <v>-5.6249999999998579E-2</v>
      </c>
      <c r="O379" s="294">
        <f>ROUND(N379*I379,2)</f>
        <v>-50.89</v>
      </c>
      <c r="P379" s="273">
        <f>H379-L379-N379</f>
        <v>56.306249999999999</v>
      </c>
      <c r="Q379" s="287">
        <f>ROUND(P379*I379,2)</f>
        <v>50944.84</v>
      </c>
      <c r="R379" s="137"/>
      <c r="S379" s="269">
        <f>W379+Y379+AA379+AC379+AE379+AG379+AI379+AK379+AM379+AO379+AQ379+AS379+AU379+AW379</f>
        <v>0</v>
      </c>
      <c r="T379" s="269">
        <f>ROUND(S379*I379,2)</f>
        <v>0</v>
      </c>
      <c r="U379" s="269">
        <f>H379-S379</f>
        <v>56.25</v>
      </c>
      <c r="V379" s="269">
        <f>ROUND(U379*I379,2)</f>
        <v>50893.94</v>
      </c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AG379" s="269"/>
      <c r="AH379" s="269"/>
      <c r="AI379" s="269"/>
      <c r="AJ379" s="269"/>
      <c r="AK379" s="269"/>
      <c r="AL379" s="269"/>
      <c r="AM379" s="269"/>
      <c r="AN379" s="269"/>
      <c r="AO379" s="269"/>
      <c r="AP379" s="269"/>
      <c r="AQ379" s="269"/>
      <c r="AR379" s="269"/>
      <c r="AS379" s="269"/>
      <c r="AT379" s="269"/>
      <c r="AU379" s="269"/>
      <c r="AV379" s="269"/>
      <c r="AW379" s="269"/>
      <c r="AX379" s="269"/>
      <c r="CC379" s="132" t="s">
        <v>1</v>
      </c>
      <c r="CD379" s="133" t="s">
        <v>40</v>
      </c>
      <c r="CF379" s="134">
        <f>CE379*H379</f>
        <v>0</v>
      </c>
      <c r="CG379" s="134">
        <v>0</v>
      </c>
      <c r="CH379" s="134">
        <f>CG379*H379</f>
        <v>0</v>
      </c>
      <c r="CI379" s="134">
        <v>0</v>
      </c>
      <c r="CJ379" s="135">
        <f>CI379*H379</f>
        <v>0</v>
      </c>
      <c r="DH379" s="136" t="s">
        <v>95</v>
      </c>
      <c r="DJ379" s="136" t="s">
        <v>284</v>
      </c>
      <c r="DK379" s="136" t="s">
        <v>83</v>
      </c>
      <c r="DO379" s="16" t="s">
        <v>282</v>
      </c>
      <c r="DU379" s="137">
        <f>IF(CD379="základní",J379,0)</f>
        <v>50893.94</v>
      </c>
      <c r="DV379" s="137">
        <f>IF(CD379="snížená",J379,0)</f>
        <v>0</v>
      </c>
      <c r="DW379" s="137">
        <f>IF(CD379="zákl. přenesená",J379,0)</f>
        <v>0</v>
      </c>
      <c r="DX379" s="137">
        <f>IF(CD379="sníž. přenesená",J379,0)</f>
        <v>0</v>
      </c>
      <c r="DY379" s="137">
        <f>IF(CD379="nulová",J379,0)</f>
        <v>0</v>
      </c>
      <c r="DZ379" s="16" t="s">
        <v>81</v>
      </c>
      <c r="EA379" s="137">
        <f>ROUND(I379*H379,2)</f>
        <v>50893.94</v>
      </c>
      <c r="EB379" s="16" t="s">
        <v>95</v>
      </c>
      <c r="EC379" s="136" t="s">
        <v>727</v>
      </c>
    </row>
    <row r="380" spans="2:133" s="1" customFormat="1" ht="29.25" x14ac:dyDescent="0.2">
      <c r="B380" s="31"/>
      <c r="D380" s="138" t="s">
        <v>289</v>
      </c>
      <c r="F380" s="139" t="s">
        <v>728</v>
      </c>
      <c r="I380" s="140"/>
      <c r="L380" s="31"/>
      <c r="N380" s="213">
        <f>0.999*56.25</f>
        <v>56.193750000000001</v>
      </c>
      <c r="O380" s="214" t="s">
        <v>3867</v>
      </c>
      <c r="Q380" s="229"/>
      <c r="CC380" s="141"/>
      <c r="CJ380" s="50"/>
      <c r="DJ380" s="16" t="s">
        <v>289</v>
      </c>
      <c r="DK380" s="16" t="s">
        <v>83</v>
      </c>
    </row>
    <row r="381" spans="2:133" s="11" customFormat="1" x14ac:dyDescent="0.2">
      <c r="B381" s="143"/>
      <c r="D381" s="138" t="s">
        <v>301</v>
      </c>
      <c r="E381" s="144" t="s">
        <v>1</v>
      </c>
      <c r="F381" s="145" t="s">
        <v>729</v>
      </c>
      <c r="H381" s="144" t="s">
        <v>1</v>
      </c>
      <c r="I381" s="146"/>
      <c r="L381" s="143"/>
      <c r="N381" s="319">
        <f>N380-H382</f>
        <v>-5.6249999999998579E-2</v>
      </c>
      <c r="O381" s="216"/>
      <c r="Q381" s="230"/>
      <c r="CC381" s="147"/>
      <c r="CJ381" s="148"/>
      <c r="DJ381" s="144" t="s">
        <v>301</v>
      </c>
      <c r="DK381" s="144" t="s">
        <v>83</v>
      </c>
      <c r="DL381" s="11" t="s">
        <v>81</v>
      </c>
      <c r="DM381" s="11" t="s">
        <v>32</v>
      </c>
      <c r="DN381" s="11" t="s">
        <v>74</v>
      </c>
      <c r="DO381" s="144" t="s">
        <v>282</v>
      </c>
    </row>
    <row r="382" spans="2:133" s="12" customFormat="1" x14ac:dyDescent="0.2">
      <c r="B382" s="149"/>
      <c r="D382" s="138" t="s">
        <v>301</v>
      </c>
      <c r="E382" s="150" t="s">
        <v>1</v>
      </c>
      <c r="F382" s="151" t="s">
        <v>883</v>
      </c>
      <c r="H382" s="152">
        <v>56.25</v>
      </c>
      <c r="I382" s="153"/>
      <c r="L382" s="149"/>
      <c r="N382" s="217"/>
      <c r="O382" s="218"/>
      <c r="Q382" s="231"/>
      <c r="CC382" s="179"/>
      <c r="CD382" s="180"/>
      <c r="CE382" s="180"/>
      <c r="CF382" s="180"/>
      <c r="CG382" s="180"/>
      <c r="CH382" s="180"/>
      <c r="CI382" s="180"/>
      <c r="CJ382" s="181"/>
      <c r="DJ382" s="150" t="s">
        <v>301</v>
      </c>
      <c r="DK382" s="150" t="s">
        <v>83</v>
      </c>
      <c r="DL382" s="12" t="s">
        <v>83</v>
      </c>
      <c r="DM382" s="12" t="s">
        <v>32</v>
      </c>
      <c r="DN382" s="12" t="s">
        <v>81</v>
      </c>
      <c r="DO382" s="150" t="s">
        <v>282</v>
      </c>
    </row>
    <row r="383" spans="2:133" s="1" customFormat="1" ht="6.95" customHeight="1" thickBot="1" x14ac:dyDescent="0.25">
      <c r="B383" s="43"/>
      <c r="C383" s="44"/>
      <c r="D383" s="44"/>
      <c r="E383" s="44"/>
      <c r="F383" s="44"/>
      <c r="G383" s="44"/>
      <c r="H383" s="44"/>
      <c r="I383" s="44"/>
      <c r="J383" s="44"/>
      <c r="K383" s="44"/>
      <c r="L383" s="235"/>
      <c r="M383" s="237"/>
      <c r="N383" s="239"/>
      <c r="O383" s="240"/>
      <c r="P383" s="238"/>
      <c r="Q383" s="241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</row>
  </sheetData>
  <autoFilter ref="C121:K382"/>
  <mergeCells count="32">
    <mergeCell ref="H120:K120"/>
    <mergeCell ref="E90:H90"/>
    <mergeCell ref="E7:H7"/>
    <mergeCell ref="E11:H11"/>
    <mergeCell ref="E9:H9"/>
    <mergeCell ref="E13:H13"/>
    <mergeCell ref="E22:H22"/>
    <mergeCell ref="L2:CL2"/>
    <mergeCell ref="E31:H31"/>
    <mergeCell ref="E84:H84"/>
    <mergeCell ref="E88:H88"/>
    <mergeCell ref="E86:H86"/>
    <mergeCell ref="L121:Q121"/>
    <mergeCell ref="L122:M122"/>
    <mergeCell ref="N122:O122"/>
    <mergeCell ref="P122:Q122"/>
    <mergeCell ref="S122:T122"/>
    <mergeCell ref="U122:V122"/>
    <mergeCell ref="W122:X122"/>
    <mergeCell ref="Y122:Z122"/>
    <mergeCell ref="AA122:AB122"/>
    <mergeCell ref="AC122:AD122"/>
    <mergeCell ref="AE122:AF122"/>
    <mergeCell ref="AG122:AH122"/>
    <mergeCell ref="AI122:AJ122"/>
    <mergeCell ref="AK122:AL122"/>
    <mergeCell ref="AM122:AN122"/>
    <mergeCell ref="AO122:AP122"/>
    <mergeCell ref="AQ122:AR122"/>
    <mergeCell ref="AS122:AT122"/>
    <mergeCell ref="AU122:AV122"/>
    <mergeCell ref="AW122:AX1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EB426"/>
  <sheetViews>
    <sheetView windowProtection="1" showGridLines="0" topLeftCell="A398" zoomScale="85" zoomScaleNormal="85" workbookViewId="0">
      <selection activeCell="P398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83203125" customWidth="1"/>
    <col min="13" max="13" width="15" customWidth="1"/>
    <col min="14" max="14" width="12.5" customWidth="1"/>
    <col min="15" max="15" width="16.6640625" customWidth="1"/>
    <col min="16" max="16" width="12.5" hidden="1" customWidth="1"/>
    <col min="17" max="17" width="15" hidden="1" customWidth="1"/>
    <col min="18" max="79" width="12.5" customWidth="1"/>
    <col min="80" max="80" width="10.83203125" hidden="1" customWidth="1"/>
    <col min="81" max="81" width="0" hidden="1" customWidth="1"/>
    <col min="82" max="87" width="14.1640625" hidden="1" customWidth="1"/>
    <col min="88" max="88" width="16.33203125" customWidth="1"/>
    <col min="89" max="89" width="12.33203125" customWidth="1"/>
    <col min="90" max="90" width="16.33203125" customWidth="1"/>
    <col min="91" max="91" width="12.33203125" customWidth="1"/>
    <col min="92" max="92" width="15" customWidth="1"/>
    <col min="93" max="93" width="11" customWidth="1"/>
    <col min="94" max="94" width="15" customWidth="1"/>
    <col min="95" max="95" width="16.33203125" customWidth="1"/>
    <col min="96" max="96" width="11" customWidth="1"/>
    <col min="97" max="97" width="15" customWidth="1"/>
    <col min="98" max="98" width="16.33203125" customWidth="1"/>
    <col min="111" max="132" width="9.33203125" hidden="1"/>
  </cols>
  <sheetData>
    <row r="1" spans="2:113" hidden="1" x14ac:dyDescent="0.2"/>
    <row r="2" spans="2:113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DI2" s="16" t="s">
        <v>108</v>
      </c>
    </row>
    <row r="3" spans="2:113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I3" s="16" t="s">
        <v>83</v>
      </c>
    </row>
    <row r="4" spans="2:113" ht="24.95" hidden="1" customHeight="1" x14ac:dyDescent="0.2">
      <c r="B4" s="19"/>
      <c r="D4" s="20" t="s">
        <v>243</v>
      </c>
      <c r="L4" s="19"/>
      <c r="CB4" s="79" t="s">
        <v>10</v>
      </c>
      <c r="DI4" s="16" t="s">
        <v>3</v>
      </c>
    </row>
    <row r="5" spans="2:113" ht="6.95" hidden="1" customHeight="1" x14ac:dyDescent="0.2">
      <c r="B5" s="19"/>
      <c r="L5" s="19"/>
    </row>
    <row r="6" spans="2:113" ht="12" hidden="1" customHeight="1" x14ac:dyDescent="0.2">
      <c r="B6" s="19"/>
      <c r="D6" s="26" t="s">
        <v>16</v>
      </c>
      <c r="L6" s="19"/>
    </row>
    <row r="7" spans="2:113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13" ht="12.75" hidden="1" x14ac:dyDescent="0.2">
      <c r="B8" s="19"/>
      <c r="D8" s="26" t="s">
        <v>244</v>
      </c>
      <c r="L8" s="19"/>
    </row>
    <row r="9" spans="2:113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13" ht="12" hidden="1" customHeight="1" x14ac:dyDescent="0.2">
      <c r="B10" s="19"/>
      <c r="D10" s="26" t="s">
        <v>246</v>
      </c>
      <c r="L10" s="19"/>
    </row>
    <row r="11" spans="2:113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13" s="1" customFormat="1" ht="12" hidden="1" customHeight="1" x14ac:dyDescent="0.2">
      <c r="B12" s="31"/>
      <c r="D12" s="26" t="s">
        <v>248</v>
      </c>
      <c r="L12" s="31"/>
    </row>
    <row r="13" spans="2:113" s="1" customFormat="1" ht="16.5" hidden="1" customHeight="1" x14ac:dyDescent="0.2">
      <c r="B13" s="31"/>
      <c r="E13" s="432" t="s">
        <v>884</v>
      </c>
      <c r="F13" s="433"/>
      <c r="G13" s="433"/>
      <c r="H13" s="433"/>
      <c r="L13" s="31"/>
    </row>
    <row r="14" spans="2:113" s="1" customFormat="1" hidden="1" x14ac:dyDescent="0.2">
      <c r="B14" s="31"/>
      <c r="L14" s="31"/>
    </row>
    <row r="15" spans="2:113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13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ROUND(J125, 2)</f>
        <v>5042597.17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ROUND((SUM(DT125:DT425)),  2)</f>
        <v>5042597.17</v>
      </c>
      <c r="I37" s="84">
        <v>0.21</v>
      </c>
      <c r="J37" s="71">
        <f>ROUND(((SUM(DT125:DT425))*I37),  2)</f>
        <v>1058945.4099999999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ROUND((SUM(DU125:DU425)),  2)</f>
        <v>0</v>
      </c>
      <c r="I38" s="84">
        <v>0.15</v>
      </c>
      <c r="J38" s="71">
        <f>ROUND(((SUM(DU125:DU425))*I38),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ROUND((SUM(DV125:DV425)),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ROUND((SUM(DW125:DW425)),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ROUND((SUM(DX125:DX425)),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6101542.5800000001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00005 - DSO 01.1e Stoka A4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4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4" s="1" customFormat="1" ht="10.35" hidden="1" customHeight="1" x14ac:dyDescent="0.2">
      <c r="B98" s="31"/>
      <c r="L98" s="31"/>
    </row>
    <row r="99" spans="2:114" s="1" customFormat="1" ht="22.9" hidden="1" customHeight="1" x14ac:dyDescent="0.2">
      <c r="B99" s="31"/>
      <c r="C99" s="95" t="s">
        <v>256</v>
      </c>
      <c r="J99" s="58">
        <f>J125</f>
        <v>5042597.169999999</v>
      </c>
      <c r="L99" s="31"/>
      <c r="DJ99" s="16" t="s">
        <v>257</v>
      </c>
    </row>
    <row r="100" spans="2:114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J126</f>
        <v>5042597.169999999</v>
      </c>
      <c r="L100" s="96"/>
    </row>
    <row r="101" spans="2:114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J128</f>
        <v>2825642.3599999994</v>
      </c>
      <c r="L101" s="100"/>
    </row>
    <row r="102" spans="2:114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J246</f>
        <v>94193.17</v>
      </c>
      <c r="L102" s="100"/>
    </row>
    <row r="103" spans="2:114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J251</f>
        <v>70656.800000000003</v>
      </c>
      <c r="L103" s="100"/>
    </row>
    <row r="104" spans="2:114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J291</f>
        <v>962318.61</v>
      </c>
      <c r="L104" s="100"/>
    </row>
    <row r="105" spans="2:114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J310</f>
        <v>655017.49000000034</v>
      </c>
      <c r="L105" s="100"/>
    </row>
    <row r="106" spans="2:114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J386</f>
        <v>40587.81</v>
      </c>
      <c r="L106" s="100"/>
    </row>
    <row r="107" spans="2:114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J401</f>
        <v>281513.96000000002</v>
      </c>
      <c r="L107" s="100"/>
    </row>
    <row r="108" spans="2:114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J421</f>
        <v>112666.97</v>
      </c>
      <c r="L108" s="100"/>
    </row>
    <row r="109" spans="2:114" s="1" customFormat="1" ht="21.75" hidden="1" customHeight="1" x14ac:dyDescent="0.2">
      <c r="B109" s="31"/>
      <c r="L109" s="31"/>
    </row>
    <row r="110" spans="2:114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14" hidden="1" x14ac:dyDescent="0.2"/>
    <row r="112" spans="2:114" hidden="1" x14ac:dyDescent="0.2"/>
    <row r="114" spans="2:130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30" s="1" customFormat="1" ht="24.95" customHeight="1" x14ac:dyDescent="0.2">
      <c r="B115" s="31"/>
      <c r="C115" s="20" t="s">
        <v>3330</v>
      </c>
      <c r="L115" s="31"/>
    </row>
    <row r="116" spans="2:130" s="1" customFormat="1" ht="6.95" customHeight="1" x14ac:dyDescent="0.2">
      <c r="B116" s="31"/>
      <c r="L116" s="31"/>
    </row>
    <row r="117" spans="2:130" s="1" customFormat="1" ht="16.5" customHeight="1" x14ac:dyDescent="0.2">
      <c r="B117" s="31"/>
      <c r="E117" s="432" t="str">
        <f>E13</f>
        <v>00005 - DSO 01.1e Stoka A4</v>
      </c>
      <c r="F117" s="433"/>
      <c r="G117" s="433"/>
      <c r="H117" s="433"/>
      <c r="L117" s="31"/>
    </row>
    <row r="118" spans="2:130" s="1" customFormat="1" ht="6.95" customHeight="1" x14ac:dyDescent="0.2">
      <c r="B118" s="31"/>
      <c r="L118" s="31"/>
    </row>
    <row r="119" spans="2:130" s="1" customFormat="1" ht="12" customHeight="1" x14ac:dyDescent="0.2">
      <c r="B119" s="31"/>
      <c r="C119" s="26"/>
      <c r="F119" s="24"/>
      <c r="I119" s="26"/>
      <c r="J119" s="48"/>
      <c r="L119" s="31"/>
    </row>
    <row r="120" spans="2:130" s="1" customFormat="1" ht="6.95" customHeight="1" x14ac:dyDescent="0.2">
      <c r="B120" s="31"/>
      <c r="L120" s="31"/>
    </row>
    <row r="121" spans="2:130" s="1" customFormat="1" ht="40.15" customHeight="1" x14ac:dyDescent="0.2">
      <c r="B121" s="31"/>
      <c r="C121" s="26"/>
      <c r="F121" s="24"/>
      <c r="I121" s="26"/>
      <c r="J121" s="29"/>
      <c r="L121" s="31"/>
    </row>
    <row r="122" spans="2:130" s="1" customFormat="1" ht="15.2" customHeight="1" x14ac:dyDescent="0.2">
      <c r="B122" s="31"/>
      <c r="C122" s="26"/>
      <c r="F122" s="24"/>
      <c r="I122" s="26"/>
      <c r="J122" s="29"/>
      <c r="L122" s="31"/>
    </row>
    <row r="123" spans="2:130" s="1" customFormat="1" ht="21" customHeight="1" x14ac:dyDescent="0.2">
      <c r="B123" s="31"/>
      <c r="H123" s="430" t="s">
        <v>3331</v>
      </c>
      <c r="I123" s="430"/>
      <c r="J123" s="430"/>
      <c r="K123" s="431"/>
      <c r="L123" s="31"/>
      <c r="O123" s="317"/>
    </row>
    <row r="124" spans="2:130" s="9" customFormat="1" ht="29.25" customHeight="1" thickBot="1" x14ac:dyDescent="0.25">
      <c r="B124" s="104"/>
      <c r="C124" s="105" t="s">
        <v>268</v>
      </c>
      <c r="D124" s="106" t="s">
        <v>59</v>
      </c>
      <c r="E124" s="106" t="s">
        <v>55</v>
      </c>
      <c r="F124" s="106" t="s">
        <v>56</v>
      </c>
      <c r="G124" s="106" t="s">
        <v>269</v>
      </c>
      <c r="H124" s="106" t="s">
        <v>270</v>
      </c>
      <c r="I124" s="106" t="s">
        <v>271</v>
      </c>
      <c r="J124" s="106" t="s">
        <v>255</v>
      </c>
      <c r="K124" s="107" t="s">
        <v>272</v>
      </c>
      <c r="L124" s="437" t="s">
        <v>3307</v>
      </c>
      <c r="M124" s="438"/>
      <c r="N124" s="438"/>
      <c r="O124" s="438"/>
      <c r="P124" s="438"/>
      <c r="Q124" s="439"/>
      <c r="CB124" s="52" t="s">
        <v>1</v>
      </c>
      <c r="CC124" s="53" t="s">
        <v>39</v>
      </c>
      <c r="CD124" s="53" t="s">
        <v>273</v>
      </c>
      <c r="CE124" s="53" t="s">
        <v>274</v>
      </c>
      <c r="CF124" s="53" t="s">
        <v>275</v>
      </c>
      <c r="CG124" s="53" t="s">
        <v>276</v>
      </c>
      <c r="CH124" s="53" t="s">
        <v>277</v>
      </c>
      <c r="CI124" s="54" t="s">
        <v>278</v>
      </c>
    </row>
    <row r="125" spans="2:130" s="1" customFormat="1" ht="22.9" customHeight="1" x14ac:dyDescent="0.25">
      <c r="B125" s="31"/>
      <c r="C125" s="57" t="s">
        <v>279</v>
      </c>
      <c r="G125" s="1" t="s">
        <v>3306</v>
      </c>
      <c r="J125" s="108">
        <f>DZ125</f>
        <v>5042597.169999999</v>
      </c>
      <c r="L125" s="440" t="s">
        <v>3308</v>
      </c>
      <c r="M125" s="441"/>
      <c r="N125" s="440" t="s">
        <v>3343</v>
      </c>
      <c r="O125" s="441"/>
      <c r="P125" s="440" t="s">
        <v>3309</v>
      </c>
      <c r="Q125" s="441"/>
      <c r="S125" s="442" t="s">
        <v>3312</v>
      </c>
      <c r="T125" s="443"/>
      <c r="U125" s="443" t="s">
        <v>3313</v>
      </c>
      <c r="V125" s="443"/>
      <c r="W125" s="444" t="s">
        <v>3314</v>
      </c>
      <c r="X125" s="444"/>
      <c r="Y125" s="444" t="s">
        <v>3315</v>
      </c>
      <c r="Z125" s="444"/>
      <c r="AA125" s="444" t="s">
        <v>3316</v>
      </c>
      <c r="AB125" s="444"/>
      <c r="AC125" s="444" t="s">
        <v>3317</v>
      </c>
      <c r="AD125" s="444"/>
      <c r="AE125" s="444" t="s">
        <v>3318</v>
      </c>
      <c r="AF125" s="444"/>
      <c r="AG125" s="444" t="s">
        <v>3319</v>
      </c>
      <c r="AH125" s="444"/>
      <c r="AI125" s="444" t="s">
        <v>3320</v>
      </c>
      <c r="AJ125" s="444"/>
      <c r="AK125" s="444" t="s">
        <v>3321</v>
      </c>
      <c r="AL125" s="444"/>
      <c r="AM125" s="444" t="s">
        <v>3322</v>
      </c>
      <c r="AN125" s="444"/>
      <c r="AO125" s="444" t="s">
        <v>3323</v>
      </c>
      <c r="AP125" s="444"/>
      <c r="AQ125" s="444" t="s">
        <v>3324</v>
      </c>
      <c r="AR125" s="444"/>
      <c r="AS125" s="444" t="s">
        <v>3325</v>
      </c>
      <c r="AT125" s="444"/>
      <c r="AU125" s="444" t="s">
        <v>3326</v>
      </c>
      <c r="AV125" s="444"/>
      <c r="AW125" s="444" t="s">
        <v>3327</v>
      </c>
      <c r="AX125" s="445"/>
      <c r="CB125" s="55"/>
      <c r="CC125" s="49"/>
      <c r="CD125" s="49"/>
      <c r="CE125" s="109">
        <f>CE126</f>
        <v>0</v>
      </c>
      <c r="CF125" s="49"/>
      <c r="CG125" s="109">
        <f>CG126</f>
        <v>2217.7623057000001</v>
      </c>
      <c r="CH125" s="49"/>
      <c r="CI125" s="110">
        <f>CI126</f>
        <v>712.65032999999994</v>
      </c>
      <c r="DI125" s="16" t="s">
        <v>73</v>
      </c>
      <c r="DJ125" s="16" t="s">
        <v>257</v>
      </c>
      <c r="DZ125" s="111">
        <f>DZ126</f>
        <v>5042597.169999999</v>
      </c>
    </row>
    <row r="126" spans="2:130" s="10" customFormat="1" ht="25.9" customHeight="1" thickBot="1" x14ac:dyDescent="0.25">
      <c r="B126" s="112"/>
      <c r="D126" s="113" t="s">
        <v>73</v>
      </c>
      <c r="E126" s="114" t="s">
        <v>280</v>
      </c>
      <c r="F126" s="114" t="s">
        <v>281</v>
      </c>
      <c r="G126" s="10" t="s">
        <v>3306</v>
      </c>
      <c r="I126" s="115"/>
      <c r="J126" s="116">
        <f>DZ126</f>
        <v>5042597.169999999</v>
      </c>
      <c r="L126" s="190" t="s">
        <v>270</v>
      </c>
      <c r="M126" s="190" t="s">
        <v>3310</v>
      </c>
      <c r="N126" s="190" t="s">
        <v>270</v>
      </c>
      <c r="O126" s="190" t="s">
        <v>3310</v>
      </c>
      <c r="P126" s="190" t="s">
        <v>3311</v>
      </c>
      <c r="Q126" s="190" t="s">
        <v>3310</v>
      </c>
      <c r="S126" s="193" t="s">
        <v>270</v>
      </c>
      <c r="T126" s="194" t="s">
        <v>3310</v>
      </c>
      <c r="U126" s="194" t="s">
        <v>270</v>
      </c>
      <c r="V126" s="194" t="s">
        <v>3310</v>
      </c>
      <c r="W126" s="194" t="s">
        <v>270</v>
      </c>
      <c r="X126" s="194" t="s">
        <v>3328</v>
      </c>
      <c r="Y126" s="194" t="s">
        <v>270</v>
      </c>
      <c r="Z126" s="194" t="s">
        <v>3328</v>
      </c>
      <c r="AA126" s="194" t="s">
        <v>270</v>
      </c>
      <c r="AB126" s="194" t="s">
        <v>3328</v>
      </c>
      <c r="AC126" s="194" t="s">
        <v>270</v>
      </c>
      <c r="AD126" s="194" t="s">
        <v>3328</v>
      </c>
      <c r="AE126" s="194" t="s">
        <v>270</v>
      </c>
      <c r="AF126" s="194" t="s">
        <v>3328</v>
      </c>
      <c r="AG126" s="194" t="s">
        <v>270</v>
      </c>
      <c r="AH126" s="194" t="s">
        <v>3328</v>
      </c>
      <c r="AI126" s="194" t="s">
        <v>270</v>
      </c>
      <c r="AJ126" s="194" t="s">
        <v>3328</v>
      </c>
      <c r="AK126" s="194" t="s">
        <v>270</v>
      </c>
      <c r="AL126" s="194" t="s">
        <v>3328</v>
      </c>
      <c r="AM126" s="194" t="s">
        <v>270</v>
      </c>
      <c r="AN126" s="194" t="s">
        <v>3328</v>
      </c>
      <c r="AO126" s="194" t="s">
        <v>270</v>
      </c>
      <c r="AP126" s="194" t="s">
        <v>3328</v>
      </c>
      <c r="AQ126" s="194" t="s">
        <v>270</v>
      </c>
      <c r="AR126" s="194" t="s">
        <v>3328</v>
      </c>
      <c r="AS126" s="194" t="s">
        <v>270</v>
      </c>
      <c r="AT126" s="194" t="s">
        <v>3328</v>
      </c>
      <c r="AU126" s="194" t="s">
        <v>270</v>
      </c>
      <c r="AV126" s="194" t="s">
        <v>3328</v>
      </c>
      <c r="AW126" s="194" t="s">
        <v>270</v>
      </c>
      <c r="AX126" s="195" t="s">
        <v>3328</v>
      </c>
      <c r="CB126" s="117"/>
      <c r="CE126" s="118">
        <f>CE128+CE246+CE251+CE291+CE310+CE386+CE401+CE421</f>
        <v>0</v>
      </c>
      <c r="CG126" s="118">
        <f>CG128+CG246+CG251+CG291+CG310+CG386+CG401+CG421</f>
        <v>2217.7623057000001</v>
      </c>
      <c r="CI126" s="119">
        <f>CI128+CI246+CI251+CI291+CI310+CI386+CI401+CI421</f>
        <v>712.65032999999994</v>
      </c>
      <c r="DG126" s="113" t="s">
        <v>81</v>
      </c>
      <c r="DI126" s="120" t="s">
        <v>73</v>
      </c>
      <c r="DJ126" s="120" t="s">
        <v>74</v>
      </c>
      <c r="DN126" s="113" t="s">
        <v>282</v>
      </c>
      <c r="DZ126" s="121">
        <f>DZ128+DZ246+DZ251+DZ291+DZ310+DZ386+DZ401+DZ421</f>
        <v>5042597.169999999</v>
      </c>
    </row>
    <row r="127" spans="2:130" s="10" customFormat="1" ht="25.9" customHeight="1" thickBot="1" x14ac:dyDescent="0.25">
      <c r="B127" s="112"/>
      <c r="D127" s="113"/>
      <c r="E127" s="114"/>
      <c r="F127" s="114"/>
      <c r="G127" s="10" t="s">
        <v>3306</v>
      </c>
      <c r="I127" s="115"/>
      <c r="J127" s="116" t="s">
        <v>3306</v>
      </c>
      <c r="L127" s="191"/>
      <c r="M127" s="192">
        <f>M128+M246+M251+M291+M310+M386+M401+M421</f>
        <v>0</v>
      </c>
      <c r="N127" s="192"/>
      <c r="O127" s="192">
        <f t="shared" ref="O127:Q127" si="0">O128+O246+O251+O291+O310+O386+O401+O421</f>
        <v>-50056.520000000011</v>
      </c>
      <c r="P127" s="192"/>
      <c r="Q127" s="192">
        <f t="shared" si="0"/>
        <v>5092653.7399999993</v>
      </c>
      <c r="S127" s="196"/>
      <c r="T127" s="197">
        <f>T128+T246+T251+T291+T310+T386+T401+T421</f>
        <v>0</v>
      </c>
      <c r="U127" s="197"/>
      <c r="V127" s="197">
        <f t="shared" ref="V127:AX127" si="1">V128+V246+V251+V291+V310+V386+V401+V421</f>
        <v>5042597.169999999</v>
      </c>
      <c r="W127" s="197"/>
      <c r="X127" s="197">
        <f t="shared" si="1"/>
        <v>0</v>
      </c>
      <c r="Y127" s="197"/>
      <c r="Z127" s="197">
        <f t="shared" si="1"/>
        <v>0</v>
      </c>
      <c r="AA127" s="197"/>
      <c r="AB127" s="197">
        <f t="shared" si="1"/>
        <v>0</v>
      </c>
      <c r="AC127" s="197"/>
      <c r="AD127" s="197">
        <f t="shared" si="1"/>
        <v>0</v>
      </c>
      <c r="AE127" s="197"/>
      <c r="AF127" s="197">
        <f t="shared" si="1"/>
        <v>0</v>
      </c>
      <c r="AG127" s="197"/>
      <c r="AH127" s="197">
        <f t="shared" si="1"/>
        <v>0</v>
      </c>
      <c r="AI127" s="197"/>
      <c r="AJ127" s="197">
        <f t="shared" si="1"/>
        <v>0</v>
      </c>
      <c r="AK127" s="197"/>
      <c r="AL127" s="197">
        <f t="shared" si="1"/>
        <v>0</v>
      </c>
      <c r="AM127" s="197"/>
      <c r="AN127" s="197">
        <f t="shared" si="1"/>
        <v>0</v>
      </c>
      <c r="AO127" s="197"/>
      <c r="AP127" s="197">
        <f t="shared" si="1"/>
        <v>0</v>
      </c>
      <c r="AQ127" s="197"/>
      <c r="AR127" s="197">
        <f t="shared" si="1"/>
        <v>0</v>
      </c>
      <c r="AS127" s="197"/>
      <c r="AT127" s="197">
        <f t="shared" si="1"/>
        <v>0</v>
      </c>
      <c r="AU127" s="197"/>
      <c r="AV127" s="197">
        <f t="shared" si="1"/>
        <v>0</v>
      </c>
      <c r="AW127" s="197"/>
      <c r="AX127" s="197">
        <f t="shared" si="1"/>
        <v>0</v>
      </c>
      <c r="CB127" s="117"/>
      <c r="CE127" s="118"/>
      <c r="CG127" s="118"/>
      <c r="CI127" s="119"/>
      <c r="DG127" s="113"/>
      <c r="DI127" s="120"/>
      <c r="DJ127" s="120"/>
      <c r="DN127" s="113"/>
      <c r="DZ127" s="121"/>
    </row>
    <row r="128" spans="2:130" s="10" customFormat="1" ht="22.9" customHeight="1" x14ac:dyDescent="0.2">
      <c r="B128" s="112"/>
      <c r="D128" s="113" t="s">
        <v>73</v>
      </c>
      <c r="E128" s="122" t="s">
        <v>81</v>
      </c>
      <c r="F128" s="122" t="s">
        <v>283</v>
      </c>
      <c r="G128" s="10" t="s">
        <v>3306</v>
      </c>
      <c r="I128" s="115"/>
      <c r="J128" s="123">
        <f>DZ128</f>
        <v>2825642.3599999994</v>
      </c>
      <c r="L128" s="112"/>
      <c r="M128" s="202">
        <f>SUM(M129:M243)</f>
        <v>0</v>
      </c>
      <c r="N128" s="209"/>
      <c r="O128" s="210">
        <f t="shared" ref="O128:V128" si="2">SUM(O129:O243)</f>
        <v>1135.53</v>
      </c>
      <c r="P128" s="202"/>
      <c r="Q128" s="227">
        <f t="shared" si="2"/>
        <v>2824506.84</v>
      </c>
      <c r="R128" s="202"/>
      <c r="S128" s="202"/>
      <c r="T128" s="202">
        <f t="shared" si="2"/>
        <v>0</v>
      </c>
      <c r="U128" s="202"/>
      <c r="V128" s="202">
        <f t="shared" si="2"/>
        <v>2825642.3599999994</v>
      </c>
      <c r="CB128" s="117"/>
      <c r="CE128" s="118">
        <f>SUM(CE129:CE245)</f>
        <v>0</v>
      </c>
      <c r="CG128" s="118">
        <f>SUM(CG129:CG245)</f>
        <v>2095.0895817000001</v>
      </c>
      <c r="CI128" s="119">
        <f>SUM(CI129:CI245)</f>
        <v>712.65032999999994</v>
      </c>
      <c r="DG128" s="113" t="s">
        <v>81</v>
      </c>
      <c r="DI128" s="120" t="s">
        <v>73</v>
      </c>
      <c r="DJ128" s="120" t="s">
        <v>81</v>
      </c>
      <c r="DN128" s="113" t="s">
        <v>282</v>
      </c>
      <c r="DZ128" s="121">
        <f>SUM(DZ129:DZ245)</f>
        <v>2825642.3599999994</v>
      </c>
    </row>
    <row r="129" spans="2:132" s="1" customFormat="1" ht="24.2" customHeight="1" x14ac:dyDescent="0.2">
      <c r="B129" s="124"/>
      <c r="C129" s="125" t="s">
        <v>81</v>
      </c>
      <c r="D129" s="125" t="s">
        <v>284</v>
      </c>
      <c r="E129" s="126" t="s">
        <v>285</v>
      </c>
      <c r="F129" s="127" t="s">
        <v>286</v>
      </c>
      <c r="G129" s="128" t="s">
        <v>287</v>
      </c>
      <c r="H129" s="129">
        <v>419.76</v>
      </c>
      <c r="I129" s="130">
        <v>68.767172335543137</v>
      </c>
      <c r="J129" s="131">
        <f>ROUND(I129*H129,2)</f>
        <v>28865.71</v>
      </c>
      <c r="K129" s="127" t="s">
        <v>1</v>
      </c>
      <c r="L129" s="198">
        <f>S129</f>
        <v>0</v>
      </c>
      <c r="M129" s="206">
        <f>ROUND(L129*I129,2)</f>
        <v>0</v>
      </c>
      <c r="N129" s="211">
        <f>N133</f>
        <v>0.16800000000000637</v>
      </c>
      <c r="O129" s="212">
        <f>ROUND(N129*I129,2)</f>
        <v>11.55</v>
      </c>
      <c r="P129" s="207">
        <f>H129-L129-N129</f>
        <v>419.59199999999998</v>
      </c>
      <c r="Q129" s="228">
        <f>ROUND(P129*I129,2)</f>
        <v>28854.16</v>
      </c>
      <c r="R129" s="199"/>
      <c r="S129" s="200">
        <f>W129+Y129+AA129+AC129+AE129+AG129+AI129+AK129+AM129+AO129+AQ129+AS129+AU129+AW129</f>
        <v>0</v>
      </c>
      <c r="T129" s="200">
        <f>ROUND(S129*I129,2)</f>
        <v>0</v>
      </c>
      <c r="U129" s="200">
        <f>H129-S129</f>
        <v>419.76</v>
      </c>
      <c r="V129" s="200">
        <f>ROUND(U129*I129,2)</f>
        <v>28865.71</v>
      </c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CB129" s="132" t="s">
        <v>1</v>
      </c>
      <c r="CC129" s="133" t="s">
        <v>40</v>
      </c>
      <c r="CE129" s="134">
        <f>CD129*H129</f>
        <v>0</v>
      </c>
      <c r="CF129" s="134">
        <v>0</v>
      </c>
      <c r="CG129" s="134">
        <f>CF129*H129</f>
        <v>0</v>
      </c>
      <c r="CH129" s="134">
        <v>0.57999999999999996</v>
      </c>
      <c r="CI129" s="135">
        <f>CH129*H129</f>
        <v>243.46079999999998</v>
      </c>
      <c r="DG129" s="136" t="s">
        <v>95</v>
      </c>
      <c r="DI129" s="136" t="s">
        <v>284</v>
      </c>
      <c r="DJ129" s="136" t="s">
        <v>83</v>
      </c>
      <c r="DN129" s="16" t="s">
        <v>282</v>
      </c>
      <c r="DT129" s="137">
        <f>IF(CC129="základní",J129,0)</f>
        <v>28865.71</v>
      </c>
      <c r="DU129" s="137">
        <f>IF(CC129="snížená",J129,0)</f>
        <v>0</v>
      </c>
      <c r="DV129" s="137">
        <f>IF(CC129="zákl. přenesená",J129,0)</f>
        <v>0</v>
      </c>
      <c r="DW129" s="137">
        <f>IF(CC129="sníž. přenesená",J129,0)</f>
        <v>0</v>
      </c>
      <c r="DX129" s="137">
        <f>IF(CC129="nulová",J129,0)</f>
        <v>0</v>
      </c>
      <c r="DY129" s="16" t="s">
        <v>81</v>
      </c>
      <c r="DZ129" s="137">
        <f>ROUND(I129*H129,2)</f>
        <v>28865.71</v>
      </c>
      <c r="EA129" s="16" t="s">
        <v>95</v>
      </c>
      <c r="EB129" s="136" t="s">
        <v>288</v>
      </c>
    </row>
    <row r="130" spans="2:132" s="1" customFormat="1" ht="39" x14ac:dyDescent="0.2">
      <c r="B130" s="31"/>
      <c r="D130" s="138" t="s">
        <v>289</v>
      </c>
      <c r="F130" s="139" t="s">
        <v>290</v>
      </c>
      <c r="I130" s="140"/>
      <c r="L130" s="31"/>
      <c r="N130" s="213"/>
      <c r="O130" s="214"/>
      <c r="Q130" s="229"/>
      <c r="CB130" s="141"/>
      <c r="CI130" s="50"/>
      <c r="DI130" s="16" t="s">
        <v>289</v>
      </c>
      <c r="DJ130" s="16" t="s">
        <v>83</v>
      </c>
    </row>
    <row r="131" spans="2:132" s="1" customFormat="1" ht="24.2" customHeight="1" x14ac:dyDescent="0.2">
      <c r="B131" s="124"/>
      <c r="C131" s="125" t="s">
        <v>83</v>
      </c>
      <c r="D131" s="125" t="s">
        <v>284</v>
      </c>
      <c r="E131" s="126" t="s">
        <v>291</v>
      </c>
      <c r="F131" s="127" t="s">
        <v>292</v>
      </c>
      <c r="G131" s="128" t="s">
        <v>287</v>
      </c>
      <c r="H131" s="129">
        <v>419.76</v>
      </c>
      <c r="I131" s="130">
        <v>68.767172335543137</v>
      </c>
      <c r="J131" s="131">
        <f>ROUND(I131*H131,2)</f>
        <v>28865.71</v>
      </c>
      <c r="K131" s="127" t="s">
        <v>293</v>
      </c>
      <c r="L131" s="198">
        <f>S131</f>
        <v>0</v>
      </c>
      <c r="M131" s="206">
        <f>ROUND(L131*I131,2)</f>
        <v>0</v>
      </c>
      <c r="N131" s="211">
        <f>N133</f>
        <v>0.16800000000000637</v>
      </c>
      <c r="O131" s="212">
        <f>ROUND(N131*I131,2)</f>
        <v>11.55</v>
      </c>
      <c r="P131" s="207">
        <f>H131-L131-N131</f>
        <v>419.59199999999998</v>
      </c>
      <c r="Q131" s="228">
        <f>ROUND(P131*I131,2)</f>
        <v>28854.16</v>
      </c>
      <c r="R131" s="199"/>
      <c r="S131" s="200">
        <f>W131+Y131+AA131+AC131+AE131+AG131+AI131+AK131+AM131+AO131+AQ131+AS131+AU131+AW131</f>
        <v>0</v>
      </c>
      <c r="T131" s="200">
        <f>ROUND(S131*I131,2)</f>
        <v>0</v>
      </c>
      <c r="U131" s="200">
        <f>H131-S131</f>
        <v>419.76</v>
      </c>
      <c r="V131" s="200">
        <f>ROUND(U131*I131,2)</f>
        <v>28865.71</v>
      </c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CB131" s="132" t="s">
        <v>1</v>
      </c>
      <c r="CC131" s="133" t="s">
        <v>40</v>
      </c>
      <c r="CE131" s="134">
        <f>CD131*H131</f>
        <v>0</v>
      </c>
      <c r="CF131" s="134">
        <v>0</v>
      </c>
      <c r="CG131" s="134">
        <f>CF131*H131</f>
        <v>0</v>
      </c>
      <c r="CH131" s="134">
        <v>0.57999999999999996</v>
      </c>
      <c r="CI131" s="135">
        <f>CH131*H131</f>
        <v>243.46079999999998</v>
      </c>
      <c r="DG131" s="136" t="s">
        <v>95</v>
      </c>
      <c r="DI131" s="136" t="s">
        <v>284</v>
      </c>
      <c r="DJ131" s="136" t="s">
        <v>83</v>
      </c>
      <c r="DN131" s="16" t="s">
        <v>282</v>
      </c>
      <c r="DT131" s="137">
        <f>IF(CC131="základní",J131,0)</f>
        <v>28865.71</v>
      </c>
      <c r="DU131" s="137">
        <f>IF(CC131="snížená",J131,0)</f>
        <v>0</v>
      </c>
      <c r="DV131" s="137">
        <f>IF(CC131="zákl. přenesená",J131,0)</f>
        <v>0</v>
      </c>
      <c r="DW131" s="137">
        <f>IF(CC131="sníž. přenesená",J131,0)</f>
        <v>0</v>
      </c>
      <c r="DX131" s="137">
        <f>IF(CC131="nulová",J131,0)</f>
        <v>0</v>
      </c>
      <c r="DY131" s="16" t="s">
        <v>81</v>
      </c>
      <c r="DZ131" s="137">
        <f>ROUND(I131*H131,2)</f>
        <v>28865.71</v>
      </c>
      <c r="EA131" s="16" t="s">
        <v>95</v>
      </c>
      <c r="EB131" s="136" t="s">
        <v>294</v>
      </c>
    </row>
    <row r="132" spans="2:132" s="1" customFormat="1" ht="39" x14ac:dyDescent="0.2">
      <c r="B132" s="31"/>
      <c r="D132" s="138" t="s">
        <v>289</v>
      </c>
      <c r="F132" s="139" t="s">
        <v>290</v>
      </c>
      <c r="I132" s="140"/>
      <c r="L132" s="31"/>
      <c r="N132" s="312"/>
      <c r="O132" s="214"/>
      <c r="Q132" s="229"/>
      <c r="CB132" s="141"/>
      <c r="CI132" s="50"/>
      <c r="DI132" s="16" t="s">
        <v>289</v>
      </c>
      <c r="DJ132" s="16" t="s">
        <v>83</v>
      </c>
    </row>
    <row r="133" spans="2:132" s="1" customFormat="1" ht="24.2" customHeight="1" x14ac:dyDescent="0.2">
      <c r="B133" s="124"/>
      <c r="C133" s="125" t="s">
        <v>90</v>
      </c>
      <c r="D133" s="125" t="s">
        <v>284</v>
      </c>
      <c r="E133" s="126" t="s">
        <v>295</v>
      </c>
      <c r="F133" s="127" t="s">
        <v>732</v>
      </c>
      <c r="G133" s="128" t="s">
        <v>287</v>
      </c>
      <c r="H133" s="129">
        <v>419.76</v>
      </c>
      <c r="I133" s="130">
        <v>27.886826761540966</v>
      </c>
      <c r="J133" s="131">
        <f>ROUND(I133*H133,2)</f>
        <v>11705.77</v>
      </c>
      <c r="K133" s="127" t="s">
        <v>293</v>
      </c>
      <c r="L133" s="198">
        <f>S133</f>
        <v>0</v>
      </c>
      <c r="M133" s="206">
        <f>ROUND(L133*I133,2)</f>
        <v>0</v>
      </c>
      <c r="N133" s="211">
        <f>N141</f>
        <v>0.16800000000000637</v>
      </c>
      <c r="O133" s="212">
        <f>ROUND(N133*I133,2)</f>
        <v>4.68</v>
      </c>
      <c r="P133" s="207">
        <f>H133-L133-N133</f>
        <v>419.59199999999998</v>
      </c>
      <c r="Q133" s="228">
        <f>ROUND(P133*I133,2)</f>
        <v>11701.09</v>
      </c>
      <c r="R133" s="199"/>
      <c r="S133" s="200">
        <f>W133+Y133+AA133+AC133+AE133+AG133+AI133+AK133+AM133+AO133+AQ133+AS133+AU133+AW133</f>
        <v>0</v>
      </c>
      <c r="T133" s="200">
        <f>ROUND(S133*I133,2)</f>
        <v>0</v>
      </c>
      <c r="U133" s="200">
        <f>H133-S133</f>
        <v>419.76</v>
      </c>
      <c r="V133" s="200">
        <f>ROUND(U133*I133,2)</f>
        <v>11705.77</v>
      </c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CB133" s="132" t="s">
        <v>1</v>
      </c>
      <c r="CC133" s="133" t="s">
        <v>40</v>
      </c>
      <c r="CE133" s="134">
        <f>CD133*H133</f>
        <v>0</v>
      </c>
      <c r="CF133" s="134">
        <v>0</v>
      </c>
      <c r="CG133" s="134">
        <f>CF133*H133</f>
        <v>0</v>
      </c>
      <c r="CH133" s="134">
        <v>9.8000000000000004E-2</v>
      </c>
      <c r="CI133" s="135">
        <f>CH133*H133</f>
        <v>41.136479999999999</v>
      </c>
      <c r="DG133" s="136" t="s">
        <v>95</v>
      </c>
      <c r="DI133" s="136" t="s">
        <v>284</v>
      </c>
      <c r="DJ133" s="136" t="s">
        <v>83</v>
      </c>
      <c r="DN133" s="16" t="s">
        <v>282</v>
      </c>
      <c r="DT133" s="137">
        <f>IF(CC133="základní",J133,0)</f>
        <v>11705.77</v>
      </c>
      <c r="DU133" s="137">
        <f>IF(CC133="snížená",J133,0)</f>
        <v>0</v>
      </c>
      <c r="DV133" s="137">
        <f>IF(CC133="zákl. přenesená",J133,0)</f>
        <v>0</v>
      </c>
      <c r="DW133" s="137">
        <f>IF(CC133="sníž. přenesená",J133,0)</f>
        <v>0</v>
      </c>
      <c r="DX133" s="137">
        <f>IF(CC133="nulová",J133,0)</f>
        <v>0</v>
      </c>
      <c r="DY133" s="16" t="s">
        <v>81</v>
      </c>
      <c r="DZ133" s="137">
        <f>ROUND(I133*H133,2)</f>
        <v>11705.77</v>
      </c>
      <c r="EA133" s="16" t="s">
        <v>95</v>
      </c>
      <c r="EB133" s="136" t="s">
        <v>297</v>
      </c>
    </row>
    <row r="134" spans="2:132" s="1" customFormat="1" ht="29.25" x14ac:dyDescent="0.2">
      <c r="B134" s="31"/>
      <c r="D134" s="138" t="s">
        <v>289</v>
      </c>
      <c r="F134" s="139" t="s">
        <v>298</v>
      </c>
      <c r="I134" s="140"/>
      <c r="L134" s="31"/>
      <c r="N134" s="213"/>
      <c r="O134" s="214"/>
      <c r="Q134" s="229"/>
      <c r="CB134" s="141"/>
      <c r="CI134" s="50"/>
      <c r="DI134" s="16" t="s">
        <v>289</v>
      </c>
      <c r="DJ134" s="16" t="s">
        <v>83</v>
      </c>
    </row>
    <row r="135" spans="2:132" s="1" customFormat="1" ht="29.25" x14ac:dyDescent="0.2">
      <c r="B135" s="31"/>
      <c r="D135" s="138" t="s">
        <v>299</v>
      </c>
      <c r="F135" s="142" t="s">
        <v>885</v>
      </c>
      <c r="I135" s="140"/>
      <c r="L135" s="31"/>
      <c r="N135" s="213"/>
      <c r="O135" s="214"/>
      <c r="Q135" s="229"/>
      <c r="CB135" s="141"/>
      <c r="CI135" s="50"/>
      <c r="DI135" s="16" t="s">
        <v>299</v>
      </c>
      <c r="DJ135" s="16" t="s">
        <v>83</v>
      </c>
    </row>
    <row r="136" spans="2:132" s="11" customFormat="1" x14ac:dyDescent="0.2">
      <c r="B136" s="143"/>
      <c r="D136" s="138" t="s">
        <v>301</v>
      </c>
      <c r="E136" s="144" t="s">
        <v>1</v>
      </c>
      <c r="F136" s="145" t="s">
        <v>302</v>
      </c>
      <c r="H136" s="144" t="s">
        <v>1</v>
      </c>
      <c r="I136" s="146"/>
      <c r="L136" s="143"/>
      <c r="N136" s="215"/>
      <c r="O136" s="216"/>
      <c r="Q136" s="230"/>
      <c r="CB136" s="147"/>
      <c r="CI136" s="148"/>
      <c r="DI136" s="144" t="s">
        <v>301</v>
      </c>
      <c r="DJ136" s="144" t="s">
        <v>83</v>
      </c>
      <c r="DK136" s="11" t="s">
        <v>81</v>
      </c>
      <c r="DL136" s="11" t="s">
        <v>32</v>
      </c>
      <c r="DM136" s="11" t="s">
        <v>74</v>
      </c>
      <c r="DN136" s="144" t="s">
        <v>282</v>
      </c>
    </row>
    <row r="137" spans="2:132" s="12" customFormat="1" x14ac:dyDescent="0.2">
      <c r="B137" s="149"/>
      <c r="D137" s="138" t="s">
        <v>301</v>
      </c>
      <c r="E137" s="150" t="s">
        <v>1</v>
      </c>
      <c r="F137" s="151" t="s">
        <v>886</v>
      </c>
      <c r="H137" s="152">
        <v>374.53500000000003</v>
      </c>
      <c r="I137" s="153"/>
      <c r="L137" s="149"/>
      <c r="N137" s="217">
        <f>356.86*1.05</f>
        <v>374.70300000000003</v>
      </c>
      <c r="O137" s="218" t="s">
        <v>3416</v>
      </c>
      <c r="Q137" s="231"/>
      <c r="CB137" s="154"/>
      <c r="CI137" s="155"/>
      <c r="DI137" s="150" t="s">
        <v>301</v>
      </c>
      <c r="DJ137" s="150" t="s">
        <v>83</v>
      </c>
      <c r="DK137" s="12" t="s">
        <v>83</v>
      </c>
      <c r="DL137" s="12" t="s">
        <v>32</v>
      </c>
      <c r="DM137" s="12" t="s">
        <v>74</v>
      </c>
      <c r="DN137" s="150" t="s">
        <v>282</v>
      </c>
    </row>
    <row r="138" spans="2:132" s="12" customFormat="1" x14ac:dyDescent="0.2">
      <c r="B138" s="149"/>
      <c r="D138" s="138" t="s">
        <v>301</v>
      </c>
      <c r="E138" s="150" t="s">
        <v>1</v>
      </c>
      <c r="F138" s="151" t="s">
        <v>887</v>
      </c>
      <c r="H138" s="152">
        <v>44.55</v>
      </c>
      <c r="I138" s="153"/>
      <c r="L138" s="149"/>
      <c r="N138" s="310">
        <f>H138</f>
        <v>44.55</v>
      </c>
      <c r="O138" s="218"/>
      <c r="Q138" s="231"/>
      <c r="CB138" s="154"/>
      <c r="CI138" s="155"/>
      <c r="DI138" s="150" t="s">
        <v>301</v>
      </c>
      <c r="DJ138" s="150" t="s">
        <v>83</v>
      </c>
      <c r="DK138" s="12" t="s">
        <v>83</v>
      </c>
      <c r="DL138" s="12" t="s">
        <v>32</v>
      </c>
      <c r="DM138" s="12" t="s">
        <v>74</v>
      </c>
      <c r="DN138" s="150" t="s">
        <v>282</v>
      </c>
    </row>
    <row r="139" spans="2:132" s="12" customFormat="1" x14ac:dyDescent="0.2">
      <c r="B139" s="149"/>
      <c r="D139" s="138" t="s">
        <v>301</v>
      </c>
      <c r="E139" s="150" t="s">
        <v>1</v>
      </c>
      <c r="F139" s="151" t="s">
        <v>888</v>
      </c>
      <c r="H139" s="152">
        <v>0.67500000000000004</v>
      </c>
      <c r="I139" s="153"/>
      <c r="L139" s="149"/>
      <c r="N139" s="310">
        <f>H139</f>
        <v>0.67500000000000004</v>
      </c>
      <c r="O139" s="218"/>
      <c r="Q139" s="231"/>
      <c r="CB139" s="154"/>
      <c r="CI139" s="155"/>
      <c r="DI139" s="150" t="s">
        <v>301</v>
      </c>
      <c r="DJ139" s="150" t="s">
        <v>83</v>
      </c>
      <c r="DK139" s="12" t="s">
        <v>83</v>
      </c>
      <c r="DL139" s="12" t="s">
        <v>32</v>
      </c>
      <c r="DM139" s="12" t="s">
        <v>74</v>
      </c>
      <c r="DN139" s="150" t="s">
        <v>282</v>
      </c>
    </row>
    <row r="140" spans="2:132" s="13" customFormat="1" x14ac:dyDescent="0.2">
      <c r="B140" s="156"/>
      <c r="D140" s="138" t="s">
        <v>301</v>
      </c>
      <c r="E140" s="157" t="s">
        <v>1</v>
      </c>
      <c r="F140" s="158" t="s">
        <v>305</v>
      </c>
      <c r="H140" s="159">
        <v>419.76000000000005</v>
      </c>
      <c r="I140" s="160"/>
      <c r="L140" s="156"/>
      <c r="N140" s="311">
        <f>N137+N138+N139</f>
        <v>419.92800000000005</v>
      </c>
      <c r="O140" s="220"/>
      <c r="Q140" s="232"/>
      <c r="R140" s="159"/>
      <c r="CB140" s="161"/>
      <c r="CI140" s="162"/>
      <c r="DI140" s="157" t="s">
        <v>301</v>
      </c>
      <c r="DJ140" s="157" t="s">
        <v>83</v>
      </c>
      <c r="DK140" s="13" t="s">
        <v>95</v>
      </c>
      <c r="DL140" s="13" t="s">
        <v>32</v>
      </c>
      <c r="DM140" s="13" t="s">
        <v>81</v>
      </c>
      <c r="DN140" s="157" t="s">
        <v>282</v>
      </c>
    </row>
    <row r="141" spans="2:132" s="13" customFormat="1" x14ac:dyDescent="0.2">
      <c r="B141" s="156"/>
      <c r="D141" s="138"/>
      <c r="E141" s="157"/>
      <c r="F141" s="158"/>
      <c r="H141" s="159"/>
      <c r="I141" s="160"/>
      <c r="L141" s="156"/>
      <c r="N141" s="311">
        <f>N140-H140</f>
        <v>0.16800000000000637</v>
      </c>
      <c r="O141" s="220"/>
      <c r="Q141" s="232"/>
      <c r="CB141" s="161"/>
      <c r="CI141" s="162"/>
      <c r="DI141" s="157"/>
      <c r="DJ141" s="157"/>
      <c r="DN141" s="157"/>
    </row>
    <row r="142" spans="2:132" s="1" customFormat="1" ht="24.2" customHeight="1" x14ac:dyDescent="0.2">
      <c r="B142" s="124"/>
      <c r="C142" s="125" t="s">
        <v>95</v>
      </c>
      <c r="D142" s="125" t="s">
        <v>284</v>
      </c>
      <c r="E142" s="126" t="s">
        <v>306</v>
      </c>
      <c r="F142" s="127" t="s">
        <v>307</v>
      </c>
      <c r="G142" s="128" t="s">
        <v>287</v>
      </c>
      <c r="H142" s="129">
        <v>1605.15</v>
      </c>
      <c r="I142" s="130">
        <v>55.314624729404002</v>
      </c>
      <c r="J142" s="131">
        <f>ROUND(I142*H142,2)</f>
        <v>88788.27</v>
      </c>
      <c r="K142" s="127" t="s">
        <v>293</v>
      </c>
      <c r="L142" s="198">
        <f>S142</f>
        <v>0</v>
      </c>
      <c r="M142" s="206">
        <f>ROUND(L142*I142,2)</f>
        <v>0</v>
      </c>
      <c r="N142" s="211">
        <f>N147</f>
        <v>0.72000000000002728</v>
      </c>
      <c r="O142" s="212">
        <f>ROUND(N142*I142,2)</f>
        <v>39.83</v>
      </c>
      <c r="P142" s="207">
        <f>H142-L142-N142</f>
        <v>1604.43</v>
      </c>
      <c r="Q142" s="228">
        <f>ROUND(P142*I142,2)</f>
        <v>88748.44</v>
      </c>
      <c r="R142" s="199"/>
      <c r="S142" s="200">
        <f>W142+Y142+AA142+AC142+AE142+AG142+AI142+AK142+AM142+AO142+AQ142+AS142+AU142+AW142</f>
        <v>0</v>
      </c>
      <c r="T142" s="200">
        <f>ROUND(S142*I142,2)</f>
        <v>0</v>
      </c>
      <c r="U142" s="200">
        <f>H142-S142</f>
        <v>1605.15</v>
      </c>
      <c r="V142" s="200">
        <f>ROUND(U142*I142,2)</f>
        <v>88788.27</v>
      </c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200"/>
      <c r="AV142" s="200"/>
      <c r="AW142" s="200"/>
      <c r="AX142" s="200"/>
      <c r="CB142" s="132" t="s">
        <v>1</v>
      </c>
      <c r="CC142" s="133" t="s">
        <v>40</v>
      </c>
      <c r="CE142" s="134">
        <f>CD142*H142</f>
        <v>0</v>
      </c>
      <c r="CF142" s="134">
        <v>6.9999999999999994E-5</v>
      </c>
      <c r="CG142" s="134">
        <f>CF142*H142</f>
        <v>0.1123605</v>
      </c>
      <c r="CH142" s="134">
        <v>0.115</v>
      </c>
      <c r="CI142" s="135">
        <f>CH142*H142</f>
        <v>184.59225000000001</v>
      </c>
      <c r="DG142" s="136" t="s">
        <v>95</v>
      </c>
      <c r="DI142" s="136" t="s">
        <v>284</v>
      </c>
      <c r="DJ142" s="136" t="s">
        <v>83</v>
      </c>
      <c r="DN142" s="16" t="s">
        <v>282</v>
      </c>
      <c r="DT142" s="137">
        <f>IF(CC142="základní",J142,0)</f>
        <v>88788.27</v>
      </c>
      <c r="DU142" s="137">
        <f>IF(CC142="snížená",J142,0)</f>
        <v>0</v>
      </c>
      <c r="DV142" s="137">
        <f>IF(CC142="zákl. přenesená",J142,0)</f>
        <v>0</v>
      </c>
      <c r="DW142" s="137">
        <f>IF(CC142="sníž. přenesená",J142,0)</f>
        <v>0</v>
      </c>
      <c r="DX142" s="137">
        <f>IF(CC142="nulová",J142,0)</f>
        <v>0</v>
      </c>
      <c r="DY142" s="16" t="s">
        <v>81</v>
      </c>
      <c r="DZ142" s="137">
        <f>ROUND(I142*H142,2)</f>
        <v>88788.27</v>
      </c>
      <c r="EA142" s="16" t="s">
        <v>95</v>
      </c>
      <c r="EB142" s="136" t="s">
        <v>308</v>
      </c>
    </row>
    <row r="143" spans="2:132" s="1" customFormat="1" ht="29.25" x14ac:dyDescent="0.2">
      <c r="B143" s="31"/>
      <c r="D143" s="138" t="s">
        <v>289</v>
      </c>
      <c r="F143" s="139" t="s">
        <v>309</v>
      </c>
      <c r="I143" s="140"/>
      <c r="L143" s="31"/>
      <c r="N143" s="213"/>
      <c r="O143" s="214"/>
      <c r="Q143" s="229"/>
      <c r="CB143" s="141"/>
      <c r="CI143" s="50"/>
      <c r="DI143" s="16" t="s">
        <v>289</v>
      </c>
      <c r="DJ143" s="16" t="s">
        <v>83</v>
      </c>
    </row>
    <row r="144" spans="2:132" s="1" customFormat="1" ht="29.25" x14ac:dyDescent="0.2">
      <c r="B144" s="31"/>
      <c r="D144" s="138" t="s">
        <v>299</v>
      </c>
      <c r="F144" s="142" t="s">
        <v>885</v>
      </c>
      <c r="I144" s="140"/>
      <c r="L144" s="31"/>
      <c r="N144" s="213"/>
      <c r="O144" s="214"/>
      <c r="Q144" s="229"/>
      <c r="CB144" s="141"/>
      <c r="CI144" s="50"/>
      <c r="DI144" s="16" t="s">
        <v>299</v>
      </c>
      <c r="DJ144" s="16" t="s">
        <v>83</v>
      </c>
    </row>
    <row r="145" spans="2:132" s="11" customFormat="1" x14ac:dyDescent="0.2">
      <c r="B145" s="143"/>
      <c r="D145" s="138" t="s">
        <v>301</v>
      </c>
      <c r="E145" s="144" t="s">
        <v>1</v>
      </c>
      <c r="F145" s="145" t="s">
        <v>310</v>
      </c>
      <c r="H145" s="144" t="s">
        <v>1</v>
      </c>
      <c r="I145" s="146"/>
      <c r="L145" s="143"/>
      <c r="N145" s="215"/>
      <c r="O145" s="216"/>
      <c r="Q145" s="230"/>
      <c r="CB145" s="147"/>
      <c r="CI145" s="148"/>
      <c r="DI145" s="144" t="s">
        <v>301</v>
      </c>
      <c r="DJ145" s="144" t="s">
        <v>83</v>
      </c>
      <c r="DK145" s="11" t="s">
        <v>81</v>
      </c>
      <c r="DL145" s="11" t="s">
        <v>32</v>
      </c>
      <c r="DM145" s="11" t="s">
        <v>74</v>
      </c>
      <c r="DN145" s="144" t="s">
        <v>282</v>
      </c>
    </row>
    <row r="146" spans="2:132" s="12" customFormat="1" x14ac:dyDescent="0.2">
      <c r="B146" s="149"/>
      <c r="D146" s="138" t="s">
        <v>301</v>
      </c>
      <c r="E146" s="150" t="s">
        <v>1</v>
      </c>
      <c r="F146" s="151" t="s">
        <v>889</v>
      </c>
      <c r="H146" s="152">
        <v>1605.15</v>
      </c>
      <c r="I146" s="153"/>
      <c r="L146" s="149"/>
      <c r="N146" s="217">
        <f>356.86*4.5</f>
        <v>1605.8700000000001</v>
      </c>
      <c r="O146" s="218" t="s">
        <v>3417</v>
      </c>
      <c r="Q146" s="231"/>
      <c r="CB146" s="154"/>
      <c r="CI146" s="155"/>
      <c r="DI146" s="150" t="s">
        <v>301</v>
      </c>
      <c r="DJ146" s="150" t="s">
        <v>83</v>
      </c>
      <c r="DK146" s="12" t="s">
        <v>83</v>
      </c>
      <c r="DL146" s="12" t="s">
        <v>32</v>
      </c>
      <c r="DM146" s="12" t="s">
        <v>81</v>
      </c>
      <c r="DN146" s="150" t="s">
        <v>282</v>
      </c>
    </row>
    <row r="147" spans="2:132" s="12" customFormat="1" x14ac:dyDescent="0.2">
      <c r="B147" s="149"/>
      <c r="D147" s="138"/>
      <c r="E147" s="150"/>
      <c r="F147" s="151"/>
      <c r="H147" s="152"/>
      <c r="I147" s="153"/>
      <c r="L147" s="149"/>
      <c r="N147" s="310">
        <f>N146-H146</f>
        <v>0.72000000000002728</v>
      </c>
      <c r="O147" s="218"/>
      <c r="Q147" s="231"/>
      <c r="CB147" s="154"/>
      <c r="CI147" s="155"/>
      <c r="DI147" s="150"/>
      <c r="DJ147" s="150"/>
      <c r="DN147" s="150"/>
    </row>
    <row r="148" spans="2:132" s="1" customFormat="1" ht="24.2" customHeight="1" x14ac:dyDescent="0.2">
      <c r="B148" s="124"/>
      <c r="C148" s="125" t="s">
        <v>312</v>
      </c>
      <c r="D148" s="125" t="s">
        <v>284</v>
      </c>
      <c r="E148" s="126" t="s">
        <v>313</v>
      </c>
      <c r="F148" s="127" t="s">
        <v>314</v>
      </c>
      <c r="G148" s="128" t="s">
        <v>315</v>
      </c>
      <c r="H148" s="129">
        <v>1</v>
      </c>
      <c r="I148" s="130">
        <v>3788.8627999999999</v>
      </c>
      <c r="J148" s="131">
        <f>ROUND(I148*H148,2)</f>
        <v>3788.86</v>
      </c>
      <c r="K148" s="127" t="s">
        <v>1</v>
      </c>
      <c r="L148" s="198">
        <f>S148</f>
        <v>0</v>
      </c>
      <c r="M148" s="206">
        <f>ROUND(L148*I148,2)</f>
        <v>0</v>
      </c>
      <c r="N148" s="211"/>
      <c r="O148" s="212">
        <f>ROUND(N148*I148,2)</f>
        <v>0</v>
      </c>
      <c r="P148" s="207">
        <f>H148-L148-N148</f>
        <v>1</v>
      </c>
      <c r="Q148" s="228">
        <f>ROUND(P148*I148,2)</f>
        <v>3788.86</v>
      </c>
      <c r="R148" s="199"/>
      <c r="S148" s="200">
        <f>W148+Y148+AA148+AC148+AE148+AG148+AI148+AK148+AM148+AO148+AQ148+AS148+AU148+AW148</f>
        <v>0</v>
      </c>
      <c r="T148" s="200">
        <f>ROUND(S148*I148,2)</f>
        <v>0</v>
      </c>
      <c r="U148" s="200">
        <f>H148-S148</f>
        <v>1</v>
      </c>
      <c r="V148" s="200">
        <f>ROUND(U148*I148,2)</f>
        <v>3788.86</v>
      </c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CB148" s="132" t="s">
        <v>1</v>
      </c>
      <c r="CC148" s="133" t="s">
        <v>40</v>
      </c>
      <c r="CE148" s="134">
        <f>CD148*H148</f>
        <v>0</v>
      </c>
      <c r="CF148" s="134">
        <v>0</v>
      </c>
      <c r="CG148" s="134">
        <f>CF148*H148</f>
        <v>0</v>
      </c>
      <c r="CH148" s="134">
        <v>0</v>
      </c>
      <c r="CI148" s="135">
        <f>CH148*H148</f>
        <v>0</v>
      </c>
      <c r="DG148" s="136" t="s">
        <v>95</v>
      </c>
      <c r="DI148" s="136" t="s">
        <v>284</v>
      </c>
      <c r="DJ148" s="136" t="s">
        <v>83</v>
      </c>
      <c r="DN148" s="16" t="s">
        <v>282</v>
      </c>
      <c r="DT148" s="137">
        <f>IF(CC148="základní",J148,0)</f>
        <v>3788.86</v>
      </c>
      <c r="DU148" s="137">
        <f>IF(CC148="snížená",J148,0)</f>
        <v>0</v>
      </c>
      <c r="DV148" s="137">
        <f>IF(CC148="zákl. přenesená",J148,0)</f>
        <v>0</v>
      </c>
      <c r="DW148" s="137">
        <f>IF(CC148="sníž. přenesená",J148,0)</f>
        <v>0</v>
      </c>
      <c r="DX148" s="137">
        <f>IF(CC148="nulová",J148,0)</f>
        <v>0</v>
      </c>
      <c r="DY148" s="16" t="s">
        <v>81</v>
      </c>
      <c r="DZ148" s="137">
        <f>ROUND(I148*H148,2)</f>
        <v>3788.86</v>
      </c>
      <c r="EA148" s="16" t="s">
        <v>95</v>
      </c>
      <c r="EB148" s="136" t="s">
        <v>316</v>
      </c>
    </row>
    <row r="149" spans="2:132" s="1" customFormat="1" ht="19.5" x14ac:dyDescent="0.2">
      <c r="B149" s="31"/>
      <c r="D149" s="138" t="s">
        <v>289</v>
      </c>
      <c r="F149" s="139" t="s">
        <v>314</v>
      </c>
      <c r="I149" s="140"/>
      <c r="L149" s="31"/>
      <c r="N149" s="213"/>
      <c r="O149" s="214"/>
      <c r="Q149" s="229"/>
      <c r="CB149" s="141"/>
      <c r="CI149" s="50"/>
      <c r="DI149" s="16" t="s">
        <v>289</v>
      </c>
      <c r="DJ149" s="16" t="s">
        <v>83</v>
      </c>
    </row>
    <row r="150" spans="2:132" s="1" customFormat="1" ht="19.5" x14ac:dyDescent="0.2">
      <c r="B150" s="31"/>
      <c r="D150" s="138" t="s">
        <v>299</v>
      </c>
      <c r="F150" s="142" t="s">
        <v>317</v>
      </c>
      <c r="I150" s="140"/>
      <c r="L150" s="31"/>
      <c r="N150" s="213"/>
      <c r="O150" s="214"/>
      <c r="Q150" s="229"/>
      <c r="CB150" s="141"/>
      <c r="CI150" s="50"/>
      <c r="DI150" s="16" t="s">
        <v>299</v>
      </c>
      <c r="DJ150" s="16" t="s">
        <v>83</v>
      </c>
    </row>
    <row r="151" spans="2:132" s="12" customFormat="1" x14ac:dyDescent="0.2">
      <c r="B151" s="149"/>
      <c r="D151" s="138" t="s">
        <v>301</v>
      </c>
      <c r="E151" s="150" t="s">
        <v>1</v>
      </c>
      <c r="F151" s="151" t="s">
        <v>81</v>
      </c>
      <c r="H151" s="152">
        <v>1</v>
      </c>
      <c r="I151" s="153"/>
      <c r="L151" s="149"/>
      <c r="N151" s="217"/>
      <c r="O151" s="218"/>
      <c r="Q151" s="231"/>
      <c r="CB151" s="154"/>
      <c r="CI151" s="155"/>
      <c r="DI151" s="150" t="s">
        <v>301</v>
      </c>
      <c r="DJ151" s="150" t="s">
        <v>83</v>
      </c>
      <c r="DK151" s="12" t="s">
        <v>83</v>
      </c>
      <c r="DL151" s="12" t="s">
        <v>32</v>
      </c>
      <c r="DM151" s="12" t="s">
        <v>81</v>
      </c>
      <c r="DN151" s="150" t="s">
        <v>282</v>
      </c>
    </row>
    <row r="152" spans="2:132" s="1" customFormat="1" ht="24.2" customHeight="1" x14ac:dyDescent="0.2">
      <c r="B152" s="124"/>
      <c r="C152" s="125" t="s">
        <v>318</v>
      </c>
      <c r="D152" s="125" t="s">
        <v>284</v>
      </c>
      <c r="E152" s="126" t="s">
        <v>324</v>
      </c>
      <c r="F152" s="127" t="s">
        <v>325</v>
      </c>
      <c r="G152" s="128" t="s">
        <v>315</v>
      </c>
      <c r="H152" s="129">
        <v>5</v>
      </c>
      <c r="I152" s="130">
        <v>1847.0706150000001</v>
      </c>
      <c r="J152" s="131">
        <f>ROUND(I152*H152,2)</f>
        <v>9235.35</v>
      </c>
      <c r="K152" s="127" t="s">
        <v>1</v>
      </c>
      <c r="L152" s="198">
        <f>S152</f>
        <v>0</v>
      </c>
      <c r="M152" s="206">
        <f>ROUND(L152*I152,2)</f>
        <v>0</v>
      </c>
      <c r="N152" s="211"/>
      <c r="O152" s="212">
        <f>ROUND(N152*I152,2)</f>
        <v>0</v>
      </c>
      <c r="P152" s="207">
        <f>H152-L152-N152</f>
        <v>5</v>
      </c>
      <c r="Q152" s="228">
        <f>ROUND(P152*I152,2)</f>
        <v>9235.35</v>
      </c>
      <c r="R152" s="199"/>
      <c r="S152" s="200">
        <f>W152+Y152+AA152+AC152+AE152+AG152+AI152+AK152+AM152+AO152+AQ152+AS152+AU152+AW152</f>
        <v>0</v>
      </c>
      <c r="T152" s="200">
        <f>ROUND(S152*I152,2)</f>
        <v>0</v>
      </c>
      <c r="U152" s="200">
        <f>H152-S152</f>
        <v>5</v>
      </c>
      <c r="V152" s="200">
        <f>ROUND(U152*I152,2)</f>
        <v>9235.35</v>
      </c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CB152" s="132" t="s">
        <v>1</v>
      </c>
      <c r="CC152" s="133" t="s">
        <v>40</v>
      </c>
      <c r="CE152" s="134">
        <f>CD152*H152</f>
        <v>0</v>
      </c>
      <c r="CF152" s="134">
        <v>0</v>
      </c>
      <c r="CG152" s="134">
        <f>CF152*H152</f>
        <v>0</v>
      </c>
      <c r="CH152" s="134">
        <v>0</v>
      </c>
      <c r="CI152" s="135">
        <f>CH152*H152</f>
        <v>0</v>
      </c>
      <c r="DG152" s="136" t="s">
        <v>95</v>
      </c>
      <c r="DI152" s="136" t="s">
        <v>284</v>
      </c>
      <c r="DJ152" s="136" t="s">
        <v>83</v>
      </c>
      <c r="DN152" s="16" t="s">
        <v>282</v>
      </c>
      <c r="DT152" s="137">
        <f>IF(CC152="základní",J152,0)</f>
        <v>9235.35</v>
      </c>
      <c r="DU152" s="137">
        <f>IF(CC152="snížená",J152,0)</f>
        <v>0</v>
      </c>
      <c r="DV152" s="137">
        <f>IF(CC152="zákl. přenesená",J152,0)</f>
        <v>0</v>
      </c>
      <c r="DW152" s="137">
        <f>IF(CC152="sníž. přenesená",J152,0)</f>
        <v>0</v>
      </c>
      <c r="DX152" s="137">
        <f>IF(CC152="nulová",J152,0)</f>
        <v>0</v>
      </c>
      <c r="DY152" s="16" t="s">
        <v>81</v>
      </c>
      <c r="DZ152" s="137">
        <f>ROUND(I152*H152,2)</f>
        <v>9235.35</v>
      </c>
      <c r="EA152" s="16" t="s">
        <v>95</v>
      </c>
      <c r="EB152" s="136" t="s">
        <v>326</v>
      </c>
    </row>
    <row r="153" spans="2:132" s="1" customFormat="1" ht="19.5" x14ac:dyDescent="0.2">
      <c r="B153" s="31"/>
      <c r="D153" s="138" t="s">
        <v>289</v>
      </c>
      <c r="F153" s="139" t="s">
        <v>325</v>
      </c>
      <c r="I153" s="140"/>
      <c r="L153" s="31"/>
      <c r="N153" s="213"/>
      <c r="O153" s="214"/>
      <c r="Q153" s="229"/>
      <c r="CB153" s="141"/>
      <c r="CI153" s="50"/>
      <c r="DI153" s="16" t="s">
        <v>289</v>
      </c>
      <c r="DJ153" s="16" t="s">
        <v>83</v>
      </c>
    </row>
    <row r="154" spans="2:132" s="1" customFormat="1" ht="19.5" x14ac:dyDescent="0.2">
      <c r="B154" s="31"/>
      <c r="D154" s="138" t="s">
        <v>299</v>
      </c>
      <c r="F154" s="142" t="s">
        <v>317</v>
      </c>
      <c r="I154" s="140"/>
      <c r="L154" s="31"/>
      <c r="N154" s="213"/>
      <c r="O154" s="214"/>
      <c r="Q154" s="229"/>
      <c r="CB154" s="141"/>
      <c r="CI154" s="50"/>
      <c r="DI154" s="16" t="s">
        <v>299</v>
      </c>
      <c r="DJ154" s="16" t="s">
        <v>83</v>
      </c>
    </row>
    <row r="155" spans="2:132" s="12" customFormat="1" x14ac:dyDescent="0.2">
      <c r="B155" s="149"/>
      <c r="D155" s="138" t="s">
        <v>301</v>
      </c>
      <c r="E155" s="150" t="s">
        <v>1</v>
      </c>
      <c r="F155" s="151" t="s">
        <v>312</v>
      </c>
      <c r="H155" s="152">
        <v>5</v>
      </c>
      <c r="I155" s="153"/>
      <c r="L155" s="149"/>
      <c r="N155" s="217"/>
      <c r="O155" s="218"/>
      <c r="Q155" s="231"/>
      <c r="CB155" s="154"/>
      <c r="CI155" s="155"/>
      <c r="DI155" s="150" t="s">
        <v>301</v>
      </c>
      <c r="DJ155" s="150" t="s">
        <v>83</v>
      </c>
      <c r="DK155" s="12" t="s">
        <v>83</v>
      </c>
      <c r="DL155" s="12" t="s">
        <v>32</v>
      </c>
      <c r="DM155" s="12" t="s">
        <v>81</v>
      </c>
      <c r="DN155" s="150" t="s">
        <v>282</v>
      </c>
    </row>
    <row r="156" spans="2:132" s="1" customFormat="1" ht="24.2" customHeight="1" x14ac:dyDescent="0.2">
      <c r="B156" s="124"/>
      <c r="C156" s="125" t="s">
        <v>323</v>
      </c>
      <c r="D156" s="125" t="s">
        <v>284</v>
      </c>
      <c r="E156" s="126" t="s">
        <v>329</v>
      </c>
      <c r="F156" s="127" t="s">
        <v>330</v>
      </c>
      <c r="G156" s="128" t="s">
        <v>331</v>
      </c>
      <c r="H156" s="129">
        <v>720</v>
      </c>
      <c r="I156" s="130">
        <v>70.957591385341729</v>
      </c>
      <c r="J156" s="131">
        <f>ROUND(I156*H156,2)</f>
        <v>51089.47</v>
      </c>
      <c r="K156" s="127" t="s">
        <v>293</v>
      </c>
      <c r="L156" s="198">
        <f>S156</f>
        <v>0</v>
      </c>
      <c r="M156" s="206">
        <f>ROUND(L156*I156,2)</f>
        <v>0</v>
      </c>
      <c r="N156" s="211"/>
      <c r="O156" s="212">
        <f>ROUND(N156*I156,2)</f>
        <v>0</v>
      </c>
      <c r="P156" s="207">
        <f>H156-L156-N156</f>
        <v>720</v>
      </c>
      <c r="Q156" s="228">
        <f>ROUND(P156*I156,2)</f>
        <v>51089.47</v>
      </c>
      <c r="R156" s="199"/>
      <c r="S156" s="200">
        <f>W156+Y156+AA156+AC156+AE156+AG156+AI156+AK156+AM156+AO156+AQ156+AS156+AU156+AW156</f>
        <v>0</v>
      </c>
      <c r="T156" s="200">
        <f>ROUND(S156*I156,2)</f>
        <v>0</v>
      </c>
      <c r="U156" s="200">
        <f>H156-S156</f>
        <v>720</v>
      </c>
      <c r="V156" s="200">
        <f>ROUND(U156*I156,2)</f>
        <v>51089.47</v>
      </c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CB156" s="132" t="s">
        <v>1</v>
      </c>
      <c r="CC156" s="133" t="s">
        <v>40</v>
      </c>
      <c r="CE156" s="134">
        <f>CD156*H156</f>
        <v>0</v>
      </c>
      <c r="CF156" s="134">
        <v>3.0000000000000001E-5</v>
      </c>
      <c r="CG156" s="134">
        <f>CF156*H156</f>
        <v>2.1600000000000001E-2</v>
      </c>
      <c r="CH156" s="134">
        <v>0</v>
      </c>
      <c r="CI156" s="135">
        <f>CH156*H156</f>
        <v>0</v>
      </c>
      <c r="DG156" s="136" t="s">
        <v>95</v>
      </c>
      <c r="DI156" s="136" t="s">
        <v>284</v>
      </c>
      <c r="DJ156" s="136" t="s">
        <v>83</v>
      </c>
      <c r="DN156" s="16" t="s">
        <v>282</v>
      </c>
      <c r="DT156" s="137">
        <f>IF(CC156="základní",J156,0)</f>
        <v>51089.47</v>
      </c>
      <c r="DU156" s="137">
        <f>IF(CC156="snížená",J156,0)</f>
        <v>0</v>
      </c>
      <c r="DV156" s="137">
        <f>IF(CC156="zákl. přenesená",J156,0)</f>
        <v>0</v>
      </c>
      <c r="DW156" s="137">
        <f>IF(CC156="sníž. přenesená",J156,0)</f>
        <v>0</v>
      </c>
      <c r="DX156" s="137">
        <f>IF(CC156="nulová",J156,0)</f>
        <v>0</v>
      </c>
      <c r="DY156" s="16" t="s">
        <v>81</v>
      </c>
      <c r="DZ156" s="137">
        <f>ROUND(I156*H156,2)</f>
        <v>51089.47</v>
      </c>
      <c r="EA156" s="16" t="s">
        <v>95</v>
      </c>
      <c r="EB156" s="136" t="s">
        <v>332</v>
      </c>
    </row>
    <row r="157" spans="2:132" s="1" customFormat="1" ht="19.5" x14ac:dyDescent="0.2">
      <c r="B157" s="31"/>
      <c r="D157" s="138" t="s">
        <v>289</v>
      </c>
      <c r="F157" s="139" t="s">
        <v>333</v>
      </c>
      <c r="I157" s="140"/>
      <c r="L157" s="31"/>
      <c r="N157" s="213"/>
      <c r="O157" s="214"/>
      <c r="Q157" s="229"/>
      <c r="CB157" s="141"/>
      <c r="CI157" s="50"/>
      <c r="DI157" s="16" t="s">
        <v>289</v>
      </c>
      <c r="DJ157" s="16" t="s">
        <v>83</v>
      </c>
    </row>
    <row r="158" spans="2:132" s="12" customFormat="1" x14ac:dyDescent="0.2">
      <c r="B158" s="149"/>
      <c r="D158" s="138" t="s">
        <v>301</v>
      </c>
      <c r="E158" s="150" t="s">
        <v>1</v>
      </c>
      <c r="F158" s="151" t="s">
        <v>890</v>
      </c>
      <c r="H158" s="152">
        <v>720</v>
      </c>
      <c r="I158" s="153"/>
      <c r="L158" s="149"/>
      <c r="N158" s="217"/>
      <c r="O158" s="218"/>
      <c r="Q158" s="231"/>
      <c r="CB158" s="154"/>
      <c r="CI158" s="155"/>
      <c r="DI158" s="150" t="s">
        <v>301</v>
      </c>
      <c r="DJ158" s="150" t="s">
        <v>83</v>
      </c>
      <c r="DK158" s="12" t="s">
        <v>83</v>
      </c>
      <c r="DL158" s="12" t="s">
        <v>32</v>
      </c>
      <c r="DM158" s="12" t="s">
        <v>81</v>
      </c>
      <c r="DN158" s="150" t="s">
        <v>282</v>
      </c>
    </row>
    <row r="159" spans="2:132" s="1" customFormat="1" ht="24.2" customHeight="1" x14ac:dyDescent="0.2">
      <c r="B159" s="124"/>
      <c r="C159" s="125" t="s">
        <v>328</v>
      </c>
      <c r="D159" s="125" t="s">
        <v>284</v>
      </c>
      <c r="E159" s="126" t="s">
        <v>336</v>
      </c>
      <c r="F159" s="127" t="s">
        <v>337</v>
      </c>
      <c r="G159" s="128" t="s">
        <v>338</v>
      </c>
      <c r="H159" s="129">
        <v>90</v>
      </c>
      <c r="I159" s="130">
        <v>41.621835247115101</v>
      </c>
      <c r="J159" s="131">
        <f>ROUND(I159*H159,2)</f>
        <v>3745.97</v>
      </c>
      <c r="K159" s="127" t="s">
        <v>293</v>
      </c>
      <c r="L159" s="198">
        <f>S159</f>
        <v>0</v>
      </c>
      <c r="M159" s="206">
        <f>ROUND(L159*I159,2)</f>
        <v>0</v>
      </c>
      <c r="N159" s="211"/>
      <c r="O159" s="212">
        <f>ROUND(N159*I159,2)</f>
        <v>0</v>
      </c>
      <c r="P159" s="207">
        <f>H159-L159-N159</f>
        <v>90</v>
      </c>
      <c r="Q159" s="228">
        <f>ROUND(P159*I159,2)</f>
        <v>3745.97</v>
      </c>
      <c r="R159" s="199"/>
      <c r="S159" s="200">
        <f>W159+Y159+AA159+AC159+AE159+AG159+AI159+AK159+AM159+AO159+AQ159+AS159+AU159+AW159</f>
        <v>0</v>
      </c>
      <c r="T159" s="200">
        <f>ROUND(S159*I159,2)</f>
        <v>0</v>
      </c>
      <c r="U159" s="200">
        <f>H159-S159</f>
        <v>90</v>
      </c>
      <c r="V159" s="200">
        <f>ROUND(U159*I159,2)</f>
        <v>3745.97</v>
      </c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CB159" s="132" t="s">
        <v>1</v>
      </c>
      <c r="CC159" s="133" t="s">
        <v>40</v>
      </c>
      <c r="CE159" s="134">
        <f>CD159*H159</f>
        <v>0</v>
      </c>
      <c r="CF159" s="134">
        <v>0</v>
      </c>
      <c r="CG159" s="134">
        <f>CF159*H159</f>
        <v>0</v>
      </c>
      <c r="CH159" s="134">
        <v>0</v>
      </c>
      <c r="CI159" s="135">
        <f>CH159*H159</f>
        <v>0</v>
      </c>
      <c r="DG159" s="136" t="s">
        <v>95</v>
      </c>
      <c r="DI159" s="136" t="s">
        <v>284</v>
      </c>
      <c r="DJ159" s="136" t="s">
        <v>83</v>
      </c>
      <c r="DN159" s="16" t="s">
        <v>282</v>
      </c>
      <c r="DT159" s="137">
        <f>IF(CC159="základní",J159,0)</f>
        <v>3745.97</v>
      </c>
      <c r="DU159" s="137">
        <f>IF(CC159="snížená",J159,0)</f>
        <v>0</v>
      </c>
      <c r="DV159" s="137">
        <f>IF(CC159="zákl. přenesená",J159,0)</f>
        <v>0</v>
      </c>
      <c r="DW159" s="137">
        <f>IF(CC159="sníž. přenesená",J159,0)</f>
        <v>0</v>
      </c>
      <c r="DX159" s="137">
        <f>IF(CC159="nulová",J159,0)</f>
        <v>0</v>
      </c>
      <c r="DY159" s="16" t="s">
        <v>81</v>
      </c>
      <c r="DZ159" s="137">
        <f>ROUND(I159*H159,2)</f>
        <v>3745.97</v>
      </c>
      <c r="EA159" s="16" t="s">
        <v>95</v>
      </c>
      <c r="EB159" s="136" t="s">
        <v>339</v>
      </c>
    </row>
    <row r="160" spans="2:132" s="1" customFormat="1" ht="19.5" x14ac:dyDescent="0.2">
      <c r="B160" s="31"/>
      <c r="D160" s="138" t="s">
        <v>289</v>
      </c>
      <c r="F160" s="139" t="s">
        <v>340</v>
      </c>
      <c r="I160" s="140"/>
      <c r="L160" s="31"/>
      <c r="N160" s="213"/>
      <c r="O160" s="214"/>
      <c r="Q160" s="229"/>
      <c r="CB160" s="141"/>
      <c r="CI160" s="50"/>
      <c r="DI160" s="16" t="s">
        <v>289</v>
      </c>
      <c r="DJ160" s="16" t="s">
        <v>83</v>
      </c>
    </row>
    <row r="161" spans="2:132" s="1" customFormat="1" ht="14.45" customHeight="1" x14ac:dyDescent="0.2">
      <c r="B161" s="124"/>
      <c r="C161" s="125" t="s">
        <v>335</v>
      </c>
      <c r="D161" s="125" t="s">
        <v>284</v>
      </c>
      <c r="E161" s="126" t="s">
        <v>342</v>
      </c>
      <c r="F161" s="127" t="s">
        <v>343</v>
      </c>
      <c r="G161" s="128" t="s">
        <v>344</v>
      </c>
      <c r="H161" s="129">
        <v>9.4499999999999993</v>
      </c>
      <c r="I161" s="130">
        <v>235.02024596209694</v>
      </c>
      <c r="J161" s="131">
        <f>ROUND(I161*H161,2)</f>
        <v>2220.94</v>
      </c>
      <c r="K161" s="127" t="s">
        <v>293</v>
      </c>
      <c r="L161" s="198">
        <f>S161</f>
        <v>0</v>
      </c>
      <c r="M161" s="206">
        <f>ROUND(L161*I161,2)</f>
        <v>0</v>
      </c>
      <c r="N161" s="211"/>
      <c r="O161" s="212">
        <f>ROUND(N161*I161,2)</f>
        <v>0</v>
      </c>
      <c r="P161" s="207">
        <f>H161-L161-N161</f>
        <v>9.4499999999999993</v>
      </c>
      <c r="Q161" s="228">
        <f>ROUND(P161*I161,2)</f>
        <v>2220.94</v>
      </c>
      <c r="R161" s="199"/>
      <c r="S161" s="200">
        <f>W161+Y161+AA161+AC161+AE161+AG161+AI161+AK161+AM161+AO161+AQ161+AS161+AU161+AW161</f>
        <v>0</v>
      </c>
      <c r="T161" s="200">
        <f>ROUND(S161*I161,2)</f>
        <v>0</v>
      </c>
      <c r="U161" s="200">
        <f>H161-S161</f>
        <v>9.4499999999999993</v>
      </c>
      <c r="V161" s="200">
        <f>ROUND(U161*I161,2)</f>
        <v>2220.94</v>
      </c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200"/>
      <c r="AV161" s="200"/>
      <c r="AW161" s="200"/>
      <c r="AX161" s="200"/>
      <c r="CB161" s="132" t="s">
        <v>1</v>
      </c>
      <c r="CC161" s="133" t="s">
        <v>40</v>
      </c>
      <c r="CE161" s="134">
        <f>CD161*H161</f>
        <v>0</v>
      </c>
      <c r="CF161" s="134">
        <v>3.6900000000000002E-2</v>
      </c>
      <c r="CG161" s="134">
        <f>CF161*H161</f>
        <v>0.34870499999999999</v>
      </c>
      <c r="CH161" s="134">
        <v>0</v>
      </c>
      <c r="CI161" s="135">
        <f>CH161*H161</f>
        <v>0</v>
      </c>
      <c r="DG161" s="136" t="s">
        <v>95</v>
      </c>
      <c r="DI161" s="136" t="s">
        <v>284</v>
      </c>
      <c r="DJ161" s="136" t="s">
        <v>83</v>
      </c>
      <c r="DN161" s="16" t="s">
        <v>282</v>
      </c>
      <c r="DT161" s="137">
        <f>IF(CC161="základní",J161,0)</f>
        <v>2220.94</v>
      </c>
      <c r="DU161" s="137">
        <f>IF(CC161="snížená",J161,0)</f>
        <v>0</v>
      </c>
      <c r="DV161" s="137">
        <f>IF(CC161="zákl. přenesená",J161,0)</f>
        <v>0</v>
      </c>
      <c r="DW161" s="137">
        <f>IF(CC161="sníž. přenesená",J161,0)</f>
        <v>0</v>
      </c>
      <c r="DX161" s="137">
        <f>IF(CC161="nulová",J161,0)</f>
        <v>0</v>
      </c>
      <c r="DY161" s="16" t="s">
        <v>81</v>
      </c>
      <c r="DZ161" s="137">
        <f>ROUND(I161*H161,2)</f>
        <v>2220.94</v>
      </c>
      <c r="EA161" s="16" t="s">
        <v>95</v>
      </c>
      <c r="EB161" s="136" t="s">
        <v>345</v>
      </c>
    </row>
    <row r="162" spans="2:132" s="1" customFormat="1" ht="58.5" x14ac:dyDescent="0.2">
      <c r="B162" s="31"/>
      <c r="D162" s="138" t="s">
        <v>289</v>
      </c>
      <c r="F162" s="139" t="s">
        <v>346</v>
      </c>
      <c r="I162" s="140"/>
      <c r="L162" s="31"/>
      <c r="N162" s="213"/>
      <c r="O162" s="214"/>
      <c r="Q162" s="229"/>
      <c r="CB162" s="141"/>
      <c r="CI162" s="50"/>
      <c r="DI162" s="16" t="s">
        <v>289</v>
      </c>
      <c r="DJ162" s="16" t="s">
        <v>83</v>
      </c>
    </row>
    <row r="163" spans="2:132" s="1" customFormat="1" ht="29.25" x14ac:dyDescent="0.2">
      <c r="B163" s="31"/>
      <c r="D163" s="138" t="s">
        <v>299</v>
      </c>
      <c r="F163" s="142" t="s">
        <v>885</v>
      </c>
      <c r="I163" s="140"/>
      <c r="L163" s="31"/>
      <c r="N163" s="213"/>
      <c r="O163" s="214"/>
      <c r="Q163" s="229"/>
      <c r="CB163" s="141"/>
      <c r="CI163" s="50"/>
      <c r="DI163" s="16" t="s">
        <v>299</v>
      </c>
      <c r="DJ163" s="16" t="s">
        <v>83</v>
      </c>
    </row>
    <row r="164" spans="2:132" s="12" customFormat="1" x14ac:dyDescent="0.2">
      <c r="B164" s="149"/>
      <c r="D164" s="138" t="s">
        <v>301</v>
      </c>
      <c r="E164" s="150" t="s">
        <v>1</v>
      </c>
      <c r="F164" s="151" t="s">
        <v>891</v>
      </c>
      <c r="H164" s="152">
        <v>9.4499999999999993</v>
      </c>
      <c r="I164" s="153"/>
      <c r="L164" s="149"/>
      <c r="N164" s="217"/>
      <c r="O164" s="218"/>
      <c r="Q164" s="231"/>
      <c r="CB164" s="154"/>
      <c r="CI164" s="155"/>
      <c r="DI164" s="150" t="s">
        <v>301</v>
      </c>
      <c r="DJ164" s="150" t="s">
        <v>83</v>
      </c>
      <c r="DK164" s="12" t="s">
        <v>83</v>
      </c>
      <c r="DL164" s="12" t="s">
        <v>32</v>
      </c>
      <c r="DM164" s="12" t="s">
        <v>81</v>
      </c>
      <c r="DN164" s="150" t="s">
        <v>282</v>
      </c>
    </row>
    <row r="165" spans="2:132" s="1" customFormat="1" ht="24.2" customHeight="1" x14ac:dyDescent="0.2">
      <c r="B165" s="124"/>
      <c r="C165" s="125" t="s">
        <v>341</v>
      </c>
      <c r="D165" s="125" t="s">
        <v>284</v>
      </c>
      <c r="E165" s="126" t="s">
        <v>349</v>
      </c>
      <c r="F165" s="127" t="s">
        <v>350</v>
      </c>
      <c r="G165" s="128" t="s">
        <v>344</v>
      </c>
      <c r="H165" s="129">
        <v>6.3</v>
      </c>
      <c r="I165" s="130">
        <v>225.71950862012659</v>
      </c>
      <c r="J165" s="131">
        <f>ROUND(I165*H165,2)</f>
        <v>1422.03</v>
      </c>
      <c r="K165" s="127" t="s">
        <v>293</v>
      </c>
      <c r="L165" s="198">
        <f>S165</f>
        <v>0</v>
      </c>
      <c r="M165" s="206">
        <f>ROUND(L165*I165,2)</f>
        <v>0</v>
      </c>
      <c r="N165" s="211"/>
      <c r="O165" s="212">
        <f>ROUND(N165*I165,2)</f>
        <v>0</v>
      </c>
      <c r="P165" s="207">
        <f>H165-L165-N165</f>
        <v>6.3</v>
      </c>
      <c r="Q165" s="228">
        <f>ROUND(P165*I165,2)</f>
        <v>1422.03</v>
      </c>
      <c r="R165" s="199"/>
      <c r="S165" s="200">
        <f>W165+Y165+AA165+AC165+AE165+AG165+AI165+AK165+AM165+AO165+AQ165+AS165+AU165+AW165</f>
        <v>0</v>
      </c>
      <c r="T165" s="200">
        <f>ROUND(S165*I165,2)</f>
        <v>0</v>
      </c>
      <c r="U165" s="200">
        <f>H165-S165</f>
        <v>6.3</v>
      </c>
      <c r="V165" s="200">
        <f>ROUND(U165*I165,2)</f>
        <v>1422.03</v>
      </c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CB165" s="132" t="s">
        <v>1</v>
      </c>
      <c r="CC165" s="133" t="s">
        <v>40</v>
      </c>
      <c r="CE165" s="134">
        <f>CD165*H165</f>
        <v>0</v>
      </c>
      <c r="CF165" s="134">
        <v>3.6900000000000002E-2</v>
      </c>
      <c r="CG165" s="134">
        <f>CF165*H165</f>
        <v>0.23247000000000001</v>
      </c>
      <c r="CH165" s="134">
        <v>0</v>
      </c>
      <c r="CI165" s="135">
        <f>CH165*H165</f>
        <v>0</v>
      </c>
      <c r="DG165" s="136" t="s">
        <v>95</v>
      </c>
      <c r="DI165" s="136" t="s">
        <v>284</v>
      </c>
      <c r="DJ165" s="136" t="s">
        <v>83</v>
      </c>
      <c r="DN165" s="16" t="s">
        <v>282</v>
      </c>
      <c r="DT165" s="137">
        <f>IF(CC165="základní",J165,0)</f>
        <v>1422.03</v>
      </c>
      <c r="DU165" s="137">
        <f>IF(CC165="snížená",J165,0)</f>
        <v>0</v>
      </c>
      <c r="DV165" s="137">
        <f>IF(CC165="zákl. přenesená",J165,0)</f>
        <v>0</v>
      </c>
      <c r="DW165" s="137">
        <f>IF(CC165="sníž. přenesená",J165,0)</f>
        <v>0</v>
      </c>
      <c r="DX165" s="137">
        <f>IF(CC165="nulová",J165,0)</f>
        <v>0</v>
      </c>
      <c r="DY165" s="16" t="s">
        <v>81</v>
      </c>
      <c r="DZ165" s="137">
        <f>ROUND(I165*H165,2)</f>
        <v>1422.03</v>
      </c>
      <c r="EA165" s="16" t="s">
        <v>95</v>
      </c>
      <c r="EB165" s="136" t="s">
        <v>351</v>
      </c>
    </row>
    <row r="166" spans="2:132" s="1" customFormat="1" ht="58.5" x14ac:dyDescent="0.2">
      <c r="B166" s="31"/>
      <c r="D166" s="138" t="s">
        <v>289</v>
      </c>
      <c r="F166" s="139" t="s">
        <v>352</v>
      </c>
      <c r="I166" s="140"/>
      <c r="L166" s="31"/>
      <c r="N166" s="213"/>
      <c r="O166" s="214"/>
      <c r="Q166" s="229"/>
      <c r="CB166" s="141"/>
      <c r="CI166" s="50"/>
      <c r="DI166" s="16" t="s">
        <v>289</v>
      </c>
      <c r="DJ166" s="16" t="s">
        <v>83</v>
      </c>
    </row>
    <row r="167" spans="2:132" s="1" customFormat="1" ht="29.25" x14ac:dyDescent="0.2">
      <c r="B167" s="31"/>
      <c r="D167" s="138" t="s">
        <v>299</v>
      </c>
      <c r="F167" s="142" t="s">
        <v>885</v>
      </c>
      <c r="I167" s="140"/>
      <c r="L167" s="31"/>
      <c r="N167" s="213"/>
      <c r="O167" s="214"/>
      <c r="Q167" s="229"/>
      <c r="CB167" s="141"/>
      <c r="CI167" s="50"/>
      <c r="DI167" s="16" t="s">
        <v>299</v>
      </c>
      <c r="DJ167" s="16" t="s">
        <v>83</v>
      </c>
    </row>
    <row r="168" spans="2:132" s="12" customFormat="1" x14ac:dyDescent="0.2">
      <c r="B168" s="149"/>
      <c r="D168" s="138" t="s">
        <v>301</v>
      </c>
      <c r="E168" s="150" t="s">
        <v>1</v>
      </c>
      <c r="F168" s="151" t="s">
        <v>892</v>
      </c>
      <c r="H168" s="152">
        <v>6.3</v>
      </c>
      <c r="I168" s="153"/>
      <c r="L168" s="149"/>
      <c r="N168" s="217"/>
      <c r="O168" s="218"/>
      <c r="Q168" s="231"/>
      <c r="CB168" s="154"/>
      <c r="CI168" s="155"/>
      <c r="DI168" s="150" t="s">
        <v>301</v>
      </c>
      <c r="DJ168" s="150" t="s">
        <v>83</v>
      </c>
      <c r="DK168" s="12" t="s">
        <v>83</v>
      </c>
      <c r="DL168" s="12" t="s">
        <v>32</v>
      </c>
      <c r="DM168" s="12" t="s">
        <v>81</v>
      </c>
      <c r="DN168" s="150" t="s">
        <v>282</v>
      </c>
    </row>
    <row r="169" spans="2:132" s="1" customFormat="1" ht="24.2" customHeight="1" x14ac:dyDescent="0.2">
      <c r="B169" s="124"/>
      <c r="C169" s="125" t="s">
        <v>348</v>
      </c>
      <c r="D169" s="125" t="s">
        <v>284</v>
      </c>
      <c r="E169" s="126" t="s">
        <v>364</v>
      </c>
      <c r="F169" s="127" t="s">
        <v>365</v>
      </c>
      <c r="G169" s="128" t="s">
        <v>366</v>
      </c>
      <c r="H169" s="129">
        <v>479.74599999999998</v>
      </c>
      <c r="I169" s="130">
        <v>285.201942457955</v>
      </c>
      <c r="J169" s="131">
        <f>ROUND(I169*H169,2)</f>
        <v>136824.49</v>
      </c>
      <c r="K169" s="127" t="s">
        <v>293</v>
      </c>
      <c r="L169" s="198">
        <f>S169</f>
        <v>0</v>
      </c>
      <c r="M169" s="206">
        <f>ROUND(L169*I169,2)</f>
        <v>0</v>
      </c>
      <c r="N169" s="211">
        <f>N178</f>
        <v>0.18837500000006457</v>
      </c>
      <c r="O169" s="212">
        <f>ROUND(N169*I169,2)</f>
        <v>53.72</v>
      </c>
      <c r="P169" s="207">
        <f>H169-L169-N169</f>
        <v>479.55762499999992</v>
      </c>
      <c r="Q169" s="228">
        <f>ROUND(P169*I169,2)</f>
        <v>136770.76999999999</v>
      </c>
      <c r="R169" s="199"/>
      <c r="S169" s="200">
        <f>W169+Y169+AA169+AC169+AE169+AG169+AI169+AK169+AM169+AO169+AQ169+AS169+AU169+AW169</f>
        <v>0</v>
      </c>
      <c r="T169" s="200">
        <f>ROUND(S169*I169,2)</f>
        <v>0</v>
      </c>
      <c r="U169" s="200">
        <f>H169-S169</f>
        <v>479.74599999999998</v>
      </c>
      <c r="V169" s="200">
        <f>ROUND(U169*I169,2)</f>
        <v>136824.49</v>
      </c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CB169" s="132" t="s">
        <v>1</v>
      </c>
      <c r="CC169" s="133" t="s">
        <v>40</v>
      </c>
      <c r="CE169" s="134">
        <f>CD169*H169</f>
        <v>0</v>
      </c>
      <c r="CF169" s="134">
        <v>0</v>
      </c>
      <c r="CG169" s="134">
        <f>CF169*H169</f>
        <v>0</v>
      </c>
      <c r="CH169" s="134">
        <v>0</v>
      </c>
      <c r="CI169" s="135">
        <f>CH169*H169</f>
        <v>0</v>
      </c>
      <c r="DG169" s="136" t="s">
        <v>95</v>
      </c>
      <c r="DI169" s="136" t="s">
        <v>284</v>
      </c>
      <c r="DJ169" s="136" t="s">
        <v>83</v>
      </c>
      <c r="DN169" s="16" t="s">
        <v>282</v>
      </c>
      <c r="DT169" s="137">
        <f>IF(CC169="základní",J169,0)</f>
        <v>136824.49</v>
      </c>
      <c r="DU169" s="137">
        <f>IF(CC169="snížená",J169,0)</f>
        <v>0</v>
      </c>
      <c r="DV169" s="137">
        <f>IF(CC169="zákl. přenesená",J169,0)</f>
        <v>0</v>
      </c>
      <c r="DW169" s="137">
        <f>IF(CC169="sníž. přenesená",J169,0)</f>
        <v>0</v>
      </c>
      <c r="DX169" s="137">
        <f>IF(CC169="nulová",J169,0)</f>
        <v>0</v>
      </c>
      <c r="DY169" s="16" t="s">
        <v>81</v>
      </c>
      <c r="DZ169" s="137">
        <f>ROUND(I169*H169,2)</f>
        <v>136824.49</v>
      </c>
      <c r="EA169" s="16" t="s">
        <v>95</v>
      </c>
      <c r="EB169" s="136" t="s">
        <v>367</v>
      </c>
    </row>
    <row r="170" spans="2:132" s="1" customFormat="1" ht="39" x14ac:dyDescent="0.2">
      <c r="B170" s="31"/>
      <c r="D170" s="138" t="s">
        <v>289</v>
      </c>
      <c r="F170" s="139" t="s">
        <v>368</v>
      </c>
      <c r="I170" s="140"/>
      <c r="L170" s="31"/>
      <c r="N170" s="213"/>
      <c r="O170" s="214"/>
      <c r="Q170" s="229"/>
      <c r="CB170" s="141"/>
      <c r="CI170" s="50"/>
      <c r="DI170" s="16" t="s">
        <v>289</v>
      </c>
      <c r="DJ170" s="16" t="s">
        <v>83</v>
      </c>
    </row>
    <row r="171" spans="2:132" s="1" customFormat="1" ht="39" x14ac:dyDescent="0.2">
      <c r="B171" s="31"/>
      <c r="D171" s="138" t="s">
        <v>299</v>
      </c>
      <c r="F171" s="142" t="s">
        <v>850</v>
      </c>
      <c r="I171" s="140"/>
      <c r="L171" s="31"/>
      <c r="N171" s="213"/>
      <c r="O171" s="214"/>
      <c r="Q171" s="229"/>
      <c r="CB171" s="141"/>
      <c r="CI171" s="50"/>
      <c r="DI171" s="16" t="s">
        <v>299</v>
      </c>
      <c r="DJ171" s="16" t="s">
        <v>83</v>
      </c>
    </row>
    <row r="172" spans="2:132" s="11" customFormat="1" ht="22.5" x14ac:dyDescent="0.2">
      <c r="B172" s="143"/>
      <c r="D172" s="138" t="s">
        <v>301</v>
      </c>
      <c r="E172" s="144" t="s">
        <v>1</v>
      </c>
      <c r="F172" s="145" t="s">
        <v>370</v>
      </c>
      <c r="H172" s="144" t="s">
        <v>1</v>
      </c>
      <c r="I172" s="146"/>
      <c r="L172" s="143"/>
      <c r="N172" s="215"/>
      <c r="O172" s="216"/>
      <c r="Q172" s="230"/>
      <c r="CB172" s="147"/>
      <c r="CI172" s="148"/>
      <c r="DI172" s="144" t="s">
        <v>301</v>
      </c>
      <c r="DJ172" s="144" t="s">
        <v>83</v>
      </c>
      <c r="DK172" s="11" t="s">
        <v>81</v>
      </c>
      <c r="DL172" s="11" t="s">
        <v>32</v>
      </c>
      <c r="DM172" s="11" t="s">
        <v>74</v>
      </c>
      <c r="DN172" s="144" t="s">
        <v>282</v>
      </c>
    </row>
    <row r="173" spans="2:132" s="12" customFormat="1" x14ac:dyDescent="0.2">
      <c r="B173" s="149"/>
      <c r="D173" s="138" t="s">
        <v>301</v>
      </c>
      <c r="E173" s="150" t="s">
        <v>1</v>
      </c>
      <c r="F173" s="151" t="s">
        <v>893</v>
      </c>
      <c r="H173" s="152">
        <v>842.70399999999995</v>
      </c>
      <c r="I173" s="153"/>
      <c r="L173" s="149"/>
      <c r="N173" s="313">
        <f>356.86*1.05*(2.7-0.45)</f>
        <v>843.08175000000006</v>
      </c>
      <c r="O173" s="218" t="s">
        <v>3418</v>
      </c>
      <c r="Q173" s="231"/>
      <c r="CB173" s="154"/>
      <c r="CI173" s="155"/>
      <c r="DI173" s="150" t="s">
        <v>301</v>
      </c>
      <c r="DJ173" s="150" t="s">
        <v>83</v>
      </c>
      <c r="DK173" s="12" t="s">
        <v>83</v>
      </c>
      <c r="DL173" s="12" t="s">
        <v>32</v>
      </c>
      <c r="DM173" s="12" t="s">
        <v>74</v>
      </c>
      <c r="DN173" s="150" t="s">
        <v>282</v>
      </c>
    </row>
    <row r="174" spans="2:132" s="12" customFormat="1" ht="22.5" x14ac:dyDescent="0.2">
      <c r="B174" s="149"/>
      <c r="D174" s="138" t="s">
        <v>301</v>
      </c>
      <c r="E174" s="150" t="s">
        <v>1</v>
      </c>
      <c r="F174" s="151" t="s">
        <v>894</v>
      </c>
      <c r="H174" s="152">
        <v>114.818</v>
      </c>
      <c r="I174" s="153"/>
      <c r="L174" s="149"/>
      <c r="N174" s="313">
        <f>H174</f>
        <v>114.818</v>
      </c>
      <c r="O174" s="218"/>
      <c r="Q174" s="231"/>
      <c r="CB174" s="154"/>
      <c r="CI174" s="155"/>
      <c r="DI174" s="150" t="s">
        <v>301</v>
      </c>
      <c r="DJ174" s="150" t="s">
        <v>83</v>
      </c>
      <c r="DK174" s="12" t="s">
        <v>83</v>
      </c>
      <c r="DL174" s="12" t="s">
        <v>32</v>
      </c>
      <c r="DM174" s="12" t="s">
        <v>74</v>
      </c>
      <c r="DN174" s="150" t="s">
        <v>282</v>
      </c>
    </row>
    <row r="175" spans="2:132" s="12" customFormat="1" ht="22.5" x14ac:dyDescent="0.2">
      <c r="B175" s="149"/>
      <c r="D175" s="138" t="s">
        <v>301</v>
      </c>
      <c r="E175" s="150" t="s">
        <v>1</v>
      </c>
      <c r="F175" s="151" t="s">
        <v>895</v>
      </c>
      <c r="H175" s="152">
        <v>1.9690000000000001</v>
      </c>
      <c r="I175" s="153"/>
      <c r="L175" s="149"/>
      <c r="N175" s="313">
        <f>H175</f>
        <v>1.9690000000000001</v>
      </c>
      <c r="O175" s="218"/>
      <c r="Q175" s="231"/>
      <c r="CB175" s="154"/>
      <c r="CI175" s="155"/>
      <c r="DI175" s="150" t="s">
        <v>301</v>
      </c>
      <c r="DJ175" s="150" t="s">
        <v>83</v>
      </c>
      <c r="DK175" s="12" t="s">
        <v>83</v>
      </c>
      <c r="DL175" s="12" t="s">
        <v>32</v>
      </c>
      <c r="DM175" s="12" t="s">
        <v>74</v>
      </c>
      <c r="DN175" s="150" t="s">
        <v>282</v>
      </c>
    </row>
    <row r="176" spans="2:132" s="14" customFormat="1" x14ac:dyDescent="0.2">
      <c r="B176" s="163"/>
      <c r="D176" s="138" t="s">
        <v>301</v>
      </c>
      <c r="E176" s="164" t="s">
        <v>1</v>
      </c>
      <c r="F176" s="165" t="s">
        <v>373</v>
      </c>
      <c r="H176" s="166">
        <v>959.49099999999999</v>
      </c>
      <c r="I176" s="167"/>
      <c r="L176" s="163"/>
      <c r="N176" s="314">
        <f>N173+N174+N175</f>
        <v>959.86875000000009</v>
      </c>
      <c r="O176" s="222"/>
      <c r="Q176" s="233"/>
      <c r="CB176" s="168"/>
      <c r="CI176" s="169"/>
      <c r="DI176" s="164" t="s">
        <v>301</v>
      </c>
      <c r="DJ176" s="164" t="s">
        <v>83</v>
      </c>
      <c r="DK176" s="14" t="s">
        <v>90</v>
      </c>
      <c r="DL176" s="14" t="s">
        <v>32</v>
      </c>
      <c r="DM176" s="14" t="s">
        <v>74</v>
      </c>
      <c r="DN176" s="164" t="s">
        <v>282</v>
      </c>
    </row>
    <row r="177" spans="2:132" s="12" customFormat="1" x14ac:dyDescent="0.2">
      <c r="B177" s="149"/>
      <c r="D177" s="138" t="s">
        <v>301</v>
      </c>
      <c r="E177" s="150" t="s">
        <v>1</v>
      </c>
      <c r="F177" s="151" t="s">
        <v>896</v>
      </c>
      <c r="H177" s="152">
        <v>479.74599999999998</v>
      </c>
      <c r="I177" s="153"/>
      <c r="L177" s="149"/>
      <c r="N177" s="313">
        <f>N176*0.5</f>
        <v>479.93437500000005</v>
      </c>
      <c r="O177" s="218"/>
      <c r="Q177" s="231"/>
      <c r="CB177" s="154"/>
      <c r="CI177" s="155"/>
      <c r="DI177" s="150" t="s">
        <v>301</v>
      </c>
      <c r="DJ177" s="150" t="s">
        <v>83</v>
      </c>
      <c r="DK177" s="12" t="s">
        <v>83</v>
      </c>
      <c r="DL177" s="12" t="s">
        <v>32</v>
      </c>
      <c r="DM177" s="12" t="s">
        <v>81</v>
      </c>
      <c r="DN177" s="150" t="s">
        <v>282</v>
      </c>
    </row>
    <row r="178" spans="2:132" s="12" customFormat="1" x14ac:dyDescent="0.2">
      <c r="B178" s="149"/>
      <c r="D178" s="138"/>
      <c r="E178" s="150"/>
      <c r="F178" s="151"/>
      <c r="H178" s="152"/>
      <c r="I178" s="153"/>
      <c r="L178" s="149"/>
      <c r="N178" s="313">
        <f>N177-H177</f>
        <v>0.18837500000006457</v>
      </c>
      <c r="O178" s="218"/>
      <c r="Q178" s="231"/>
      <c r="CB178" s="154"/>
      <c r="CI178" s="155"/>
      <c r="DI178" s="150"/>
      <c r="DJ178" s="150"/>
      <c r="DN178" s="150"/>
    </row>
    <row r="179" spans="2:132" s="1" customFormat="1" ht="24.2" customHeight="1" x14ac:dyDescent="0.2">
      <c r="B179" s="124"/>
      <c r="C179" s="125" t="s">
        <v>327</v>
      </c>
      <c r="D179" s="125" t="s">
        <v>284</v>
      </c>
      <c r="E179" s="126" t="s">
        <v>375</v>
      </c>
      <c r="F179" s="127" t="s">
        <v>376</v>
      </c>
      <c r="G179" s="128" t="s">
        <v>366</v>
      </c>
      <c r="H179" s="129">
        <v>479.74599999999998</v>
      </c>
      <c r="I179" s="130">
        <v>390.55963566140201</v>
      </c>
      <c r="J179" s="131">
        <f>ROUND(I179*H179,2)</f>
        <v>187369.42</v>
      </c>
      <c r="K179" s="127" t="s">
        <v>293</v>
      </c>
      <c r="L179" s="198">
        <f>S179</f>
        <v>0</v>
      </c>
      <c r="M179" s="206">
        <f>ROUND(L179*I179,2)</f>
        <v>0</v>
      </c>
      <c r="N179" s="211">
        <f>N169</f>
        <v>0.18837500000006457</v>
      </c>
      <c r="O179" s="212">
        <f>ROUND(N179*I179,2)</f>
        <v>73.569999999999993</v>
      </c>
      <c r="P179" s="207">
        <f>H179-L179-N179</f>
        <v>479.55762499999992</v>
      </c>
      <c r="Q179" s="228">
        <f>ROUND(P179*I179,2)</f>
        <v>187295.85</v>
      </c>
      <c r="R179" s="199"/>
      <c r="S179" s="200">
        <f>W179+Y179+AA179+AC179+AE179+AG179+AI179+AK179+AM179+AO179+AQ179+AS179+AU179+AW179</f>
        <v>0</v>
      </c>
      <c r="T179" s="200">
        <f>ROUND(S179*I179,2)</f>
        <v>0</v>
      </c>
      <c r="U179" s="200">
        <f>H179-S179</f>
        <v>479.74599999999998</v>
      </c>
      <c r="V179" s="200">
        <f>ROUND(U179*I179,2)</f>
        <v>187369.42</v>
      </c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200"/>
      <c r="AV179" s="200"/>
      <c r="AW179" s="200"/>
      <c r="AX179" s="200"/>
      <c r="CB179" s="132" t="s">
        <v>1</v>
      </c>
      <c r="CC179" s="133" t="s">
        <v>40</v>
      </c>
      <c r="CE179" s="134">
        <f>CD179*H179</f>
        <v>0</v>
      </c>
      <c r="CF179" s="134">
        <v>0</v>
      </c>
      <c r="CG179" s="134">
        <f>CF179*H179</f>
        <v>0</v>
      </c>
      <c r="CH179" s="134">
        <v>0</v>
      </c>
      <c r="CI179" s="135">
        <f>CH179*H179</f>
        <v>0</v>
      </c>
      <c r="DG179" s="136" t="s">
        <v>95</v>
      </c>
      <c r="DI179" s="136" t="s">
        <v>284</v>
      </c>
      <c r="DJ179" s="136" t="s">
        <v>83</v>
      </c>
      <c r="DN179" s="16" t="s">
        <v>282</v>
      </c>
      <c r="DT179" s="137">
        <f>IF(CC179="základní",J179,0)</f>
        <v>187369.42</v>
      </c>
      <c r="DU179" s="137">
        <f>IF(CC179="snížená",J179,0)</f>
        <v>0</v>
      </c>
      <c r="DV179" s="137">
        <f>IF(CC179="zákl. přenesená",J179,0)</f>
        <v>0</v>
      </c>
      <c r="DW179" s="137">
        <f>IF(CC179="sníž. přenesená",J179,0)</f>
        <v>0</v>
      </c>
      <c r="DX179" s="137">
        <f>IF(CC179="nulová",J179,0)</f>
        <v>0</v>
      </c>
      <c r="DY179" s="16" t="s">
        <v>81</v>
      </c>
      <c r="DZ179" s="137">
        <f>ROUND(I179*H179,2)</f>
        <v>187369.42</v>
      </c>
      <c r="EA179" s="16" t="s">
        <v>95</v>
      </c>
      <c r="EB179" s="136" t="s">
        <v>377</v>
      </c>
    </row>
    <row r="180" spans="2:132" s="1" customFormat="1" ht="39" x14ac:dyDescent="0.2">
      <c r="B180" s="31"/>
      <c r="D180" s="138" t="s">
        <v>289</v>
      </c>
      <c r="F180" s="139" t="s">
        <v>378</v>
      </c>
      <c r="I180" s="140"/>
      <c r="L180" s="31"/>
      <c r="N180" s="213"/>
      <c r="O180" s="214"/>
      <c r="Q180" s="229"/>
      <c r="CB180" s="141"/>
      <c r="CI180" s="50"/>
      <c r="DI180" s="16" t="s">
        <v>289</v>
      </c>
      <c r="DJ180" s="16" t="s">
        <v>83</v>
      </c>
    </row>
    <row r="181" spans="2:132" s="1" customFormat="1" ht="39" x14ac:dyDescent="0.2">
      <c r="B181" s="31"/>
      <c r="D181" s="138" t="s">
        <v>299</v>
      </c>
      <c r="F181" s="142" t="s">
        <v>850</v>
      </c>
      <c r="I181" s="140"/>
      <c r="L181" s="31"/>
      <c r="N181" s="213"/>
      <c r="O181" s="214"/>
      <c r="Q181" s="229"/>
      <c r="CB181" s="141"/>
      <c r="CI181" s="50"/>
      <c r="DI181" s="16" t="s">
        <v>299</v>
      </c>
      <c r="DJ181" s="16" t="s">
        <v>83</v>
      </c>
    </row>
    <row r="182" spans="2:132" s="1" customFormat="1" ht="24.2" customHeight="1" x14ac:dyDescent="0.2">
      <c r="B182" s="124"/>
      <c r="C182" s="125" t="s">
        <v>359</v>
      </c>
      <c r="D182" s="125" t="s">
        <v>284</v>
      </c>
      <c r="E182" s="126" t="s">
        <v>380</v>
      </c>
      <c r="F182" s="127" t="s">
        <v>381</v>
      </c>
      <c r="G182" s="128" t="s">
        <v>366</v>
      </c>
      <c r="H182" s="129">
        <v>191.898</v>
      </c>
      <c r="I182" s="130">
        <v>650.27058629099099</v>
      </c>
      <c r="J182" s="131">
        <f>ROUND(I182*H182,2)</f>
        <v>124785.62</v>
      </c>
      <c r="K182" s="127" t="s">
        <v>293</v>
      </c>
      <c r="L182" s="198">
        <f>S182</f>
        <v>0</v>
      </c>
      <c r="M182" s="206">
        <f>ROUND(L182*I182,2)</f>
        <v>0</v>
      </c>
      <c r="N182" s="211">
        <f>N186</f>
        <v>7.5600000000036971E-2</v>
      </c>
      <c r="O182" s="212">
        <f>ROUND(N182*I182,2)</f>
        <v>49.16</v>
      </c>
      <c r="P182" s="207">
        <f>H182-L182-N182</f>
        <v>191.82239999999996</v>
      </c>
      <c r="Q182" s="228">
        <f>ROUND(P182*I182,2)</f>
        <v>124736.46</v>
      </c>
      <c r="R182" s="199"/>
      <c r="S182" s="200">
        <f>W182+Y182+AA182+AC182+AE182+AG182+AI182+AK182+AM182+AO182+AQ182+AS182+AU182+AW182</f>
        <v>0</v>
      </c>
      <c r="T182" s="200">
        <f>ROUND(S182*I182,2)</f>
        <v>0</v>
      </c>
      <c r="U182" s="200">
        <f>H182-S182</f>
        <v>191.898</v>
      </c>
      <c r="V182" s="200">
        <f>ROUND(U182*I182,2)</f>
        <v>124785.62</v>
      </c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200"/>
      <c r="AV182" s="200"/>
      <c r="AW182" s="200"/>
      <c r="AX182" s="200"/>
      <c r="CB182" s="132" t="s">
        <v>1</v>
      </c>
      <c r="CC182" s="133" t="s">
        <v>40</v>
      </c>
      <c r="CE182" s="134">
        <f>CD182*H182</f>
        <v>0</v>
      </c>
      <c r="CF182" s="134">
        <v>0</v>
      </c>
      <c r="CG182" s="134">
        <f>CF182*H182</f>
        <v>0</v>
      </c>
      <c r="CH182" s="134">
        <v>0</v>
      </c>
      <c r="CI182" s="135">
        <f>CH182*H182</f>
        <v>0</v>
      </c>
      <c r="DG182" s="136" t="s">
        <v>95</v>
      </c>
      <c r="DI182" s="136" t="s">
        <v>284</v>
      </c>
      <c r="DJ182" s="136" t="s">
        <v>83</v>
      </c>
      <c r="DN182" s="16" t="s">
        <v>282</v>
      </c>
      <c r="DT182" s="137">
        <f>IF(CC182="základní",J182,0)</f>
        <v>124785.62</v>
      </c>
      <c r="DU182" s="137">
        <f>IF(CC182="snížená",J182,0)</f>
        <v>0</v>
      </c>
      <c r="DV182" s="137">
        <f>IF(CC182="zákl. přenesená",J182,0)</f>
        <v>0</v>
      </c>
      <c r="DW182" s="137">
        <f>IF(CC182="sníž. přenesená",J182,0)</f>
        <v>0</v>
      </c>
      <c r="DX182" s="137">
        <f>IF(CC182="nulová",J182,0)</f>
        <v>0</v>
      </c>
      <c r="DY182" s="16" t="s">
        <v>81</v>
      </c>
      <c r="DZ182" s="137">
        <f>ROUND(I182*H182,2)</f>
        <v>124785.62</v>
      </c>
      <c r="EA182" s="16" t="s">
        <v>95</v>
      </c>
      <c r="EB182" s="136" t="s">
        <v>382</v>
      </c>
    </row>
    <row r="183" spans="2:132" s="1" customFormat="1" ht="29.25" x14ac:dyDescent="0.2">
      <c r="B183" s="31"/>
      <c r="D183" s="138" t="s">
        <v>289</v>
      </c>
      <c r="F183" s="139" t="s">
        <v>383</v>
      </c>
      <c r="I183" s="140"/>
      <c r="L183" s="31"/>
      <c r="N183" s="213"/>
      <c r="O183" s="214"/>
      <c r="Q183" s="229"/>
      <c r="CB183" s="141"/>
      <c r="CI183" s="50"/>
      <c r="DI183" s="16" t="s">
        <v>289</v>
      </c>
      <c r="DJ183" s="16" t="s">
        <v>83</v>
      </c>
    </row>
    <row r="184" spans="2:132" s="11" customFormat="1" x14ac:dyDescent="0.2">
      <c r="B184" s="143"/>
      <c r="D184" s="138" t="s">
        <v>301</v>
      </c>
      <c r="E184" s="144" t="s">
        <v>1</v>
      </c>
      <c r="F184" s="145" t="s">
        <v>384</v>
      </c>
      <c r="H184" s="144" t="s">
        <v>1</v>
      </c>
      <c r="I184" s="146"/>
      <c r="L184" s="143"/>
      <c r="N184" s="215"/>
      <c r="O184" s="216"/>
      <c r="Q184" s="230"/>
      <c r="CB184" s="147"/>
      <c r="CI184" s="148"/>
      <c r="DI184" s="144" t="s">
        <v>301</v>
      </c>
      <c r="DJ184" s="144" t="s">
        <v>83</v>
      </c>
      <c r="DK184" s="11" t="s">
        <v>81</v>
      </c>
      <c r="DL184" s="11" t="s">
        <v>32</v>
      </c>
      <c r="DM184" s="11" t="s">
        <v>74</v>
      </c>
      <c r="DN184" s="144" t="s">
        <v>282</v>
      </c>
    </row>
    <row r="185" spans="2:132" s="12" customFormat="1" x14ac:dyDescent="0.2">
      <c r="B185" s="149"/>
      <c r="D185" s="138" t="s">
        <v>301</v>
      </c>
      <c r="E185" s="150" t="s">
        <v>1</v>
      </c>
      <c r="F185" s="151" t="s">
        <v>897</v>
      </c>
      <c r="H185" s="152">
        <v>191.898</v>
      </c>
      <c r="I185" s="153"/>
      <c r="L185" s="149"/>
      <c r="N185" s="313">
        <f>(479.934+479.934)*0.2</f>
        <v>191.97360000000003</v>
      </c>
      <c r="O185" s="218" t="s">
        <v>3420</v>
      </c>
      <c r="Q185" s="231"/>
      <c r="CB185" s="154"/>
      <c r="CI185" s="155"/>
      <c r="DI185" s="150" t="s">
        <v>301</v>
      </c>
      <c r="DJ185" s="150" t="s">
        <v>83</v>
      </c>
      <c r="DK185" s="12" t="s">
        <v>83</v>
      </c>
      <c r="DL185" s="12" t="s">
        <v>32</v>
      </c>
      <c r="DM185" s="12" t="s">
        <v>81</v>
      </c>
      <c r="DN185" s="150" t="s">
        <v>282</v>
      </c>
    </row>
    <row r="186" spans="2:132" s="12" customFormat="1" x14ac:dyDescent="0.2">
      <c r="B186" s="149"/>
      <c r="D186" s="138"/>
      <c r="E186" s="150"/>
      <c r="F186" s="151"/>
      <c r="H186" s="152"/>
      <c r="I186" s="153"/>
      <c r="L186" s="149"/>
      <c r="N186" s="313">
        <f>N185-H185</f>
        <v>7.5600000000036971E-2</v>
      </c>
      <c r="O186" s="218"/>
      <c r="Q186" s="231"/>
      <c r="CB186" s="154"/>
      <c r="CI186" s="155"/>
      <c r="DI186" s="150"/>
      <c r="DJ186" s="150"/>
      <c r="DN186" s="150"/>
    </row>
    <row r="187" spans="2:132" s="1" customFormat="1" ht="14.45" customHeight="1" x14ac:dyDescent="0.2">
      <c r="B187" s="124"/>
      <c r="C187" s="125" t="s">
        <v>363</v>
      </c>
      <c r="D187" s="125" t="s">
        <v>284</v>
      </c>
      <c r="E187" s="126" t="s">
        <v>387</v>
      </c>
      <c r="F187" s="127" t="s">
        <v>388</v>
      </c>
      <c r="G187" s="128" t="s">
        <v>287</v>
      </c>
      <c r="H187" s="129">
        <v>1926.18</v>
      </c>
      <c r="I187" s="130">
        <v>156.6895922457376</v>
      </c>
      <c r="J187" s="131">
        <f>ROUND(I187*H187,2)</f>
        <v>301812.36</v>
      </c>
      <c r="K187" s="127" t="s">
        <v>293</v>
      </c>
      <c r="L187" s="198">
        <f>S187</f>
        <v>0</v>
      </c>
      <c r="M187" s="206">
        <f>ROUND(L187*I187,2)</f>
        <v>0</v>
      </c>
      <c r="N187" s="211">
        <f>N191</f>
        <v>0.86400000000003274</v>
      </c>
      <c r="O187" s="212">
        <f>ROUND(N187*I187,2)</f>
        <v>135.38</v>
      </c>
      <c r="P187" s="207">
        <f>H187-L187-N187</f>
        <v>1925.316</v>
      </c>
      <c r="Q187" s="228">
        <f>ROUND(P187*I187,2)</f>
        <v>301676.98</v>
      </c>
      <c r="R187" s="199"/>
      <c r="S187" s="200">
        <f>W187+Y187+AA187+AC187+AE187+AG187+AI187+AK187+AM187+AO187+AQ187+AS187+AU187+AW187</f>
        <v>0</v>
      </c>
      <c r="T187" s="200">
        <f>ROUND(S187*I187,2)</f>
        <v>0</v>
      </c>
      <c r="U187" s="200">
        <f>H187-S187</f>
        <v>1926.18</v>
      </c>
      <c r="V187" s="200">
        <f>ROUND(U187*I187,2)</f>
        <v>301812.36</v>
      </c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200"/>
      <c r="AV187" s="200"/>
      <c r="AW187" s="200"/>
      <c r="AX187" s="200"/>
      <c r="CB187" s="132" t="s">
        <v>1</v>
      </c>
      <c r="CC187" s="133" t="s">
        <v>40</v>
      </c>
      <c r="CE187" s="134">
        <f>CD187*H187</f>
        <v>0</v>
      </c>
      <c r="CF187" s="134">
        <v>5.9000000000000003E-4</v>
      </c>
      <c r="CG187" s="134">
        <f>CF187*H187</f>
        <v>1.1364462000000002</v>
      </c>
      <c r="CH187" s="134">
        <v>0</v>
      </c>
      <c r="CI187" s="135">
        <f>CH187*H187</f>
        <v>0</v>
      </c>
      <c r="DG187" s="136" t="s">
        <v>95</v>
      </c>
      <c r="DI187" s="136" t="s">
        <v>284</v>
      </c>
      <c r="DJ187" s="136" t="s">
        <v>83</v>
      </c>
      <c r="DN187" s="16" t="s">
        <v>282</v>
      </c>
      <c r="DT187" s="137">
        <f>IF(CC187="základní",J187,0)</f>
        <v>301812.36</v>
      </c>
      <c r="DU187" s="137">
        <f>IF(CC187="snížená",J187,0)</f>
        <v>0</v>
      </c>
      <c r="DV187" s="137">
        <f>IF(CC187="zákl. přenesená",J187,0)</f>
        <v>0</v>
      </c>
      <c r="DW187" s="137">
        <f>IF(CC187="sníž. přenesená",J187,0)</f>
        <v>0</v>
      </c>
      <c r="DX187" s="137">
        <f>IF(CC187="nulová",J187,0)</f>
        <v>0</v>
      </c>
      <c r="DY187" s="16" t="s">
        <v>81</v>
      </c>
      <c r="DZ187" s="137">
        <f>ROUND(I187*H187,2)</f>
        <v>301812.36</v>
      </c>
      <c r="EA187" s="16" t="s">
        <v>95</v>
      </c>
      <c r="EB187" s="136" t="s">
        <v>389</v>
      </c>
    </row>
    <row r="188" spans="2:132" s="1" customFormat="1" ht="19.5" x14ac:dyDescent="0.2">
      <c r="B188" s="31"/>
      <c r="D188" s="138" t="s">
        <v>289</v>
      </c>
      <c r="F188" s="139" t="s">
        <v>390</v>
      </c>
      <c r="I188" s="140"/>
      <c r="L188" s="31"/>
      <c r="N188" s="213"/>
      <c r="O188" s="214"/>
      <c r="Q188" s="229"/>
      <c r="CB188" s="141"/>
      <c r="CI188" s="50"/>
      <c r="DI188" s="16" t="s">
        <v>289</v>
      </c>
      <c r="DJ188" s="16" t="s">
        <v>83</v>
      </c>
    </row>
    <row r="189" spans="2:132" s="1" customFormat="1" ht="19.5" x14ac:dyDescent="0.2">
      <c r="B189" s="31"/>
      <c r="D189" s="138" t="s">
        <v>299</v>
      </c>
      <c r="F189" s="142" t="s">
        <v>317</v>
      </c>
      <c r="I189" s="140"/>
      <c r="L189" s="31"/>
      <c r="N189" s="213"/>
      <c r="O189" s="214"/>
      <c r="Q189" s="229"/>
      <c r="CB189" s="141"/>
      <c r="CI189" s="50"/>
      <c r="DI189" s="16" t="s">
        <v>299</v>
      </c>
      <c r="DJ189" s="16" t="s">
        <v>83</v>
      </c>
    </row>
    <row r="190" spans="2:132" s="12" customFormat="1" x14ac:dyDescent="0.2">
      <c r="B190" s="149"/>
      <c r="D190" s="138" t="s">
        <v>301</v>
      </c>
      <c r="E190" s="150" t="s">
        <v>1</v>
      </c>
      <c r="F190" s="151" t="s">
        <v>898</v>
      </c>
      <c r="H190" s="152">
        <v>1926.18</v>
      </c>
      <c r="I190" s="153"/>
      <c r="L190" s="149"/>
      <c r="N190" s="217">
        <f>356.86*2.7*2</f>
        <v>1927.0440000000001</v>
      </c>
      <c r="O190" s="218" t="s">
        <v>3421</v>
      </c>
      <c r="Q190" s="231"/>
      <c r="CB190" s="154"/>
      <c r="CI190" s="155"/>
      <c r="DI190" s="150" t="s">
        <v>301</v>
      </c>
      <c r="DJ190" s="150" t="s">
        <v>83</v>
      </c>
      <c r="DK190" s="12" t="s">
        <v>83</v>
      </c>
      <c r="DL190" s="12" t="s">
        <v>32</v>
      </c>
      <c r="DM190" s="12" t="s">
        <v>81</v>
      </c>
      <c r="DN190" s="150" t="s">
        <v>282</v>
      </c>
    </row>
    <row r="191" spans="2:132" s="12" customFormat="1" x14ac:dyDescent="0.2">
      <c r="B191" s="149"/>
      <c r="D191" s="138"/>
      <c r="E191" s="150"/>
      <c r="F191" s="151"/>
      <c r="H191" s="152"/>
      <c r="I191" s="153"/>
      <c r="L191" s="149"/>
      <c r="N191" s="310">
        <f>N190-H190</f>
        <v>0.86400000000003274</v>
      </c>
      <c r="O191" s="218"/>
      <c r="Q191" s="231"/>
      <c r="CB191" s="154"/>
      <c r="CI191" s="155"/>
      <c r="DI191" s="150"/>
      <c r="DJ191" s="150"/>
      <c r="DN191" s="150"/>
    </row>
    <row r="192" spans="2:132" s="1" customFormat="1" ht="19.5" customHeight="1" x14ac:dyDescent="0.2">
      <c r="B192" s="124"/>
      <c r="C192" s="125" t="s">
        <v>8</v>
      </c>
      <c r="D192" s="125" t="s">
        <v>284</v>
      </c>
      <c r="E192" s="126" t="s">
        <v>393</v>
      </c>
      <c r="F192" s="127" t="s">
        <v>394</v>
      </c>
      <c r="G192" s="128" t="s">
        <v>287</v>
      </c>
      <c r="H192" s="129">
        <v>1926.18</v>
      </c>
      <c r="I192" s="130">
        <v>103.33666316345877</v>
      </c>
      <c r="J192" s="131">
        <f>ROUND(I192*H192,2)</f>
        <v>199045.01</v>
      </c>
      <c r="K192" s="127" t="s">
        <v>293</v>
      </c>
      <c r="L192" s="198">
        <f>S192</f>
        <v>0</v>
      </c>
      <c r="M192" s="206">
        <f>ROUND(L192*I192,2)</f>
        <v>0</v>
      </c>
      <c r="N192" s="211">
        <f>N187</f>
        <v>0.86400000000003274</v>
      </c>
      <c r="O192" s="212">
        <f>ROUND(N192*I192,2)</f>
        <v>89.28</v>
      </c>
      <c r="P192" s="207">
        <f>H192-L192-N192</f>
        <v>1925.316</v>
      </c>
      <c r="Q192" s="228">
        <f>ROUND(P192*I192,2)</f>
        <v>198955.73</v>
      </c>
      <c r="R192" s="199"/>
      <c r="S192" s="200">
        <f>W192+Y192+AA192+AC192+AE192+AG192+AI192+AK192+AM192+AO192+AQ192+AS192+AU192+AW192</f>
        <v>0</v>
      </c>
      <c r="T192" s="200">
        <f>ROUND(S192*I192,2)</f>
        <v>0</v>
      </c>
      <c r="U192" s="200">
        <f>H192-S192</f>
        <v>1926.18</v>
      </c>
      <c r="V192" s="200">
        <f>ROUND(U192*I192,2)</f>
        <v>199045.01</v>
      </c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200"/>
      <c r="AV192" s="200"/>
      <c r="AW192" s="200"/>
      <c r="AX192" s="200"/>
      <c r="CB192" s="132" t="s">
        <v>1</v>
      </c>
      <c r="CC192" s="133" t="s">
        <v>40</v>
      </c>
      <c r="CE192" s="134">
        <f>CD192*H192</f>
        <v>0</v>
      </c>
      <c r="CF192" s="134">
        <v>0</v>
      </c>
      <c r="CG192" s="134">
        <f>CF192*H192</f>
        <v>0</v>
      </c>
      <c r="CH192" s="134">
        <v>0</v>
      </c>
      <c r="CI192" s="135">
        <f>CH192*H192</f>
        <v>0</v>
      </c>
      <c r="DG192" s="136" t="s">
        <v>95</v>
      </c>
      <c r="DI192" s="136" t="s">
        <v>284</v>
      </c>
      <c r="DJ192" s="136" t="s">
        <v>83</v>
      </c>
      <c r="DN192" s="16" t="s">
        <v>282</v>
      </c>
      <c r="DT192" s="137">
        <f>IF(CC192="základní",J192,0)</f>
        <v>199045.01</v>
      </c>
      <c r="DU192" s="137">
        <f>IF(CC192="snížená",J192,0)</f>
        <v>0</v>
      </c>
      <c r="DV192" s="137">
        <f>IF(CC192="zákl. přenesená",J192,0)</f>
        <v>0</v>
      </c>
      <c r="DW192" s="137">
        <f>IF(CC192="sníž. přenesená",J192,0)</f>
        <v>0</v>
      </c>
      <c r="DX192" s="137">
        <f>IF(CC192="nulová",J192,0)</f>
        <v>0</v>
      </c>
      <c r="DY192" s="16" t="s">
        <v>81</v>
      </c>
      <c r="DZ192" s="137">
        <f>ROUND(I192*H192,2)</f>
        <v>199045.01</v>
      </c>
      <c r="EA192" s="16" t="s">
        <v>95</v>
      </c>
      <c r="EB192" s="136" t="s">
        <v>395</v>
      </c>
    </row>
    <row r="193" spans="2:132" s="1" customFormat="1" ht="19.5" x14ac:dyDescent="0.2">
      <c r="B193" s="31"/>
      <c r="D193" s="138" t="s">
        <v>289</v>
      </c>
      <c r="F193" s="139" t="s">
        <v>396</v>
      </c>
      <c r="I193" s="140"/>
      <c r="L193" s="31"/>
      <c r="N193" s="213"/>
      <c r="O193" s="214"/>
      <c r="Q193" s="229"/>
      <c r="CB193" s="141"/>
      <c r="CI193" s="50"/>
      <c r="DI193" s="16" t="s">
        <v>289</v>
      </c>
      <c r="DJ193" s="16" t="s">
        <v>83</v>
      </c>
    </row>
    <row r="194" spans="2:132" s="1" customFormat="1" ht="37.9" customHeight="1" x14ac:dyDescent="0.2">
      <c r="B194" s="124"/>
      <c r="C194" s="125" t="s">
        <v>379</v>
      </c>
      <c r="D194" s="125" t="s">
        <v>284</v>
      </c>
      <c r="E194" s="126" t="s">
        <v>398</v>
      </c>
      <c r="F194" s="127" t="s">
        <v>399</v>
      </c>
      <c r="G194" s="128" t="s">
        <v>366</v>
      </c>
      <c r="H194" s="129">
        <v>959.49199999999996</v>
      </c>
      <c r="I194" s="130">
        <v>282.06861194786097</v>
      </c>
      <c r="J194" s="131">
        <f>ROUND(I194*H194,2)</f>
        <v>270642.58</v>
      </c>
      <c r="K194" s="127" t="s">
        <v>293</v>
      </c>
      <c r="L194" s="198">
        <f>S194</f>
        <v>0</v>
      </c>
      <c r="M194" s="206">
        <f>ROUND(L194*I194,2)</f>
        <v>0</v>
      </c>
      <c r="N194" s="211">
        <f>N198</f>
        <v>0.37600000000009004</v>
      </c>
      <c r="O194" s="212">
        <f>ROUND(N194*I194,2)</f>
        <v>106.06</v>
      </c>
      <c r="P194" s="207">
        <f>H194-L194-N194</f>
        <v>959.11599999999987</v>
      </c>
      <c r="Q194" s="228">
        <f>ROUND(P194*I194,2)</f>
        <v>270536.52</v>
      </c>
      <c r="R194" s="199"/>
      <c r="S194" s="200">
        <f>W194+Y194+AA194+AC194+AE194+AG194+AI194+AK194+AM194+AO194+AQ194+AS194+AU194+AW194</f>
        <v>0</v>
      </c>
      <c r="T194" s="200">
        <f>ROUND(S194*I194,2)</f>
        <v>0</v>
      </c>
      <c r="U194" s="200">
        <f>H194-S194</f>
        <v>959.49199999999996</v>
      </c>
      <c r="V194" s="200">
        <f>ROUND(U194*I194,2)</f>
        <v>270642.58</v>
      </c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CB194" s="132" t="s">
        <v>1</v>
      </c>
      <c r="CC194" s="133" t="s">
        <v>40</v>
      </c>
      <c r="CE194" s="134">
        <f>CD194*H194</f>
        <v>0</v>
      </c>
      <c r="CF194" s="134">
        <v>0</v>
      </c>
      <c r="CG194" s="134">
        <f>CF194*H194</f>
        <v>0</v>
      </c>
      <c r="CH194" s="134">
        <v>0</v>
      </c>
      <c r="CI194" s="135">
        <f>CH194*H194</f>
        <v>0</v>
      </c>
      <c r="DG194" s="136" t="s">
        <v>95</v>
      </c>
      <c r="DI194" s="136" t="s">
        <v>284</v>
      </c>
      <c r="DJ194" s="136" t="s">
        <v>83</v>
      </c>
      <c r="DN194" s="16" t="s">
        <v>282</v>
      </c>
      <c r="DT194" s="137">
        <f>IF(CC194="základní",J194,0)</f>
        <v>270642.58</v>
      </c>
      <c r="DU194" s="137">
        <f>IF(CC194="snížená",J194,0)</f>
        <v>0</v>
      </c>
      <c r="DV194" s="137">
        <f>IF(CC194="zákl. přenesená",J194,0)</f>
        <v>0</v>
      </c>
      <c r="DW194" s="137">
        <f>IF(CC194="sníž. přenesená",J194,0)</f>
        <v>0</v>
      </c>
      <c r="DX194" s="137">
        <f>IF(CC194="nulová",J194,0)</f>
        <v>0</v>
      </c>
      <c r="DY194" s="16" t="s">
        <v>81</v>
      </c>
      <c r="DZ194" s="137">
        <f>ROUND(I194*H194,2)</f>
        <v>270642.58</v>
      </c>
      <c r="EA194" s="16" t="s">
        <v>95</v>
      </c>
      <c r="EB194" s="136" t="s">
        <v>400</v>
      </c>
    </row>
    <row r="195" spans="2:132" s="1" customFormat="1" ht="39" x14ac:dyDescent="0.2">
      <c r="B195" s="31"/>
      <c r="D195" s="138" t="s">
        <v>289</v>
      </c>
      <c r="F195" s="139" t="s">
        <v>401</v>
      </c>
      <c r="I195" s="140"/>
      <c r="L195" s="31"/>
      <c r="N195" s="213"/>
      <c r="O195" s="214"/>
      <c r="Q195" s="229"/>
      <c r="CB195" s="141"/>
      <c r="CI195" s="50"/>
      <c r="DI195" s="16" t="s">
        <v>289</v>
      </c>
      <c r="DJ195" s="16" t="s">
        <v>83</v>
      </c>
    </row>
    <row r="196" spans="2:132" s="11" customFormat="1" x14ac:dyDescent="0.2">
      <c r="B196" s="143"/>
      <c r="D196" s="138" t="s">
        <v>301</v>
      </c>
      <c r="E196" s="144" t="s">
        <v>1</v>
      </c>
      <c r="F196" s="145" t="s">
        <v>402</v>
      </c>
      <c r="H196" s="144" t="s">
        <v>1</v>
      </c>
      <c r="I196" s="146"/>
      <c r="L196" s="143"/>
      <c r="N196" s="215"/>
      <c r="O196" s="216"/>
      <c r="Q196" s="230"/>
      <c r="CB196" s="147"/>
      <c r="CI196" s="148"/>
      <c r="DI196" s="144" t="s">
        <v>301</v>
      </c>
      <c r="DJ196" s="144" t="s">
        <v>83</v>
      </c>
      <c r="DK196" s="11" t="s">
        <v>81</v>
      </c>
      <c r="DL196" s="11" t="s">
        <v>32</v>
      </c>
      <c r="DM196" s="11" t="s">
        <v>74</v>
      </c>
      <c r="DN196" s="144" t="s">
        <v>282</v>
      </c>
    </row>
    <row r="197" spans="2:132" s="12" customFormat="1" x14ac:dyDescent="0.2">
      <c r="B197" s="149"/>
      <c r="D197" s="138" t="s">
        <v>301</v>
      </c>
      <c r="E197" s="150" t="s">
        <v>1</v>
      </c>
      <c r="F197" s="151" t="s">
        <v>899</v>
      </c>
      <c r="H197" s="152">
        <v>959.49199999999996</v>
      </c>
      <c r="I197" s="153"/>
      <c r="L197" s="149"/>
      <c r="N197" s="310">
        <f>479.934+479.934</f>
        <v>959.86800000000005</v>
      </c>
      <c r="O197" s="218" t="s">
        <v>3419</v>
      </c>
      <c r="Q197" s="231"/>
      <c r="CB197" s="154"/>
      <c r="CI197" s="155"/>
      <c r="DI197" s="150" t="s">
        <v>301</v>
      </c>
      <c r="DJ197" s="150" t="s">
        <v>83</v>
      </c>
      <c r="DK197" s="12" t="s">
        <v>83</v>
      </c>
      <c r="DL197" s="12" t="s">
        <v>32</v>
      </c>
      <c r="DM197" s="12" t="s">
        <v>81</v>
      </c>
      <c r="DN197" s="150" t="s">
        <v>282</v>
      </c>
    </row>
    <row r="198" spans="2:132" s="12" customFormat="1" x14ac:dyDescent="0.2">
      <c r="B198" s="149"/>
      <c r="D198" s="138"/>
      <c r="E198" s="150"/>
      <c r="F198" s="151"/>
      <c r="H198" s="152"/>
      <c r="I198" s="153"/>
      <c r="L198" s="149"/>
      <c r="N198" s="310">
        <f>N197-H194</f>
        <v>0.37600000000009004</v>
      </c>
      <c r="O198" s="218"/>
      <c r="Q198" s="231"/>
      <c r="CB198" s="154"/>
      <c r="CI198" s="155"/>
      <c r="DI198" s="150"/>
      <c r="DJ198" s="150"/>
      <c r="DN198" s="150"/>
    </row>
    <row r="199" spans="2:132" s="1" customFormat="1" ht="37.9" customHeight="1" x14ac:dyDescent="0.2">
      <c r="B199" s="124"/>
      <c r="C199" s="125" t="s">
        <v>386</v>
      </c>
      <c r="D199" s="125" t="s">
        <v>284</v>
      </c>
      <c r="E199" s="126" t="s">
        <v>405</v>
      </c>
      <c r="F199" s="127" t="s">
        <v>406</v>
      </c>
      <c r="G199" s="128" t="s">
        <v>366</v>
      </c>
      <c r="H199" s="129">
        <v>4797.46</v>
      </c>
      <c r="I199" s="130">
        <v>3.4208109177592001</v>
      </c>
      <c r="J199" s="131">
        <f>ROUND(I199*H199,2)</f>
        <v>16411.2</v>
      </c>
      <c r="K199" s="127" t="s">
        <v>293</v>
      </c>
      <c r="L199" s="198">
        <f>S199</f>
        <v>0</v>
      </c>
      <c r="M199" s="206">
        <f>ROUND(L199*I199,2)</f>
        <v>0</v>
      </c>
      <c r="N199" s="211">
        <f>N202</f>
        <v>1.8800000000001091</v>
      </c>
      <c r="O199" s="212">
        <f>ROUND(N199*I199,2)</f>
        <v>6.43</v>
      </c>
      <c r="P199" s="207">
        <f>H199-L199-N199</f>
        <v>4795.58</v>
      </c>
      <c r="Q199" s="228">
        <f>ROUND(P199*I199,2)</f>
        <v>16404.77</v>
      </c>
      <c r="R199" s="199"/>
      <c r="S199" s="200">
        <f>W199+Y199+AA199+AC199+AE199+AG199+AI199+AK199+AM199+AO199+AQ199+AS199+AU199+AW199</f>
        <v>0</v>
      </c>
      <c r="T199" s="200">
        <f>ROUND(S199*I199,2)</f>
        <v>0</v>
      </c>
      <c r="U199" s="200">
        <f>H199-S199</f>
        <v>4797.46</v>
      </c>
      <c r="V199" s="200">
        <f>ROUND(U199*I199,2)</f>
        <v>16411.2</v>
      </c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CB199" s="132" t="s">
        <v>1</v>
      </c>
      <c r="CC199" s="133" t="s">
        <v>40</v>
      </c>
      <c r="CE199" s="134">
        <f>CD199*H199</f>
        <v>0</v>
      </c>
      <c r="CF199" s="134">
        <v>0</v>
      </c>
      <c r="CG199" s="134">
        <f>CF199*H199</f>
        <v>0</v>
      </c>
      <c r="CH199" s="134">
        <v>0</v>
      </c>
      <c r="CI199" s="135">
        <f>CH199*H199</f>
        <v>0</v>
      </c>
      <c r="DG199" s="136" t="s">
        <v>95</v>
      </c>
      <c r="DI199" s="136" t="s">
        <v>284</v>
      </c>
      <c r="DJ199" s="136" t="s">
        <v>83</v>
      </c>
      <c r="DN199" s="16" t="s">
        <v>282</v>
      </c>
      <c r="DT199" s="137">
        <f>IF(CC199="základní",J199,0)</f>
        <v>16411.2</v>
      </c>
      <c r="DU199" s="137">
        <f>IF(CC199="snížená",J199,0)</f>
        <v>0</v>
      </c>
      <c r="DV199" s="137">
        <f>IF(CC199="zákl. přenesená",J199,0)</f>
        <v>0</v>
      </c>
      <c r="DW199" s="137">
        <f>IF(CC199="sníž. přenesená",J199,0)</f>
        <v>0</v>
      </c>
      <c r="DX199" s="137">
        <f>IF(CC199="nulová",J199,0)</f>
        <v>0</v>
      </c>
      <c r="DY199" s="16" t="s">
        <v>81</v>
      </c>
      <c r="DZ199" s="137">
        <f>ROUND(I199*H199,2)</f>
        <v>16411.2</v>
      </c>
      <c r="EA199" s="16" t="s">
        <v>95</v>
      </c>
      <c r="EB199" s="136" t="s">
        <v>407</v>
      </c>
    </row>
    <row r="200" spans="2:132" s="1" customFormat="1" ht="48.75" x14ac:dyDescent="0.2">
      <c r="B200" s="31"/>
      <c r="D200" s="138" t="s">
        <v>289</v>
      </c>
      <c r="F200" s="139" t="s">
        <v>408</v>
      </c>
      <c r="I200" s="140"/>
      <c r="L200" s="31"/>
      <c r="N200" s="213"/>
      <c r="O200" s="214"/>
      <c r="Q200" s="229"/>
      <c r="CB200" s="141"/>
      <c r="CI200" s="50"/>
      <c r="DI200" s="16" t="s">
        <v>289</v>
      </c>
      <c r="DJ200" s="16" t="s">
        <v>83</v>
      </c>
    </row>
    <row r="201" spans="2:132" s="12" customFormat="1" x14ac:dyDescent="0.2">
      <c r="B201" s="149"/>
      <c r="D201" s="138" t="s">
        <v>301</v>
      </c>
      <c r="F201" s="151" t="s">
        <v>900</v>
      </c>
      <c r="H201" s="152">
        <v>4797.46</v>
      </c>
      <c r="I201" s="153"/>
      <c r="L201" s="149"/>
      <c r="N201" s="217">
        <f>959.868*5</f>
        <v>4799.34</v>
      </c>
      <c r="O201" s="218" t="s">
        <v>3422</v>
      </c>
      <c r="Q201" s="231"/>
      <c r="CB201" s="154"/>
      <c r="CI201" s="155"/>
      <c r="DI201" s="150" t="s">
        <v>301</v>
      </c>
      <c r="DJ201" s="150" t="s">
        <v>83</v>
      </c>
      <c r="DK201" s="12" t="s">
        <v>83</v>
      </c>
      <c r="DL201" s="12" t="s">
        <v>3</v>
      </c>
      <c r="DM201" s="12" t="s">
        <v>81</v>
      </c>
      <c r="DN201" s="150" t="s">
        <v>282</v>
      </c>
    </row>
    <row r="202" spans="2:132" s="12" customFormat="1" x14ac:dyDescent="0.2">
      <c r="B202" s="149"/>
      <c r="D202" s="138"/>
      <c r="F202" s="151"/>
      <c r="H202" s="152"/>
      <c r="I202" s="153"/>
      <c r="L202" s="149"/>
      <c r="N202" s="310">
        <f>N201-H201</f>
        <v>1.8800000000001091</v>
      </c>
      <c r="O202" s="218"/>
      <c r="Q202" s="231"/>
      <c r="CB202" s="154"/>
      <c r="CI202" s="155"/>
      <c r="DI202" s="150"/>
      <c r="DJ202" s="150"/>
      <c r="DN202" s="150"/>
    </row>
    <row r="203" spans="2:132" s="1" customFormat="1" ht="24.2" customHeight="1" x14ac:dyDescent="0.2">
      <c r="B203" s="124"/>
      <c r="C203" s="125" t="s">
        <v>392</v>
      </c>
      <c r="D203" s="125" t="s">
        <v>284</v>
      </c>
      <c r="E203" s="126" t="s">
        <v>410</v>
      </c>
      <c r="F203" s="127" t="s">
        <v>411</v>
      </c>
      <c r="G203" s="128" t="s">
        <v>287</v>
      </c>
      <c r="H203" s="129">
        <v>419.76</v>
      </c>
      <c r="I203" s="130">
        <v>6.3644601414457247</v>
      </c>
      <c r="J203" s="131">
        <f>ROUND(I203*H203,2)</f>
        <v>2671.55</v>
      </c>
      <c r="K203" s="127" t="s">
        <v>293</v>
      </c>
      <c r="L203" s="198">
        <f>S203</f>
        <v>0</v>
      </c>
      <c r="M203" s="206">
        <f>ROUND(L203*I203,2)</f>
        <v>0</v>
      </c>
      <c r="N203" s="211">
        <f>N210</f>
        <v>0.16800000000000637</v>
      </c>
      <c r="O203" s="212">
        <f>ROUND(N203*I203,2)</f>
        <v>1.07</v>
      </c>
      <c r="P203" s="207">
        <f>H203-L203-N203</f>
        <v>419.59199999999998</v>
      </c>
      <c r="Q203" s="228">
        <f>ROUND(P203*I203,2)</f>
        <v>2670.48</v>
      </c>
      <c r="R203" s="199"/>
      <c r="S203" s="200">
        <f>W203+Y203+AA203+AC203+AE203+AG203+AI203+AK203+AM203+AO203+AQ203+AS203+AU203+AW203</f>
        <v>0</v>
      </c>
      <c r="T203" s="200">
        <f>ROUND(S203*I203,2)</f>
        <v>0</v>
      </c>
      <c r="U203" s="200">
        <f>H203-S203</f>
        <v>419.76</v>
      </c>
      <c r="V203" s="200">
        <f>ROUND(U203*I203,2)</f>
        <v>2671.55</v>
      </c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0"/>
      <c r="AK203" s="200"/>
      <c r="AL203" s="200"/>
      <c r="AM203" s="200"/>
      <c r="AN203" s="200"/>
      <c r="AO203" s="200"/>
      <c r="AP203" s="200"/>
      <c r="AQ203" s="200"/>
      <c r="AR203" s="200"/>
      <c r="AS203" s="200"/>
      <c r="AT203" s="200"/>
      <c r="AU203" s="200"/>
      <c r="AV203" s="200"/>
      <c r="AW203" s="200"/>
      <c r="AX203" s="200"/>
      <c r="CB203" s="132" t="s">
        <v>1</v>
      </c>
      <c r="CC203" s="133" t="s">
        <v>40</v>
      </c>
      <c r="CE203" s="134">
        <f>CD203*H203</f>
        <v>0</v>
      </c>
      <c r="CF203" s="134">
        <v>0</v>
      </c>
      <c r="CG203" s="134">
        <f>CF203*H203</f>
        <v>0</v>
      </c>
      <c r="CH203" s="134">
        <v>0</v>
      </c>
      <c r="CI203" s="135">
        <f>CH203*H203</f>
        <v>0</v>
      </c>
      <c r="DG203" s="136" t="s">
        <v>95</v>
      </c>
      <c r="DI203" s="136" t="s">
        <v>284</v>
      </c>
      <c r="DJ203" s="136" t="s">
        <v>83</v>
      </c>
      <c r="DN203" s="16" t="s">
        <v>282</v>
      </c>
      <c r="DT203" s="137">
        <f>IF(CC203="základní",J203,0)</f>
        <v>2671.55</v>
      </c>
      <c r="DU203" s="137">
        <f>IF(CC203="snížená",J203,0)</f>
        <v>0</v>
      </c>
      <c r="DV203" s="137">
        <f>IF(CC203="zákl. přenesená",J203,0)</f>
        <v>0</v>
      </c>
      <c r="DW203" s="137">
        <f>IF(CC203="sníž. přenesená",J203,0)</f>
        <v>0</v>
      </c>
      <c r="DX203" s="137">
        <f>IF(CC203="nulová",J203,0)</f>
        <v>0</v>
      </c>
      <c r="DY203" s="16" t="s">
        <v>81</v>
      </c>
      <c r="DZ203" s="137">
        <f>ROUND(I203*H203,2)</f>
        <v>2671.55</v>
      </c>
      <c r="EA203" s="16" t="s">
        <v>95</v>
      </c>
      <c r="EB203" s="136" t="s">
        <v>412</v>
      </c>
    </row>
    <row r="204" spans="2:132" s="1" customFormat="1" ht="19.5" x14ac:dyDescent="0.2">
      <c r="B204" s="31"/>
      <c r="D204" s="138" t="s">
        <v>289</v>
      </c>
      <c r="F204" s="139" t="s">
        <v>413</v>
      </c>
      <c r="I204" s="140"/>
      <c r="L204" s="31"/>
      <c r="N204" s="213"/>
      <c r="O204" s="214"/>
      <c r="Q204" s="229"/>
      <c r="CB204" s="141"/>
      <c r="CI204" s="50"/>
      <c r="DI204" s="16" t="s">
        <v>289</v>
      </c>
      <c r="DJ204" s="16" t="s">
        <v>83</v>
      </c>
    </row>
    <row r="205" spans="2:132" s="1" customFormat="1" ht="19.5" x14ac:dyDescent="0.2">
      <c r="B205" s="31"/>
      <c r="D205" s="138" t="s">
        <v>299</v>
      </c>
      <c r="F205" s="142" t="s">
        <v>317</v>
      </c>
      <c r="I205" s="140"/>
      <c r="L205" s="31"/>
      <c r="N205" s="213"/>
      <c r="O205" s="214"/>
      <c r="Q205" s="229"/>
      <c r="CB205" s="141"/>
      <c r="CI205" s="50"/>
      <c r="DI205" s="16" t="s">
        <v>299</v>
      </c>
      <c r="DJ205" s="16" t="s">
        <v>83</v>
      </c>
    </row>
    <row r="206" spans="2:132" s="12" customFormat="1" x14ac:dyDescent="0.2">
      <c r="B206" s="149"/>
      <c r="D206" s="138" t="s">
        <v>301</v>
      </c>
      <c r="E206" s="150" t="s">
        <v>1</v>
      </c>
      <c r="F206" s="151" t="s">
        <v>901</v>
      </c>
      <c r="H206" s="152">
        <v>374.53500000000003</v>
      </c>
      <c r="I206" s="153"/>
      <c r="L206" s="149"/>
      <c r="N206" s="217">
        <f>356.86*1.05</f>
        <v>374.70300000000003</v>
      </c>
      <c r="O206" s="218" t="s">
        <v>3416</v>
      </c>
      <c r="Q206" s="231"/>
      <c r="CB206" s="154"/>
      <c r="CI206" s="155"/>
      <c r="DI206" s="150" t="s">
        <v>301</v>
      </c>
      <c r="DJ206" s="150" t="s">
        <v>83</v>
      </c>
      <c r="DK206" s="12" t="s">
        <v>83</v>
      </c>
      <c r="DL206" s="12" t="s">
        <v>32</v>
      </c>
      <c r="DM206" s="12" t="s">
        <v>74</v>
      </c>
      <c r="DN206" s="150" t="s">
        <v>282</v>
      </c>
    </row>
    <row r="207" spans="2:132" s="12" customFormat="1" x14ac:dyDescent="0.2">
      <c r="B207" s="149"/>
      <c r="D207" s="138" t="s">
        <v>301</v>
      </c>
      <c r="E207" s="150" t="s">
        <v>1</v>
      </c>
      <c r="F207" s="151" t="s">
        <v>887</v>
      </c>
      <c r="H207" s="152">
        <v>44.55</v>
      </c>
      <c r="I207" s="153"/>
      <c r="L207" s="149"/>
      <c r="N207" s="310">
        <f>H207</f>
        <v>44.55</v>
      </c>
      <c r="O207" s="218"/>
      <c r="Q207" s="231"/>
      <c r="CB207" s="154"/>
      <c r="CI207" s="155"/>
      <c r="DI207" s="150" t="s">
        <v>301</v>
      </c>
      <c r="DJ207" s="150" t="s">
        <v>83</v>
      </c>
      <c r="DK207" s="12" t="s">
        <v>83</v>
      </c>
      <c r="DL207" s="12" t="s">
        <v>32</v>
      </c>
      <c r="DM207" s="12" t="s">
        <v>74</v>
      </c>
      <c r="DN207" s="150" t="s">
        <v>282</v>
      </c>
    </row>
    <row r="208" spans="2:132" s="12" customFormat="1" x14ac:dyDescent="0.2">
      <c r="B208" s="149"/>
      <c r="D208" s="138" t="s">
        <v>301</v>
      </c>
      <c r="E208" s="150" t="s">
        <v>1</v>
      </c>
      <c r="F208" s="151" t="s">
        <v>888</v>
      </c>
      <c r="H208" s="152">
        <v>0.67500000000000004</v>
      </c>
      <c r="I208" s="153"/>
      <c r="L208" s="149"/>
      <c r="N208" s="310">
        <f>H208</f>
        <v>0.67500000000000004</v>
      </c>
      <c r="O208" s="218"/>
      <c r="Q208" s="231"/>
      <c r="CB208" s="154"/>
      <c r="CI208" s="155"/>
      <c r="DI208" s="150" t="s">
        <v>301</v>
      </c>
      <c r="DJ208" s="150" t="s">
        <v>83</v>
      </c>
      <c r="DK208" s="12" t="s">
        <v>83</v>
      </c>
      <c r="DL208" s="12" t="s">
        <v>32</v>
      </c>
      <c r="DM208" s="12" t="s">
        <v>74</v>
      </c>
      <c r="DN208" s="150" t="s">
        <v>282</v>
      </c>
    </row>
    <row r="209" spans="2:132" s="13" customFormat="1" x14ac:dyDescent="0.2">
      <c r="B209" s="156"/>
      <c r="D209" s="138" t="s">
        <v>301</v>
      </c>
      <c r="E209" s="157" t="s">
        <v>1</v>
      </c>
      <c r="F209" s="158" t="s">
        <v>305</v>
      </c>
      <c r="H209" s="159">
        <v>419.76000000000005</v>
      </c>
      <c r="I209" s="160"/>
      <c r="L209" s="156"/>
      <c r="N209" s="311">
        <f>N206+N207+N208</f>
        <v>419.92800000000005</v>
      </c>
      <c r="O209" s="220"/>
      <c r="Q209" s="232"/>
      <c r="CB209" s="161"/>
      <c r="CI209" s="162"/>
      <c r="DI209" s="157" t="s">
        <v>301</v>
      </c>
      <c r="DJ209" s="157" t="s">
        <v>83</v>
      </c>
      <c r="DK209" s="13" t="s">
        <v>95</v>
      </c>
      <c r="DL209" s="13" t="s">
        <v>32</v>
      </c>
      <c r="DM209" s="13" t="s">
        <v>81</v>
      </c>
      <c r="DN209" s="157" t="s">
        <v>282</v>
      </c>
    </row>
    <row r="210" spans="2:132" s="13" customFormat="1" x14ac:dyDescent="0.2">
      <c r="B210" s="156"/>
      <c r="D210" s="138"/>
      <c r="E210" s="157"/>
      <c r="F210" s="158"/>
      <c r="H210" s="159"/>
      <c r="I210" s="160"/>
      <c r="L210" s="156"/>
      <c r="N210" s="311">
        <f>N209-H209</f>
        <v>0.16800000000000637</v>
      </c>
      <c r="O210" s="220"/>
      <c r="Q210" s="232"/>
      <c r="CB210" s="161"/>
      <c r="CI210" s="162"/>
      <c r="DI210" s="157"/>
      <c r="DJ210" s="157"/>
      <c r="DN210" s="157"/>
    </row>
    <row r="211" spans="2:132" s="1" customFormat="1" ht="24.2" customHeight="1" x14ac:dyDescent="0.2">
      <c r="B211" s="124"/>
      <c r="C211" s="125" t="s">
        <v>397</v>
      </c>
      <c r="D211" s="125" t="s">
        <v>284</v>
      </c>
      <c r="E211" s="126" t="s">
        <v>416</v>
      </c>
      <c r="F211" s="127" t="s">
        <v>417</v>
      </c>
      <c r="G211" s="128" t="s">
        <v>418</v>
      </c>
      <c r="H211" s="129">
        <v>1727.086</v>
      </c>
      <c r="I211" s="130">
        <v>110.6455721</v>
      </c>
      <c r="J211" s="131">
        <f>ROUND(I211*H211,2)</f>
        <v>191094.42</v>
      </c>
      <c r="K211" s="127" t="s">
        <v>293</v>
      </c>
      <c r="L211" s="198">
        <f>S211</f>
        <v>0</v>
      </c>
      <c r="M211" s="206">
        <f>ROUND(L211*I211,2)</f>
        <v>0</v>
      </c>
      <c r="N211" s="211">
        <f>N214</f>
        <v>0.67640000000005784</v>
      </c>
      <c r="O211" s="212">
        <f>ROUND(N211*I211,2)</f>
        <v>74.84</v>
      </c>
      <c r="P211" s="207">
        <f>H211-L211-N211</f>
        <v>1726.4096</v>
      </c>
      <c r="Q211" s="228">
        <f>ROUND(P211*I211,2)</f>
        <v>191019.58</v>
      </c>
      <c r="R211" s="199"/>
      <c r="S211" s="200">
        <f>W211+Y211+AA211+AC211+AE211+AG211+AI211+AK211+AM211+AO211+AQ211+AS211+AU211+AW211</f>
        <v>0</v>
      </c>
      <c r="T211" s="200">
        <f>ROUND(S211*I211,2)</f>
        <v>0</v>
      </c>
      <c r="U211" s="200">
        <f>H211-S211</f>
        <v>1727.086</v>
      </c>
      <c r="V211" s="200">
        <f>ROUND(U211*I211,2)</f>
        <v>191094.42</v>
      </c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CB211" s="132" t="s">
        <v>1</v>
      </c>
      <c r="CC211" s="133" t="s">
        <v>40</v>
      </c>
      <c r="CE211" s="134">
        <f>CD211*H211</f>
        <v>0</v>
      </c>
      <c r="CF211" s="134">
        <v>0</v>
      </c>
      <c r="CG211" s="134">
        <f>CF211*H211</f>
        <v>0</v>
      </c>
      <c r="CH211" s="134">
        <v>0</v>
      </c>
      <c r="CI211" s="135">
        <f>CH211*H211</f>
        <v>0</v>
      </c>
      <c r="DG211" s="136" t="s">
        <v>95</v>
      </c>
      <c r="DI211" s="136" t="s">
        <v>284</v>
      </c>
      <c r="DJ211" s="136" t="s">
        <v>83</v>
      </c>
      <c r="DN211" s="16" t="s">
        <v>282</v>
      </c>
      <c r="DT211" s="137">
        <f>IF(CC211="základní",J211,0)</f>
        <v>191094.42</v>
      </c>
      <c r="DU211" s="137">
        <f>IF(CC211="snížená",J211,0)</f>
        <v>0</v>
      </c>
      <c r="DV211" s="137">
        <f>IF(CC211="zákl. přenesená",J211,0)</f>
        <v>0</v>
      </c>
      <c r="DW211" s="137">
        <f>IF(CC211="sníž. přenesená",J211,0)</f>
        <v>0</v>
      </c>
      <c r="DX211" s="137">
        <f>IF(CC211="nulová",J211,0)</f>
        <v>0</v>
      </c>
      <c r="DY211" s="16" t="s">
        <v>81</v>
      </c>
      <c r="DZ211" s="137">
        <f>ROUND(I211*H211,2)</f>
        <v>191094.42</v>
      </c>
      <c r="EA211" s="16" t="s">
        <v>95</v>
      </c>
      <c r="EB211" s="136" t="s">
        <v>419</v>
      </c>
    </row>
    <row r="212" spans="2:132" s="1" customFormat="1" ht="29.25" x14ac:dyDescent="0.2">
      <c r="B212" s="31"/>
      <c r="D212" s="138" t="s">
        <v>289</v>
      </c>
      <c r="F212" s="139" t="s">
        <v>420</v>
      </c>
      <c r="I212" s="140"/>
      <c r="L212" s="31"/>
      <c r="N212" s="213"/>
      <c r="O212" s="214"/>
      <c r="Q212" s="229"/>
      <c r="CB212" s="141"/>
      <c r="CI212" s="50"/>
      <c r="DI212" s="16" t="s">
        <v>289</v>
      </c>
      <c r="DJ212" s="16" t="s">
        <v>83</v>
      </c>
    </row>
    <row r="213" spans="2:132" s="12" customFormat="1" x14ac:dyDescent="0.2">
      <c r="B213" s="149"/>
      <c r="D213" s="138" t="s">
        <v>301</v>
      </c>
      <c r="F213" s="151" t="s">
        <v>902</v>
      </c>
      <c r="H213" s="152">
        <v>1727.086</v>
      </c>
      <c r="I213" s="153"/>
      <c r="L213" s="149"/>
      <c r="N213" s="217">
        <f>959.868*1.8</f>
        <v>1727.7624000000001</v>
      </c>
      <c r="O213" s="218" t="s">
        <v>3423</v>
      </c>
      <c r="Q213" s="231"/>
      <c r="CB213" s="154"/>
      <c r="CI213" s="155"/>
      <c r="DI213" s="150" t="s">
        <v>301</v>
      </c>
      <c r="DJ213" s="150" t="s">
        <v>83</v>
      </c>
      <c r="DK213" s="12" t="s">
        <v>83</v>
      </c>
      <c r="DL213" s="12" t="s">
        <v>3</v>
      </c>
      <c r="DM213" s="12" t="s">
        <v>81</v>
      </c>
      <c r="DN213" s="150" t="s">
        <v>282</v>
      </c>
    </row>
    <row r="214" spans="2:132" s="12" customFormat="1" x14ac:dyDescent="0.2">
      <c r="B214" s="149"/>
      <c r="D214" s="138"/>
      <c r="F214" s="151"/>
      <c r="H214" s="152"/>
      <c r="I214" s="153"/>
      <c r="L214" s="149"/>
      <c r="N214" s="310">
        <f>N213-H213</f>
        <v>0.67640000000005784</v>
      </c>
      <c r="O214" s="218"/>
      <c r="Q214" s="231"/>
      <c r="CB214" s="154"/>
      <c r="CI214" s="155"/>
      <c r="DI214" s="150"/>
      <c r="DJ214" s="150"/>
      <c r="DN214" s="150"/>
    </row>
    <row r="215" spans="2:132" s="1" customFormat="1" ht="24.2" customHeight="1" x14ac:dyDescent="0.2">
      <c r="B215" s="124"/>
      <c r="C215" s="125" t="s">
        <v>404</v>
      </c>
      <c r="D215" s="125" t="s">
        <v>284</v>
      </c>
      <c r="E215" s="126" t="s">
        <v>423</v>
      </c>
      <c r="F215" s="127" t="s">
        <v>424</v>
      </c>
      <c r="G215" s="128" t="s">
        <v>366</v>
      </c>
      <c r="H215" s="129">
        <v>840.625</v>
      </c>
      <c r="I215" s="130">
        <v>140.64048227116101</v>
      </c>
      <c r="J215" s="131">
        <f>ROUND(I215*H215,2)</f>
        <v>118225.91</v>
      </c>
      <c r="K215" s="127" t="s">
        <v>293</v>
      </c>
      <c r="L215" s="198">
        <f>S215</f>
        <v>0</v>
      </c>
      <c r="M215" s="206">
        <f>ROUND(L215*I215,2)</f>
        <v>0</v>
      </c>
      <c r="N215" s="211">
        <f>N230</f>
        <v>0.33425000000022465</v>
      </c>
      <c r="O215" s="212">
        <f>ROUND(N215*I215,2)</f>
        <v>47.01</v>
      </c>
      <c r="P215" s="207">
        <f>H215-L215-N215</f>
        <v>840.29074999999978</v>
      </c>
      <c r="Q215" s="228">
        <f>ROUND(P215*I215,2)</f>
        <v>118178.9</v>
      </c>
      <c r="R215" s="199"/>
      <c r="S215" s="200">
        <f>W215+Y215+AA215+AC215+AE215+AG215+AI215+AK215+AM215+AO215+AQ215+AS215+AU215+AW215</f>
        <v>0</v>
      </c>
      <c r="T215" s="200">
        <f>ROUND(S215*I215,2)</f>
        <v>0</v>
      </c>
      <c r="U215" s="200">
        <f>H215-S215</f>
        <v>840.625</v>
      </c>
      <c r="V215" s="200">
        <f>ROUND(U215*I215,2)</f>
        <v>118225.91</v>
      </c>
      <c r="W215" s="200"/>
      <c r="X215" s="200"/>
      <c r="Y215" s="200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CB215" s="132" t="s">
        <v>1</v>
      </c>
      <c r="CC215" s="133" t="s">
        <v>40</v>
      </c>
      <c r="CE215" s="134">
        <f>CD215*H215</f>
        <v>0</v>
      </c>
      <c r="CF215" s="134">
        <v>0</v>
      </c>
      <c r="CG215" s="134">
        <f>CF215*H215</f>
        <v>0</v>
      </c>
      <c r="CH215" s="134">
        <v>0</v>
      </c>
      <c r="CI215" s="135">
        <f>CH215*H215</f>
        <v>0</v>
      </c>
      <c r="DG215" s="136" t="s">
        <v>95</v>
      </c>
      <c r="DI215" s="136" t="s">
        <v>284</v>
      </c>
      <c r="DJ215" s="136" t="s">
        <v>83</v>
      </c>
      <c r="DN215" s="16" t="s">
        <v>282</v>
      </c>
      <c r="DT215" s="137">
        <f>IF(CC215="základní",J215,0)</f>
        <v>118225.91</v>
      </c>
      <c r="DU215" s="137">
        <f>IF(CC215="snížená",J215,0)</f>
        <v>0</v>
      </c>
      <c r="DV215" s="137">
        <f>IF(CC215="zákl. přenesená",J215,0)</f>
        <v>0</v>
      </c>
      <c r="DW215" s="137">
        <f>IF(CC215="sníž. přenesená",J215,0)</f>
        <v>0</v>
      </c>
      <c r="DX215" s="137">
        <f>IF(CC215="nulová",J215,0)</f>
        <v>0</v>
      </c>
      <c r="DY215" s="16" t="s">
        <v>81</v>
      </c>
      <c r="DZ215" s="137">
        <f>ROUND(I215*H215,2)</f>
        <v>118225.91</v>
      </c>
      <c r="EA215" s="16" t="s">
        <v>95</v>
      </c>
      <c r="EB215" s="136" t="s">
        <v>425</v>
      </c>
    </row>
    <row r="216" spans="2:132" s="1" customFormat="1" ht="29.25" x14ac:dyDescent="0.2">
      <c r="B216" s="31"/>
      <c r="D216" s="138" t="s">
        <v>289</v>
      </c>
      <c r="F216" s="139" t="s">
        <v>426</v>
      </c>
      <c r="I216" s="140"/>
      <c r="L216" s="31"/>
      <c r="N216" s="213"/>
      <c r="O216" s="214"/>
      <c r="Q216" s="229"/>
      <c r="CB216" s="141"/>
      <c r="CI216" s="50"/>
      <c r="DI216" s="16" t="s">
        <v>289</v>
      </c>
      <c r="DJ216" s="16" t="s">
        <v>83</v>
      </c>
    </row>
    <row r="217" spans="2:132" s="11" customFormat="1" x14ac:dyDescent="0.2">
      <c r="B217" s="143"/>
      <c r="D217" s="138" t="s">
        <v>301</v>
      </c>
      <c r="E217" s="144" t="s">
        <v>1</v>
      </c>
      <c r="F217" s="145" t="s">
        <v>427</v>
      </c>
      <c r="H217" s="144" t="s">
        <v>1</v>
      </c>
      <c r="I217" s="146"/>
      <c r="L217" s="143"/>
      <c r="N217" s="215"/>
      <c r="O217" s="216"/>
      <c r="Q217" s="230"/>
      <c r="CB217" s="147"/>
      <c r="CI217" s="148"/>
      <c r="DI217" s="144" t="s">
        <v>301</v>
      </c>
      <c r="DJ217" s="144" t="s">
        <v>83</v>
      </c>
      <c r="DK217" s="11" t="s">
        <v>81</v>
      </c>
      <c r="DL217" s="11" t="s">
        <v>32</v>
      </c>
      <c r="DM217" s="11" t="s">
        <v>74</v>
      </c>
      <c r="DN217" s="144" t="s">
        <v>282</v>
      </c>
    </row>
    <row r="218" spans="2:132" s="12" customFormat="1" x14ac:dyDescent="0.2">
      <c r="B218" s="149"/>
      <c r="D218" s="138" t="s">
        <v>301</v>
      </c>
      <c r="E218" s="150" t="s">
        <v>1</v>
      </c>
      <c r="F218" s="151" t="s">
        <v>899</v>
      </c>
      <c r="H218" s="152">
        <v>959.49199999999996</v>
      </c>
      <c r="I218" s="153"/>
      <c r="L218" s="149"/>
      <c r="N218" s="313">
        <f>479.934+479.934</f>
        <v>959.86800000000005</v>
      </c>
      <c r="O218" s="218" t="s">
        <v>3419</v>
      </c>
      <c r="Q218" s="231"/>
      <c r="CB218" s="154"/>
      <c r="CI218" s="155"/>
      <c r="DI218" s="150" t="s">
        <v>301</v>
      </c>
      <c r="DJ218" s="150" t="s">
        <v>83</v>
      </c>
      <c r="DK218" s="12" t="s">
        <v>83</v>
      </c>
      <c r="DL218" s="12" t="s">
        <v>32</v>
      </c>
      <c r="DM218" s="12" t="s">
        <v>74</v>
      </c>
      <c r="DN218" s="150" t="s">
        <v>282</v>
      </c>
    </row>
    <row r="219" spans="2:132" s="11" customFormat="1" x14ac:dyDescent="0.2">
      <c r="B219" s="143"/>
      <c r="D219" s="138" t="s">
        <v>301</v>
      </c>
      <c r="E219" s="144" t="s">
        <v>1</v>
      </c>
      <c r="F219" s="145" t="s">
        <v>428</v>
      </c>
      <c r="H219" s="144" t="s">
        <v>1</v>
      </c>
      <c r="I219" s="146"/>
      <c r="L219" s="143"/>
      <c r="N219" s="315"/>
      <c r="O219" s="216"/>
      <c r="Q219" s="230"/>
      <c r="CB219" s="147"/>
      <c r="CI219" s="148"/>
      <c r="DI219" s="144" t="s">
        <v>301</v>
      </c>
      <c r="DJ219" s="144" t="s">
        <v>83</v>
      </c>
      <c r="DK219" s="11" t="s">
        <v>81</v>
      </c>
      <c r="DL219" s="11" t="s">
        <v>32</v>
      </c>
      <c r="DM219" s="11" t="s">
        <v>74</v>
      </c>
      <c r="DN219" s="144" t="s">
        <v>282</v>
      </c>
    </row>
    <row r="220" spans="2:132" s="12" customFormat="1" x14ac:dyDescent="0.2">
      <c r="B220" s="149"/>
      <c r="D220" s="138" t="s">
        <v>301</v>
      </c>
      <c r="E220" s="150" t="s">
        <v>1</v>
      </c>
      <c r="F220" s="151" t="s">
        <v>903</v>
      </c>
      <c r="H220" s="152">
        <v>-205.994</v>
      </c>
      <c r="I220" s="153"/>
      <c r="L220" s="149"/>
      <c r="N220" s="313">
        <f>-N238</f>
        <v>-206.08665000000002</v>
      </c>
      <c r="O220" s="218"/>
      <c r="Q220" s="231"/>
      <c r="CB220" s="154"/>
      <c r="CI220" s="155"/>
      <c r="DI220" s="150" t="s">
        <v>301</v>
      </c>
      <c r="DJ220" s="150" t="s">
        <v>83</v>
      </c>
      <c r="DK220" s="12" t="s">
        <v>83</v>
      </c>
      <c r="DL220" s="12" t="s">
        <v>32</v>
      </c>
      <c r="DM220" s="12" t="s">
        <v>74</v>
      </c>
      <c r="DN220" s="150" t="s">
        <v>282</v>
      </c>
    </row>
    <row r="221" spans="2:132" s="11" customFormat="1" x14ac:dyDescent="0.2">
      <c r="B221" s="143"/>
      <c r="D221" s="138" t="s">
        <v>301</v>
      </c>
      <c r="E221" s="144" t="s">
        <v>1</v>
      </c>
      <c r="F221" s="145" t="s">
        <v>430</v>
      </c>
      <c r="H221" s="144" t="s">
        <v>1</v>
      </c>
      <c r="I221" s="146"/>
      <c r="L221" s="143"/>
      <c r="N221" s="315"/>
      <c r="O221" s="216"/>
      <c r="Q221" s="230"/>
      <c r="CB221" s="147"/>
      <c r="CI221" s="148"/>
      <c r="DI221" s="144" t="s">
        <v>301</v>
      </c>
      <c r="DJ221" s="144" t="s">
        <v>83</v>
      </c>
      <c r="DK221" s="11" t="s">
        <v>81</v>
      </c>
      <c r="DL221" s="11" t="s">
        <v>32</v>
      </c>
      <c r="DM221" s="11" t="s">
        <v>74</v>
      </c>
      <c r="DN221" s="144" t="s">
        <v>282</v>
      </c>
    </row>
    <row r="222" spans="2:132" s="12" customFormat="1" x14ac:dyDescent="0.2">
      <c r="B222" s="149"/>
      <c r="D222" s="138" t="s">
        <v>301</v>
      </c>
      <c r="E222" s="150" t="s">
        <v>1</v>
      </c>
      <c r="F222" s="151" t="s">
        <v>904</v>
      </c>
      <c r="H222" s="152">
        <v>-43.929000000000002</v>
      </c>
      <c r="I222" s="153"/>
      <c r="L222" s="149"/>
      <c r="N222" s="313">
        <f>-N255-6.475</f>
        <v>-43.945300000000003</v>
      </c>
      <c r="O222" s="218"/>
      <c r="Q222" s="231"/>
      <c r="CB222" s="154"/>
      <c r="CI222" s="155"/>
      <c r="DI222" s="150" t="s">
        <v>301</v>
      </c>
      <c r="DJ222" s="150" t="s">
        <v>83</v>
      </c>
      <c r="DK222" s="12" t="s">
        <v>83</v>
      </c>
      <c r="DL222" s="12" t="s">
        <v>32</v>
      </c>
      <c r="DM222" s="12" t="s">
        <v>74</v>
      </c>
      <c r="DN222" s="150" t="s">
        <v>282</v>
      </c>
    </row>
    <row r="223" spans="2:132" s="11" customFormat="1" x14ac:dyDescent="0.2">
      <c r="B223" s="143"/>
      <c r="D223" s="138" t="s">
        <v>301</v>
      </c>
      <c r="E223" s="144" t="s">
        <v>1</v>
      </c>
      <c r="F223" s="145" t="s">
        <v>432</v>
      </c>
      <c r="H223" s="144" t="s">
        <v>1</v>
      </c>
      <c r="I223" s="146"/>
      <c r="L223" s="143"/>
      <c r="N223" s="315"/>
      <c r="O223" s="216"/>
      <c r="Q223" s="230"/>
      <c r="CB223" s="147"/>
      <c r="CI223" s="148"/>
      <c r="DI223" s="144" t="s">
        <v>301</v>
      </c>
      <c r="DJ223" s="144" t="s">
        <v>83</v>
      </c>
      <c r="DK223" s="11" t="s">
        <v>81</v>
      </c>
      <c r="DL223" s="11" t="s">
        <v>32</v>
      </c>
      <c r="DM223" s="11" t="s">
        <v>74</v>
      </c>
      <c r="DN223" s="144" t="s">
        <v>282</v>
      </c>
    </row>
    <row r="224" spans="2:132" s="12" customFormat="1" x14ac:dyDescent="0.2">
      <c r="B224" s="149"/>
      <c r="D224" s="138" t="s">
        <v>301</v>
      </c>
      <c r="E224" s="150" t="s">
        <v>1</v>
      </c>
      <c r="F224" s="151" t="s">
        <v>905</v>
      </c>
      <c r="H224" s="152">
        <v>-3.496</v>
      </c>
      <c r="I224" s="153"/>
      <c r="L224" s="149"/>
      <c r="N224" s="313">
        <f>H224</f>
        <v>-3.496</v>
      </c>
      <c r="O224" s="218"/>
      <c r="Q224" s="231"/>
      <c r="CB224" s="154"/>
      <c r="CI224" s="155"/>
      <c r="DI224" s="150" t="s">
        <v>301</v>
      </c>
      <c r="DJ224" s="150" t="s">
        <v>83</v>
      </c>
      <c r="DK224" s="12" t="s">
        <v>83</v>
      </c>
      <c r="DL224" s="12" t="s">
        <v>32</v>
      </c>
      <c r="DM224" s="12" t="s">
        <v>74</v>
      </c>
      <c r="DN224" s="150" t="s">
        <v>282</v>
      </c>
    </row>
    <row r="225" spans="2:132" s="12" customFormat="1" x14ac:dyDescent="0.2">
      <c r="B225" s="149"/>
      <c r="D225" s="138" t="s">
        <v>301</v>
      </c>
      <c r="E225" s="150" t="s">
        <v>1</v>
      </c>
      <c r="F225" s="151" t="s">
        <v>906</v>
      </c>
      <c r="H225" s="152">
        <v>-32.588999999999999</v>
      </c>
      <c r="I225" s="153"/>
      <c r="L225" s="149"/>
      <c r="N225" s="313">
        <f>H225</f>
        <v>-32.588999999999999</v>
      </c>
      <c r="O225" s="218"/>
      <c r="Q225" s="231"/>
      <c r="CB225" s="154"/>
      <c r="CI225" s="155"/>
      <c r="DI225" s="150" t="s">
        <v>301</v>
      </c>
      <c r="DJ225" s="150" t="s">
        <v>83</v>
      </c>
      <c r="DK225" s="12" t="s">
        <v>83</v>
      </c>
      <c r="DL225" s="12" t="s">
        <v>32</v>
      </c>
      <c r="DM225" s="12" t="s">
        <v>74</v>
      </c>
      <c r="DN225" s="150" t="s">
        <v>282</v>
      </c>
    </row>
    <row r="226" spans="2:132" s="12" customFormat="1" x14ac:dyDescent="0.2">
      <c r="B226" s="149"/>
      <c r="D226" s="138" t="s">
        <v>301</v>
      </c>
      <c r="E226" s="150" t="s">
        <v>1</v>
      </c>
      <c r="F226" s="151" t="s">
        <v>907</v>
      </c>
      <c r="H226" s="152">
        <v>-0.76300000000000001</v>
      </c>
      <c r="I226" s="153"/>
      <c r="L226" s="149"/>
      <c r="N226" s="313">
        <f>H226</f>
        <v>-0.76300000000000001</v>
      </c>
      <c r="O226" s="218"/>
      <c r="Q226" s="231"/>
      <c r="CB226" s="154"/>
      <c r="CI226" s="155"/>
      <c r="DI226" s="150" t="s">
        <v>301</v>
      </c>
      <c r="DJ226" s="150" t="s">
        <v>83</v>
      </c>
      <c r="DK226" s="12" t="s">
        <v>83</v>
      </c>
      <c r="DL226" s="12" t="s">
        <v>32</v>
      </c>
      <c r="DM226" s="12" t="s">
        <v>74</v>
      </c>
      <c r="DN226" s="150" t="s">
        <v>282</v>
      </c>
    </row>
    <row r="227" spans="2:132" s="11" customFormat="1" x14ac:dyDescent="0.2">
      <c r="B227" s="143"/>
      <c r="D227" s="138" t="s">
        <v>301</v>
      </c>
      <c r="E227" s="144" t="s">
        <v>1</v>
      </c>
      <c r="F227" s="145" t="s">
        <v>436</v>
      </c>
      <c r="H227" s="144" t="s">
        <v>1</v>
      </c>
      <c r="I227" s="146"/>
      <c r="L227" s="143"/>
      <c r="N227" s="315"/>
      <c r="O227" s="216"/>
      <c r="Q227" s="230"/>
      <c r="CB227" s="147"/>
      <c r="CI227" s="148"/>
      <c r="DI227" s="144" t="s">
        <v>301</v>
      </c>
      <c r="DJ227" s="144" t="s">
        <v>83</v>
      </c>
      <c r="DK227" s="11" t="s">
        <v>81</v>
      </c>
      <c r="DL227" s="11" t="s">
        <v>32</v>
      </c>
      <c r="DM227" s="11" t="s">
        <v>74</v>
      </c>
      <c r="DN227" s="144" t="s">
        <v>282</v>
      </c>
    </row>
    <row r="228" spans="2:132" s="12" customFormat="1" x14ac:dyDescent="0.2">
      <c r="B228" s="149"/>
      <c r="D228" s="138" t="s">
        <v>301</v>
      </c>
      <c r="E228" s="150" t="s">
        <v>1</v>
      </c>
      <c r="F228" s="151" t="s">
        <v>908</v>
      </c>
      <c r="H228" s="152">
        <v>167.904</v>
      </c>
      <c r="I228" s="153"/>
      <c r="L228" s="149"/>
      <c r="N228" s="313">
        <f>419.928*(0.45-0.05)</f>
        <v>167.97120000000001</v>
      </c>
      <c r="O228" s="218" t="s">
        <v>3428</v>
      </c>
      <c r="Q228" s="231"/>
      <c r="CB228" s="154"/>
      <c r="CI228" s="155"/>
      <c r="DI228" s="150" t="s">
        <v>301</v>
      </c>
      <c r="DJ228" s="150" t="s">
        <v>83</v>
      </c>
      <c r="DK228" s="12" t="s">
        <v>83</v>
      </c>
      <c r="DL228" s="12" t="s">
        <v>32</v>
      </c>
      <c r="DM228" s="12" t="s">
        <v>74</v>
      </c>
      <c r="DN228" s="150" t="s">
        <v>282</v>
      </c>
    </row>
    <row r="229" spans="2:132" s="13" customFormat="1" x14ac:dyDescent="0.2">
      <c r="B229" s="156"/>
      <c r="D229" s="138" t="s">
        <v>301</v>
      </c>
      <c r="E229" s="157" t="s">
        <v>1</v>
      </c>
      <c r="F229" s="158" t="s">
        <v>305</v>
      </c>
      <c r="H229" s="159">
        <v>840.62499999999989</v>
      </c>
      <c r="I229" s="160"/>
      <c r="L229" s="156"/>
      <c r="N229" s="316">
        <f>N218+N220+N222+N224+N225+N226+N228</f>
        <v>840.95925000000011</v>
      </c>
      <c r="O229" s="220"/>
      <c r="Q229" s="232"/>
      <c r="CB229" s="161"/>
      <c r="CI229" s="162"/>
      <c r="DI229" s="157" t="s">
        <v>301</v>
      </c>
      <c r="DJ229" s="157" t="s">
        <v>83</v>
      </c>
      <c r="DK229" s="13" t="s">
        <v>95</v>
      </c>
      <c r="DL229" s="13" t="s">
        <v>32</v>
      </c>
      <c r="DM229" s="13" t="s">
        <v>81</v>
      </c>
      <c r="DN229" s="157" t="s">
        <v>282</v>
      </c>
    </row>
    <row r="230" spans="2:132" s="13" customFormat="1" x14ac:dyDescent="0.2">
      <c r="B230" s="156"/>
      <c r="D230" s="138"/>
      <c r="E230" s="157"/>
      <c r="F230" s="158"/>
      <c r="H230" s="159"/>
      <c r="I230" s="160"/>
      <c r="L230" s="156"/>
      <c r="N230" s="316">
        <f>N229-H229</f>
        <v>0.33425000000022465</v>
      </c>
      <c r="O230" s="220"/>
      <c r="Q230" s="232"/>
      <c r="CB230" s="161"/>
      <c r="CI230" s="162"/>
      <c r="DI230" s="157"/>
      <c r="DJ230" s="157"/>
      <c r="DN230" s="157"/>
    </row>
    <row r="231" spans="2:132" s="1" customFormat="1" ht="14.45" customHeight="1" x14ac:dyDescent="0.2">
      <c r="B231" s="124"/>
      <c r="C231" s="170" t="s">
        <v>7</v>
      </c>
      <c r="D231" s="170" t="s">
        <v>439</v>
      </c>
      <c r="E231" s="171" t="s">
        <v>440</v>
      </c>
      <c r="F231" s="172" t="s">
        <v>441</v>
      </c>
      <c r="G231" s="173" t="s">
        <v>418</v>
      </c>
      <c r="H231" s="174">
        <v>1681.25</v>
      </c>
      <c r="I231" s="175">
        <v>390.0974172</v>
      </c>
      <c r="J231" s="176">
        <f>ROUND(I231*H231,2)</f>
        <v>655851.28</v>
      </c>
      <c r="K231" s="172" t="s">
        <v>293</v>
      </c>
      <c r="L231" s="198">
        <f>S231</f>
        <v>0</v>
      </c>
      <c r="M231" s="206">
        <f>ROUND(L231*I231,2)</f>
        <v>0</v>
      </c>
      <c r="N231" s="211">
        <f>N234</f>
        <v>0.66800000000000004</v>
      </c>
      <c r="O231" s="212">
        <f>ROUND(N231*I231,2)</f>
        <v>260.58999999999997</v>
      </c>
      <c r="P231" s="207">
        <f>H231-L231-N231</f>
        <v>1680.5820000000001</v>
      </c>
      <c r="Q231" s="228">
        <f>ROUND(P231*I231,2)</f>
        <v>655590.69999999995</v>
      </c>
      <c r="R231" s="199"/>
      <c r="S231" s="200">
        <f>W231+Y231+AA231+AC231+AE231+AG231+AI231+AK231+AM231+AO231+AQ231+AS231+AU231+AW231</f>
        <v>0</v>
      </c>
      <c r="T231" s="200">
        <f>ROUND(S231*I231,2)</f>
        <v>0</v>
      </c>
      <c r="U231" s="200">
        <f>H231-S231</f>
        <v>1681.25</v>
      </c>
      <c r="V231" s="200">
        <f>ROUND(U231*I231,2)</f>
        <v>655851.28</v>
      </c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77" t="s">
        <v>1</v>
      </c>
      <c r="CC231" s="178" t="s">
        <v>40</v>
      </c>
      <c r="CE231" s="134">
        <f>CD231*H231</f>
        <v>0</v>
      </c>
      <c r="CF231" s="134">
        <v>1</v>
      </c>
      <c r="CG231" s="134">
        <f>CF231*H231</f>
        <v>1681.25</v>
      </c>
      <c r="CH231" s="134">
        <v>0</v>
      </c>
      <c r="CI231" s="135">
        <f>CH231*H231</f>
        <v>0</v>
      </c>
      <c r="DG231" s="136" t="s">
        <v>328</v>
      </c>
      <c r="DI231" s="136" t="s">
        <v>439</v>
      </c>
      <c r="DJ231" s="136" t="s">
        <v>83</v>
      </c>
      <c r="DN231" s="16" t="s">
        <v>282</v>
      </c>
      <c r="DT231" s="137">
        <f>IF(CC231="základní",J231,0)</f>
        <v>655851.28</v>
      </c>
      <c r="DU231" s="137">
        <f>IF(CC231="snížená",J231,0)</f>
        <v>0</v>
      </c>
      <c r="DV231" s="137">
        <f>IF(CC231="zákl. přenesená",J231,0)</f>
        <v>0</v>
      </c>
      <c r="DW231" s="137">
        <f>IF(CC231="sníž. přenesená",J231,0)</f>
        <v>0</v>
      </c>
      <c r="DX231" s="137">
        <f>IF(CC231="nulová",J231,0)</f>
        <v>0</v>
      </c>
      <c r="DY231" s="16" t="s">
        <v>81</v>
      </c>
      <c r="DZ231" s="137">
        <f>ROUND(I231*H231,2)</f>
        <v>655851.28</v>
      </c>
      <c r="EA231" s="16" t="s">
        <v>95</v>
      </c>
      <c r="EB231" s="136" t="s">
        <v>442</v>
      </c>
    </row>
    <row r="232" spans="2:132" s="1" customFormat="1" x14ac:dyDescent="0.2">
      <c r="B232" s="31"/>
      <c r="D232" s="138" t="s">
        <v>289</v>
      </c>
      <c r="F232" s="139" t="s">
        <v>441</v>
      </c>
      <c r="I232" s="140"/>
      <c r="L232" s="31"/>
      <c r="N232" s="213"/>
      <c r="O232" s="214"/>
      <c r="Q232" s="229"/>
      <c r="CB232" s="141"/>
      <c r="CI232" s="50"/>
      <c r="DI232" s="16" t="s">
        <v>289</v>
      </c>
      <c r="DJ232" s="16" t="s">
        <v>83</v>
      </c>
    </row>
    <row r="233" spans="2:132" s="1" customFormat="1" ht="19.5" x14ac:dyDescent="0.2">
      <c r="B233" s="31"/>
      <c r="D233" s="138" t="s">
        <v>299</v>
      </c>
      <c r="F233" s="142" t="s">
        <v>443</v>
      </c>
      <c r="I233" s="140"/>
      <c r="L233" s="31"/>
      <c r="N233" s="213"/>
      <c r="O233" s="214"/>
      <c r="Q233" s="229"/>
      <c r="CB233" s="141"/>
      <c r="CI233" s="50"/>
      <c r="DI233" s="16" t="s">
        <v>299</v>
      </c>
      <c r="DJ233" s="16" t="s">
        <v>83</v>
      </c>
    </row>
    <row r="234" spans="2:132" s="12" customFormat="1" x14ac:dyDescent="0.2">
      <c r="B234" s="149"/>
      <c r="D234" s="138" t="s">
        <v>301</v>
      </c>
      <c r="F234" s="151" t="s">
        <v>909</v>
      </c>
      <c r="H234" s="152">
        <v>1681.25</v>
      </c>
      <c r="I234" s="153"/>
      <c r="L234" s="149"/>
      <c r="N234" s="217">
        <f>0.334*2</f>
        <v>0.66800000000000004</v>
      </c>
      <c r="O234" s="218" t="s">
        <v>3429</v>
      </c>
      <c r="Q234" s="231"/>
      <c r="CB234" s="154"/>
      <c r="CI234" s="155"/>
      <c r="DI234" s="150" t="s">
        <v>301</v>
      </c>
      <c r="DJ234" s="150" t="s">
        <v>83</v>
      </c>
      <c r="DK234" s="12" t="s">
        <v>83</v>
      </c>
      <c r="DL234" s="12" t="s">
        <v>3</v>
      </c>
      <c r="DM234" s="12" t="s">
        <v>81</v>
      </c>
      <c r="DN234" s="150" t="s">
        <v>282</v>
      </c>
    </row>
    <row r="235" spans="2:132" s="1" customFormat="1" ht="24.2" customHeight="1" x14ac:dyDescent="0.2">
      <c r="B235" s="124"/>
      <c r="C235" s="125" t="s">
        <v>415</v>
      </c>
      <c r="D235" s="125" t="s">
        <v>284</v>
      </c>
      <c r="E235" s="126" t="s">
        <v>446</v>
      </c>
      <c r="F235" s="127" t="s">
        <v>447</v>
      </c>
      <c r="G235" s="128" t="s">
        <v>366</v>
      </c>
      <c r="H235" s="129">
        <v>205.994</v>
      </c>
      <c r="I235" s="130">
        <v>510.38291484661499</v>
      </c>
      <c r="J235" s="131">
        <f>ROUND(I235*H235,2)</f>
        <v>105135.82</v>
      </c>
      <c r="K235" s="127" t="s">
        <v>293</v>
      </c>
      <c r="L235" s="198">
        <f>S235</f>
        <v>0</v>
      </c>
      <c r="M235" s="206">
        <f>ROUND(L235*I235,2)</f>
        <v>0</v>
      </c>
      <c r="N235" s="211">
        <f>N239</f>
        <v>9.2650000000020327E-2</v>
      </c>
      <c r="O235" s="212">
        <f>ROUND(N235*I235,2)</f>
        <v>47.29</v>
      </c>
      <c r="P235" s="207">
        <f>H235-L235-N235</f>
        <v>205.90134999999998</v>
      </c>
      <c r="Q235" s="228">
        <f>ROUND(P235*I235,2)</f>
        <v>105088.53</v>
      </c>
      <c r="R235" s="199"/>
      <c r="S235" s="200">
        <f>W235+Y235+AA235+AC235+AE235+AG235+AI235+AK235+AM235+AO235+AQ235+AS235+AU235+AW235</f>
        <v>0</v>
      </c>
      <c r="T235" s="200">
        <f>ROUND(S235*I235,2)</f>
        <v>0</v>
      </c>
      <c r="U235" s="200">
        <f>H235-S235</f>
        <v>205.994</v>
      </c>
      <c r="V235" s="200">
        <f>ROUND(U235*I235,2)</f>
        <v>105135.82</v>
      </c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200"/>
      <c r="AK235" s="200"/>
      <c r="AL235" s="200"/>
      <c r="AM235" s="200"/>
      <c r="AN235" s="200"/>
      <c r="AO235" s="200"/>
      <c r="AP235" s="200"/>
      <c r="AQ235" s="200"/>
      <c r="AR235" s="200"/>
      <c r="AS235" s="200"/>
      <c r="AT235" s="200"/>
      <c r="AU235" s="200"/>
      <c r="AV235" s="200"/>
      <c r="AW235" s="200"/>
      <c r="AX235" s="200"/>
      <c r="CB235" s="132" t="s">
        <v>1</v>
      </c>
      <c r="CC235" s="133" t="s">
        <v>40</v>
      </c>
      <c r="CE235" s="134">
        <f>CD235*H235</f>
        <v>0</v>
      </c>
      <c r="CF235" s="134">
        <v>0</v>
      </c>
      <c r="CG235" s="134">
        <f>CF235*H235</f>
        <v>0</v>
      </c>
      <c r="CH235" s="134">
        <v>0</v>
      </c>
      <c r="CI235" s="135">
        <f>CH235*H235</f>
        <v>0</v>
      </c>
      <c r="DG235" s="136" t="s">
        <v>95</v>
      </c>
      <c r="DI235" s="136" t="s">
        <v>284</v>
      </c>
      <c r="DJ235" s="136" t="s">
        <v>83</v>
      </c>
      <c r="DN235" s="16" t="s">
        <v>282</v>
      </c>
      <c r="DT235" s="137">
        <f>IF(CC235="základní",J235,0)</f>
        <v>105135.82</v>
      </c>
      <c r="DU235" s="137">
        <f>IF(CC235="snížená",J235,0)</f>
        <v>0</v>
      </c>
      <c r="DV235" s="137">
        <f>IF(CC235="zákl. přenesená",J235,0)</f>
        <v>0</v>
      </c>
      <c r="DW235" s="137">
        <f>IF(CC235="sníž. přenesená",J235,0)</f>
        <v>0</v>
      </c>
      <c r="DX235" s="137">
        <f>IF(CC235="nulová",J235,0)</f>
        <v>0</v>
      </c>
      <c r="DY235" s="16" t="s">
        <v>81</v>
      </c>
      <c r="DZ235" s="137">
        <f>ROUND(I235*H235,2)</f>
        <v>105135.82</v>
      </c>
      <c r="EA235" s="16" t="s">
        <v>95</v>
      </c>
      <c r="EB235" s="136" t="s">
        <v>448</v>
      </c>
    </row>
    <row r="236" spans="2:132" s="1" customFormat="1" ht="39" x14ac:dyDescent="0.2">
      <c r="B236" s="31"/>
      <c r="D236" s="138" t="s">
        <v>289</v>
      </c>
      <c r="F236" s="139" t="s">
        <v>449</v>
      </c>
      <c r="I236" s="140"/>
      <c r="L236" s="31"/>
      <c r="N236" s="213"/>
      <c r="O236" s="214"/>
      <c r="Q236" s="229"/>
      <c r="CB236" s="141"/>
      <c r="CI236" s="50"/>
      <c r="DI236" s="16" t="s">
        <v>289</v>
      </c>
      <c r="DJ236" s="16" t="s">
        <v>83</v>
      </c>
    </row>
    <row r="237" spans="2:132" s="1" customFormat="1" ht="19.5" x14ac:dyDescent="0.2">
      <c r="B237" s="31"/>
      <c r="D237" s="138" t="s">
        <v>299</v>
      </c>
      <c r="F237" s="142" t="s">
        <v>317</v>
      </c>
      <c r="I237" s="140"/>
      <c r="L237" s="31"/>
      <c r="N237" s="213"/>
      <c r="O237" s="214"/>
      <c r="Q237" s="229"/>
      <c r="CB237" s="141"/>
      <c r="CI237" s="50"/>
      <c r="DI237" s="16" t="s">
        <v>299</v>
      </c>
      <c r="DJ237" s="16" t="s">
        <v>83</v>
      </c>
    </row>
    <row r="238" spans="2:132" s="12" customFormat="1" x14ac:dyDescent="0.2">
      <c r="B238" s="149"/>
      <c r="D238" s="138" t="s">
        <v>301</v>
      </c>
      <c r="E238" s="150" t="s">
        <v>1</v>
      </c>
      <c r="F238" s="151" t="s">
        <v>910</v>
      </c>
      <c r="H238" s="152">
        <v>205.994</v>
      </c>
      <c r="I238" s="153"/>
      <c r="L238" s="149"/>
      <c r="N238" s="313">
        <f>356.86*1.05*0.55</f>
        <v>206.08665000000002</v>
      </c>
      <c r="O238" s="218" t="s">
        <v>3424</v>
      </c>
      <c r="Q238" s="231"/>
      <c r="CB238" s="154"/>
      <c r="CI238" s="155"/>
      <c r="DI238" s="150" t="s">
        <v>301</v>
      </c>
      <c r="DJ238" s="150" t="s">
        <v>83</v>
      </c>
      <c r="DK238" s="12" t="s">
        <v>83</v>
      </c>
      <c r="DL238" s="12" t="s">
        <v>32</v>
      </c>
      <c r="DM238" s="12" t="s">
        <v>81</v>
      </c>
      <c r="DN238" s="150" t="s">
        <v>282</v>
      </c>
    </row>
    <row r="239" spans="2:132" s="12" customFormat="1" x14ac:dyDescent="0.2">
      <c r="B239" s="149"/>
      <c r="D239" s="138"/>
      <c r="E239" s="150"/>
      <c r="F239" s="151"/>
      <c r="H239" s="152"/>
      <c r="I239" s="153"/>
      <c r="L239" s="149"/>
      <c r="N239" s="313">
        <f>N238-H238</f>
        <v>9.2650000000020327E-2</v>
      </c>
      <c r="O239" s="218"/>
      <c r="Q239" s="231"/>
      <c r="CB239" s="154"/>
      <c r="CI239" s="155"/>
      <c r="DI239" s="150"/>
      <c r="DJ239" s="150"/>
      <c r="DN239" s="150"/>
    </row>
    <row r="240" spans="2:132" s="1" customFormat="1" ht="14.45" customHeight="1" x14ac:dyDescent="0.2">
      <c r="B240" s="124"/>
      <c r="C240" s="170" t="s">
        <v>422</v>
      </c>
      <c r="D240" s="170" t="s">
        <v>439</v>
      </c>
      <c r="E240" s="171" t="s">
        <v>452</v>
      </c>
      <c r="F240" s="172" t="s">
        <v>453</v>
      </c>
      <c r="G240" s="173" t="s">
        <v>418</v>
      </c>
      <c r="H240" s="174">
        <v>411.988</v>
      </c>
      <c r="I240" s="175">
        <v>380.62816190000001</v>
      </c>
      <c r="J240" s="176">
        <f>ROUND(I240*H240,2)</f>
        <v>156814.24</v>
      </c>
      <c r="K240" s="172" t="s">
        <v>293</v>
      </c>
      <c r="L240" s="198">
        <f>S240</f>
        <v>0</v>
      </c>
      <c r="M240" s="206">
        <f>ROUND(L240*I240,2)</f>
        <v>0</v>
      </c>
      <c r="N240" s="211">
        <f>N242</f>
        <v>0.186</v>
      </c>
      <c r="O240" s="212">
        <f>ROUND(N240*I240,2)</f>
        <v>70.8</v>
      </c>
      <c r="P240" s="207">
        <f>H240-L240-N240</f>
        <v>411.80200000000002</v>
      </c>
      <c r="Q240" s="228">
        <f>ROUND(P240*I240,2)</f>
        <v>156743.44</v>
      </c>
      <c r="R240" s="199"/>
      <c r="S240" s="200">
        <f>W240+Y240+AA240+AC240+AE240+AG240+AI240+AK240+AM240+AO240+AQ240+AS240+AU240+AW240</f>
        <v>0</v>
      </c>
      <c r="T240" s="200">
        <f>ROUND(S240*I240,2)</f>
        <v>0</v>
      </c>
      <c r="U240" s="200">
        <f>H240-S240</f>
        <v>411.988</v>
      </c>
      <c r="V240" s="200">
        <f>ROUND(U240*I240,2)</f>
        <v>156814.24</v>
      </c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77" t="s">
        <v>1</v>
      </c>
      <c r="CC240" s="178" t="s">
        <v>40</v>
      </c>
      <c r="CE240" s="134">
        <f>CD240*H240</f>
        <v>0</v>
      </c>
      <c r="CF240" s="134">
        <v>1</v>
      </c>
      <c r="CG240" s="134">
        <f>CF240*H240</f>
        <v>411.988</v>
      </c>
      <c r="CH240" s="134">
        <v>0</v>
      </c>
      <c r="CI240" s="135">
        <f>CH240*H240</f>
        <v>0</v>
      </c>
      <c r="DG240" s="136" t="s">
        <v>328</v>
      </c>
      <c r="DI240" s="136" t="s">
        <v>439</v>
      </c>
      <c r="DJ240" s="136" t="s">
        <v>83</v>
      </c>
      <c r="DN240" s="16" t="s">
        <v>282</v>
      </c>
      <c r="DT240" s="137">
        <f>IF(CC240="základní",J240,0)</f>
        <v>156814.24</v>
      </c>
      <c r="DU240" s="137">
        <f>IF(CC240="snížená",J240,0)</f>
        <v>0</v>
      </c>
      <c r="DV240" s="137">
        <f>IF(CC240="zákl. přenesená",J240,0)</f>
        <v>0</v>
      </c>
      <c r="DW240" s="137">
        <f>IF(CC240="sníž. přenesená",J240,0)</f>
        <v>0</v>
      </c>
      <c r="DX240" s="137">
        <f>IF(CC240="nulová",J240,0)</f>
        <v>0</v>
      </c>
      <c r="DY240" s="16" t="s">
        <v>81</v>
      </c>
      <c r="DZ240" s="137">
        <f>ROUND(I240*H240,2)</f>
        <v>156814.24</v>
      </c>
      <c r="EA240" s="16" t="s">
        <v>95</v>
      </c>
      <c r="EB240" s="136" t="s">
        <v>454</v>
      </c>
    </row>
    <row r="241" spans="2:132" s="1" customFormat="1" x14ac:dyDescent="0.2">
      <c r="B241" s="31"/>
      <c r="D241" s="138" t="s">
        <v>289</v>
      </c>
      <c r="F241" s="139" t="s">
        <v>453</v>
      </c>
      <c r="I241" s="140"/>
      <c r="L241" s="31"/>
      <c r="N241" s="213"/>
      <c r="O241" s="214"/>
      <c r="Q241" s="229"/>
      <c r="CB241" s="141"/>
      <c r="CI241" s="50"/>
      <c r="DI241" s="16" t="s">
        <v>289</v>
      </c>
      <c r="DJ241" s="16" t="s">
        <v>83</v>
      </c>
    </row>
    <row r="242" spans="2:132" s="12" customFormat="1" x14ac:dyDescent="0.2">
      <c r="B242" s="149"/>
      <c r="D242" s="138" t="s">
        <v>301</v>
      </c>
      <c r="F242" s="151" t="s">
        <v>911</v>
      </c>
      <c r="H242" s="152">
        <v>411.988</v>
      </c>
      <c r="I242" s="153"/>
      <c r="L242" s="149"/>
      <c r="N242" s="313">
        <f>0.093*2</f>
        <v>0.186</v>
      </c>
      <c r="O242" s="218" t="s">
        <v>3425</v>
      </c>
      <c r="Q242" s="231"/>
      <c r="CB242" s="154"/>
      <c r="CI242" s="155"/>
      <c r="DI242" s="150" t="s">
        <v>301</v>
      </c>
      <c r="DJ242" s="150" t="s">
        <v>83</v>
      </c>
      <c r="DK242" s="12" t="s">
        <v>83</v>
      </c>
      <c r="DL242" s="12" t="s">
        <v>3</v>
      </c>
      <c r="DM242" s="12" t="s">
        <v>81</v>
      </c>
      <c r="DN242" s="150" t="s">
        <v>282</v>
      </c>
    </row>
    <row r="243" spans="2:132" s="1" customFormat="1" ht="24.2" customHeight="1" x14ac:dyDescent="0.2">
      <c r="B243" s="124"/>
      <c r="C243" s="125" t="s">
        <v>438</v>
      </c>
      <c r="D243" s="125" t="s">
        <v>284</v>
      </c>
      <c r="E243" s="126" t="s">
        <v>457</v>
      </c>
      <c r="F243" s="127" t="s">
        <v>458</v>
      </c>
      <c r="G243" s="128" t="s">
        <v>418</v>
      </c>
      <c r="H243" s="129">
        <v>2093.2379999999998</v>
      </c>
      <c r="I243" s="130">
        <v>61.737071122597108</v>
      </c>
      <c r="J243" s="131">
        <f>ROUND(I243*H243,2)</f>
        <v>129230.38</v>
      </c>
      <c r="K243" s="127" t="s">
        <v>293</v>
      </c>
      <c r="L243" s="198">
        <f>S243</f>
        <v>0</v>
      </c>
      <c r="M243" s="206">
        <f>ROUND(L243*I243,2)</f>
        <v>0</v>
      </c>
      <c r="N243" s="211">
        <f>N245</f>
        <v>0.85400000000000009</v>
      </c>
      <c r="O243" s="212">
        <f>ROUND(N243*I243,2)</f>
        <v>52.72</v>
      </c>
      <c r="P243" s="207">
        <f>H243-L243-N243</f>
        <v>2092.384</v>
      </c>
      <c r="Q243" s="228">
        <f>ROUND(P243*I243,2)</f>
        <v>129177.66</v>
      </c>
      <c r="R243" s="199"/>
      <c r="S243" s="200">
        <f>W243+Y243+AA243+AC243+AE243+AG243+AI243+AK243+AM243+AO243+AQ243+AS243+AU243+AW243</f>
        <v>0</v>
      </c>
      <c r="T243" s="200">
        <f>ROUND(S243*I243,2)</f>
        <v>0</v>
      </c>
      <c r="U243" s="200">
        <f>H243-S243</f>
        <v>2093.2379999999998</v>
      </c>
      <c r="V243" s="200">
        <f>ROUND(U243*I243,2)</f>
        <v>129230.38</v>
      </c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CB243" s="132" t="s">
        <v>1</v>
      </c>
      <c r="CC243" s="133" t="s">
        <v>40</v>
      </c>
      <c r="CE243" s="134">
        <f>CD243*H243</f>
        <v>0</v>
      </c>
      <c r="CF243" s="134">
        <v>0</v>
      </c>
      <c r="CG243" s="134">
        <f>CF243*H243</f>
        <v>0</v>
      </c>
      <c r="CH243" s="134">
        <v>0</v>
      </c>
      <c r="CI243" s="135">
        <f>CH243*H243</f>
        <v>0</v>
      </c>
      <c r="DG243" s="136" t="s">
        <v>95</v>
      </c>
      <c r="DI243" s="136" t="s">
        <v>284</v>
      </c>
      <c r="DJ243" s="136" t="s">
        <v>83</v>
      </c>
      <c r="DN243" s="16" t="s">
        <v>282</v>
      </c>
      <c r="DT243" s="137">
        <f>IF(CC243="základní",J243,0)</f>
        <v>129230.38</v>
      </c>
      <c r="DU243" s="137">
        <f>IF(CC243="snížená",J243,0)</f>
        <v>0</v>
      </c>
      <c r="DV243" s="137">
        <f>IF(CC243="zákl. přenesená",J243,0)</f>
        <v>0</v>
      </c>
      <c r="DW243" s="137">
        <f>IF(CC243="sníž. přenesená",J243,0)</f>
        <v>0</v>
      </c>
      <c r="DX243" s="137">
        <f>IF(CC243="nulová",J243,0)</f>
        <v>0</v>
      </c>
      <c r="DY243" s="16" t="s">
        <v>81</v>
      </c>
      <c r="DZ243" s="137">
        <f>ROUND(I243*H243,2)</f>
        <v>129230.38</v>
      </c>
      <c r="EA243" s="16" t="s">
        <v>95</v>
      </c>
      <c r="EB243" s="136" t="s">
        <v>459</v>
      </c>
    </row>
    <row r="244" spans="2:132" s="1" customFormat="1" ht="29.25" x14ac:dyDescent="0.2">
      <c r="B244" s="31"/>
      <c r="D244" s="138" t="s">
        <v>289</v>
      </c>
      <c r="F244" s="139" t="s">
        <v>460</v>
      </c>
      <c r="I244" s="140"/>
      <c r="L244" s="31"/>
      <c r="N244" s="213"/>
      <c r="O244" s="214"/>
      <c r="Q244" s="229"/>
      <c r="CB244" s="141"/>
      <c r="CI244" s="50"/>
      <c r="DI244" s="16" t="s">
        <v>289</v>
      </c>
      <c r="DJ244" s="16" t="s">
        <v>83</v>
      </c>
    </row>
    <row r="245" spans="2:132" s="12" customFormat="1" x14ac:dyDescent="0.2">
      <c r="B245" s="149"/>
      <c r="D245" s="138" t="s">
        <v>301</v>
      </c>
      <c r="E245" s="150" t="s">
        <v>1</v>
      </c>
      <c r="F245" s="151" t="s">
        <v>912</v>
      </c>
      <c r="H245" s="152">
        <v>2093.2379999999998</v>
      </c>
      <c r="I245" s="153"/>
      <c r="L245" s="149"/>
      <c r="N245" s="313">
        <f>0.668+0.186</f>
        <v>0.85400000000000009</v>
      </c>
      <c r="O245" s="218" t="s">
        <v>3430</v>
      </c>
      <c r="Q245" s="231"/>
      <c r="CB245" s="154"/>
      <c r="CI245" s="155"/>
      <c r="DI245" s="150" t="s">
        <v>301</v>
      </c>
      <c r="DJ245" s="150" t="s">
        <v>83</v>
      </c>
      <c r="DK245" s="12" t="s">
        <v>83</v>
      </c>
      <c r="DL245" s="12" t="s">
        <v>32</v>
      </c>
      <c r="DM245" s="12" t="s">
        <v>81</v>
      </c>
      <c r="DN245" s="150" t="s">
        <v>282</v>
      </c>
    </row>
    <row r="246" spans="2:132" s="10" customFormat="1" ht="22.9" customHeight="1" x14ac:dyDescent="0.2">
      <c r="B246" s="112"/>
      <c r="D246" s="113" t="s">
        <v>73</v>
      </c>
      <c r="E246" s="122" t="s">
        <v>83</v>
      </c>
      <c r="F246" s="122" t="s">
        <v>462</v>
      </c>
      <c r="I246" s="115"/>
      <c r="J246" s="123">
        <f>DZ246</f>
        <v>94193.17</v>
      </c>
      <c r="L246" s="112"/>
      <c r="M246" s="202">
        <f>M247</f>
        <v>0</v>
      </c>
      <c r="N246" s="223"/>
      <c r="O246" s="224">
        <f t="shared" ref="O246:V246" si="3">O247</f>
        <v>42.25</v>
      </c>
      <c r="P246" s="202"/>
      <c r="Q246" s="234">
        <f t="shared" si="3"/>
        <v>94150.92</v>
      </c>
      <c r="R246" s="202"/>
      <c r="S246" s="202"/>
      <c r="T246" s="202">
        <f t="shared" si="3"/>
        <v>0</v>
      </c>
      <c r="U246" s="202"/>
      <c r="V246" s="202">
        <f t="shared" si="3"/>
        <v>94193.17</v>
      </c>
      <c r="CB246" s="117"/>
      <c r="CE246" s="118">
        <f>SUM(CE247:CE250)</f>
        <v>0</v>
      </c>
      <c r="CG246" s="118">
        <f>SUM(CG247:CG250)</f>
        <v>73.012923000000001</v>
      </c>
      <c r="CI246" s="119">
        <f>SUM(CI247:CI250)</f>
        <v>0</v>
      </c>
      <c r="DG246" s="113" t="s">
        <v>81</v>
      </c>
      <c r="DI246" s="120" t="s">
        <v>73</v>
      </c>
      <c r="DJ246" s="120" t="s">
        <v>81</v>
      </c>
      <c r="DN246" s="113" t="s">
        <v>282</v>
      </c>
      <c r="DZ246" s="121">
        <f>SUM(DZ247:DZ250)</f>
        <v>94193.17</v>
      </c>
    </row>
    <row r="247" spans="2:132" s="1" customFormat="1" ht="37.9" customHeight="1" x14ac:dyDescent="0.2">
      <c r="B247" s="124"/>
      <c r="C247" s="125" t="s">
        <v>445</v>
      </c>
      <c r="D247" s="125" t="s">
        <v>284</v>
      </c>
      <c r="E247" s="126" t="s">
        <v>464</v>
      </c>
      <c r="F247" s="127" t="s">
        <v>465</v>
      </c>
      <c r="G247" s="128" t="s">
        <v>344</v>
      </c>
      <c r="H247" s="129">
        <v>356.7</v>
      </c>
      <c r="I247" s="130">
        <v>264.06831423630393</v>
      </c>
      <c r="J247" s="131">
        <f>ROUND(I247*H247,2)</f>
        <v>94193.17</v>
      </c>
      <c r="K247" s="127" t="s">
        <v>293</v>
      </c>
      <c r="L247" s="198">
        <f>S247</f>
        <v>0</v>
      </c>
      <c r="M247" s="206">
        <f>ROUND(L247*I247,2)</f>
        <v>0</v>
      </c>
      <c r="N247" s="211">
        <f>N250</f>
        <v>0.16000000000002501</v>
      </c>
      <c r="O247" s="212">
        <f>ROUND(N247*I247,2)</f>
        <v>42.25</v>
      </c>
      <c r="P247" s="207">
        <f>H247-L247-N247</f>
        <v>356.53999999999996</v>
      </c>
      <c r="Q247" s="228">
        <f>ROUND(P247*I247,2)</f>
        <v>94150.92</v>
      </c>
      <c r="R247" s="199"/>
      <c r="S247" s="200">
        <f>W247+Y247+AA247+AC247+AE247+AG247+AI247+AK247+AM247+AO247+AQ247+AS247+AU247+AW247</f>
        <v>0</v>
      </c>
      <c r="T247" s="200">
        <f>ROUND(S247*I247,2)</f>
        <v>0</v>
      </c>
      <c r="U247" s="200">
        <f>H247-S247</f>
        <v>356.7</v>
      </c>
      <c r="V247" s="200">
        <f>ROUND(U247*I247,2)</f>
        <v>94193.17</v>
      </c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CB247" s="132" t="s">
        <v>1</v>
      </c>
      <c r="CC247" s="133" t="s">
        <v>40</v>
      </c>
      <c r="CE247" s="134">
        <f>CD247*H247</f>
        <v>0</v>
      </c>
      <c r="CF247" s="134">
        <v>0.20469000000000001</v>
      </c>
      <c r="CG247" s="134">
        <f>CF247*H247</f>
        <v>73.012923000000001</v>
      </c>
      <c r="CH247" s="134">
        <v>0</v>
      </c>
      <c r="CI247" s="135">
        <f>CH247*H247</f>
        <v>0</v>
      </c>
      <c r="DG247" s="136" t="s">
        <v>95</v>
      </c>
      <c r="DI247" s="136" t="s">
        <v>284</v>
      </c>
      <c r="DJ247" s="136" t="s">
        <v>83</v>
      </c>
      <c r="DN247" s="16" t="s">
        <v>282</v>
      </c>
      <c r="DT247" s="137">
        <f>IF(CC247="základní",J247,0)</f>
        <v>94193.17</v>
      </c>
      <c r="DU247" s="137">
        <f>IF(CC247="snížená",J247,0)</f>
        <v>0</v>
      </c>
      <c r="DV247" s="137">
        <f>IF(CC247="zákl. přenesená",J247,0)</f>
        <v>0</v>
      </c>
      <c r="DW247" s="137">
        <f>IF(CC247="sníž. přenesená",J247,0)</f>
        <v>0</v>
      </c>
      <c r="DX247" s="137">
        <f>IF(CC247="nulová",J247,0)</f>
        <v>0</v>
      </c>
      <c r="DY247" s="16" t="s">
        <v>81</v>
      </c>
      <c r="DZ247" s="137">
        <f>ROUND(I247*H247,2)</f>
        <v>94193.17</v>
      </c>
      <c r="EA247" s="16" t="s">
        <v>95</v>
      </c>
      <c r="EB247" s="136" t="s">
        <v>466</v>
      </c>
    </row>
    <row r="248" spans="2:132" s="1" customFormat="1" ht="39" x14ac:dyDescent="0.2">
      <c r="B248" s="31"/>
      <c r="D248" s="138" t="s">
        <v>289</v>
      </c>
      <c r="F248" s="139" t="s">
        <v>467</v>
      </c>
      <c r="I248" s="140"/>
      <c r="L248" s="31"/>
      <c r="N248" s="213"/>
      <c r="O248" s="214"/>
      <c r="Q248" s="229"/>
      <c r="CB248" s="141"/>
      <c r="CI248" s="50"/>
      <c r="DI248" s="16" t="s">
        <v>289</v>
      </c>
      <c r="DJ248" s="16" t="s">
        <v>83</v>
      </c>
    </row>
    <row r="249" spans="2:132" s="1" customFormat="1" ht="19.5" x14ac:dyDescent="0.2">
      <c r="B249" s="31"/>
      <c r="D249" s="138" t="s">
        <v>299</v>
      </c>
      <c r="F249" s="142" t="s">
        <v>317</v>
      </c>
      <c r="I249" s="140"/>
      <c r="L249" s="31"/>
      <c r="N249" s="213"/>
      <c r="O249" s="214"/>
      <c r="Q249" s="229"/>
      <c r="CB249" s="141"/>
      <c r="CI249" s="50"/>
      <c r="DI249" s="16" t="s">
        <v>299</v>
      </c>
      <c r="DJ249" s="16" t="s">
        <v>83</v>
      </c>
    </row>
    <row r="250" spans="2:132" s="12" customFormat="1" x14ac:dyDescent="0.2">
      <c r="B250" s="149"/>
      <c r="D250" s="138" t="s">
        <v>301</v>
      </c>
      <c r="E250" s="150" t="s">
        <v>1</v>
      </c>
      <c r="F250" s="151" t="s">
        <v>913</v>
      </c>
      <c r="H250" s="152">
        <v>356.7</v>
      </c>
      <c r="I250" s="153"/>
      <c r="L250" s="149"/>
      <c r="N250" s="217">
        <f>356.86-356.7</f>
        <v>0.16000000000002501</v>
      </c>
      <c r="O250" s="218" t="s">
        <v>3426</v>
      </c>
      <c r="Q250" s="231"/>
      <c r="CB250" s="154"/>
      <c r="CI250" s="155"/>
      <c r="DI250" s="150" t="s">
        <v>301</v>
      </c>
      <c r="DJ250" s="150" t="s">
        <v>83</v>
      </c>
      <c r="DK250" s="12" t="s">
        <v>83</v>
      </c>
      <c r="DL250" s="12" t="s">
        <v>32</v>
      </c>
      <c r="DM250" s="12" t="s">
        <v>81</v>
      </c>
      <c r="DN250" s="150" t="s">
        <v>282</v>
      </c>
    </row>
    <row r="251" spans="2:132" s="10" customFormat="1" ht="22.9" customHeight="1" x14ac:dyDescent="0.2">
      <c r="B251" s="112"/>
      <c r="D251" s="113" t="s">
        <v>73</v>
      </c>
      <c r="E251" s="122" t="s">
        <v>95</v>
      </c>
      <c r="F251" s="122" t="s">
        <v>469</v>
      </c>
      <c r="I251" s="115"/>
      <c r="J251" s="123">
        <f>DZ251</f>
        <v>70656.800000000003</v>
      </c>
      <c r="L251" s="112"/>
      <c r="M251" s="202">
        <f>SUM(M252:M283)</f>
        <v>0</v>
      </c>
      <c r="N251" s="223"/>
      <c r="O251" s="224">
        <f t="shared" ref="O251:V251" si="4">SUM(O252:O283)</f>
        <v>19.559999999999999</v>
      </c>
      <c r="P251" s="202"/>
      <c r="Q251" s="234">
        <f t="shared" si="4"/>
        <v>70637.240000000005</v>
      </c>
      <c r="R251" s="202"/>
      <c r="S251" s="202"/>
      <c r="T251" s="202">
        <f t="shared" si="4"/>
        <v>0</v>
      </c>
      <c r="U251" s="202"/>
      <c r="V251" s="202">
        <f t="shared" si="4"/>
        <v>70656.800000000003</v>
      </c>
      <c r="CB251" s="117"/>
      <c r="CE251" s="118">
        <f>SUM(CE252:CE290)</f>
        <v>0</v>
      </c>
      <c r="CG251" s="118">
        <f>SUM(CG252:CG290)</f>
        <v>1.1562000000000001</v>
      </c>
      <c r="CI251" s="119">
        <f>SUM(CI252:CI290)</f>
        <v>0</v>
      </c>
      <c r="DG251" s="113" t="s">
        <v>81</v>
      </c>
      <c r="DI251" s="120" t="s">
        <v>73</v>
      </c>
      <c r="DJ251" s="120" t="s">
        <v>81</v>
      </c>
      <c r="DN251" s="113" t="s">
        <v>282</v>
      </c>
      <c r="DZ251" s="121">
        <f>SUM(DZ252:DZ290)</f>
        <v>70656.800000000003</v>
      </c>
    </row>
    <row r="252" spans="2:132" s="1" customFormat="1" ht="14.45" customHeight="1" x14ac:dyDescent="0.2">
      <c r="B252" s="124"/>
      <c r="C252" s="125" t="s">
        <v>451</v>
      </c>
      <c r="D252" s="125" t="s">
        <v>284</v>
      </c>
      <c r="E252" s="126" t="s">
        <v>471</v>
      </c>
      <c r="F252" s="127" t="s">
        <v>472</v>
      </c>
      <c r="G252" s="128" t="s">
        <v>366</v>
      </c>
      <c r="H252" s="129">
        <v>37.454000000000001</v>
      </c>
      <c r="I252" s="130">
        <v>1200.17173250368</v>
      </c>
      <c r="J252" s="131">
        <f>ROUND(I252*H252,2)</f>
        <v>44951.23</v>
      </c>
      <c r="K252" s="127" t="s">
        <v>293</v>
      </c>
      <c r="L252" s="198">
        <f>S252</f>
        <v>0</v>
      </c>
      <c r="M252" s="206">
        <f>ROUND(L252*I252,2)</f>
        <v>0</v>
      </c>
      <c r="N252" s="211">
        <f>N256</f>
        <v>1.6300000000001091E-2</v>
      </c>
      <c r="O252" s="212">
        <f>ROUND(N252*I252,2)</f>
        <v>19.559999999999999</v>
      </c>
      <c r="P252" s="207">
        <f>H252-L252-N252</f>
        <v>37.4377</v>
      </c>
      <c r="Q252" s="228">
        <f>ROUND(P252*I252,2)</f>
        <v>44931.67</v>
      </c>
      <c r="R252" s="199"/>
      <c r="S252" s="200">
        <f>W252+Y252+AA252+AC252+AE252+AG252+AI252+AK252+AM252+AO252+AQ252+AS252+AU252+AW252</f>
        <v>0</v>
      </c>
      <c r="T252" s="200">
        <f>ROUND(S252*I252,2)</f>
        <v>0</v>
      </c>
      <c r="U252" s="200">
        <f>H252-S252</f>
        <v>37.454000000000001</v>
      </c>
      <c r="V252" s="200">
        <f>ROUND(U252*I252,2)</f>
        <v>44951.23</v>
      </c>
      <c r="W252" s="200"/>
      <c r="X252" s="200"/>
      <c r="Y252" s="200"/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0"/>
      <c r="AP252" s="200"/>
      <c r="AQ252" s="200"/>
      <c r="AR252" s="200"/>
      <c r="AS252" s="200"/>
      <c r="AT252" s="200"/>
      <c r="AU252" s="200"/>
      <c r="AV252" s="200"/>
      <c r="AW252" s="200"/>
      <c r="AX252" s="200"/>
      <c r="CB252" s="132" t="s">
        <v>1</v>
      </c>
      <c r="CC252" s="133" t="s">
        <v>40</v>
      </c>
      <c r="CE252" s="134">
        <f>CD252*H252</f>
        <v>0</v>
      </c>
      <c r="CF252" s="134">
        <v>0</v>
      </c>
      <c r="CG252" s="134">
        <f>CF252*H252</f>
        <v>0</v>
      </c>
      <c r="CH252" s="134">
        <v>0</v>
      </c>
      <c r="CI252" s="135">
        <f>CH252*H252</f>
        <v>0</v>
      </c>
      <c r="DG252" s="136" t="s">
        <v>95</v>
      </c>
      <c r="DI252" s="136" t="s">
        <v>284</v>
      </c>
      <c r="DJ252" s="136" t="s">
        <v>83</v>
      </c>
      <c r="DN252" s="16" t="s">
        <v>282</v>
      </c>
      <c r="DT252" s="137">
        <f>IF(CC252="základní",J252,0)</f>
        <v>44951.23</v>
      </c>
      <c r="DU252" s="137">
        <f>IF(CC252="snížená",J252,0)</f>
        <v>0</v>
      </c>
      <c r="DV252" s="137">
        <f>IF(CC252="zákl. přenesená",J252,0)</f>
        <v>0</v>
      </c>
      <c r="DW252" s="137">
        <f>IF(CC252="sníž. přenesená",J252,0)</f>
        <v>0</v>
      </c>
      <c r="DX252" s="137">
        <f>IF(CC252="nulová",J252,0)</f>
        <v>0</v>
      </c>
      <c r="DY252" s="16" t="s">
        <v>81</v>
      </c>
      <c r="DZ252" s="137">
        <f>ROUND(I252*H252,2)</f>
        <v>44951.23</v>
      </c>
      <c r="EA252" s="16" t="s">
        <v>95</v>
      </c>
      <c r="EB252" s="136" t="s">
        <v>473</v>
      </c>
    </row>
    <row r="253" spans="2:132" s="1" customFormat="1" ht="19.5" x14ac:dyDescent="0.2">
      <c r="B253" s="31"/>
      <c r="D253" s="138" t="s">
        <v>289</v>
      </c>
      <c r="F253" s="139" t="s">
        <v>474</v>
      </c>
      <c r="I253" s="140"/>
      <c r="L253" s="31"/>
      <c r="N253" s="213"/>
      <c r="O253" s="214"/>
      <c r="Q253" s="229"/>
      <c r="CB253" s="141"/>
      <c r="CI253" s="50"/>
      <c r="DI253" s="16" t="s">
        <v>289</v>
      </c>
      <c r="DJ253" s="16" t="s">
        <v>83</v>
      </c>
    </row>
    <row r="254" spans="2:132" s="1" customFormat="1" ht="19.5" x14ac:dyDescent="0.2">
      <c r="B254" s="31"/>
      <c r="D254" s="138" t="s">
        <v>299</v>
      </c>
      <c r="F254" s="142" t="s">
        <v>317</v>
      </c>
      <c r="I254" s="140"/>
      <c r="L254" s="31"/>
      <c r="N254" s="213"/>
      <c r="O254" s="214"/>
      <c r="Q254" s="229"/>
      <c r="CB254" s="141"/>
      <c r="CI254" s="50"/>
      <c r="DI254" s="16" t="s">
        <v>299</v>
      </c>
      <c r="DJ254" s="16" t="s">
        <v>83</v>
      </c>
    </row>
    <row r="255" spans="2:132" s="12" customFormat="1" x14ac:dyDescent="0.2">
      <c r="B255" s="149"/>
      <c r="D255" s="138" t="s">
        <v>301</v>
      </c>
      <c r="E255" s="150" t="s">
        <v>1</v>
      </c>
      <c r="F255" s="151" t="s">
        <v>914</v>
      </c>
      <c r="H255" s="152">
        <v>37.454000000000001</v>
      </c>
      <c r="I255" s="153"/>
      <c r="L255" s="149"/>
      <c r="N255" s="310">
        <f>356.86*1.05*0.1</f>
        <v>37.470300000000002</v>
      </c>
      <c r="O255" s="218" t="s">
        <v>3427</v>
      </c>
      <c r="Q255" s="231"/>
      <c r="CB255" s="154"/>
      <c r="CI255" s="155"/>
      <c r="DI255" s="150" t="s">
        <v>301</v>
      </c>
      <c r="DJ255" s="150" t="s">
        <v>83</v>
      </c>
      <c r="DK255" s="12" t="s">
        <v>83</v>
      </c>
      <c r="DL255" s="12" t="s">
        <v>32</v>
      </c>
      <c r="DM255" s="12" t="s">
        <v>81</v>
      </c>
      <c r="DN255" s="150" t="s">
        <v>282</v>
      </c>
    </row>
    <row r="256" spans="2:132" s="12" customFormat="1" x14ac:dyDescent="0.2">
      <c r="B256" s="149"/>
      <c r="D256" s="138"/>
      <c r="E256" s="150"/>
      <c r="F256" s="151"/>
      <c r="H256" s="152"/>
      <c r="I256" s="153"/>
      <c r="L256" s="149"/>
      <c r="N256" s="310">
        <f>N255-H255</f>
        <v>1.6300000000001091E-2</v>
      </c>
      <c r="O256" s="218"/>
      <c r="Q256" s="231"/>
      <c r="CB256" s="154"/>
      <c r="CI256" s="155"/>
      <c r="DI256" s="150"/>
      <c r="DJ256" s="150"/>
      <c r="DN256" s="150"/>
    </row>
    <row r="257" spans="2:132" s="1" customFormat="1" ht="14.45" customHeight="1" x14ac:dyDescent="0.2">
      <c r="B257" s="124"/>
      <c r="C257" s="125" t="s">
        <v>456</v>
      </c>
      <c r="D257" s="125" t="s">
        <v>284</v>
      </c>
      <c r="E257" s="126" t="s">
        <v>477</v>
      </c>
      <c r="F257" s="127" t="s">
        <v>478</v>
      </c>
      <c r="G257" s="128" t="s">
        <v>366</v>
      </c>
      <c r="H257" s="129">
        <v>6.4749999999999996</v>
      </c>
      <c r="I257" s="130">
        <v>1200.17173250368</v>
      </c>
      <c r="J257" s="131">
        <f>ROUND(I257*H257,2)</f>
        <v>7771.11</v>
      </c>
      <c r="K257" s="127" t="s">
        <v>1</v>
      </c>
      <c r="L257" s="198">
        <f>S257</f>
        <v>0</v>
      </c>
      <c r="M257" s="206">
        <f>ROUND(L257*I257,2)</f>
        <v>0</v>
      </c>
      <c r="N257" s="211"/>
      <c r="O257" s="212">
        <f>ROUND(N257*I257,2)</f>
        <v>0</v>
      </c>
      <c r="P257" s="207">
        <f>H257-L257-N257</f>
        <v>6.4749999999999996</v>
      </c>
      <c r="Q257" s="228">
        <f>ROUND(P257*I257,2)</f>
        <v>7771.11</v>
      </c>
      <c r="R257" s="199"/>
      <c r="S257" s="200">
        <f>W257+Y257+AA257+AC257+AE257+AG257+AI257+AK257+AM257+AO257+AQ257+AS257+AU257+AW257</f>
        <v>0</v>
      </c>
      <c r="T257" s="200">
        <f>ROUND(S257*I257,2)</f>
        <v>0</v>
      </c>
      <c r="U257" s="200">
        <f>H257-S257</f>
        <v>6.4749999999999996</v>
      </c>
      <c r="V257" s="200">
        <f>ROUND(U257*I257,2)</f>
        <v>7771.11</v>
      </c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200"/>
      <c r="AT257" s="200"/>
      <c r="AU257" s="200"/>
      <c r="AV257" s="200"/>
      <c r="AW257" s="200"/>
      <c r="AX257" s="200"/>
      <c r="CB257" s="132" t="s">
        <v>1</v>
      </c>
      <c r="CC257" s="133" t="s">
        <v>40</v>
      </c>
      <c r="CE257" s="134">
        <f>CD257*H257</f>
        <v>0</v>
      </c>
      <c r="CF257" s="134">
        <v>0</v>
      </c>
      <c r="CG257" s="134">
        <f>CF257*H257</f>
        <v>0</v>
      </c>
      <c r="CH257" s="134">
        <v>0</v>
      </c>
      <c r="CI257" s="135">
        <f>CH257*H257</f>
        <v>0</v>
      </c>
      <c r="DG257" s="136" t="s">
        <v>95</v>
      </c>
      <c r="DI257" s="136" t="s">
        <v>284</v>
      </c>
      <c r="DJ257" s="136" t="s">
        <v>83</v>
      </c>
      <c r="DN257" s="16" t="s">
        <v>282</v>
      </c>
      <c r="DT257" s="137">
        <f>IF(CC257="základní",J257,0)</f>
        <v>7771.11</v>
      </c>
      <c r="DU257" s="137">
        <f>IF(CC257="snížená",J257,0)</f>
        <v>0</v>
      </c>
      <c r="DV257" s="137">
        <f>IF(CC257="zákl. přenesená",J257,0)</f>
        <v>0</v>
      </c>
      <c r="DW257" s="137">
        <f>IF(CC257="sníž. přenesená",J257,0)</f>
        <v>0</v>
      </c>
      <c r="DX257" s="137">
        <f>IF(CC257="nulová",J257,0)</f>
        <v>0</v>
      </c>
      <c r="DY257" s="16" t="s">
        <v>81</v>
      </c>
      <c r="DZ257" s="137">
        <f>ROUND(I257*H257,2)</f>
        <v>7771.11</v>
      </c>
      <c r="EA257" s="16" t="s">
        <v>95</v>
      </c>
      <c r="EB257" s="136" t="s">
        <v>479</v>
      </c>
    </row>
    <row r="258" spans="2:132" s="1" customFormat="1" ht="19.5" x14ac:dyDescent="0.2">
      <c r="B258" s="31"/>
      <c r="D258" s="138" t="s">
        <v>289</v>
      </c>
      <c r="F258" s="139" t="s">
        <v>474</v>
      </c>
      <c r="I258" s="140"/>
      <c r="L258" s="31"/>
      <c r="N258" s="213"/>
      <c r="O258" s="214"/>
      <c r="Q258" s="229"/>
      <c r="CB258" s="141"/>
      <c r="CI258" s="50"/>
      <c r="DI258" s="16" t="s">
        <v>289</v>
      </c>
      <c r="DJ258" s="16" t="s">
        <v>83</v>
      </c>
    </row>
    <row r="259" spans="2:132" s="1" customFormat="1" ht="19.5" x14ac:dyDescent="0.2">
      <c r="B259" s="31"/>
      <c r="D259" s="138" t="s">
        <v>299</v>
      </c>
      <c r="F259" s="142" t="s">
        <v>317</v>
      </c>
      <c r="I259" s="140"/>
      <c r="L259" s="31"/>
      <c r="N259" s="213"/>
      <c r="O259" s="214"/>
      <c r="Q259" s="229"/>
      <c r="CB259" s="141"/>
      <c r="CI259" s="50"/>
      <c r="DI259" s="16" t="s">
        <v>299</v>
      </c>
      <c r="DJ259" s="16" t="s">
        <v>83</v>
      </c>
    </row>
    <row r="260" spans="2:132" s="11" customFormat="1" x14ac:dyDescent="0.2">
      <c r="B260" s="143"/>
      <c r="D260" s="138" t="s">
        <v>301</v>
      </c>
      <c r="E260" s="144" t="s">
        <v>1</v>
      </c>
      <c r="F260" s="145" t="s">
        <v>765</v>
      </c>
      <c r="H260" s="144" t="s">
        <v>1</v>
      </c>
      <c r="I260" s="146"/>
      <c r="L260" s="143"/>
      <c r="N260" s="215"/>
      <c r="O260" s="216"/>
      <c r="Q260" s="230"/>
      <c r="CB260" s="147"/>
      <c r="CI260" s="148"/>
      <c r="DI260" s="144" t="s">
        <v>301</v>
      </c>
      <c r="DJ260" s="144" t="s">
        <v>83</v>
      </c>
      <c r="DK260" s="11" t="s">
        <v>81</v>
      </c>
      <c r="DL260" s="11" t="s">
        <v>32</v>
      </c>
      <c r="DM260" s="11" t="s">
        <v>74</v>
      </c>
      <c r="DN260" s="144" t="s">
        <v>282</v>
      </c>
    </row>
    <row r="261" spans="2:132" s="12" customFormat="1" x14ac:dyDescent="0.2">
      <c r="B261" s="149"/>
      <c r="D261" s="138" t="s">
        <v>301</v>
      </c>
      <c r="E261" s="150" t="s">
        <v>1</v>
      </c>
      <c r="F261" s="151" t="s">
        <v>915</v>
      </c>
      <c r="H261" s="152">
        <v>6.25</v>
      </c>
      <c r="I261" s="153"/>
      <c r="L261" s="149"/>
      <c r="N261" s="217"/>
      <c r="O261" s="218"/>
      <c r="Q261" s="231"/>
      <c r="CB261" s="154"/>
      <c r="CI261" s="155"/>
      <c r="DI261" s="150" t="s">
        <v>301</v>
      </c>
      <c r="DJ261" s="150" t="s">
        <v>83</v>
      </c>
      <c r="DK261" s="12" t="s">
        <v>83</v>
      </c>
      <c r="DL261" s="12" t="s">
        <v>32</v>
      </c>
      <c r="DM261" s="12" t="s">
        <v>74</v>
      </c>
      <c r="DN261" s="150" t="s">
        <v>282</v>
      </c>
    </row>
    <row r="262" spans="2:132" s="11" customFormat="1" x14ac:dyDescent="0.2">
      <c r="B262" s="143"/>
      <c r="D262" s="138" t="s">
        <v>301</v>
      </c>
      <c r="E262" s="144" t="s">
        <v>1</v>
      </c>
      <c r="F262" s="145" t="s">
        <v>916</v>
      </c>
      <c r="H262" s="144" t="s">
        <v>1</v>
      </c>
      <c r="I262" s="146"/>
      <c r="L262" s="143"/>
      <c r="N262" s="215"/>
      <c r="O262" s="216"/>
      <c r="Q262" s="230"/>
      <c r="CB262" s="147"/>
      <c r="CI262" s="148"/>
      <c r="DI262" s="144" t="s">
        <v>301</v>
      </c>
      <c r="DJ262" s="144" t="s">
        <v>83</v>
      </c>
      <c r="DK262" s="11" t="s">
        <v>81</v>
      </c>
      <c r="DL262" s="11" t="s">
        <v>32</v>
      </c>
      <c r="DM262" s="11" t="s">
        <v>74</v>
      </c>
      <c r="DN262" s="144" t="s">
        <v>282</v>
      </c>
    </row>
    <row r="263" spans="2:132" s="12" customFormat="1" x14ac:dyDescent="0.2">
      <c r="B263" s="149"/>
      <c r="D263" s="138" t="s">
        <v>301</v>
      </c>
      <c r="E263" s="150" t="s">
        <v>1</v>
      </c>
      <c r="F263" s="151" t="s">
        <v>917</v>
      </c>
      <c r="H263" s="152">
        <v>0.22500000000000001</v>
      </c>
      <c r="I263" s="153"/>
      <c r="L263" s="149"/>
      <c r="N263" s="217"/>
      <c r="O263" s="218"/>
      <c r="Q263" s="231"/>
      <c r="CB263" s="154"/>
      <c r="CI263" s="155"/>
      <c r="DI263" s="150" t="s">
        <v>301</v>
      </c>
      <c r="DJ263" s="150" t="s">
        <v>83</v>
      </c>
      <c r="DK263" s="12" t="s">
        <v>83</v>
      </c>
      <c r="DL263" s="12" t="s">
        <v>32</v>
      </c>
      <c r="DM263" s="12" t="s">
        <v>74</v>
      </c>
      <c r="DN263" s="150" t="s">
        <v>282</v>
      </c>
    </row>
    <row r="264" spans="2:132" s="13" customFormat="1" x14ac:dyDescent="0.2">
      <c r="B264" s="156"/>
      <c r="D264" s="138" t="s">
        <v>301</v>
      </c>
      <c r="E264" s="157" t="s">
        <v>1</v>
      </c>
      <c r="F264" s="158" t="s">
        <v>305</v>
      </c>
      <c r="H264" s="159">
        <v>6.4749999999999996</v>
      </c>
      <c r="I264" s="160"/>
      <c r="L264" s="156"/>
      <c r="N264" s="219"/>
      <c r="O264" s="220"/>
      <c r="Q264" s="232"/>
      <c r="CB264" s="161"/>
      <c r="CI264" s="162"/>
      <c r="DI264" s="157" t="s">
        <v>301</v>
      </c>
      <c r="DJ264" s="157" t="s">
        <v>83</v>
      </c>
      <c r="DK264" s="13" t="s">
        <v>95</v>
      </c>
      <c r="DL264" s="13" t="s">
        <v>32</v>
      </c>
      <c r="DM264" s="13" t="s">
        <v>81</v>
      </c>
      <c r="DN264" s="157" t="s">
        <v>282</v>
      </c>
    </row>
    <row r="265" spans="2:132" s="1" customFormat="1" ht="19.5" customHeight="1" x14ac:dyDescent="0.2">
      <c r="B265" s="124"/>
      <c r="C265" s="125" t="s">
        <v>463</v>
      </c>
      <c r="D265" s="125" t="s">
        <v>284</v>
      </c>
      <c r="E265" s="126" t="s">
        <v>483</v>
      </c>
      <c r="F265" s="127" t="s">
        <v>484</v>
      </c>
      <c r="G265" s="128" t="s">
        <v>485</v>
      </c>
      <c r="H265" s="129">
        <v>13</v>
      </c>
      <c r="I265" s="130">
        <v>136.11246338547087</v>
      </c>
      <c r="J265" s="131">
        <f>ROUND(I265*H265,2)</f>
        <v>1769.46</v>
      </c>
      <c r="K265" s="127" t="s">
        <v>293</v>
      </c>
      <c r="L265" s="198">
        <f>S265</f>
        <v>0</v>
      </c>
      <c r="M265" s="206">
        <f>ROUND(L265*I265,2)</f>
        <v>0</v>
      </c>
      <c r="N265" s="211"/>
      <c r="O265" s="212">
        <f>ROUND(N265*I265,2)</f>
        <v>0</v>
      </c>
      <c r="P265" s="207">
        <f>H265-L265-N265</f>
        <v>13</v>
      </c>
      <c r="Q265" s="228">
        <f>ROUND(P265*I265,2)</f>
        <v>1769.46</v>
      </c>
      <c r="R265" s="199"/>
      <c r="S265" s="200">
        <f>W265+Y265+AA265+AC265+AE265+AG265+AI265+AK265+AM265+AO265+AQ265+AS265+AU265+AW265</f>
        <v>0</v>
      </c>
      <c r="T265" s="200">
        <f>ROUND(S265*I265,2)</f>
        <v>0</v>
      </c>
      <c r="U265" s="200">
        <f>H265-S265</f>
        <v>13</v>
      </c>
      <c r="V265" s="200">
        <f>ROUND(U265*I265,2)</f>
        <v>1769.46</v>
      </c>
      <c r="W265" s="200"/>
      <c r="X265" s="200"/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0"/>
      <c r="AP265" s="200"/>
      <c r="AQ265" s="200"/>
      <c r="AR265" s="200"/>
      <c r="AS265" s="200"/>
      <c r="AT265" s="200"/>
      <c r="AU265" s="200"/>
      <c r="AV265" s="200"/>
      <c r="AW265" s="200"/>
      <c r="AX265" s="200"/>
      <c r="CB265" s="132" t="s">
        <v>1</v>
      </c>
      <c r="CC265" s="133" t="s">
        <v>40</v>
      </c>
      <c r="CE265" s="134">
        <f>CD265*H265</f>
        <v>0</v>
      </c>
      <c r="CF265" s="134">
        <v>6.6E-3</v>
      </c>
      <c r="CG265" s="134">
        <f>CF265*H265</f>
        <v>8.5800000000000001E-2</v>
      </c>
      <c r="CH265" s="134">
        <v>0</v>
      </c>
      <c r="CI265" s="135">
        <f>CH265*H265</f>
        <v>0</v>
      </c>
      <c r="DG265" s="136" t="s">
        <v>95</v>
      </c>
      <c r="DI265" s="136" t="s">
        <v>284</v>
      </c>
      <c r="DJ265" s="136" t="s">
        <v>83</v>
      </c>
      <c r="DN265" s="16" t="s">
        <v>282</v>
      </c>
      <c r="DT265" s="137">
        <f>IF(CC265="základní",J265,0)</f>
        <v>1769.46</v>
      </c>
      <c r="DU265" s="137">
        <f>IF(CC265="snížená",J265,0)</f>
        <v>0</v>
      </c>
      <c r="DV265" s="137">
        <f>IF(CC265="zákl. přenesená",J265,0)</f>
        <v>0</v>
      </c>
      <c r="DW265" s="137">
        <f>IF(CC265="sníž. přenesená",J265,0)</f>
        <v>0</v>
      </c>
      <c r="DX265" s="137">
        <f>IF(CC265="nulová",J265,0)</f>
        <v>0</v>
      </c>
      <c r="DY265" s="16" t="s">
        <v>81</v>
      </c>
      <c r="DZ265" s="137">
        <f>ROUND(I265*H265,2)</f>
        <v>1769.46</v>
      </c>
      <c r="EA265" s="16" t="s">
        <v>95</v>
      </c>
      <c r="EB265" s="136" t="s">
        <v>486</v>
      </c>
    </row>
    <row r="266" spans="2:132" s="1" customFormat="1" ht="19.5" x14ac:dyDescent="0.2">
      <c r="B266" s="31"/>
      <c r="D266" s="138" t="s">
        <v>289</v>
      </c>
      <c r="F266" s="139" t="s">
        <v>487</v>
      </c>
      <c r="I266" s="140"/>
      <c r="L266" s="31"/>
      <c r="N266" s="213"/>
      <c r="O266" s="214"/>
      <c r="Q266" s="229"/>
      <c r="CB266" s="141"/>
      <c r="CI266" s="50"/>
      <c r="DI266" s="16" t="s">
        <v>289</v>
      </c>
      <c r="DJ266" s="16" t="s">
        <v>83</v>
      </c>
    </row>
    <row r="267" spans="2:132" s="1" customFormat="1" ht="19.5" x14ac:dyDescent="0.2">
      <c r="B267" s="31"/>
      <c r="D267" s="138" t="s">
        <v>299</v>
      </c>
      <c r="F267" s="142" t="s">
        <v>317</v>
      </c>
      <c r="I267" s="140"/>
      <c r="L267" s="31"/>
      <c r="N267" s="213"/>
      <c r="O267" s="214"/>
      <c r="Q267" s="229"/>
      <c r="CB267" s="141"/>
      <c r="CI267" s="50"/>
      <c r="DI267" s="16" t="s">
        <v>299</v>
      </c>
      <c r="DJ267" s="16" t="s">
        <v>83</v>
      </c>
    </row>
    <row r="268" spans="2:132" s="12" customFormat="1" x14ac:dyDescent="0.2">
      <c r="B268" s="149"/>
      <c r="D268" s="138" t="s">
        <v>301</v>
      </c>
      <c r="E268" s="150" t="s">
        <v>1</v>
      </c>
      <c r="F268" s="151" t="s">
        <v>918</v>
      </c>
      <c r="H268" s="152">
        <v>13</v>
      </c>
      <c r="I268" s="153"/>
      <c r="L268" s="149"/>
      <c r="N268" s="217"/>
      <c r="O268" s="218"/>
      <c r="Q268" s="231"/>
      <c r="CB268" s="154"/>
      <c r="CI268" s="155"/>
      <c r="DI268" s="150" t="s">
        <v>301</v>
      </c>
      <c r="DJ268" s="150" t="s">
        <v>83</v>
      </c>
      <c r="DK268" s="12" t="s">
        <v>83</v>
      </c>
      <c r="DL268" s="12" t="s">
        <v>32</v>
      </c>
      <c r="DM268" s="12" t="s">
        <v>81</v>
      </c>
      <c r="DN268" s="150" t="s">
        <v>282</v>
      </c>
    </row>
    <row r="269" spans="2:132" s="1" customFormat="1" ht="24.2" customHeight="1" x14ac:dyDescent="0.2">
      <c r="B269" s="124"/>
      <c r="C269" s="170" t="s">
        <v>470</v>
      </c>
      <c r="D269" s="170" t="s">
        <v>439</v>
      </c>
      <c r="E269" s="171" t="s">
        <v>490</v>
      </c>
      <c r="F269" s="172" t="s">
        <v>491</v>
      </c>
      <c r="G269" s="173" t="s">
        <v>485</v>
      </c>
      <c r="H269" s="174">
        <v>1</v>
      </c>
      <c r="I269" s="175">
        <v>209.33466970000001</v>
      </c>
      <c r="J269" s="176">
        <f>ROUND(I269*H269,2)</f>
        <v>209.33</v>
      </c>
      <c r="K269" s="172" t="s">
        <v>293</v>
      </c>
      <c r="L269" s="198">
        <f>S269</f>
        <v>0</v>
      </c>
      <c r="M269" s="206">
        <f>ROUND(L269*I269,2)</f>
        <v>0</v>
      </c>
      <c r="N269" s="211"/>
      <c r="O269" s="212">
        <f>ROUND(N269*I269,2)</f>
        <v>0</v>
      </c>
      <c r="P269" s="207">
        <f>H269-L269-N269</f>
        <v>1</v>
      </c>
      <c r="Q269" s="228">
        <f>ROUND(P269*I269,2)</f>
        <v>209.33</v>
      </c>
      <c r="R269" s="199"/>
      <c r="S269" s="200">
        <f>W269+Y269+AA269+AC269+AE269+AG269+AI269+AK269+AM269+AO269+AQ269+AS269+AU269+AW269</f>
        <v>0</v>
      </c>
      <c r="T269" s="200">
        <f>ROUND(S269*I269,2)</f>
        <v>0</v>
      </c>
      <c r="U269" s="200">
        <f>H269-S269</f>
        <v>1</v>
      </c>
      <c r="V269" s="200">
        <f>ROUND(U269*I269,2)</f>
        <v>209.33</v>
      </c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77" t="s">
        <v>1</v>
      </c>
      <c r="CC269" s="178" t="s">
        <v>40</v>
      </c>
      <c r="CE269" s="134">
        <f>CD269*H269</f>
        <v>0</v>
      </c>
      <c r="CF269" s="134">
        <v>2.8000000000000001E-2</v>
      </c>
      <c r="CG269" s="134">
        <f>CF269*H269</f>
        <v>2.8000000000000001E-2</v>
      </c>
      <c r="CH269" s="134">
        <v>0</v>
      </c>
      <c r="CI269" s="135">
        <f>CH269*H269</f>
        <v>0</v>
      </c>
      <c r="DG269" s="136" t="s">
        <v>328</v>
      </c>
      <c r="DI269" s="136" t="s">
        <v>439</v>
      </c>
      <c r="DJ269" s="136" t="s">
        <v>83</v>
      </c>
      <c r="DN269" s="16" t="s">
        <v>282</v>
      </c>
      <c r="DT269" s="137">
        <f>IF(CC269="základní",J269,0)</f>
        <v>209.33</v>
      </c>
      <c r="DU269" s="137">
        <f>IF(CC269="snížená",J269,0)</f>
        <v>0</v>
      </c>
      <c r="DV269" s="137">
        <f>IF(CC269="zákl. přenesená",J269,0)</f>
        <v>0</v>
      </c>
      <c r="DW269" s="137">
        <f>IF(CC269="sníž. přenesená",J269,0)</f>
        <v>0</v>
      </c>
      <c r="DX269" s="137">
        <f>IF(CC269="nulová",J269,0)</f>
        <v>0</v>
      </c>
      <c r="DY269" s="16" t="s">
        <v>81</v>
      </c>
      <c r="DZ269" s="137">
        <f>ROUND(I269*H269,2)</f>
        <v>209.33</v>
      </c>
      <c r="EA269" s="16" t="s">
        <v>95</v>
      </c>
      <c r="EB269" s="136" t="s">
        <v>492</v>
      </c>
    </row>
    <row r="270" spans="2:132" s="1" customFormat="1" x14ac:dyDescent="0.2">
      <c r="B270" s="31"/>
      <c r="D270" s="138" t="s">
        <v>289</v>
      </c>
      <c r="F270" s="139" t="s">
        <v>491</v>
      </c>
      <c r="I270" s="140"/>
      <c r="L270" s="31"/>
      <c r="N270" s="213"/>
      <c r="O270" s="214"/>
      <c r="Q270" s="229"/>
      <c r="CB270" s="141"/>
      <c r="CI270" s="50"/>
      <c r="DI270" s="16" t="s">
        <v>289</v>
      </c>
      <c r="DJ270" s="16" t="s">
        <v>83</v>
      </c>
    </row>
    <row r="271" spans="2:132" s="1" customFormat="1" ht="24.2" customHeight="1" x14ac:dyDescent="0.2">
      <c r="B271" s="124"/>
      <c r="C271" s="170" t="s">
        <v>476</v>
      </c>
      <c r="D271" s="170" t="s">
        <v>439</v>
      </c>
      <c r="E271" s="171" t="s">
        <v>494</v>
      </c>
      <c r="F271" s="172" t="s">
        <v>495</v>
      </c>
      <c r="G271" s="173" t="s">
        <v>485</v>
      </c>
      <c r="H271" s="174">
        <v>2</v>
      </c>
      <c r="I271" s="175">
        <v>244.3816506</v>
      </c>
      <c r="J271" s="176">
        <f>ROUND(I271*H271,2)</f>
        <v>488.76</v>
      </c>
      <c r="K271" s="172" t="s">
        <v>293</v>
      </c>
      <c r="L271" s="198">
        <f>S271</f>
        <v>0</v>
      </c>
      <c r="M271" s="206">
        <f>ROUND(L271*I271,2)</f>
        <v>0</v>
      </c>
      <c r="N271" s="211"/>
      <c r="O271" s="212">
        <f>ROUND(N271*I271,2)</f>
        <v>0</v>
      </c>
      <c r="P271" s="207">
        <f>H271-L271-N271</f>
        <v>2</v>
      </c>
      <c r="Q271" s="228">
        <f>ROUND(P271*I271,2)</f>
        <v>488.76</v>
      </c>
      <c r="R271" s="199"/>
      <c r="S271" s="200">
        <f>W271+Y271+AA271+AC271+AE271+AG271+AI271+AK271+AM271+AO271+AQ271+AS271+AU271+AW271</f>
        <v>0</v>
      </c>
      <c r="T271" s="200">
        <f>ROUND(S271*I271,2)</f>
        <v>0</v>
      </c>
      <c r="U271" s="200">
        <f>H271-S271</f>
        <v>2</v>
      </c>
      <c r="V271" s="200">
        <f>ROUND(U271*I271,2)</f>
        <v>488.76</v>
      </c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77" t="s">
        <v>1</v>
      </c>
      <c r="CC271" s="178" t="s">
        <v>40</v>
      </c>
      <c r="CE271" s="134">
        <f>CD271*H271</f>
        <v>0</v>
      </c>
      <c r="CF271" s="134">
        <v>0.04</v>
      </c>
      <c r="CG271" s="134">
        <f>CF271*H271</f>
        <v>0.08</v>
      </c>
      <c r="CH271" s="134">
        <v>0</v>
      </c>
      <c r="CI271" s="135">
        <f>CH271*H271</f>
        <v>0</v>
      </c>
      <c r="DG271" s="136" t="s">
        <v>328</v>
      </c>
      <c r="DI271" s="136" t="s">
        <v>439</v>
      </c>
      <c r="DJ271" s="136" t="s">
        <v>83</v>
      </c>
      <c r="DN271" s="16" t="s">
        <v>282</v>
      </c>
      <c r="DT271" s="137">
        <f>IF(CC271="základní",J271,0)</f>
        <v>488.76</v>
      </c>
      <c r="DU271" s="137">
        <f>IF(CC271="snížená",J271,0)</f>
        <v>0</v>
      </c>
      <c r="DV271" s="137">
        <f>IF(CC271="zákl. přenesená",J271,0)</f>
        <v>0</v>
      </c>
      <c r="DW271" s="137">
        <f>IF(CC271="sníž. přenesená",J271,0)</f>
        <v>0</v>
      </c>
      <c r="DX271" s="137">
        <f>IF(CC271="nulová",J271,0)</f>
        <v>0</v>
      </c>
      <c r="DY271" s="16" t="s">
        <v>81</v>
      </c>
      <c r="DZ271" s="137">
        <f>ROUND(I271*H271,2)</f>
        <v>488.76</v>
      </c>
      <c r="EA271" s="16" t="s">
        <v>95</v>
      </c>
      <c r="EB271" s="136" t="s">
        <v>496</v>
      </c>
    </row>
    <row r="272" spans="2:132" s="1" customFormat="1" x14ac:dyDescent="0.2">
      <c r="B272" s="31"/>
      <c r="D272" s="138" t="s">
        <v>289</v>
      </c>
      <c r="F272" s="139" t="s">
        <v>495</v>
      </c>
      <c r="I272" s="140"/>
      <c r="L272" s="31"/>
      <c r="N272" s="213"/>
      <c r="O272" s="214"/>
      <c r="Q272" s="229"/>
      <c r="CB272" s="141"/>
      <c r="CI272" s="50"/>
      <c r="DI272" s="16" t="s">
        <v>289</v>
      </c>
      <c r="DJ272" s="16" t="s">
        <v>83</v>
      </c>
    </row>
    <row r="273" spans="2:132" s="1" customFormat="1" ht="24.2" customHeight="1" x14ac:dyDescent="0.2">
      <c r="B273" s="124"/>
      <c r="C273" s="170" t="s">
        <v>482</v>
      </c>
      <c r="D273" s="170" t="s">
        <v>439</v>
      </c>
      <c r="E273" s="171" t="s">
        <v>498</v>
      </c>
      <c r="F273" s="172" t="s">
        <v>499</v>
      </c>
      <c r="G273" s="173" t="s">
        <v>485</v>
      </c>
      <c r="H273" s="174">
        <v>4</v>
      </c>
      <c r="I273" s="175">
        <v>292.68965129999998</v>
      </c>
      <c r="J273" s="176">
        <f>ROUND(I273*H273,2)</f>
        <v>1170.76</v>
      </c>
      <c r="K273" s="172" t="s">
        <v>293</v>
      </c>
      <c r="L273" s="198">
        <f>S273</f>
        <v>0</v>
      </c>
      <c r="M273" s="206">
        <f>ROUND(L273*I273,2)</f>
        <v>0</v>
      </c>
      <c r="N273" s="211"/>
      <c r="O273" s="212">
        <f>ROUND(N273*I273,2)</f>
        <v>0</v>
      </c>
      <c r="P273" s="207">
        <f>H273-L273-N273</f>
        <v>4</v>
      </c>
      <c r="Q273" s="228">
        <f>ROUND(P273*I273,2)</f>
        <v>1170.76</v>
      </c>
      <c r="R273" s="199"/>
      <c r="S273" s="200">
        <f>W273+Y273+AA273+AC273+AE273+AG273+AI273+AK273+AM273+AO273+AQ273+AS273+AU273+AW273</f>
        <v>0</v>
      </c>
      <c r="T273" s="200">
        <f>ROUND(S273*I273,2)</f>
        <v>0</v>
      </c>
      <c r="U273" s="200">
        <f>H273-S273</f>
        <v>4</v>
      </c>
      <c r="V273" s="200">
        <f>ROUND(U273*I273,2)</f>
        <v>1170.76</v>
      </c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77" t="s">
        <v>1</v>
      </c>
      <c r="CC273" s="178" t="s">
        <v>40</v>
      </c>
      <c r="CE273" s="134">
        <f>CD273*H273</f>
        <v>0</v>
      </c>
      <c r="CF273" s="134">
        <v>5.0999999999999997E-2</v>
      </c>
      <c r="CG273" s="134">
        <f>CF273*H273</f>
        <v>0.20399999999999999</v>
      </c>
      <c r="CH273" s="134">
        <v>0</v>
      </c>
      <c r="CI273" s="135">
        <f>CH273*H273</f>
        <v>0</v>
      </c>
      <c r="DG273" s="136" t="s">
        <v>328</v>
      </c>
      <c r="DI273" s="136" t="s">
        <v>439</v>
      </c>
      <c r="DJ273" s="136" t="s">
        <v>83</v>
      </c>
      <c r="DN273" s="16" t="s">
        <v>282</v>
      </c>
      <c r="DT273" s="137">
        <f>IF(CC273="základní",J273,0)</f>
        <v>1170.76</v>
      </c>
      <c r="DU273" s="137">
        <f>IF(CC273="snížená",J273,0)</f>
        <v>0</v>
      </c>
      <c r="DV273" s="137">
        <f>IF(CC273="zákl. přenesená",J273,0)</f>
        <v>0</v>
      </c>
      <c r="DW273" s="137">
        <f>IF(CC273="sníž. přenesená",J273,0)</f>
        <v>0</v>
      </c>
      <c r="DX273" s="137">
        <f>IF(CC273="nulová",J273,0)</f>
        <v>0</v>
      </c>
      <c r="DY273" s="16" t="s">
        <v>81</v>
      </c>
      <c r="DZ273" s="137">
        <f>ROUND(I273*H273,2)</f>
        <v>1170.76</v>
      </c>
      <c r="EA273" s="16" t="s">
        <v>95</v>
      </c>
      <c r="EB273" s="136" t="s">
        <v>500</v>
      </c>
    </row>
    <row r="274" spans="2:132" s="1" customFormat="1" x14ac:dyDescent="0.2">
      <c r="B274" s="31"/>
      <c r="D274" s="138" t="s">
        <v>289</v>
      </c>
      <c r="F274" s="139" t="s">
        <v>499</v>
      </c>
      <c r="I274" s="140"/>
      <c r="L274" s="31"/>
      <c r="N274" s="213"/>
      <c r="O274" s="214"/>
      <c r="Q274" s="229"/>
      <c r="CB274" s="141"/>
      <c r="CI274" s="50"/>
      <c r="DI274" s="16" t="s">
        <v>289</v>
      </c>
      <c r="DJ274" s="16" t="s">
        <v>83</v>
      </c>
    </row>
    <row r="275" spans="2:132" s="1" customFormat="1" ht="24.2" customHeight="1" x14ac:dyDescent="0.2">
      <c r="B275" s="124"/>
      <c r="C275" s="170" t="s">
        <v>489</v>
      </c>
      <c r="D275" s="170" t="s">
        <v>439</v>
      </c>
      <c r="E275" s="171" t="s">
        <v>502</v>
      </c>
      <c r="F275" s="172" t="s">
        <v>503</v>
      </c>
      <c r="G275" s="173" t="s">
        <v>485</v>
      </c>
      <c r="H275" s="174">
        <v>6</v>
      </c>
      <c r="I275" s="175">
        <v>314.47561239999999</v>
      </c>
      <c r="J275" s="176">
        <f>ROUND(I275*H275,2)</f>
        <v>1886.85</v>
      </c>
      <c r="K275" s="172" t="s">
        <v>293</v>
      </c>
      <c r="L275" s="198">
        <f>S275</f>
        <v>0</v>
      </c>
      <c r="M275" s="206">
        <f>ROUND(L275*I275,2)</f>
        <v>0</v>
      </c>
      <c r="N275" s="211"/>
      <c r="O275" s="212">
        <f>ROUND(N275*I275,2)</f>
        <v>0</v>
      </c>
      <c r="P275" s="207">
        <f>H275-L275-N275</f>
        <v>6</v>
      </c>
      <c r="Q275" s="228">
        <f>ROUND(P275*I275,2)</f>
        <v>1886.85</v>
      </c>
      <c r="R275" s="199"/>
      <c r="S275" s="200">
        <f>W275+Y275+AA275+AC275+AE275+AG275+AI275+AK275+AM275+AO275+AQ275+AS275+AU275+AW275</f>
        <v>0</v>
      </c>
      <c r="T275" s="200">
        <f>ROUND(S275*I275,2)</f>
        <v>0</v>
      </c>
      <c r="U275" s="200">
        <f>H275-S275</f>
        <v>6</v>
      </c>
      <c r="V275" s="200">
        <f>ROUND(U275*I275,2)</f>
        <v>1886.85</v>
      </c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77" t="s">
        <v>1</v>
      </c>
      <c r="CC275" s="178" t="s">
        <v>40</v>
      </c>
      <c r="CE275" s="134">
        <f>CD275*H275</f>
        <v>0</v>
      </c>
      <c r="CF275" s="134">
        <v>6.8000000000000005E-2</v>
      </c>
      <c r="CG275" s="134">
        <f>CF275*H275</f>
        <v>0.40800000000000003</v>
      </c>
      <c r="CH275" s="134">
        <v>0</v>
      </c>
      <c r="CI275" s="135">
        <f>CH275*H275</f>
        <v>0</v>
      </c>
      <c r="DG275" s="136" t="s">
        <v>328</v>
      </c>
      <c r="DI275" s="136" t="s">
        <v>439</v>
      </c>
      <c r="DJ275" s="136" t="s">
        <v>83</v>
      </c>
      <c r="DN275" s="16" t="s">
        <v>282</v>
      </c>
      <c r="DT275" s="137">
        <f>IF(CC275="základní",J275,0)</f>
        <v>1886.85</v>
      </c>
      <c r="DU275" s="137">
        <f>IF(CC275="snížená",J275,0)</f>
        <v>0</v>
      </c>
      <c r="DV275" s="137">
        <f>IF(CC275="zákl. přenesená",J275,0)</f>
        <v>0</v>
      </c>
      <c r="DW275" s="137">
        <f>IF(CC275="sníž. přenesená",J275,0)</f>
        <v>0</v>
      </c>
      <c r="DX275" s="137">
        <f>IF(CC275="nulová",J275,0)</f>
        <v>0</v>
      </c>
      <c r="DY275" s="16" t="s">
        <v>81</v>
      </c>
      <c r="DZ275" s="137">
        <f>ROUND(I275*H275,2)</f>
        <v>1886.85</v>
      </c>
      <c r="EA275" s="16" t="s">
        <v>95</v>
      </c>
      <c r="EB275" s="136" t="s">
        <v>504</v>
      </c>
    </row>
    <row r="276" spans="2:132" s="1" customFormat="1" x14ac:dyDescent="0.2">
      <c r="B276" s="31"/>
      <c r="D276" s="138" t="s">
        <v>289</v>
      </c>
      <c r="F276" s="139" t="s">
        <v>503</v>
      </c>
      <c r="I276" s="140"/>
      <c r="L276" s="31"/>
      <c r="N276" s="213"/>
      <c r="O276" s="214"/>
      <c r="Q276" s="229"/>
      <c r="CB276" s="141"/>
      <c r="CI276" s="50"/>
      <c r="DI276" s="16" t="s">
        <v>289</v>
      </c>
      <c r="DJ276" s="16" t="s">
        <v>83</v>
      </c>
    </row>
    <row r="277" spans="2:132" s="1" customFormat="1" ht="14.45" customHeight="1" x14ac:dyDescent="0.2">
      <c r="B277" s="124"/>
      <c r="C277" s="125" t="s">
        <v>493</v>
      </c>
      <c r="D277" s="125" t="s">
        <v>284</v>
      </c>
      <c r="E277" s="126" t="s">
        <v>506</v>
      </c>
      <c r="F277" s="127" t="s">
        <v>507</v>
      </c>
      <c r="G277" s="128" t="s">
        <v>485</v>
      </c>
      <c r="H277" s="129">
        <v>4</v>
      </c>
      <c r="I277" s="130">
        <v>217.77896833494168</v>
      </c>
      <c r="J277" s="131">
        <f>ROUND(I277*H277,2)</f>
        <v>871.12</v>
      </c>
      <c r="K277" s="127" t="s">
        <v>293</v>
      </c>
      <c r="L277" s="198">
        <f>S277</f>
        <v>0</v>
      </c>
      <c r="M277" s="206">
        <f>ROUND(L277*I277,2)</f>
        <v>0</v>
      </c>
      <c r="N277" s="211"/>
      <c r="O277" s="212">
        <f>ROUND(N277*I277,2)</f>
        <v>0</v>
      </c>
      <c r="P277" s="207">
        <f>H277-L277-N277</f>
        <v>4</v>
      </c>
      <c r="Q277" s="228">
        <f>ROUND(P277*I277,2)</f>
        <v>871.12</v>
      </c>
      <c r="R277" s="199"/>
      <c r="S277" s="200">
        <f>W277+Y277+AA277+AC277+AE277+AG277+AI277+AK277+AM277+AO277+AQ277+AS277+AU277+AW277</f>
        <v>0</v>
      </c>
      <c r="T277" s="200">
        <f>ROUND(S277*I277,2)</f>
        <v>0</v>
      </c>
      <c r="U277" s="200">
        <f>H277-S277</f>
        <v>4</v>
      </c>
      <c r="V277" s="200">
        <f>ROUND(U277*I277,2)</f>
        <v>871.12</v>
      </c>
      <c r="W277" s="200"/>
      <c r="X277" s="200"/>
      <c r="Y277" s="200"/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0"/>
      <c r="AP277" s="200"/>
      <c r="AQ277" s="200"/>
      <c r="AR277" s="200"/>
      <c r="AS277" s="200"/>
      <c r="AT277" s="200"/>
      <c r="AU277" s="200"/>
      <c r="AV277" s="200"/>
      <c r="AW277" s="200"/>
      <c r="AX277" s="200"/>
      <c r="CB277" s="132" t="s">
        <v>1</v>
      </c>
      <c r="CC277" s="133" t="s">
        <v>40</v>
      </c>
      <c r="CE277" s="134">
        <f>CD277*H277</f>
        <v>0</v>
      </c>
      <c r="CF277" s="134">
        <v>6.6E-3</v>
      </c>
      <c r="CG277" s="134">
        <f>CF277*H277</f>
        <v>2.64E-2</v>
      </c>
      <c r="CH277" s="134">
        <v>0</v>
      </c>
      <c r="CI277" s="135">
        <f>CH277*H277</f>
        <v>0</v>
      </c>
      <c r="DG277" s="136" t="s">
        <v>95</v>
      </c>
      <c r="DI277" s="136" t="s">
        <v>284</v>
      </c>
      <c r="DJ277" s="136" t="s">
        <v>83</v>
      </c>
      <c r="DN277" s="16" t="s">
        <v>282</v>
      </c>
      <c r="DT277" s="137">
        <f>IF(CC277="základní",J277,0)</f>
        <v>871.12</v>
      </c>
      <c r="DU277" s="137">
        <f>IF(CC277="snížená",J277,0)</f>
        <v>0</v>
      </c>
      <c r="DV277" s="137">
        <f>IF(CC277="zákl. přenesená",J277,0)</f>
        <v>0</v>
      </c>
      <c r="DW277" s="137">
        <f>IF(CC277="sníž. přenesená",J277,0)</f>
        <v>0</v>
      </c>
      <c r="DX277" s="137">
        <f>IF(CC277="nulová",J277,0)</f>
        <v>0</v>
      </c>
      <c r="DY277" s="16" t="s">
        <v>81</v>
      </c>
      <c r="DZ277" s="137">
        <f>ROUND(I277*H277,2)</f>
        <v>871.12</v>
      </c>
      <c r="EA277" s="16" t="s">
        <v>95</v>
      </c>
      <c r="EB277" s="136" t="s">
        <v>508</v>
      </c>
    </row>
    <row r="278" spans="2:132" s="1" customFormat="1" ht="19.5" x14ac:dyDescent="0.2">
      <c r="B278" s="31"/>
      <c r="D278" s="138" t="s">
        <v>289</v>
      </c>
      <c r="F278" s="139" t="s">
        <v>509</v>
      </c>
      <c r="I278" s="140"/>
      <c r="L278" s="31"/>
      <c r="N278" s="213"/>
      <c r="O278" s="214"/>
      <c r="Q278" s="229"/>
      <c r="CB278" s="141"/>
      <c r="CI278" s="50"/>
      <c r="DI278" s="16" t="s">
        <v>289</v>
      </c>
      <c r="DJ278" s="16" t="s">
        <v>83</v>
      </c>
    </row>
    <row r="279" spans="2:132" s="1" customFormat="1" ht="19.5" x14ac:dyDescent="0.2">
      <c r="B279" s="31"/>
      <c r="D279" s="138" t="s">
        <v>299</v>
      </c>
      <c r="F279" s="142" t="s">
        <v>317</v>
      </c>
      <c r="I279" s="140"/>
      <c r="L279" s="31"/>
      <c r="N279" s="213"/>
      <c r="O279" s="214"/>
      <c r="Q279" s="229"/>
      <c r="CB279" s="141"/>
      <c r="CI279" s="50"/>
      <c r="DI279" s="16" t="s">
        <v>299</v>
      </c>
      <c r="DJ279" s="16" t="s">
        <v>83</v>
      </c>
    </row>
    <row r="280" spans="2:132" s="12" customFormat="1" x14ac:dyDescent="0.2">
      <c r="B280" s="149"/>
      <c r="D280" s="138" t="s">
        <v>301</v>
      </c>
      <c r="E280" s="150" t="s">
        <v>1</v>
      </c>
      <c r="F280" s="151" t="s">
        <v>95</v>
      </c>
      <c r="H280" s="152">
        <v>4</v>
      </c>
      <c r="I280" s="153"/>
      <c r="L280" s="149"/>
      <c r="N280" s="217"/>
      <c r="O280" s="218"/>
      <c r="Q280" s="231"/>
      <c r="CB280" s="154"/>
      <c r="CI280" s="155"/>
      <c r="DI280" s="150" t="s">
        <v>301</v>
      </c>
      <c r="DJ280" s="150" t="s">
        <v>83</v>
      </c>
      <c r="DK280" s="12" t="s">
        <v>83</v>
      </c>
      <c r="DL280" s="12" t="s">
        <v>32</v>
      </c>
      <c r="DM280" s="12" t="s">
        <v>81</v>
      </c>
      <c r="DN280" s="150" t="s">
        <v>282</v>
      </c>
    </row>
    <row r="281" spans="2:132" s="1" customFormat="1" ht="24.2" customHeight="1" x14ac:dyDescent="0.2">
      <c r="B281" s="124"/>
      <c r="C281" s="170" t="s">
        <v>497</v>
      </c>
      <c r="D281" s="170" t="s">
        <v>439</v>
      </c>
      <c r="E281" s="171" t="s">
        <v>511</v>
      </c>
      <c r="F281" s="172" t="s">
        <v>512</v>
      </c>
      <c r="G281" s="173" t="s">
        <v>485</v>
      </c>
      <c r="H281" s="174">
        <v>4</v>
      </c>
      <c r="I281" s="175">
        <v>354.2586718</v>
      </c>
      <c r="J281" s="176">
        <f>ROUND(I281*H281,2)</f>
        <v>1417.03</v>
      </c>
      <c r="K281" s="172" t="s">
        <v>293</v>
      </c>
      <c r="L281" s="198">
        <f>S281</f>
        <v>0</v>
      </c>
      <c r="M281" s="206">
        <f>ROUND(L281*I281,2)</f>
        <v>0</v>
      </c>
      <c r="N281" s="211"/>
      <c r="O281" s="212">
        <f>ROUND(N281*I281,2)</f>
        <v>0</v>
      </c>
      <c r="P281" s="207">
        <f>H281-L281-N281</f>
        <v>4</v>
      </c>
      <c r="Q281" s="228">
        <f>ROUND(P281*I281,2)</f>
        <v>1417.03</v>
      </c>
      <c r="R281" s="199"/>
      <c r="S281" s="200">
        <f>W281+Y281+AA281+AC281+AE281+AG281+AI281+AK281+AM281+AO281+AQ281+AS281+AU281+AW281</f>
        <v>0</v>
      </c>
      <c r="T281" s="200">
        <f>ROUND(S281*I281,2)</f>
        <v>0</v>
      </c>
      <c r="U281" s="200">
        <f>H281-S281</f>
        <v>4</v>
      </c>
      <c r="V281" s="200">
        <f>ROUND(U281*I281,2)</f>
        <v>1417.03</v>
      </c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77" t="s">
        <v>1</v>
      </c>
      <c r="CC281" s="178" t="s">
        <v>40</v>
      </c>
      <c r="CE281" s="134">
        <f>CD281*H281</f>
        <v>0</v>
      </c>
      <c r="CF281" s="134">
        <v>8.1000000000000003E-2</v>
      </c>
      <c r="CG281" s="134">
        <f>CF281*H281</f>
        <v>0.32400000000000001</v>
      </c>
      <c r="CH281" s="134">
        <v>0</v>
      </c>
      <c r="CI281" s="135">
        <f>CH281*H281</f>
        <v>0</v>
      </c>
      <c r="DG281" s="136" t="s">
        <v>328</v>
      </c>
      <c r="DI281" s="136" t="s">
        <v>439</v>
      </c>
      <c r="DJ281" s="136" t="s">
        <v>83</v>
      </c>
      <c r="DN281" s="16" t="s">
        <v>282</v>
      </c>
      <c r="DT281" s="137">
        <f>IF(CC281="základní",J281,0)</f>
        <v>1417.03</v>
      </c>
      <c r="DU281" s="137">
        <f>IF(CC281="snížená",J281,0)</f>
        <v>0</v>
      </c>
      <c r="DV281" s="137">
        <f>IF(CC281="zákl. přenesená",J281,0)</f>
        <v>0</v>
      </c>
      <c r="DW281" s="137">
        <f>IF(CC281="sníž. přenesená",J281,0)</f>
        <v>0</v>
      </c>
      <c r="DX281" s="137">
        <f>IF(CC281="nulová",J281,0)</f>
        <v>0</v>
      </c>
      <c r="DY281" s="16" t="s">
        <v>81</v>
      </c>
      <c r="DZ281" s="137">
        <f>ROUND(I281*H281,2)</f>
        <v>1417.03</v>
      </c>
      <c r="EA281" s="16" t="s">
        <v>95</v>
      </c>
      <c r="EB281" s="136" t="s">
        <v>513</v>
      </c>
    </row>
    <row r="282" spans="2:132" s="1" customFormat="1" x14ac:dyDescent="0.2">
      <c r="B282" s="31"/>
      <c r="D282" s="138" t="s">
        <v>289</v>
      </c>
      <c r="F282" s="139" t="s">
        <v>512</v>
      </c>
      <c r="I282" s="140"/>
      <c r="L282" s="31"/>
      <c r="N282" s="213"/>
      <c r="O282" s="214"/>
      <c r="Q282" s="229"/>
      <c r="CB282" s="141"/>
      <c r="CI282" s="50"/>
      <c r="DI282" s="16" t="s">
        <v>289</v>
      </c>
      <c r="DJ282" s="16" t="s">
        <v>83</v>
      </c>
    </row>
    <row r="283" spans="2:132" s="1" customFormat="1" ht="24.2" customHeight="1" x14ac:dyDescent="0.2">
      <c r="B283" s="124"/>
      <c r="C283" s="125" t="s">
        <v>501</v>
      </c>
      <c r="D283" s="125" t="s">
        <v>284</v>
      </c>
      <c r="E283" s="126" t="s">
        <v>515</v>
      </c>
      <c r="F283" s="127" t="s">
        <v>516</v>
      </c>
      <c r="G283" s="128" t="s">
        <v>366</v>
      </c>
      <c r="H283" s="129">
        <v>3.496</v>
      </c>
      <c r="I283" s="130">
        <v>2895.0660868876225</v>
      </c>
      <c r="J283" s="131">
        <f>ROUND(I283*H283,2)</f>
        <v>10121.15</v>
      </c>
      <c r="K283" s="127" t="s">
        <v>293</v>
      </c>
      <c r="L283" s="198">
        <f>S283</f>
        <v>0</v>
      </c>
      <c r="M283" s="206">
        <f>ROUND(L283*I283,2)</f>
        <v>0</v>
      </c>
      <c r="N283" s="211"/>
      <c r="O283" s="212">
        <f>ROUND(N283*I283,2)</f>
        <v>0</v>
      </c>
      <c r="P283" s="207">
        <f>H283-L283-N283</f>
        <v>3.496</v>
      </c>
      <c r="Q283" s="228">
        <f>ROUND(P283*I283,2)</f>
        <v>10121.15</v>
      </c>
      <c r="R283" s="199"/>
      <c r="S283" s="200">
        <f>W283+Y283+AA283+AC283+AE283+AG283+AI283+AK283+AM283+AO283+AQ283+AS283+AU283+AW283</f>
        <v>0</v>
      </c>
      <c r="T283" s="200">
        <f>ROUND(S283*I283,2)</f>
        <v>0</v>
      </c>
      <c r="U283" s="200">
        <f>H283-S283</f>
        <v>3.496</v>
      </c>
      <c r="V283" s="200">
        <f>ROUND(U283*I283,2)</f>
        <v>10121.15</v>
      </c>
      <c r="W283" s="200"/>
      <c r="X283" s="200"/>
      <c r="Y283" s="200"/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0"/>
      <c r="AP283" s="200"/>
      <c r="AQ283" s="200"/>
      <c r="AR283" s="200"/>
      <c r="AS283" s="200"/>
      <c r="AT283" s="200"/>
      <c r="AU283" s="200"/>
      <c r="AV283" s="200"/>
      <c r="AW283" s="200"/>
      <c r="AX283" s="200"/>
      <c r="CB283" s="132" t="s">
        <v>1</v>
      </c>
      <c r="CC283" s="133" t="s">
        <v>40</v>
      </c>
      <c r="CE283" s="134">
        <f>CD283*H283</f>
        <v>0</v>
      </c>
      <c r="CF283" s="134">
        <v>0</v>
      </c>
      <c r="CG283" s="134">
        <f>CF283*H283</f>
        <v>0</v>
      </c>
      <c r="CH283" s="134">
        <v>0</v>
      </c>
      <c r="CI283" s="135">
        <f>CH283*H283</f>
        <v>0</v>
      </c>
      <c r="DG283" s="136" t="s">
        <v>95</v>
      </c>
      <c r="DI283" s="136" t="s">
        <v>284</v>
      </c>
      <c r="DJ283" s="136" t="s">
        <v>83</v>
      </c>
      <c r="DN283" s="16" t="s">
        <v>282</v>
      </c>
      <c r="DT283" s="137">
        <f>IF(CC283="základní",J283,0)</f>
        <v>10121.15</v>
      </c>
      <c r="DU283" s="137">
        <f>IF(CC283="snížená",J283,0)</f>
        <v>0</v>
      </c>
      <c r="DV283" s="137">
        <f>IF(CC283="zákl. přenesená",J283,0)</f>
        <v>0</v>
      </c>
      <c r="DW283" s="137">
        <f>IF(CC283="sníž. přenesená",J283,0)</f>
        <v>0</v>
      </c>
      <c r="DX283" s="137">
        <f>IF(CC283="nulová",J283,0)</f>
        <v>0</v>
      </c>
      <c r="DY283" s="16" t="s">
        <v>81</v>
      </c>
      <c r="DZ283" s="137">
        <f>ROUND(I283*H283,2)</f>
        <v>10121.15</v>
      </c>
      <c r="EA283" s="16" t="s">
        <v>95</v>
      </c>
      <c r="EB283" s="136" t="s">
        <v>517</v>
      </c>
    </row>
    <row r="284" spans="2:132" s="1" customFormat="1" ht="29.25" x14ac:dyDescent="0.2">
      <c r="B284" s="31"/>
      <c r="D284" s="138" t="s">
        <v>289</v>
      </c>
      <c r="F284" s="139" t="s">
        <v>518</v>
      </c>
      <c r="I284" s="140"/>
      <c r="L284" s="31"/>
      <c r="N284" s="213"/>
      <c r="O284" s="214"/>
      <c r="Q284" s="229"/>
      <c r="CB284" s="141"/>
      <c r="CI284" s="50"/>
      <c r="DI284" s="16" t="s">
        <v>289</v>
      </c>
      <c r="DJ284" s="16" t="s">
        <v>83</v>
      </c>
    </row>
    <row r="285" spans="2:132" s="1" customFormat="1" ht="19.5" x14ac:dyDescent="0.2">
      <c r="B285" s="31"/>
      <c r="D285" s="138" t="s">
        <v>299</v>
      </c>
      <c r="F285" s="142" t="s">
        <v>317</v>
      </c>
      <c r="I285" s="140"/>
      <c r="L285" s="31"/>
      <c r="N285" s="213"/>
      <c r="O285" s="214"/>
      <c r="Q285" s="229"/>
      <c r="CB285" s="141"/>
      <c r="CI285" s="50"/>
      <c r="DI285" s="16" t="s">
        <v>299</v>
      </c>
      <c r="DJ285" s="16" t="s">
        <v>83</v>
      </c>
    </row>
    <row r="286" spans="2:132" s="11" customFormat="1" x14ac:dyDescent="0.2">
      <c r="B286" s="143"/>
      <c r="D286" s="138" t="s">
        <v>301</v>
      </c>
      <c r="E286" s="144" t="s">
        <v>1</v>
      </c>
      <c r="F286" s="145" t="s">
        <v>765</v>
      </c>
      <c r="H286" s="144" t="s">
        <v>1</v>
      </c>
      <c r="I286" s="146"/>
      <c r="L286" s="143"/>
      <c r="N286" s="215"/>
      <c r="O286" s="216"/>
      <c r="Q286" s="230"/>
      <c r="CB286" s="147"/>
      <c r="CI286" s="148"/>
      <c r="DI286" s="144" t="s">
        <v>301</v>
      </c>
      <c r="DJ286" s="144" t="s">
        <v>83</v>
      </c>
      <c r="DK286" s="11" t="s">
        <v>81</v>
      </c>
      <c r="DL286" s="11" t="s">
        <v>32</v>
      </c>
      <c r="DM286" s="11" t="s">
        <v>74</v>
      </c>
      <c r="DN286" s="144" t="s">
        <v>282</v>
      </c>
    </row>
    <row r="287" spans="2:132" s="12" customFormat="1" x14ac:dyDescent="0.2">
      <c r="B287" s="149"/>
      <c r="D287" s="138" t="s">
        <v>301</v>
      </c>
      <c r="E287" s="150" t="s">
        <v>1</v>
      </c>
      <c r="F287" s="151" t="s">
        <v>919</v>
      </c>
      <c r="H287" s="152">
        <v>3.375</v>
      </c>
      <c r="I287" s="153"/>
      <c r="L287" s="149"/>
      <c r="N287" s="217"/>
      <c r="O287" s="218"/>
      <c r="Q287" s="231"/>
      <c r="CB287" s="154"/>
      <c r="CI287" s="155"/>
      <c r="DI287" s="150" t="s">
        <v>301</v>
      </c>
      <c r="DJ287" s="150" t="s">
        <v>83</v>
      </c>
      <c r="DK287" s="12" t="s">
        <v>83</v>
      </c>
      <c r="DL287" s="12" t="s">
        <v>32</v>
      </c>
      <c r="DM287" s="12" t="s">
        <v>74</v>
      </c>
      <c r="DN287" s="150" t="s">
        <v>282</v>
      </c>
    </row>
    <row r="288" spans="2:132" s="11" customFormat="1" x14ac:dyDescent="0.2">
      <c r="B288" s="143"/>
      <c r="D288" s="138" t="s">
        <v>301</v>
      </c>
      <c r="E288" s="144" t="s">
        <v>1</v>
      </c>
      <c r="F288" s="145" t="s">
        <v>916</v>
      </c>
      <c r="H288" s="144" t="s">
        <v>1</v>
      </c>
      <c r="I288" s="146"/>
      <c r="L288" s="143"/>
      <c r="N288" s="215"/>
      <c r="O288" s="216"/>
      <c r="Q288" s="230"/>
      <c r="CB288" s="147"/>
      <c r="CI288" s="148"/>
      <c r="DI288" s="144" t="s">
        <v>301</v>
      </c>
      <c r="DJ288" s="144" t="s">
        <v>83</v>
      </c>
      <c r="DK288" s="11" t="s">
        <v>81</v>
      </c>
      <c r="DL288" s="11" t="s">
        <v>32</v>
      </c>
      <c r="DM288" s="11" t="s">
        <v>74</v>
      </c>
      <c r="DN288" s="144" t="s">
        <v>282</v>
      </c>
    </row>
    <row r="289" spans="2:132" s="12" customFormat="1" x14ac:dyDescent="0.2">
      <c r="B289" s="149"/>
      <c r="D289" s="138" t="s">
        <v>301</v>
      </c>
      <c r="E289" s="150" t="s">
        <v>1</v>
      </c>
      <c r="F289" s="151" t="s">
        <v>920</v>
      </c>
      <c r="H289" s="152">
        <v>0.121</v>
      </c>
      <c r="I289" s="153"/>
      <c r="L289" s="149"/>
      <c r="N289" s="217"/>
      <c r="O289" s="218"/>
      <c r="Q289" s="231"/>
      <c r="CB289" s="154"/>
      <c r="CI289" s="155"/>
      <c r="DI289" s="150" t="s">
        <v>301</v>
      </c>
      <c r="DJ289" s="150" t="s">
        <v>83</v>
      </c>
      <c r="DK289" s="12" t="s">
        <v>83</v>
      </c>
      <c r="DL289" s="12" t="s">
        <v>32</v>
      </c>
      <c r="DM289" s="12" t="s">
        <v>74</v>
      </c>
      <c r="DN289" s="150" t="s">
        <v>282</v>
      </c>
    </row>
    <row r="290" spans="2:132" s="13" customFormat="1" x14ac:dyDescent="0.2">
      <c r="B290" s="156"/>
      <c r="D290" s="138" t="s">
        <v>301</v>
      </c>
      <c r="E290" s="157" t="s">
        <v>1</v>
      </c>
      <c r="F290" s="158" t="s">
        <v>305</v>
      </c>
      <c r="H290" s="159">
        <v>3.496</v>
      </c>
      <c r="I290" s="160"/>
      <c r="L290" s="156"/>
      <c r="N290" s="219"/>
      <c r="O290" s="220"/>
      <c r="Q290" s="232"/>
      <c r="CB290" s="161"/>
      <c r="CI290" s="162"/>
      <c r="DI290" s="157" t="s">
        <v>301</v>
      </c>
      <c r="DJ290" s="157" t="s">
        <v>83</v>
      </c>
      <c r="DK290" s="13" t="s">
        <v>95</v>
      </c>
      <c r="DL290" s="13" t="s">
        <v>32</v>
      </c>
      <c r="DM290" s="13" t="s">
        <v>81</v>
      </c>
      <c r="DN290" s="157" t="s">
        <v>282</v>
      </c>
    </row>
    <row r="291" spans="2:132" s="10" customFormat="1" ht="22.9" customHeight="1" x14ac:dyDescent="0.2">
      <c r="B291" s="112"/>
      <c r="D291" s="113" t="s">
        <v>73</v>
      </c>
      <c r="E291" s="122" t="s">
        <v>312</v>
      </c>
      <c r="F291" s="122" t="s">
        <v>520</v>
      </c>
      <c r="I291" s="115"/>
      <c r="J291" s="123">
        <f>DZ291</f>
        <v>962318.61</v>
      </c>
      <c r="L291" s="112"/>
      <c r="M291" s="202">
        <f>SUM(M292:M305)</f>
        <v>0</v>
      </c>
      <c r="N291" s="223"/>
      <c r="O291" s="224">
        <f t="shared" ref="O291:V291" si="5">SUM(O292:O305)</f>
        <v>416.53</v>
      </c>
      <c r="P291" s="202"/>
      <c r="Q291" s="234">
        <f t="shared" si="5"/>
        <v>961902.10999999987</v>
      </c>
      <c r="R291" s="202"/>
      <c r="S291" s="202"/>
      <c r="T291" s="202">
        <f t="shared" si="5"/>
        <v>0</v>
      </c>
      <c r="U291" s="202"/>
      <c r="V291" s="202">
        <f t="shared" si="5"/>
        <v>962318.61</v>
      </c>
      <c r="CB291" s="117"/>
      <c r="CE291" s="118">
        <f>SUM(CE292:CE309)</f>
        <v>0</v>
      </c>
      <c r="CG291" s="118">
        <f>SUM(CG292:CG309)</f>
        <v>0</v>
      </c>
      <c r="CI291" s="119">
        <f>SUM(CI292:CI309)</f>
        <v>0</v>
      </c>
      <c r="DG291" s="113" t="s">
        <v>81</v>
      </c>
      <c r="DI291" s="120" t="s">
        <v>73</v>
      </c>
      <c r="DJ291" s="120" t="s">
        <v>81</v>
      </c>
      <c r="DN291" s="113" t="s">
        <v>282</v>
      </c>
      <c r="DZ291" s="121">
        <f>SUM(DZ292:DZ309)</f>
        <v>962318.61</v>
      </c>
    </row>
    <row r="292" spans="2:132" s="1" customFormat="1" ht="24.2" customHeight="1" x14ac:dyDescent="0.2">
      <c r="B292" s="124"/>
      <c r="C292" s="125" t="s">
        <v>505</v>
      </c>
      <c r="D292" s="125" t="s">
        <v>284</v>
      </c>
      <c r="E292" s="126" t="s">
        <v>522</v>
      </c>
      <c r="F292" s="127" t="s">
        <v>523</v>
      </c>
      <c r="G292" s="128" t="s">
        <v>287</v>
      </c>
      <c r="H292" s="129">
        <v>420.435</v>
      </c>
      <c r="I292" s="130">
        <v>130.95617506780872</v>
      </c>
      <c r="J292" s="131">
        <f>ROUND(I292*H292,2)</f>
        <v>55058.559999999998</v>
      </c>
      <c r="K292" s="127" t="s">
        <v>293</v>
      </c>
      <c r="L292" s="198">
        <f>S292</f>
        <v>0</v>
      </c>
      <c r="M292" s="206">
        <f>ROUND(L292*I292,2)</f>
        <v>0</v>
      </c>
      <c r="N292" s="211">
        <f>N129</f>
        <v>0.16800000000000637</v>
      </c>
      <c r="O292" s="212">
        <f>ROUND(N292*I292,2)</f>
        <v>22</v>
      </c>
      <c r="P292" s="207">
        <f>H292-L292-N292</f>
        <v>420.267</v>
      </c>
      <c r="Q292" s="228">
        <f>ROUND(P292*I292,2)</f>
        <v>55036.56</v>
      </c>
      <c r="R292" s="199"/>
      <c r="S292" s="200">
        <f>W292+Y292+AA292+AC292+AE292+AG292+AI292+AK292+AM292+AO292+AQ292+AS292+AU292+AW292</f>
        <v>0</v>
      </c>
      <c r="T292" s="200">
        <f>ROUND(S292*I292,2)</f>
        <v>0</v>
      </c>
      <c r="U292" s="200">
        <f>H292-S292</f>
        <v>420.435</v>
      </c>
      <c r="V292" s="200">
        <f>ROUND(U292*I292,2)</f>
        <v>55058.559999999998</v>
      </c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0"/>
      <c r="AP292" s="200"/>
      <c r="AQ292" s="200"/>
      <c r="AR292" s="200"/>
      <c r="AS292" s="200"/>
      <c r="AT292" s="200"/>
      <c r="AU292" s="200"/>
      <c r="AV292" s="200"/>
      <c r="AW292" s="200"/>
      <c r="AX292" s="200"/>
      <c r="CB292" s="132" t="s">
        <v>1</v>
      </c>
      <c r="CC292" s="133" t="s">
        <v>40</v>
      </c>
      <c r="CE292" s="134">
        <f>CD292*H292</f>
        <v>0</v>
      </c>
      <c r="CF292" s="134">
        <v>0</v>
      </c>
      <c r="CG292" s="134">
        <f>CF292*H292</f>
        <v>0</v>
      </c>
      <c r="CH292" s="134">
        <v>0</v>
      </c>
      <c r="CI292" s="135">
        <f>CH292*H292</f>
        <v>0</v>
      </c>
      <c r="DG292" s="136" t="s">
        <v>95</v>
      </c>
      <c r="DI292" s="136" t="s">
        <v>284</v>
      </c>
      <c r="DJ292" s="136" t="s">
        <v>83</v>
      </c>
      <c r="DN292" s="16" t="s">
        <v>282</v>
      </c>
      <c r="DT292" s="137">
        <f>IF(CC292="základní",J292,0)</f>
        <v>55058.559999999998</v>
      </c>
      <c r="DU292" s="137">
        <f>IF(CC292="snížená",J292,0)</f>
        <v>0</v>
      </c>
      <c r="DV292" s="137">
        <f>IF(CC292="zákl. přenesená",J292,0)</f>
        <v>0</v>
      </c>
      <c r="DW292" s="137">
        <f>IF(CC292="sníž. přenesená",J292,0)</f>
        <v>0</v>
      </c>
      <c r="DX292" s="137">
        <f>IF(CC292="nulová",J292,0)</f>
        <v>0</v>
      </c>
      <c r="DY292" s="16" t="s">
        <v>81</v>
      </c>
      <c r="DZ292" s="137">
        <f>ROUND(I292*H292,2)</f>
        <v>55058.559999999998</v>
      </c>
      <c r="EA292" s="16" t="s">
        <v>95</v>
      </c>
      <c r="EB292" s="136" t="s">
        <v>524</v>
      </c>
    </row>
    <row r="293" spans="2:132" s="1" customFormat="1" ht="19.5" x14ac:dyDescent="0.2">
      <c r="B293" s="31"/>
      <c r="D293" s="138" t="s">
        <v>289</v>
      </c>
      <c r="F293" s="139" t="s">
        <v>525</v>
      </c>
      <c r="I293" s="140"/>
      <c r="L293" s="31"/>
      <c r="N293" s="213"/>
      <c r="O293" s="214"/>
      <c r="Q293" s="229"/>
      <c r="CB293" s="141"/>
      <c r="CI293" s="50"/>
      <c r="DI293" s="16" t="s">
        <v>289</v>
      </c>
      <c r="DJ293" s="16" t="s">
        <v>83</v>
      </c>
    </row>
    <row r="294" spans="2:132" s="1" customFormat="1" ht="14.45" customHeight="1" x14ac:dyDescent="0.2">
      <c r="B294" s="124"/>
      <c r="C294" s="125" t="s">
        <v>510</v>
      </c>
      <c r="D294" s="125" t="s">
        <v>284</v>
      </c>
      <c r="E294" s="126" t="s">
        <v>527</v>
      </c>
      <c r="F294" s="127" t="s">
        <v>528</v>
      </c>
      <c r="G294" s="128" t="s">
        <v>287</v>
      </c>
      <c r="H294" s="129">
        <v>420.435</v>
      </c>
      <c r="I294" s="130">
        <v>200.20823792465458</v>
      </c>
      <c r="J294" s="131">
        <f>ROUND(I294*H294,2)</f>
        <v>84174.55</v>
      </c>
      <c r="K294" s="127" t="s">
        <v>293</v>
      </c>
      <c r="L294" s="198">
        <f>S294</f>
        <v>0</v>
      </c>
      <c r="M294" s="206">
        <f>ROUND(L294*I294,2)</f>
        <v>0</v>
      </c>
      <c r="N294" s="211">
        <f>N292</f>
        <v>0.16800000000000637</v>
      </c>
      <c r="O294" s="212">
        <f>ROUND(N294*I294,2)</f>
        <v>33.630000000000003</v>
      </c>
      <c r="P294" s="207">
        <f>H294-L294-N294</f>
        <v>420.267</v>
      </c>
      <c r="Q294" s="228">
        <f>ROUND(P294*I294,2)</f>
        <v>84140.92</v>
      </c>
      <c r="R294" s="199"/>
      <c r="S294" s="200">
        <f>W294+Y294+AA294+AC294+AE294+AG294+AI294+AK294+AM294+AO294+AQ294+AS294+AU294+AW294</f>
        <v>0</v>
      </c>
      <c r="T294" s="200">
        <f>ROUND(S294*I294,2)</f>
        <v>0</v>
      </c>
      <c r="U294" s="200">
        <f>H294-S294</f>
        <v>420.435</v>
      </c>
      <c r="V294" s="200">
        <f>ROUND(U294*I294,2)</f>
        <v>84174.55</v>
      </c>
      <c r="W294" s="200"/>
      <c r="X294" s="200"/>
      <c r="Y294" s="200"/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0"/>
      <c r="AP294" s="200"/>
      <c r="AQ294" s="200"/>
      <c r="AR294" s="200"/>
      <c r="AS294" s="200"/>
      <c r="AT294" s="200"/>
      <c r="AU294" s="200"/>
      <c r="AV294" s="200"/>
      <c r="AW294" s="200"/>
      <c r="AX294" s="200"/>
      <c r="CB294" s="132" t="s">
        <v>1</v>
      </c>
      <c r="CC294" s="133" t="s">
        <v>40</v>
      </c>
      <c r="CE294" s="134">
        <f>CD294*H294</f>
        <v>0</v>
      </c>
      <c r="CF294" s="134">
        <v>0</v>
      </c>
      <c r="CG294" s="134">
        <f>CF294*H294</f>
        <v>0</v>
      </c>
      <c r="CH294" s="134">
        <v>0</v>
      </c>
      <c r="CI294" s="135">
        <f>CH294*H294</f>
        <v>0</v>
      </c>
      <c r="DG294" s="136" t="s">
        <v>95</v>
      </c>
      <c r="DI294" s="136" t="s">
        <v>284</v>
      </c>
      <c r="DJ294" s="136" t="s">
        <v>83</v>
      </c>
      <c r="DN294" s="16" t="s">
        <v>282</v>
      </c>
      <c r="DT294" s="137">
        <f>IF(CC294="základní",J294,0)</f>
        <v>84174.55</v>
      </c>
      <c r="DU294" s="137">
        <f>IF(CC294="snížená",J294,0)</f>
        <v>0</v>
      </c>
      <c r="DV294" s="137">
        <f>IF(CC294="zákl. přenesená",J294,0)</f>
        <v>0</v>
      </c>
      <c r="DW294" s="137">
        <f>IF(CC294="sníž. přenesená",J294,0)</f>
        <v>0</v>
      </c>
      <c r="DX294" s="137">
        <f>IF(CC294="nulová",J294,0)</f>
        <v>0</v>
      </c>
      <c r="DY294" s="16" t="s">
        <v>81</v>
      </c>
      <c r="DZ294" s="137">
        <f>ROUND(I294*H294,2)</f>
        <v>84174.55</v>
      </c>
      <c r="EA294" s="16" t="s">
        <v>95</v>
      </c>
      <c r="EB294" s="136" t="s">
        <v>529</v>
      </c>
    </row>
    <row r="295" spans="2:132" s="1" customFormat="1" ht="19.5" x14ac:dyDescent="0.2">
      <c r="B295" s="31"/>
      <c r="D295" s="138" t="s">
        <v>289</v>
      </c>
      <c r="F295" s="139" t="s">
        <v>530</v>
      </c>
      <c r="I295" s="140"/>
      <c r="L295" s="31"/>
      <c r="N295" s="213"/>
      <c r="O295" s="214"/>
      <c r="Q295" s="229"/>
      <c r="CB295" s="141"/>
      <c r="CI295" s="50"/>
      <c r="DI295" s="16" t="s">
        <v>289</v>
      </c>
      <c r="DJ295" s="16" t="s">
        <v>83</v>
      </c>
    </row>
    <row r="296" spans="2:132" s="1" customFormat="1" ht="24.2" customHeight="1" x14ac:dyDescent="0.2">
      <c r="B296" s="124"/>
      <c r="C296" s="125" t="s">
        <v>514</v>
      </c>
      <c r="D296" s="125" t="s">
        <v>284</v>
      </c>
      <c r="E296" s="126" t="s">
        <v>532</v>
      </c>
      <c r="F296" s="127" t="s">
        <v>533</v>
      </c>
      <c r="G296" s="128" t="s">
        <v>287</v>
      </c>
      <c r="H296" s="129">
        <v>420.435</v>
      </c>
      <c r="I296" s="130">
        <v>40.878739778868102</v>
      </c>
      <c r="J296" s="131">
        <f>ROUND(I296*H296,2)</f>
        <v>17186.849999999999</v>
      </c>
      <c r="K296" s="127" t="s">
        <v>293</v>
      </c>
      <c r="L296" s="198">
        <f>S296</f>
        <v>0</v>
      </c>
      <c r="M296" s="206">
        <f>ROUND(L296*I296,2)</f>
        <v>0</v>
      </c>
      <c r="N296" s="211">
        <f>N292</f>
        <v>0.16800000000000637</v>
      </c>
      <c r="O296" s="212">
        <f>ROUND(N296*I296,2)</f>
        <v>6.87</v>
      </c>
      <c r="P296" s="207">
        <f>H296-L296-N296</f>
        <v>420.267</v>
      </c>
      <c r="Q296" s="228">
        <f>ROUND(P296*I296,2)</f>
        <v>17179.990000000002</v>
      </c>
      <c r="R296" s="199"/>
      <c r="S296" s="200">
        <f>W296+Y296+AA296+AC296+AE296+AG296+AI296+AK296+AM296+AO296+AQ296+AS296+AU296+AW296</f>
        <v>0</v>
      </c>
      <c r="T296" s="200">
        <f>ROUND(S296*I296,2)</f>
        <v>0</v>
      </c>
      <c r="U296" s="200">
        <f>H296-S296</f>
        <v>420.435</v>
      </c>
      <c r="V296" s="200">
        <f>ROUND(U296*I296,2)</f>
        <v>17186.849999999999</v>
      </c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0"/>
      <c r="AP296" s="200"/>
      <c r="AQ296" s="200"/>
      <c r="AR296" s="200"/>
      <c r="AS296" s="200"/>
      <c r="AT296" s="200"/>
      <c r="AU296" s="200"/>
      <c r="AV296" s="200"/>
      <c r="AW296" s="200"/>
      <c r="AX296" s="200"/>
      <c r="CB296" s="132" t="s">
        <v>1</v>
      </c>
      <c r="CC296" s="133" t="s">
        <v>40</v>
      </c>
      <c r="CE296" s="134">
        <f>CD296*H296</f>
        <v>0</v>
      </c>
      <c r="CF296" s="134">
        <v>0</v>
      </c>
      <c r="CG296" s="134">
        <f>CF296*H296</f>
        <v>0</v>
      </c>
      <c r="CH296" s="134">
        <v>0</v>
      </c>
      <c r="CI296" s="135">
        <f>CH296*H296</f>
        <v>0</v>
      </c>
      <c r="DG296" s="136" t="s">
        <v>95</v>
      </c>
      <c r="DI296" s="136" t="s">
        <v>284</v>
      </c>
      <c r="DJ296" s="136" t="s">
        <v>83</v>
      </c>
      <c r="DN296" s="16" t="s">
        <v>282</v>
      </c>
      <c r="DT296" s="137">
        <f>IF(CC296="základní",J296,0)</f>
        <v>17186.849999999999</v>
      </c>
      <c r="DU296" s="137">
        <f>IF(CC296="snížená",J296,0)</f>
        <v>0</v>
      </c>
      <c r="DV296" s="137">
        <f>IF(CC296="zákl. přenesená",J296,0)</f>
        <v>0</v>
      </c>
      <c r="DW296" s="137">
        <f>IF(CC296="sníž. přenesená",J296,0)</f>
        <v>0</v>
      </c>
      <c r="DX296" s="137">
        <f>IF(CC296="nulová",J296,0)</f>
        <v>0</v>
      </c>
      <c r="DY296" s="16" t="s">
        <v>81</v>
      </c>
      <c r="DZ296" s="137">
        <f>ROUND(I296*H296,2)</f>
        <v>17186.849999999999</v>
      </c>
      <c r="EA296" s="16" t="s">
        <v>95</v>
      </c>
      <c r="EB296" s="136" t="s">
        <v>534</v>
      </c>
    </row>
    <row r="297" spans="2:132" s="1" customFormat="1" ht="19.5" x14ac:dyDescent="0.2">
      <c r="B297" s="31"/>
      <c r="D297" s="138" t="s">
        <v>289</v>
      </c>
      <c r="F297" s="139" t="s">
        <v>535</v>
      </c>
      <c r="I297" s="140"/>
      <c r="L297" s="31"/>
      <c r="N297" s="213"/>
      <c r="O297" s="214"/>
      <c r="Q297" s="229"/>
      <c r="CB297" s="141"/>
      <c r="CI297" s="50"/>
      <c r="DI297" s="16" t="s">
        <v>289</v>
      </c>
      <c r="DJ297" s="16" t="s">
        <v>83</v>
      </c>
    </row>
    <row r="298" spans="2:132" s="1" customFormat="1" ht="24.2" customHeight="1" x14ac:dyDescent="0.2">
      <c r="B298" s="124"/>
      <c r="C298" s="125" t="s">
        <v>521</v>
      </c>
      <c r="D298" s="125" t="s">
        <v>284</v>
      </c>
      <c r="E298" s="126" t="s">
        <v>537</v>
      </c>
      <c r="F298" s="127" t="s">
        <v>538</v>
      </c>
      <c r="G298" s="128" t="s">
        <v>287</v>
      </c>
      <c r="H298" s="129">
        <v>420.435</v>
      </c>
      <c r="I298" s="130">
        <v>362.67856108310502</v>
      </c>
      <c r="J298" s="131">
        <f>ROUND(I298*H298,2)</f>
        <v>152482.76</v>
      </c>
      <c r="K298" s="127" t="s">
        <v>293</v>
      </c>
      <c r="L298" s="198">
        <f>S298</f>
        <v>0</v>
      </c>
      <c r="M298" s="206">
        <f>ROUND(L298*I298,2)</f>
        <v>0</v>
      </c>
      <c r="N298" s="211">
        <f>N292</f>
        <v>0.16800000000000637</v>
      </c>
      <c r="O298" s="212">
        <f>ROUND(N298*I298,2)</f>
        <v>60.93</v>
      </c>
      <c r="P298" s="207">
        <f>H298-L298-N298</f>
        <v>420.267</v>
      </c>
      <c r="Q298" s="228">
        <f>ROUND(P298*I298,2)</f>
        <v>152421.82999999999</v>
      </c>
      <c r="R298" s="199"/>
      <c r="S298" s="200">
        <f>W298+Y298+AA298+AC298+AE298+AG298+AI298+AK298+AM298+AO298+AQ298+AS298+AU298+AW298</f>
        <v>0</v>
      </c>
      <c r="T298" s="200">
        <f>ROUND(S298*I298,2)</f>
        <v>0</v>
      </c>
      <c r="U298" s="200">
        <f>H298-S298</f>
        <v>420.435</v>
      </c>
      <c r="V298" s="200">
        <f>ROUND(U298*I298,2)</f>
        <v>152482.76</v>
      </c>
      <c r="W298" s="200"/>
      <c r="X298" s="200"/>
      <c r="Y298" s="200"/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0"/>
      <c r="AP298" s="200"/>
      <c r="AQ298" s="200"/>
      <c r="AR298" s="200"/>
      <c r="AS298" s="200"/>
      <c r="AT298" s="200"/>
      <c r="AU298" s="200"/>
      <c r="AV298" s="200"/>
      <c r="AW298" s="200"/>
      <c r="AX298" s="200"/>
      <c r="CB298" s="132" t="s">
        <v>1</v>
      </c>
      <c r="CC298" s="133" t="s">
        <v>40</v>
      </c>
      <c r="CE298" s="134">
        <f>CD298*H298</f>
        <v>0</v>
      </c>
      <c r="CF298" s="134">
        <v>0</v>
      </c>
      <c r="CG298" s="134">
        <f>CF298*H298</f>
        <v>0</v>
      </c>
      <c r="CH298" s="134">
        <v>0</v>
      </c>
      <c r="CI298" s="135">
        <f>CH298*H298</f>
        <v>0</v>
      </c>
      <c r="DG298" s="136" t="s">
        <v>95</v>
      </c>
      <c r="DI298" s="136" t="s">
        <v>284</v>
      </c>
      <c r="DJ298" s="136" t="s">
        <v>83</v>
      </c>
      <c r="DN298" s="16" t="s">
        <v>282</v>
      </c>
      <c r="DT298" s="137">
        <f>IF(CC298="základní",J298,0)</f>
        <v>152482.76</v>
      </c>
      <c r="DU298" s="137">
        <f>IF(CC298="snížená",J298,0)</f>
        <v>0</v>
      </c>
      <c r="DV298" s="137">
        <f>IF(CC298="zákl. přenesená",J298,0)</f>
        <v>0</v>
      </c>
      <c r="DW298" s="137">
        <f>IF(CC298="sníž. přenesená",J298,0)</f>
        <v>0</v>
      </c>
      <c r="DX298" s="137">
        <f>IF(CC298="nulová",J298,0)</f>
        <v>0</v>
      </c>
      <c r="DY298" s="16" t="s">
        <v>81</v>
      </c>
      <c r="DZ298" s="137">
        <f>ROUND(I298*H298,2)</f>
        <v>152482.76</v>
      </c>
      <c r="EA298" s="16" t="s">
        <v>95</v>
      </c>
      <c r="EB298" s="136" t="s">
        <v>539</v>
      </c>
    </row>
    <row r="299" spans="2:132" s="1" customFormat="1" ht="29.25" x14ac:dyDescent="0.2">
      <c r="B299" s="31"/>
      <c r="D299" s="138" t="s">
        <v>289</v>
      </c>
      <c r="F299" s="139" t="s">
        <v>540</v>
      </c>
      <c r="I299" s="140"/>
      <c r="L299" s="31"/>
      <c r="N299" s="213"/>
      <c r="O299" s="214"/>
      <c r="Q299" s="229"/>
      <c r="CB299" s="141"/>
      <c r="CI299" s="50"/>
      <c r="DI299" s="16" t="s">
        <v>289</v>
      </c>
      <c r="DJ299" s="16" t="s">
        <v>83</v>
      </c>
    </row>
    <row r="300" spans="2:132" s="1" customFormat="1" ht="29.25" x14ac:dyDescent="0.2">
      <c r="B300" s="31"/>
      <c r="D300" s="138" t="s">
        <v>299</v>
      </c>
      <c r="F300" s="142" t="s">
        <v>885</v>
      </c>
      <c r="I300" s="140"/>
      <c r="L300" s="31"/>
      <c r="N300" s="213"/>
      <c r="O300" s="214"/>
      <c r="Q300" s="229"/>
      <c r="CB300" s="141"/>
      <c r="CI300" s="50"/>
      <c r="DI300" s="16" t="s">
        <v>299</v>
      </c>
      <c r="DJ300" s="16" t="s">
        <v>83</v>
      </c>
    </row>
    <row r="301" spans="2:132" s="11" customFormat="1" x14ac:dyDescent="0.2">
      <c r="B301" s="143"/>
      <c r="D301" s="138" t="s">
        <v>301</v>
      </c>
      <c r="E301" s="144" t="s">
        <v>1</v>
      </c>
      <c r="F301" s="145" t="s">
        <v>541</v>
      </c>
      <c r="H301" s="144" t="s">
        <v>1</v>
      </c>
      <c r="I301" s="146"/>
      <c r="L301" s="143"/>
      <c r="N301" s="215"/>
      <c r="O301" s="216"/>
      <c r="Q301" s="230"/>
      <c r="CB301" s="147"/>
      <c r="CI301" s="148"/>
      <c r="DI301" s="144" t="s">
        <v>301</v>
      </c>
      <c r="DJ301" s="144" t="s">
        <v>83</v>
      </c>
      <c r="DK301" s="11" t="s">
        <v>81</v>
      </c>
      <c r="DL301" s="11" t="s">
        <v>32</v>
      </c>
      <c r="DM301" s="11" t="s">
        <v>74</v>
      </c>
      <c r="DN301" s="144" t="s">
        <v>282</v>
      </c>
    </row>
    <row r="302" spans="2:132" s="12" customFormat="1" x14ac:dyDescent="0.2">
      <c r="B302" s="149"/>
      <c r="D302" s="138" t="s">
        <v>301</v>
      </c>
      <c r="E302" s="150" t="s">
        <v>1</v>
      </c>
      <c r="F302" s="151" t="s">
        <v>921</v>
      </c>
      <c r="H302" s="152">
        <v>420.435</v>
      </c>
      <c r="I302" s="153"/>
      <c r="L302" s="149"/>
      <c r="N302" s="217"/>
      <c r="O302" s="218"/>
      <c r="Q302" s="231"/>
      <c r="CB302" s="154"/>
      <c r="CI302" s="155"/>
      <c r="DI302" s="150" t="s">
        <v>301</v>
      </c>
      <c r="DJ302" s="150" t="s">
        <v>83</v>
      </c>
      <c r="DK302" s="12" t="s">
        <v>83</v>
      </c>
      <c r="DL302" s="12" t="s">
        <v>32</v>
      </c>
      <c r="DM302" s="12" t="s">
        <v>81</v>
      </c>
      <c r="DN302" s="150" t="s">
        <v>282</v>
      </c>
    </row>
    <row r="303" spans="2:132" s="1" customFormat="1" ht="26.25" customHeight="1" x14ac:dyDescent="0.2">
      <c r="B303" s="124"/>
      <c r="C303" s="125" t="s">
        <v>526</v>
      </c>
      <c r="D303" s="125" t="s">
        <v>284</v>
      </c>
      <c r="E303" s="126" t="s">
        <v>544</v>
      </c>
      <c r="F303" s="127" t="s">
        <v>545</v>
      </c>
      <c r="G303" s="128" t="s">
        <v>287</v>
      </c>
      <c r="H303" s="129">
        <v>1605.15</v>
      </c>
      <c r="I303" s="130">
        <v>18.105699236185</v>
      </c>
      <c r="J303" s="131">
        <f>ROUND(I303*H303,2)</f>
        <v>29062.36</v>
      </c>
      <c r="K303" s="127" t="s">
        <v>293</v>
      </c>
      <c r="L303" s="198">
        <f>S303</f>
        <v>0</v>
      </c>
      <c r="M303" s="206">
        <f>ROUND(L303*I303,2)</f>
        <v>0</v>
      </c>
      <c r="N303" s="211">
        <f>N142</f>
        <v>0.72000000000002728</v>
      </c>
      <c r="O303" s="212">
        <f>ROUND(N303*I303,2)</f>
        <v>13.04</v>
      </c>
      <c r="P303" s="207">
        <f>H303-L303-N303</f>
        <v>1604.43</v>
      </c>
      <c r="Q303" s="228">
        <f>ROUND(P303*I303,2)</f>
        <v>29049.33</v>
      </c>
      <c r="R303" s="199"/>
      <c r="S303" s="200">
        <f>W303+Y303+AA303+AC303+AE303+AG303+AI303+AK303+AM303+AO303+AQ303+AS303+AU303+AW303</f>
        <v>0</v>
      </c>
      <c r="T303" s="200">
        <f>ROUND(S303*I303,2)</f>
        <v>0</v>
      </c>
      <c r="U303" s="200">
        <f>H303-S303</f>
        <v>1605.15</v>
      </c>
      <c r="V303" s="200">
        <f>ROUND(U303*I303,2)</f>
        <v>29062.36</v>
      </c>
      <c r="W303" s="200"/>
      <c r="X303" s="200"/>
      <c r="Y303" s="200"/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0"/>
      <c r="AP303" s="200"/>
      <c r="AQ303" s="200"/>
      <c r="AR303" s="200"/>
      <c r="AS303" s="200"/>
      <c r="AT303" s="200"/>
      <c r="AU303" s="200"/>
      <c r="AV303" s="200"/>
      <c r="AW303" s="200"/>
      <c r="AX303" s="200"/>
      <c r="CB303" s="132" t="s">
        <v>1</v>
      </c>
      <c r="CC303" s="133" t="s">
        <v>40</v>
      </c>
      <c r="CE303" s="134">
        <f>CD303*H303</f>
        <v>0</v>
      </c>
      <c r="CF303" s="134">
        <v>0</v>
      </c>
      <c r="CG303" s="134">
        <f>CF303*H303</f>
        <v>0</v>
      </c>
      <c r="CH303" s="134">
        <v>0</v>
      </c>
      <c r="CI303" s="135">
        <f>CH303*H303</f>
        <v>0</v>
      </c>
      <c r="DG303" s="136" t="s">
        <v>95</v>
      </c>
      <c r="DI303" s="136" t="s">
        <v>284</v>
      </c>
      <c r="DJ303" s="136" t="s">
        <v>83</v>
      </c>
      <c r="DN303" s="16" t="s">
        <v>282</v>
      </c>
      <c r="DT303" s="137">
        <f>IF(CC303="základní",J303,0)</f>
        <v>29062.36</v>
      </c>
      <c r="DU303" s="137">
        <f>IF(CC303="snížená",J303,0)</f>
        <v>0</v>
      </c>
      <c r="DV303" s="137">
        <f>IF(CC303="zákl. přenesená",J303,0)</f>
        <v>0</v>
      </c>
      <c r="DW303" s="137">
        <f>IF(CC303="sníž. přenesená",J303,0)</f>
        <v>0</v>
      </c>
      <c r="DX303" s="137">
        <f>IF(CC303="nulová",J303,0)</f>
        <v>0</v>
      </c>
      <c r="DY303" s="16" t="s">
        <v>81</v>
      </c>
      <c r="DZ303" s="137">
        <f>ROUND(I303*H303,2)</f>
        <v>29062.36</v>
      </c>
      <c r="EA303" s="16" t="s">
        <v>95</v>
      </c>
      <c r="EB303" s="136" t="s">
        <v>546</v>
      </c>
    </row>
    <row r="304" spans="2:132" s="1" customFormat="1" ht="19.5" x14ac:dyDescent="0.2">
      <c r="B304" s="31"/>
      <c r="D304" s="138" t="s">
        <v>289</v>
      </c>
      <c r="F304" s="139" t="s">
        <v>547</v>
      </c>
      <c r="I304" s="140"/>
      <c r="L304" s="31"/>
      <c r="N304" s="312"/>
      <c r="O304" s="214"/>
      <c r="Q304" s="229"/>
      <c r="CB304" s="141"/>
      <c r="CI304" s="50"/>
      <c r="DI304" s="16" t="s">
        <v>289</v>
      </c>
      <c r="DJ304" s="16" t="s">
        <v>83</v>
      </c>
    </row>
    <row r="305" spans="2:132" s="1" customFormat="1" ht="24.2" customHeight="1" x14ac:dyDescent="0.2">
      <c r="B305" s="124"/>
      <c r="C305" s="125" t="s">
        <v>531</v>
      </c>
      <c r="D305" s="125" t="s">
        <v>284</v>
      </c>
      <c r="E305" s="126" t="s">
        <v>549</v>
      </c>
      <c r="F305" s="127" t="s">
        <v>550</v>
      </c>
      <c r="G305" s="128" t="s">
        <v>287</v>
      </c>
      <c r="H305" s="129">
        <v>1605.15</v>
      </c>
      <c r="I305" s="130">
        <v>388.96896513366403</v>
      </c>
      <c r="J305" s="131">
        <f>ROUND(I305*H305,2)</f>
        <v>624353.53</v>
      </c>
      <c r="K305" s="127" t="s">
        <v>293</v>
      </c>
      <c r="L305" s="198">
        <f>S305</f>
        <v>0</v>
      </c>
      <c r="M305" s="206">
        <f>ROUND(L305*I305,2)</f>
        <v>0</v>
      </c>
      <c r="N305" s="211">
        <f>N303</f>
        <v>0.72000000000002728</v>
      </c>
      <c r="O305" s="212">
        <f>ROUND(N305*I305,2)</f>
        <v>280.06</v>
      </c>
      <c r="P305" s="207">
        <f>H305-L305-N305</f>
        <v>1604.43</v>
      </c>
      <c r="Q305" s="228">
        <f>ROUND(P305*I305,2)</f>
        <v>624073.48</v>
      </c>
      <c r="R305" s="199"/>
      <c r="S305" s="200">
        <f>W305+Y305+AA305+AC305+AE305+AG305+AI305+AK305+AM305+AO305+AQ305+AS305+AU305+AW305</f>
        <v>0</v>
      </c>
      <c r="T305" s="200">
        <f>ROUND(S305*I305,2)</f>
        <v>0</v>
      </c>
      <c r="U305" s="200">
        <f>H305-S305</f>
        <v>1605.15</v>
      </c>
      <c r="V305" s="200">
        <f>ROUND(U305*I305,2)</f>
        <v>624353.53</v>
      </c>
      <c r="W305" s="200"/>
      <c r="X305" s="200"/>
      <c r="Y305" s="200"/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0"/>
      <c r="AP305" s="200"/>
      <c r="AQ305" s="200"/>
      <c r="AR305" s="200"/>
      <c r="AS305" s="200"/>
      <c r="AT305" s="200"/>
      <c r="AU305" s="200"/>
      <c r="AV305" s="200"/>
      <c r="AW305" s="200"/>
      <c r="AX305" s="200"/>
      <c r="CB305" s="132" t="s">
        <v>1</v>
      </c>
      <c r="CC305" s="133" t="s">
        <v>40</v>
      </c>
      <c r="CE305" s="134">
        <f>CD305*H305</f>
        <v>0</v>
      </c>
      <c r="CF305" s="134">
        <v>0</v>
      </c>
      <c r="CG305" s="134">
        <f>CF305*H305</f>
        <v>0</v>
      </c>
      <c r="CH305" s="134">
        <v>0</v>
      </c>
      <c r="CI305" s="135">
        <f>CH305*H305</f>
        <v>0</v>
      </c>
      <c r="DG305" s="136" t="s">
        <v>95</v>
      </c>
      <c r="DI305" s="136" t="s">
        <v>284</v>
      </c>
      <c r="DJ305" s="136" t="s">
        <v>83</v>
      </c>
      <c r="DN305" s="16" t="s">
        <v>282</v>
      </c>
      <c r="DT305" s="137">
        <f>IF(CC305="základní",J305,0)</f>
        <v>624353.53</v>
      </c>
      <c r="DU305" s="137">
        <f>IF(CC305="snížená",J305,0)</f>
        <v>0</v>
      </c>
      <c r="DV305" s="137">
        <f>IF(CC305="zákl. přenesená",J305,0)</f>
        <v>0</v>
      </c>
      <c r="DW305" s="137">
        <f>IF(CC305="sníž. přenesená",J305,0)</f>
        <v>0</v>
      </c>
      <c r="DX305" s="137">
        <f>IF(CC305="nulová",J305,0)</f>
        <v>0</v>
      </c>
      <c r="DY305" s="16" t="s">
        <v>81</v>
      </c>
      <c r="DZ305" s="137">
        <f>ROUND(I305*H305,2)</f>
        <v>624353.53</v>
      </c>
      <c r="EA305" s="16" t="s">
        <v>95</v>
      </c>
      <c r="EB305" s="136" t="s">
        <v>551</v>
      </c>
    </row>
    <row r="306" spans="2:132" s="1" customFormat="1" ht="29.25" x14ac:dyDescent="0.2">
      <c r="B306" s="31"/>
      <c r="D306" s="138" t="s">
        <v>289</v>
      </c>
      <c r="F306" s="139" t="s">
        <v>552</v>
      </c>
      <c r="I306" s="140"/>
      <c r="L306" s="31"/>
      <c r="N306" s="213"/>
      <c r="O306" s="214"/>
      <c r="Q306" s="229"/>
      <c r="CB306" s="141"/>
      <c r="CI306" s="50"/>
      <c r="DI306" s="16" t="s">
        <v>289</v>
      </c>
      <c r="DJ306" s="16" t="s">
        <v>83</v>
      </c>
    </row>
    <row r="307" spans="2:132" s="1" customFormat="1" ht="29.25" x14ac:dyDescent="0.2">
      <c r="B307" s="31"/>
      <c r="D307" s="138" t="s">
        <v>299</v>
      </c>
      <c r="F307" s="142" t="s">
        <v>885</v>
      </c>
      <c r="I307" s="140"/>
      <c r="L307" s="31"/>
      <c r="N307" s="213"/>
      <c r="O307" s="214"/>
      <c r="Q307" s="229"/>
      <c r="CB307" s="141"/>
      <c r="CI307" s="50"/>
      <c r="DI307" s="16" t="s">
        <v>299</v>
      </c>
      <c r="DJ307" s="16" t="s">
        <v>83</v>
      </c>
    </row>
    <row r="308" spans="2:132" s="11" customFormat="1" x14ac:dyDescent="0.2">
      <c r="B308" s="143"/>
      <c r="D308" s="138" t="s">
        <v>301</v>
      </c>
      <c r="E308" s="144" t="s">
        <v>1</v>
      </c>
      <c r="F308" s="145" t="s">
        <v>553</v>
      </c>
      <c r="H308" s="144" t="s">
        <v>1</v>
      </c>
      <c r="I308" s="146"/>
      <c r="L308" s="143"/>
      <c r="N308" s="215"/>
      <c r="O308" s="216"/>
      <c r="Q308" s="230"/>
      <c r="CB308" s="147"/>
      <c r="CI308" s="148"/>
      <c r="DI308" s="144" t="s">
        <v>301</v>
      </c>
      <c r="DJ308" s="144" t="s">
        <v>83</v>
      </c>
      <c r="DK308" s="11" t="s">
        <v>81</v>
      </c>
      <c r="DL308" s="11" t="s">
        <v>32</v>
      </c>
      <c r="DM308" s="11" t="s">
        <v>74</v>
      </c>
      <c r="DN308" s="144" t="s">
        <v>282</v>
      </c>
    </row>
    <row r="309" spans="2:132" s="12" customFormat="1" x14ac:dyDescent="0.2">
      <c r="B309" s="149"/>
      <c r="D309" s="138" t="s">
        <v>301</v>
      </c>
      <c r="E309" s="150" t="s">
        <v>1</v>
      </c>
      <c r="F309" s="151" t="s">
        <v>922</v>
      </c>
      <c r="H309" s="152">
        <v>1605.15</v>
      </c>
      <c r="I309" s="153"/>
      <c r="L309" s="149"/>
      <c r="N309" s="217"/>
      <c r="O309" s="218"/>
      <c r="Q309" s="231"/>
      <c r="CB309" s="154"/>
      <c r="CI309" s="155"/>
      <c r="DI309" s="150" t="s">
        <v>301</v>
      </c>
      <c r="DJ309" s="150" t="s">
        <v>83</v>
      </c>
      <c r="DK309" s="12" t="s">
        <v>83</v>
      </c>
      <c r="DL309" s="12" t="s">
        <v>32</v>
      </c>
      <c r="DM309" s="12" t="s">
        <v>81</v>
      </c>
      <c r="DN309" s="150" t="s">
        <v>282</v>
      </c>
    </row>
    <row r="310" spans="2:132" s="10" customFormat="1" ht="22.9" customHeight="1" x14ac:dyDescent="0.2">
      <c r="B310" s="112"/>
      <c r="D310" s="113" t="s">
        <v>73</v>
      </c>
      <c r="E310" s="122" t="s">
        <v>328</v>
      </c>
      <c r="F310" s="122" t="s">
        <v>555</v>
      </c>
      <c r="I310" s="115"/>
      <c r="J310" s="123">
        <f>DZ310</f>
        <v>655017.49000000034</v>
      </c>
      <c r="L310" s="112"/>
      <c r="M310" s="202">
        <f>SUM(M311:M384)</f>
        <v>0</v>
      </c>
      <c r="N310" s="223"/>
      <c r="O310" s="224">
        <f t="shared" ref="O310:V310" si="6">SUM(O311:O384)</f>
        <v>-33001.86</v>
      </c>
      <c r="P310" s="202"/>
      <c r="Q310" s="234">
        <f t="shared" si="6"/>
        <v>688019.35000000021</v>
      </c>
      <c r="R310" s="202"/>
      <c r="S310" s="202"/>
      <c r="T310" s="202">
        <f t="shared" si="6"/>
        <v>0</v>
      </c>
      <c r="U310" s="202"/>
      <c r="V310" s="202">
        <f t="shared" si="6"/>
        <v>655017.49000000034</v>
      </c>
      <c r="CB310" s="117"/>
      <c r="CE310" s="118">
        <f>SUM(CE311:CE385)</f>
        <v>0</v>
      </c>
      <c r="CG310" s="118">
        <f>SUM(CG311:CG385)</f>
        <v>48.502791000000002</v>
      </c>
      <c r="CI310" s="119">
        <f>SUM(CI311:CI385)</f>
        <v>0</v>
      </c>
      <c r="DG310" s="113" t="s">
        <v>81</v>
      </c>
      <c r="DI310" s="120" t="s">
        <v>73</v>
      </c>
      <c r="DJ310" s="120" t="s">
        <v>81</v>
      </c>
      <c r="DN310" s="113" t="s">
        <v>282</v>
      </c>
      <c r="DZ310" s="121">
        <f>SUM(DZ311:DZ385)</f>
        <v>655017.49000000034</v>
      </c>
    </row>
    <row r="311" spans="2:132" s="1" customFormat="1" ht="24.2" customHeight="1" x14ac:dyDescent="0.2">
      <c r="B311" s="124"/>
      <c r="C311" s="125" t="s">
        <v>536</v>
      </c>
      <c r="D311" s="125" t="s">
        <v>284</v>
      </c>
      <c r="E311" s="126" t="s">
        <v>557</v>
      </c>
      <c r="F311" s="127" t="s">
        <v>558</v>
      </c>
      <c r="G311" s="128" t="s">
        <v>344</v>
      </c>
      <c r="H311" s="129">
        <v>356.7</v>
      </c>
      <c r="I311" s="130">
        <v>850.78954015145496</v>
      </c>
      <c r="J311" s="131">
        <f>ROUND(I311*H311,2)</f>
        <v>303476.63</v>
      </c>
      <c r="K311" s="127" t="s">
        <v>293</v>
      </c>
      <c r="L311" s="198">
        <f>S311</f>
        <v>0</v>
      </c>
      <c r="M311" s="206">
        <f>ROUND(L311*I311,2)</f>
        <v>0</v>
      </c>
      <c r="N311" s="211">
        <f>N314</f>
        <v>0.16000000000002501</v>
      </c>
      <c r="O311" s="212">
        <f>ROUND(N311*I311,2)</f>
        <v>136.13</v>
      </c>
      <c r="P311" s="207">
        <f>H311-L311-N311</f>
        <v>356.53999999999996</v>
      </c>
      <c r="Q311" s="228">
        <f>ROUND(P311*I311,2)</f>
        <v>303340.5</v>
      </c>
      <c r="R311" s="199"/>
      <c r="S311" s="200">
        <f>W311+Y311+AA311+AC311+AE311+AG311+AI311+AK311+AM311+AO311+AQ311+AS311+AU311+AW311</f>
        <v>0</v>
      </c>
      <c r="T311" s="200">
        <f>ROUND(S311*I311,2)</f>
        <v>0</v>
      </c>
      <c r="U311" s="200">
        <f>H311-S311</f>
        <v>356.7</v>
      </c>
      <c r="V311" s="200">
        <f>ROUND(U311*I311,2)</f>
        <v>303476.63</v>
      </c>
      <c r="W311" s="200"/>
      <c r="X311" s="200"/>
      <c r="Y311" s="200"/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0"/>
      <c r="AP311" s="200"/>
      <c r="AQ311" s="200"/>
      <c r="AR311" s="200"/>
      <c r="AS311" s="200"/>
      <c r="AT311" s="200"/>
      <c r="AU311" s="200"/>
      <c r="AV311" s="200"/>
      <c r="AW311" s="200"/>
      <c r="AX311" s="200"/>
      <c r="CB311" s="132" t="s">
        <v>1</v>
      </c>
      <c r="CC311" s="133" t="s">
        <v>40</v>
      </c>
      <c r="CE311" s="134">
        <f>CD311*H311</f>
        <v>0</v>
      </c>
      <c r="CF311" s="134">
        <v>1.323E-2</v>
      </c>
      <c r="CG311" s="134">
        <f>CF311*H311</f>
        <v>4.7191409999999996</v>
      </c>
      <c r="CH311" s="134">
        <v>0</v>
      </c>
      <c r="CI311" s="135">
        <f>CH311*H311</f>
        <v>0</v>
      </c>
      <c r="DG311" s="136" t="s">
        <v>95</v>
      </c>
      <c r="DI311" s="136" t="s">
        <v>284</v>
      </c>
      <c r="DJ311" s="136" t="s">
        <v>83</v>
      </c>
      <c r="DN311" s="16" t="s">
        <v>282</v>
      </c>
      <c r="DT311" s="137">
        <f>IF(CC311="základní",J311,0)</f>
        <v>303476.63</v>
      </c>
      <c r="DU311" s="137">
        <f>IF(CC311="snížená",J311,0)</f>
        <v>0</v>
      </c>
      <c r="DV311" s="137">
        <f>IF(CC311="zákl. přenesená",J311,0)</f>
        <v>0</v>
      </c>
      <c r="DW311" s="137">
        <f>IF(CC311="sníž. přenesená",J311,0)</f>
        <v>0</v>
      </c>
      <c r="DX311" s="137">
        <f>IF(CC311="nulová",J311,0)</f>
        <v>0</v>
      </c>
      <c r="DY311" s="16" t="s">
        <v>81</v>
      </c>
      <c r="DZ311" s="137">
        <f>ROUND(I311*H311,2)</f>
        <v>303476.63</v>
      </c>
      <c r="EA311" s="16" t="s">
        <v>95</v>
      </c>
      <c r="EB311" s="136" t="s">
        <v>559</v>
      </c>
    </row>
    <row r="312" spans="2:132" s="1" customFormat="1" ht="29.25" x14ac:dyDescent="0.2">
      <c r="B312" s="31"/>
      <c r="D312" s="138" t="s">
        <v>289</v>
      </c>
      <c r="F312" s="139" t="s">
        <v>560</v>
      </c>
      <c r="I312" s="140"/>
      <c r="L312" s="31"/>
      <c r="N312" s="213"/>
      <c r="O312" s="214"/>
      <c r="Q312" s="229"/>
      <c r="CB312" s="141"/>
      <c r="CI312" s="50"/>
      <c r="DI312" s="16" t="s">
        <v>289</v>
      </c>
      <c r="DJ312" s="16" t="s">
        <v>83</v>
      </c>
    </row>
    <row r="313" spans="2:132" s="1" customFormat="1" ht="29.25" x14ac:dyDescent="0.2">
      <c r="B313" s="31"/>
      <c r="D313" s="138" t="s">
        <v>299</v>
      </c>
      <c r="F313" s="142" t="s">
        <v>885</v>
      </c>
      <c r="I313" s="140"/>
      <c r="L313" s="31"/>
      <c r="N313" s="213"/>
      <c r="O313" s="214"/>
      <c r="Q313" s="229"/>
      <c r="CB313" s="141"/>
      <c r="CI313" s="50"/>
      <c r="DI313" s="16" t="s">
        <v>299</v>
      </c>
      <c r="DJ313" s="16" t="s">
        <v>83</v>
      </c>
    </row>
    <row r="314" spans="2:132" s="12" customFormat="1" x14ac:dyDescent="0.2">
      <c r="B314" s="149"/>
      <c r="D314" s="138" t="s">
        <v>301</v>
      </c>
      <c r="E314" s="150" t="s">
        <v>1</v>
      </c>
      <c r="F314" s="151" t="s">
        <v>923</v>
      </c>
      <c r="H314" s="152">
        <v>356.7</v>
      </c>
      <c r="I314" s="153"/>
      <c r="L314" s="149"/>
      <c r="N314" s="217">
        <f>356.86-356.7</f>
        <v>0.16000000000002501</v>
      </c>
      <c r="O314" s="218" t="s">
        <v>3426</v>
      </c>
      <c r="Q314" s="231"/>
      <c r="CB314" s="154"/>
      <c r="CI314" s="155"/>
      <c r="DI314" s="150" t="s">
        <v>301</v>
      </c>
      <c r="DJ314" s="150" t="s">
        <v>83</v>
      </c>
      <c r="DK314" s="12" t="s">
        <v>83</v>
      </c>
      <c r="DL314" s="12" t="s">
        <v>32</v>
      </c>
      <c r="DM314" s="12" t="s">
        <v>81</v>
      </c>
      <c r="DN314" s="150" t="s">
        <v>282</v>
      </c>
    </row>
    <row r="315" spans="2:132" s="1" customFormat="1" ht="24.2" customHeight="1" x14ac:dyDescent="0.2">
      <c r="B315" s="124"/>
      <c r="C315" s="125" t="s">
        <v>543</v>
      </c>
      <c r="D315" s="125" t="s">
        <v>284</v>
      </c>
      <c r="E315" s="126" t="s">
        <v>563</v>
      </c>
      <c r="F315" s="127" t="s">
        <v>564</v>
      </c>
      <c r="G315" s="128" t="s">
        <v>485</v>
      </c>
      <c r="H315" s="129">
        <v>8</v>
      </c>
      <c r="I315" s="130">
        <v>428.93856860779169</v>
      </c>
      <c r="J315" s="131">
        <f>ROUND(I315*H315,2)</f>
        <v>3431.51</v>
      </c>
      <c r="K315" s="127" t="s">
        <v>293</v>
      </c>
      <c r="L315" s="198">
        <f>S315</f>
        <v>0</v>
      </c>
      <c r="M315" s="206">
        <f>ROUND(L315*I315,2)</f>
        <v>0</v>
      </c>
      <c r="N315" s="211"/>
      <c r="O315" s="212">
        <f>ROUND(N315*I315,2)</f>
        <v>0</v>
      </c>
      <c r="P315" s="207">
        <f>H315-L315-N315</f>
        <v>8</v>
      </c>
      <c r="Q315" s="228">
        <f>ROUND(P315*I315,2)</f>
        <v>3431.51</v>
      </c>
      <c r="R315" s="199"/>
      <c r="S315" s="200">
        <f>W315+Y315+AA315+AC315+AE315+AG315+AI315+AK315+AM315+AO315+AQ315+AS315+AU315+AW315</f>
        <v>0</v>
      </c>
      <c r="T315" s="200">
        <f>ROUND(S315*I315,2)</f>
        <v>0</v>
      </c>
      <c r="U315" s="200">
        <f>H315-S315</f>
        <v>8</v>
      </c>
      <c r="V315" s="200">
        <f>ROUND(U315*I315,2)</f>
        <v>3431.51</v>
      </c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  <c r="AP315" s="200"/>
      <c r="AQ315" s="200"/>
      <c r="AR315" s="200"/>
      <c r="AS315" s="200"/>
      <c r="AT315" s="200"/>
      <c r="AU315" s="200"/>
      <c r="AV315" s="200"/>
      <c r="AW315" s="200"/>
      <c r="AX315" s="200"/>
      <c r="CB315" s="132" t="s">
        <v>1</v>
      </c>
      <c r="CC315" s="133" t="s">
        <v>40</v>
      </c>
      <c r="CE315" s="134">
        <f>CD315*H315</f>
        <v>0</v>
      </c>
      <c r="CF315" s="134">
        <v>2.0000000000000002E-5</v>
      </c>
      <c r="CG315" s="134">
        <f>CF315*H315</f>
        <v>1.6000000000000001E-4</v>
      </c>
      <c r="CH315" s="134">
        <v>0</v>
      </c>
      <c r="CI315" s="135">
        <f>CH315*H315</f>
        <v>0</v>
      </c>
      <c r="DG315" s="136" t="s">
        <v>95</v>
      </c>
      <c r="DI315" s="136" t="s">
        <v>284</v>
      </c>
      <c r="DJ315" s="136" t="s">
        <v>83</v>
      </c>
      <c r="DN315" s="16" t="s">
        <v>282</v>
      </c>
      <c r="DT315" s="137">
        <f>IF(CC315="základní",J315,0)</f>
        <v>3431.51</v>
      </c>
      <c r="DU315" s="137">
        <f>IF(CC315="snížená",J315,0)</f>
        <v>0</v>
      </c>
      <c r="DV315" s="137">
        <f>IF(CC315="zákl. přenesená",J315,0)</f>
        <v>0</v>
      </c>
      <c r="DW315" s="137">
        <f>IF(CC315="sníž. přenesená",J315,0)</f>
        <v>0</v>
      </c>
      <c r="DX315" s="137">
        <f>IF(CC315="nulová",J315,0)</f>
        <v>0</v>
      </c>
      <c r="DY315" s="16" t="s">
        <v>81</v>
      </c>
      <c r="DZ315" s="137">
        <f>ROUND(I315*H315,2)</f>
        <v>3431.51</v>
      </c>
      <c r="EA315" s="16" t="s">
        <v>95</v>
      </c>
      <c r="EB315" s="136" t="s">
        <v>565</v>
      </c>
    </row>
    <row r="316" spans="2:132" s="1" customFormat="1" ht="19.5" x14ac:dyDescent="0.2">
      <c r="B316" s="31"/>
      <c r="D316" s="138" t="s">
        <v>289</v>
      </c>
      <c r="F316" s="139" t="s">
        <v>566</v>
      </c>
      <c r="I316" s="140"/>
      <c r="L316" s="31"/>
      <c r="N316" s="213"/>
      <c r="O316" s="214"/>
      <c r="Q316" s="229"/>
      <c r="CB316" s="141"/>
      <c r="CI316" s="50"/>
      <c r="DI316" s="16" t="s">
        <v>289</v>
      </c>
      <c r="DJ316" s="16" t="s">
        <v>83</v>
      </c>
    </row>
    <row r="317" spans="2:132" s="1" customFormat="1" ht="19.5" x14ac:dyDescent="0.2">
      <c r="B317" s="31"/>
      <c r="D317" s="138" t="s">
        <v>299</v>
      </c>
      <c r="F317" s="142" t="s">
        <v>317</v>
      </c>
      <c r="I317" s="140"/>
      <c r="L317" s="31"/>
      <c r="N317" s="213"/>
      <c r="O317" s="214"/>
      <c r="Q317" s="229"/>
      <c r="CB317" s="141"/>
      <c r="CI317" s="50"/>
      <c r="DI317" s="16" t="s">
        <v>299</v>
      </c>
      <c r="DJ317" s="16" t="s">
        <v>83</v>
      </c>
    </row>
    <row r="318" spans="2:132" s="12" customFormat="1" x14ac:dyDescent="0.2">
      <c r="B318" s="149"/>
      <c r="D318" s="138" t="s">
        <v>301</v>
      </c>
      <c r="E318" s="150" t="s">
        <v>1</v>
      </c>
      <c r="F318" s="151" t="s">
        <v>924</v>
      </c>
      <c r="H318" s="152">
        <v>8</v>
      </c>
      <c r="I318" s="153"/>
      <c r="L318" s="149"/>
      <c r="N318" s="217"/>
      <c r="O318" s="218"/>
      <c r="Q318" s="231"/>
      <c r="CB318" s="154"/>
      <c r="CI318" s="155"/>
      <c r="DI318" s="150" t="s">
        <v>301</v>
      </c>
      <c r="DJ318" s="150" t="s">
        <v>83</v>
      </c>
      <c r="DK318" s="12" t="s">
        <v>83</v>
      </c>
      <c r="DL318" s="12" t="s">
        <v>32</v>
      </c>
      <c r="DM318" s="12" t="s">
        <v>81</v>
      </c>
      <c r="DN318" s="150" t="s">
        <v>282</v>
      </c>
    </row>
    <row r="319" spans="2:132" s="1" customFormat="1" ht="24.2" customHeight="1" x14ac:dyDescent="0.2">
      <c r="B319" s="124"/>
      <c r="C319" s="170" t="s">
        <v>548</v>
      </c>
      <c r="D319" s="170" t="s">
        <v>439</v>
      </c>
      <c r="E319" s="171" t="s">
        <v>569</v>
      </c>
      <c r="F319" s="172" t="s">
        <v>570</v>
      </c>
      <c r="G319" s="173" t="s">
        <v>485</v>
      </c>
      <c r="H319" s="174">
        <v>8</v>
      </c>
      <c r="I319" s="175">
        <v>1984.4168915</v>
      </c>
      <c r="J319" s="176">
        <f>ROUND(I319*H319,2)</f>
        <v>15875.34</v>
      </c>
      <c r="K319" s="172" t="s">
        <v>293</v>
      </c>
      <c r="L319" s="198">
        <f>S319</f>
        <v>0</v>
      </c>
      <c r="M319" s="206">
        <f>ROUND(L319*I319,2)</f>
        <v>0</v>
      </c>
      <c r="N319" s="211"/>
      <c r="O319" s="212">
        <f>ROUND(N319*I319,2)</f>
        <v>0</v>
      </c>
      <c r="P319" s="207">
        <f>H319-L319-N319</f>
        <v>8</v>
      </c>
      <c r="Q319" s="228">
        <f>ROUND(P319*I319,2)</f>
        <v>15875.34</v>
      </c>
      <c r="R319" s="199"/>
      <c r="S319" s="200">
        <f>W319+Y319+AA319+AC319+AE319+AG319+AI319+AK319+AM319+AO319+AQ319+AS319+AU319+AW319</f>
        <v>0</v>
      </c>
      <c r="T319" s="200">
        <f>ROUND(S319*I319,2)</f>
        <v>0</v>
      </c>
      <c r="U319" s="200">
        <f>H319-S319</f>
        <v>8</v>
      </c>
      <c r="V319" s="200">
        <f>ROUND(U319*I319,2)</f>
        <v>15875.34</v>
      </c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77" t="s">
        <v>1</v>
      </c>
      <c r="CC319" s="178" t="s">
        <v>40</v>
      </c>
      <c r="CE319" s="134">
        <f>CD319*H319</f>
        <v>0</v>
      </c>
      <c r="CF319" s="134">
        <v>4.2599999999999999E-3</v>
      </c>
      <c r="CG319" s="134">
        <f>CF319*H319</f>
        <v>3.4079999999999999E-2</v>
      </c>
      <c r="CH319" s="134">
        <v>0</v>
      </c>
      <c r="CI319" s="135">
        <f>CH319*H319</f>
        <v>0</v>
      </c>
      <c r="DG319" s="136" t="s">
        <v>328</v>
      </c>
      <c r="DI319" s="136" t="s">
        <v>439</v>
      </c>
      <c r="DJ319" s="136" t="s">
        <v>83</v>
      </c>
      <c r="DN319" s="16" t="s">
        <v>282</v>
      </c>
      <c r="DT319" s="137">
        <f>IF(CC319="základní",J319,0)</f>
        <v>15875.34</v>
      </c>
      <c r="DU319" s="137">
        <f>IF(CC319="snížená",J319,0)</f>
        <v>0</v>
      </c>
      <c r="DV319" s="137">
        <f>IF(CC319="zákl. přenesená",J319,0)</f>
        <v>0</v>
      </c>
      <c r="DW319" s="137">
        <f>IF(CC319="sníž. přenesená",J319,0)</f>
        <v>0</v>
      </c>
      <c r="DX319" s="137">
        <f>IF(CC319="nulová",J319,0)</f>
        <v>0</v>
      </c>
      <c r="DY319" s="16" t="s">
        <v>81</v>
      </c>
      <c r="DZ319" s="137">
        <f>ROUND(I319*H319,2)</f>
        <v>15875.34</v>
      </c>
      <c r="EA319" s="16" t="s">
        <v>95</v>
      </c>
      <c r="EB319" s="136" t="s">
        <v>571</v>
      </c>
    </row>
    <row r="320" spans="2:132" s="1" customFormat="1" x14ac:dyDescent="0.2">
      <c r="B320" s="31"/>
      <c r="D320" s="138" t="s">
        <v>289</v>
      </c>
      <c r="F320" s="139" t="s">
        <v>570</v>
      </c>
      <c r="I320" s="140"/>
      <c r="L320" s="31"/>
      <c r="N320" s="213"/>
      <c r="O320" s="214"/>
      <c r="Q320" s="229"/>
      <c r="CB320" s="141"/>
      <c r="CI320" s="50"/>
      <c r="DI320" s="16" t="s">
        <v>289</v>
      </c>
      <c r="DJ320" s="16" t="s">
        <v>83</v>
      </c>
    </row>
    <row r="321" spans="2:132" s="1" customFormat="1" ht="24.2" customHeight="1" x14ac:dyDescent="0.2">
      <c r="B321" s="124"/>
      <c r="C321" s="125" t="s">
        <v>556</v>
      </c>
      <c r="D321" s="125" t="s">
        <v>284</v>
      </c>
      <c r="E321" s="126" t="s">
        <v>573</v>
      </c>
      <c r="F321" s="127" t="s">
        <v>574</v>
      </c>
      <c r="G321" s="128" t="s">
        <v>344</v>
      </c>
      <c r="H321" s="129">
        <v>356.7</v>
      </c>
      <c r="I321" s="130">
        <v>42.624706500000002</v>
      </c>
      <c r="J321" s="131">
        <f>ROUND(I321*H321,2)</f>
        <v>15204.23</v>
      </c>
      <c r="K321" s="127" t="s">
        <v>1</v>
      </c>
      <c r="L321" s="198">
        <f>S321</f>
        <v>0</v>
      </c>
      <c r="M321" s="206">
        <f>ROUND(L321*I321,2)</f>
        <v>0</v>
      </c>
      <c r="N321" s="211">
        <f>N311</f>
        <v>0.16000000000002501</v>
      </c>
      <c r="O321" s="212">
        <f>ROUND(N321*I321,2)</f>
        <v>6.82</v>
      </c>
      <c r="P321" s="207">
        <f>H321-L321-N321</f>
        <v>356.53999999999996</v>
      </c>
      <c r="Q321" s="228">
        <f>ROUND(P321*I321,2)</f>
        <v>15197.41</v>
      </c>
      <c r="R321" s="199"/>
      <c r="S321" s="200">
        <f>W321+Y321+AA321+AC321+AE321+AG321+AI321+AK321+AM321+AO321+AQ321+AS321+AU321+AW321</f>
        <v>0</v>
      </c>
      <c r="T321" s="200">
        <f>ROUND(S321*I321,2)</f>
        <v>0</v>
      </c>
      <c r="U321" s="200">
        <f>H321-S321</f>
        <v>356.7</v>
      </c>
      <c r="V321" s="200">
        <f>ROUND(U321*I321,2)</f>
        <v>15204.23</v>
      </c>
      <c r="W321" s="200"/>
      <c r="X321" s="200"/>
      <c r="Y321" s="200"/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0"/>
      <c r="AP321" s="200"/>
      <c r="AQ321" s="200"/>
      <c r="AR321" s="200"/>
      <c r="AS321" s="200"/>
      <c r="AT321" s="200"/>
      <c r="AU321" s="200"/>
      <c r="AV321" s="200"/>
      <c r="AW321" s="200"/>
      <c r="AX321" s="200"/>
      <c r="CB321" s="132" t="s">
        <v>1</v>
      </c>
      <c r="CC321" s="133" t="s">
        <v>40</v>
      </c>
      <c r="CE321" s="134">
        <f>CD321*H321</f>
        <v>0</v>
      </c>
      <c r="CF321" s="134">
        <v>0</v>
      </c>
      <c r="CG321" s="134">
        <f>CF321*H321</f>
        <v>0</v>
      </c>
      <c r="CH321" s="134">
        <v>0</v>
      </c>
      <c r="CI321" s="135">
        <f>CH321*H321</f>
        <v>0</v>
      </c>
      <c r="DG321" s="136" t="s">
        <v>95</v>
      </c>
      <c r="DI321" s="136" t="s">
        <v>284</v>
      </c>
      <c r="DJ321" s="136" t="s">
        <v>83</v>
      </c>
      <c r="DN321" s="16" t="s">
        <v>282</v>
      </c>
      <c r="DT321" s="137">
        <f>IF(CC321="základní",J321,0)</f>
        <v>15204.23</v>
      </c>
      <c r="DU321" s="137">
        <f>IF(CC321="snížená",J321,0)</f>
        <v>0</v>
      </c>
      <c r="DV321" s="137">
        <f>IF(CC321="zákl. přenesená",J321,0)</f>
        <v>0</v>
      </c>
      <c r="DW321" s="137">
        <f>IF(CC321="sníž. přenesená",J321,0)</f>
        <v>0</v>
      </c>
      <c r="DX321" s="137">
        <f>IF(CC321="nulová",J321,0)</f>
        <v>0</v>
      </c>
      <c r="DY321" s="16" t="s">
        <v>81</v>
      </c>
      <c r="DZ321" s="137">
        <f>ROUND(I321*H321,2)</f>
        <v>15204.23</v>
      </c>
      <c r="EA321" s="16" t="s">
        <v>95</v>
      </c>
      <c r="EB321" s="136" t="s">
        <v>575</v>
      </c>
    </row>
    <row r="322" spans="2:132" s="1" customFormat="1" ht="19.5" x14ac:dyDescent="0.2">
      <c r="B322" s="31"/>
      <c r="D322" s="138" t="s">
        <v>289</v>
      </c>
      <c r="F322" s="139" t="s">
        <v>574</v>
      </c>
      <c r="I322" s="140"/>
      <c r="L322" s="31"/>
      <c r="N322" s="213"/>
      <c r="O322" s="214"/>
      <c r="Q322" s="229"/>
      <c r="CB322" s="141"/>
      <c r="CI322" s="50"/>
      <c r="DI322" s="16" t="s">
        <v>289</v>
      </c>
      <c r="DJ322" s="16" t="s">
        <v>83</v>
      </c>
    </row>
    <row r="323" spans="2:132" s="1" customFormat="1" ht="14.45" customHeight="1" x14ac:dyDescent="0.2">
      <c r="B323" s="124"/>
      <c r="C323" s="125" t="s">
        <v>562</v>
      </c>
      <c r="D323" s="125" t="s">
        <v>284</v>
      </c>
      <c r="E323" s="126" t="s">
        <v>577</v>
      </c>
      <c r="F323" s="127" t="s">
        <v>578</v>
      </c>
      <c r="G323" s="128" t="s">
        <v>344</v>
      </c>
      <c r="H323" s="129">
        <v>356.7</v>
      </c>
      <c r="I323" s="130">
        <v>18.944313999999999</v>
      </c>
      <c r="J323" s="131">
        <f>ROUND(I323*H323,2)</f>
        <v>6757.44</v>
      </c>
      <c r="K323" s="127" t="s">
        <v>1</v>
      </c>
      <c r="L323" s="198">
        <f>S323</f>
        <v>0</v>
      </c>
      <c r="M323" s="206">
        <f>ROUND(L323*I323,2)</f>
        <v>0</v>
      </c>
      <c r="N323" s="211">
        <f>N321</f>
        <v>0.16000000000002501</v>
      </c>
      <c r="O323" s="212">
        <f>ROUND(N323*I323,2)</f>
        <v>3.03</v>
      </c>
      <c r="P323" s="207">
        <f>H323-L323-N323</f>
        <v>356.53999999999996</v>
      </c>
      <c r="Q323" s="228">
        <f>ROUND(P323*I323,2)</f>
        <v>6754.41</v>
      </c>
      <c r="R323" s="199"/>
      <c r="S323" s="200">
        <f>W323+Y323+AA323+AC323+AE323+AG323+AI323+AK323+AM323+AO323+AQ323+AS323+AU323+AW323</f>
        <v>0</v>
      </c>
      <c r="T323" s="200">
        <f>ROUND(S323*I323,2)</f>
        <v>0</v>
      </c>
      <c r="U323" s="200">
        <f>H323-S323</f>
        <v>356.7</v>
      </c>
      <c r="V323" s="200">
        <f>ROUND(U323*I323,2)</f>
        <v>6757.44</v>
      </c>
      <c r="W323" s="200"/>
      <c r="X323" s="200"/>
      <c r="Y323" s="200"/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0"/>
      <c r="AP323" s="200"/>
      <c r="AQ323" s="200"/>
      <c r="AR323" s="200"/>
      <c r="AS323" s="200"/>
      <c r="AT323" s="200"/>
      <c r="AU323" s="200"/>
      <c r="AV323" s="200"/>
      <c r="AW323" s="200"/>
      <c r="AX323" s="200"/>
      <c r="CB323" s="132" t="s">
        <v>1</v>
      </c>
      <c r="CC323" s="133" t="s">
        <v>40</v>
      </c>
      <c r="CE323" s="134">
        <f>CD323*H323</f>
        <v>0</v>
      </c>
      <c r="CF323" s="134">
        <v>0</v>
      </c>
      <c r="CG323" s="134">
        <f>CF323*H323</f>
        <v>0</v>
      </c>
      <c r="CH323" s="134">
        <v>0</v>
      </c>
      <c r="CI323" s="135">
        <f>CH323*H323</f>
        <v>0</v>
      </c>
      <c r="DG323" s="136" t="s">
        <v>95</v>
      </c>
      <c r="DI323" s="136" t="s">
        <v>284</v>
      </c>
      <c r="DJ323" s="136" t="s">
        <v>83</v>
      </c>
      <c r="DN323" s="16" t="s">
        <v>282</v>
      </c>
      <c r="DT323" s="137">
        <f>IF(CC323="základní",J323,0)</f>
        <v>6757.44</v>
      </c>
      <c r="DU323" s="137">
        <f>IF(CC323="snížená",J323,0)</f>
        <v>0</v>
      </c>
      <c r="DV323" s="137">
        <f>IF(CC323="zákl. přenesená",J323,0)</f>
        <v>0</v>
      </c>
      <c r="DW323" s="137">
        <f>IF(CC323="sníž. přenesená",J323,0)</f>
        <v>0</v>
      </c>
      <c r="DX323" s="137">
        <f>IF(CC323="nulová",J323,0)</f>
        <v>0</v>
      </c>
      <c r="DY323" s="16" t="s">
        <v>81</v>
      </c>
      <c r="DZ323" s="137">
        <f>ROUND(I323*H323,2)</f>
        <v>6757.44</v>
      </c>
      <c r="EA323" s="16" t="s">
        <v>95</v>
      </c>
      <c r="EB323" s="136" t="s">
        <v>579</v>
      </c>
    </row>
    <row r="324" spans="2:132" s="1" customFormat="1" x14ac:dyDescent="0.2">
      <c r="B324" s="31"/>
      <c r="D324" s="138" t="s">
        <v>289</v>
      </c>
      <c r="F324" s="139" t="s">
        <v>578</v>
      </c>
      <c r="I324" s="140"/>
      <c r="L324" s="31"/>
      <c r="N324" s="213"/>
      <c r="O324" s="214"/>
      <c r="Q324" s="229"/>
      <c r="CB324" s="141"/>
      <c r="CI324" s="50"/>
      <c r="DI324" s="16" t="s">
        <v>289</v>
      </c>
      <c r="DJ324" s="16" t="s">
        <v>83</v>
      </c>
    </row>
    <row r="325" spans="2:132" s="1" customFormat="1" ht="29.25" x14ac:dyDescent="0.2">
      <c r="B325" s="31"/>
      <c r="D325" s="138" t="s">
        <v>299</v>
      </c>
      <c r="F325" s="142" t="s">
        <v>580</v>
      </c>
      <c r="I325" s="140"/>
      <c r="L325" s="31"/>
      <c r="N325" s="213"/>
      <c r="O325" s="214"/>
      <c r="Q325" s="229"/>
      <c r="CB325" s="141"/>
      <c r="CI325" s="50"/>
      <c r="DI325" s="16" t="s">
        <v>299</v>
      </c>
      <c r="DJ325" s="16" t="s">
        <v>83</v>
      </c>
    </row>
    <row r="326" spans="2:132" s="1" customFormat="1" ht="24.2" customHeight="1" x14ac:dyDescent="0.2">
      <c r="B326" s="124"/>
      <c r="C326" s="125" t="s">
        <v>568</v>
      </c>
      <c r="D326" s="125" t="s">
        <v>284</v>
      </c>
      <c r="E326" s="126" t="s">
        <v>582</v>
      </c>
      <c r="F326" s="127" t="s">
        <v>583</v>
      </c>
      <c r="G326" s="128" t="s">
        <v>584</v>
      </c>
      <c r="H326" s="129">
        <v>11</v>
      </c>
      <c r="I326" s="130">
        <v>933.22469567263556</v>
      </c>
      <c r="J326" s="131">
        <f>ROUND(I326*H326,2)</f>
        <v>10265.469999999999</v>
      </c>
      <c r="K326" s="127" t="s">
        <v>293</v>
      </c>
      <c r="L326" s="198">
        <f>S326</f>
        <v>0</v>
      </c>
      <c r="M326" s="206">
        <f>ROUND(L326*I326,2)</f>
        <v>0</v>
      </c>
      <c r="N326" s="211"/>
      <c r="O326" s="212">
        <f>ROUND(N326*I326,2)</f>
        <v>0</v>
      </c>
      <c r="P326" s="207">
        <f>H326-L326-N326</f>
        <v>11</v>
      </c>
      <c r="Q326" s="228">
        <f>ROUND(P326*I326,2)</f>
        <v>10265.469999999999</v>
      </c>
      <c r="R326" s="199"/>
      <c r="S326" s="200">
        <f>W326+Y326+AA326+AC326+AE326+AG326+AI326+AK326+AM326+AO326+AQ326+AS326+AU326+AW326</f>
        <v>0</v>
      </c>
      <c r="T326" s="200">
        <f>ROUND(S326*I326,2)</f>
        <v>0</v>
      </c>
      <c r="U326" s="200">
        <f>H326-S326</f>
        <v>11</v>
      </c>
      <c r="V326" s="200">
        <f>ROUND(U326*I326,2)</f>
        <v>10265.469999999999</v>
      </c>
      <c r="W326" s="200"/>
      <c r="X326" s="200"/>
      <c r="Y326" s="200"/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0"/>
      <c r="AP326" s="200"/>
      <c r="AQ326" s="200"/>
      <c r="AR326" s="200"/>
      <c r="AS326" s="200"/>
      <c r="AT326" s="200"/>
      <c r="AU326" s="200"/>
      <c r="AV326" s="200"/>
      <c r="AW326" s="200"/>
      <c r="AX326" s="200"/>
      <c r="CB326" s="132" t="s">
        <v>1</v>
      </c>
      <c r="CC326" s="133" t="s">
        <v>40</v>
      </c>
      <c r="CE326" s="134">
        <f>CD326*H326</f>
        <v>0</v>
      </c>
      <c r="CF326" s="134">
        <v>3.1E-4</v>
      </c>
      <c r="CG326" s="134">
        <f>CF326*H326</f>
        <v>3.4099999999999998E-3</v>
      </c>
      <c r="CH326" s="134">
        <v>0</v>
      </c>
      <c r="CI326" s="135">
        <f>CH326*H326</f>
        <v>0</v>
      </c>
      <c r="DG326" s="136" t="s">
        <v>95</v>
      </c>
      <c r="DI326" s="136" t="s">
        <v>284</v>
      </c>
      <c r="DJ326" s="136" t="s">
        <v>83</v>
      </c>
      <c r="DN326" s="16" t="s">
        <v>282</v>
      </c>
      <c r="DT326" s="137">
        <f>IF(CC326="základní",J326,0)</f>
        <v>10265.469999999999</v>
      </c>
      <c r="DU326" s="137">
        <f>IF(CC326="snížená",J326,0)</f>
        <v>0</v>
      </c>
      <c r="DV326" s="137">
        <f>IF(CC326="zákl. přenesená",J326,0)</f>
        <v>0</v>
      </c>
      <c r="DW326" s="137">
        <f>IF(CC326="sníž. přenesená",J326,0)</f>
        <v>0</v>
      </c>
      <c r="DX326" s="137">
        <f>IF(CC326="nulová",J326,0)</f>
        <v>0</v>
      </c>
      <c r="DY326" s="16" t="s">
        <v>81</v>
      </c>
      <c r="DZ326" s="137">
        <f>ROUND(I326*H326,2)</f>
        <v>10265.469999999999</v>
      </c>
      <c r="EA326" s="16" t="s">
        <v>95</v>
      </c>
      <c r="EB326" s="136" t="s">
        <v>585</v>
      </c>
    </row>
    <row r="327" spans="2:132" s="1" customFormat="1" x14ac:dyDescent="0.2">
      <c r="B327" s="31"/>
      <c r="D327" s="138" t="s">
        <v>289</v>
      </c>
      <c r="F327" s="139" t="s">
        <v>586</v>
      </c>
      <c r="I327" s="140"/>
      <c r="L327" s="31"/>
      <c r="N327" s="213"/>
      <c r="O327" s="214"/>
      <c r="Q327" s="229"/>
      <c r="CB327" s="141"/>
      <c r="CI327" s="50"/>
      <c r="DI327" s="16" t="s">
        <v>289</v>
      </c>
      <c r="DJ327" s="16" t="s">
        <v>83</v>
      </c>
    </row>
    <row r="328" spans="2:132" s="1" customFormat="1" ht="19.5" x14ac:dyDescent="0.2">
      <c r="B328" s="31"/>
      <c r="D328" s="138" t="s">
        <v>299</v>
      </c>
      <c r="F328" s="142" t="s">
        <v>587</v>
      </c>
      <c r="I328" s="140"/>
      <c r="L328" s="31"/>
      <c r="N328" s="213"/>
      <c r="O328" s="214"/>
      <c r="Q328" s="229"/>
      <c r="CB328" s="141"/>
      <c r="CI328" s="50"/>
      <c r="DI328" s="16" t="s">
        <v>299</v>
      </c>
      <c r="DJ328" s="16" t="s">
        <v>83</v>
      </c>
    </row>
    <row r="329" spans="2:132" s="11" customFormat="1" x14ac:dyDescent="0.2">
      <c r="B329" s="143"/>
      <c r="D329" s="138" t="s">
        <v>301</v>
      </c>
      <c r="E329" s="144" t="s">
        <v>1</v>
      </c>
      <c r="F329" s="145" t="s">
        <v>588</v>
      </c>
      <c r="H329" s="144" t="s">
        <v>1</v>
      </c>
      <c r="I329" s="146"/>
      <c r="L329" s="143"/>
      <c r="N329" s="215"/>
      <c r="O329" s="216"/>
      <c r="Q329" s="230"/>
      <c r="CB329" s="147"/>
      <c r="CI329" s="148"/>
      <c r="DI329" s="144" t="s">
        <v>301</v>
      </c>
      <c r="DJ329" s="144" t="s">
        <v>83</v>
      </c>
      <c r="DK329" s="11" t="s">
        <v>81</v>
      </c>
      <c r="DL329" s="11" t="s">
        <v>32</v>
      </c>
      <c r="DM329" s="11" t="s">
        <v>74</v>
      </c>
      <c r="DN329" s="144" t="s">
        <v>282</v>
      </c>
    </row>
    <row r="330" spans="2:132" s="12" customFormat="1" x14ac:dyDescent="0.2">
      <c r="B330" s="149"/>
      <c r="D330" s="138" t="s">
        <v>301</v>
      </c>
      <c r="E330" s="150" t="s">
        <v>1</v>
      </c>
      <c r="F330" s="151" t="s">
        <v>925</v>
      </c>
      <c r="H330" s="152">
        <v>11</v>
      </c>
      <c r="I330" s="153"/>
      <c r="L330" s="149"/>
      <c r="N330" s="217"/>
      <c r="O330" s="218"/>
      <c r="Q330" s="231"/>
      <c r="CB330" s="154"/>
      <c r="CI330" s="155"/>
      <c r="DI330" s="150" t="s">
        <v>301</v>
      </c>
      <c r="DJ330" s="150" t="s">
        <v>83</v>
      </c>
      <c r="DK330" s="12" t="s">
        <v>83</v>
      </c>
      <c r="DL330" s="12" t="s">
        <v>32</v>
      </c>
      <c r="DM330" s="12" t="s">
        <v>81</v>
      </c>
      <c r="DN330" s="150" t="s">
        <v>282</v>
      </c>
    </row>
    <row r="331" spans="2:132" s="1" customFormat="1" ht="24.2" customHeight="1" x14ac:dyDescent="0.2">
      <c r="B331" s="124"/>
      <c r="C331" s="125" t="s">
        <v>572</v>
      </c>
      <c r="D331" s="125" t="s">
        <v>284</v>
      </c>
      <c r="E331" s="126" t="s">
        <v>590</v>
      </c>
      <c r="F331" s="127" t="s">
        <v>591</v>
      </c>
      <c r="G331" s="128" t="s">
        <v>344</v>
      </c>
      <c r="H331" s="129">
        <v>356.7</v>
      </c>
      <c r="I331" s="130">
        <v>29.453410986389244</v>
      </c>
      <c r="J331" s="131">
        <f>ROUND(I331*H331,2)</f>
        <v>10506.03</v>
      </c>
      <c r="K331" s="127" t="s">
        <v>293</v>
      </c>
      <c r="L331" s="198">
        <f>S331</f>
        <v>0</v>
      </c>
      <c r="M331" s="206">
        <f>ROUND(L331*I331,2)</f>
        <v>0</v>
      </c>
      <c r="N331" s="211">
        <f>N323</f>
        <v>0.16000000000002501</v>
      </c>
      <c r="O331" s="212">
        <f>ROUND(N331*I331,2)</f>
        <v>4.71</v>
      </c>
      <c r="P331" s="207">
        <f>H331-L331-N331</f>
        <v>356.53999999999996</v>
      </c>
      <c r="Q331" s="228">
        <f>ROUND(P331*I331,2)</f>
        <v>10501.32</v>
      </c>
      <c r="R331" s="199"/>
      <c r="S331" s="200">
        <f>W331+Y331+AA331+AC331+AE331+AG331+AI331+AK331+AM331+AO331+AQ331+AS331+AU331+AW331</f>
        <v>0</v>
      </c>
      <c r="T331" s="200">
        <f>ROUND(S331*I331,2)</f>
        <v>0</v>
      </c>
      <c r="U331" s="200">
        <f>H331-S331</f>
        <v>356.7</v>
      </c>
      <c r="V331" s="200">
        <f>ROUND(U331*I331,2)</f>
        <v>10506.03</v>
      </c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0"/>
      <c r="AP331" s="200"/>
      <c r="AQ331" s="200"/>
      <c r="AR331" s="200"/>
      <c r="AS331" s="200"/>
      <c r="AT331" s="200"/>
      <c r="AU331" s="200"/>
      <c r="AV331" s="200"/>
      <c r="AW331" s="200"/>
      <c r="AX331" s="200"/>
      <c r="CB331" s="132" t="s">
        <v>1</v>
      </c>
      <c r="CC331" s="133" t="s">
        <v>40</v>
      </c>
      <c r="CE331" s="134">
        <f>CD331*H331</f>
        <v>0</v>
      </c>
      <c r="CF331" s="134">
        <v>0</v>
      </c>
      <c r="CG331" s="134">
        <f>CF331*H331</f>
        <v>0</v>
      </c>
      <c r="CH331" s="134">
        <v>0</v>
      </c>
      <c r="CI331" s="135">
        <f>CH331*H331</f>
        <v>0</v>
      </c>
      <c r="DG331" s="136" t="s">
        <v>95</v>
      </c>
      <c r="DI331" s="136" t="s">
        <v>284</v>
      </c>
      <c r="DJ331" s="136" t="s">
        <v>83</v>
      </c>
      <c r="DN331" s="16" t="s">
        <v>282</v>
      </c>
      <c r="DT331" s="137">
        <f>IF(CC331="základní",J331,0)</f>
        <v>10506.03</v>
      </c>
      <c r="DU331" s="137">
        <f>IF(CC331="snížená",J331,0)</f>
        <v>0</v>
      </c>
      <c r="DV331" s="137">
        <f>IF(CC331="zákl. přenesená",J331,0)</f>
        <v>0</v>
      </c>
      <c r="DW331" s="137">
        <f>IF(CC331="sníž. přenesená",J331,0)</f>
        <v>0</v>
      </c>
      <c r="DX331" s="137">
        <f>IF(CC331="nulová",J331,0)</f>
        <v>0</v>
      </c>
      <c r="DY331" s="16" t="s">
        <v>81</v>
      </c>
      <c r="DZ331" s="137">
        <f>ROUND(I331*H331,2)</f>
        <v>10506.03</v>
      </c>
      <c r="EA331" s="16" t="s">
        <v>95</v>
      </c>
      <c r="EB331" s="136" t="s">
        <v>592</v>
      </c>
    </row>
    <row r="332" spans="2:132" s="1" customFormat="1" x14ac:dyDescent="0.2">
      <c r="B332" s="31"/>
      <c r="D332" s="138" t="s">
        <v>289</v>
      </c>
      <c r="F332" s="139" t="s">
        <v>593</v>
      </c>
      <c r="I332" s="140"/>
      <c r="L332" s="31"/>
      <c r="N332" s="213"/>
      <c r="O332" s="214"/>
      <c r="Q332" s="229"/>
      <c r="CB332" s="141"/>
      <c r="CI332" s="50"/>
      <c r="DI332" s="16" t="s">
        <v>289</v>
      </c>
      <c r="DJ332" s="16" t="s">
        <v>83</v>
      </c>
    </row>
    <row r="333" spans="2:132" s="1" customFormat="1" ht="19.5" x14ac:dyDescent="0.2">
      <c r="B333" s="31"/>
      <c r="D333" s="138" t="s">
        <v>299</v>
      </c>
      <c r="F333" s="142" t="s">
        <v>587</v>
      </c>
      <c r="I333" s="140"/>
      <c r="L333" s="31"/>
      <c r="N333" s="213"/>
      <c r="O333" s="214"/>
      <c r="Q333" s="229"/>
      <c r="CB333" s="141"/>
      <c r="CI333" s="50"/>
      <c r="DI333" s="16" t="s">
        <v>299</v>
      </c>
      <c r="DJ333" s="16" t="s">
        <v>83</v>
      </c>
    </row>
    <row r="334" spans="2:132" s="1" customFormat="1" ht="24.2" customHeight="1" x14ac:dyDescent="0.2">
      <c r="B334" s="124"/>
      <c r="C334" s="125" t="s">
        <v>576</v>
      </c>
      <c r="D334" s="125" t="s">
        <v>284</v>
      </c>
      <c r="E334" s="126" t="s">
        <v>595</v>
      </c>
      <c r="F334" s="127" t="s">
        <v>596</v>
      </c>
      <c r="G334" s="128" t="s">
        <v>485</v>
      </c>
      <c r="H334" s="129">
        <v>16</v>
      </c>
      <c r="I334" s="130">
        <v>867.6587001634532</v>
      </c>
      <c r="J334" s="131">
        <f>ROUND(I334*H334,2)</f>
        <v>13882.54</v>
      </c>
      <c r="K334" s="127" t="s">
        <v>293</v>
      </c>
      <c r="L334" s="198">
        <f>S334</f>
        <v>0</v>
      </c>
      <c r="M334" s="206">
        <f>ROUND(L334*I334,2)</f>
        <v>0</v>
      </c>
      <c r="N334" s="211"/>
      <c r="O334" s="212">
        <f>ROUND(N334*I334,2)</f>
        <v>0</v>
      </c>
      <c r="P334" s="207">
        <f>H334-L334-N334</f>
        <v>16</v>
      </c>
      <c r="Q334" s="228">
        <f>ROUND(P334*I334,2)</f>
        <v>13882.54</v>
      </c>
      <c r="R334" s="199"/>
      <c r="S334" s="200">
        <f>W334+Y334+AA334+AC334+AE334+AG334+AI334+AK334+AM334+AO334+AQ334+AS334+AU334+AW334</f>
        <v>0</v>
      </c>
      <c r="T334" s="200">
        <f>ROUND(S334*I334,2)</f>
        <v>0</v>
      </c>
      <c r="U334" s="200">
        <f>H334-S334</f>
        <v>16</v>
      </c>
      <c r="V334" s="200">
        <f>ROUND(U334*I334,2)</f>
        <v>13882.54</v>
      </c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200"/>
      <c r="AR334" s="200"/>
      <c r="AS334" s="200"/>
      <c r="AT334" s="200"/>
      <c r="AU334" s="200"/>
      <c r="AV334" s="200"/>
      <c r="AW334" s="200"/>
      <c r="AX334" s="200"/>
      <c r="CB334" s="132" t="s">
        <v>1</v>
      </c>
      <c r="CC334" s="133" t="s">
        <v>40</v>
      </c>
      <c r="CE334" s="134">
        <f>CD334*H334</f>
        <v>0</v>
      </c>
      <c r="CF334" s="134">
        <v>1.0189999999999999E-2</v>
      </c>
      <c r="CG334" s="134">
        <f>CF334*H334</f>
        <v>0.16303999999999999</v>
      </c>
      <c r="CH334" s="134">
        <v>0</v>
      </c>
      <c r="CI334" s="135">
        <f>CH334*H334</f>
        <v>0</v>
      </c>
      <c r="DG334" s="136" t="s">
        <v>95</v>
      </c>
      <c r="DI334" s="136" t="s">
        <v>284</v>
      </c>
      <c r="DJ334" s="136" t="s">
        <v>83</v>
      </c>
      <c r="DN334" s="16" t="s">
        <v>282</v>
      </c>
      <c r="DT334" s="137">
        <f>IF(CC334="základní",J334,0)</f>
        <v>13882.54</v>
      </c>
      <c r="DU334" s="137">
        <f>IF(CC334="snížená",J334,0)</f>
        <v>0</v>
      </c>
      <c r="DV334" s="137">
        <f>IF(CC334="zákl. přenesená",J334,0)</f>
        <v>0</v>
      </c>
      <c r="DW334" s="137">
        <f>IF(CC334="sníž. přenesená",J334,0)</f>
        <v>0</v>
      </c>
      <c r="DX334" s="137">
        <f>IF(CC334="nulová",J334,0)</f>
        <v>0</v>
      </c>
      <c r="DY334" s="16" t="s">
        <v>81</v>
      </c>
      <c r="DZ334" s="137">
        <f>ROUND(I334*H334,2)</f>
        <v>13882.54</v>
      </c>
      <c r="EA334" s="16" t="s">
        <v>95</v>
      </c>
      <c r="EB334" s="136" t="s">
        <v>597</v>
      </c>
    </row>
    <row r="335" spans="2:132" s="1" customFormat="1" ht="19.5" x14ac:dyDescent="0.2">
      <c r="B335" s="31"/>
      <c r="D335" s="138" t="s">
        <v>289</v>
      </c>
      <c r="F335" s="139" t="s">
        <v>596</v>
      </c>
      <c r="I335" s="140"/>
      <c r="L335" s="31"/>
      <c r="N335" s="213"/>
      <c r="O335" s="214"/>
      <c r="Q335" s="229"/>
      <c r="CB335" s="141"/>
      <c r="CI335" s="50"/>
      <c r="DI335" s="16" t="s">
        <v>289</v>
      </c>
      <c r="DJ335" s="16" t="s">
        <v>83</v>
      </c>
    </row>
    <row r="336" spans="2:132" s="1" customFormat="1" ht="19.5" x14ac:dyDescent="0.2">
      <c r="B336" s="31"/>
      <c r="D336" s="138" t="s">
        <v>299</v>
      </c>
      <c r="F336" s="142" t="s">
        <v>317</v>
      </c>
      <c r="I336" s="140"/>
      <c r="L336" s="31"/>
      <c r="N336" s="213"/>
      <c r="O336" s="214"/>
      <c r="Q336" s="229"/>
      <c r="CB336" s="141"/>
      <c r="CI336" s="50"/>
      <c r="DI336" s="16" t="s">
        <v>299</v>
      </c>
      <c r="DJ336" s="16" t="s">
        <v>83</v>
      </c>
    </row>
    <row r="337" spans="2:132" s="12" customFormat="1" x14ac:dyDescent="0.2">
      <c r="B337" s="149"/>
      <c r="D337" s="138" t="s">
        <v>301</v>
      </c>
      <c r="E337" s="150" t="s">
        <v>1</v>
      </c>
      <c r="F337" s="151" t="s">
        <v>926</v>
      </c>
      <c r="H337" s="152">
        <v>16</v>
      </c>
      <c r="I337" s="153"/>
      <c r="L337" s="149"/>
      <c r="N337" s="217"/>
      <c r="O337" s="218"/>
      <c r="Q337" s="231"/>
      <c r="CB337" s="154"/>
      <c r="CI337" s="155"/>
      <c r="DI337" s="150" t="s">
        <v>301</v>
      </c>
      <c r="DJ337" s="150" t="s">
        <v>83</v>
      </c>
      <c r="DK337" s="12" t="s">
        <v>83</v>
      </c>
      <c r="DL337" s="12" t="s">
        <v>32</v>
      </c>
      <c r="DM337" s="12" t="s">
        <v>81</v>
      </c>
      <c r="DN337" s="150" t="s">
        <v>282</v>
      </c>
    </row>
    <row r="338" spans="2:132" s="1" customFormat="1" ht="24.2" customHeight="1" x14ac:dyDescent="0.2">
      <c r="B338" s="124"/>
      <c r="C338" s="170" t="s">
        <v>581</v>
      </c>
      <c r="D338" s="170" t="s">
        <v>439</v>
      </c>
      <c r="E338" s="171" t="s">
        <v>600</v>
      </c>
      <c r="F338" s="172" t="s">
        <v>601</v>
      </c>
      <c r="G338" s="173" t="s">
        <v>485</v>
      </c>
      <c r="H338" s="174">
        <v>4</v>
      </c>
      <c r="I338" s="175">
        <v>1250.3247240000001</v>
      </c>
      <c r="J338" s="176">
        <f>ROUND(I338*H338,2)</f>
        <v>5001.3</v>
      </c>
      <c r="K338" s="172" t="s">
        <v>293</v>
      </c>
      <c r="L338" s="198">
        <f>S338</f>
        <v>0</v>
      </c>
      <c r="M338" s="206">
        <f>ROUND(L338*I338,2)</f>
        <v>0</v>
      </c>
      <c r="N338" s="211"/>
      <c r="O338" s="212">
        <f>ROUND(N338*I338,2)</f>
        <v>0</v>
      </c>
      <c r="P338" s="207">
        <f>H338-L338-N338</f>
        <v>4</v>
      </c>
      <c r="Q338" s="228">
        <f>ROUND(P338*I338,2)</f>
        <v>5001.3</v>
      </c>
      <c r="R338" s="199"/>
      <c r="S338" s="200">
        <f>W338+Y338+AA338+AC338+AE338+AG338+AI338+AK338+AM338+AO338+AQ338+AS338+AU338+AW338</f>
        <v>0</v>
      </c>
      <c r="T338" s="200">
        <f>ROUND(S338*I338,2)</f>
        <v>0</v>
      </c>
      <c r="U338" s="200">
        <f>H338-S338</f>
        <v>4</v>
      </c>
      <c r="V338" s="200">
        <f>ROUND(U338*I338,2)</f>
        <v>5001.3</v>
      </c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77" t="s">
        <v>1</v>
      </c>
      <c r="CC338" s="178" t="s">
        <v>40</v>
      </c>
      <c r="CE338" s="134">
        <f>CD338*H338</f>
        <v>0</v>
      </c>
      <c r="CF338" s="134">
        <v>0.254</v>
      </c>
      <c r="CG338" s="134">
        <f>CF338*H338</f>
        <v>1.016</v>
      </c>
      <c r="CH338" s="134">
        <v>0</v>
      </c>
      <c r="CI338" s="135">
        <f>CH338*H338</f>
        <v>0</v>
      </c>
      <c r="DG338" s="136" t="s">
        <v>328</v>
      </c>
      <c r="DI338" s="136" t="s">
        <v>439</v>
      </c>
      <c r="DJ338" s="136" t="s">
        <v>83</v>
      </c>
      <c r="DN338" s="16" t="s">
        <v>282</v>
      </c>
      <c r="DT338" s="137">
        <f>IF(CC338="základní",J338,0)</f>
        <v>5001.3</v>
      </c>
      <c r="DU338" s="137">
        <f>IF(CC338="snížená",J338,0)</f>
        <v>0</v>
      </c>
      <c r="DV338" s="137">
        <f>IF(CC338="zákl. přenesená",J338,0)</f>
        <v>0</v>
      </c>
      <c r="DW338" s="137">
        <f>IF(CC338="sníž. přenesená",J338,0)</f>
        <v>0</v>
      </c>
      <c r="DX338" s="137">
        <f>IF(CC338="nulová",J338,0)</f>
        <v>0</v>
      </c>
      <c r="DY338" s="16" t="s">
        <v>81</v>
      </c>
      <c r="DZ338" s="137">
        <f>ROUND(I338*H338,2)</f>
        <v>5001.3</v>
      </c>
      <c r="EA338" s="16" t="s">
        <v>95</v>
      </c>
      <c r="EB338" s="136" t="s">
        <v>602</v>
      </c>
    </row>
    <row r="339" spans="2:132" s="1" customFormat="1" x14ac:dyDescent="0.2">
      <c r="B339" s="31"/>
      <c r="D339" s="138" t="s">
        <v>289</v>
      </c>
      <c r="F339" s="139" t="s">
        <v>603</v>
      </c>
      <c r="I339" s="140"/>
      <c r="L339" s="31"/>
      <c r="N339" s="213"/>
      <c r="O339" s="214"/>
      <c r="Q339" s="229"/>
      <c r="CB339" s="141"/>
      <c r="CI339" s="50"/>
      <c r="DI339" s="16" t="s">
        <v>289</v>
      </c>
      <c r="DJ339" s="16" t="s">
        <v>83</v>
      </c>
    </row>
    <row r="340" spans="2:132" s="1" customFormat="1" ht="24.2" customHeight="1" x14ac:dyDescent="0.2">
      <c r="B340" s="124"/>
      <c r="C340" s="170" t="s">
        <v>589</v>
      </c>
      <c r="D340" s="170" t="s">
        <v>439</v>
      </c>
      <c r="E340" s="171" t="s">
        <v>605</v>
      </c>
      <c r="F340" s="172" t="s">
        <v>606</v>
      </c>
      <c r="G340" s="173" t="s">
        <v>485</v>
      </c>
      <c r="H340" s="174">
        <v>4</v>
      </c>
      <c r="I340" s="175">
        <v>2008.0972839999999</v>
      </c>
      <c r="J340" s="176">
        <f>ROUND(I340*H340,2)</f>
        <v>8032.39</v>
      </c>
      <c r="K340" s="172" t="s">
        <v>293</v>
      </c>
      <c r="L340" s="198">
        <f>S340</f>
        <v>0</v>
      </c>
      <c r="M340" s="206">
        <f>ROUND(L340*I340,2)</f>
        <v>0</v>
      </c>
      <c r="N340" s="211"/>
      <c r="O340" s="212">
        <f>ROUND(N340*I340,2)</f>
        <v>0</v>
      </c>
      <c r="P340" s="207">
        <f>H340-L340-N340</f>
        <v>4</v>
      </c>
      <c r="Q340" s="228">
        <f>ROUND(P340*I340,2)</f>
        <v>8032.39</v>
      </c>
      <c r="R340" s="199"/>
      <c r="S340" s="200">
        <f>W340+Y340+AA340+AC340+AE340+AG340+AI340+AK340+AM340+AO340+AQ340+AS340+AU340+AW340</f>
        <v>0</v>
      </c>
      <c r="T340" s="200">
        <f>ROUND(S340*I340,2)</f>
        <v>0</v>
      </c>
      <c r="U340" s="200">
        <f>H340-S340</f>
        <v>4</v>
      </c>
      <c r="V340" s="200">
        <f>ROUND(U340*I340,2)</f>
        <v>8032.39</v>
      </c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77" t="s">
        <v>1</v>
      </c>
      <c r="CC340" s="178" t="s">
        <v>40</v>
      </c>
      <c r="CE340" s="134">
        <f>CD340*H340</f>
        <v>0</v>
      </c>
      <c r="CF340" s="134">
        <v>0.50600000000000001</v>
      </c>
      <c r="CG340" s="134">
        <f>CF340*H340</f>
        <v>2.024</v>
      </c>
      <c r="CH340" s="134">
        <v>0</v>
      </c>
      <c r="CI340" s="135">
        <f>CH340*H340</f>
        <v>0</v>
      </c>
      <c r="DG340" s="136" t="s">
        <v>328</v>
      </c>
      <c r="DI340" s="136" t="s">
        <v>439</v>
      </c>
      <c r="DJ340" s="136" t="s">
        <v>83</v>
      </c>
      <c r="DN340" s="16" t="s">
        <v>282</v>
      </c>
      <c r="DT340" s="137">
        <f>IF(CC340="základní",J340,0)</f>
        <v>8032.39</v>
      </c>
      <c r="DU340" s="137">
        <f>IF(CC340="snížená",J340,0)</f>
        <v>0</v>
      </c>
      <c r="DV340" s="137">
        <f>IF(CC340="zákl. přenesená",J340,0)</f>
        <v>0</v>
      </c>
      <c r="DW340" s="137">
        <f>IF(CC340="sníž. přenesená",J340,0)</f>
        <v>0</v>
      </c>
      <c r="DX340" s="137">
        <f>IF(CC340="nulová",J340,0)</f>
        <v>0</v>
      </c>
      <c r="DY340" s="16" t="s">
        <v>81</v>
      </c>
      <c r="DZ340" s="137">
        <f>ROUND(I340*H340,2)</f>
        <v>8032.39</v>
      </c>
      <c r="EA340" s="16" t="s">
        <v>95</v>
      </c>
      <c r="EB340" s="136" t="s">
        <v>607</v>
      </c>
    </row>
    <row r="341" spans="2:132" s="1" customFormat="1" x14ac:dyDescent="0.2">
      <c r="B341" s="31"/>
      <c r="D341" s="138" t="s">
        <v>289</v>
      </c>
      <c r="F341" s="139" t="s">
        <v>608</v>
      </c>
      <c r="I341" s="140"/>
      <c r="L341" s="31"/>
      <c r="N341" s="213"/>
      <c r="O341" s="214"/>
      <c r="Q341" s="229"/>
      <c r="CB341" s="141"/>
      <c r="CI341" s="50"/>
      <c r="DI341" s="16" t="s">
        <v>289</v>
      </c>
      <c r="DJ341" s="16" t="s">
        <v>83</v>
      </c>
    </row>
    <row r="342" spans="2:132" s="1" customFormat="1" ht="24.2" customHeight="1" x14ac:dyDescent="0.2">
      <c r="B342" s="124"/>
      <c r="C342" s="170" t="s">
        <v>594</v>
      </c>
      <c r="D342" s="170" t="s">
        <v>439</v>
      </c>
      <c r="E342" s="171" t="s">
        <v>610</v>
      </c>
      <c r="F342" s="172" t="s">
        <v>611</v>
      </c>
      <c r="G342" s="173" t="s">
        <v>485</v>
      </c>
      <c r="H342" s="174">
        <v>8</v>
      </c>
      <c r="I342" s="175">
        <v>2661.676117</v>
      </c>
      <c r="J342" s="176">
        <f>ROUND(I342*H342,2)</f>
        <v>21293.41</v>
      </c>
      <c r="K342" s="172" t="s">
        <v>293</v>
      </c>
      <c r="L342" s="198">
        <f>S342</f>
        <v>0</v>
      </c>
      <c r="M342" s="206">
        <f>ROUND(L342*I342,2)</f>
        <v>0</v>
      </c>
      <c r="N342" s="211"/>
      <c r="O342" s="212">
        <f>ROUND(N342*I342,2)</f>
        <v>0</v>
      </c>
      <c r="P342" s="207">
        <f>H342-L342-N342</f>
        <v>8</v>
      </c>
      <c r="Q342" s="228">
        <f>ROUND(P342*I342,2)</f>
        <v>21293.41</v>
      </c>
      <c r="R342" s="199"/>
      <c r="S342" s="200">
        <f>W342+Y342+AA342+AC342+AE342+AG342+AI342+AK342+AM342+AO342+AQ342+AS342+AU342+AW342</f>
        <v>0</v>
      </c>
      <c r="T342" s="200">
        <f>ROUND(S342*I342,2)</f>
        <v>0</v>
      </c>
      <c r="U342" s="200">
        <f>H342-S342</f>
        <v>8</v>
      </c>
      <c r="V342" s="200">
        <f>ROUND(U342*I342,2)</f>
        <v>21293.41</v>
      </c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77" t="s">
        <v>1</v>
      </c>
      <c r="CC342" s="178" t="s">
        <v>40</v>
      </c>
      <c r="CE342" s="134">
        <f>CD342*H342</f>
        <v>0</v>
      </c>
      <c r="CF342" s="134">
        <v>1.0129999999999999</v>
      </c>
      <c r="CG342" s="134">
        <f>CF342*H342</f>
        <v>8.1039999999999992</v>
      </c>
      <c r="CH342" s="134">
        <v>0</v>
      </c>
      <c r="CI342" s="135">
        <f>CH342*H342</f>
        <v>0</v>
      </c>
      <c r="DG342" s="136" t="s">
        <v>328</v>
      </c>
      <c r="DI342" s="136" t="s">
        <v>439</v>
      </c>
      <c r="DJ342" s="136" t="s">
        <v>83</v>
      </c>
      <c r="DN342" s="16" t="s">
        <v>282</v>
      </c>
      <c r="DT342" s="137">
        <f>IF(CC342="základní",J342,0)</f>
        <v>21293.41</v>
      </c>
      <c r="DU342" s="137">
        <f>IF(CC342="snížená",J342,0)</f>
        <v>0</v>
      </c>
      <c r="DV342" s="137">
        <f>IF(CC342="zákl. přenesená",J342,0)</f>
        <v>0</v>
      </c>
      <c r="DW342" s="137">
        <f>IF(CC342="sníž. přenesená",J342,0)</f>
        <v>0</v>
      </c>
      <c r="DX342" s="137">
        <f>IF(CC342="nulová",J342,0)</f>
        <v>0</v>
      </c>
      <c r="DY342" s="16" t="s">
        <v>81</v>
      </c>
      <c r="DZ342" s="137">
        <f>ROUND(I342*H342,2)</f>
        <v>21293.41</v>
      </c>
      <c r="EA342" s="16" t="s">
        <v>95</v>
      </c>
      <c r="EB342" s="136" t="s">
        <v>612</v>
      </c>
    </row>
    <row r="343" spans="2:132" s="1" customFormat="1" x14ac:dyDescent="0.2">
      <c r="B343" s="31"/>
      <c r="D343" s="138" t="s">
        <v>289</v>
      </c>
      <c r="F343" s="139" t="s">
        <v>613</v>
      </c>
      <c r="I343" s="140"/>
      <c r="L343" s="31"/>
      <c r="N343" s="213"/>
      <c r="O343" s="214"/>
      <c r="Q343" s="229"/>
      <c r="CB343" s="141"/>
      <c r="CI343" s="50"/>
      <c r="DI343" s="16" t="s">
        <v>289</v>
      </c>
      <c r="DJ343" s="16" t="s">
        <v>83</v>
      </c>
    </row>
    <row r="344" spans="2:132" s="1" customFormat="1" ht="24.2" customHeight="1" x14ac:dyDescent="0.2">
      <c r="B344" s="124"/>
      <c r="C344" s="125" t="s">
        <v>599</v>
      </c>
      <c r="D344" s="125" t="s">
        <v>284</v>
      </c>
      <c r="E344" s="126" t="s">
        <v>615</v>
      </c>
      <c r="F344" s="127" t="s">
        <v>616</v>
      </c>
      <c r="G344" s="128" t="s">
        <v>485</v>
      </c>
      <c r="H344" s="129">
        <v>10</v>
      </c>
      <c r="I344" s="130">
        <v>900.06084521218918</v>
      </c>
      <c r="J344" s="131">
        <f>ROUND(I344*H344,2)</f>
        <v>9000.61</v>
      </c>
      <c r="K344" s="127" t="s">
        <v>293</v>
      </c>
      <c r="L344" s="198">
        <f>S344</f>
        <v>0</v>
      </c>
      <c r="M344" s="206">
        <f>ROUND(L344*I344,2)</f>
        <v>0</v>
      </c>
      <c r="N344" s="211"/>
      <c r="O344" s="212">
        <f>ROUND(N344*I344,2)</f>
        <v>0</v>
      </c>
      <c r="P344" s="207">
        <f>H344-L344-N344</f>
        <v>10</v>
      </c>
      <c r="Q344" s="228">
        <f>ROUND(P344*I344,2)</f>
        <v>9000.61</v>
      </c>
      <c r="R344" s="199"/>
      <c r="S344" s="200">
        <f>W344+Y344+AA344+AC344+AE344+AG344+AI344+AK344+AM344+AO344+AQ344+AS344+AU344+AW344</f>
        <v>0</v>
      </c>
      <c r="T344" s="200">
        <f>ROUND(S344*I344,2)</f>
        <v>0</v>
      </c>
      <c r="U344" s="200">
        <f>H344-S344</f>
        <v>10</v>
      </c>
      <c r="V344" s="200">
        <f>ROUND(U344*I344,2)</f>
        <v>9000.61</v>
      </c>
      <c r="W344" s="200"/>
      <c r="X344" s="200"/>
      <c r="Y344" s="200"/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0"/>
      <c r="AP344" s="200"/>
      <c r="AQ344" s="200"/>
      <c r="AR344" s="200"/>
      <c r="AS344" s="200"/>
      <c r="AT344" s="200"/>
      <c r="AU344" s="200"/>
      <c r="AV344" s="200"/>
      <c r="AW344" s="200"/>
      <c r="AX344" s="200"/>
      <c r="CB344" s="132" t="s">
        <v>1</v>
      </c>
      <c r="CC344" s="133" t="s">
        <v>40</v>
      </c>
      <c r="CE344" s="134">
        <f>CD344*H344</f>
        <v>0</v>
      </c>
      <c r="CF344" s="134">
        <v>1.248E-2</v>
      </c>
      <c r="CG344" s="134">
        <f>CF344*H344</f>
        <v>0.12479999999999999</v>
      </c>
      <c r="CH344" s="134">
        <v>0</v>
      </c>
      <c r="CI344" s="135">
        <f>CH344*H344</f>
        <v>0</v>
      </c>
      <c r="DG344" s="136" t="s">
        <v>95</v>
      </c>
      <c r="DI344" s="136" t="s">
        <v>284</v>
      </c>
      <c r="DJ344" s="136" t="s">
        <v>83</v>
      </c>
      <c r="DN344" s="16" t="s">
        <v>282</v>
      </c>
      <c r="DT344" s="137">
        <f>IF(CC344="základní",J344,0)</f>
        <v>9000.61</v>
      </c>
      <c r="DU344" s="137">
        <f>IF(CC344="snížená",J344,0)</f>
        <v>0</v>
      </c>
      <c r="DV344" s="137">
        <f>IF(CC344="zákl. přenesená",J344,0)</f>
        <v>0</v>
      </c>
      <c r="DW344" s="137">
        <f>IF(CC344="sníž. přenesená",J344,0)</f>
        <v>0</v>
      </c>
      <c r="DX344" s="137">
        <f>IF(CC344="nulová",J344,0)</f>
        <v>0</v>
      </c>
      <c r="DY344" s="16" t="s">
        <v>81</v>
      </c>
      <c r="DZ344" s="137">
        <f>ROUND(I344*H344,2)</f>
        <v>9000.61</v>
      </c>
      <c r="EA344" s="16" t="s">
        <v>95</v>
      </c>
      <c r="EB344" s="136" t="s">
        <v>617</v>
      </c>
    </row>
    <row r="345" spans="2:132" s="1" customFormat="1" ht="19.5" x14ac:dyDescent="0.2">
      <c r="B345" s="31"/>
      <c r="D345" s="138" t="s">
        <v>289</v>
      </c>
      <c r="F345" s="139" t="s">
        <v>616</v>
      </c>
      <c r="I345" s="140"/>
      <c r="L345" s="31"/>
      <c r="N345" s="213"/>
      <c r="O345" s="214"/>
      <c r="Q345" s="229"/>
      <c r="CB345" s="141"/>
      <c r="CI345" s="50"/>
      <c r="DI345" s="16" t="s">
        <v>289</v>
      </c>
      <c r="DJ345" s="16" t="s">
        <v>83</v>
      </c>
    </row>
    <row r="346" spans="2:132" s="1" customFormat="1" ht="19.5" x14ac:dyDescent="0.2">
      <c r="B346" s="31"/>
      <c r="D346" s="138" t="s">
        <v>299</v>
      </c>
      <c r="F346" s="142" t="s">
        <v>317</v>
      </c>
      <c r="I346" s="140"/>
      <c r="L346" s="31"/>
      <c r="N346" s="213"/>
      <c r="O346" s="214"/>
      <c r="Q346" s="229"/>
      <c r="CB346" s="141"/>
      <c r="CI346" s="50"/>
      <c r="DI346" s="16" t="s">
        <v>299</v>
      </c>
      <c r="DJ346" s="16" t="s">
        <v>83</v>
      </c>
    </row>
    <row r="347" spans="2:132" s="12" customFormat="1" x14ac:dyDescent="0.2">
      <c r="B347" s="149"/>
      <c r="D347" s="138" t="s">
        <v>301</v>
      </c>
      <c r="E347" s="150" t="s">
        <v>1</v>
      </c>
      <c r="F347" s="151" t="s">
        <v>341</v>
      </c>
      <c r="H347" s="152">
        <v>10</v>
      </c>
      <c r="I347" s="153"/>
      <c r="L347" s="149"/>
      <c r="N347" s="217"/>
      <c r="O347" s="218"/>
      <c r="Q347" s="231"/>
      <c r="CB347" s="154"/>
      <c r="CI347" s="155"/>
      <c r="DI347" s="150" t="s">
        <v>301</v>
      </c>
      <c r="DJ347" s="150" t="s">
        <v>83</v>
      </c>
      <c r="DK347" s="12" t="s">
        <v>83</v>
      </c>
      <c r="DL347" s="12" t="s">
        <v>32</v>
      </c>
      <c r="DM347" s="12" t="s">
        <v>81</v>
      </c>
      <c r="DN347" s="150" t="s">
        <v>282</v>
      </c>
    </row>
    <row r="348" spans="2:132" s="1" customFormat="1" ht="24.2" customHeight="1" x14ac:dyDescent="0.2">
      <c r="B348" s="124"/>
      <c r="C348" s="170" t="s">
        <v>604</v>
      </c>
      <c r="D348" s="170" t="s">
        <v>439</v>
      </c>
      <c r="E348" s="171" t="s">
        <v>619</v>
      </c>
      <c r="F348" s="172" t="s">
        <v>620</v>
      </c>
      <c r="G348" s="173" t="s">
        <v>485</v>
      </c>
      <c r="H348" s="174">
        <v>10</v>
      </c>
      <c r="I348" s="175">
        <v>2453.2886629999998</v>
      </c>
      <c r="J348" s="176">
        <f>ROUND(I348*H348,2)</f>
        <v>24532.89</v>
      </c>
      <c r="K348" s="172" t="s">
        <v>293</v>
      </c>
      <c r="L348" s="198">
        <f>S348</f>
        <v>0</v>
      </c>
      <c r="M348" s="206">
        <f>ROUND(L348*I348,2)</f>
        <v>0</v>
      </c>
      <c r="N348" s="211"/>
      <c r="O348" s="212">
        <f>ROUND(N348*I348,2)</f>
        <v>0</v>
      </c>
      <c r="P348" s="207">
        <f>H348-L348-N348</f>
        <v>10</v>
      </c>
      <c r="Q348" s="228">
        <f>ROUND(P348*I348,2)</f>
        <v>24532.89</v>
      </c>
      <c r="R348" s="199"/>
      <c r="S348" s="200">
        <f>W348+Y348+AA348+AC348+AE348+AG348+AI348+AK348+AM348+AO348+AQ348+AS348+AU348+AW348</f>
        <v>0</v>
      </c>
      <c r="T348" s="200">
        <f>ROUND(S348*I348,2)</f>
        <v>0</v>
      </c>
      <c r="U348" s="200">
        <f>H348-S348</f>
        <v>10</v>
      </c>
      <c r="V348" s="200">
        <f>ROUND(U348*I348,2)</f>
        <v>24532.89</v>
      </c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77" t="s">
        <v>1</v>
      </c>
      <c r="CC348" s="178" t="s">
        <v>40</v>
      </c>
      <c r="CE348" s="134">
        <f>CD348*H348</f>
        <v>0</v>
      </c>
      <c r="CF348" s="134">
        <v>0.54800000000000004</v>
      </c>
      <c r="CG348" s="134">
        <f>CF348*H348</f>
        <v>5.48</v>
      </c>
      <c r="CH348" s="134">
        <v>0</v>
      </c>
      <c r="CI348" s="135">
        <f>CH348*H348</f>
        <v>0</v>
      </c>
      <c r="DG348" s="136" t="s">
        <v>328</v>
      </c>
      <c r="DI348" s="136" t="s">
        <v>439</v>
      </c>
      <c r="DJ348" s="136" t="s">
        <v>83</v>
      </c>
      <c r="DN348" s="16" t="s">
        <v>282</v>
      </c>
      <c r="DT348" s="137">
        <f>IF(CC348="základní",J348,0)</f>
        <v>24532.89</v>
      </c>
      <c r="DU348" s="137">
        <f>IF(CC348="snížená",J348,0)</f>
        <v>0</v>
      </c>
      <c r="DV348" s="137">
        <f>IF(CC348="zákl. přenesená",J348,0)</f>
        <v>0</v>
      </c>
      <c r="DW348" s="137">
        <f>IF(CC348="sníž. přenesená",J348,0)</f>
        <v>0</v>
      </c>
      <c r="DX348" s="137">
        <f>IF(CC348="nulová",J348,0)</f>
        <v>0</v>
      </c>
      <c r="DY348" s="16" t="s">
        <v>81</v>
      </c>
      <c r="DZ348" s="137">
        <f>ROUND(I348*H348,2)</f>
        <v>24532.89</v>
      </c>
      <c r="EA348" s="16" t="s">
        <v>95</v>
      </c>
      <c r="EB348" s="136" t="s">
        <v>621</v>
      </c>
    </row>
    <row r="349" spans="2:132" s="1" customFormat="1" ht="19.5" x14ac:dyDescent="0.2">
      <c r="B349" s="31"/>
      <c r="D349" s="138" t="s">
        <v>289</v>
      </c>
      <c r="F349" s="139" t="s">
        <v>620</v>
      </c>
      <c r="I349" s="140"/>
      <c r="L349" s="31"/>
      <c r="N349" s="213"/>
      <c r="O349" s="214"/>
      <c r="Q349" s="229"/>
      <c r="CB349" s="141"/>
      <c r="CI349" s="50"/>
      <c r="DI349" s="16" t="s">
        <v>289</v>
      </c>
      <c r="DJ349" s="16" t="s">
        <v>83</v>
      </c>
    </row>
    <row r="350" spans="2:132" s="1" customFormat="1" ht="24.2" customHeight="1" x14ac:dyDescent="0.2">
      <c r="B350" s="124"/>
      <c r="C350" s="125" t="s">
        <v>609</v>
      </c>
      <c r="D350" s="125" t="s">
        <v>284</v>
      </c>
      <c r="E350" s="126" t="s">
        <v>623</v>
      </c>
      <c r="F350" s="127" t="s">
        <v>624</v>
      </c>
      <c r="G350" s="128" t="s">
        <v>485</v>
      </c>
      <c r="H350" s="129">
        <v>10</v>
      </c>
      <c r="I350" s="130">
        <v>1039.9593659999746</v>
      </c>
      <c r="J350" s="131">
        <f>ROUND(I350*H350,2)</f>
        <v>10399.59</v>
      </c>
      <c r="K350" s="127" t="s">
        <v>293</v>
      </c>
      <c r="L350" s="198">
        <f>S350</f>
        <v>0</v>
      </c>
      <c r="M350" s="206">
        <f>ROUND(L350*I350,2)</f>
        <v>0</v>
      </c>
      <c r="N350" s="211"/>
      <c r="O350" s="212">
        <f>ROUND(N350*I350,2)</f>
        <v>0</v>
      </c>
      <c r="P350" s="207">
        <f>H350-L350-N350</f>
        <v>10</v>
      </c>
      <c r="Q350" s="228">
        <f>ROUND(P350*I350,2)</f>
        <v>10399.59</v>
      </c>
      <c r="R350" s="199"/>
      <c r="S350" s="200">
        <f>W350+Y350+AA350+AC350+AE350+AG350+AI350+AK350+AM350+AO350+AQ350+AS350+AU350+AW350</f>
        <v>0</v>
      </c>
      <c r="T350" s="200">
        <f>ROUND(S350*I350,2)</f>
        <v>0</v>
      </c>
      <c r="U350" s="200">
        <f>H350-S350</f>
        <v>10</v>
      </c>
      <c r="V350" s="200">
        <f>ROUND(U350*I350,2)</f>
        <v>10399.59</v>
      </c>
      <c r="W350" s="200"/>
      <c r="X350" s="200"/>
      <c r="Y350" s="200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0"/>
      <c r="AP350" s="200"/>
      <c r="AQ350" s="200"/>
      <c r="AR350" s="200"/>
      <c r="AS350" s="200"/>
      <c r="AT350" s="200"/>
      <c r="AU350" s="200"/>
      <c r="AV350" s="200"/>
      <c r="AW350" s="200"/>
      <c r="AX350" s="200"/>
      <c r="CB350" s="132" t="s">
        <v>1</v>
      </c>
      <c r="CC350" s="133" t="s">
        <v>40</v>
      </c>
      <c r="CE350" s="134">
        <f>CD350*H350</f>
        <v>0</v>
      </c>
      <c r="CF350" s="134">
        <v>2.8539999999999999E-2</v>
      </c>
      <c r="CG350" s="134">
        <f>CF350*H350</f>
        <v>0.28539999999999999</v>
      </c>
      <c r="CH350" s="134">
        <v>0</v>
      </c>
      <c r="CI350" s="135">
        <f>CH350*H350</f>
        <v>0</v>
      </c>
      <c r="DG350" s="136" t="s">
        <v>95</v>
      </c>
      <c r="DI350" s="136" t="s">
        <v>284</v>
      </c>
      <c r="DJ350" s="136" t="s">
        <v>83</v>
      </c>
      <c r="DN350" s="16" t="s">
        <v>282</v>
      </c>
      <c r="DT350" s="137">
        <f>IF(CC350="základní",J350,0)</f>
        <v>10399.59</v>
      </c>
      <c r="DU350" s="137">
        <f>IF(CC350="snížená",J350,0)</f>
        <v>0</v>
      </c>
      <c r="DV350" s="137">
        <f>IF(CC350="zákl. přenesená",J350,0)</f>
        <v>0</v>
      </c>
      <c r="DW350" s="137">
        <f>IF(CC350="sníž. přenesená",J350,0)</f>
        <v>0</v>
      </c>
      <c r="DX350" s="137">
        <f>IF(CC350="nulová",J350,0)</f>
        <v>0</v>
      </c>
      <c r="DY350" s="16" t="s">
        <v>81</v>
      </c>
      <c r="DZ350" s="137">
        <f>ROUND(I350*H350,2)</f>
        <v>10399.59</v>
      </c>
      <c r="EA350" s="16" t="s">
        <v>95</v>
      </c>
      <c r="EB350" s="136" t="s">
        <v>625</v>
      </c>
    </row>
    <row r="351" spans="2:132" s="1" customFormat="1" ht="19.5" x14ac:dyDescent="0.2">
      <c r="B351" s="31"/>
      <c r="D351" s="138" t="s">
        <v>289</v>
      </c>
      <c r="F351" s="139" t="s">
        <v>624</v>
      </c>
      <c r="I351" s="140"/>
      <c r="L351" s="31"/>
      <c r="N351" s="213"/>
      <c r="O351" s="214"/>
      <c r="Q351" s="229"/>
      <c r="CB351" s="141"/>
      <c r="CI351" s="50"/>
      <c r="DI351" s="16" t="s">
        <v>289</v>
      </c>
      <c r="DJ351" s="16" t="s">
        <v>83</v>
      </c>
    </row>
    <row r="352" spans="2:132" s="1" customFormat="1" ht="19.5" x14ac:dyDescent="0.2">
      <c r="B352" s="31"/>
      <c r="D352" s="138" t="s">
        <v>299</v>
      </c>
      <c r="F352" s="142" t="s">
        <v>317</v>
      </c>
      <c r="I352" s="140"/>
      <c r="L352" s="31"/>
      <c r="N352" s="213"/>
      <c r="O352" s="214"/>
      <c r="Q352" s="229"/>
      <c r="CB352" s="141"/>
      <c r="CI352" s="50"/>
      <c r="DI352" s="16" t="s">
        <v>299</v>
      </c>
      <c r="DJ352" s="16" t="s">
        <v>83</v>
      </c>
    </row>
    <row r="353" spans="2:132" s="12" customFormat="1" x14ac:dyDescent="0.2">
      <c r="B353" s="149"/>
      <c r="D353" s="138" t="s">
        <v>301</v>
      </c>
      <c r="E353" s="150" t="s">
        <v>1</v>
      </c>
      <c r="F353" s="151" t="s">
        <v>927</v>
      </c>
      <c r="H353" s="152">
        <v>10</v>
      </c>
      <c r="I353" s="153"/>
      <c r="L353" s="149"/>
      <c r="N353" s="217"/>
      <c r="O353" s="218"/>
      <c r="Q353" s="231"/>
      <c r="CB353" s="154"/>
      <c r="CI353" s="155"/>
      <c r="DI353" s="150" t="s">
        <v>301</v>
      </c>
      <c r="DJ353" s="150" t="s">
        <v>83</v>
      </c>
      <c r="DK353" s="12" t="s">
        <v>83</v>
      </c>
      <c r="DL353" s="12" t="s">
        <v>32</v>
      </c>
      <c r="DM353" s="12" t="s">
        <v>81</v>
      </c>
      <c r="DN353" s="150" t="s">
        <v>282</v>
      </c>
    </row>
    <row r="354" spans="2:132" s="1" customFormat="1" ht="62.65" customHeight="1" x14ac:dyDescent="0.2">
      <c r="B354" s="124"/>
      <c r="C354" s="170" t="s">
        <v>614</v>
      </c>
      <c r="D354" s="170" t="s">
        <v>439</v>
      </c>
      <c r="E354" s="171" t="s">
        <v>628</v>
      </c>
      <c r="F354" s="172" t="s">
        <v>629</v>
      </c>
      <c r="G354" s="173" t="s">
        <v>485</v>
      </c>
      <c r="H354" s="174">
        <v>2</v>
      </c>
      <c r="I354" s="175">
        <v>9998.5491500000007</v>
      </c>
      <c r="J354" s="176">
        <f>ROUND(I354*H354,2)</f>
        <v>19997.099999999999</v>
      </c>
      <c r="K354" s="172" t="s">
        <v>1</v>
      </c>
      <c r="L354" s="198">
        <f>S354</f>
        <v>0</v>
      </c>
      <c r="M354" s="206">
        <f>ROUND(L354*I354,2)</f>
        <v>0</v>
      </c>
      <c r="N354" s="211"/>
      <c r="O354" s="212">
        <f>ROUND(N354*I354,2)</f>
        <v>0</v>
      </c>
      <c r="P354" s="207">
        <f>H354-L354-N354</f>
        <v>2</v>
      </c>
      <c r="Q354" s="228">
        <f>ROUND(P354*I354,2)</f>
        <v>19997.099999999999</v>
      </c>
      <c r="R354" s="199"/>
      <c r="S354" s="200">
        <f>W354+Y354+AA354+AC354+AE354+AG354+AI354+AK354+AM354+AO354+AQ354+AS354+AU354+AW354</f>
        <v>0</v>
      </c>
      <c r="T354" s="200">
        <f>ROUND(S354*I354,2)</f>
        <v>0</v>
      </c>
      <c r="U354" s="200">
        <f>H354-S354</f>
        <v>2</v>
      </c>
      <c r="V354" s="200">
        <f>ROUND(U354*I354,2)</f>
        <v>19997.099999999999</v>
      </c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77" t="s">
        <v>1</v>
      </c>
      <c r="CC354" s="178" t="s">
        <v>40</v>
      </c>
      <c r="CE354" s="134">
        <f>CD354*H354</f>
        <v>0</v>
      </c>
      <c r="CF354" s="134">
        <v>1.87</v>
      </c>
      <c r="CG354" s="134">
        <f>CF354*H354</f>
        <v>3.74</v>
      </c>
      <c r="CH354" s="134">
        <v>0</v>
      </c>
      <c r="CI354" s="135">
        <f>CH354*H354</f>
        <v>0</v>
      </c>
      <c r="DG354" s="136" t="s">
        <v>328</v>
      </c>
      <c r="DI354" s="136" t="s">
        <v>439</v>
      </c>
      <c r="DJ354" s="136" t="s">
        <v>83</v>
      </c>
      <c r="DN354" s="16" t="s">
        <v>282</v>
      </c>
      <c r="DT354" s="137">
        <f>IF(CC354="základní",J354,0)</f>
        <v>19997.099999999999</v>
      </c>
      <c r="DU354" s="137">
        <f>IF(CC354="snížená",J354,0)</f>
        <v>0</v>
      </c>
      <c r="DV354" s="137">
        <f>IF(CC354="zákl. přenesená",J354,0)</f>
        <v>0</v>
      </c>
      <c r="DW354" s="137">
        <f>IF(CC354="sníž. přenesená",J354,0)</f>
        <v>0</v>
      </c>
      <c r="DX354" s="137">
        <f>IF(CC354="nulová",J354,0)</f>
        <v>0</v>
      </c>
      <c r="DY354" s="16" t="s">
        <v>81</v>
      </c>
      <c r="DZ354" s="137">
        <f>ROUND(I354*H354,2)</f>
        <v>19997.099999999999</v>
      </c>
      <c r="EA354" s="16" t="s">
        <v>95</v>
      </c>
      <c r="EB354" s="136" t="s">
        <v>630</v>
      </c>
    </row>
    <row r="355" spans="2:132" s="1" customFormat="1" ht="39" x14ac:dyDescent="0.2">
      <c r="B355" s="31"/>
      <c r="D355" s="138" t="s">
        <v>289</v>
      </c>
      <c r="F355" s="139" t="s">
        <v>629</v>
      </c>
      <c r="I355" s="140"/>
      <c r="L355" s="31"/>
      <c r="N355" s="213"/>
      <c r="O355" s="214"/>
      <c r="Q355" s="229"/>
      <c r="CB355" s="141"/>
      <c r="CI355" s="50"/>
      <c r="DI355" s="16" t="s">
        <v>289</v>
      </c>
      <c r="DJ355" s="16" t="s">
        <v>83</v>
      </c>
    </row>
    <row r="356" spans="2:132" s="1" customFormat="1" ht="62.65" customHeight="1" x14ac:dyDescent="0.2">
      <c r="B356" s="124"/>
      <c r="C356" s="170" t="s">
        <v>618</v>
      </c>
      <c r="D356" s="170" t="s">
        <v>439</v>
      </c>
      <c r="E356" s="171" t="s">
        <v>632</v>
      </c>
      <c r="F356" s="172" t="s">
        <v>633</v>
      </c>
      <c r="G356" s="173" t="s">
        <v>485</v>
      </c>
      <c r="H356" s="174">
        <v>8</v>
      </c>
      <c r="I356" s="175">
        <v>9051.3334500000001</v>
      </c>
      <c r="J356" s="176">
        <f>ROUND(I356*H356,2)</f>
        <v>72410.67</v>
      </c>
      <c r="K356" s="172" t="s">
        <v>1</v>
      </c>
      <c r="L356" s="198">
        <f>S356</f>
        <v>0</v>
      </c>
      <c r="M356" s="206">
        <f>ROUND(L356*I356,2)</f>
        <v>0</v>
      </c>
      <c r="N356" s="211"/>
      <c r="O356" s="212">
        <f>ROUND(N356*I356,2)</f>
        <v>0</v>
      </c>
      <c r="P356" s="207">
        <f>H356-L356-N356</f>
        <v>8</v>
      </c>
      <c r="Q356" s="228">
        <f>ROUND(P356*I356,2)</f>
        <v>72410.67</v>
      </c>
      <c r="R356" s="199"/>
      <c r="S356" s="200">
        <f>W356+Y356+AA356+AC356+AE356+AG356+AI356+AK356+AM356+AO356+AQ356+AS356+AU356+AW356</f>
        <v>0</v>
      </c>
      <c r="T356" s="200">
        <f>ROUND(S356*I356,2)</f>
        <v>0</v>
      </c>
      <c r="U356" s="200">
        <f>H356-S356</f>
        <v>8</v>
      </c>
      <c r="V356" s="200">
        <f>ROUND(U356*I356,2)</f>
        <v>72410.67</v>
      </c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77" t="s">
        <v>1</v>
      </c>
      <c r="CC356" s="178" t="s">
        <v>40</v>
      </c>
      <c r="CE356" s="134">
        <f>CD356*H356</f>
        <v>0</v>
      </c>
      <c r="CF356" s="134">
        <v>1.87</v>
      </c>
      <c r="CG356" s="134">
        <f>CF356*H356</f>
        <v>14.96</v>
      </c>
      <c r="CH356" s="134">
        <v>0</v>
      </c>
      <c r="CI356" s="135">
        <f>CH356*H356</f>
        <v>0</v>
      </c>
      <c r="DG356" s="136" t="s">
        <v>328</v>
      </c>
      <c r="DI356" s="136" t="s">
        <v>439</v>
      </c>
      <c r="DJ356" s="136" t="s">
        <v>83</v>
      </c>
      <c r="DN356" s="16" t="s">
        <v>282</v>
      </c>
      <c r="DT356" s="137">
        <f>IF(CC356="základní",J356,0)</f>
        <v>72410.67</v>
      </c>
      <c r="DU356" s="137">
        <f>IF(CC356="snížená",J356,0)</f>
        <v>0</v>
      </c>
      <c r="DV356" s="137">
        <f>IF(CC356="zákl. přenesená",J356,0)</f>
        <v>0</v>
      </c>
      <c r="DW356" s="137">
        <f>IF(CC356="sníž. přenesená",J356,0)</f>
        <v>0</v>
      </c>
      <c r="DX356" s="137">
        <f>IF(CC356="nulová",J356,0)</f>
        <v>0</v>
      </c>
      <c r="DY356" s="16" t="s">
        <v>81</v>
      </c>
      <c r="DZ356" s="137">
        <f>ROUND(I356*H356,2)</f>
        <v>72410.67</v>
      </c>
      <c r="EA356" s="16" t="s">
        <v>95</v>
      </c>
      <c r="EB356" s="136" t="s">
        <v>634</v>
      </c>
    </row>
    <row r="357" spans="2:132" s="1" customFormat="1" ht="39" x14ac:dyDescent="0.2">
      <c r="B357" s="31"/>
      <c r="D357" s="138" t="s">
        <v>289</v>
      </c>
      <c r="F357" s="139" t="s">
        <v>633</v>
      </c>
      <c r="I357" s="140"/>
      <c r="L357" s="31"/>
      <c r="N357" s="213"/>
      <c r="O357" s="214"/>
      <c r="Q357" s="229"/>
      <c r="CB357" s="141"/>
      <c r="CI357" s="50"/>
      <c r="DI357" s="16" t="s">
        <v>289</v>
      </c>
      <c r="DJ357" s="16" t="s">
        <v>83</v>
      </c>
    </row>
    <row r="358" spans="2:132" s="1" customFormat="1" ht="24.2" customHeight="1" x14ac:dyDescent="0.2">
      <c r="B358" s="124"/>
      <c r="C358" s="170" t="s">
        <v>622</v>
      </c>
      <c r="D358" s="170" t="s">
        <v>439</v>
      </c>
      <c r="E358" s="171" t="s">
        <v>640</v>
      </c>
      <c r="F358" s="172" t="s">
        <v>641</v>
      </c>
      <c r="G358" s="173" t="s">
        <v>485</v>
      </c>
      <c r="H358" s="174">
        <v>26</v>
      </c>
      <c r="I358" s="175">
        <v>182.81263010000001</v>
      </c>
      <c r="J358" s="176">
        <f>ROUND(I358*H358,2)</f>
        <v>4753.13</v>
      </c>
      <c r="K358" s="172" t="s">
        <v>293</v>
      </c>
      <c r="L358" s="198">
        <f>S358</f>
        <v>0</v>
      </c>
      <c r="M358" s="206">
        <f>ROUND(L358*I358,2)</f>
        <v>0</v>
      </c>
      <c r="N358" s="211"/>
      <c r="O358" s="212">
        <f>ROUND(N358*I358,2)</f>
        <v>0</v>
      </c>
      <c r="P358" s="207">
        <f>H358-L358-N358</f>
        <v>26</v>
      </c>
      <c r="Q358" s="228">
        <f>ROUND(P358*I358,2)</f>
        <v>4753.13</v>
      </c>
      <c r="R358" s="199"/>
      <c r="S358" s="200">
        <f>W358+Y358+AA358+AC358+AE358+AG358+AI358+AK358+AM358+AO358+AQ358+AS358+AU358+AW358</f>
        <v>0</v>
      </c>
      <c r="T358" s="200">
        <f>ROUND(S358*I358,2)</f>
        <v>0</v>
      </c>
      <c r="U358" s="200">
        <f>H358-S358</f>
        <v>26</v>
      </c>
      <c r="V358" s="200">
        <f>ROUND(U358*I358,2)</f>
        <v>4753.13</v>
      </c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77" t="s">
        <v>1</v>
      </c>
      <c r="CC358" s="178" t="s">
        <v>40</v>
      </c>
      <c r="CE358" s="134">
        <f>CD358*H358</f>
        <v>0</v>
      </c>
      <c r="CF358" s="134">
        <v>2E-3</v>
      </c>
      <c r="CG358" s="134">
        <f>CF358*H358</f>
        <v>5.2000000000000005E-2</v>
      </c>
      <c r="CH358" s="134">
        <v>0</v>
      </c>
      <c r="CI358" s="135">
        <f>CH358*H358</f>
        <v>0</v>
      </c>
      <c r="DG358" s="136" t="s">
        <v>328</v>
      </c>
      <c r="DI358" s="136" t="s">
        <v>439</v>
      </c>
      <c r="DJ358" s="136" t="s">
        <v>83</v>
      </c>
      <c r="DN358" s="16" t="s">
        <v>282</v>
      </c>
      <c r="DT358" s="137">
        <f>IF(CC358="základní",J358,0)</f>
        <v>4753.13</v>
      </c>
      <c r="DU358" s="137">
        <f>IF(CC358="snížená",J358,0)</f>
        <v>0</v>
      </c>
      <c r="DV358" s="137">
        <f>IF(CC358="zákl. přenesená",J358,0)</f>
        <v>0</v>
      </c>
      <c r="DW358" s="137">
        <f>IF(CC358="sníž. přenesená",J358,0)</f>
        <v>0</v>
      </c>
      <c r="DX358" s="137">
        <f>IF(CC358="nulová",J358,0)</f>
        <v>0</v>
      </c>
      <c r="DY358" s="16" t="s">
        <v>81</v>
      </c>
      <c r="DZ358" s="137">
        <f>ROUND(I358*H358,2)</f>
        <v>4753.13</v>
      </c>
      <c r="EA358" s="16" t="s">
        <v>95</v>
      </c>
      <c r="EB358" s="136" t="s">
        <v>642</v>
      </c>
    </row>
    <row r="359" spans="2:132" s="1" customFormat="1" x14ac:dyDescent="0.2">
      <c r="B359" s="31"/>
      <c r="D359" s="138" t="s">
        <v>289</v>
      </c>
      <c r="F359" s="139" t="s">
        <v>641</v>
      </c>
      <c r="I359" s="140"/>
      <c r="L359" s="31"/>
      <c r="N359" s="213"/>
      <c r="O359" s="214"/>
      <c r="Q359" s="229"/>
      <c r="CB359" s="141"/>
      <c r="CI359" s="50"/>
      <c r="DI359" s="16" t="s">
        <v>289</v>
      </c>
      <c r="DJ359" s="16" t="s">
        <v>83</v>
      </c>
    </row>
    <row r="360" spans="2:132" s="1" customFormat="1" ht="24.2" customHeight="1" x14ac:dyDescent="0.2">
      <c r="B360" s="124"/>
      <c r="C360" s="125" t="s">
        <v>627</v>
      </c>
      <c r="D360" s="125" t="s">
        <v>284</v>
      </c>
      <c r="E360" s="126" t="s">
        <v>928</v>
      </c>
      <c r="F360" s="127" t="s">
        <v>929</v>
      </c>
      <c r="G360" s="128" t="s">
        <v>485</v>
      </c>
      <c r="H360" s="129">
        <v>1</v>
      </c>
      <c r="I360" s="130">
        <v>6179.0606386784812</v>
      </c>
      <c r="J360" s="131">
        <f>ROUND(I360*H360,2)</f>
        <v>6179.06</v>
      </c>
      <c r="K360" s="127" t="s">
        <v>293</v>
      </c>
      <c r="L360" s="198">
        <f>S360</f>
        <v>0</v>
      </c>
      <c r="M360" s="206">
        <f>ROUND(L360*I360,2)</f>
        <v>0</v>
      </c>
      <c r="N360" s="211"/>
      <c r="O360" s="212">
        <f>ROUND(N360*I360,2)</f>
        <v>0</v>
      </c>
      <c r="P360" s="207">
        <f>H360-L360-N360</f>
        <v>1</v>
      </c>
      <c r="Q360" s="228">
        <f>ROUND(P360*I360,2)</f>
        <v>6179.06</v>
      </c>
      <c r="R360" s="199"/>
      <c r="S360" s="200">
        <f>W360+Y360+AA360+AC360+AE360+AG360+AI360+AK360+AM360+AO360+AQ360+AS360+AU360+AW360</f>
        <v>0</v>
      </c>
      <c r="T360" s="200">
        <f>ROUND(S360*I360,2)</f>
        <v>0</v>
      </c>
      <c r="U360" s="200">
        <f>H360-S360</f>
        <v>1</v>
      </c>
      <c r="V360" s="200">
        <f>ROUND(U360*I360,2)</f>
        <v>6179.06</v>
      </c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0"/>
      <c r="AP360" s="200"/>
      <c r="AQ360" s="200"/>
      <c r="AR360" s="200"/>
      <c r="AS360" s="200"/>
      <c r="AT360" s="200"/>
      <c r="AU360" s="200"/>
      <c r="AV360" s="200"/>
      <c r="AW360" s="200"/>
      <c r="AX360" s="200"/>
      <c r="CB360" s="132" t="s">
        <v>1</v>
      </c>
      <c r="CC360" s="133" t="s">
        <v>40</v>
      </c>
      <c r="CE360" s="134">
        <f>CD360*H360</f>
        <v>0</v>
      </c>
      <c r="CF360" s="134">
        <v>0.10833</v>
      </c>
      <c r="CG360" s="134">
        <f>CF360*H360</f>
        <v>0.10833</v>
      </c>
      <c r="CH360" s="134">
        <v>0</v>
      </c>
      <c r="CI360" s="135">
        <f>CH360*H360</f>
        <v>0</v>
      </c>
      <c r="DG360" s="136" t="s">
        <v>95</v>
      </c>
      <c r="DI360" s="136" t="s">
        <v>284</v>
      </c>
      <c r="DJ360" s="136" t="s">
        <v>83</v>
      </c>
      <c r="DN360" s="16" t="s">
        <v>282</v>
      </c>
      <c r="DT360" s="137">
        <f>IF(CC360="základní",J360,0)</f>
        <v>6179.06</v>
      </c>
      <c r="DU360" s="137">
        <f>IF(CC360="snížená",J360,0)</f>
        <v>0</v>
      </c>
      <c r="DV360" s="137">
        <f>IF(CC360="zákl. přenesená",J360,0)</f>
        <v>0</v>
      </c>
      <c r="DW360" s="137">
        <f>IF(CC360="sníž. přenesená",J360,0)</f>
        <v>0</v>
      </c>
      <c r="DX360" s="137">
        <f>IF(CC360="nulová",J360,0)</f>
        <v>0</v>
      </c>
      <c r="DY360" s="16" t="s">
        <v>81</v>
      </c>
      <c r="DZ360" s="137">
        <f>ROUND(I360*H360,2)</f>
        <v>6179.06</v>
      </c>
      <c r="EA360" s="16" t="s">
        <v>95</v>
      </c>
      <c r="EB360" s="136" t="s">
        <v>930</v>
      </c>
    </row>
    <row r="361" spans="2:132" s="1" customFormat="1" ht="29.25" x14ac:dyDescent="0.2">
      <c r="B361" s="31"/>
      <c r="D361" s="138" t="s">
        <v>289</v>
      </c>
      <c r="F361" s="139" t="s">
        <v>931</v>
      </c>
      <c r="I361" s="140"/>
      <c r="L361" s="31"/>
      <c r="N361" s="213"/>
      <c r="O361" s="214"/>
      <c r="Q361" s="229"/>
      <c r="CB361" s="141"/>
      <c r="CI361" s="50"/>
      <c r="DI361" s="16" t="s">
        <v>289</v>
      </c>
      <c r="DJ361" s="16" t="s">
        <v>83</v>
      </c>
    </row>
    <row r="362" spans="2:132" s="1" customFormat="1" ht="19.5" x14ac:dyDescent="0.2">
      <c r="B362" s="31"/>
      <c r="D362" s="138" t="s">
        <v>299</v>
      </c>
      <c r="F362" s="142" t="s">
        <v>317</v>
      </c>
      <c r="I362" s="140"/>
      <c r="L362" s="31"/>
      <c r="N362" s="213"/>
      <c r="O362" s="214"/>
      <c r="Q362" s="229"/>
      <c r="CB362" s="141"/>
      <c r="CI362" s="50"/>
      <c r="DI362" s="16" t="s">
        <v>299</v>
      </c>
      <c r="DJ362" s="16" t="s">
        <v>83</v>
      </c>
    </row>
    <row r="363" spans="2:132" s="12" customFormat="1" x14ac:dyDescent="0.2">
      <c r="B363" s="149"/>
      <c r="D363" s="138" t="s">
        <v>301</v>
      </c>
      <c r="E363" s="150" t="s">
        <v>1</v>
      </c>
      <c r="F363" s="151" t="s">
        <v>81</v>
      </c>
      <c r="H363" s="152">
        <v>1</v>
      </c>
      <c r="I363" s="153"/>
      <c r="L363" s="149"/>
      <c r="N363" s="217"/>
      <c r="O363" s="218"/>
      <c r="Q363" s="231"/>
      <c r="CB363" s="154"/>
      <c r="CI363" s="155"/>
      <c r="DI363" s="150" t="s">
        <v>301</v>
      </c>
      <c r="DJ363" s="150" t="s">
        <v>83</v>
      </c>
      <c r="DK363" s="12" t="s">
        <v>83</v>
      </c>
      <c r="DL363" s="12" t="s">
        <v>32</v>
      </c>
      <c r="DM363" s="12" t="s">
        <v>81</v>
      </c>
      <c r="DN363" s="150" t="s">
        <v>282</v>
      </c>
    </row>
    <row r="364" spans="2:132" s="1" customFormat="1" ht="24.2" customHeight="1" x14ac:dyDescent="0.2">
      <c r="B364" s="124"/>
      <c r="C364" s="125" t="s">
        <v>631</v>
      </c>
      <c r="D364" s="125" t="s">
        <v>284</v>
      </c>
      <c r="E364" s="126" t="s">
        <v>932</v>
      </c>
      <c r="F364" s="127" t="s">
        <v>933</v>
      </c>
      <c r="G364" s="128" t="s">
        <v>485</v>
      </c>
      <c r="H364" s="129">
        <v>1</v>
      </c>
      <c r="I364" s="130">
        <v>3593.8097854433977</v>
      </c>
      <c r="J364" s="131">
        <f>ROUND(I364*H364,2)</f>
        <v>3593.81</v>
      </c>
      <c r="K364" s="127" t="s">
        <v>293</v>
      </c>
      <c r="L364" s="198">
        <f>S364</f>
        <v>0</v>
      </c>
      <c r="M364" s="206">
        <f>ROUND(L364*I364,2)</f>
        <v>0</v>
      </c>
      <c r="N364" s="211"/>
      <c r="O364" s="212">
        <f>ROUND(N364*I364,2)</f>
        <v>0</v>
      </c>
      <c r="P364" s="207">
        <f>H364-L364-N364</f>
        <v>1</v>
      </c>
      <c r="Q364" s="228">
        <f>ROUND(P364*I364,2)</f>
        <v>3593.81</v>
      </c>
      <c r="R364" s="199"/>
      <c r="S364" s="200">
        <f>W364+Y364+AA364+AC364+AE364+AG364+AI364+AK364+AM364+AO364+AQ364+AS364+AU364+AW364</f>
        <v>0</v>
      </c>
      <c r="T364" s="200">
        <f>ROUND(S364*I364,2)</f>
        <v>0</v>
      </c>
      <c r="U364" s="200">
        <f>H364-S364</f>
        <v>1</v>
      </c>
      <c r="V364" s="200">
        <f>ROUND(U364*I364,2)</f>
        <v>3593.81</v>
      </c>
      <c r="W364" s="200"/>
      <c r="X364" s="200"/>
      <c r="Y364" s="200"/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0"/>
      <c r="AP364" s="200"/>
      <c r="AQ364" s="200"/>
      <c r="AR364" s="200"/>
      <c r="AS364" s="200"/>
      <c r="AT364" s="200"/>
      <c r="AU364" s="200"/>
      <c r="AV364" s="200"/>
      <c r="AW364" s="200"/>
      <c r="AX364" s="200"/>
      <c r="CB364" s="132" t="s">
        <v>1</v>
      </c>
      <c r="CC364" s="133" t="s">
        <v>40</v>
      </c>
      <c r="CE364" s="134">
        <f>CD364*H364</f>
        <v>0</v>
      </c>
      <c r="CF364" s="134">
        <v>2.4240000000000001E-2</v>
      </c>
      <c r="CG364" s="134">
        <f>CF364*H364</f>
        <v>2.4240000000000001E-2</v>
      </c>
      <c r="CH364" s="134">
        <v>0</v>
      </c>
      <c r="CI364" s="135">
        <f>CH364*H364</f>
        <v>0</v>
      </c>
      <c r="DG364" s="136" t="s">
        <v>95</v>
      </c>
      <c r="DI364" s="136" t="s">
        <v>284</v>
      </c>
      <c r="DJ364" s="136" t="s">
        <v>83</v>
      </c>
      <c r="DN364" s="16" t="s">
        <v>282</v>
      </c>
      <c r="DT364" s="137">
        <f>IF(CC364="základní",J364,0)</f>
        <v>3593.81</v>
      </c>
      <c r="DU364" s="137">
        <f>IF(CC364="snížená",J364,0)</f>
        <v>0</v>
      </c>
      <c r="DV364" s="137">
        <f>IF(CC364="zákl. přenesená",J364,0)</f>
        <v>0</v>
      </c>
      <c r="DW364" s="137">
        <f>IF(CC364="sníž. přenesená",J364,0)</f>
        <v>0</v>
      </c>
      <c r="DX364" s="137">
        <f>IF(CC364="nulová",J364,0)</f>
        <v>0</v>
      </c>
      <c r="DY364" s="16" t="s">
        <v>81</v>
      </c>
      <c r="DZ364" s="137">
        <f>ROUND(I364*H364,2)</f>
        <v>3593.81</v>
      </c>
      <c r="EA364" s="16" t="s">
        <v>95</v>
      </c>
      <c r="EB364" s="136" t="s">
        <v>934</v>
      </c>
    </row>
    <row r="365" spans="2:132" s="1" customFormat="1" ht="19.5" x14ac:dyDescent="0.2">
      <c r="B365" s="31"/>
      <c r="D365" s="138" t="s">
        <v>289</v>
      </c>
      <c r="F365" s="139" t="s">
        <v>935</v>
      </c>
      <c r="I365" s="140"/>
      <c r="L365" s="31"/>
      <c r="N365" s="213"/>
      <c r="O365" s="214"/>
      <c r="Q365" s="229"/>
      <c r="CB365" s="141"/>
      <c r="CI365" s="50"/>
      <c r="DI365" s="16" t="s">
        <v>289</v>
      </c>
      <c r="DJ365" s="16" t="s">
        <v>83</v>
      </c>
    </row>
    <row r="366" spans="2:132" s="1" customFormat="1" ht="24.2" customHeight="1" x14ac:dyDescent="0.2">
      <c r="B366" s="124"/>
      <c r="C366" s="125" t="s">
        <v>635</v>
      </c>
      <c r="D366" s="125" t="s">
        <v>284</v>
      </c>
      <c r="E366" s="126" t="s">
        <v>936</v>
      </c>
      <c r="F366" s="127" t="s">
        <v>937</v>
      </c>
      <c r="G366" s="128" t="s">
        <v>485</v>
      </c>
      <c r="H366" s="129">
        <v>1</v>
      </c>
      <c r="I366" s="130">
        <v>1078.0568828114554</v>
      </c>
      <c r="J366" s="131">
        <f>ROUND(I366*H366,2)</f>
        <v>1078.06</v>
      </c>
      <c r="K366" s="127" t="s">
        <v>293</v>
      </c>
      <c r="L366" s="198">
        <f>S366</f>
        <v>0</v>
      </c>
      <c r="M366" s="206">
        <f>ROUND(L366*I366,2)</f>
        <v>0</v>
      </c>
      <c r="N366" s="211"/>
      <c r="O366" s="212">
        <f>ROUND(N366*I366,2)</f>
        <v>0</v>
      </c>
      <c r="P366" s="207">
        <f>H366-L366-N366</f>
        <v>1</v>
      </c>
      <c r="Q366" s="228">
        <f>ROUND(P366*I366,2)</f>
        <v>1078.06</v>
      </c>
      <c r="R366" s="199"/>
      <c r="S366" s="200">
        <f>W366+Y366+AA366+AC366+AE366+AG366+AI366+AK366+AM366+AO366+AQ366+AS366+AU366+AW366</f>
        <v>0</v>
      </c>
      <c r="T366" s="200">
        <f>ROUND(S366*I366,2)</f>
        <v>0</v>
      </c>
      <c r="U366" s="200">
        <f>H366-S366</f>
        <v>1</v>
      </c>
      <c r="V366" s="200">
        <f>ROUND(U366*I366,2)</f>
        <v>1078.06</v>
      </c>
      <c r="W366" s="200"/>
      <c r="X366" s="200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0"/>
      <c r="AQ366" s="200"/>
      <c r="AR366" s="200"/>
      <c r="AS366" s="200"/>
      <c r="AT366" s="200"/>
      <c r="AU366" s="200"/>
      <c r="AV366" s="200"/>
      <c r="AW366" s="200"/>
      <c r="AX366" s="200"/>
      <c r="CB366" s="132" t="s">
        <v>1</v>
      </c>
      <c r="CC366" s="133" t="s">
        <v>40</v>
      </c>
      <c r="CE366" s="134">
        <f>CD366*H366</f>
        <v>0</v>
      </c>
      <c r="CF366" s="134">
        <v>0</v>
      </c>
      <c r="CG366" s="134">
        <f>CF366*H366</f>
        <v>0</v>
      </c>
      <c r="CH366" s="134">
        <v>0</v>
      </c>
      <c r="CI366" s="135">
        <f>CH366*H366</f>
        <v>0</v>
      </c>
      <c r="DG366" s="136" t="s">
        <v>95</v>
      </c>
      <c r="DI366" s="136" t="s">
        <v>284</v>
      </c>
      <c r="DJ366" s="136" t="s">
        <v>83</v>
      </c>
      <c r="DN366" s="16" t="s">
        <v>282</v>
      </c>
      <c r="DT366" s="137">
        <f>IF(CC366="základní",J366,0)</f>
        <v>1078.06</v>
      </c>
      <c r="DU366" s="137">
        <f>IF(CC366="snížená",J366,0)</f>
        <v>0</v>
      </c>
      <c r="DV366" s="137">
        <f>IF(CC366="zákl. přenesená",J366,0)</f>
        <v>0</v>
      </c>
      <c r="DW366" s="137">
        <f>IF(CC366="sníž. přenesená",J366,0)</f>
        <v>0</v>
      </c>
      <c r="DX366" s="137">
        <f>IF(CC366="nulová",J366,0)</f>
        <v>0</v>
      </c>
      <c r="DY366" s="16" t="s">
        <v>81</v>
      </c>
      <c r="DZ366" s="137">
        <f>ROUND(I366*H366,2)</f>
        <v>1078.06</v>
      </c>
      <c r="EA366" s="16" t="s">
        <v>95</v>
      </c>
      <c r="EB366" s="136" t="s">
        <v>938</v>
      </c>
    </row>
    <row r="367" spans="2:132" s="1" customFormat="1" ht="19.5" x14ac:dyDescent="0.2">
      <c r="B367" s="31"/>
      <c r="D367" s="138" t="s">
        <v>289</v>
      </c>
      <c r="F367" s="139" t="s">
        <v>939</v>
      </c>
      <c r="I367" s="140"/>
      <c r="L367" s="31"/>
      <c r="N367" s="213"/>
      <c r="O367" s="214"/>
      <c r="Q367" s="229"/>
      <c r="CB367" s="141"/>
      <c r="CI367" s="50"/>
      <c r="DI367" s="16" t="s">
        <v>289</v>
      </c>
      <c r="DJ367" s="16" t="s">
        <v>83</v>
      </c>
    </row>
    <row r="368" spans="2:132" s="1" customFormat="1" ht="24.2" customHeight="1" x14ac:dyDescent="0.2">
      <c r="B368" s="124"/>
      <c r="C368" s="125" t="s">
        <v>639</v>
      </c>
      <c r="D368" s="125" t="s">
        <v>284</v>
      </c>
      <c r="E368" s="126" t="s">
        <v>940</v>
      </c>
      <c r="F368" s="127" t="s">
        <v>941</v>
      </c>
      <c r="G368" s="128" t="s">
        <v>485</v>
      </c>
      <c r="H368" s="129">
        <v>1</v>
      </c>
      <c r="I368" s="130">
        <v>8864.0454366400263</v>
      </c>
      <c r="J368" s="131">
        <f>ROUND(I368*H368,2)</f>
        <v>8864.0499999999993</v>
      </c>
      <c r="K368" s="127" t="s">
        <v>293</v>
      </c>
      <c r="L368" s="198">
        <f>S368</f>
        <v>0</v>
      </c>
      <c r="M368" s="206">
        <f>ROUND(L368*I368,2)</f>
        <v>0</v>
      </c>
      <c r="N368" s="211"/>
      <c r="O368" s="212">
        <f>ROUND(N368*I368,2)</f>
        <v>0</v>
      </c>
      <c r="P368" s="207">
        <f>H368-L368-N368</f>
        <v>1</v>
      </c>
      <c r="Q368" s="228">
        <f>ROUND(P368*I368,2)</f>
        <v>8864.0499999999993</v>
      </c>
      <c r="R368" s="199"/>
      <c r="S368" s="200">
        <f>W368+Y368+AA368+AC368+AE368+AG368+AI368+AK368+AM368+AO368+AQ368+AS368+AU368+AW368</f>
        <v>0</v>
      </c>
      <c r="T368" s="200">
        <f>ROUND(S368*I368,2)</f>
        <v>0</v>
      </c>
      <c r="U368" s="200">
        <f>H368-S368</f>
        <v>1</v>
      </c>
      <c r="V368" s="200">
        <f>ROUND(U368*I368,2)</f>
        <v>8864.0499999999993</v>
      </c>
      <c r="W368" s="200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  <c r="AP368" s="200"/>
      <c r="AQ368" s="200"/>
      <c r="AR368" s="200"/>
      <c r="AS368" s="200"/>
      <c r="AT368" s="200"/>
      <c r="AU368" s="200"/>
      <c r="AV368" s="200"/>
      <c r="AW368" s="200"/>
      <c r="AX368" s="200"/>
      <c r="CB368" s="132" t="s">
        <v>1</v>
      </c>
      <c r="CC368" s="133" t="s">
        <v>40</v>
      </c>
      <c r="CE368" s="134">
        <f>CD368*H368</f>
        <v>0</v>
      </c>
      <c r="CF368" s="134">
        <v>0.21007999999999999</v>
      </c>
      <c r="CG368" s="134">
        <f>CF368*H368</f>
        <v>0.21007999999999999</v>
      </c>
      <c r="CH368" s="134">
        <v>0</v>
      </c>
      <c r="CI368" s="135">
        <f>CH368*H368</f>
        <v>0</v>
      </c>
      <c r="DG368" s="136" t="s">
        <v>95</v>
      </c>
      <c r="DI368" s="136" t="s">
        <v>284</v>
      </c>
      <c r="DJ368" s="136" t="s">
        <v>83</v>
      </c>
      <c r="DN368" s="16" t="s">
        <v>282</v>
      </c>
      <c r="DT368" s="137">
        <f>IF(CC368="základní",J368,0)</f>
        <v>8864.0499999999993</v>
      </c>
      <c r="DU368" s="137">
        <f>IF(CC368="snížená",J368,0)</f>
        <v>0</v>
      </c>
      <c r="DV368" s="137">
        <f>IF(CC368="zákl. přenesená",J368,0)</f>
        <v>0</v>
      </c>
      <c r="DW368" s="137">
        <f>IF(CC368="sníž. přenesená",J368,0)</f>
        <v>0</v>
      </c>
      <c r="DX368" s="137">
        <f>IF(CC368="nulová",J368,0)</f>
        <v>0</v>
      </c>
      <c r="DY368" s="16" t="s">
        <v>81</v>
      </c>
      <c r="DZ368" s="137">
        <f>ROUND(I368*H368,2)</f>
        <v>8864.0499999999993</v>
      </c>
      <c r="EA368" s="16" t="s">
        <v>95</v>
      </c>
      <c r="EB368" s="136" t="s">
        <v>942</v>
      </c>
    </row>
    <row r="369" spans="2:132" s="1" customFormat="1" ht="29.25" x14ac:dyDescent="0.2">
      <c r="B369" s="31"/>
      <c r="D369" s="138" t="s">
        <v>289</v>
      </c>
      <c r="F369" s="139" t="s">
        <v>943</v>
      </c>
      <c r="I369" s="140"/>
      <c r="L369" s="31"/>
      <c r="N369" s="213"/>
      <c r="O369" s="214"/>
      <c r="Q369" s="229"/>
      <c r="CB369" s="141"/>
      <c r="CI369" s="50"/>
      <c r="DI369" s="16" t="s">
        <v>289</v>
      </c>
      <c r="DJ369" s="16" t="s">
        <v>83</v>
      </c>
    </row>
    <row r="370" spans="2:132" s="1" customFormat="1" ht="24.2" customHeight="1" x14ac:dyDescent="0.2">
      <c r="B370" s="124"/>
      <c r="C370" s="125" t="s">
        <v>643</v>
      </c>
      <c r="D370" s="125" t="s">
        <v>284</v>
      </c>
      <c r="E370" s="126" t="s">
        <v>651</v>
      </c>
      <c r="F370" s="127" t="s">
        <v>652</v>
      </c>
      <c r="G370" s="128" t="s">
        <v>287</v>
      </c>
      <c r="H370" s="129">
        <v>1</v>
      </c>
      <c r="I370" s="130">
        <v>33152.549500000001</v>
      </c>
      <c r="J370" s="131">
        <f>ROUND(I370*H370,2)</f>
        <v>33152.550000000003</v>
      </c>
      <c r="K370" s="127" t="s">
        <v>1</v>
      </c>
      <c r="L370" s="198">
        <f>S370</f>
        <v>0</v>
      </c>
      <c r="M370" s="206">
        <f>ROUND(L370*I370,2)</f>
        <v>0</v>
      </c>
      <c r="N370" s="211">
        <v>-1</v>
      </c>
      <c r="O370" s="212">
        <f>ROUND(N370*I370,2)</f>
        <v>-33152.550000000003</v>
      </c>
      <c r="P370" s="207">
        <f>H370-L370-N370</f>
        <v>2</v>
      </c>
      <c r="Q370" s="228">
        <f>ROUND(P370*I370,2)</f>
        <v>66305.100000000006</v>
      </c>
      <c r="R370" s="199"/>
      <c r="S370" s="200">
        <f>W370+Y370+AA370+AC370+AE370+AG370+AI370+AK370+AM370+AO370+AQ370+AS370+AU370+AW370</f>
        <v>0</v>
      </c>
      <c r="T370" s="200">
        <f>ROUND(S370*I370,2)</f>
        <v>0</v>
      </c>
      <c r="U370" s="200">
        <f>H370-S370</f>
        <v>1</v>
      </c>
      <c r="V370" s="200">
        <f>ROUND(U370*I370,2)</f>
        <v>33152.550000000003</v>
      </c>
      <c r="W370" s="200"/>
      <c r="X370" s="200"/>
      <c r="Y370" s="200"/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0"/>
      <c r="AP370" s="200"/>
      <c r="AQ370" s="200"/>
      <c r="AR370" s="200"/>
      <c r="AS370" s="200"/>
      <c r="AT370" s="200"/>
      <c r="AU370" s="200"/>
      <c r="AV370" s="200"/>
      <c r="AW370" s="200"/>
      <c r="AX370" s="200"/>
      <c r="CB370" s="132" t="s">
        <v>1</v>
      </c>
      <c r="CC370" s="133" t="s">
        <v>40</v>
      </c>
      <c r="CE370" s="134">
        <f>CD370*H370</f>
        <v>0</v>
      </c>
      <c r="CF370" s="134">
        <v>4.8207100000000001</v>
      </c>
      <c r="CG370" s="134">
        <f>CF370*H370</f>
        <v>4.8207100000000001</v>
      </c>
      <c r="CH370" s="134">
        <v>0</v>
      </c>
      <c r="CI370" s="135">
        <f>CH370*H370</f>
        <v>0</v>
      </c>
      <c r="DG370" s="136" t="s">
        <v>95</v>
      </c>
      <c r="DI370" s="136" t="s">
        <v>284</v>
      </c>
      <c r="DJ370" s="136" t="s">
        <v>83</v>
      </c>
      <c r="DN370" s="16" t="s">
        <v>282</v>
      </c>
      <c r="DT370" s="137">
        <f>IF(CC370="základní",J370,0)</f>
        <v>33152.550000000003</v>
      </c>
      <c r="DU370" s="137">
        <f>IF(CC370="snížená",J370,0)</f>
        <v>0</v>
      </c>
      <c r="DV370" s="137">
        <f>IF(CC370="zákl. přenesená",J370,0)</f>
        <v>0</v>
      </c>
      <c r="DW370" s="137">
        <f>IF(CC370="sníž. přenesená",J370,0)</f>
        <v>0</v>
      </c>
      <c r="DX370" s="137">
        <f>IF(CC370="nulová",J370,0)</f>
        <v>0</v>
      </c>
      <c r="DY370" s="16" t="s">
        <v>81</v>
      </c>
      <c r="DZ370" s="137">
        <f>ROUND(I370*H370,2)</f>
        <v>33152.550000000003</v>
      </c>
      <c r="EA370" s="16" t="s">
        <v>95</v>
      </c>
      <c r="EB370" s="136" t="s">
        <v>653</v>
      </c>
    </row>
    <row r="371" spans="2:132" s="1" customFormat="1" x14ac:dyDescent="0.2">
      <c r="B371" s="31"/>
      <c r="D371" s="138" t="s">
        <v>289</v>
      </c>
      <c r="F371" s="139" t="s">
        <v>652</v>
      </c>
      <c r="I371" s="140"/>
      <c r="L371" s="31"/>
      <c r="N371" s="213"/>
      <c r="O371" s="214"/>
      <c r="Q371" s="229"/>
      <c r="CB371" s="141"/>
      <c r="CI371" s="50"/>
      <c r="DI371" s="16" t="s">
        <v>289</v>
      </c>
      <c r="DJ371" s="16" t="s">
        <v>83</v>
      </c>
    </row>
    <row r="372" spans="2:132" s="1" customFormat="1" ht="19.5" x14ac:dyDescent="0.2">
      <c r="B372" s="31"/>
      <c r="D372" s="138" t="s">
        <v>299</v>
      </c>
      <c r="F372" s="142" t="s">
        <v>317</v>
      </c>
      <c r="I372" s="140"/>
      <c r="L372" s="31"/>
      <c r="N372" s="213"/>
      <c r="O372" s="214"/>
      <c r="Q372" s="229"/>
      <c r="CB372" s="141"/>
      <c r="CI372" s="50"/>
      <c r="DI372" s="16" t="s">
        <v>299</v>
      </c>
      <c r="DJ372" s="16" t="s">
        <v>83</v>
      </c>
    </row>
    <row r="373" spans="2:132" s="12" customFormat="1" x14ac:dyDescent="0.2">
      <c r="B373" s="149"/>
      <c r="D373" s="138" t="s">
        <v>301</v>
      </c>
      <c r="E373" s="150" t="s">
        <v>1</v>
      </c>
      <c r="F373" s="151" t="s">
        <v>944</v>
      </c>
      <c r="H373" s="152">
        <v>1</v>
      </c>
      <c r="I373" s="153"/>
      <c r="L373" s="149"/>
      <c r="N373" s="217"/>
      <c r="O373" s="218"/>
      <c r="Q373" s="231"/>
      <c r="CB373" s="154"/>
      <c r="CI373" s="155"/>
      <c r="DI373" s="150" t="s">
        <v>301</v>
      </c>
      <c r="DJ373" s="150" t="s">
        <v>83</v>
      </c>
      <c r="DK373" s="12" t="s">
        <v>83</v>
      </c>
      <c r="DL373" s="12" t="s">
        <v>32</v>
      </c>
      <c r="DM373" s="12" t="s">
        <v>81</v>
      </c>
      <c r="DN373" s="150" t="s">
        <v>282</v>
      </c>
    </row>
    <row r="374" spans="2:132" s="1" customFormat="1" ht="37.9" customHeight="1" x14ac:dyDescent="0.2">
      <c r="B374" s="124"/>
      <c r="C374" s="125" t="s">
        <v>650</v>
      </c>
      <c r="D374" s="125" t="s">
        <v>284</v>
      </c>
      <c r="E374" s="126" t="s">
        <v>656</v>
      </c>
      <c r="F374" s="127" t="s">
        <v>657</v>
      </c>
      <c r="G374" s="128" t="s">
        <v>315</v>
      </c>
      <c r="H374" s="129">
        <v>1</v>
      </c>
      <c r="I374" s="130">
        <v>5683.2942000000003</v>
      </c>
      <c r="J374" s="131">
        <f>ROUND(I374*H374,2)</f>
        <v>5683.29</v>
      </c>
      <c r="K374" s="127" t="s">
        <v>1</v>
      </c>
      <c r="L374" s="198">
        <f>S374</f>
        <v>0</v>
      </c>
      <c r="M374" s="206">
        <f>ROUND(L374*I374,2)</f>
        <v>0</v>
      </c>
      <c r="N374" s="211"/>
      <c r="O374" s="212">
        <f>ROUND(N374*I374,2)</f>
        <v>0</v>
      </c>
      <c r="P374" s="207">
        <f>H374-L374-N374</f>
        <v>1</v>
      </c>
      <c r="Q374" s="228">
        <f>ROUND(P374*I374,2)</f>
        <v>5683.29</v>
      </c>
      <c r="R374" s="199"/>
      <c r="S374" s="200">
        <f>W374+Y374+AA374+AC374+AE374+AG374+AI374+AK374+AM374+AO374+AQ374+AS374+AU374+AW374</f>
        <v>0</v>
      </c>
      <c r="T374" s="200">
        <f>ROUND(S374*I374,2)</f>
        <v>0</v>
      </c>
      <c r="U374" s="200">
        <f>H374-S374</f>
        <v>1</v>
      </c>
      <c r="V374" s="200">
        <f>ROUND(U374*I374,2)</f>
        <v>5683.29</v>
      </c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0"/>
      <c r="AP374" s="200"/>
      <c r="AQ374" s="200"/>
      <c r="AR374" s="200"/>
      <c r="AS374" s="200"/>
      <c r="AT374" s="200"/>
      <c r="AU374" s="200"/>
      <c r="AV374" s="200"/>
      <c r="AW374" s="200"/>
      <c r="AX374" s="200"/>
      <c r="CB374" s="132" t="s">
        <v>1</v>
      </c>
      <c r="CC374" s="133" t="s">
        <v>40</v>
      </c>
      <c r="CE374" s="134">
        <f>CD374*H374</f>
        <v>0</v>
      </c>
      <c r="CF374" s="134">
        <v>0</v>
      </c>
      <c r="CG374" s="134">
        <f>CF374*H374</f>
        <v>0</v>
      </c>
      <c r="CH374" s="134">
        <v>0</v>
      </c>
      <c r="CI374" s="135">
        <f>CH374*H374</f>
        <v>0</v>
      </c>
      <c r="DG374" s="136" t="s">
        <v>95</v>
      </c>
      <c r="DI374" s="136" t="s">
        <v>284</v>
      </c>
      <c r="DJ374" s="136" t="s">
        <v>83</v>
      </c>
      <c r="DN374" s="16" t="s">
        <v>282</v>
      </c>
      <c r="DT374" s="137">
        <f>IF(CC374="základní",J374,0)</f>
        <v>5683.29</v>
      </c>
      <c r="DU374" s="137">
        <f>IF(CC374="snížená",J374,0)</f>
        <v>0</v>
      </c>
      <c r="DV374" s="137">
        <f>IF(CC374="zákl. přenesená",J374,0)</f>
        <v>0</v>
      </c>
      <c r="DW374" s="137">
        <f>IF(CC374="sníž. přenesená",J374,0)</f>
        <v>0</v>
      </c>
      <c r="DX374" s="137">
        <f>IF(CC374="nulová",J374,0)</f>
        <v>0</v>
      </c>
      <c r="DY374" s="16" t="s">
        <v>81</v>
      </c>
      <c r="DZ374" s="137">
        <f>ROUND(I374*H374,2)</f>
        <v>5683.29</v>
      </c>
      <c r="EA374" s="16" t="s">
        <v>95</v>
      </c>
      <c r="EB374" s="136" t="s">
        <v>658</v>
      </c>
    </row>
    <row r="375" spans="2:132" s="1" customFormat="1" ht="29.25" x14ac:dyDescent="0.2">
      <c r="B375" s="31"/>
      <c r="D375" s="138" t="s">
        <v>289</v>
      </c>
      <c r="F375" s="139" t="s">
        <v>657</v>
      </c>
      <c r="I375" s="140"/>
      <c r="L375" s="31"/>
      <c r="N375" s="213"/>
      <c r="O375" s="214"/>
      <c r="Q375" s="229"/>
      <c r="CB375" s="141"/>
      <c r="CI375" s="50"/>
      <c r="DI375" s="16" t="s">
        <v>289</v>
      </c>
      <c r="DJ375" s="16" t="s">
        <v>83</v>
      </c>
    </row>
    <row r="376" spans="2:132" s="1" customFormat="1" ht="29.25" x14ac:dyDescent="0.2">
      <c r="B376" s="31"/>
      <c r="D376" s="138" t="s">
        <v>299</v>
      </c>
      <c r="F376" s="142" t="s">
        <v>885</v>
      </c>
      <c r="I376" s="140"/>
      <c r="L376" s="31"/>
      <c r="N376" s="213"/>
      <c r="O376" s="214"/>
      <c r="Q376" s="229"/>
      <c r="CB376" s="141"/>
      <c r="CI376" s="50"/>
      <c r="DI376" s="16" t="s">
        <v>299</v>
      </c>
      <c r="DJ376" s="16" t="s">
        <v>83</v>
      </c>
    </row>
    <row r="377" spans="2:132" s="12" customFormat="1" x14ac:dyDescent="0.2">
      <c r="B377" s="149"/>
      <c r="D377" s="138" t="s">
        <v>301</v>
      </c>
      <c r="E377" s="150" t="s">
        <v>1</v>
      </c>
      <c r="F377" s="151" t="s">
        <v>945</v>
      </c>
      <c r="H377" s="152">
        <v>1</v>
      </c>
      <c r="I377" s="153"/>
      <c r="L377" s="149"/>
      <c r="N377" s="217"/>
      <c r="O377" s="218"/>
      <c r="Q377" s="231"/>
      <c r="CB377" s="154"/>
      <c r="CI377" s="155"/>
      <c r="DI377" s="150" t="s">
        <v>301</v>
      </c>
      <c r="DJ377" s="150" t="s">
        <v>83</v>
      </c>
      <c r="DK377" s="12" t="s">
        <v>83</v>
      </c>
      <c r="DL377" s="12" t="s">
        <v>32</v>
      </c>
      <c r="DM377" s="12" t="s">
        <v>81</v>
      </c>
      <c r="DN377" s="150" t="s">
        <v>282</v>
      </c>
    </row>
    <row r="378" spans="2:132" s="1" customFormat="1" ht="24.2" customHeight="1" x14ac:dyDescent="0.2">
      <c r="B378" s="124"/>
      <c r="C378" s="125" t="s">
        <v>655</v>
      </c>
      <c r="D378" s="125" t="s">
        <v>284</v>
      </c>
      <c r="E378" s="126" t="s">
        <v>661</v>
      </c>
      <c r="F378" s="127" t="s">
        <v>662</v>
      </c>
      <c r="G378" s="128" t="s">
        <v>485</v>
      </c>
      <c r="H378" s="129">
        <v>10</v>
      </c>
      <c r="I378" s="130">
        <v>1019.8832798103068</v>
      </c>
      <c r="J378" s="131">
        <f>ROUND(I378*H378,2)</f>
        <v>10198.83</v>
      </c>
      <c r="K378" s="127" t="s">
        <v>293</v>
      </c>
      <c r="L378" s="198">
        <f>S378</f>
        <v>0</v>
      </c>
      <c r="M378" s="206">
        <f>ROUND(L378*I378,2)</f>
        <v>0</v>
      </c>
      <c r="N378" s="211"/>
      <c r="O378" s="212">
        <f>ROUND(N378*I378,2)</f>
        <v>0</v>
      </c>
      <c r="P378" s="207">
        <f>H378-L378-N378</f>
        <v>10</v>
      </c>
      <c r="Q378" s="228">
        <f>ROUND(P378*I378,2)</f>
        <v>10198.83</v>
      </c>
      <c r="R378" s="199"/>
      <c r="S378" s="200">
        <f>W378+Y378+AA378+AC378+AE378+AG378+AI378+AK378+AM378+AO378+AQ378+AS378+AU378+AW378</f>
        <v>0</v>
      </c>
      <c r="T378" s="200">
        <f>ROUND(S378*I378,2)</f>
        <v>0</v>
      </c>
      <c r="U378" s="200">
        <f>H378-S378</f>
        <v>10</v>
      </c>
      <c r="V378" s="200">
        <f>ROUND(U378*I378,2)</f>
        <v>10198.83</v>
      </c>
      <c r="W378" s="200"/>
      <c r="X378" s="200"/>
      <c r="Y378" s="200"/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0"/>
      <c r="AP378" s="200"/>
      <c r="AQ378" s="200"/>
      <c r="AR378" s="200"/>
      <c r="AS378" s="200"/>
      <c r="AT378" s="200"/>
      <c r="AU378" s="200"/>
      <c r="AV378" s="200"/>
      <c r="AW378" s="200"/>
      <c r="AX378" s="200"/>
      <c r="CB378" s="132" t="s">
        <v>1</v>
      </c>
      <c r="CC378" s="133" t="s">
        <v>40</v>
      </c>
      <c r="CE378" s="134">
        <f>CD378*H378</f>
        <v>0</v>
      </c>
      <c r="CF378" s="134">
        <v>0.21734000000000001</v>
      </c>
      <c r="CG378" s="134">
        <f>CF378*H378</f>
        <v>2.1734</v>
      </c>
      <c r="CH378" s="134">
        <v>0</v>
      </c>
      <c r="CI378" s="135">
        <f>CH378*H378</f>
        <v>0</v>
      </c>
      <c r="DG378" s="136" t="s">
        <v>95</v>
      </c>
      <c r="DI378" s="136" t="s">
        <v>284</v>
      </c>
      <c r="DJ378" s="136" t="s">
        <v>83</v>
      </c>
      <c r="DN378" s="16" t="s">
        <v>282</v>
      </c>
      <c r="DT378" s="137">
        <f>IF(CC378="základní",J378,0)</f>
        <v>10198.83</v>
      </c>
      <c r="DU378" s="137">
        <f>IF(CC378="snížená",J378,0)</f>
        <v>0</v>
      </c>
      <c r="DV378" s="137">
        <f>IF(CC378="zákl. přenesená",J378,0)</f>
        <v>0</v>
      </c>
      <c r="DW378" s="137">
        <f>IF(CC378="sníž. přenesená",J378,0)</f>
        <v>0</v>
      </c>
      <c r="DX378" s="137">
        <f>IF(CC378="nulová",J378,0)</f>
        <v>0</v>
      </c>
      <c r="DY378" s="16" t="s">
        <v>81</v>
      </c>
      <c r="DZ378" s="137">
        <f>ROUND(I378*H378,2)</f>
        <v>10198.83</v>
      </c>
      <c r="EA378" s="16" t="s">
        <v>95</v>
      </c>
      <c r="EB378" s="136" t="s">
        <v>663</v>
      </c>
    </row>
    <row r="379" spans="2:132" s="1" customFormat="1" ht="19.5" x14ac:dyDescent="0.2">
      <c r="B379" s="31"/>
      <c r="D379" s="138" t="s">
        <v>289</v>
      </c>
      <c r="F379" s="139" t="s">
        <v>664</v>
      </c>
      <c r="I379" s="140"/>
      <c r="L379" s="31"/>
      <c r="N379" s="213"/>
      <c r="O379" s="214"/>
      <c r="Q379" s="229"/>
      <c r="CB379" s="141"/>
      <c r="CI379" s="50"/>
      <c r="DI379" s="16" t="s">
        <v>289</v>
      </c>
      <c r="DJ379" s="16" t="s">
        <v>83</v>
      </c>
    </row>
    <row r="380" spans="2:132" s="1" customFormat="1" ht="19.5" x14ac:dyDescent="0.2">
      <c r="B380" s="31"/>
      <c r="D380" s="138" t="s">
        <v>299</v>
      </c>
      <c r="F380" s="142" t="s">
        <v>317</v>
      </c>
      <c r="I380" s="140"/>
      <c r="L380" s="31"/>
      <c r="N380" s="213"/>
      <c r="O380" s="214"/>
      <c r="Q380" s="229"/>
      <c r="CB380" s="141"/>
      <c r="CI380" s="50"/>
      <c r="DI380" s="16" t="s">
        <v>299</v>
      </c>
      <c r="DJ380" s="16" t="s">
        <v>83</v>
      </c>
    </row>
    <row r="381" spans="2:132" s="12" customFormat="1" x14ac:dyDescent="0.2">
      <c r="B381" s="149"/>
      <c r="D381" s="138" t="s">
        <v>301</v>
      </c>
      <c r="E381" s="150" t="s">
        <v>1</v>
      </c>
      <c r="F381" s="151" t="s">
        <v>946</v>
      </c>
      <c r="H381" s="152">
        <v>10</v>
      </c>
      <c r="I381" s="153"/>
      <c r="L381" s="149"/>
      <c r="N381" s="217"/>
      <c r="O381" s="218"/>
      <c r="Q381" s="231"/>
      <c r="CB381" s="154"/>
      <c r="CI381" s="155"/>
      <c r="DI381" s="150" t="s">
        <v>301</v>
      </c>
      <c r="DJ381" s="150" t="s">
        <v>83</v>
      </c>
      <c r="DK381" s="12" t="s">
        <v>83</v>
      </c>
      <c r="DL381" s="12" t="s">
        <v>32</v>
      </c>
      <c r="DM381" s="12" t="s">
        <v>81</v>
      </c>
      <c r="DN381" s="150" t="s">
        <v>282</v>
      </c>
    </row>
    <row r="382" spans="2:132" s="1" customFormat="1" ht="24.2" customHeight="1" x14ac:dyDescent="0.2">
      <c r="B382" s="124"/>
      <c r="C382" s="170" t="s">
        <v>660</v>
      </c>
      <c r="D382" s="170" t="s">
        <v>439</v>
      </c>
      <c r="E382" s="171" t="s">
        <v>667</v>
      </c>
      <c r="F382" s="172" t="s">
        <v>668</v>
      </c>
      <c r="G382" s="173" t="s">
        <v>485</v>
      </c>
      <c r="H382" s="174">
        <v>9</v>
      </c>
      <c r="I382" s="175">
        <v>3125.8118100000002</v>
      </c>
      <c r="J382" s="176">
        <f>ROUND(I382*H382,2)</f>
        <v>28132.31</v>
      </c>
      <c r="K382" s="172" t="s">
        <v>1</v>
      </c>
      <c r="L382" s="198">
        <f>S382</f>
        <v>0</v>
      </c>
      <c r="M382" s="206">
        <f>ROUND(L382*I382,2)</f>
        <v>0</v>
      </c>
      <c r="N382" s="211"/>
      <c r="O382" s="212">
        <f>ROUND(N382*I382,2)</f>
        <v>0</v>
      </c>
      <c r="P382" s="207">
        <f>H382-L382-N382</f>
        <v>9</v>
      </c>
      <c r="Q382" s="228">
        <f>ROUND(P382*I382,2)</f>
        <v>28132.31</v>
      </c>
      <c r="R382" s="199"/>
      <c r="S382" s="200">
        <f>W382+Y382+AA382+AC382+AE382+AG382+AI382+AK382+AM382+AO382+AQ382+AS382+AU382+AW382</f>
        <v>0</v>
      </c>
      <c r="T382" s="200">
        <f>ROUND(S382*I382,2)</f>
        <v>0</v>
      </c>
      <c r="U382" s="200">
        <f>H382-S382</f>
        <v>9</v>
      </c>
      <c r="V382" s="200">
        <f>ROUND(U382*I382,2)</f>
        <v>28132.31</v>
      </c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77" t="s">
        <v>1</v>
      </c>
      <c r="CC382" s="178" t="s">
        <v>40</v>
      </c>
      <c r="CE382" s="134">
        <f>CD382*H382</f>
        <v>0</v>
      </c>
      <c r="CF382" s="134">
        <v>4.5999999999999999E-2</v>
      </c>
      <c r="CG382" s="134">
        <f>CF382*H382</f>
        <v>0.41399999999999998</v>
      </c>
      <c r="CH382" s="134">
        <v>0</v>
      </c>
      <c r="CI382" s="135">
        <f>CH382*H382</f>
        <v>0</v>
      </c>
      <c r="DG382" s="136" t="s">
        <v>328</v>
      </c>
      <c r="DI382" s="136" t="s">
        <v>439</v>
      </c>
      <c r="DJ382" s="136" t="s">
        <v>83</v>
      </c>
      <c r="DN382" s="16" t="s">
        <v>282</v>
      </c>
      <c r="DT382" s="137">
        <f>IF(CC382="základní",J382,0)</f>
        <v>28132.31</v>
      </c>
      <c r="DU382" s="137">
        <f>IF(CC382="snížená",J382,0)</f>
        <v>0</v>
      </c>
      <c r="DV382" s="137">
        <f>IF(CC382="zákl. přenesená",J382,0)</f>
        <v>0</v>
      </c>
      <c r="DW382" s="137">
        <f>IF(CC382="sníž. přenesená",J382,0)</f>
        <v>0</v>
      </c>
      <c r="DX382" s="137">
        <f>IF(CC382="nulová",J382,0)</f>
        <v>0</v>
      </c>
      <c r="DY382" s="16" t="s">
        <v>81</v>
      </c>
      <c r="DZ382" s="137">
        <f>ROUND(I382*H382,2)</f>
        <v>28132.31</v>
      </c>
      <c r="EA382" s="16" t="s">
        <v>95</v>
      </c>
      <c r="EB382" s="136" t="s">
        <v>669</v>
      </c>
    </row>
    <row r="383" spans="2:132" s="1" customFormat="1" ht="19.5" x14ac:dyDescent="0.2">
      <c r="B383" s="31"/>
      <c r="D383" s="138" t="s">
        <v>289</v>
      </c>
      <c r="F383" s="139" t="s">
        <v>668</v>
      </c>
      <c r="I383" s="140"/>
      <c r="L383" s="31"/>
      <c r="N383" s="213"/>
      <c r="O383" s="214"/>
      <c r="Q383" s="229"/>
      <c r="CB383" s="141"/>
      <c r="CI383" s="50"/>
      <c r="DI383" s="16" t="s">
        <v>289</v>
      </c>
      <c r="DJ383" s="16" t="s">
        <v>83</v>
      </c>
    </row>
    <row r="384" spans="2:132" s="1" customFormat="1" ht="24.2" customHeight="1" x14ac:dyDescent="0.2">
      <c r="B384" s="124"/>
      <c r="C384" s="170" t="s">
        <v>666</v>
      </c>
      <c r="D384" s="170" t="s">
        <v>439</v>
      </c>
      <c r="E384" s="171" t="s">
        <v>671</v>
      </c>
      <c r="F384" s="172" t="s">
        <v>672</v>
      </c>
      <c r="G384" s="173" t="s">
        <v>485</v>
      </c>
      <c r="H384" s="174">
        <v>1</v>
      </c>
      <c r="I384" s="175">
        <v>3315.25495</v>
      </c>
      <c r="J384" s="176">
        <f>ROUND(I384*H384,2)</f>
        <v>3315.25</v>
      </c>
      <c r="K384" s="172" t="s">
        <v>1</v>
      </c>
      <c r="L384" s="198">
        <f>S384</f>
        <v>0</v>
      </c>
      <c r="M384" s="206">
        <f>ROUND(L384*I384,2)</f>
        <v>0</v>
      </c>
      <c r="N384" s="211"/>
      <c r="O384" s="212">
        <f>ROUND(N384*I384,2)</f>
        <v>0</v>
      </c>
      <c r="P384" s="207">
        <f>H384-L384-N384</f>
        <v>1</v>
      </c>
      <c r="Q384" s="228">
        <f>ROUND(P384*I384,2)</f>
        <v>3315.25</v>
      </c>
      <c r="R384" s="199"/>
      <c r="S384" s="200">
        <f>W384+Y384+AA384+AC384+AE384+AG384+AI384+AK384+AM384+AO384+AQ384+AS384+AU384+AW384</f>
        <v>0</v>
      </c>
      <c r="T384" s="200">
        <f>ROUND(S384*I384,2)</f>
        <v>0</v>
      </c>
      <c r="U384" s="200">
        <f>H384-S384</f>
        <v>1</v>
      </c>
      <c r="V384" s="200">
        <f>ROUND(U384*I384,2)</f>
        <v>3315.25</v>
      </c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77" t="s">
        <v>1</v>
      </c>
      <c r="CC384" s="178" t="s">
        <v>40</v>
      </c>
      <c r="CE384" s="134">
        <f>CD384*H384</f>
        <v>0</v>
      </c>
      <c r="CF384" s="134">
        <v>4.5999999999999999E-2</v>
      </c>
      <c r="CG384" s="134">
        <f>CF384*H384</f>
        <v>4.5999999999999999E-2</v>
      </c>
      <c r="CH384" s="134">
        <v>0</v>
      </c>
      <c r="CI384" s="135">
        <f>CH384*H384</f>
        <v>0</v>
      </c>
      <c r="DG384" s="136" t="s">
        <v>328</v>
      </c>
      <c r="DI384" s="136" t="s">
        <v>439</v>
      </c>
      <c r="DJ384" s="136" t="s">
        <v>83</v>
      </c>
      <c r="DN384" s="16" t="s">
        <v>282</v>
      </c>
      <c r="DT384" s="137">
        <f>IF(CC384="základní",J384,0)</f>
        <v>3315.25</v>
      </c>
      <c r="DU384" s="137">
        <f>IF(CC384="snížená",J384,0)</f>
        <v>0</v>
      </c>
      <c r="DV384" s="137">
        <f>IF(CC384="zákl. přenesená",J384,0)</f>
        <v>0</v>
      </c>
      <c r="DW384" s="137">
        <f>IF(CC384="sníž. přenesená",J384,0)</f>
        <v>0</v>
      </c>
      <c r="DX384" s="137">
        <f>IF(CC384="nulová",J384,0)</f>
        <v>0</v>
      </c>
      <c r="DY384" s="16" t="s">
        <v>81</v>
      </c>
      <c r="DZ384" s="137">
        <f>ROUND(I384*H384,2)</f>
        <v>3315.25</v>
      </c>
      <c r="EA384" s="16" t="s">
        <v>95</v>
      </c>
      <c r="EB384" s="136" t="s">
        <v>673</v>
      </c>
    </row>
    <row r="385" spans="2:132" s="1" customFormat="1" ht="19.5" x14ac:dyDescent="0.2">
      <c r="B385" s="31"/>
      <c r="D385" s="138" t="s">
        <v>289</v>
      </c>
      <c r="F385" s="139" t="s">
        <v>672</v>
      </c>
      <c r="I385" s="140"/>
      <c r="L385" s="31"/>
      <c r="N385" s="213"/>
      <c r="O385" s="214"/>
      <c r="Q385" s="229"/>
      <c r="CB385" s="141"/>
      <c r="CI385" s="50"/>
      <c r="DI385" s="16" t="s">
        <v>289</v>
      </c>
      <c r="DJ385" s="16" t="s">
        <v>83</v>
      </c>
    </row>
    <row r="386" spans="2:132" s="10" customFormat="1" ht="22.9" customHeight="1" x14ac:dyDescent="0.2">
      <c r="B386" s="112"/>
      <c r="D386" s="113" t="s">
        <v>73</v>
      </c>
      <c r="E386" s="122" t="s">
        <v>335</v>
      </c>
      <c r="F386" s="122" t="s">
        <v>674</v>
      </c>
      <c r="I386" s="115"/>
      <c r="J386" s="123">
        <f>DZ386</f>
        <v>40587.81</v>
      </c>
      <c r="L386" s="112"/>
      <c r="M386" s="202">
        <f>M387+M391+M396</f>
        <v>0</v>
      </c>
      <c r="N386" s="223"/>
      <c r="O386" s="224">
        <f t="shared" ref="O386:V386" si="7">O387+O391+O396</f>
        <v>-19062.72</v>
      </c>
      <c r="P386" s="202"/>
      <c r="Q386" s="234">
        <f t="shared" si="7"/>
        <v>59650.520000000004</v>
      </c>
      <c r="R386" s="202"/>
      <c r="S386" s="202"/>
      <c r="T386" s="202">
        <f t="shared" si="7"/>
        <v>0</v>
      </c>
      <c r="U386" s="202"/>
      <c r="V386" s="202">
        <f t="shared" si="7"/>
        <v>40587.81</v>
      </c>
      <c r="CB386" s="117"/>
      <c r="CE386" s="118">
        <f>SUM(CE387:CE400)</f>
        <v>0</v>
      </c>
      <c r="CG386" s="118">
        <f>SUM(CG387:CG400)</f>
        <v>8.1000000000000006E-4</v>
      </c>
      <c r="CI386" s="119">
        <f>SUM(CI387:CI400)</f>
        <v>0</v>
      </c>
      <c r="DG386" s="113" t="s">
        <v>81</v>
      </c>
      <c r="DI386" s="120" t="s">
        <v>73</v>
      </c>
      <c r="DJ386" s="120" t="s">
        <v>81</v>
      </c>
      <c r="DN386" s="113" t="s">
        <v>282</v>
      </c>
      <c r="DZ386" s="121">
        <f>SUM(DZ387:DZ400)</f>
        <v>40587.81</v>
      </c>
    </row>
    <row r="387" spans="2:132" s="1" customFormat="1" ht="14.45" customHeight="1" x14ac:dyDescent="0.2">
      <c r="B387" s="124"/>
      <c r="C387" s="125" t="s">
        <v>670</v>
      </c>
      <c r="D387" s="125" t="s">
        <v>284</v>
      </c>
      <c r="E387" s="126" t="s">
        <v>676</v>
      </c>
      <c r="F387" s="127" t="s">
        <v>677</v>
      </c>
      <c r="G387" s="128" t="s">
        <v>678</v>
      </c>
      <c r="H387" s="129">
        <v>57.5</v>
      </c>
      <c r="I387" s="130">
        <v>331.52549499999998</v>
      </c>
      <c r="J387" s="131">
        <f>ROUND(I387*H387,2)</f>
        <v>19062.72</v>
      </c>
      <c r="K387" s="127" t="s">
        <v>1</v>
      </c>
      <c r="L387" s="198">
        <f>S387</f>
        <v>0</v>
      </c>
      <c r="M387" s="206">
        <f>ROUND(L387*I387,2)</f>
        <v>0</v>
      </c>
      <c r="N387" s="211">
        <v>-57.5</v>
      </c>
      <c r="O387" s="212">
        <f>ROUND(N387*I387,2)</f>
        <v>-19062.72</v>
      </c>
      <c r="P387" s="207">
        <f>H387-L387-N387</f>
        <v>115</v>
      </c>
      <c r="Q387" s="228">
        <f>ROUND(P387*I387,2)</f>
        <v>38125.43</v>
      </c>
      <c r="R387" s="199"/>
      <c r="S387" s="200">
        <f>W387+Y387+AA387+AC387+AE387+AG387+AI387+AK387+AM387+AO387+AQ387+AS387+AU387+AW387</f>
        <v>0</v>
      </c>
      <c r="T387" s="200">
        <f>ROUND(S387*I387,2)</f>
        <v>0</v>
      </c>
      <c r="U387" s="200">
        <f>H387-S387</f>
        <v>57.5</v>
      </c>
      <c r="V387" s="200">
        <f>ROUND(U387*I387,2)</f>
        <v>19062.72</v>
      </c>
      <c r="W387" s="200"/>
      <c r="X387" s="200"/>
      <c r="Y387" s="200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0"/>
      <c r="AP387" s="200"/>
      <c r="AQ387" s="200"/>
      <c r="AR387" s="200"/>
      <c r="AS387" s="200"/>
      <c r="AT387" s="200"/>
      <c r="AU387" s="200"/>
      <c r="AV387" s="200"/>
      <c r="AW387" s="200"/>
      <c r="AX387" s="200"/>
      <c r="CB387" s="132" t="s">
        <v>1</v>
      </c>
      <c r="CC387" s="133" t="s">
        <v>40</v>
      </c>
      <c r="CE387" s="134">
        <f>CD387*H387</f>
        <v>0</v>
      </c>
      <c r="CF387" s="134">
        <v>0</v>
      </c>
      <c r="CG387" s="134">
        <f>CF387*H387</f>
        <v>0</v>
      </c>
      <c r="CH387" s="134">
        <v>0</v>
      </c>
      <c r="CI387" s="135">
        <f>CH387*H387</f>
        <v>0</v>
      </c>
      <c r="DG387" s="136" t="s">
        <v>95</v>
      </c>
      <c r="DI387" s="136" t="s">
        <v>284</v>
      </c>
      <c r="DJ387" s="136" t="s">
        <v>83</v>
      </c>
      <c r="DN387" s="16" t="s">
        <v>282</v>
      </c>
      <c r="DT387" s="137">
        <f>IF(CC387="základní",J387,0)</f>
        <v>19062.72</v>
      </c>
      <c r="DU387" s="137">
        <f>IF(CC387="snížená",J387,0)</f>
        <v>0</v>
      </c>
      <c r="DV387" s="137">
        <f>IF(CC387="zákl. přenesená",J387,0)</f>
        <v>0</v>
      </c>
      <c r="DW387" s="137">
        <f>IF(CC387="sníž. přenesená",J387,0)</f>
        <v>0</v>
      </c>
      <c r="DX387" s="137">
        <f>IF(CC387="nulová",J387,0)</f>
        <v>0</v>
      </c>
      <c r="DY387" s="16" t="s">
        <v>81</v>
      </c>
      <c r="DZ387" s="137">
        <f>ROUND(I387*H387,2)</f>
        <v>19062.72</v>
      </c>
      <c r="EA387" s="16" t="s">
        <v>95</v>
      </c>
      <c r="EB387" s="136" t="s">
        <v>679</v>
      </c>
    </row>
    <row r="388" spans="2:132" s="1" customFormat="1" x14ac:dyDescent="0.2">
      <c r="B388" s="31"/>
      <c r="D388" s="138" t="s">
        <v>289</v>
      </c>
      <c r="F388" s="139" t="s">
        <v>677</v>
      </c>
      <c r="I388" s="140"/>
      <c r="L388" s="31"/>
      <c r="N388" s="213"/>
      <c r="O388" s="214"/>
      <c r="Q388" s="229"/>
      <c r="CB388" s="141"/>
      <c r="CI388" s="50"/>
      <c r="DI388" s="16" t="s">
        <v>289</v>
      </c>
      <c r="DJ388" s="16" t="s">
        <v>83</v>
      </c>
    </row>
    <row r="389" spans="2:132" s="1" customFormat="1" ht="19.5" x14ac:dyDescent="0.2">
      <c r="B389" s="31"/>
      <c r="D389" s="138" t="s">
        <v>299</v>
      </c>
      <c r="F389" s="142" t="s">
        <v>317</v>
      </c>
      <c r="I389" s="140"/>
      <c r="L389" s="31"/>
      <c r="N389" s="213"/>
      <c r="O389" s="214"/>
      <c r="Q389" s="229"/>
      <c r="CB389" s="141"/>
      <c r="CI389" s="50"/>
      <c r="DI389" s="16" t="s">
        <v>299</v>
      </c>
      <c r="DJ389" s="16" t="s">
        <v>83</v>
      </c>
    </row>
    <row r="390" spans="2:132" s="12" customFormat="1" x14ac:dyDescent="0.2">
      <c r="B390" s="149"/>
      <c r="D390" s="138" t="s">
        <v>301</v>
      </c>
      <c r="E390" s="150" t="s">
        <v>1</v>
      </c>
      <c r="F390" s="151" t="s">
        <v>947</v>
      </c>
      <c r="H390" s="152">
        <v>57.5</v>
      </c>
      <c r="I390" s="153"/>
      <c r="L390" s="149"/>
      <c r="N390" s="217"/>
      <c r="O390" s="218"/>
      <c r="Q390" s="231"/>
      <c r="CB390" s="154"/>
      <c r="CI390" s="155"/>
      <c r="DI390" s="150" t="s">
        <v>301</v>
      </c>
      <c r="DJ390" s="150" t="s">
        <v>83</v>
      </c>
      <c r="DK390" s="12" t="s">
        <v>83</v>
      </c>
      <c r="DL390" s="12" t="s">
        <v>32</v>
      </c>
      <c r="DM390" s="12" t="s">
        <v>81</v>
      </c>
      <c r="DN390" s="150" t="s">
        <v>282</v>
      </c>
    </row>
    <row r="391" spans="2:132" s="1" customFormat="1" ht="24.2" customHeight="1" x14ac:dyDescent="0.2">
      <c r="B391" s="124"/>
      <c r="C391" s="125" t="s">
        <v>675</v>
      </c>
      <c r="D391" s="125" t="s">
        <v>284</v>
      </c>
      <c r="E391" s="126" t="s">
        <v>682</v>
      </c>
      <c r="F391" s="127" t="s">
        <v>683</v>
      </c>
      <c r="G391" s="128" t="s">
        <v>344</v>
      </c>
      <c r="H391" s="129">
        <v>9</v>
      </c>
      <c r="I391" s="130">
        <v>118.35908321829292</v>
      </c>
      <c r="J391" s="131">
        <f>ROUND(I391*H391,2)</f>
        <v>1065.23</v>
      </c>
      <c r="K391" s="127" t="s">
        <v>293</v>
      </c>
      <c r="L391" s="198">
        <f>S391</f>
        <v>0</v>
      </c>
      <c r="M391" s="206">
        <f>ROUND(L391*I391,2)</f>
        <v>0</v>
      </c>
      <c r="N391" s="211"/>
      <c r="O391" s="212">
        <f>ROUND(N391*I391,2)</f>
        <v>0</v>
      </c>
      <c r="P391" s="207">
        <f>H391-L391-N391</f>
        <v>9</v>
      </c>
      <c r="Q391" s="228">
        <f>ROUND(P391*I391,2)</f>
        <v>1065.23</v>
      </c>
      <c r="R391" s="199"/>
      <c r="S391" s="200">
        <f>W391+Y391+AA391+AC391+AE391+AG391+AI391+AK391+AM391+AO391+AQ391+AS391+AU391+AW391</f>
        <v>0</v>
      </c>
      <c r="T391" s="200">
        <f>ROUND(S391*I391,2)</f>
        <v>0</v>
      </c>
      <c r="U391" s="200">
        <f>H391-S391</f>
        <v>9</v>
      </c>
      <c r="V391" s="200">
        <f>ROUND(U391*I391,2)</f>
        <v>1065.23</v>
      </c>
      <c r="W391" s="200"/>
      <c r="X391" s="200"/>
      <c r="Y391" s="200"/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0"/>
      <c r="AP391" s="200"/>
      <c r="AQ391" s="200"/>
      <c r="AR391" s="200"/>
      <c r="AS391" s="200"/>
      <c r="AT391" s="200"/>
      <c r="AU391" s="200"/>
      <c r="AV391" s="200"/>
      <c r="AW391" s="200"/>
      <c r="AX391" s="200"/>
      <c r="CB391" s="132" t="s">
        <v>1</v>
      </c>
      <c r="CC391" s="133" t="s">
        <v>40</v>
      </c>
      <c r="CE391" s="134">
        <f>CD391*H391</f>
        <v>0</v>
      </c>
      <c r="CF391" s="134">
        <v>9.0000000000000006E-5</v>
      </c>
      <c r="CG391" s="134">
        <f>CF391*H391</f>
        <v>8.1000000000000006E-4</v>
      </c>
      <c r="CH391" s="134">
        <v>0</v>
      </c>
      <c r="CI391" s="135">
        <f>CH391*H391</f>
        <v>0</v>
      </c>
      <c r="DG391" s="136" t="s">
        <v>95</v>
      </c>
      <c r="DI391" s="136" t="s">
        <v>284</v>
      </c>
      <c r="DJ391" s="136" t="s">
        <v>83</v>
      </c>
      <c r="DN391" s="16" t="s">
        <v>282</v>
      </c>
      <c r="DT391" s="137">
        <f>IF(CC391="základní",J391,0)</f>
        <v>1065.23</v>
      </c>
      <c r="DU391" s="137">
        <f>IF(CC391="snížená",J391,0)</f>
        <v>0</v>
      </c>
      <c r="DV391" s="137">
        <f>IF(CC391="zákl. přenesená",J391,0)</f>
        <v>0</v>
      </c>
      <c r="DW391" s="137">
        <f>IF(CC391="sníž. přenesená",J391,0)</f>
        <v>0</v>
      </c>
      <c r="DX391" s="137">
        <f>IF(CC391="nulová",J391,0)</f>
        <v>0</v>
      </c>
      <c r="DY391" s="16" t="s">
        <v>81</v>
      </c>
      <c r="DZ391" s="137">
        <f>ROUND(I391*H391,2)</f>
        <v>1065.23</v>
      </c>
      <c r="EA391" s="16" t="s">
        <v>95</v>
      </c>
      <c r="EB391" s="136" t="s">
        <v>684</v>
      </c>
    </row>
    <row r="392" spans="2:132" s="1" customFormat="1" ht="39" x14ac:dyDescent="0.2">
      <c r="B392" s="31"/>
      <c r="D392" s="138" t="s">
        <v>289</v>
      </c>
      <c r="F392" s="139" t="s">
        <v>685</v>
      </c>
      <c r="I392" s="140"/>
      <c r="L392" s="31"/>
      <c r="N392" s="213"/>
      <c r="O392" s="214"/>
      <c r="Q392" s="229"/>
      <c r="CB392" s="141"/>
      <c r="CI392" s="50"/>
      <c r="DI392" s="16" t="s">
        <v>289</v>
      </c>
      <c r="DJ392" s="16" t="s">
        <v>83</v>
      </c>
    </row>
    <row r="393" spans="2:132" s="1" customFormat="1" ht="19.5" x14ac:dyDescent="0.2">
      <c r="B393" s="31"/>
      <c r="D393" s="138" t="s">
        <v>299</v>
      </c>
      <c r="F393" s="142" t="s">
        <v>317</v>
      </c>
      <c r="I393" s="140"/>
      <c r="L393" s="31"/>
      <c r="N393" s="213"/>
      <c r="O393" s="214"/>
      <c r="Q393" s="229"/>
      <c r="CB393" s="141"/>
      <c r="CI393" s="50"/>
      <c r="DI393" s="16" t="s">
        <v>299</v>
      </c>
      <c r="DJ393" s="16" t="s">
        <v>83</v>
      </c>
    </row>
    <row r="394" spans="2:132" s="11" customFormat="1" x14ac:dyDescent="0.2">
      <c r="B394" s="143"/>
      <c r="D394" s="138" t="s">
        <v>301</v>
      </c>
      <c r="E394" s="144" t="s">
        <v>1</v>
      </c>
      <c r="F394" s="145" t="s">
        <v>686</v>
      </c>
      <c r="H394" s="144" t="s">
        <v>1</v>
      </c>
      <c r="I394" s="146"/>
      <c r="L394" s="143"/>
      <c r="N394" s="215"/>
      <c r="O394" s="216"/>
      <c r="Q394" s="230"/>
      <c r="CB394" s="147"/>
      <c r="CI394" s="148"/>
      <c r="DI394" s="144" t="s">
        <v>301</v>
      </c>
      <c r="DJ394" s="144" t="s">
        <v>83</v>
      </c>
      <c r="DK394" s="11" t="s">
        <v>81</v>
      </c>
      <c r="DL394" s="11" t="s">
        <v>32</v>
      </c>
      <c r="DM394" s="11" t="s">
        <v>74</v>
      </c>
      <c r="DN394" s="144" t="s">
        <v>282</v>
      </c>
    </row>
    <row r="395" spans="2:132" s="12" customFormat="1" x14ac:dyDescent="0.2">
      <c r="B395" s="149"/>
      <c r="D395" s="138" t="s">
        <v>301</v>
      </c>
      <c r="E395" s="150" t="s">
        <v>1</v>
      </c>
      <c r="F395" s="151" t="s">
        <v>687</v>
      </c>
      <c r="H395" s="152">
        <v>9</v>
      </c>
      <c r="I395" s="153"/>
      <c r="L395" s="149"/>
      <c r="N395" s="217"/>
      <c r="O395" s="218"/>
      <c r="Q395" s="231"/>
      <c r="CB395" s="154"/>
      <c r="CI395" s="155"/>
      <c r="DI395" s="150" t="s">
        <v>301</v>
      </c>
      <c r="DJ395" s="150" t="s">
        <v>83</v>
      </c>
      <c r="DK395" s="12" t="s">
        <v>83</v>
      </c>
      <c r="DL395" s="12" t="s">
        <v>32</v>
      </c>
      <c r="DM395" s="12" t="s">
        <v>81</v>
      </c>
      <c r="DN395" s="150" t="s">
        <v>282</v>
      </c>
    </row>
    <row r="396" spans="2:132" s="1" customFormat="1" ht="14.45" customHeight="1" x14ac:dyDescent="0.2">
      <c r="B396" s="124"/>
      <c r="C396" s="125" t="s">
        <v>681</v>
      </c>
      <c r="D396" s="125" t="s">
        <v>284</v>
      </c>
      <c r="E396" s="126" t="s">
        <v>689</v>
      </c>
      <c r="F396" s="127" t="s">
        <v>690</v>
      </c>
      <c r="G396" s="128" t="s">
        <v>315</v>
      </c>
      <c r="H396" s="129">
        <v>12</v>
      </c>
      <c r="I396" s="130">
        <v>1704.9882600000001</v>
      </c>
      <c r="J396" s="131">
        <f>ROUND(I396*H396,2)</f>
        <v>20459.86</v>
      </c>
      <c r="K396" s="127" t="s">
        <v>1</v>
      </c>
      <c r="L396" s="198">
        <f>S396</f>
        <v>0</v>
      </c>
      <c r="M396" s="206">
        <f>ROUND(L396*I396,2)</f>
        <v>0</v>
      </c>
      <c r="N396" s="211"/>
      <c r="O396" s="212">
        <f>ROUND(N396*I396,2)</f>
        <v>0</v>
      </c>
      <c r="P396" s="207">
        <f>H396-L396-N396</f>
        <v>12</v>
      </c>
      <c r="Q396" s="228">
        <f>ROUND(P396*I396,2)</f>
        <v>20459.86</v>
      </c>
      <c r="R396" s="199"/>
      <c r="S396" s="200">
        <f>W396+Y396+AA396+AC396+AE396+AG396+AI396+AK396+AM396+AO396+AQ396+AS396+AU396+AW396</f>
        <v>0</v>
      </c>
      <c r="T396" s="200">
        <f>ROUND(S396*I396,2)</f>
        <v>0</v>
      </c>
      <c r="U396" s="200">
        <f>H396-S396</f>
        <v>12</v>
      </c>
      <c r="V396" s="200">
        <f>ROUND(U396*I396,2)</f>
        <v>20459.86</v>
      </c>
      <c r="W396" s="200"/>
      <c r="X396" s="200"/>
      <c r="Y396" s="200"/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0"/>
      <c r="AP396" s="200"/>
      <c r="AQ396" s="200"/>
      <c r="AR396" s="200"/>
      <c r="AS396" s="200"/>
      <c r="AT396" s="200"/>
      <c r="AU396" s="200"/>
      <c r="AV396" s="200"/>
      <c r="AW396" s="200"/>
      <c r="AX396" s="200"/>
      <c r="CB396" s="132" t="s">
        <v>1</v>
      </c>
      <c r="CC396" s="133" t="s">
        <v>40</v>
      </c>
      <c r="CE396" s="134">
        <f>CD396*H396</f>
        <v>0</v>
      </c>
      <c r="CF396" s="134">
        <v>0</v>
      </c>
      <c r="CG396" s="134">
        <f>CF396*H396</f>
        <v>0</v>
      </c>
      <c r="CH396" s="134">
        <v>0</v>
      </c>
      <c r="CI396" s="135">
        <f>CH396*H396</f>
        <v>0</v>
      </c>
      <c r="DG396" s="136" t="s">
        <v>95</v>
      </c>
      <c r="DI396" s="136" t="s">
        <v>284</v>
      </c>
      <c r="DJ396" s="136" t="s">
        <v>83</v>
      </c>
      <c r="DN396" s="16" t="s">
        <v>282</v>
      </c>
      <c r="DT396" s="137">
        <f>IF(CC396="základní",J396,0)</f>
        <v>20459.86</v>
      </c>
      <c r="DU396" s="137">
        <f>IF(CC396="snížená",J396,0)</f>
        <v>0</v>
      </c>
      <c r="DV396" s="137">
        <f>IF(CC396="zákl. přenesená",J396,0)</f>
        <v>0</v>
      </c>
      <c r="DW396" s="137">
        <f>IF(CC396="sníž. přenesená",J396,0)</f>
        <v>0</v>
      </c>
      <c r="DX396" s="137">
        <f>IF(CC396="nulová",J396,0)</f>
        <v>0</v>
      </c>
      <c r="DY396" s="16" t="s">
        <v>81</v>
      </c>
      <c r="DZ396" s="137">
        <f>ROUND(I396*H396,2)</f>
        <v>20459.86</v>
      </c>
      <c r="EA396" s="16" t="s">
        <v>95</v>
      </c>
      <c r="EB396" s="136" t="s">
        <v>691</v>
      </c>
    </row>
    <row r="397" spans="2:132" s="1" customFormat="1" ht="48.75" x14ac:dyDescent="0.2">
      <c r="B397" s="31"/>
      <c r="D397" s="138" t="s">
        <v>289</v>
      </c>
      <c r="F397" s="139" t="s">
        <v>692</v>
      </c>
      <c r="I397" s="140"/>
      <c r="L397" s="31"/>
      <c r="N397" s="213"/>
      <c r="O397" s="214"/>
      <c r="Q397" s="229"/>
      <c r="CB397" s="141"/>
      <c r="CI397" s="50"/>
      <c r="DI397" s="16" t="s">
        <v>289</v>
      </c>
      <c r="DJ397" s="16" t="s">
        <v>83</v>
      </c>
    </row>
    <row r="398" spans="2:132" s="1" customFormat="1" ht="19.5" x14ac:dyDescent="0.2">
      <c r="B398" s="31"/>
      <c r="D398" s="138" t="s">
        <v>299</v>
      </c>
      <c r="F398" s="142" t="s">
        <v>693</v>
      </c>
      <c r="I398" s="140"/>
      <c r="L398" s="31"/>
      <c r="N398" s="213"/>
      <c r="O398" s="214"/>
      <c r="Q398" s="229"/>
      <c r="CB398" s="141"/>
      <c r="CI398" s="50"/>
      <c r="DI398" s="16" t="s">
        <v>299</v>
      </c>
      <c r="DJ398" s="16" t="s">
        <v>83</v>
      </c>
    </row>
    <row r="399" spans="2:132" s="11" customFormat="1" x14ac:dyDescent="0.2">
      <c r="B399" s="143"/>
      <c r="D399" s="138" t="s">
        <v>301</v>
      </c>
      <c r="E399" s="144" t="s">
        <v>1</v>
      </c>
      <c r="F399" s="145" t="s">
        <v>694</v>
      </c>
      <c r="H399" s="144" t="s">
        <v>1</v>
      </c>
      <c r="I399" s="146"/>
      <c r="L399" s="143"/>
      <c r="N399" s="215"/>
      <c r="O399" s="216"/>
      <c r="Q399" s="230"/>
      <c r="CB399" s="147"/>
      <c r="CI399" s="148"/>
      <c r="DI399" s="144" t="s">
        <v>301</v>
      </c>
      <c r="DJ399" s="144" t="s">
        <v>83</v>
      </c>
      <c r="DK399" s="11" t="s">
        <v>81</v>
      </c>
      <c r="DL399" s="11" t="s">
        <v>32</v>
      </c>
      <c r="DM399" s="11" t="s">
        <v>74</v>
      </c>
      <c r="DN399" s="144" t="s">
        <v>282</v>
      </c>
    </row>
    <row r="400" spans="2:132" s="12" customFormat="1" x14ac:dyDescent="0.2">
      <c r="B400" s="149"/>
      <c r="D400" s="138" t="s">
        <v>301</v>
      </c>
      <c r="E400" s="150" t="s">
        <v>1</v>
      </c>
      <c r="F400" s="151" t="s">
        <v>327</v>
      </c>
      <c r="H400" s="152">
        <v>12</v>
      </c>
      <c r="I400" s="153"/>
      <c r="L400" s="149"/>
      <c r="N400" s="217"/>
      <c r="O400" s="218"/>
      <c r="Q400" s="231"/>
      <c r="CB400" s="154"/>
      <c r="CI400" s="155"/>
      <c r="DI400" s="150" t="s">
        <v>301</v>
      </c>
      <c r="DJ400" s="150" t="s">
        <v>83</v>
      </c>
      <c r="DK400" s="12" t="s">
        <v>83</v>
      </c>
      <c r="DL400" s="12" t="s">
        <v>32</v>
      </c>
      <c r="DM400" s="12" t="s">
        <v>81</v>
      </c>
      <c r="DN400" s="150" t="s">
        <v>282</v>
      </c>
    </row>
    <row r="401" spans="2:132" s="10" customFormat="1" ht="22.9" customHeight="1" x14ac:dyDescent="0.2">
      <c r="B401" s="112"/>
      <c r="D401" s="113" t="s">
        <v>73</v>
      </c>
      <c r="E401" s="122" t="s">
        <v>695</v>
      </c>
      <c r="F401" s="122" t="s">
        <v>696</v>
      </c>
      <c r="I401" s="115"/>
      <c r="J401" s="123">
        <f>DZ401</f>
        <v>281513.96000000002</v>
      </c>
      <c r="L401" s="112"/>
      <c r="M401" s="202">
        <f>SUM(M402:M418)</f>
        <v>0</v>
      </c>
      <c r="N401" s="223"/>
      <c r="O401" s="224">
        <f t="shared" ref="O401:V401" si="8">SUM(O402:O418)</f>
        <v>281.52</v>
      </c>
      <c r="P401" s="202"/>
      <c r="Q401" s="234">
        <f t="shared" si="8"/>
        <v>281232.46000000002</v>
      </c>
      <c r="R401" s="202"/>
      <c r="S401" s="202"/>
      <c r="T401" s="202">
        <f t="shared" si="8"/>
        <v>0</v>
      </c>
      <c r="U401" s="202"/>
      <c r="V401" s="202">
        <f t="shared" si="8"/>
        <v>281513.96000000002</v>
      </c>
      <c r="CB401" s="117"/>
      <c r="CE401" s="118">
        <f>SUM(CE402:CE420)</f>
        <v>0</v>
      </c>
      <c r="CG401" s="118">
        <f>SUM(CG402:CG420)</f>
        <v>0</v>
      </c>
      <c r="CI401" s="119">
        <f>SUM(CI402:CI420)</f>
        <v>0</v>
      </c>
      <c r="DG401" s="113" t="s">
        <v>81</v>
      </c>
      <c r="DI401" s="120" t="s">
        <v>73</v>
      </c>
      <c r="DJ401" s="120" t="s">
        <v>81</v>
      </c>
      <c r="DN401" s="113" t="s">
        <v>282</v>
      </c>
      <c r="DZ401" s="121">
        <f>SUM(DZ402:DZ420)</f>
        <v>281513.96000000002</v>
      </c>
    </row>
    <row r="402" spans="2:132" s="1" customFormat="1" ht="14.45" customHeight="1" x14ac:dyDescent="0.2">
      <c r="B402" s="124"/>
      <c r="C402" s="125" t="s">
        <v>688</v>
      </c>
      <c r="D402" s="125" t="s">
        <v>284</v>
      </c>
      <c r="E402" s="126" t="s">
        <v>698</v>
      </c>
      <c r="F402" s="127" t="s">
        <v>699</v>
      </c>
      <c r="G402" s="128" t="s">
        <v>418</v>
      </c>
      <c r="H402" s="129">
        <v>712.65</v>
      </c>
      <c r="I402" s="130">
        <v>40.477390926043419</v>
      </c>
      <c r="J402" s="131">
        <f>ROUND(I402*H402,2)</f>
        <v>28846.21</v>
      </c>
      <c r="K402" s="127" t="s">
        <v>293</v>
      </c>
      <c r="L402" s="198">
        <f>S402</f>
        <v>0</v>
      </c>
      <c r="M402" s="206">
        <f>ROUND(L402*I402,2)</f>
        <v>0</v>
      </c>
      <c r="N402" s="211">
        <f>N405</f>
        <v>0.71264999999982592</v>
      </c>
      <c r="O402" s="212">
        <f>ROUND(N402*I402,2)</f>
        <v>28.85</v>
      </c>
      <c r="P402" s="207">
        <f>H402-L402-N402</f>
        <v>711.93735000000015</v>
      </c>
      <c r="Q402" s="228">
        <f>ROUND(P402*I402,2)</f>
        <v>28817.37</v>
      </c>
      <c r="R402" s="199"/>
      <c r="S402" s="200">
        <f>W402+Y402+AA402+AC402+AE402+AG402+AI402+AK402+AM402+AO402+AQ402+AS402+AU402+AW402</f>
        <v>0</v>
      </c>
      <c r="T402" s="200">
        <f>ROUND(S402*I402,2)</f>
        <v>0</v>
      </c>
      <c r="U402" s="200">
        <f>H402-S402</f>
        <v>712.65</v>
      </c>
      <c r="V402" s="200">
        <f>ROUND(U402*I402,2)</f>
        <v>28846.21</v>
      </c>
      <c r="W402" s="200"/>
      <c r="X402" s="200"/>
      <c r="Y402" s="200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0"/>
      <c r="AP402" s="200"/>
      <c r="AQ402" s="200"/>
      <c r="AR402" s="200"/>
      <c r="AS402" s="200"/>
      <c r="AT402" s="200"/>
      <c r="AU402" s="200"/>
      <c r="AV402" s="200"/>
      <c r="AW402" s="200"/>
      <c r="AX402" s="200"/>
      <c r="CB402" s="132" t="s">
        <v>1</v>
      </c>
      <c r="CC402" s="133" t="s">
        <v>40</v>
      </c>
      <c r="CE402" s="134">
        <f>CD402*H402</f>
        <v>0</v>
      </c>
      <c r="CF402" s="134">
        <v>0</v>
      </c>
      <c r="CG402" s="134">
        <f>CF402*H402</f>
        <v>0</v>
      </c>
      <c r="CH402" s="134">
        <v>0</v>
      </c>
      <c r="CI402" s="135">
        <f>CH402*H402</f>
        <v>0</v>
      </c>
      <c r="DG402" s="136" t="s">
        <v>95</v>
      </c>
      <c r="DI402" s="136" t="s">
        <v>284</v>
      </c>
      <c r="DJ402" s="136" t="s">
        <v>83</v>
      </c>
      <c r="DN402" s="16" t="s">
        <v>282</v>
      </c>
      <c r="DT402" s="137">
        <f>IF(CC402="základní",J402,0)</f>
        <v>28846.21</v>
      </c>
      <c r="DU402" s="137">
        <f>IF(CC402="snížená",J402,0)</f>
        <v>0</v>
      </c>
      <c r="DV402" s="137">
        <f>IF(CC402="zákl. přenesená",J402,0)</f>
        <v>0</v>
      </c>
      <c r="DW402" s="137">
        <f>IF(CC402="sníž. přenesená",J402,0)</f>
        <v>0</v>
      </c>
      <c r="DX402" s="137">
        <f>IF(CC402="nulová",J402,0)</f>
        <v>0</v>
      </c>
      <c r="DY402" s="16" t="s">
        <v>81</v>
      </c>
      <c r="DZ402" s="137">
        <f>ROUND(I402*H402,2)</f>
        <v>28846.21</v>
      </c>
      <c r="EA402" s="16" t="s">
        <v>95</v>
      </c>
      <c r="EB402" s="136" t="s">
        <v>700</v>
      </c>
    </row>
    <row r="403" spans="2:132" s="1" customFormat="1" ht="19.5" x14ac:dyDescent="0.2">
      <c r="B403" s="31"/>
      <c r="D403" s="138" t="s">
        <v>289</v>
      </c>
      <c r="F403" s="139" t="s">
        <v>701</v>
      </c>
      <c r="I403" s="140"/>
      <c r="L403" s="31"/>
      <c r="N403" s="213"/>
      <c r="O403" s="214"/>
      <c r="Q403" s="229"/>
      <c r="CB403" s="141"/>
      <c r="CI403" s="50"/>
      <c r="DI403" s="16" t="s">
        <v>289</v>
      </c>
      <c r="DJ403" s="16" t="s">
        <v>83</v>
      </c>
    </row>
    <row r="404" spans="2:132" s="12" customFormat="1" x14ac:dyDescent="0.2">
      <c r="B404" s="149"/>
      <c r="D404" s="138" t="s">
        <v>301</v>
      </c>
      <c r="E404" s="150" t="s">
        <v>1</v>
      </c>
      <c r="F404" s="151" t="s">
        <v>948</v>
      </c>
      <c r="H404" s="152">
        <v>486.92200000000003</v>
      </c>
      <c r="I404" s="153"/>
      <c r="L404" s="149"/>
      <c r="N404" s="217">
        <f>1.001*712.65</f>
        <v>713.36264999999992</v>
      </c>
      <c r="O404" s="218" t="s">
        <v>3868</v>
      </c>
      <c r="Q404" s="231"/>
      <c r="CB404" s="154"/>
      <c r="CI404" s="155"/>
      <c r="DI404" s="150" t="s">
        <v>301</v>
      </c>
      <c r="DJ404" s="150" t="s">
        <v>83</v>
      </c>
      <c r="DK404" s="12" t="s">
        <v>83</v>
      </c>
      <c r="DL404" s="12" t="s">
        <v>32</v>
      </c>
      <c r="DM404" s="12" t="s">
        <v>74</v>
      </c>
      <c r="DN404" s="150" t="s">
        <v>282</v>
      </c>
    </row>
    <row r="405" spans="2:132" s="12" customFormat="1" x14ac:dyDescent="0.2">
      <c r="B405" s="149"/>
      <c r="D405" s="138" t="s">
        <v>301</v>
      </c>
      <c r="E405" s="150" t="s">
        <v>1</v>
      </c>
      <c r="F405" s="151" t="s">
        <v>949</v>
      </c>
      <c r="H405" s="152">
        <v>225.72800000000001</v>
      </c>
      <c r="I405" s="153"/>
      <c r="L405" s="149"/>
      <c r="N405" s="310">
        <f>N404-H406</f>
        <v>0.71264999999982592</v>
      </c>
      <c r="O405" s="218"/>
      <c r="Q405" s="231"/>
      <c r="CB405" s="154"/>
      <c r="CI405" s="155"/>
      <c r="DI405" s="150" t="s">
        <v>301</v>
      </c>
      <c r="DJ405" s="150" t="s">
        <v>83</v>
      </c>
      <c r="DK405" s="12" t="s">
        <v>83</v>
      </c>
      <c r="DL405" s="12" t="s">
        <v>32</v>
      </c>
      <c r="DM405" s="12" t="s">
        <v>74</v>
      </c>
      <c r="DN405" s="150" t="s">
        <v>282</v>
      </c>
    </row>
    <row r="406" spans="2:132" s="13" customFormat="1" x14ac:dyDescent="0.2">
      <c r="B406" s="156"/>
      <c r="D406" s="138" t="s">
        <v>301</v>
      </c>
      <c r="E406" s="157" t="s">
        <v>1</v>
      </c>
      <c r="F406" s="158" t="s">
        <v>305</v>
      </c>
      <c r="H406" s="159">
        <v>712.65000000000009</v>
      </c>
      <c r="I406" s="160"/>
      <c r="L406" s="156"/>
      <c r="N406" s="219"/>
      <c r="O406" s="220"/>
      <c r="Q406" s="232"/>
      <c r="CB406" s="161"/>
      <c r="CI406" s="162"/>
      <c r="DI406" s="157" t="s">
        <v>301</v>
      </c>
      <c r="DJ406" s="157" t="s">
        <v>83</v>
      </c>
      <c r="DK406" s="13" t="s">
        <v>95</v>
      </c>
      <c r="DL406" s="13" t="s">
        <v>32</v>
      </c>
      <c r="DM406" s="13" t="s">
        <v>81</v>
      </c>
      <c r="DN406" s="157" t="s">
        <v>282</v>
      </c>
    </row>
    <row r="407" spans="2:132" s="1" customFormat="1" ht="24.2" customHeight="1" x14ac:dyDescent="0.2">
      <c r="B407" s="124"/>
      <c r="C407" s="125" t="s">
        <v>697</v>
      </c>
      <c r="D407" s="125" t="s">
        <v>284</v>
      </c>
      <c r="E407" s="126" t="s">
        <v>705</v>
      </c>
      <c r="F407" s="127" t="s">
        <v>706</v>
      </c>
      <c r="G407" s="128" t="s">
        <v>418</v>
      </c>
      <c r="H407" s="129">
        <v>9977.1</v>
      </c>
      <c r="I407" s="130">
        <v>3.1192340975392101</v>
      </c>
      <c r="J407" s="131">
        <f>ROUND(I407*H407,2)</f>
        <v>31120.91</v>
      </c>
      <c r="K407" s="127" t="s">
        <v>293</v>
      </c>
      <c r="L407" s="198">
        <f>S407</f>
        <v>0</v>
      </c>
      <c r="M407" s="206">
        <f>ROUND(L407*I407,2)</f>
        <v>0</v>
      </c>
      <c r="N407" s="211">
        <f>N410</f>
        <v>9.977099999998245</v>
      </c>
      <c r="O407" s="212">
        <f>ROUND(N407*I407,2)</f>
        <v>31.12</v>
      </c>
      <c r="P407" s="207">
        <f>H407-L407-N407</f>
        <v>9967.1229000000021</v>
      </c>
      <c r="Q407" s="228">
        <f>ROUND(P407*I407,2)</f>
        <v>31089.79</v>
      </c>
      <c r="R407" s="199"/>
      <c r="S407" s="200">
        <f>W407+Y407+AA407+AC407+AE407+AG407+AI407+AK407+AM407+AO407+AQ407+AS407+AU407+AW407</f>
        <v>0</v>
      </c>
      <c r="T407" s="200">
        <f>ROUND(S407*I407,2)</f>
        <v>0</v>
      </c>
      <c r="U407" s="200">
        <f>H407-S407</f>
        <v>9977.1</v>
      </c>
      <c r="V407" s="200">
        <f>ROUND(U407*I407,2)</f>
        <v>31120.91</v>
      </c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0"/>
      <c r="AP407" s="200"/>
      <c r="AQ407" s="200"/>
      <c r="AR407" s="200"/>
      <c r="AS407" s="200"/>
      <c r="AT407" s="200"/>
      <c r="AU407" s="200"/>
      <c r="AV407" s="200"/>
      <c r="AW407" s="200"/>
      <c r="AX407" s="200"/>
      <c r="CB407" s="132" t="s">
        <v>1</v>
      </c>
      <c r="CC407" s="133" t="s">
        <v>40</v>
      </c>
      <c r="CE407" s="134">
        <f>CD407*H407</f>
        <v>0</v>
      </c>
      <c r="CF407" s="134">
        <v>0</v>
      </c>
      <c r="CG407" s="134">
        <f>CF407*H407</f>
        <v>0</v>
      </c>
      <c r="CH407" s="134">
        <v>0</v>
      </c>
      <c r="CI407" s="135">
        <f>CH407*H407</f>
        <v>0</v>
      </c>
      <c r="DG407" s="136" t="s">
        <v>95</v>
      </c>
      <c r="DI407" s="136" t="s">
        <v>284</v>
      </c>
      <c r="DJ407" s="136" t="s">
        <v>83</v>
      </c>
      <c r="DN407" s="16" t="s">
        <v>282</v>
      </c>
      <c r="DT407" s="137">
        <f>IF(CC407="základní",J407,0)</f>
        <v>31120.91</v>
      </c>
      <c r="DU407" s="137">
        <f>IF(CC407="snížená",J407,0)</f>
        <v>0</v>
      </c>
      <c r="DV407" s="137">
        <f>IF(CC407="zákl. přenesená",J407,0)</f>
        <v>0</v>
      </c>
      <c r="DW407" s="137">
        <f>IF(CC407="sníž. přenesená",J407,0)</f>
        <v>0</v>
      </c>
      <c r="DX407" s="137">
        <f>IF(CC407="nulová",J407,0)</f>
        <v>0</v>
      </c>
      <c r="DY407" s="16" t="s">
        <v>81</v>
      </c>
      <c r="DZ407" s="137">
        <f>ROUND(I407*H407,2)</f>
        <v>31120.91</v>
      </c>
      <c r="EA407" s="16" t="s">
        <v>95</v>
      </c>
      <c r="EB407" s="136" t="s">
        <v>707</v>
      </c>
    </row>
    <row r="408" spans="2:132" s="1" customFormat="1" ht="29.25" x14ac:dyDescent="0.2">
      <c r="B408" s="31"/>
      <c r="D408" s="138" t="s">
        <v>289</v>
      </c>
      <c r="F408" s="139" t="s">
        <v>708</v>
      </c>
      <c r="I408" s="140"/>
      <c r="L408" s="31"/>
      <c r="N408" s="213"/>
      <c r="O408" s="214"/>
      <c r="Q408" s="229"/>
      <c r="CB408" s="141"/>
      <c r="CI408" s="50"/>
      <c r="DI408" s="16" t="s">
        <v>289</v>
      </c>
      <c r="DJ408" s="16" t="s">
        <v>83</v>
      </c>
    </row>
    <row r="409" spans="2:132" s="12" customFormat="1" x14ac:dyDescent="0.2">
      <c r="B409" s="149"/>
      <c r="D409" s="138" t="s">
        <v>301</v>
      </c>
      <c r="E409" s="150" t="s">
        <v>1</v>
      </c>
      <c r="F409" s="151" t="s">
        <v>948</v>
      </c>
      <c r="H409" s="152">
        <v>486.92200000000003</v>
      </c>
      <c r="I409" s="153"/>
      <c r="L409" s="149"/>
      <c r="N409" s="217">
        <f>1.001*9977.1</f>
        <v>9987.0770999999986</v>
      </c>
      <c r="O409" s="218" t="s">
        <v>3869</v>
      </c>
      <c r="Q409" s="231"/>
      <c r="CB409" s="154"/>
      <c r="CI409" s="155"/>
      <c r="DI409" s="150" t="s">
        <v>301</v>
      </c>
      <c r="DJ409" s="150" t="s">
        <v>83</v>
      </c>
      <c r="DK409" s="12" t="s">
        <v>83</v>
      </c>
      <c r="DL409" s="12" t="s">
        <v>32</v>
      </c>
      <c r="DM409" s="12" t="s">
        <v>74</v>
      </c>
      <c r="DN409" s="150" t="s">
        <v>282</v>
      </c>
    </row>
    <row r="410" spans="2:132" s="12" customFormat="1" x14ac:dyDescent="0.2">
      <c r="B410" s="149"/>
      <c r="D410" s="138" t="s">
        <v>301</v>
      </c>
      <c r="E410" s="150" t="s">
        <v>1</v>
      </c>
      <c r="F410" s="151" t="s">
        <v>949</v>
      </c>
      <c r="H410" s="152">
        <v>225.72800000000001</v>
      </c>
      <c r="I410" s="153"/>
      <c r="L410" s="149"/>
      <c r="N410" s="310">
        <f>N409-H412</f>
        <v>9.977099999998245</v>
      </c>
      <c r="O410" s="218"/>
      <c r="Q410" s="231"/>
      <c r="CB410" s="154"/>
      <c r="CI410" s="155"/>
      <c r="DI410" s="150" t="s">
        <v>301</v>
      </c>
      <c r="DJ410" s="150" t="s">
        <v>83</v>
      </c>
      <c r="DK410" s="12" t="s">
        <v>83</v>
      </c>
      <c r="DL410" s="12" t="s">
        <v>32</v>
      </c>
      <c r="DM410" s="12" t="s">
        <v>74</v>
      </c>
      <c r="DN410" s="150" t="s">
        <v>282</v>
      </c>
    </row>
    <row r="411" spans="2:132" s="13" customFormat="1" x14ac:dyDescent="0.2">
      <c r="B411" s="156"/>
      <c r="D411" s="138" t="s">
        <v>301</v>
      </c>
      <c r="E411" s="157" t="s">
        <v>1</v>
      </c>
      <c r="F411" s="158" t="s">
        <v>305</v>
      </c>
      <c r="H411" s="159">
        <v>712.65000000000009</v>
      </c>
      <c r="I411" s="160"/>
      <c r="L411" s="156"/>
      <c r="N411" s="219"/>
      <c r="O411" s="220"/>
      <c r="Q411" s="232"/>
      <c r="CB411" s="161"/>
      <c r="CI411" s="162"/>
      <c r="DI411" s="157" t="s">
        <v>301</v>
      </c>
      <c r="DJ411" s="157" t="s">
        <v>83</v>
      </c>
      <c r="DK411" s="13" t="s">
        <v>95</v>
      </c>
      <c r="DL411" s="13" t="s">
        <v>32</v>
      </c>
      <c r="DM411" s="13" t="s">
        <v>81</v>
      </c>
      <c r="DN411" s="157" t="s">
        <v>282</v>
      </c>
    </row>
    <row r="412" spans="2:132" s="12" customFormat="1" x14ac:dyDescent="0.2">
      <c r="B412" s="149"/>
      <c r="D412" s="138" t="s">
        <v>301</v>
      </c>
      <c r="F412" s="151" t="s">
        <v>950</v>
      </c>
      <c r="H412" s="152">
        <v>9977.1</v>
      </c>
      <c r="I412" s="153"/>
      <c r="L412" s="149"/>
      <c r="N412" s="217"/>
      <c r="O412" s="218"/>
      <c r="Q412" s="231"/>
      <c r="CB412" s="154"/>
      <c r="CI412" s="155"/>
      <c r="DI412" s="150" t="s">
        <v>301</v>
      </c>
      <c r="DJ412" s="150" t="s">
        <v>83</v>
      </c>
      <c r="DK412" s="12" t="s">
        <v>83</v>
      </c>
      <c r="DL412" s="12" t="s">
        <v>3</v>
      </c>
      <c r="DM412" s="12" t="s">
        <v>81</v>
      </c>
      <c r="DN412" s="150" t="s">
        <v>282</v>
      </c>
    </row>
    <row r="413" spans="2:132" s="1" customFormat="1" ht="24.2" customHeight="1" x14ac:dyDescent="0.2">
      <c r="B413" s="124"/>
      <c r="C413" s="125" t="s">
        <v>704</v>
      </c>
      <c r="D413" s="125" t="s">
        <v>284</v>
      </c>
      <c r="E413" s="126" t="s">
        <v>711</v>
      </c>
      <c r="F413" s="127" t="s">
        <v>712</v>
      </c>
      <c r="G413" s="128" t="s">
        <v>418</v>
      </c>
      <c r="H413" s="129">
        <v>712.65</v>
      </c>
      <c r="I413" s="130">
        <v>155.98322812074767</v>
      </c>
      <c r="J413" s="131">
        <f>ROUND(I413*H413,2)</f>
        <v>111161.45</v>
      </c>
      <c r="K413" s="127" t="s">
        <v>293</v>
      </c>
      <c r="L413" s="198">
        <f>S413</f>
        <v>0</v>
      </c>
      <c r="M413" s="206">
        <f>ROUND(L413*I413,2)</f>
        <v>0</v>
      </c>
      <c r="N413" s="211">
        <f>N402</f>
        <v>0.71264999999982592</v>
      </c>
      <c r="O413" s="212">
        <f>ROUND(N413*I413,2)</f>
        <v>111.16</v>
      </c>
      <c r="P413" s="207">
        <f>H413-L413-N413</f>
        <v>711.93735000000015</v>
      </c>
      <c r="Q413" s="228">
        <f>ROUND(P413*I413,2)</f>
        <v>111050.29</v>
      </c>
      <c r="R413" s="199"/>
      <c r="S413" s="200">
        <f>W413+Y413+AA413+AC413+AE413+AG413+AI413+AK413+AM413+AO413+AQ413+AS413+AU413+AW413</f>
        <v>0</v>
      </c>
      <c r="T413" s="200">
        <f>ROUND(S413*I413,2)</f>
        <v>0</v>
      </c>
      <c r="U413" s="200">
        <f>H413-S413</f>
        <v>712.65</v>
      </c>
      <c r="V413" s="200">
        <f>ROUND(U413*I413,2)</f>
        <v>111161.45</v>
      </c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0"/>
      <c r="AP413" s="200"/>
      <c r="AQ413" s="200"/>
      <c r="AR413" s="200"/>
      <c r="AS413" s="200"/>
      <c r="AT413" s="200"/>
      <c r="AU413" s="200"/>
      <c r="AV413" s="200"/>
      <c r="AW413" s="200"/>
      <c r="AX413" s="200"/>
      <c r="CB413" s="132" t="s">
        <v>1</v>
      </c>
      <c r="CC413" s="133" t="s">
        <v>40</v>
      </c>
      <c r="CE413" s="134">
        <f>CD413*H413</f>
        <v>0</v>
      </c>
      <c r="CF413" s="134">
        <v>0</v>
      </c>
      <c r="CG413" s="134">
        <f>CF413*H413</f>
        <v>0</v>
      </c>
      <c r="CH413" s="134">
        <v>0</v>
      </c>
      <c r="CI413" s="135">
        <f>CH413*H413</f>
        <v>0</v>
      </c>
      <c r="DG413" s="136" t="s">
        <v>95</v>
      </c>
      <c r="DI413" s="136" t="s">
        <v>284</v>
      </c>
      <c r="DJ413" s="136" t="s">
        <v>83</v>
      </c>
      <c r="DN413" s="16" t="s">
        <v>282</v>
      </c>
      <c r="DT413" s="137">
        <f>IF(CC413="základní",J413,0)</f>
        <v>111161.45</v>
      </c>
      <c r="DU413" s="137">
        <f>IF(CC413="snížená",J413,0)</f>
        <v>0</v>
      </c>
      <c r="DV413" s="137">
        <f>IF(CC413="zákl. přenesená",J413,0)</f>
        <v>0</v>
      </c>
      <c r="DW413" s="137">
        <f>IF(CC413="sníž. přenesená",J413,0)</f>
        <v>0</v>
      </c>
      <c r="DX413" s="137">
        <f>IF(CC413="nulová",J413,0)</f>
        <v>0</v>
      </c>
      <c r="DY413" s="16" t="s">
        <v>81</v>
      </c>
      <c r="DZ413" s="137">
        <f>ROUND(I413*H413,2)</f>
        <v>111161.45</v>
      </c>
      <c r="EA413" s="16" t="s">
        <v>95</v>
      </c>
      <c r="EB413" s="136" t="s">
        <v>713</v>
      </c>
    </row>
    <row r="414" spans="2:132" s="1" customFormat="1" x14ac:dyDescent="0.2">
      <c r="B414" s="31"/>
      <c r="D414" s="138" t="s">
        <v>289</v>
      </c>
      <c r="F414" s="139" t="s">
        <v>714</v>
      </c>
      <c r="I414" s="140"/>
      <c r="L414" s="31"/>
      <c r="N414" s="213"/>
      <c r="O414" s="214"/>
      <c r="Q414" s="229"/>
      <c r="CB414" s="141"/>
      <c r="CI414" s="50"/>
      <c r="DI414" s="16" t="s">
        <v>289</v>
      </c>
      <c r="DJ414" s="16" t="s">
        <v>83</v>
      </c>
    </row>
    <row r="415" spans="2:132" s="1" customFormat="1" ht="37.9" customHeight="1" x14ac:dyDescent="0.2">
      <c r="B415" s="124"/>
      <c r="C415" s="125" t="s">
        <v>710</v>
      </c>
      <c r="D415" s="125" t="s">
        <v>284</v>
      </c>
      <c r="E415" s="126" t="s">
        <v>716</v>
      </c>
      <c r="F415" s="127" t="s">
        <v>420</v>
      </c>
      <c r="G415" s="128" t="s">
        <v>418</v>
      </c>
      <c r="H415" s="129">
        <v>486.92200000000003</v>
      </c>
      <c r="I415" s="130">
        <v>110.6455721</v>
      </c>
      <c r="J415" s="131">
        <f>ROUND(I415*H415,2)</f>
        <v>53875.76</v>
      </c>
      <c r="K415" s="127" t="s">
        <v>293</v>
      </c>
      <c r="L415" s="198">
        <f>S415</f>
        <v>0</v>
      </c>
      <c r="M415" s="206">
        <f>ROUND(L415*I415,2)</f>
        <v>0</v>
      </c>
      <c r="N415" s="211">
        <f>N417</f>
        <v>0.48692199999993591</v>
      </c>
      <c r="O415" s="212">
        <f>ROUND(N415*I415,2)</f>
        <v>53.88</v>
      </c>
      <c r="P415" s="207">
        <f>H415-L415-N415</f>
        <v>486.43507800000009</v>
      </c>
      <c r="Q415" s="228">
        <f>ROUND(P415*I415,2)</f>
        <v>53821.89</v>
      </c>
      <c r="R415" s="199"/>
      <c r="S415" s="200">
        <f>W415+Y415+AA415+AC415+AE415+AG415+AI415+AK415+AM415+AO415+AQ415+AS415+AU415+AW415</f>
        <v>0</v>
      </c>
      <c r="T415" s="200">
        <f>ROUND(S415*I415,2)</f>
        <v>0</v>
      </c>
      <c r="U415" s="200">
        <f>H415-S415</f>
        <v>486.92200000000003</v>
      </c>
      <c r="V415" s="200">
        <f>ROUND(U415*I415,2)</f>
        <v>53875.76</v>
      </c>
      <c r="W415" s="200"/>
      <c r="X415" s="200"/>
      <c r="Y415" s="200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0"/>
      <c r="AQ415" s="200"/>
      <c r="AR415" s="200"/>
      <c r="AS415" s="200"/>
      <c r="AT415" s="200"/>
      <c r="AU415" s="200"/>
      <c r="AV415" s="200"/>
      <c r="AW415" s="200"/>
      <c r="AX415" s="200"/>
      <c r="CB415" s="132" t="s">
        <v>1</v>
      </c>
      <c r="CC415" s="133" t="s">
        <v>40</v>
      </c>
      <c r="CE415" s="134">
        <f>CD415*H415</f>
        <v>0</v>
      </c>
      <c r="CF415" s="134">
        <v>0</v>
      </c>
      <c r="CG415" s="134">
        <f>CF415*H415</f>
        <v>0</v>
      </c>
      <c r="CH415" s="134">
        <v>0</v>
      </c>
      <c r="CI415" s="135">
        <f>CH415*H415</f>
        <v>0</v>
      </c>
      <c r="DG415" s="136" t="s">
        <v>95</v>
      </c>
      <c r="DI415" s="136" t="s">
        <v>284</v>
      </c>
      <c r="DJ415" s="136" t="s">
        <v>83</v>
      </c>
      <c r="DN415" s="16" t="s">
        <v>282</v>
      </c>
      <c r="DT415" s="137">
        <f>IF(CC415="základní",J415,0)</f>
        <v>53875.76</v>
      </c>
      <c r="DU415" s="137">
        <f>IF(CC415="snížená",J415,0)</f>
        <v>0</v>
      </c>
      <c r="DV415" s="137">
        <f>IF(CC415="zákl. přenesená",J415,0)</f>
        <v>0</v>
      </c>
      <c r="DW415" s="137">
        <f>IF(CC415="sníž. přenesená",J415,0)</f>
        <v>0</v>
      </c>
      <c r="DX415" s="137">
        <f>IF(CC415="nulová",J415,0)</f>
        <v>0</v>
      </c>
      <c r="DY415" s="16" t="s">
        <v>81</v>
      </c>
      <c r="DZ415" s="137">
        <f>ROUND(I415*H415,2)</f>
        <v>53875.76</v>
      </c>
      <c r="EA415" s="16" t="s">
        <v>95</v>
      </c>
      <c r="EB415" s="136" t="s">
        <v>717</v>
      </c>
    </row>
    <row r="416" spans="2:132" s="1" customFormat="1" ht="29.25" x14ac:dyDescent="0.2">
      <c r="B416" s="31"/>
      <c r="D416" s="138" t="s">
        <v>289</v>
      </c>
      <c r="F416" s="139" t="s">
        <v>420</v>
      </c>
      <c r="I416" s="140"/>
      <c r="L416" s="31"/>
      <c r="N416" s="213">
        <f>1.001*486.922</f>
        <v>487.40892199999996</v>
      </c>
      <c r="O416" s="214" t="s">
        <v>3870</v>
      </c>
      <c r="Q416" s="229"/>
      <c r="CB416" s="141"/>
      <c r="CI416" s="50"/>
      <c r="DI416" s="16" t="s">
        <v>289</v>
      </c>
      <c r="DJ416" s="16" t="s">
        <v>83</v>
      </c>
    </row>
    <row r="417" spans="2:132" s="12" customFormat="1" x14ac:dyDescent="0.2">
      <c r="B417" s="149"/>
      <c r="D417" s="138" t="s">
        <v>301</v>
      </c>
      <c r="E417" s="150" t="s">
        <v>1</v>
      </c>
      <c r="F417" s="151" t="s">
        <v>948</v>
      </c>
      <c r="H417" s="152">
        <v>486.92200000000003</v>
      </c>
      <c r="I417" s="153"/>
      <c r="L417" s="149"/>
      <c r="N417" s="310">
        <f>N416-H417</f>
        <v>0.48692199999993591</v>
      </c>
      <c r="O417" s="218"/>
      <c r="Q417" s="231"/>
      <c r="CB417" s="154"/>
      <c r="CI417" s="155"/>
      <c r="DI417" s="150" t="s">
        <v>301</v>
      </c>
      <c r="DJ417" s="150" t="s">
        <v>83</v>
      </c>
      <c r="DK417" s="12" t="s">
        <v>83</v>
      </c>
      <c r="DL417" s="12" t="s">
        <v>32</v>
      </c>
      <c r="DM417" s="12" t="s">
        <v>81</v>
      </c>
      <c r="DN417" s="150" t="s">
        <v>282</v>
      </c>
    </row>
    <row r="418" spans="2:132" s="1" customFormat="1" ht="37.9" customHeight="1" x14ac:dyDescent="0.2">
      <c r="B418" s="124"/>
      <c r="C418" s="125" t="s">
        <v>715</v>
      </c>
      <c r="D418" s="125" t="s">
        <v>284</v>
      </c>
      <c r="E418" s="126" t="s">
        <v>719</v>
      </c>
      <c r="F418" s="127" t="s">
        <v>720</v>
      </c>
      <c r="G418" s="128" t="s">
        <v>418</v>
      </c>
      <c r="H418" s="129">
        <v>225.72800000000001</v>
      </c>
      <c r="I418" s="130">
        <v>250.3439285</v>
      </c>
      <c r="J418" s="131">
        <f>ROUND(I418*H418,2)</f>
        <v>56509.63</v>
      </c>
      <c r="K418" s="127" t="s">
        <v>293</v>
      </c>
      <c r="L418" s="198">
        <f>S418</f>
        <v>0</v>
      </c>
      <c r="M418" s="206">
        <f>ROUND(L418*I418,2)</f>
        <v>0</v>
      </c>
      <c r="N418" s="211">
        <f>N420</f>
        <v>0.22572799999997528</v>
      </c>
      <c r="O418" s="212">
        <f>ROUND(N418*I418,2)</f>
        <v>56.51</v>
      </c>
      <c r="P418" s="207">
        <f>H418-L418-N418</f>
        <v>225.50227200000003</v>
      </c>
      <c r="Q418" s="228">
        <f>ROUND(P418*I418,2)</f>
        <v>56453.120000000003</v>
      </c>
      <c r="R418" s="199"/>
      <c r="S418" s="200">
        <f>W418+Y418+AA418+AC418+AE418+AG418+AI418+AK418+AM418+AO418+AQ418+AS418+AU418+AW418</f>
        <v>0</v>
      </c>
      <c r="T418" s="200">
        <f>ROUND(S418*I418,2)</f>
        <v>0</v>
      </c>
      <c r="U418" s="200">
        <f>H418-S418</f>
        <v>225.72800000000001</v>
      </c>
      <c r="V418" s="200">
        <f>ROUND(U418*I418,2)</f>
        <v>56509.63</v>
      </c>
      <c r="W418" s="200"/>
      <c r="X418" s="200"/>
      <c r="Y418" s="200"/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0"/>
      <c r="AP418" s="200"/>
      <c r="AQ418" s="200"/>
      <c r="AR418" s="200"/>
      <c r="AS418" s="200"/>
      <c r="AT418" s="200"/>
      <c r="AU418" s="200"/>
      <c r="AV418" s="200"/>
      <c r="AW418" s="200"/>
      <c r="AX418" s="200"/>
      <c r="CB418" s="132" t="s">
        <v>1</v>
      </c>
      <c r="CC418" s="133" t="s">
        <v>40</v>
      </c>
      <c r="CE418" s="134">
        <f>CD418*H418</f>
        <v>0</v>
      </c>
      <c r="CF418" s="134">
        <v>0</v>
      </c>
      <c r="CG418" s="134">
        <f>CF418*H418</f>
        <v>0</v>
      </c>
      <c r="CH418" s="134">
        <v>0</v>
      </c>
      <c r="CI418" s="135">
        <f>CH418*H418</f>
        <v>0</v>
      </c>
      <c r="DG418" s="136" t="s">
        <v>95</v>
      </c>
      <c r="DI418" s="136" t="s">
        <v>284</v>
      </c>
      <c r="DJ418" s="136" t="s">
        <v>83</v>
      </c>
      <c r="DN418" s="16" t="s">
        <v>282</v>
      </c>
      <c r="DT418" s="137">
        <f>IF(CC418="základní",J418,0)</f>
        <v>56509.63</v>
      </c>
      <c r="DU418" s="137">
        <f>IF(CC418="snížená",J418,0)</f>
        <v>0</v>
      </c>
      <c r="DV418" s="137">
        <f>IF(CC418="zákl. přenesená",J418,0)</f>
        <v>0</v>
      </c>
      <c r="DW418" s="137">
        <f>IF(CC418="sníž. přenesená",J418,0)</f>
        <v>0</v>
      </c>
      <c r="DX418" s="137">
        <f>IF(CC418="nulová",J418,0)</f>
        <v>0</v>
      </c>
      <c r="DY418" s="16" t="s">
        <v>81</v>
      </c>
      <c r="DZ418" s="137">
        <f>ROUND(I418*H418,2)</f>
        <v>56509.63</v>
      </c>
      <c r="EA418" s="16" t="s">
        <v>95</v>
      </c>
      <c r="EB418" s="136" t="s">
        <v>721</v>
      </c>
    </row>
    <row r="419" spans="2:132" s="1" customFormat="1" ht="29.25" x14ac:dyDescent="0.2">
      <c r="B419" s="31"/>
      <c r="D419" s="138" t="s">
        <v>289</v>
      </c>
      <c r="F419" s="139" t="s">
        <v>720</v>
      </c>
      <c r="I419" s="140"/>
      <c r="L419" s="31"/>
      <c r="N419" s="213">
        <f>1.001*225.728</f>
        <v>225.95372799999998</v>
      </c>
      <c r="O419" s="214" t="s">
        <v>3871</v>
      </c>
      <c r="Q419" s="229"/>
      <c r="CB419" s="141"/>
      <c r="CI419" s="50"/>
      <c r="DI419" s="16" t="s">
        <v>289</v>
      </c>
      <c r="DJ419" s="16" t="s">
        <v>83</v>
      </c>
    </row>
    <row r="420" spans="2:132" s="12" customFormat="1" x14ac:dyDescent="0.2">
      <c r="B420" s="149"/>
      <c r="D420" s="138" t="s">
        <v>301</v>
      </c>
      <c r="E420" s="150" t="s">
        <v>1</v>
      </c>
      <c r="F420" s="151" t="s">
        <v>949</v>
      </c>
      <c r="H420" s="152">
        <v>225.72800000000001</v>
      </c>
      <c r="I420" s="153"/>
      <c r="L420" s="149"/>
      <c r="N420" s="310">
        <f>N419-H420</f>
        <v>0.22572799999997528</v>
      </c>
      <c r="O420" s="218"/>
      <c r="Q420" s="231"/>
      <c r="CB420" s="154"/>
      <c r="CI420" s="155"/>
      <c r="DI420" s="150" t="s">
        <v>301</v>
      </c>
      <c r="DJ420" s="150" t="s">
        <v>83</v>
      </c>
      <c r="DK420" s="12" t="s">
        <v>83</v>
      </c>
      <c r="DL420" s="12" t="s">
        <v>32</v>
      </c>
      <c r="DM420" s="12" t="s">
        <v>81</v>
      </c>
      <c r="DN420" s="150" t="s">
        <v>282</v>
      </c>
    </row>
    <row r="421" spans="2:132" s="10" customFormat="1" ht="22.9" customHeight="1" x14ac:dyDescent="0.2">
      <c r="B421" s="112"/>
      <c r="D421" s="113" t="s">
        <v>73</v>
      </c>
      <c r="E421" s="122" t="s">
        <v>722</v>
      </c>
      <c r="F421" s="122" t="s">
        <v>723</v>
      </c>
      <c r="I421" s="115"/>
      <c r="J421" s="123">
        <f>DZ421</f>
        <v>112666.97</v>
      </c>
      <c r="L421" s="112"/>
      <c r="M421" s="202">
        <f>M422</f>
        <v>0</v>
      </c>
      <c r="N421" s="223"/>
      <c r="O421" s="224">
        <f t="shared" ref="O421:V421" si="9">O422</f>
        <v>112.67</v>
      </c>
      <c r="P421" s="202"/>
      <c r="Q421" s="234">
        <f t="shared" si="9"/>
        <v>112554.3</v>
      </c>
      <c r="R421" s="202"/>
      <c r="S421" s="202"/>
      <c r="T421" s="202">
        <f t="shared" si="9"/>
        <v>0</v>
      </c>
      <c r="U421" s="202"/>
      <c r="V421" s="202">
        <f t="shared" si="9"/>
        <v>112666.97</v>
      </c>
      <c r="CB421" s="117"/>
      <c r="CE421" s="118">
        <f>SUM(CE422:CE425)</f>
        <v>0</v>
      </c>
      <c r="CG421" s="118">
        <f>SUM(CG422:CG425)</f>
        <v>0</v>
      </c>
      <c r="CI421" s="119">
        <f>SUM(CI422:CI425)</f>
        <v>0</v>
      </c>
      <c r="DG421" s="113" t="s">
        <v>81</v>
      </c>
      <c r="DI421" s="120" t="s">
        <v>73</v>
      </c>
      <c r="DJ421" s="120" t="s">
        <v>81</v>
      </c>
      <c r="DN421" s="113" t="s">
        <v>282</v>
      </c>
      <c r="DZ421" s="121">
        <f>SUM(DZ422:DZ425)</f>
        <v>112666.97</v>
      </c>
    </row>
    <row r="422" spans="2:132" s="1" customFormat="1" ht="24.2" customHeight="1" x14ac:dyDescent="0.2">
      <c r="B422" s="124"/>
      <c r="C422" s="125" t="s">
        <v>718</v>
      </c>
      <c r="D422" s="125" t="s">
        <v>284</v>
      </c>
      <c r="E422" s="126" t="s">
        <v>725</v>
      </c>
      <c r="F422" s="127" t="s">
        <v>726</v>
      </c>
      <c r="G422" s="128" t="s">
        <v>418</v>
      </c>
      <c r="H422" s="129">
        <v>124.524</v>
      </c>
      <c r="I422" s="130">
        <v>904.78117744148574</v>
      </c>
      <c r="J422" s="131">
        <f>ROUND(I422*H422,2)</f>
        <v>112666.97</v>
      </c>
      <c r="K422" s="127" t="s">
        <v>293</v>
      </c>
      <c r="L422" s="198">
        <f>S422</f>
        <v>0</v>
      </c>
      <c r="M422" s="206">
        <f>ROUND(L422*I422,2)</f>
        <v>0</v>
      </c>
      <c r="N422" s="211">
        <f>N424</f>
        <v>0.12452399999997965</v>
      </c>
      <c r="O422" s="212">
        <f>ROUND(N422*I422,2)</f>
        <v>112.67</v>
      </c>
      <c r="P422" s="207">
        <f>H422-L422-N422</f>
        <v>124.39947600000002</v>
      </c>
      <c r="Q422" s="228">
        <f>ROUND(P422*I422,2)</f>
        <v>112554.3</v>
      </c>
      <c r="R422" s="199"/>
      <c r="S422" s="200">
        <f>W422+Y422+AA422+AC422+AE422+AG422+AI422+AK422+AM422+AO422+AQ422+AS422+AU422+AW422</f>
        <v>0</v>
      </c>
      <c r="T422" s="200">
        <f>ROUND(S422*I422,2)</f>
        <v>0</v>
      </c>
      <c r="U422" s="200">
        <f>H422-S422</f>
        <v>124.524</v>
      </c>
      <c r="V422" s="200">
        <f>ROUND(U422*I422,2)</f>
        <v>112666.97</v>
      </c>
      <c r="W422" s="200"/>
      <c r="X422" s="200"/>
      <c r="Y422" s="200"/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0"/>
      <c r="AP422" s="200"/>
      <c r="AQ422" s="200"/>
      <c r="AR422" s="200"/>
      <c r="AS422" s="200"/>
      <c r="AT422" s="200"/>
      <c r="AU422" s="200"/>
      <c r="AV422" s="200"/>
      <c r="AW422" s="200"/>
      <c r="AX422" s="200"/>
      <c r="CB422" s="132" t="s">
        <v>1</v>
      </c>
      <c r="CC422" s="133" t="s">
        <v>40</v>
      </c>
      <c r="CE422" s="134">
        <f>CD422*H422</f>
        <v>0</v>
      </c>
      <c r="CF422" s="134">
        <v>0</v>
      </c>
      <c r="CG422" s="134">
        <f>CF422*H422</f>
        <v>0</v>
      </c>
      <c r="CH422" s="134">
        <v>0</v>
      </c>
      <c r="CI422" s="135">
        <f>CH422*H422</f>
        <v>0</v>
      </c>
      <c r="DG422" s="136" t="s">
        <v>95</v>
      </c>
      <c r="DI422" s="136" t="s">
        <v>284</v>
      </c>
      <c r="DJ422" s="136" t="s">
        <v>83</v>
      </c>
      <c r="DN422" s="16" t="s">
        <v>282</v>
      </c>
      <c r="DT422" s="137">
        <f>IF(CC422="základní",J422,0)</f>
        <v>112666.97</v>
      </c>
      <c r="DU422" s="137">
        <f>IF(CC422="snížená",J422,0)</f>
        <v>0</v>
      </c>
      <c r="DV422" s="137">
        <f>IF(CC422="zákl. přenesená",J422,0)</f>
        <v>0</v>
      </c>
      <c r="DW422" s="137">
        <f>IF(CC422="sníž. přenesená",J422,0)</f>
        <v>0</v>
      </c>
      <c r="DX422" s="137">
        <f>IF(CC422="nulová",J422,0)</f>
        <v>0</v>
      </c>
      <c r="DY422" s="16" t="s">
        <v>81</v>
      </c>
      <c r="DZ422" s="137">
        <f>ROUND(I422*H422,2)</f>
        <v>112666.97</v>
      </c>
      <c r="EA422" s="16" t="s">
        <v>95</v>
      </c>
      <c r="EB422" s="136" t="s">
        <v>727</v>
      </c>
    </row>
    <row r="423" spans="2:132" s="1" customFormat="1" ht="29.25" x14ac:dyDescent="0.2">
      <c r="B423" s="31"/>
      <c r="D423" s="138" t="s">
        <v>289</v>
      </c>
      <c r="F423" s="139" t="s">
        <v>728</v>
      </c>
      <c r="I423" s="140"/>
      <c r="L423" s="31"/>
      <c r="N423" s="213">
        <f>1.001*124.524</f>
        <v>124.64852399999998</v>
      </c>
      <c r="O423" s="214" t="s">
        <v>3872</v>
      </c>
      <c r="Q423" s="229"/>
      <c r="CB423" s="141"/>
      <c r="CI423" s="50"/>
      <c r="DI423" s="16" t="s">
        <v>289</v>
      </c>
      <c r="DJ423" s="16" t="s">
        <v>83</v>
      </c>
    </row>
    <row r="424" spans="2:132" s="11" customFormat="1" x14ac:dyDescent="0.2">
      <c r="B424" s="143"/>
      <c r="D424" s="138" t="s">
        <v>301</v>
      </c>
      <c r="E424" s="144" t="s">
        <v>1</v>
      </c>
      <c r="F424" s="145" t="s">
        <v>729</v>
      </c>
      <c r="H424" s="144" t="s">
        <v>1</v>
      </c>
      <c r="I424" s="146"/>
      <c r="L424" s="143"/>
      <c r="N424" s="319">
        <f>N423-H425</f>
        <v>0.12452399999997965</v>
      </c>
      <c r="O424" s="216"/>
      <c r="Q424" s="230"/>
      <c r="CB424" s="147"/>
      <c r="CI424" s="148"/>
      <c r="DI424" s="144" t="s">
        <v>301</v>
      </c>
      <c r="DJ424" s="144" t="s">
        <v>83</v>
      </c>
      <c r="DK424" s="11" t="s">
        <v>81</v>
      </c>
      <c r="DL424" s="11" t="s">
        <v>32</v>
      </c>
      <c r="DM424" s="11" t="s">
        <v>74</v>
      </c>
      <c r="DN424" s="144" t="s">
        <v>282</v>
      </c>
    </row>
    <row r="425" spans="2:132" s="12" customFormat="1" x14ac:dyDescent="0.2">
      <c r="B425" s="149"/>
      <c r="D425" s="138" t="s">
        <v>301</v>
      </c>
      <c r="E425" s="150" t="s">
        <v>1</v>
      </c>
      <c r="F425" s="151" t="s">
        <v>951</v>
      </c>
      <c r="H425" s="152">
        <v>124.524</v>
      </c>
      <c r="I425" s="153"/>
      <c r="L425" s="149"/>
      <c r="N425" s="217"/>
      <c r="O425" s="218"/>
      <c r="Q425" s="231"/>
      <c r="CB425" s="179"/>
      <c r="CC425" s="180"/>
      <c r="CD425" s="180"/>
      <c r="CE425" s="180"/>
      <c r="CF425" s="180"/>
      <c r="CG425" s="180"/>
      <c r="CH425" s="180"/>
      <c r="CI425" s="181"/>
      <c r="DI425" s="150" t="s">
        <v>301</v>
      </c>
      <c r="DJ425" s="150" t="s">
        <v>83</v>
      </c>
      <c r="DK425" s="12" t="s">
        <v>83</v>
      </c>
      <c r="DL425" s="12" t="s">
        <v>32</v>
      </c>
      <c r="DM425" s="12" t="s">
        <v>81</v>
      </c>
      <c r="DN425" s="150" t="s">
        <v>282</v>
      </c>
    </row>
    <row r="426" spans="2:132" s="1" customFormat="1" ht="6.95" customHeight="1" thickBot="1" x14ac:dyDescent="0.25">
      <c r="B426" s="43"/>
      <c r="C426" s="44"/>
      <c r="D426" s="44"/>
      <c r="E426" s="44"/>
      <c r="F426" s="44"/>
      <c r="G426" s="44"/>
      <c r="H426" s="44"/>
      <c r="I426" s="44"/>
      <c r="J426" s="44"/>
      <c r="K426" s="44"/>
      <c r="L426" s="235"/>
      <c r="M426" s="237"/>
      <c r="N426" s="239"/>
      <c r="O426" s="240"/>
      <c r="P426" s="238"/>
      <c r="Q426" s="241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</row>
  </sheetData>
  <autoFilter ref="C124:K425"/>
  <mergeCells count="33">
    <mergeCell ref="AO125:AP125"/>
    <mergeCell ref="AQ125:AR125"/>
    <mergeCell ref="AS125:AT125"/>
    <mergeCell ref="AU125:AV125"/>
    <mergeCell ref="AW125:AX125"/>
    <mergeCell ref="AE125:AF125"/>
    <mergeCell ref="AG125:AH125"/>
    <mergeCell ref="AI125:AJ125"/>
    <mergeCell ref="AK125:AL125"/>
    <mergeCell ref="AM125:AN125"/>
    <mergeCell ref="U125:V125"/>
    <mergeCell ref="W125:X125"/>
    <mergeCell ref="Y125:Z125"/>
    <mergeCell ref="AA125:AB125"/>
    <mergeCell ref="AC125:AD125"/>
    <mergeCell ref="L124:Q124"/>
    <mergeCell ref="L125:M125"/>
    <mergeCell ref="N125:O125"/>
    <mergeCell ref="P125:Q125"/>
    <mergeCell ref="S125:T125"/>
    <mergeCell ref="H123:K123"/>
    <mergeCell ref="E117:H117"/>
    <mergeCell ref="L2:CK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Q451"/>
  <sheetViews>
    <sheetView windowProtection="1" showGridLines="0" topLeftCell="A419" zoomScale="80" zoomScaleNormal="80" workbookViewId="0">
      <selection activeCell="P419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3" customWidth="1"/>
    <col min="13" max="13" width="16.5" customWidth="1"/>
    <col min="14" max="14" width="13.33203125" customWidth="1"/>
    <col min="15" max="15" width="18.33203125" customWidth="1"/>
    <col min="16" max="16" width="13.33203125" hidden="1" customWidth="1"/>
    <col min="17" max="17" width="16.33203125" hidden="1" customWidth="1"/>
    <col min="18" max="120" width="13.33203125" customWidth="1"/>
    <col min="121" max="130" width="16.6640625" customWidth="1"/>
    <col min="131" max="131" width="16.33203125" customWidth="1"/>
    <col min="132" max="132" width="12.33203125" customWidth="1"/>
    <col min="133" max="133" width="15" customWidth="1"/>
    <col min="134" max="134" width="11" customWidth="1"/>
    <col min="135" max="135" width="15" customWidth="1"/>
    <col min="136" max="136" width="16.33203125" customWidth="1"/>
    <col min="137" max="137" width="11" customWidth="1"/>
    <col min="138" max="138" width="15" customWidth="1"/>
    <col min="139" max="139" width="16.33203125" customWidth="1"/>
    <col min="152" max="173" width="9.33203125" hidden="1"/>
  </cols>
  <sheetData>
    <row r="1" spans="2:154" hidden="1" x14ac:dyDescent="0.2"/>
    <row r="2" spans="2:154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8"/>
      <c r="DG2" s="398"/>
      <c r="DH2" s="398"/>
      <c r="DI2" s="398"/>
      <c r="DJ2" s="398"/>
      <c r="DK2" s="398"/>
      <c r="DL2" s="398"/>
      <c r="DM2" s="398"/>
      <c r="DN2" s="398"/>
      <c r="DO2" s="398"/>
      <c r="DP2" s="398"/>
      <c r="DQ2" s="399"/>
      <c r="DR2" s="399"/>
      <c r="DS2" s="399"/>
      <c r="DT2" s="399"/>
      <c r="DU2" s="399"/>
      <c r="DV2" s="399"/>
      <c r="DW2" s="399"/>
      <c r="DX2" s="399"/>
      <c r="DY2" s="399"/>
      <c r="DZ2" s="399"/>
      <c r="EX2" s="16" t="s">
        <v>111</v>
      </c>
    </row>
    <row r="3" spans="2:154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X3" s="16" t="s">
        <v>83</v>
      </c>
    </row>
    <row r="4" spans="2:154" ht="24.95" hidden="1" customHeight="1" x14ac:dyDescent="0.2">
      <c r="B4" s="19"/>
      <c r="D4" s="20" t="s">
        <v>243</v>
      </c>
      <c r="L4" s="19"/>
      <c r="DQ4" s="79" t="s">
        <v>10</v>
      </c>
      <c r="EX4" s="16" t="s">
        <v>3</v>
      </c>
    </row>
    <row r="5" spans="2:154" ht="6.95" hidden="1" customHeight="1" x14ac:dyDescent="0.2">
      <c r="B5" s="19"/>
      <c r="L5" s="19"/>
    </row>
    <row r="6" spans="2:154" ht="12" hidden="1" customHeight="1" x14ac:dyDescent="0.2">
      <c r="B6" s="19"/>
      <c r="D6" s="26" t="s">
        <v>16</v>
      </c>
      <c r="L6" s="19"/>
    </row>
    <row r="7" spans="2:154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54" ht="12.75" hidden="1" x14ac:dyDescent="0.2">
      <c r="B8" s="19"/>
      <c r="D8" s="26" t="s">
        <v>244</v>
      </c>
      <c r="L8" s="19"/>
    </row>
    <row r="9" spans="2:154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54" ht="12" hidden="1" customHeight="1" x14ac:dyDescent="0.2">
      <c r="B10" s="19"/>
      <c r="D10" s="26" t="s">
        <v>246</v>
      </c>
      <c r="L10" s="19"/>
    </row>
    <row r="11" spans="2:154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54" s="1" customFormat="1" ht="12" hidden="1" customHeight="1" x14ac:dyDescent="0.2">
      <c r="B12" s="31"/>
      <c r="D12" s="26" t="s">
        <v>248</v>
      </c>
      <c r="L12" s="31"/>
    </row>
    <row r="13" spans="2:154" s="1" customFormat="1" ht="16.5" hidden="1" customHeight="1" x14ac:dyDescent="0.2">
      <c r="B13" s="31"/>
      <c r="E13" s="432" t="s">
        <v>952</v>
      </c>
      <c r="F13" s="433"/>
      <c r="G13" s="433"/>
      <c r="H13" s="433"/>
      <c r="L13" s="31"/>
    </row>
    <row r="14" spans="2:154" s="1" customFormat="1" hidden="1" x14ac:dyDescent="0.2">
      <c r="B14" s="31"/>
      <c r="L14" s="31"/>
    </row>
    <row r="15" spans="2:154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54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1622334.42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ROUND((SUM(FI121:FI450)),  2)</f>
        <v>1622334.42</v>
      </c>
      <c r="I37" s="84">
        <v>0.21</v>
      </c>
      <c r="J37" s="71">
        <f>ROUND(((SUM(FI121:FI450))*I37),  2)</f>
        <v>340690.23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ROUND((SUM(FJ121:FJ450)),  2)</f>
        <v>0</v>
      </c>
      <c r="I38" s="84">
        <v>0.15</v>
      </c>
      <c r="J38" s="71">
        <f>ROUND(((SUM(FJ121:FJ450))*I38),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ROUND((SUM(FK121:FK450)),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ROUND((SUM(FL121:FL450)),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ROUND((SUM(FM121:FM450)),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1963024.65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00006 - DSO 01.1f Stoka A4a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55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55" s="1" customFormat="1" ht="10.35" hidden="1" customHeight="1" x14ac:dyDescent="0.2">
      <c r="B98" s="31"/>
      <c r="L98" s="31"/>
    </row>
    <row r="99" spans="2:155" s="1" customFormat="1" ht="22.9" hidden="1" customHeight="1" x14ac:dyDescent="0.2">
      <c r="B99" s="31"/>
      <c r="C99" s="95" t="s">
        <v>256</v>
      </c>
      <c r="J99" s="58">
        <f>J121</f>
        <v>1622334.4200000002</v>
      </c>
      <c r="L99" s="31"/>
      <c r="EY99" s="16" t="s">
        <v>257</v>
      </c>
    </row>
    <row r="100" spans="2:155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1622334.4200000002</v>
      </c>
      <c r="L100" s="96"/>
    </row>
    <row r="101" spans="2:155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1059841.7200000002</v>
      </c>
      <c r="L101" s="100"/>
    </row>
    <row r="102" spans="2:155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J291</f>
        <v>41458.730000000003</v>
      </c>
      <c r="L102" s="100"/>
    </row>
    <row r="103" spans="2:155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J296</f>
        <v>26573.450000000004</v>
      </c>
      <c r="L103" s="100"/>
    </row>
    <row r="104" spans="2:155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J330</f>
        <v>136385.01999999999</v>
      </c>
      <c r="L104" s="100"/>
    </row>
    <row r="105" spans="2:155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J349</f>
        <v>263247.77</v>
      </c>
      <c r="L105" s="100"/>
    </row>
    <row r="106" spans="2:155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J415</f>
        <v>10987.43</v>
      </c>
      <c r="L106" s="100"/>
    </row>
    <row r="107" spans="2:155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J426</f>
        <v>44261.549999999996</v>
      </c>
      <c r="L107" s="100"/>
    </row>
    <row r="108" spans="2:155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J446</f>
        <v>39578.75</v>
      </c>
      <c r="L108" s="100"/>
    </row>
    <row r="109" spans="2:155" s="1" customFormat="1" ht="21.75" hidden="1" customHeight="1" x14ac:dyDescent="0.2">
      <c r="B109" s="31"/>
      <c r="L109" s="31"/>
    </row>
    <row r="110" spans="2:155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55" hidden="1" x14ac:dyDescent="0.2"/>
    <row r="112" spans="2:155" hidden="1" x14ac:dyDescent="0.2"/>
    <row r="114" spans="2:173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73" s="1" customFormat="1" ht="24.95" customHeight="1" x14ac:dyDescent="0.2">
      <c r="B115" s="31"/>
      <c r="C115" s="20" t="s">
        <v>3338</v>
      </c>
      <c r="L115" s="31"/>
    </row>
    <row r="116" spans="2:173" s="1" customFormat="1" ht="6.95" customHeight="1" x14ac:dyDescent="0.2">
      <c r="B116" s="31"/>
      <c r="L116" s="31"/>
    </row>
    <row r="117" spans="2:173" s="1" customFormat="1" ht="40.15" customHeight="1" x14ac:dyDescent="0.2">
      <c r="B117" s="31"/>
      <c r="C117" s="26"/>
      <c r="F117" s="24"/>
      <c r="I117" s="26"/>
      <c r="J117" s="29"/>
      <c r="L117" s="31"/>
    </row>
    <row r="118" spans="2:173" s="1" customFormat="1" ht="15.2" customHeight="1" x14ac:dyDescent="0.2">
      <c r="B118" s="31"/>
      <c r="C118" s="26"/>
      <c r="F118" s="24"/>
      <c r="I118" s="26"/>
      <c r="J118" s="29"/>
      <c r="L118" s="31"/>
      <c r="O118" s="358"/>
    </row>
    <row r="119" spans="2:173" s="1" customFormat="1" ht="25.5" customHeight="1" x14ac:dyDescent="0.2">
      <c r="B119" s="31"/>
      <c r="G119" s="430" t="s">
        <v>3305</v>
      </c>
      <c r="H119" s="430"/>
      <c r="I119" s="430"/>
      <c r="J119" s="430"/>
      <c r="K119" s="431"/>
      <c r="L119" s="31"/>
    </row>
    <row r="120" spans="2:173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DQ120" s="52" t="s">
        <v>1</v>
      </c>
      <c r="DR120" s="53" t="s">
        <v>39</v>
      </c>
      <c r="DS120" s="53" t="s">
        <v>273</v>
      </c>
      <c r="DT120" s="53" t="s">
        <v>274</v>
      </c>
      <c r="DU120" s="53" t="s">
        <v>275</v>
      </c>
      <c r="DV120" s="53" t="s">
        <v>276</v>
      </c>
      <c r="DW120" s="53" t="s">
        <v>277</v>
      </c>
      <c r="DX120" s="54" t="s">
        <v>278</v>
      </c>
    </row>
    <row r="121" spans="2:173" s="1" customFormat="1" ht="22.9" customHeight="1" x14ac:dyDescent="0.25">
      <c r="B121" s="31"/>
      <c r="C121" s="57" t="s">
        <v>279</v>
      </c>
      <c r="G121" s="1" t="s">
        <v>3306</v>
      </c>
      <c r="J121" s="108">
        <f>FO121</f>
        <v>1622334.4200000002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3320</v>
      </c>
      <c r="X121" s="444"/>
      <c r="Y121" s="444" t="s">
        <v>3321</v>
      </c>
      <c r="Z121" s="444"/>
      <c r="AA121" s="444" t="s">
        <v>3322</v>
      </c>
      <c r="AB121" s="444"/>
      <c r="AC121" s="444" t="s">
        <v>3323</v>
      </c>
      <c r="AD121" s="444"/>
      <c r="AE121" s="444" t="s">
        <v>3324</v>
      </c>
      <c r="AF121" s="444"/>
      <c r="AG121" s="444" t="s">
        <v>3325</v>
      </c>
      <c r="AH121" s="444"/>
      <c r="AI121" s="444" t="s">
        <v>3326</v>
      </c>
      <c r="AJ121" s="444"/>
      <c r="AK121" s="444" t="s">
        <v>3327</v>
      </c>
      <c r="AL121" s="445"/>
      <c r="DQ121" s="55"/>
      <c r="DR121" s="49"/>
      <c r="DS121" s="49"/>
      <c r="DT121" s="109">
        <f>DT122</f>
        <v>0</v>
      </c>
      <c r="DU121" s="49"/>
      <c r="DV121" s="109">
        <f>DV122</f>
        <v>529.27360080000005</v>
      </c>
      <c r="DW121" s="49"/>
      <c r="DX121" s="110">
        <f>DX122</f>
        <v>114.03646999999998</v>
      </c>
      <c r="EX121" s="16" t="s">
        <v>73</v>
      </c>
      <c r="EY121" s="16" t="s">
        <v>257</v>
      </c>
      <c r="FO121" s="111">
        <f>FO122</f>
        <v>1622334.4200000002</v>
      </c>
    </row>
    <row r="122" spans="2:173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FO122</f>
        <v>1622334.4200000002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4" t="s">
        <v>3328</v>
      </c>
      <c r="AI122" s="194" t="s">
        <v>270</v>
      </c>
      <c r="AJ122" s="194" t="s">
        <v>3328</v>
      </c>
      <c r="AK122" s="194" t="s">
        <v>270</v>
      </c>
      <c r="AL122" s="195" t="s">
        <v>3328</v>
      </c>
      <c r="DQ122" s="117"/>
      <c r="DT122" s="118">
        <f>DT124+DT291+DT296+DT330+DT349+DT415+DT426+DT446</f>
        <v>0</v>
      </c>
      <c r="DV122" s="118">
        <f>DV124+DV291+DV296+DV330+DV349+DV415+DV426+DV446</f>
        <v>529.27360080000005</v>
      </c>
      <c r="DX122" s="119">
        <f>DX124+DX291+DX296+DX330+DX349+DX415+DX426+DX446</f>
        <v>114.03646999999998</v>
      </c>
      <c r="EV122" s="113" t="s">
        <v>81</v>
      </c>
      <c r="EX122" s="120" t="s">
        <v>73</v>
      </c>
      <c r="EY122" s="120" t="s">
        <v>74</v>
      </c>
      <c r="FC122" s="113" t="s">
        <v>282</v>
      </c>
      <c r="FO122" s="121">
        <f>FO124+FO291+FO296+FO330+FO349+FO415+FO426+FO446</f>
        <v>1622334.4200000002</v>
      </c>
    </row>
    <row r="123" spans="2:173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M124+M291+M296+M330+M349+M415+M426+M446</f>
        <v>0</v>
      </c>
      <c r="N123" s="208"/>
      <c r="O123" s="208">
        <f t="shared" ref="O123:Q123" si="0">O124+O291+O296+O330+O349+O415+O426+O446</f>
        <v>-37687.72</v>
      </c>
      <c r="P123" s="192"/>
      <c r="Q123" s="192">
        <f t="shared" si="0"/>
        <v>1660022.11</v>
      </c>
      <c r="S123" s="196"/>
      <c r="T123" s="197">
        <f>T124+T291+T296+T330+T349+T415+T426+T446</f>
        <v>0</v>
      </c>
      <c r="U123" s="197"/>
      <c r="V123" s="197">
        <f t="shared" ref="V123:AL123" si="1">V124+V291+V296+V330+V349+V415+V426+V446</f>
        <v>1622334.4200000002</v>
      </c>
      <c r="W123" s="197"/>
      <c r="X123" s="197">
        <f t="shared" si="1"/>
        <v>0</v>
      </c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AE123" s="197"/>
      <c r="AF123" s="197">
        <f t="shared" si="1"/>
        <v>0</v>
      </c>
      <c r="AG123" s="197"/>
      <c r="AH123" s="197">
        <f t="shared" si="1"/>
        <v>0</v>
      </c>
      <c r="AI123" s="197"/>
      <c r="AJ123" s="197">
        <f t="shared" si="1"/>
        <v>0</v>
      </c>
      <c r="AK123" s="197"/>
      <c r="AL123" s="197">
        <f t="shared" si="1"/>
        <v>0</v>
      </c>
      <c r="DQ123" s="117"/>
      <c r="DT123" s="118"/>
      <c r="DV123" s="118"/>
      <c r="DX123" s="119"/>
      <c r="EV123" s="113"/>
      <c r="EX123" s="120"/>
      <c r="EY123" s="120"/>
      <c r="FC123" s="113"/>
      <c r="FO123" s="121"/>
    </row>
    <row r="124" spans="2:173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FO124</f>
        <v>1059841.7200000002</v>
      </c>
      <c r="L124" s="112"/>
      <c r="M124" s="320">
        <f>SUM(M125:M288)</f>
        <v>0</v>
      </c>
      <c r="N124" s="321"/>
      <c r="O124" s="322">
        <f t="shared" ref="O124:V124" si="2">SUM(O125:O288)</f>
        <v>-23361.560000000005</v>
      </c>
      <c r="P124" s="320"/>
      <c r="Q124" s="325">
        <f t="shared" si="2"/>
        <v>1083203.3000000003</v>
      </c>
      <c r="R124" s="320"/>
      <c r="S124" s="320"/>
      <c r="T124" s="320">
        <f t="shared" si="2"/>
        <v>0</v>
      </c>
      <c r="U124" s="320"/>
      <c r="V124" s="320">
        <f t="shared" si="2"/>
        <v>1059841.7200000002</v>
      </c>
      <c r="DQ124" s="117"/>
      <c r="DT124" s="118">
        <f>SUM(DT125:DT290)</f>
        <v>0</v>
      </c>
      <c r="DV124" s="118">
        <f>SUM(DV125:DV290)</f>
        <v>486.26921480000004</v>
      </c>
      <c r="DX124" s="119">
        <f>SUM(DX125:DX290)</f>
        <v>114.03646999999998</v>
      </c>
      <c r="EV124" s="113" t="s">
        <v>81</v>
      </c>
      <c r="EX124" s="120" t="s">
        <v>73</v>
      </c>
      <c r="EY124" s="120" t="s">
        <v>81</v>
      </c>
      <c r="FC124" s="113" t="s">
        <v>282</v>
      </c>
      <c r="FO124" s="121">
        <f>SUM(FO125:FO290)</f>
        <v>1059841.7200000002</v>
      </c>
    </row>
    <row r="125" spans="2:173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72.015000000000001</v>
      </c>
      <c r="I125" s="130">
        <v>68.767172335543137</v>
      </c>
      <c r="J125" s="131">
        <f>ROUND(I125*H125,2)</f>
        <v>4952.2700000000004</v>
      </c>
      <c r="K125" s="127" t="s">
        <v>1</v>
      </c>
      <c r="L125" s="198">
        <f>S125</f>
        <v>0</v>
      </c>
      <c r="M125" s="206">
        <f>ROUND(L125*I125,2)</f>
        <v>0</v>
      </c>
      <c r="N125" s="211">
        <f>N129</f>
        <v>-3.8220000000000027</v>
      </c>
      <c r="O125" s="212">
        <f>ROUND(N125*I125,2)</f>
        <v>-262.83</v>
      </c>
      <c r="P125" s="207">
        <f>H125-L125-N125</f>
        <v>75.837000000000003</v>
      </c>
      <c r="Q125" s="228">
        <f>ROUND(P125*I125,2)</f>
        <v>5215.1000000000004</v>
      </c>
      <c r="R125" s="199"/>
      <c r="S125" s="200">
        <f>W125+Y125+AA125+AC125+AE125+AG125+AI125+AK125</f>
        <v>0</v>
      </c>
      <c r="T125" s="200">
        <f>ROUND(S125*I125,2)</f>
        <v>0</v>
      </c>
      <c r="U125" s="200">
        <f>H125-S125</f>
        <v>72.015000000000001</v>
      </c>
      <c r="V125" s="200">
        <f>ROUND(U125*I125,2)</f>
        <v>4952.2700000000004</v>
      </c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DQ125" s="132" t="s">
        <v>1</v>
      </c>
      <c r="DR125" s="133" t="s">
        <v>40</v>
      </c>
      <c r="DT125" s="134">
        <f>DS125*H125</f>
        <v>0</v>
      </c>
      <c r="DU125" s="134">
        <v>0</v>
      </c>
      <c r="DV125" s="134">
        <f>DU125*H125</f>
        <v>0</v>
      </c>
      <c r="DW125" s="134">
        <v>0.57999999999999996</v>
      </c>
      <c r="DX125" s="135">
        <f>DW125*H125</f>
        <v>41.768699999999995</v>
      </c>
      <c r="EV125" s="136" t="s">
        <v>95</v>
      </c>
      <c r="EX125" s="136" t="s">
        <v>284</v>
      </c>
      <c r="EY125" s="136" t="s">
        <v>83</v>
      </c>
      <c r="FC125" s="16" t="s">
        <v>282</v>
      </c>
      <c r="FI125" s="137">
        <f>IF(DR125="základní",J125,0)</f>
        <v>4952.2700000000004</v>
      </c>
      <c r="FJ125" s="137">
        <f>IF(DR125="snížená",J125,0)</f>
        <v>0</v>
      </c>
      <c r="FK125" s="137">
        <f>IF(DR125="zákl. přenesená",J125,0)</f>
        <v>0</v>
      </c>
      <c r="FL125" s="137">
        <f>IF(DR125="sníž. přenesená",J125,0)</f>
        <v>0</v>
      </c>
      <c r="FM125" s="137">
        <f>IF(DR125="nulová",J125,0)</f>
        <v>0</v>
      </c>
      <c r="FN125" s="16" t="s">
        <v>81</v>
      </c>
      <c r="FO125" s="137">
        <f>ROUND(I125*H125,2)</f>
        <v>4952.2700000000004</v>
      </c>
      <c r="FP125" s="16" t="s">
        <v>95</v>
      </c>
      <c r="FQ125" s="136" t="s">
        <v>288</v>
      </c>
    </row>
    <row r="126" spans="2:173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DQ126" s="141"/>
      <c r="DX126" s="50"/>
      <c r="EX126" s="16" t="s">
        <v>289</v>
      </c>
      <c r="EY126" s="16" t="s">
        <v>83</v>
      </c>
    </row>
    <row r="127" spans="2:173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72.015000000000001</v>
      </c>
      <c r="I127" s="130">
        <v>68.767172335543137</v>
      </c>
      <c r="J127" s="131">
        <f>ROUND(I127*H127,2)</f>
        <v>4952.2700000000004</v>
      </c>
      <c r="K127" s="127" t="s">
        <v>293</v>
      </c>
      <c r="L127" s="198">
        <f>S127</f>
        <v>0</v>
      </c>
      <c r="M127" s="206">
        <f>ROUND(L127*I127,2)</f>
        <v>0</v>
      </c>
      <c r="N127" s="211">
        <f>N125</f>
        <v>-3.8220000000000027</v>
      </c>
      <c r="O127" s="212">
        <f>ROUND(N127*I127,2)</f>
        <v>-262.83</v>
      </c>
      <c r="P127" s="207">
        <f>H127-L127-N127</f>
        <v>75.837000000000003</v>
      </c>
      <c r="Q127" s="228">
        <f>ROUND(P127*I127,2)</f>
        <v>5215.1000000000004</v>
      </c>
      <c r="R127" s="199"/>
      <c r="S127" s="200">
        <f>W127+Y127+AA127+AC127+AE127+AG127+AI127+AK127</f>
        <v>0</v>
      </c>
      <c r="T127" s="200">
        <f>ROUND(S127*I127,2)</f>
        <v>0</v>
      </c>
      <c r="U127" s="200">
        <f>H127-S127</f>
        <v>72.015000000000001</v>
      </c>
      <c r="V127" s="200">
        <f>ROUND(U127*I127,2)</f>
        <v>4952.2700000000004</v>
      </c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DQ127" s="132" t="s">
        <v>1</v>
      </c>
      <c r="DR127" s="133" t="s">
        <v>40</v>
      </c>
      <c r="DT127" s="134">
        <f>DS127*H127</f>
        <v>0</v>
      </c>
      <c r="DU127" s="134">
        <v>0</v>
      </c>
      <c r="DV127" s="134">
        <f>DU127*H127</f>
        <v>0</v>
      </c>
      <c r="DW127" s="134">
        <v>0.57999999999999996</v>
      </c>
      <c r="DX127" s="135">
        <f>DW127*H127</f>
        <v>41.768699999999995</v>
      </c>
      <c r="EV127" s="136" t="s">
        <v>95</v>
      </c>
      <c r="EX127" s="136" t="s">
        <v>284</v>
      </c>
      <c r="EY127" s="136" t="s">
        <v>83</v>
      </c>
      <c r="FC127" s="16" t="s">
        <v>282</v>
      </c>
      <c r="FI127" s="137">
        <f>IF(DR127="základní",J127,0)</f>
        <v>4952.2700000000004</v>
      </c>
      <c r="FJ127" s="137">
        <f>IF(DR127="snížená",J127,0)</f>
        <v>0</v>
      </c>
      <c r="FK127" s="137">
        <f>IF(DR127="zákl. přenesená",J127,0)</f>
        <v>0</v>
      </c>
      <c r="FL127" s="137">
        <f>IF(DR127="sníž. přenesená",J127,0)</f>
        <v>0</v>
      </c>
      <c r="FM127" s="137">
        <f>IF(DR127="nulová",J127,0)</f>
        <v>0</v>
      </c>
      <c r="FN127" s="16" t="s">
        <v>81</v>
      </c>
      <c r="FO127" s="137">
        <f>ROUND(I127*H127,2)</f>
        <v>4952.2700000000004</v>
      </c>
      <c r="FP127" s="16" t="s">
        <v>95</v>
      </c>
      <c r="FQ127" s="136" t="s">
        <v>294</v>
      </c>
    </row>
    <row r="128" spans="2:173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DQ128" s="141"/>
      <c r="DX128" s="50"/>
      <c r="EX128" s="16" t="s">
        <v>289</v>
      </c>
      <c r="EY128" s="16" t="s">
        <v>83</v>
      </c>
    </row>
    <row r="129" spans="2:173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732</v>
      </c>
      <c r="G129" s="128" t="s">
        <v>287</v>
      </c>
      <c r="H129" s="129">
        <v>72.015000000000001</v>
      </c>
      <c r="I129" s="130">
        <v>27.886826761540966</v>
      </c>
      <c r="J129" s="131">
        <f>ROUND(I129*H129,2)</f>
        <v>2008.27</v>
      </c>
      <c r="K129" s="127" t="s">
        <v>293</v>
      </c>
      <c r="L129" s="198">
        <f>S129</f>
        <v>0</v>
      </c>
      <c r="M129" s="206">
        <f>ROUND(L129*I129,2)</f>
        <v>0</v>
      </c>
      <c r="N129" s="211">
        <f>N137</f>
        <v>-3.8220000000000027</v>
      </c>
      <c r="O129" s="212">
        <f>ROUND(N129*I129,2)</f>
        <v>-106.58</v>
      </c>
      <c r="P129" s="207">
        <f>H129-L129-N129</f>
        <v>75.837000000000003</v>
      </c>
      <c r="Q129" s="228">
        <f>ROUND(P129*I129,2)</f>
        <v>2114.85</v>
      </c>
      <c r="R129" s="199"/>
      <c r="S129" s="200">
        <f>W129+Y129+AA129+AC129+AE129+AG129+AI129+AK129</f>
        <v>0</v>
      </c>
      <c r="T129" s="200">
        <f>ROUND(S129*I129,2)</f>
        <v>0</v>
      </c>
      <c r="U129" s="200">
        <f>H129-S129</f>
        <v>72.015000000000001</v>
      </c>
      <c r="V129" s="200">
        <f>ROUND(U129*I129,2)</f>
        <v>2008.27</v>
      </c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DQ129" s="132" t="s">
        <v>1</v>
      </c>
      <c r="DR129" s="133" t="s">
        <v>40</v>
      </c>
      <c r="DT129" s="134">
        <f>DS129*H129</f>
        <v>0</v>
      </c>
      <c r="DU129" s="134">
        <v>0</v>
      </c>
      <c r="DV129" s="134">
        <f>DU129*H129</f>
        <v>0</v>
      </c>
      <c r="DW129" s="134">
        <v>9.8000000000000004E-2</v>
      </c>
      <c r="DX129" s="135">
        <f>DW129*H129</f>
        <v>7.0574700000000004</v>
      </c>
      <c r="EV129" s="136" t="s">
        <v>95</v>
      </c>
      <c r="EX129" s="136" t="s">
        <v>284</v>
      </c>
      <c r="EY129" s="136" t="s">
        <v>83</v>
      </c>
      <c r="FC129" s="16" t="s">
        <v>282</v>
      </c>
      <c r="FI129" s="137">
        <f>IF(DR129="základní",J129,0)</f>
        <v>2008.27</v>
      </c>
      <c r="FJ129" s="137">
        <f>IF(DR129="snížená",J129,0)</f>
        <v>0</v>
      </c>
      <c r="FK129" s="137">
        <f>IF(DR129="zákl. přenesená",J129,0)</f>
        <v>0</v>
      </c>
      <c r="FL129" s="137">
        <f>IF(DR129="sníž. přenesená",J129,0)</f>
        <v>0</v>
      </c>
      <c r="FM129" s="137">
        <f>IF(DR129="nulová",J129,0)</f>
        <v>0</v>
      </c>
      <c r="FN129" s="16" t="s">
        <v>81</v>
      </c>
      <c r="FO129" s="137">
        <f>ROUND(I129*H129,2)</f>
        <v>2008.27</v>
      </c>
      <c r="FP129" s="16" t="s">
        <v>95</v>
      </c>
      <c r="FQ129" s="136" t="s">
        <v>297</v>
      </c>
    </row>
    <row r="130" spans="2:173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DQ130" s="141"/>
      <c r="DX130" s="50"/>
      <c r="EX130" s="16" t="s">
        <v>289</v>
      </c>
      <c r="EY130" s="16" t="s">
        <v>83</v>
      </c>
    </row>
    <row r="131" spans="2:173" s="1" customFormat="1" ht="29.25" x14ac:dyDescent="0.2">
      <c r="B131" s="31"/>
      <c r="D131" s="138" t="s">
        <v>299</v>
      </c>
      <c r="F131" s="142" t="s">
        <v>953</v>
      </c>
      <c r="I131" s="140"/>
      <c r="L131" s="31"/>
      <c r="N131" s="213"/>
      <c r="O131" s="214"/>
      <c r="Q131" s="229"/>
      <c r="DQ131" s="141"/>
      <c r="DX131" s="50"/>
      <c r="EX131" s="16" t="s">
        <v>299</v>
      </c>
      <c r="EY131" s="16" t="s">
        <v>83</v>
      </c>
    </row>
    <row r="132" spans="2:173" s="11" customFormat="1" x14ac:dyDescent="0.2">
      <c r="B132" s="143"/>
      <c r="D132" s="138" t="s">
        <v>301</v>
      </c>
      <c r="E132" s="144" t="s">
        <v>1</v>
      </c>
      <c r="F132" s="145" t="s">
        <v>302</v>
      </c>
      <c r="H132" s="144" t="s">
        <v>1</v>
      </c>
      <c r="I132" s="146"/>
      <c r="L132" s="143"/>
      <c r="N132" s="215"/>
      <c r="O132" s="216"/>
      <c r="Q132" s="230"/>
      <c r="DQ132" s="147"/>
      <c r="DX132" s="148"/>
      <c r="EX132" s="144" t="s">
        <v>301</v>
      </c>
      <c r="EY132" s="144" t="s">
        <v>83</v>
      </c>
      <c r="EZ132" s="11" t="s">
        <v>81</v>
      </c>
      <c r="FA132" s="11" t="s">
        <v>32</v>
      </c>
      <c r="FB132" s="11" t="s">
        <v>74</v>
      </c>
      <c r="FC132" s="144" t="s">
        <v>282</v>
      </c>
    </row>
    <row r="133" spans="2:173" s="12" customFormat="1" x14ac:dyDescent="0.2">
      <c r="B133" s="149"/>
      <c r="D133" s="138" t="s">
        <v>301</v>
      </c>
      <c r="E133" s="150" t="s">
        <v>1</v>
      </c>
      <c r="F133" s="151" t="s">
        <v>954</v>
      </c>
      <c r="H133" s="152">
        <v>66.885000000000005</v>
      </c>
      <c r="I133" s="153"/>
      <c r="L133" s="149"/>
      <c r="N133" s="217">
        <f>60.06*1.05</f>
        <v>63.063000000000002</v>
      </c>
      <c r="O133" s="218" t="s">
        <v>3431</v>
      </c>
      <c r="Q133" s="231"/>
      <c r="DQ133" s="154"/>
      <c r="DX133" s="155"/>
      <c r="EX133" s="150" t="s">
        <v>301</v>
      </c>
      <c r="EY133" s="150" t="s">
        <v>83</v>
      </c>
      <c r="EZ133" s="12" t="s">
        <v>83</v>
      </c>
      <c r="FA133" s="12" t="s">
        <v>32</v>
      </c>
      <c r="FB133" s="12" t="s">
        <v>74</v>
      </c>
      <c r="FC133" s="150" t="s">
        <v>282</v>
      </c>
    </row>
    <row r="134" spans="2:173" s="12" customFormat="1" x14ac:dyDescent="0.2">
      <c r="B134" s="149"/>
      <c r="D134" s="138" t="s">
        <v>301</v>
      </c>
      <c r="E134" s="150" t="s">
        <v>1</v>
      </c>
      <c r="F134" s="151" t="s">
        <v>955</v>
      </c>
      <c r="H134" s="152">
        <v>4.4550000000000001</v>
      </c>
      <c r="I134" s="153"/>
      <c r="L134" s="149"/>
      <c r="N134" s="310">
        <f>H134</f>
        <v>4.4550000000000001</v>
      </c>
      <c r="O134" s="218"/>
      <c r="Q134" s="231"/>
      <c r="DQ134" s="154"/>
      <c r="DX134" s="155"/>
      <c r="EX134" s="150" t="s">
        <v>301</v>
      </c>
      <c r="EY134" s="150" t="s">
        <v>83</v>
      </c>
      <c r="EZ134" s="12" t="s">
        <v>83</v>
      </c>
      <c r="FA134" s="12" t="s">
        <v>32</v>
      </c>
      <c r="FB134" s="12" t="s">
        <v>74</v>
      </c>
      <c r="FC134" s="150" t="s">
        <v>282</v>
      </c>
    </row>
    <row r="135" spans="2:173" s="12" customFormat="1" x14ac:dyDescent="0.2">
      <c r="B135" s="149"/>
      <c r="D135" s="138" t="s">
        <v>301</v>
      </c>
      <c r="E135" s="150" t="s">
        <v>1</v>
      </c>
      <c r="F135" s="151" t="s">
        <v>888</v>
      </c>
      <c r="H135" s="152">
        <v>0.67500000000000004</v>
      </c>
      <c r="I135" s="153"/>
      <c r="L135" s="149"/>
      <c r="N135" s="310">
        <f>H135</f>
        <v>0.67500000000000004</v>
      </c>
      <c r="O135" s="218"/>
      <c r="Q135" s="231"/>
      <c r="DQ135" s="154"/>
      <c r="DX135" s="155"/>
      <c r="EX135" s="150" t="s">
        <v>301</v>
      </c>
      <c r="EY135" s="150" t="s">
        <v>83</v>
      </c>
      <c r="EZ135" s="12" t="s">
        <v>83</v>
      </c>
      <c r="FA135" s="12" t="s">
        <v>32</v>
      </c>
      <c r="FB135" s="12" t="s">
        <v>74</v>
      </c>
      <c r="FC135" s="150" t="s">
        <v>282</v>
      </c>
    </row>
    <row r="136" spans="2:173" s="13" customFormat="1" x14ac:dyDescent="0.2">
      <c r="B136" s="156"/>
      <c r="D136" s="138" t="s">
        <v>301</v>
      </c>
      <c r="E136" s="157" t="s">
        <v>1</v>
      </c>
      <c r="F136" s="158" t="s">
        <v>305</v>
      </c>
      <c r="H136" s="159">
        <v>72.015000000000001</v>
      </c>
      <c r="I136" s="160"/>
      <c r="L136" s="156"/>
      <c r="N136" s="311">
        <f>N133+N134+N135</f>
        <v>68.192999999999998</v>
      </c>
      <c r="O136" s="220"/>
      <c r="Q136" s="232"/>
      <c r="DQ136" s="161"/>
      <c r="DX136" s="162"/>
      <c r="EX136" s="157" t="s">
        <v>301</v>
      </c>
      <c r="EY136" s="157" t="s">
        <v>83</v>
      </c>
      <c r="EZ136" s="13" t="s">
        <v>95</v>
      </c>
      <c r="FA136" s="13" t="s">
        <v>32</v>
      </c>
      <c r="FB136" s="13" t="s">
        <v>81</v>
      </c>
      <c r="FC136" s="157" t="s">
        <v>282</v>
      </c>
    </row>
    <row r="137" spans="2:173" s="13" customFormat="1" x14ac:dyDescent="0.2">
      <c r="B137" s="156"/>
      <c r="D137" s="138"/>
      <c r="E137" s="157"/>
      <c r="F137" s="158"/>
      <c r="H137" s="159"/>
      <c r="I137" s="160"/>
      <c r="L137" s="156"/>
      <c r="N137" s="311">
        <f>N136-H136</f>
        <v>-3.8220000000000027</v>
      </c>
      <c r="O137" s="220"/>
      <c r="Q137" s="232"/>
      <c r="DQ137" s="161"/>
      <c r="DX137" s="162"/>
      <c r="EX137" s="157"/>
      <c r="EY137" s="157"/>
      <c r="FC137" s="157"/>
    </row>
    <row r="138" spans="2:173" s="1" customFormat="1" ht="24.2" customHeight="1" x14ac:dyDescent="0.2">
      <c r="B138" s="124"/>
      <c r="C138" s="125" t="s">
        <v>95</v>
      </c>
      <c r="D138" s="125" t="s">
        <v>284</v>
      </c>
      <c r="E138" s="126" t="s">
        <v>306</v>
      </c>
      <c r="F138" s="127" t="s">
        <v>307</v>
      </c>
      <c r="G138" s="128" t="s">
        <v>287</v>
      </c>
      <c r="H138" s="129">
        <v>203.84</v>
      </c>
      <c r="I138" s="130">
        <v>55.314624729404002</v>
      </c>
      <c r="J138" s="131">
        <f>ROUND(I138*H138,2)</f>
        <v>11275.33</v>
      </c>
      <c r="K138" s="127" t="s">
        <v>293</v>
      </c>
      <c r="L138" s="198">
        <f>S138</f>
        <v>0</v>
      </c>
      <c r="M138" s="206">
        <f>ROUND(L138*I138,2)</f>
        <v>0</v>
      </c>
      <c r="N138" s="211">
        <f>N143</f>
        <v>-11.647999999999996</v>
      </c>
      <c r="O138" s="212">
        <f>ROUND(N138*I138,2)</f>
        <v>-644.29999999999995</v>
      </c>
      <c r="P138" s="207">
        <f>H138-L138-N138</f>
        <v>215.488</v>
      </c>
      <c r="Q138" s="228">
        <f>ROUND(P138*I138,2)</f>
        <v>11919.64</v>
      </c>
      <c r="R138" s="199"/>
      <c r="S138" s="200">
        <f>W138+Y138+AA138+AC138+AE138+AG138+AI138+AK138</f>
        <v>0</v>
      </c>
      <c r="T138" s="200">
        <f>ROUND(S138*I138,2)</f>
        <v>0</v>
      </c>
      <c r="U138" s="200">
        <f>H138-S138</f>
        <v>203.84</v>
      </c>
      <c r="V138" s="200">
        <f>ROUND(U138*I138,2)</f>
        <v>11275.33</v>
      </c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DQ138" s="132" t="s">
        <v>1</v>
      </c>
      <c r="DR138" s="133" t="s">
        <v>40</v>
      </c>
      <c r="DT138" s="134">
        <f>DS138*H138</f>
        <v>0</v>
      </c>
      <c r="DU138" s="134">
        <v>6.9999999999999994E-5</v>
      </c>
      <c r="DV138" s="134">
        <f>DU138*H138</f>
        <v>1.4268799999999998E-2</v>
      </c>
      <c r="DW138" s="134">
        <v>0.115</v>
      </c>
      <c r="DX138" s="135">
        <f>DW138*H138</f>
        <v>23.441600000000001</v>
      </c>
      <c r="EV138" s="136" t="s">
        <v>95</v>
      </c>
      <c r="EX138" s="136" t="s">
        <v>284</v>
      </c>
      <c r="EY138" s="136" t="s">
        <v>83</v>
      </c>
      <c r="FC138" s="16" t="s">
        <v>282</v>
      </c>
      <c r="FI138" s="137">
        <f>IF(DR138="základní",J138,0)</f>
        <v>11275.33</v>
      </c>
      <c r="FJ138" s="137">
        <f>IF(DR138="snížená",J138,0)</f>
        <v>0</v>
      </c>
      <c r="FK138" s="137">
        <f>IF(DR138="zákl. přenesená",J138,0)</f>
        <v>0</v>
      </c>
      <c r="FL138" s="137">
        <f>IF(DR138="sníž. přenesená",J138,0)</f>
        <v>0</v>
      </c>
      <c r="FM138" s="137">
        <f>IF(DR138="nulová",J138,0)</f>
        <v>0</v>
      </c>
      <c r="FN138" s="16" t="s">
        <v>81</v>
      </c>
      <c r="FO138" s="137">
        <f>ROUND(I138*H138,2)</f>
        <v>11275.33</v>
      </c>
      <c r="FP138" s="16" t="s">
        <v>95</v>
      </c>
      <c r="FQ138" s="136" t="s">
        <v>308</v>
      </c>
    </row>
    <row r="139" spans="2:173" s="1" customFormat="1" ht="29.25" x14ac:dyDescent="0.2">
      <c r="B139" s="31"/>
      <c r="D139" s="138" t="s">
        <v>289</v>
      </c>
      <c r="F139" s="139" t="s">
        <v>309</v>
      </c>
      <c r="I139" s="140"/>
      <c r="L139" s="31"/>
      <c r="N139" s="213"/>
      <c r="O139" s="214"/>
      <c r="Q139" s="229"/>
      <c r="DQ139" s="141"/>
      <c r="DX139" s="50"/>
      <c r="EX139" s="16" t="s">
        <v>289</v>
      </c>
      <c r="EY139" s="16" t="s">
        <v>83</v>
      </c>
    </row>
    <row r="140" spans="2:173" s="1" customFormat="1" ht="29.25" x14ac:dyDescent="0.2">
      <c r="B140" s="31"/>
      <c r="D140" s="138" t="s">
        <v>299</v>
      </c>
      <c r="F140" s="142" t="s">
        <v>953</v>
      </c>
      <c r="I140" s="140"/>
      <c r="L140" s="31"/>
      <c r="N140" s="213"/>
      <c r="O140" s="214"/>
      <c r="Q140" s="229"/>
      <c r="DQ140" s="141"/>
      <c r="DX140" s="50"/>
      <c r="EX140" s="16" t="s">
        <v>299</v>
      </c>
      <c r="EY140" s="16" t="s">
        <v>83</v>
      </c>
    </row>
    <row r="141" spans="2:173" s="11" customFormat="1" x14ac:dyDescent="0.2">
      <c r="B141" s="143"/>
      <c r="D141" s="138" t="s">
        <v>301</v>
      </c>
      <c r="E141" s="144" t="s">
        <v>1</v>
      </c>
      <c r="F141" s="145" t="s">
        <v>310</v>
      </c>
      <c r="H141" s="144" t="s">
        <v>1</v>
      </c>
      <c r="I141" s="146"/>
      <c r="L141" s="143"/>
      <c r="N141" s="215"/>
      <c r="O141" s="216"/>
      <c r="Q141" s="230"/>
      <c r="DQ141" s="147"/>
      <c r="DX141" s="148"/>
      <c r="EX141" s="144" t="s">
        <v>301</v>
      </c>
      <c r="EY141" s="144" t="s">
        <v>83</v>
      </c>
      <c r="EZ141" s="11" t="s">
        <v>81</v>
      </c>
      <c r="FA141" s="11" t="s">
        <v>32</v>
      </c>
      <c r="FB141" s="11" t="s">
        <v>74</v>
      </c>
      <c r="FC141" s="144" t="s">
        <v>282</v>
      </c>
    </row>
    <row r="142" spans="2:173" s="12" customFormat="1" x14ac:dyDescent="0.2">
      <c r="B142" s="149"/>
      <c r="D142" s="138" t="s">
        <v>301</v>
      </c>
      <c r="E142" s="150" t="s">
        <v>1</v>
      </c>
      <c r="F142" s="151" t="s">
        <v>956</v>
      </c>
      <c r="H142" s="152">
        <v>203.84</v>
      </c>
      <c r="I142" s="153"/>
      <c r="L142" s="149"/>
      <c r="N142" s="217">
        <f>60.06*3.2</f>
        <v>192.19200000000001</v>
      </c>
      <c r="O142" s="218" t="s">
        <v>3432</v>
      </c>
      <c r="Q142" s="231"/>
      <c r="DQ142" s="154"/>
      <c r="DX142" s="155"/>
      <c r="EX142" s="150" t="s">
        <v>301</v>
      </c>
      <c r="EY142" s="150" t="s">
        <v>83</v>
      </c>
      <c r="EZ142" s="12" t="s">
        <v>83</v>
      </c>
      <c r="FA142" s="12" t="s">
        <v>32</v>
      </c>
      <c r="FB142" s="12" t="s">
        <v>81</v>
      </c>
      <c r="FC142" s="150" t="s">
        <v>282</v>
      </c>
    </row>
    <row r="143" spans="2:173" s="12" customFormat="1" x14ac:dyDescent="0.2">
      <c r="B143" s="149"/>
      <c r="D143" s="138"/>
      <c r="E143" s="150"/>
      <c r="F143" s="151"/>
      <c r="H143" s="152"/>
      <c r="I143" s="153"/>
      <c r="L143" s="149"/>
      <c r="N143" s="310">
        <f>N142-H142</f>
        <v>-11.647999999999996</v>
      </c>
      <c r="O143" s="218"/>
      <c r="Q143" s="231"/>
      <c r="DQ143" s="154"/>
      <c r="DX143" s="155"/>
      <c r="EX143" s="150"/>
      <c r="EY143" s="150"/>
      <c r="FC143" s="150"/>
    </row>
    <row r="144" spans="2:173" s="1" customFormat="1" ht="24.2" customHeight="1" x14ac:dyDescent="0.2">
      <c r="B144" s="124"/>
      <c r="C144" s="125" t="s">
        <v>312</v>
      </c>
      <c r="D144" s="125" t="s">
        <v>284</v>
      </c>
      <c r="E144" s="126" t="s">
        <v>313</v>
      </c>
      <c r="F144" s="127" t="s">
        <v>314</v>
      </c>
      <c r="G144" s="128" t="s">
        <v>315</v>
      </c>
      <c r="H144" s="129">
        <v>1</v>
      </c>
      <c r="I144" s="130">
        <v>3788.8627999999999</v>
      </c>
      <c r="J144" s="131">
        <f>ROUND(I144*H144,2)</f>
        <v>3788.86</v>
      </c>
      <c r="K144" s="127" t="s">
        <v>1</v>
      </c>
      <c r="L144" s="198">
        <f>S144</f>
        <v>0</v>
      </c>
      <c r="M144" s="206">
        <f>ROUND(L144*I144,2)</f>
        <v>0</v>
      </c>
      <c r="N144" s="211"/>
      <c r="O144" s="212">
        <f>ROUND(N144*I144,2)</f>
        <v>0</v>
      </c>
      <c r="P144" s="207">
        <f>H144-L144-N144</f>
        <v>1</v>
      </c>
      <c r="Q144" s="228">
        <f>ROUND(P144*I144,2)</f>
        <v>3788.86</v>
      </c>
      <c r="R144" s="199"/>
      <c r="S144" s="200">
        <f>W144+Y144+AA144+AC144+AE144+AG144+AI144+AK144</f>
        <v>0</v>
      </c>
      <c r="T144" s="200">
        <f>ROUND(S144*I144,2)</f>
        <v>0</v>
      </c>
      <c r="U144" s="200">
        <f>H144-S144</f>
        <v>1</v>
      </c>
      <c r="V144" s="200">
        <f>ROUND(U144*I144,2)</f>
        <v>3788.86</v>
      </c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DQ144" s="132" t="s">
        <v>1</v>
      </c>
      <c r="DR144" s="133" t="s">
        <v>40</v>
      </c>
      <c r="DT144" s="134">
        <f>DS144*H144</f>
        <v>0</v>
      </c>
      <c r="DU144" s="134">
        <v>0</v>
      </c>
      <c r="DV144" s="134">
        <f>DU144*H144</f>
        <v>0</v>
      </c>
      <c r="DW144" s="134">
        <v>0</v>
      </c>
      <c r="DX144" s="135">
        <f>DW144*H144</f>
        <v>0</v>
      </c>
      <c r="EV144" s="136" t="s">
        <v>95</v>
      </c>
      <c r="EX144" s="136" t="s">
        <v>284</v>
      </c>
      <c r="EY144" s="136" t="s">
        <v>83</v>
      </c>
      <c r="FC144" s="16" t="s">
        <v>282</v>
      </c>
      <c r="FI144" s="137">
        <f>IF(DR144="základní",J144,0)</f>
        <v>3788.86</v>
      </c>
      <c r="FJ144" s="137">
        <f>IF(DR144="snížená",J144,0)</f>
        <v>0</v>
      </c>
      <c r="FK144" s="137">
        <f>IF(DR144="zákl. přenesená",J144,0)</f>
        <v>0</v>
      </c>
      <c r="FL144" s="137">
        <f>IF(DR144="sníž. přenesená",J144,0)</f>
        <v>0</v>
      </c>
      <c r="FM144" s="137">
        <f>IF(DR144="nulová",J144,0)</f>
        <v>0</v>
      </c>
      <c r="FN144" s="16" t="s">
        <v>81</v>
      </c>
      <c r="FO144" s="137">
        <f>ROUND(I144*H144,2)</f>
        <v>3788.86</v>
      </c>
      <c r="FP144" s="16" t="s">
        <v>95</v>
      </c>
      <c r="FQ144" s="136" t="s">
        <v>316</v>
      </c>
    </row>
    <row r="145" spans="2:173" s="1" customFormat="1" ht="19.5" x14ac:dyDescent="0.2">
      <c r="B145" s="31"/>
      <c r="D145" s="138" t="s">
        <v>289</v>
      </c>
      <c r="F145" s="139" t="s">
        <v>314</v>
      </c>
      <c r="I145" s="140"/>
      <c r="L145" s="31"/>
      <c r="N145" s="213"/>
      <c r="O145" s="214"/>
      <c r="Q145" s="229"/>
      <c r="DQ145" s="141"/>
      <c r="DX145" s="50"/>
      <c r="EX145" s="16" t="s">
        <v>289</v>
      </c>
      <c r="EY145" s="16" t="s">
        <v>83</v>
      </c>
    </row>
    <row r="146" spans="2:173" s="1" customFormat="1" ht="19.5" x14ac:dyDescent="0.2">
      <c r="B146" s="31"/>
      <c r="D146" s="138" t="s">
        <v>299</v>
      </c>
      <c r="F146" s="142" t="s">
        <v>317</v>
      </c>
      <c r="I146" s="140"/>
      <c r="L146" s="31"/>
      <c r="N146" s="213"/>
      <c r="O146" s="214"/>
      <c r="Q146" s="229"/>
      <c r="DQ146" s="141"/>
      <c r="DX146" s="50"/>
      <c r="EX146" s="16" t="s">
        <v>299</v>
      </c>
      <c r="EY146" s="16" t="s">
        <v>83</v>
      </c>
    </row>
    <row r="147" spans="2:173" s="12" customFormat="1" x14ac:dyDescent="0.2">
      <c r="B147" s="149"/>
      <c r="D147" s="138" t="s">
        <v>301</v>
      </c>
      <c r="E147" s="150" t="s">
        <v>1</v>
      </c>
      <c r="F147" s="151" t="s">
        <v>81</v>
      </c>
      <c r="H147" s="152">
        <v>1</v>
      </c>
      <c r="I147" s="153"/>
      <c r="L147" s="149"/>
      <c r="N147" s="217"/>
      <c r="O147" s="218"/>
      <c r="Q147" s="231"/>
      <c r="DQ147" s="154"/>
      <c r="DX147" s="155"/>
      <c r="EX147" s="150" t="s">
        <v>301</v>
      </c>
      <c r="EY147" s="150" t="s">
        <v>83</v>
      </c>
      <c r="EZ147" s="12" t="s">
        <v>83</v>
      </c>
      <c r="FA147" s="12" t="s">
        <v>32</v>
      </c>
      <c r="FB147" s="12" t="s">
        <v>81</v>
      </c>
      <c r="FC147" s="150" t="s">
        <v>282</v>
      </c>
    </row>
    <row r="148" spans="2:173" s="1" customFormat="1" ht="24.2" customHeight="1" x14ac:dyDescent="0.2">
      <c r="B148" s="124"/>
      <c r="C148" s="125" t="s">
        <v>318</v>
      </c>
      <c r="D148" s="125" t="s">
        <v>284</v>
      </c>
      <c r="E148" s="126" t="s">
        <v>324</v>
      </c>
      <c r="F148" s="127" t="s">
        <v>325</v>
      </c>
      <c r="G148" s="128" t="s">
        <v>315</v>
      </c>
      <c r="H148" s="129">
        <v>2</v>
      </c>
      <c r="I148" s="130">
        <v>1847.0706150000001</v>
      </c>
      <c r="J148" s="131">
        <f>ROUND(I148*H148,2)</f>
        <v>3694.14</v>
      </c>
      <c r="K148" s="127" t="s">
        <v>1</v>
      </c>
      <c r="L148" s="198">
        <f>S148</f>
        <v>0</v>
      </c>
      <c r="M148" s="206">
        <f>ROUND(L148*I148,2)</f>
        <v>0</v>
      </c>
      <c r="N148" s="211"/>
      <c r="O148" s="212">
        <f>ROUND(N148*I148,2)</f>
        <v>0</v>
      </c>
      <c r="P148" s="207">
        <f>H148-L148-N148</f>
        <v>2</v>
      </c>
      <c r="Q148" s="228">
        <f>ROUND(P148*I148,2)</f>
        <v>3694.14</v>
      </c>
      <c r="R148" s="199"/>
      <c r="S148" s="200">
        <f>W148+Y148+AA148+AC148+AE148+AG148+AI148+AK148</f>
        <v>0</v>
      </c>
      <c r="T148" s="200">
        <f>ROUND(S148*I148,2)</f>
        <v>0</v>
      </c>
      <c r="U148" s="200">
        <f>H148-S148</f>
        <v>2</v>
      </c>
      <c r="V148" s="200">
        <f>ROUND(U148*I148,2)</f>
        <v>3694.14</v>
      </c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DQ148" s="132" t="s">
        <v>1</v>
      </c>
      <c r="DR148" s="133" t="s">
        <v>40</v>
      </c>
      <c r="DT148" s="134">
        <f>DS148*H148</f>
        <v>0</v>
      </c>
      <c r="DU148" s="134">
        <v>0</v>
      </c>
      <c r="DV148" s="134">
        <f>DU148*H148</f>
        <v>0</v>
      </c>
      <c r="DW148" s="134">
        <v>0</v>
      </c>
      <c r="DX148" s="135">
        <f>DW148*H148</f>
        <v>0</v>
      </c>
      <c r="EV148" s="136" t="s">
        <v>95</v>
      </c>
      <c r="EX148" s="136" t="s">
        <v>284</v>
      </c>
      <c r="EY148" s="136" t="s">
        <v>83</v>
      </c>
      <c r="FC148" s="16" t="s">
        <v>282</v>
      </c>
      <c r="FI148" s="137">
        <f>IF(DR148="základní",J148,0)</f>
        <v>3694.14</v>
      </c>
      <c r="FJ148" s="137">
        <f>IF(DR148="snížená",J148,0)</f>
        <v>0</v>
      </c>
      <c r="FK148" s="137">
        <f>IF(DR148="zákl. přenesená",J148,0)</f>
        <v>0</v>
      </c>
      <c r="FL148" s="137">
        <f>IF(DR148="sníž. přenesená",J148,0)</f>
        <v>0</v>
      </c>
      <c r="FM148" s="137">
        <f>IF(DR148="nulová",J148,0)</f>
        <v>0</v>
      </c>
      <c r="FN148" s="16" t="s">
        <v>81</v>
      </c>
      <c r="FO148" s="137">
        <f>ROUND(I148*H148,2)</f>
        <v>3694.14</v>
      </c>
      <c r="FP148" s="16" t="s">
        <v>95</v>
      </c>
      <c r="FQ148" s="136" t="s">
        <v>326</v>
      </c>
    </row>
    <row r="149" spans="2:173" s="1" customFormat="1" ht="19.5" x14ac:dyDescent="0.2">
      <c r="B149" s="31"/>
      <c r="D149" s="138" t="s">
        <v>289</v>
      </c>
      <c r="F149" s="139" t="s">
        <v>325</v>
      </c>
      <c r="I149" s="140"/>
      <c r="L149" s="31"/>
      <c r="N149" s="213"/>
      <c r="O149" s="214"/>
      <c r="Q149" s="229"/>
      <c r="DQ149" s="141"/>
      <c r="DX149" s="50"/>
      <c r="EX149" s="16" t="s">
        <v>289</v>
      </c>
      <c r="EY149" s="16" t="s">
        <v>83</v>
      </c>
    </row>
    <row r="150" spans="2:173" s="1" customFormat="1" ht="19.5" x14ac:dyDescent="0.2">
      <c r="B150" s="31"/>
      <c r="D150" s="138" t="s">
        <v>299</v>
      </c>
      <c r="F150" s="142" t="s">
        <v>317</v>
      </c>
      <c r="I150" s="140"/>
      <c r="L150" s="31"/>
      <c r="N150" s="213"/>
      <c r="O150" s="214"/>
      <c r="Q150" s="229"/>
      <c r="DQ150" s="141"/>
      <c r="DX150" s="50"/>
      <c r="EX150" s="16" t="s">
        <v>299</v>
      </c>
      <c r="EY150" s="16" t="s">
        <v>83</v>
      </c>
    </row>
    <row r="151" spans="2:173" s="12" customFormat="1" x14ac:dyDescent="0.2">
      <c r="B151" s="149"/>
      <c r="D151" s="138" t="s">
        <v>301</v>
      </c>
      <c r="E151" s="150" t="s">
        <v>1</v>
      </c>
      <c r="F151" s="151" t="s">
        <v>83</v>
      </c>
      <c r="H151" s="152">
        <v>2</v>
      </c>
      <c r="I151" s="153"/>
      <c r="L151" s="149"/>
      <c r="N151" s="217"/>
      <c r="O151" s="218"/>
      <c r="Q151" s="231"/>
      <c r="DQ151" s="154"/>
      <c r="DX151" s="155"/>
      <c r="EX151" s="150" t="s">
        <v>301</v>
      </c>
      <c r="EY151" s="150" t="s">
        <v>83</v>
      </c>
      <c r="EZ151" s="12" t="s">
        <v>83</v>
      </c>
      <c r="FA151" s="12" t="s">
        <v>32</v>
      </c>
      <c r="FB151" s="12" t="s">
        <v>81</v>
      </c>
      <c r="FC151" s="150" t="s">
        <v>282</v>
      </c>
    </row>
    <row r="152" spans="2:173" s="1" customFormat="1" ht="24.2" customHeight="1" x14ac:dyDescent="0.2">
      <c r="B152" s="124"/>
      <c r="C152" s="125" t="s">
        <v>323</v>
      </c>
      <c r="D152" s="125" t="s">
        <v>284</v>
      </c>
      <c r="E152" s="126" t="s">
        <v>329</v>
      </c>
      <c r="F152" s="127" t="s">
        <v>330</v>
      </c>
      <c r="G152" s="128" t="s">
        <v>331</v>
      </c>
      <c r="H152" s="129">
        <v>360</v>
      </c>
      <c r="I152" s="130">
        <v>70.957591385341729</v>
      </c>
      <c r="J152" s="131">
        <f>ROUND(I152*H152,2)</f>
        <v>25544.73</v>
      </c>
      <c r="K152" s="127" t="s">
        <v>293</v>
      </c>
      <c r="L152" s="198">
        <f>S152</f>
        <v>0</v>
      </c>
      <c r="M152" s="206">
        <f>ROUND(L152*I152,2)</f>
        <v>0</v>
      </c>
      <c r="N152" s="211"/>
      <c r="O152" s="212">
        <f>ROUND(N152*I152,2)</f>
        <v>0</v>
      </c>
      <c r="P152" s="207">
        <f>H152-L152-N152</f>
        <v>360</v>
      </c>
      <c r="Q152" s="228">
        <f>ROUND(P152*I152,2)</f>
        <v>25544.73</v>
      </c>
      <c r="R152" s="199"/>
      <c r="S152" s="200">
        <f>W152+Y152+AA152+AC152+AE152+AG152+AI152+AK152</f>
        <v>0</v>
      </c>
      <c r="T152" s="200">
        <f>ROUND(S152*I152,2)</f>
        <v>0</v>
      </c>
      <c r="U152" s="200">
        <f>H152-S152</f>
        <v>360</v>
      </c>
      <c r="V152" s="200">
        <f>ROUND(U152*I152,2)</f>
        <v>25544.73</v>
      </c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DQ152" s="132" t="s">
        <v>1</v>
      </c>
      <c r="DR152" s="133" t="s">
        <v>40</v>
      </c>
      <c r="DT152" s="134">
        <f>DS152*H152</f>
        <v>0</v>
      </c>
      <c r="DU152" s="134">
        <v>3.0000000000000001E-5</v>
      </c>
      <c r="DV152" s="134">
        <f>DU152*H152</f>
        <v>1.0800000000000001E-2</v>
      </c>
      <c r="DW152" s="134">
        <v>0</v>
      </c>
      <c r="DX152" s="135">
        <f>DW152*H152</f>
        <v>0</v>
      </c>
      <c r="EV152" s="136" t="s">
        <v>95</v>
      </c>
      <c r="EX152" s="136" t="s">
        <v>284</v>
      </c>
      <c r="EY152" s="136" t="s">
        <v>83</v>
      </c>
      <c r="FC152" s="16" t="s">
        <v>282</v>
      </c>
      <c r="FI152" s="137">
        <f>IF(DR152="základní",J152,0)</f>
        <v>25544.73</v>
      </c>
      <c r="FJ152" s="137">
        <f>IF(DR152="snížená",J152,0)</f>
        <v>0</v>
      </c>
      <c r="FK152" s="137">
        <f>IF(DR152="zákl. přenesená",J152,0)</f>
        <v>0</v>
      </c>
      <c r="FL152" s="137">
        <f>IF(DR152="sníž. přenesená",J152,0)</f>
        <v>0</v>
      </c>
      <c r="FM152" s="137">
        <f>IF(DR152="nulová",J152,0)</f>
        <v>0</v>
      </c>
      <c r="FN152" s="16" t="s">
        <v>81</v>
      </c>
      <c r="FO152" s="137">
        <f>ROUND(I152*H152,2)</f>
        <v>25544.73</v>
      </c>
      <c r="FP152" s="16" t="s">
        <v>95</v>
      </c>
      <c r="FQ152" s="136" t="s">
        <v>332</v>
      </c>
    </row>
    <row r="153" spans="2:173" s="1" customFormat="1" ht="19.5" x14ac:dyDescent="0.2">
      <c r="B153" s="31"/>
      <c r="D153" s="138" t="s">
        <v>289</v>
      </c>
      <c r="F153" s="139" t="s">
        <v>333</v>
      </c>
      <c r="I153" s="140"/>
      <c r="L153" s="31"/>
      <c r="N153" s="213"/>
      <c r="O153" s="214"/>
      <c r="Q153" s="229"/>
      <c r="DQ153" s="141"/>
      <c r="DX153" s="50"/>
      <c r="EX153" s="16" t="s">
        <v>289</v>
      </c>
      <c r="EY153" s="16" t="s">
        <v>83</v>
      </c>
    </row>
    <row r="154" spans="2:173" s="12" customFormat="1" x14ac:dyDescent="0.2">
      <c r="B154" s="149"/>
      <c r="D154" s="138" t="s">
        <v>301</v>
      </c>
      <c r="E154" s="150" t="s">
        <v>1</v>
      </c>
      <c r="F154" s="151" t="s">
        <v>847</v>
      </c>
      <c r="H154" s="152">
        <v>360</v>
      </c>
      <c r="I154" s="153"/>
      <c r="L154" s="149"/>
      <c r="N154" s="217"/>
      <c r="O154" s="218"/>
      <c r="Q154" s="231"/>
      <c r="DQ154" s="154"/>
      <c r="DX154" s="155"/>
      <c r="EX154" s="150" t="s">
        <v>301</v>
      </c>
      <c r="EY154" s="150" t="s">
        <v>83</v>
      </c>
      <c r="EZ154" s="12" t="s">
        <v>83</v>
      </c>
      <c r="FA154" s="12" t="s">
        <v>32</v>
      </c>
      <c r="FB154" s="12" t="s">
        <v>81</v>
      </c>
      <c r="FC154" s="150" t="s">
        <v>282</v>
      </c>
    </row>
    <row r="155" spans="2:173" s="1" customFormat="1" ht="24.2" customHeight="1" x14ac:dyDescent="0.2">
      <c r="B155" s="124"/>
      <c r="C155" s="125" t="s">
        <v>328</v>
      </c>
      <c r="D155" s="125" t="s">
        <v>284</v>
      </c>
      <c r="E155" s="126" t="s">
        <v>336</v>
      </c>
      <c r="F155" s="127" t="s">
        <v>337</v>
      </c>
      <c r="G155" s="128" t="s">
        <v>338</v>
      </c>
      <c r="H155" s="129">
        <v>45</v>
      </c>
      <c r="I155" s="130">
        <v>41.621835247115101</v>
      </c>
      <c r="J155" s="131">
        <f>ROUND(I155*H155,2)</f>
        <v>1872.98</v>
      </c>
      <c r="K155" s="127" t="s">
        <v>293</v>
      </c>
      <c r="L155" s="198">
        <f>S155</f>
        <v>0</v>
      </c>
      <c r="M155" s="206">
        <f>ROUND(L155*I155,2)</f>
        <v>0</v>
      </c>
      <c r="N155" s="211"/>
      <c r="O155" s="212">
        <f>ROUND(N155*I155,2)</f>
        <v>0</v>
      </c>
      <c r="P155" s="207">
        <f>H155-L155-N155</f>
        <v>45</v>
      </c>
      <c r="Q155" s="228">
        <f>ROUND(P155*I155,2)</f>
        <v>1872.98</v>
      </c>
      <c r="R155" s="199"/>
      <c r="S155" s="200">
        <f>W155+Y155+AA155+AC155+AE155+AG155+AI155+AK155</f>
        <v>0</v>
      </c>
      <c r="T155" s="200">
        <f>ROUND(S155*I155,2)</f>
        <v>0</v>
      </c>
      <c r="U155" s="200">
        <f>H155-S155</f>
        <v>45</v>
      </c>
      <c r="V155" s="200">
        <f>ROUND(U155*I155,2)</f>
        <v>1872.98</v>
      </c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DQ155" s="132" t="s">
        <v>1</v>
      </c>
      <c r="DR155" s="133" t="s">
        <v>40</v>
      </c>
      <c r="DT155" s="134">
        <f>DS155*H155</f>
        <v>0</v>
      </c>
      <c r="DU155" s="134">
        <v>0</v>
      </c>
      <c r="DV155" s="134">
        <f>DU155*H155</f>
        <v>0</v>
      </c>
      <c r="DW155" s="134">
        <v>0</v>
      </c>
      <c r="DX155" s="135">
        <f>DW155*H155</f>
        <v>0</v>
      </c>
      <c r="EV155" s="136" t="s">
        <v>95</v>
      </c>
      <c r="EX155" s="136" t="s">
        <v>284</v>
      </c>
      <c r="EY155" s="136" t="s">
        <v>83</v>
      </c>
      <c r="FC155" s="16" t="s">
        <v>282</v>
      </c>
      <c r="FI155" s="137">
        <f>IF(DR155="základní",J155,0)</f>
        <v>1872.98</v>
      </c>
      <c r="FJ155" s="137">
        <f>IF(DR155="snížená",J155,0)</f>
        <v>0</v>
      </c>
      <c r="FK155" s="137">
        <f>IF(DR155="zákl. přenesená",J155,0)</f>
        <v>0</v>
      </c>
      <c r="FL155" s="137">
        <f>IF(DR155="sníž. přenesená",J155,0)</f>
        <v>0</v>
      </c>
      <c r="FM155" s="137">
        <f>IF(DR155="nulová",J155,0)</f>
        <v>0</v>
      </c>
      <c r="FN155" s="16" t="s">
        <v>81</v>
      </c>
      <c r="FO155" s="137">
        <f>ROUND(I155*H155,2)</f>
        <v>1872.98</v>
      </c>
      <c r="FP155" s="16" t="s">
        <v>95</v>
      </c>
      <c r="FQ155" s="136" t="s">
        <v>339</v>
      </c>
    </row>
    <row r="156" spans="2:173" s="1" customFormat="1" ht="19.5" x14ac:dyDescent="0.2">
      <c r="B156" s="31"/>
      <c r="D156" s="138" t="s">
        <v>289</v>
      </c>
      <c r="F156" s="139" t="s">
        <v>340</v>
      </c>
      <c r="I156" s="140"/>
      <c r="L156" s="31"/>
      <c r="N156" s="213"/>
      <c r="O156" s="214"/>
      <c r="Q156" s="229"/>
      <c r="DQ156" s="141"/>
      <c r="DX156" s="50"/>
      <c r="EX156" s="16" t="s">
        <v>289</v>
      </c>
      <c r="EY156" s="16" t="s">
        <v>83</v>
      </c>
    </row>
    <row r="157" spans="2:173" s="1" customFormat="1" ht="14.45" customHeight="1" x14ac:dyDescent="0.2">
      <c r="B157" s="124"/>
      <c r="C157" s="125" t="s">
        <v>335</v>
      </c>
      <c r="D157" s="125" t="s">
        <v>284</v>
      </c>
      <c r="E157" s="126" t="s">
        <v>342</v>
      </c>
      <c r="F157" s="127" t="s">
        <v>343</v>
      </c>
      <c r="G157" s="128" t="s">
        <v>344</v>
      </c>
      <c r="H157" s="129">
        <v>4.2</v>
      </c>
      <c r="I157" s="130">
        <v>235.02024596209694</v>
      </c>
      <c r="J157" s="131">
        <f>ROUND(I157*H157,2)</f>
        <v>987.09</v>
      </c>
      <c r="K157" s="127" t="s">
        <v>293</v>
      </c>
      <c r="L157" s="198">
        <f>S157</f>
        <v>0</v>
      </c>
      <c r="M157" s="206">
        <f>ROUND(L157*I157,2)</f>
        <v>0</v>
      </c>
      <c r="N157" s="211"/>
      <c r="O157" s="212">
        <f>ROUND(N157*I157,2)</f>
        <v>0</v>
      </c>
      <c r="P157" s="207">
        <f>H157-L157-N157</f>
        <v>4.2</v>
      </c>
      <c r="Q157" s="228">
        <f>ROUND(P157*I157,2)</f>
        <v>987.09</v>
      </c>
      <c r="R157" s="199"/>
      <c r="S157" s="200">
        <f>W157+Y157+AA157+AC157+AE157+AG157+AI157+AK157</f>
        <v>0</v>
      </c>
      <c r="T157" s="200">
        <f>ROUND(S157*I157,2)</f>
        <v>0</v>
      </c>
      <c r="U157" s="200">
        <f>H157-S157</f>
        <v>4.2</v>
      </c>
      <c r="V157" s="200">
        <f>ROUND(U157*I157,2)</f>
        <v>987.09</v>
      </c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DQ157" s="132" t="s">
        <v>1</v>
      </c>
      <c r="DR157" s="133" t="s">
        <v>40</v>
      </c>
      <c r="DT157" s="134">
        <f>DS157*H157</f>
        <v>0</v>
      </c>
      <c r="DU157" s="134">
        <v>3.6900000000000002E-2</v>
      </c>
      <c r="DV157" s="134">
        <f>DU157*H157</f>
        <v>0.15498000000000001</v>
      </c>
      <c r="DW157" s="134">
        <v>0</v>
      </c>
      <c r="DX157" s="135">
        <f>DW157*H157</f>
        <v>0</v>
      </c>
      <c r="EV157" s="136" t="s">
        <v>95</v>
      </c>
      <c r="EX157" s="136" t="s">
        <v>284</v>
      </c>
      <c r="EY157" s="136" t="s">
        <v>83</v>
      </c>
      <c r="FC157" s="16" t="s">
        <v>282</v>
      </c>
      <c r="FI157" s="137">
        <f>IF(DR157="základní",J157,0)</f>
        <v>987.09</v>
      </c>
      <c r="FJ157" s="137">
        <f>IF(DR157="snížená",J157,0)</f>
        <v>0</v>
      </c>
      <c r="FK157" s="137">
        <f>IF(DR157="zákl. přenesená",J157,0)</f>
        <v>0</v>
      </c>
      <c r="FL157" s="137">
        <f>IF(DR157="sníž. přenesená",J157,0)</f>
        <v>0</v>
      </c>
      <c r="FM157" s="137">
        <f>IF(DR157="nulová",J157,0)</f>
        <v>0</v>
      </c>
      <c r="FN157" s="16" t="s">
        <v>81</v>
      </c>
      <c r="FO157" s="137">
        <f>ROUND(I157*H157,2)</f>
        <v>987.09</v>
      </c>
      <c r="FP157" s="16" t="s">
        <v>95</v>
      </c>
      <c r="FQ157" s="136" t="s">
        <v>345</v>
      </c>
    </row>
    <row r="158" spans="2:173" s="1" customFormat="1" ht="58.5" x14ac:dyDescent="0.2">
      <c r="B158" s="31"/>
      <c r="D158" s="138" t="s">
        <v>289</v>
      </c>
      <c r="F158" s="139" t="s">
        <v>346</v>
      </c>
      <c r="I158" s="140"/>
      <c r="L158" s="31"/>
      <c r="N158" s="213"/>
      <c r="O158" s="214"/>
      <c r="Q158" s="229"/>
      <c r="DQ158" s="141"/>
      <c r="DX158" s="50"/>
      <c r="EX158" s="16" t="s">
        <v>289</v>
      </c>
      <c r="EY158" s="16" t="s">
        <v>83</v>
      </c>
    </row>
    <row r="159" spans="2:173" s="1" customFormat="1" ht="29.25" x14ac:dyDescent="0.2">
      <c r="B159" s="31"/>
      <c r="D159" s="138" t="s">
        <v>299</v>
      </c>
      <c r="F159" s="142" t="s">
        <v>953</v>
      </c>
      <c r="I159" s="140"/>
      <c r="L159" s="31"/>
      <c r="N159" s="213"/>
      <c r="O159" s="214"/>
      <c r="Q159" s="229"/>
      <c r="DQ159" s="141"/>
      <c r="DX159" s="50"/>
      <c r="EX159" s="16" t="s">
        <v>299</v>
      </c>
      <c r="EY159" s="16" t="s">
        <v>83</v>
      </c>
    </row>
    <row r="160" spans="2:173" s="12" customFormat="1" x14ac:dyDescent="0.2">
      <c r="B160" s="149"/>
      <c r="D160" s="138" t="s">
        <v>301</v>
      </c>
      <c r="E160" s="150" t="s">
        <v>1</v>
      </c>
      <c r="F160" s="151" t="s">
        <v>957</v>
      </c>
      <c r="H160" s="152">
        <v>4.2</v>
      </c>
      <c r="I160" s="153"/>
      <c r="L160" s="149"/>
      <c r="N160" s="217"/>
      <c r="O160" s="218"/>
      <c r="Q160" s="231"/>
      <c r="DQ160" s="154"/>
      <c r="DX160" s="155"/>
      <c r="EX160" s="150" t="s">
        <v>301</v>
      </c>
      <c r="EY160" s="150" t="s">
        <v>83</v>
      </c>
      <c r="EZ160" s="12" t="s">
        <v>83</v>
      </c>
      <c r="FA160" s="12" t="s">
        <v>32</v>
      </c>
      <c r="FB160" s="12" t="s">
        <v>81</v>
      </c>
      <c r="FC160" s="150" t="s">
        <v>282</v>
      </c>
    </row>
    <row r="161" spans="2:173" s="1" customFormat="1" ht="24.2" customHeight="1" x14ac:dyDescent="0.2">
      <c r="B161" s="124"/>
      <c r="C161" s="125" t="s">
        <v>341</v>
      </c>
      <c r="D161" s="125" t="s">
        <v>284</v>
      </c>
      <c r="E161" s="126" t="s">
        <v>349</v>
      </c>
      <c r="F161" s="127" t="s">
        <v>350</v>
      </c>
      <c r="G161" s="128" t="s">
        <v>344</v>
      </c>
      <c r="H161" s="129">
        <v>2.1</v>
      </c>
      <c r="I161" s="130">
        <v>225.71950862012659</v>
      </c>
      <c r="J161" s="131">
        <f>ROUND(I161*H161,2)</f>
        <v>474.01</v>
      </c>
      <c r="K161" s="127" t="s">
        <v>293</v>
      </c>
      <c r="L161" s="198">
        <f>S161</f>
        <v>0</v>
      </c>
      <c r="M161" s="206">
        <f>ROUND(L161*I161,2)</f>
        <v>0</v>
      </c>
      <c r="N161" s="211"/>
      <c r="O161" s="212">
        <f>ROUND(N161*I161,2)</f>
        <v>0</v>
      </c>
      <c r="P161" s="207">
        <f>H161-L161-N161</f>
        <v>2.1</v>
      </c>
      <c r="Q161" s="228">
        <f>ROUND(P161*I161,2)</f>
        <v>474.01</v>
      </c>
      <c r="R161" s="199"/>
      <c r="S161" s="200">
        <f>W161+Y161+AA161+AC161+AE161+AG161+AI161+AK161</f>
        <v>0</v>
      </c>
      <c r="T161" s="200">
        <f>ROUND(S161*I161,2)</f>
        <v>0</v>
      </c>
      <c r="U161" s="200">
        <f>H161-S161</f>
        <v>2.1</v>
      </c>
      <c r="V161" s="200">
        <f>ROUND(U161*I161,2)</f>
        <v>474.01</v>
      </c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DQ161" s="132" t="s">
        <v>1</v>
      </c>
      <c r="DR161" s="133" t="s">
        <v>40</v>
      </c>
      <c r="DT161" s="134">
        <f>DS161*H161</f>
        <v>0</v>
      </c>
      <c r="DU161" s="134">
        <v>3.6900000000000002E-2</v>
      </c>
      <c r="DV161" s="134">
        <f>DU161*H161</f>
        <v>7.7490000000000003E-2</v>
      </c>
      <c r="DW161" s="134">
        <v>0</v>
      </c>
      <c r="DX161" s="135">
        <f>DW161*H161</f>
        <v>0</v>
      </c>
      <c r="EV161" s="136" t="s">
        <v>95</v>
      </c>
      <c r="EX161" s="136" t="s">
        <v>284</v>
      </c>
      <c r="EY161" s="136" t="s">
        <v>83</v>
      </c>
      <c r="FC161" s="16" t="s">
        <v>282</v>
      </c>
      <c r="FI161" s="137">
        <f>IF(DR161="základní",J161,0)</f>
        <v>474.01</v>
      </c>
      <c r="FJ161" s="137">
        <f>IF(DR161="snížená",J161,0)</f>
        <v>0</v>
      </c>
      <c r="FK161" s="137">
        <f>IF(DR161="zákl. přenesená",J161,0)</f>
        <v>0</v>
      </c>
      <c r="FL161" s="137">
        <f>IF(DR161="sníž. přenesená",J161,0)</f>
        <v>0</v>
      </c>
      <c r="FM161" s="137">
        <f>IF(DR161="nulová",J161,0)</f>
        <v>0</v>
      </c>
      <c r="FN161" s="16" t="s">
        <v>81</v>
      </c>
      <c r="FO161" s="137">
        <f>ROUND(I161*H161,2)</f>
        <v>474.01</v>
      </c>
      <c r="FP161" s="16" t="s">
        <v>95</v>
      </c>
      <c r="FQ161" s="136" t="s">
        <v>351</v>
      </c>
    </row>
    <row r="162" spans="2:173" s="1" customFormat="1" ht="58.5" x14ac:dyDescent="0.2">
      <c r="B162" s="31"/>
      <c r="D162" s="138" t="s">
        <v>289</v>
      </c>
      <c r="F162" s="139" t="s">
        <v>352</v>
      </c>
      <c r="I162" s="140"/>
      <c r="L162" s="31"/>
      <c r="N162" s="213"/>
      <c r="O162" s="214"/>
      <c r="Q162" s="229"/>
      <c r="DQ162" s="141"/>
      <c r="DX162" s="50"/>
      <c r="EX162" s="16" t="s">
        <v>289</v>
      </c>
      <c r="EY162" s="16" t="s">
        <v>83</v>
      </c>
    </row>
    <row r="163" spans="2:173" s="1" customFormat="1" ht="29.25" x14ac:dyDescent="0.2">
      <c r="B163" s="31"/>
      <c r="D163" s="138" t="s">
        <v>299</v>
      </c>
      <c r="F163" s="142" t="s">
        <v>953</v>
      </c>
      <c r="I163" s="140"/>
      <c r="L163" s="31"/>
      <c r="N163" s="213"/>
      <c r="O163" s="214"/>
      <c r="Q163" s="229"/>
      <c r="DQ163" s="141"/>
      <c r="DX163" s="50"/>
      <c r="EX163" s="16" t="s">
        <v>299</v>
      </c>
      <c r="EY163" s="16" t="s">
        <v>83</v>
      </c>
    </row>
    <row r="164" spans="2:173" s="12" customFormat="1" x14ac:dyDescent="0.2">
      <c r="B164" s="149"/>
      <c r="D164" s="138" t="s">
        <v>301</v>
      </c>
      <c r="E164" s="150" t="s">
        <v>1</v>
      </c>
      <c r="F164" s="151" t="s">
        <v>740</v>
      </c>
      <c r="H164" s="152">
        <v>2.1</v>
      </c>
      <c r="I164" s="153"/>
      <c r="L164" s="149"/>
      <c r="N164" s="217"/>
      <c r="O164" s="218"/>
      <c r="Q164" s="231"/>
      <c r="DQ164" s="154"/>
      <c r="DX164" s="155"/>
      <c r="EX164" s="150" t="s">
        <v>301</v>
      </c>
      <c r="EY164" s="150" t="s">
        <v>83</v>
      </c>
      <c r="EZ164" s="12" t="s">
        <v>83</v>
      </c>
      <c r="FA164" s="12" t="s">
        <v>32</v>
      </c>
      <c r="FB164" s="12" t="s">
        <v>81</v>
      </c>
      <c r="FC164" s="150" t="s">
        <v>282</v>
      </c>
    </row>
    <row r="165" spans="2:173" s="1" customFormat="1" ht="24.2" customHeight="1" x14ac:dyDescent="0.2">
      <c r="B165" s="124"/>
      <c r="C165" s="125" t="s">
        <v>348</v>
      </c>
      <c r="D165" s="125" t="s">
        <v>284</v>
      </c>
      <c r="E165" s="126" t="s">
        <v>958</v>
      </c>
      <c r="F165" s="127" t="s">
        <v>959</v>
      </c>
      <c r="G165" s="128" t="s">
        <v>287</v>
      </c>
      <c r="H165" s="129">
        <v>279.89999999999998</v>
      </c>
      <c r="I165" s="130">
        <v>23.091823190584471</v>
      </c>
      <c r="J165" s="131">
        <f>ROUND(I165*H165,2)</f>
        <v>6463.4</v>
      </c>
      <c r="K165" s="127" t="s">
        <v>293</v>
      </c>
      <c r="L165" s="198">
        <f>S165</f>
        <v>0</v>
      </c>
      <c r="M165" s="206">
        <f>ROUND(L165*I165,2)</f>
        <v>0</v>
      </c>
      <c r="N165" s="211"/>
      <c r="O165" s="212">
        <f>ROUND(N165*I165,2)</f>
        <v>0</v>
      </c>
      <c r="P165" s="207">
        <f>H165-L165-N165</f>
        <v>279.89999999999998</v>
      </c>
      <c r="Q165" s="228">
        <f>ROUND(P165*I165,2)</f>
        <v>6463.4</v>
      </c>
      <c r="R165" s="199"/>
      <c r="S165" s="200">
        <f>W165+Y165+AA165+AC165+AE165+AG165+AI165+AK165</f>
        <v>0</v>
      </c>
      <c r="T165" s="200">
        <f>ROUND(S165*I165,2)</f>
        <v>0</v>
      </c>
      <c r="U165" s="200">
        <f>H165-S165</f>
        <v>279.89999999999998</v>
      </c>
      <c r="V165" s="200">
        <f>ROUND(U165*I165,2)</f>
        <v>6463.4</v>
      </c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DQ165" s="132" t="s">
        <v>1</v>
      </c>
      <c r="DR165" s="133" t="s">
        <v>40</v>
      </c>
      <c r="DT165" s="134">
        <f>DS165*H165</f>
        <v>0</v>
      </c>
      <c r="DU165" s="134">
        <v>0</v>
      </c>
      <c r="DV165" s="134">
        <f>DU165*H165</f>
        <v>0</v>
      </c>
      <c r="DW165" s="134">
        <v>0</v>
      </c>
      <c r="DX165" s="135">
        <f>DW165*H165</f>
        <v>0</v>
      </c>
      <c r="EV165" s="136" t="s">
        <v>95</v>
      </c>
      <c r="EX165" s="136" t="s">
        <v>284</v>
      </c>
      <c r="EY165" s="136" t="s">
        <v>83</v>
      </c>
      <c r="FC165" s="16" t="s">
        <v>282</v>
      </c>
      <c r="FI165" s="137">
        <f>IF(DR165="základní",J165,0)</f>
        <v>6463.4</v>
      </c>
      <c r="FJ165" s="137">
        <f>IF(DR165="snížená",J165,0)</f>
        <v>0</v>
      </c>
      <c r="FK165" s="137">
        <f>IF(DR165="zákl. přenesená",J165,0)</f>
        <v>0</v>
      </c>
      <c r="FL165" s="137">
        <f>IF(DR165="sníž. přenesená",J165,0)</f>
        <v>0</v>
      </c>
      <c r="FM165" s="137">
        <f>IF(DR165="nulová",J165,0)</f>
        <v>0</v>
      </c>
      <c r="FN165" s="16" t="s">
        <v>81</v>
      </c>
      <c r="FO165" s="137">
        <f>ROUND(I165*H165,2)</f>
        <v>6463.4</v>
      </c>
      <c r="FP165" s="16" t="s">
        <v>95</v>
      </c>
      <c r="FQ165" s="136" t="s">
        <v>960</v>
      </c>
    </row>
    <row r="166" spans="2:173" s="1" customFormat="1" ht="19.5" x14ac:dyDescent="0.2">
      <c r="B166" s="31"/>
      <c r="D166" s="138" t="s">
        <v>289</v>
      </c>
      <c r="F166" s="139" t="s">
        <v>961</v>
      </c>
      <c r="I166" s="140"/>
      <c r="L166" s="31"/>
      <c r="N166" s="213"/>
      <c r="O166" s="214"/>
      <c r="Q166" s="229"/>
      <c r="DQ166" s="141"/>
      <c r="DX166" s="50"/>
      <c r="EX166" s="16" t="s">
        <v>289</v>
      </c>
      <c r="EY166" s="16" t="s">
        <v>83</v>
      </c>
    </row>
    <row r="167" spans="2:173" s="1" customFormat="1" ht="29.25" x14ac:dyDescent="0.2">
      <c r="B167" s="31"/>
      <c r="D167" s="138" t="s">
        <v>299</v>
      </c>
      <c r="F167" s="142" t="s">
        <v>953</v>
      </c>
      <c r="I167" s="140"/>
      <c r="L167" s="31"/>
      <c r="N167" s="213"/>
      <c r="O167" s="214"/>
      <c r="Q167" s="229"/>
      <c r="DQ167" s="141"/>
      <c r="DX167" s="50"/>
      <c r="EX167" s="16" t="s">
        <v>299</v>
      </c>
      <c r="EY167" s="16" t="s">
        <v>83</v>
      </c>
    </row>
    <row r="168" spans="2:173" s="11" customFormat="1" x14ac:dyDescent="0.2">
      <c r="B168" s="143"/>
      <c r="D168" s="138" t="s">
        <v>301</v>
      </c>
      <c r="E168" s="144" t="s">
        <v>1</v>
      </c>
      <c r="F168" s="145" t="s">
        <v>962</v>
      </c>
      <c r="H168" s="144" t="s">
        <v>1</v>
      </c>
      <c r="I168" s="146"/>
      <c r="L168" s="143"/>
      <c r="N168" s="215"/>
      <c r="O168" s="216"/>
      <c r="Q168" s="230"/>
      <c r="DQ168" s="147"/>
      <c r="DX168" s="148"/>
      <c r="EX168" s="144" t="s">
        <v>301</v>
      </c>
      <c r="EY168" s="144" t="s">
        <v>83</v>
      </c>
      <c r="EZ168" s="11" t="s">
        <v>81</v>
      </c>
      <c r="FA168" s="11" t="s">
        <v>32</v>
      </c>
      <c r="FB168" s="11" t="s">
        <v>74</v>
      </c>
      <c r="FC168" s="144" t="s">
        <v>282</v>
      </c>
    </row>
    <row r="169" spans="2:173" s="12" customFormat="1" x14ac:dyDescent="0.2">
      <c r="B169" s="149"/>
      <c r="D169" s="138" t="s">
        <v>301</v>
      </c>
      <c r="E169" s="150" t="s">
        <v>1</v>
      </c>
      <c r="F169" s="151" t="s">
        <v>963</v>
      </c>
      <c r="H169" s="152">
        <v>279.89999999999998</v>
      </c>
      <c r="I169" s="153"/>
      <c r="L169" s="149"/>
      <c r="N169" s="217"/>
      <c r="O169" s="218"/>
      <c r="Q169" s="231"/>
      <c r="DQ169" s="154"/>
      <c r="DX169" s="155"/>
      <c r="EX169" s="150" t="s">
        <v>301</v>
      </c>
      <c r="EY169" s="150" t="s">
        <v>83</v>
      </c>
      <c r="EZ169" s="12" t="s">
        <v>83</v>
      </c>
      <c r="FA169" s="12" t="s">
        <v>32</v>
      </c>
      <c r="FB169" s="12" t="s">
        <v>81</v>
      </c>
      <c r="FC169" s="150" t="s">
        <v>282</v>
      </c>
    </row>
    <row r="170" spans="2:173" s="1" customFormat="1" ht="24.2" customHeight="1" x14ac:dyDescent="0.2">
      <c r="B170" s="124"/>
      <c r="C170" s="125" t="s">
        <v>327</v>
      </c>
      <c r="D170" s="125" t="s">
        <v>284</v>
      </c>
      <c r="E170" s="126" t="s">
        <v>364</v>
      </c>
      <c r="F170" s="127" t="s">
        <v>365</v>
      </c>
      <c r="G170" s="128" t="s">
        <v>366</v>
      </c>
      <c r="H170" s="129">
        <v>209.262</v>
      </c>
      <c r="I170" s="130">
        <v>285.201942457955</v>
      </c>
      <c r="J170" s="131">
        <f>ROUND(I170*H170,2)</f>
        <v>59681.93</v>
      </c>
      <c r="K170" s="127" t="s">
        <v>293</v>
      </c>
      <c r="L170" s="198">
        <f>S170</f>
        <v>0</v>
      </c>
      <c r="M170" s="206">
        <f>ROUND(L170*I170,2)</f>
        <v>0</v>
      </c>
      <c r="N170" s="211">
        <f>N183</f>
        <v>-4.1087749999999801</v>
      </c>
      <c r="O170" s="212">
        <f>ROUND(N170*I170,2)</f>
        <v>-1171.83</v>
      </c>
      <c r="P170" s="207">
        <f>H170-L170-N170</f>
        <v>213.37077499999998</v>
      </c>
      <c r="Q170" s="228">
        <f>ROUND(P170*I170,2)</f>
        <v>60853.760000000002</v>
      </c>
      <c r="R170" s="199"/>
      <c r="S170" s="200">
        <f>W170+Y170+AA170+AC170+AE170+AG170+AI170+AK170</f>
        <v>0</v>
      </c>
      <c r="T170" s="200">
        <f>ROUND(S170*I170,2)</f>
        <v>0</v>
      </c>
      <c r="U170" s="200">
        <f>H170-S170</f>
        <v>209.262</v>
      </c>
      <c r="V170" s="200">
        <f>ROUND(U170*I170,2)</f>
        <v>59681.93</v>
      </c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DQ170" s="132" t="s">
        <v>1</v>
      </c>
      <c r="DR170" s="133" t="s">
        <v>40</v>
      </c>
      <c r="DT170" s="134">
        <f>DS170*H170</f>
        <v>0</v>
      </c>
      <c r="DU170" s="134">
        <v>0</v>
      </c>
      <c r="DV170" s="134">
        <f>DU170*H170</f>
        <v>0</v>
      </c>
      <c r="DW170" s="134">
        <v>0</v>
      </c>
      <c r="DX170" s="135">
        <f>DW170*H170</f>
        <v>0</v>
      </c>
      <c r="EV170" s="136" t="s">
        <v>95</v>
      </c>
      <c r="EX170" s="136" t="s">
        <v>284</v>
      </c>
      <c r="EY170" s="136" t="s">
        <v>83</v>
      </c>
      <c r="FC170" s="16" t="s">
        <v>282</v>
      </c>
      <c r="FI170" s="137">
        <f>IF(DR170="základní",J170,0)</f>
        <v>59681.93</v>
      </c>
      <c r="FJ170" s="137">
        <f>IF(DR170="snížená",J170,0)</f>
        <v>0</v>
      </c>
      <c r="FK170" s="137">
        <f>IF(DR170="zákl. přenesená",J170,0)</f>
        <v>0</v>
      </c>
      <c r="FL170" s="137">
        <f>IF(DR170="sníž. přenesená",J170,0)</f>
        <v>0</v>
      </c>
      <c r="FM170" s="137">
        <f>IF(DR170="nulová",J170,0)</f>
        <v>0</v>
      </c>
      <c r="FN170" s="16" t="s">
        <v>81</v>
      </c>
      <c r="FO170" s="137">
        <f>ROUND(I170*H170,2)</f>
        <v>59681.93</v>
      </c>
      <c r="FP170" s="16" t="s">
        <v>95</v>
      </c>
      <c r="FQ170" s="136" t="s">
        <v>367</v>
      </c>
    </row>
    <row r="171" spans="2:173" s="1" customFormat="1" ht="39" x14ac:dyDescent="0.2">
      <c r="B171" s="31"/>
      <c r="D171" s="138" t="s">
        <v>289</v>
      </c>
      <c r="F171" s="139" t="s">
        <v>368</v>
      </c>
      <c r="I171" s="140"/>
      <c r="L171" s="31"/>
      <c r="N171" s="213"/>
      <c r="O171" s="214"/>
      <c r="Q171" s="229"/>
      <c r="DQ171" s="141"/>
      <c r="DX171" s="50"/>
      <c r="EX171" s="16" t="s">
        <v>289</v>
      </c>
      <c r="EY171" s="16" t="s">
        <v>83</v>
      </c>
    </row>
    <row r="172" spans="2:173" s="1" customFormat="1" ht="39" x14ac:dyDescent="0.2">
      <c r="B172" s="31"/>
      <c r="D172" s="138" t="s">
        <v>299</v>
      </c>
      <c r="F172" s="142" t="s">
        <v>964</v>
      </c>
      <c r="I172" s="140"/>
      <c r="L172" s="31"/>
      <c r="N172" s="213"/>
      <c r="O172" s="214"/>
      <c r="Q172" s="229"/>
      <c r="DQ172" s="141"/>
      <c r="DX172" s="50"/>
      <c r="EX172" s="16" t="s">
        <v>299</v>
      </c>
      <c r="EY172" s="16" t="s">
        <v>83</v>
      </c>
    </row>
    <row r="173" spans="2:173" s="11" customFormat="1" ht="22.5" x14ac:dyDescent="0.2">
      <c r="B173" s="143"/>
      <c r="D173" s="138" t="s">
        <v>301</v>
      </c>
      <c r="E173" s="144" t="s">
        <v>1</v>
      </c>
      <c r="F173" s="145" t="s">
        <v>370</v>
      </c>
      <c r="H173" s="144" t="s">
        <v>1</v>
      </c>
      <c r="I173" s="146"/>
      <c r="L173" s="143"/>
      <c r="N173" s="215"/>
      <c r="O173" s="216"/>
      <c r="Q173" s="230"/>
      <c r="DQ173" s="147"/>
      <c r="DX173" s="148"/>
      <c r="EX173" s="144" t="s">
        <v>301</v>
      </c>
      <c r="EY173" s="144" t="s">
        <v>83</v>
      </c>
      <c r="EZ173" s="11" t="s">
        <v>81</v>
      </c>
      <c r="FA173" s="11" t="s">
        <v>32</v>
      </c>
      <c r="FB173" s="11" t="s">
        <v>74</v>
      </c>
      <c r="FC173" s="144" t="s">
        <v>282</v>
      </c>
    </row>
    <row r="174" spans="2:173" s="12" customFormat="1" x14ac:dyDescent="0.2">
      <c r="B174" s="149"/>
      <c r="D174" s="138" t="s">
        <v>301</v>
      </c>
      <c r="E174" s="150" t="s">
        <v>1</v>
      </c>
      <c r="F174" s="151" t="s">
        <v>965</v>
      </c>
      <c r="H174" s="152">
        <v>143.803</v>
      </c>
      <c r="I174" s="153"/>
      <c r="L174" s="149"/>
      <c r="N174" s="217">
        <f>60.06*1.05*(2.6-0.45)</f>
        <v>135.58545000000001</v>
      </c>
      <c r="O174" s="218" t="s">
        <v>3433</v>
      </c>
      <c r="Q174" s="231"/>
      <c r="DQ174" s="154"/>
      <c r="DX174" s="155"/>
      <c r="EX174" s="150" t="s">
        <v>301</v>
      </c>
      <c r="EY174" s="150" t="s">
        <v>83</v>
      </c>
      <c r="EZ174" s="12" t="s">
        <v>83</v>
      </c>
      <c r="FA174" s="12" t="s">
        <v>32</v>
      </c>
      <c r="FB174" s="12" t="s">
        <v>74</v>
      </c>
      <c r="FC174" s="150" t="s">
        <v>282</v>
      </c>
    </row>
    <row r="175" spans="2:173" s="12" customFormat="1" ht="22.5" x14ac:dyDescent="0.2">
      <c r="B175" s="149"/>
      <c r="D175" s="138" t="s">
        <v>301</v>
      </c>
      <c r="E175" s="150" t="s">
        <v>1</v>
      </c>
      <c r="F175" s="151" t="s">
        <v>966</v>
      </c>
      <c r="H175" s="152">
        <v>11.036</v>
      </c>
      <c r="I175" s="153"/>
      <c r="L175" s="149"/>
      <c r="N175" s="310">
        <f>H175</f>
        <v>11.036</v>
      </c>
      <c r="O175" s="218"/>
      <c r="Q175" s="231"/>
      <c r="DQ175" s="154"/>
      <c r="DX175" s="155"/>
      <c r="EX175" s="150" t="s">
        <v>301</v>
      </c>
      <c r="EY175" s="150" t="s">
        <v>83</v>
      </c>
      <c r="EZ175" s="12" t="s">
        <v>83</v>
      </c>
      <c r="FA175" s="12" t="s">
        <v>32</v>
      </c>
      <c r="FB175" s="12" t="s">
        <v>74</v>
      </c>
      <c r="FC175" s="150" t="s">
        <v>282</v>
      </c>
    </row>
    <row r="176" spans="2:173" s="12" customFormat="1" ht="22.5" x14ac:dyDescent="0.2">
      <c r="B176" s="149"/>
      <c r="D176" s="138" t="s">
        <v>301</v>
      </c>
      <c r="E176" s="150" t="s">
        <v>1</v>
      </c>
      <c r="F176" s="151" t="s">
        <v>967</v>
      </c>
      <c r="H176" s="152">
        <v>1.901</v>
      </c>
      <c r="I176" s="153"/>
      <c r="L176" s="149"/>
      <c r="N176" s="310">
        <f>H176</f>
        <v>1.901</v>
      </c>
      <c r="O176" s="218"/>
      <c r="Q176" s="231"/>
      <c r="DQ176" s="154"/>
      <c r="DX176" s="155"/>
      <c r="EX176" s="150" t="s">
        <v>301</v>
      </c>
      <c r="EY176" s="150" t="s">
        <v>83</v>
      </c>
      <c r="EZ176" s="12" t="s">
        <v>83</v>
      </c>
      <c r="FA176" s="12" t="s">
        <v>32</v>
      </c>
      <c r="FB176" s="12" t="s">
        <v>74</v>
      </c>
      <c r="FC176" s="150" t="s">
        <v>282</v>
      </c>
    </row>
    <row r="177" spans="2:173" s="11" customFormat="1" x14ac:dyDescent="0.2">
      <c r="B177" s="143"/>
      <c r="D177" s="138" t="s">
        <v>301</v>
      </c>
      <c r="E177" s="144" t="s">
        <v>1</v>
      </c>
      <c r="F177" s="145" t="s">
        <v>968</v>
      </c>
      <c r="H177" s="144" t="s">
        <v>1</v>
      </c>
      <c r="I177" s="146"/>
      <c r="L177" s="143"/>
      <c r="N177" s="215"/>
      <c r="O177" s="216"/>
      <c r="Q177" s="230"/>
      <c r="DQ177" s="147"/>
      <c r="DX177" s="148"/>
      <c r="EX177" s="144" t="s">
        <v>301</v>
      </c>
      <c r="EY177" s="144" t="s">
        <v>83</v>
      </c>
      <c r="EZ177" s="11" t="s">
        <v>81</v>
      </c>
      <c r="FA177" s="11" t="s">
        <v>32</v>
      </c>
      <c r="FB177" s="11" t="s">
        <v>74</v>
      </c>
      <c r="FC177" s="144" t="s">
        <v>282</v>
      </c>
    </row>
    <row r="178" spans="2:173" s="12" customFormat="1" x14ac:dyDescent="0.2">
      <c r="B178" s="149"/>
      <c r="D178" s="138" t="s">
        <v>301</v>
      </c>
      <c r="E178" s="150" t="s">
        <v>1</v>
      </c>
      <c r="F178" s="151" t="s">
        <v>969</v>
      </c>
      <c r="H178" s="152">
        <v>244.91300000000001</v>
      </c>
      <c r="I178" s="153"/>
      <c r="L178" s="149"/>
      <c r="N178" s="310">
        <f>H178</f>
        <v>244.91300000000001</v>
      </c>
      <c r="O178" s="218"/>
      <c r="Q178" s="231"/>
      <c r="DQ178" s="154"/>
      <c r="DX178" s="155"/>
      <c r="EX178" s="150" t="s">
        <v>301</v>
      </c>
      <c r="EY178" s="150" t="s">
        <v>83</v>
      </c>
      <c r="EZ178" s="12" t="s">
        <v>83</v>
      </c>
      <c r="FA178" s="12" t="s">
        <v>32</v>
      </c>
      <c r="FB178" s="12" t="s">
        <v>74</v>
      </c>
      <c r="FC178" s="150" t="s">
        <v>282</v>
      </c>
    </row>
    <row r="179" spans="2:173" s="12" customFormat="1" ht="22.5" x14ac:dyDescent="0.2">
      <c r="B179" s="149"/>
      <c r="D179" s="138" t="s">
        <v>301</v>
      </c>
      <c r="E179" s="150" t="s">
        <v>1</v>
      </c>
      <c r="F179" s="151" t="s">
        <v>970</v>
      </c>
      <c r="H179" s="152">
        <v>12.596</v>
      </c>
      <c r="I179" s="153"/>
      <c r="L179" s="149"/>
      <c r="N179" s="310">
        <f>H179</f>
        <v>12.596</v>
      </c>
      <c r="O179" s="218"/>
      <c r="Q179" s="231"/>
      <c r="DQ179" s="154"/>
      <c r="DX179" s="155"/>
      <c r="EX179" s="150" t="s">
        <v>301</v>
      </c>
      <c r="EY179" s="150" t="s">
        <v>83</v>
      </c>
      <c r="EZ179" s="12" t="s">
        <v>83</v>
      </c>
      <c r="FA179" s="12" t="s">
        <v>32</v>
      </c>
      <c r="FB179" s="12" t="s">
        <v>74</v>
      </c>
      <c r="FC179" s="150" t="s">
        <v>282</v>
      </c>
    </row>
    <row r="180" spans="2:173" s="12" customFormat="1" ht="22.5" x14ac:dyDescent="0.2">
      <c r="B180" s="149"/>
      <c r="D180" s="138" t="s">
        <v>301</v>
      </c>
      <c r="E180" s="150" t="s">
        <v>1</v>
      </c>
      <c r="F180" s="151" t="s">
        <v>971</v>
      </c>
      <c r="H180" s="152">
        <v>4.2750000000000004</v>
      </c>
      <c r="I180" s="153"/>
      <c r="L180" s="149"/>
      <c r="N180" s="310">
        <f>H180</f>
        <v>4.2750000000000004</v>
      </c>
      <c r="O180" s="218"/>
      <c r="Q180" s="231"/>
      <c r="DQ180" s="154"/>
      <c r="DX180" s="155"/>
      <c r="EX180" s="150" t="s">
        <v>301</v>
      </c>
      <c r="EY180" s="150" t="s">
        <v>83</v>
      </c>
      <c r="EZ180" s="12" t="s">
        <v>83</v>
      </c>
      <c r="FA180" s="12" t="s">
        <v>32</v>
      </c>
      <c r="FB180" s="12" t="s">
        <v>74</v>
      </c>
      <c r="FC180" s="150" t="s">
        <v>282</v>
      </c>
    </row>
    <row r="181" spans="2:173" s="14" customFormat="1" x14ac:dyDescent="0.2">
      <c r="B181" s="163"/>
      <c r="D181" s="138" t="s">
        <v>301</v>
      </c>
      <c r="E181" s="164" t="s">
        <v>1</v>
      </c>
      <c r="F181" s="165" t="s">
        <v>373</v>
      </c>
      <c r="H181" s="166">
        <v>418.524</v>
      </c>
      <c r="I181" s="167"/>
      <c r="L181" s="163"/>
      <c r="N181" s="318">
        <f>N174+N175+N176+N178+N179+N180</f>
        <v>410.30645000000004</v>
      </c>
      <c r="O181" s="222"/>
      <c r="Q181" s="233"/>
      <c r="DQ181" s="168"/>
      <c r="DX181" s="169"/>
      <c r="EX181" s="164" t="s">
        <v>301</v>
      </c>
      <c r="EY181" s="164" t="s">
        <v>83</v>
      </c>
      <c r="EZ181" s="14" t="s">
        <v>90</v>
      </c>
      <c r="FA181" s="14" t="s">
        <v>32</v>
      </c>
      <c r="FB181" s="14" t="s">
        <v>74</v>
      </c>
      <c r="FC181" s="164" t="s">
        <v>282</v>
      </c>
    </row>
    <row r="182" spans="2:173" s="12" customFormat="1" x14ac:dyDescent="0.2">
      <c r="B182" s="149"/>
      <c r="D182" s="138" t="s">
        <v>301</v>
      </c>
      <c r="E182" s="150" t="s">
        <v>1</v>
      </c>
      <c r="F182" s="151" t="s">
        <v>972</v>
      </c>
      <c r="H182" s="152">
        <v>209.262</v>
      </c>
      <c r="I182" s="153"/>
      <c r="L182" s="149"/>
      <c r="N182" s="217">
        <f>N181*0.5</f>
        <v>205.15322500000002</v>
      </c>
      <c r="O182" s="218"/>
      <c r="Q182" s="231"/>
      <c r="DQ182" s="154"/>
      <c r="DX182" s="155"/>
      <c r="EX182" s="150" t="s">
        <v>301</v>
      </c>
      <c r="EY182" s="150" t="s">
        <v>83</v>
      </c>
      <c r="EZ182" s="12" t="s">
        <v>83</v>
      </c>
      <c r="FA182" s="12" t="s">
        <v>32</v>
      </c>
      <c r="FB182" s="12" t="s">
        <v>81</v>
      </c>
      <c r="FC182" s="150" t="s">
        <v>282</v>
      </c>
    </row>
    <row r="183" spans="2:173" s="12" customFormat="1" x14ac:dyDescent="0.2">
      <c r="B183" s="149"/>
      <c r="D183" s="138"/>
      <c r="E183" s="150"/>
      <c r="F183" s="151"/>
      <c r="H183" s="152"/>
      <c r="I183" s="153"/>
      <c r="L183" s="149"/>
      <c r="N183" s="310">
        <f>N182-H182</f>
        <v>-4.1087749999999801</v>
      </c>
      <c r="O183" s="218"/>
      <c r="Q183" s="231"/>
      <c r="DQ183" s="154"/>
      <c r="DX183" s="155"/>
      <c r="EX183" s="150"/>
      <c r="EY183" s="150"/>
      <c r="FC183" s="150"/>
    </row>
    <row r="184" spans="2:173" s="1" customFormat="1" ht="24.2" customHeight="1" x14ac:dyDescent="0.2">
      <c r="B184" s="124"/>
      <c r="C184" s="125" t="s">
        <v>359</v>
      </c>
      <c r="D184" s="125" t="s">
        <v>284</v>
      </c>
      <c r="E184" s="126" t="s">
        <v>375</v>
      </c>
      <c r="F184" s="127" t="s">
        <v>376</v>
      </c>
      <c r="G184" s="128" t="s">
        <v>366</v>
      </c>
      <c r="H184" s="129">
        <v>209.262</v>
      </c>
      <c r="I184" s="130">
        <v>390.55963566140201</v>
      </c>
      <c r="J184" s="131">
        <f>ROUND(I184*H184,2)</f>
        <v>81729.289999999994</v>
      </c>
      <c r="K184" s="127" t="s">
        <v>293</v>
      </c>
      <c r="L184" s="198">
        <f>S184</f>
        <v>0</v>
      </c>
      <c r="M184" s="206">
        <f>ROUND(L184*I184,2)</f>
        <v>0</v>
      </c>
      <c r="N184" s="211">
        <f>N170</f>
        <v>-4.1087749999999801</v>
      </c>
      <c r="O184" s="212">
        <f>ROUND(N184*I184,2)</f>
        <v>-1604.72</v>
      </c>
      <c r="P184" s="207">
        <f>H184-L184-N184</f>
        <v>213.37077499999998</v>
      </c>
      <c r="Q184" s="228">
        <f>ROUND(P184*I184,2)</f>
        <v>83334.009999999995</v>
      </c>
      <c r="R184" s="199"/>
      <c r="S184" s="200">
        <f>W184+Y184+AA184+AC184+AE184+AG184+AI184+AK184</f>
        <v>0</v>
      </c>
      <c r="T184" s="200">
        <f>ROUND(S184*I184,2)</f>
        <v>0</v>
      </c>
      <c r="U184" s="200">
        <f>H184-S184</f>
        <v>209.262</v>
      </c>
      <c r="V184" s="200">
        <f>ROUND(U184*I184,2)</f>
        <v>81729.289999999994</v>
      </c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DQ184" s="132" t="s">
        <v>1</v>
      </c>
      <c r="DR184" s="133" t="s">
        <v>40</v>
      </c>
      <c r="DT184" s="134">
        <f>DS184*H184</f>
        <v>0</v>
      </c>
      <c r="DU184" s="134">
        <v>0</v>
      </c>
      <c r="DV184" s="134">
        <f>DU184*H184</f>
        <v>0</v>
      </c>
      <c r="DW184" s="134">
        <v>0</v>
      </c>
      <c r="DX184" s="135">
        <f>DW184*H184</f>
        <v>0</v>
      </c>
      <c r="EV184" s="136" t="s">
        <v>95</v>
      </c>
      <c r="EX184" s="136" t="s">
        <v>284</v>
      </c>
      <c r="EY184" s="136" t="s">
        <v>83</v>
      </c>
      <c r="FC184" s="16" t="s">
        <v>282</v>
      </c>
      <c r="FI184" s="137">
        <f>IF(DR184="základní",J184,0)</f>
        <v>81729.289999999994</v>
      </c>
      <c r="FJ184" s="137">
        <f>IF(DR184="snížená",J184,0)</f>
        <v>0</v>
      </c>
      <c r="FK184" s="137">
        <f>IF(DR184="zákl. přenesená",J184,0)</f>
        <v>0</v>
      </c>
      <c r="FL184" s="137">
        <f>IF(DR184="sníž. přenesená",J184,0)</f>
        <v>0</v>
      </c>
      <c r="FM184" s="137">
        <f>IF(DR184="nulová",J184,0)</f>
        <v>0</v>
      </c>
      <c r="FN184" s="16" t="s">
        <v>81</v>
      </c>
      <c r="FO184" s="137">
        <f>ROUND(I184*H184,2)</f>
        <v>81729.289999999994</v>
      </c>
      <c r="FP184" s="16" t="s">
        <v>95</v>
      </c>
      <c r="FQ184" s="136" t="s">
        <v>377</v>
      </c>
    </row>
    <row r="185" spans="2:173" s="1" customFormat="1" ht="39" x14ac:dyDescent="0.2">
      <c r="B185" s="31"/>
      <c r="D185" s="138" t="s">
        <v>289</v>
      </c>
      <c r="F185" s="139" t="s">
        <v>378</v>
      </c>
      <c r="I185" s="140"/>
      <c r="L185" s="31"/>
      <c r="N185" s="213"/>
      <c r="O185" s="214"/>
      <c r="Q185" s="229"/>
      <c r="DQ185" s="141"/>
      <c r="DX185" s="50"/>
      <c r="EX185" s="16" t="s">
        <v>289</v>
      </c>
      <c r="EY185" s="16" t="s">
        <v>83</v>
      </c>
    </row>
    <row r="186" spans="2:173" s="1" customFormat="1" ht="39" x14ac:dyDescent="0.2">
      <c r="B186" s="31"/>
      <c r="D186" s="138" t="s">
        <v>299</v>
      </c>
      <c r="F186" s="142" t="s">
        <v>964</v>
      </c>
      <c r="I186" s="140"/>
      <c r="L186" s="31"/>
      <c r="N186" s="213"/>
      <c r="O186" s="214"/>
      <c r="Q186" s="229"/>
      <c r="DQ186" s="141"/>
      <c r="DX186" s="50"/>
      <c r="EX186" s="16" t="s">
        <v>299</v>
      </c>
      <c r="EY186" s="16" t="s">
        <v>83</v>
      </c>
    </row>
    <row r="187" spans="2:173" s="1" customFormat="1" ht="24.2" customHeight="1" x14ac:dyDescent="0.2">
      <c r="B187" s="124"/>
      <c r="C187" s="125" t="s">
        <v>363</v>
      </c>
      <c r="D187" s="125" t="s">
        <v>284</v>
      </c>
      <c r="E187" s="126" t="s">
        <v>380</v>
      </c>
      <c r="F187" s="127" t="s">
        <v>381</v>
      </c>
      <c r="G187" s="128" t="s">
        <v>366</v>
      </c>
      <c r="H187" s="129">
        <v>83.706999999999994</v>
      </c>
      <c r="I187" s="130">
        <v>650.27058629099099</v>
      </c>
      <c r="J187" s="131">
        <f>ROUND(I187*H187,2)</f>
        <v>54432.2</v>
      </c>
      <c r="K187" s="127" t="s">
        <v>293</v>
      </c>
      <c r="L187" s="198">
        <f>S187</f>
        <v>0</v>
      </c>
      <c r="M187" s="206">
        <f>ROUND(L187*I187,2)</f>
        <v>0</v>
      </c>
      <c r="N187" s="211">
        <f>N191</f>
        <v>-1.6457999999999942</v>
      </c>
      <c r="O187" s="212">
        <f>ROUND(N187*I187,2)</f>
        <v>-1070.22</v>
      </c>
      <c r="P187" s="207">
        <f>H187-L187-N187</f>
        <v>85.352799999999988</v>
      </c>
      <c r="Q187" s="228">
        <f>ROUND(P187*I187,2)</f>
        <v>55502.42</v>
      </c>
      <c r="R187" s="199"/>
      <c r="S187" s="200">
        <f>W187+Y187+AA187+AC187+AE187+AG187+AI187+AK187</f>
        <v>0</v>
      </c>
      <c r="T187" s="200">
        <f>ROUND(S187*I187,2)</f>
        <v>0</v>
      </c>
      <c r="U187" s="200">
        <f>H187-S187</f>
        <v>83.706999999999994</v>
      </c>
      <c r="V187" s="200">
        <f>ROUND(U187*I187,2)</f>
        <v>54432.2</v>
      </c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DQ187" s="132" t="s">
        <v>1</v>
      </c>
      <c r="DR187" s="133" t="s">
        <v>40</v>
      </c>
      <c r="DT187" s="134">
        <f>DS187*H187</f>
        <v>0</v>
      </c>
      <c r="DU187" s="134">
        <v>0</v>
      </c>
      <c r="DV187" s="134">
        <f>DU187*H187</f>
        <v>0</v>
      </c>
      <c r="DW187" s="134">
        <v>0</v>
      </c>
      <c r="DX187" s="135">
        <f>DW187*H187</f>
        <v>0</v>
      </c>
      <c r="EV187" s="136" t="s">
        <v>95</v>
      </c>
      <c r="EX187" s="136" t="s">
        <v>284</v>
      </c>
      <c r="EY187" s="136" t="s">
        <v>83</v>
      </c>
      <c r="FC187" s="16" t="s">
        <v>282</v>
      </c>
      <c r="FI187" s="137">
        <f>IF(DR187="základní",J187,0)</f>
        <v>54432.2</v>
      </c>
      <c r="FJ187" s="137">
        <f>IF(DR187="snížená",J187,0)</f>
        <v>0</v>
      </c>
      <c r="FK187" s="137">
        <f>IF(DR187="zákl. přenesená",J187,0)</f>
        <v>0</v>
      </c>
      <c r="FL187" s="137">
        <f>IF(DR187="sníž. přenesená",J187,0)</f>
        <v>0</v>
      </c>
      <c r="FM187" s="137">
        <f>IF(DR187="nulová",J187,0)</f>
        <v>0</v>
      </c>
      <c r="FN187" s="16" t="s">
        <v>81</v>
      </c>
      <c r="FO187" s="137">
        <f>ROUND(I187*H187,2)</f>
        <v>54432.2</v>
      </c>
      <c r="FP187" s="16" t="s">
        <v>95</v>
      </c>
      <c r="FQ187" s="136" t="s">
        <v>382</v>
      </c>
    </row>
    <row r="188" spans="2:173" s="1" customFormat="1" ht="29.25" x14ac:dyDescent="0.2">
      <c r="B188" s="31"/>
      <c r="D188" s="138" t="s">
        <v>289</v>
      </c>
      <c r="F188" s="139" t="s">
        <v>383</v>
      </c>
      <c r="I188" s="140"/>
      <c r="L188" s="31"/>
      <c r="N188" s="213"/>
      <c r="O188" s="214"/>
      <c r="Q188" s="229"/>
      <c r="DQ188" s="141"/>
      <c r="DX188" s="50"/>
      <c r="EX188" s="16" t="s">
        <v>289</v>
      </c>
      <c r="EY188" s="16" t="s">
        <v>83</v>
      </c>
    </row>
    <row r="189" spans="2:173" s="11" customFormat="1" x14ac:dyDescent="0.2">
      <c r="B189" s="143"/>
      <c r="D189" s="138" t="s">
        <v>301</v>
      </c>
      <c r="E189" s="144" t="s">
        <v>1</v>
      </c>
      <c r="F189" s="145" t="s">
        <v>384</v>
      </c>
      <c r="H189" s="144" t="s">
        <v>1</v>
      </c>
      <c r="I189" s="146"/>
      <c r="L189" s="143"/>
      <c r="N189" s="215"/>
      <c r="O189" s="216"/>
      <c r="Q189" s="230"/>
      <c r="DQ189" s="147"/>
      <c r="DX189" s="148"/>
      <c r="EX189" s="144" t="s">
        <v>301</v>
      </c>
      <c r="EY189" s="144" t="s">
        <v>83</v>
      </c>
      <c r="EZ189" s="11" t="s">
        <v>81</v>
      </c>
      <c r="FA189" s="11" t="s">
        <v>32</v>
      </c>
      <c r="FB189" s="11" t="s">
        <v>74</v>
      </c>
      <c r="FC189" s="144" t="s">
        <v>282</v>
      </c>
    </row>
    <row r="190" spans="2:173" s="12" customFormat="1" x14ac:dyDescent="0.2">
      <c r="B190" s="149"/>
      <c r="D190" s="138" t="s">
        <v>301</v>
      </c>
      <c r="E190" s="150" t="s">
        <v>1</v>
      </c>
      <c r="F190" s="151" t="s">
        <v>973</v>
      </c>
      <c r="H190" s="152">
        <v>83.706999999999994</v>
      </c>
      <c r="I190" s="153"/>
      <c r="L190" s="149"/>
      <c r="N190" s="217">
        <f>(205.153+205.153)*0.2</f>
        <v>82.061199999999999</v>
      </c>
      <c r="O190" s="218" t="s">
        <v>3434</v>
      </c>
      <c r="Q190" s="231"/>
      <c r="DQ190" s="154"/>
      <c r="DX190" s="155"/>
      <c r="EX190" s="150" t="s">
        <v>301</v>
      </c>
      <c r="EY190" s="150" t="s">
        <v>83</v>
      </c>
      <c r="EZ190" s="12" t="s">
        <v>83</v>
      </c>
      <c r="FA190" s="12" t="s">
        <v>32</v>
      </c>
      <c r="FB190" s="12" t="s">
        <v>81</v>
      </c>
      <c r="FC190" s="150" t="s">
        <v>282</v>
      </c>
    </row>
    <row r="191" spans="2:173" s="12" customFormat="1" x14ac:dyDescent="0.2">
      <c r="B191" s="149"/>
      <c r="D191" s="138"/>
      <c r="E191" s="150"/>
      <c r="F191" s="151"/>
      <c r="H191" s="152"/>
      <c r="I191" s="153"/>
      <c r="L191" s="149"/>
      <c r="N191" s="310">
        <f>N190-H190</f>
        <v>-1.6457999999999942</v>
      </c>
      <c r="O191" s="218"/>
      <c r="Q191" s="231"/>
      <c r="DQ191" s="154"/>
      <c r="DX191" s="155"/>
      <c r="EX191" s="150"/>
      <c r="EY191" s="150"/>
      <c r="FC191" s="150"/>
    </row>
    <row r="192" spans="2:173" s="1" customFormat="1" ht="14.45" customHeight="1" x14ac:dyDescent="0.2">
      <c r="B192" s="124"/>
      <c r="C192" s="125" t="s">
        <v>8</v>
      </c>
      <c r="D192" s="125" t="s">
        <v>284</v>
      </c>
      <c r="E192" s="126" t="s">
        <v>387</v>
      </c>
      <c r="F192" s="127" t="s">
        <v>388</v>
      </c>
      <c r="G192" s="128" t="s">
        <v>287</v>
      </c>
      <c r="H192" s="129">
        <v>816.4</v>
      </c>
      <c r="I192" s="130">
        <v>156.6895922457376</v>
      </c>
      <c r="J192" s="131">
        <f>ROUND(I192*H192,2)</f>
        <v>127921.38</v>
      </c>
      <c r="K192" s="127" t="s">
        <v>293</v>
      </c>
      <c r="L192" s="198">
        <f>S192</f>
        <v>0</v>
      </c>
      <c r="M192" s="206">
        <f>ROUND(L192*I192,2)</f>
        <v>0</v>
      </c>
      <c r="N192" s="211">
        <f>N196</f>
        <v>-18.927999999999884</v>
      </c>
      <c r="O192" s="212">
        <f>ROUND(N192*I192,2)</f>
        <v>-2965.82</v>
      </c>
      <c r="P192" s="207">
        <f>H192-L192-N192</f>
        <v>835.32799999999986</v>
      </c>
      <c r="Q192" s="228">
        <f>ROUND(P192*I192,2)</f>
        <v>130887.2</v>
      </c>
      <c r="R192" s="199"/>
      <c r="S192" s="200">
        <f>W192+Y192+AA192+AC192+AE192+AG192+AI192+AK192</f>
        <v>0</v>
      </c>
      <c r="T192" s="200">
        <f>ROUND(S192*I192,2)</f>
        <v>0</v>
      </c>
      <c r="U192" s="200">
        <f>H192-S192</f>
        <v>816.4</v>
      </c>
      <c r="V192" s="200">
        <f>ROUND(U192*I192,2)</f>
        <v>127921.38</v>
      </c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DQ192" s="132" t="s">
        <v>1</v>
      </c>
      <c r="DR192" s="133" t="s">
        <v>40</v>
      </c>
      <c r="DT192" s="134">
        <f>DS192*H192</f>
        <v>0</v>
      </c>
      <c r="DU192" s="134">
        <v>5.9000000000000003E-4</v>
      </c>
      <c r="DV192" s="134">
        <f>DU192*H192</f>
        <v>0.48167599999999999</v>
      </c>
      <c r="DW192" s="134">
        <v>0</v>
      </c>
      <c r="DX192" s="135">
        <f>DW192*H192</f>
        <v>0</v>
      </c>
      <c r="EV192" s="136" t="s">
        <v>95</v>
      </c>
      <c r="EX192" s="136" t="s">
        <v>284</v>
      </c>
      <c r="EY192" s="136" t="s">
        <v>83</v>
      </c>
      <c r="FC192" s="16" t="s">
        <v>282</v>
      </c>
      <c r="FI192" s="137">
        <f>IF(DR192="základní",J192,0)</f>
        <v>127921.38</v>
      </c>
      <c r="FJ192" s="137">
        <f>IF(DR192="snížená",J192,0)</f>
        <v>0</v>
      </c>
      <c r="FK192" s="137">
        <f>IF(DR192="zákl. přenesená",J192,0)</f>
        <v>0</v>
      </c>
      <c r="FL192" s="137">
        <f>IF(DR192="sníž. přenesená",J192,0)</f>
        <v>0</v>
      </c>
      <c r="FM192" s="137">
        <f>IF(DR192="nulová",J192,0)</f>
        <v>0</v>
      </c>
      <c r="FN192" s="16" t="s">
        <v>81</v>
      </c>
      <c r="FO192" s="137">
        <f>ROUND(I192*H192,2)</f>
        <v>127921.38</v>
      </c>
      <c r="FP192" s="16" t="s">
        <v>95</v>
      </c>
      <c r="FQ192" s="136" t="s">
        <v>389</v>
      </c>
    </row>
    <row r="193" spans="2:173" s="1" customFormat="1" ht="19.5" x14ac:dyDescent="0.2">
      <c r="B193" s="31"/>
      <c r="D193" s="138" t="s">
        <v>289</v>
      </c>
      <c r="F193" s="139" t="s">
        <v>390</v>
      </c>
      <c r="I193" s="140"/>
      <c r="L193" s="31"/>
      <c r="N193" s="213"/>
      <c r="O193" s="214"/>
      <c r="Q193" s="229"/>
      <c r="DQ193" s="141"/>
      <c r="DX193" s="50"/>
      <c r="EX193" s="16" t="s">
        <v>289</v>
      </c>
      <c r="EY193" s="16" t="s">
        <v>83</v>
      </c>
    </row>
    <row r="194" spans="2:173" s="1" customFormat="1" ht="19.5" x14ac:dyDescent="0.2">
      <c r="B194" s="31"/>
      <c r="D194" s="138" t="s">
        <v>299</v>
      </c>
      <c r="F194" s="142" t="s">
        <v>317</v>
      </c>
      <c r="I194" s="140"/>
      <c r="L194" s="31"/>
      <c r="N194" s="213"/>
      <c r="O194" s="214"/>
      <c r="Q194" s="229"/>
      <c r="DQ194" s="141"/>
      <c r="DX194" s="50"/>
      <c r="EX194" s="16" t="s">
        <v>299</v>
      </c>
      <c r="EY194" s="16" t="s">
        <v>83</v>
      </c>
    </row>
    <row r="195" spans="2:173" s="12" customFormat="1" x14ac:dyDescent="0.2">
      <c r="B195" s="149"/>
      <c r="D195" s="138" t="s">
        <v>301</v>
      </c>
      <c r="E195" s="150" t="s">
        <v>1</v>
      </c>
      <c r="F195" s="151" t="s">
        <v>974</v>
      </c>
      <c r="H195" s="152">
        <v>816.4</v>
      </c>
      <c r="I195" s="153"/>
      <c r="L195" s="149"/>
      <c r="N195" s="217">
        <f>153.36*2.6*2</f>
        <v>797.47200000000009</v>
      </c>
      <c r="O195" s="218" t="s">
        <v>3435</v>
      </c>
      <c r="Q195" s="231"/>
      <c r="DQ195" s="154"/>
      <c r="DX195" s="155"/>
      <c r="EX195" s="150" t="s">
        <v>301</v>
      </c>
      <c r="EY195" s="150" t="s">
        <v>83</v>
      </c>
      <c r="EZ195" s="12" t="s">
        <v>83</v>
      </c>
      <c r="FA195" s="12" t="s">
        <v>32</v>
      </c>
      <c r="FB195" s="12" t="s">
        <v>81</v>
      </c>
      <c r="FC195" s="150" t="s">
        <v>282</v>
      </c>
    </row>
    <row r="196" spans="2:173" s="12" customFormat="1" x14ac:dyDescent="0.2">
      <c r="B196" s="149"/>
      <c r="D196" s="138"/>
      <c r="E196" s="150"/>
      <c r="F196" s="151"/>
      <c r="H196" s="152"/>
      <c r="I196" s="153"/>
      <c r="L196" s="149"/>
      <c r="N196" s="310">
        <f>N195-H195</f>
        <v>-18.927999999999884</v>
      </c>
      <c r="O196" s="218"/>
      <c r="Q196" s="231"/>
      <c r="DQ196" s="154"/>
      <c r="DX196" s="155"/>
      <c r="EX196" s="150"/>
      <c r="EY196" s="150"/>
      <c r="FC196" s="150"/>
    </row>
    <row r="197" spans="2:173" s="1" customFormat="1" ht="14.45" customHeight="1" x14ac:dyDescent="0.2">
      <c r="B197" s="124"/>
      <c r="C197" s="125" t="s">
        <v>379</v>
      </c>
      <c r="D197" s="125" t="s">
        <v>284</v>
      </c>
      <c r="E197" s="126" t="s">
        <v>393</v>
      </c>
      <c r="F197" s="127" t="s">
        <v>394</v>
      </c>
      <c r="G197" s="128" t="s">
        <v>287</v>
      </c>
      <c r="H197" s="129">
        <v>816.4</v>
      </c>
      <c r="I197" s="130">
        <v>103.33666316345877</v>
      </c>
      <c r="J197" s="131">
        <f>ROUND(I197*H197,2)</f>
        <v>84364.05</v>
      </c>
      <c r="K197" s="127" t="s">
        <v>293</v>
      </c>
      <c r="L197" s="198">
        <f>S197</f>
        <v>0</v>
      </c>
      <c r="M197" s="206">
        <f>ROUND(L197*I197,2)</f>
        <v>0</v>
      </c>
      <c r="N197" s="211">
        <f>N192</f>
        <v>-18.927999999999884</v>
      </c>
      <c r="O197" s="212">
        <f>ROUND(N197*I197,2)</f>
        <v>-1955.96</v>
      </c>
      <c r="P197" s="207">
        <f>H197-L197-N197</f>
        <v>835.32799999999986</v>
      </c>
      <c r="Q197" s="228">
        <f>ROUND(P197*I197,2)</f>
        <v>86320.01</v>
      </c>
      <c r="R197" s="199"/>
      <c r="S197" s="200">
        <f>W197+Y197+AA197+AC197+AE197+AG197+AI197+AK197</f>
        <v>0</v>
      </c>
      <c r="T197" s="200">
        <f>ROUND(S197*I197,2)</f>
        <v>0</v>
      </c>
      <c r="U197" s="200">
        <f>H197-S197</f>
        <v>816.4</v>
      </c>
      <c r="V197" s="200">
        <f>ROUND(U197*I197,2)</f>
        <v>84364.05</v>
      </c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DQ197" s="132" t="s">
        <v>1</v>
      </c>
      <c r="DR197" s="133" t="s">
        <v>40</v>
      </c>
      <c r="DT197" s="134">
        <f>DS197*H197</f>
        <v>0</v>
      </c>
      <c r="DU197" s="134">
        <v>0</v>
      </c>
      <c r="DV197" s="134">
        <f>DU197*H197</f>
        <v>0</v>
      </c>
      <c r="DW197" s="134">
        <v>0</v>
      </c>
      <c r="DX197" s="135">
        <f>DW197*H197</f>
        <v>0</v>
      </c>
      <c r="EV197" s="136" t="s">
        <v>95</v>
      </c>
      <c r="EX197" s="136" t="s">
        <v>284</v>
      </c>
      <c r="EY197" s="136" t="s">
        <v>83</v>
      </c>
      <c r="FC197" s="16" t="s">
        <v>282</v>
      </c>
      <c r="FI197" s="137">
        <f>IF(DR197="základní",J197,0)</f>
        <v>84364.05</v>
      </c>
      <c r="FJ197" s="137">
        <f>IF(DR197="snížená",J197,0)</f>
        <v>0</v>
      </c>
      <c r="FK197" s="137">
        <f>IF(DR197="zákl. přenesená",J197,0)</f>
        <v>0</v>
      </c>
      <c r="FL197" s="137">
        <f>IF(DR197="sníž. přenesená",J197,0)</f>
        <v>0</v>
      </c>
      <c r="FM197" s="137">
        <f>IF(DR197="nulová",J197,0)</f>
        <v>0</v>
      </c>
      <c r="FN197" s="16" t="s">
        <v>81</v>
      </c>
      <c r="FO197" s="137">
        <f>ROUND(I197*H197,2)</f>
        <v>84364.05</v>
      </c>
      <c r="FP197" s="16" t="s">
        <v>95</v>
      </c>
      <c r="FQ197" s="136" t="s">
        <v>395</v>
      </c>
    </row>
    <row r="198" spans="2:173" s="1" customFormat="1" ht="19.5" x14ac:dyDescent="0.2">
      <c r="B198" s="31"/>
      <c r="D198" s="138" t="s">
        <v>289</v>
      </c>
      <c r="F198" s="139" t="s">
        <v>396</v>
      </c>
      <c r="I198" s="140"/>
      <c r="L198" s="31"/>
      <c r="N198" s="213"/>
      <c r="O198" s="214"/>
      <c r="Q198" s="229"/>
      <c r="DQ198" s="141"/>
      <c r="DX198" s="50"/>
      <c r="EX198" s="16" t="s">
        <v>289</v>
      </c>
      <c r="EY198" s="16" t="s">
        <v>83</v>
      </c>
    </row>
    <row r="199" spans="2:173" s="1" customFormat="1" ht="37.9" customHeight="1" x14ac:dyDescent="0.2">
      <c r="B199" s="124"/>
      <c r="C199" s="125" t="s">
        <v>386</v>
      </c>
      <c r="D199" s="125" t="s">
        <v>284</v>
      </c>
      <c r="E199" s="126" t="s">
        <v>398</v>
      </c>
      <c r="F199" s="127" t="s">
        <v>399</v>
      </c>
      <c r="G199" s="128" t="s">
        <v>366</v>
      </c>
      <c r="H199" s="129">
        <v>446.51400000000001</v>
      </c>
      <c r="I199" s="130">
        <v>262.06861194786097</v>
      </c>
      <c r="J199" s="131">
        <f>ROUND(I199*H199,2)</f>
        <v>117017.3</v>
      </c>
      <c r="K199" s="127" t="s">
        <v>293</v>
      </c>
      <c r="L199" s="198">
        <f>S199</f>
        <v>0</v>
      </c>
      <c r="M199" s="206">
        <f>ROUND(L199*I199,2)</f>
        <v>0</v>
      </c>
      <c r="N199" s="211">
        <f>N206</f>
        <v>-8.2180000000000177</v>
      </c>
      <c r="O199" s="212">
        <f>ROUND(N199*I199,2)</f>
        <v>-2153.6799999999998</v>
      </c>
      <c r="P199" s="207">
        <f>H199-L199-N199</f>
        <v>454.73200000000003</v>
      </c>
      <c r="Q199" s="228">
        <f>ROUND(P199*I199,2)</f>
        <v>119170.98</v>
      </c>
      <c r="R199" s="199"/>
      <c r="S199" s="200">
        <f>W199+Y199+AA199+AC199+AE199+AG199+AI199+AK199</f>
        <v>0</v>
      </c>
      <c r="T199" s="200">
        <f>ROUND(S199*I199,2)</f>
        <v>0</v>
      </c>
      <c r="U199" s="200">
        <f>H199-S199</f>
        <v>446.51400000000001</v>
      </c>
      <c r="V199" s="200">
        <f>ROUND(U199*I199,2)</f>
        <v>117017.3</v>
      </c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DQ199" s="132" t="s">
        <v>1</v>
      </c>
      <c r="DR199" s="133" t="s">
        <v>40</v>
      </c>
      <c r="DT199" s="134">
        <f>DS199*H199</f>
        <v>0</v>
      </c>
      <c r="DU199" s="134">
        <v>0</v>
      </c>
      <c r="DV199" s="134">
        <f>DU199*H199</f>
        <v>0</v>
      </c>
      <c r="DW199" s="134">
        <v>0</v>
      </c>
      <c r="DX199" s="135">
        <f>DW199*H199</f>
        <v>0</v>
      </c>
      <c r="EV199" s="136" t="s">
        <v>95</v>
      </c>
      <c r="EX199" s="136" t="s">
        <v>284</v>
      </c>
      <c r="EY199" s="136" t="s">
        <v>83</v>
      </c>
      <c r="FC199" s="16" t="s">
        <v>282</v>
      </c>
      <c r="FI199" s="137">
        <f>IF(DR199="základní",J199,0)</f>
        <v>117017.3</v>
      </c>
      <c r="FJ199" s="137">
        <f>IF(DR199="snížená",J199,0)</f>
        <v>0</v>
      </c>
      <c r="FK199" s="137">
        <f>IF(DR199="zákl. přenesená",J199,0)</f>
        <v>0</v>
      </c>
      <c r="FL199" s="137">
        <f>IF(DR199="sníž. přenesená",J199,0)</f>
        <v>0</v>
      </c>
      <c r="FM199" s="137">
        <f>IF(DR199="nulová",J199,0)</f>
        <v>0</v>
      </c>
      <c r="FN199" s="16" t="s">
        <v>81</v>
      </c>
      <c r="FO199" s="137">
        <f>ROUND(I199*H199,2)</f>
        <v>117017.3</v>
      </c>
      <c r="FP199" s="16" t="s">
        <v>95</v>
      </c>
      <c r="FQ199" s="136" t="s">
        <v>400</v>
      </c>
    </row>
    <row r="200" spans="2:173" s="1" customFormat="1" ht="39" x14ac:dyDescent="0.2">
      <c r="B200" s="31"/>
      <c r="D200" s="138" t="s">
        <v>289</v>
      </c>
      <c r="F200" s="139" t="s">
        <v>401</v>
      </c>
      <c r="I200" s="140"/>
      <c r="L200" s="31"/>
      <c r="N200" s="213"/>
      <c r="O200" s="214"/>
      <c r="Q200" s="229"/>
      <c r="DQ200" s="141"/>
      <c r="DX200" s="50"/>
      <c r="EX200" s="16" t="s">
        <v>289</v>
      </c>
      <c r="EY200" s="16" t="s">
        <v>83</v>
      </c>
    </row>
    <row r="201" spans="2:173" s="11" customFormat="1" x14ac:dyDescent="0.2">
      <c r="B201" s="143"/>
      <c r="D201" s="138" t="s">
        <v>301</v>
      </c>
      <c r="E201" s="144" t="s">
        <v>1</v>
      </c>
      <c r="F201" s="145" t="s">
        <v>402</v>
      </c>
      <c r="H201" s="144" t="s">
        <v>1</v>
      </c>
      <c r="I201" s="146"/>
      <c r="L201" s="143"/>
      <c r="N201" s="215"/>
      <c r="O201" s="216"/>
      <c r="Q201" s="230"/>
      <c r="DQ201" s="147"/>
      <c r="DX201" s="148"/>
      <c r="EX201" s="144" t="s">
        <v>301</v>
      </c>
      <c r="EY201" s="144" t="s">
        <v>83</v>
      </c>
      <c r="EZ201" s="11" t="s">
        <v>81</v>
      </c>
      <c r="FA201" s="11" t="s">
        <v>32</v>
      </c>
      <c r="FB201" s="11" t="s">
        <v>74</v>
      </c>
      <c r="FC201" s="144" t="s">
        <v>282</v>
      </c>
    </row>
    <row r="202" spans="2:173" s="12" customFormat="1" x14ac:dyDescent="0.2">
      <c r="B202" s="149"/>
      <c r="D202" s="138" t="s">
        <v>301</v>
      </c>
      <c r="E202" s="150" t="s">
        <v>1</v>
      </c>
      <c r="F202" s="151" t="s">
        <v>975</v>
      </c>
      <c r="H202" s="152">
        <v>418.524</v>
      </c>
      <c r="I202" s="153"/>
      <c r="L202" s="149"/>
      <c r="N202" s="217">
        <f>205.153+205.153</f>
        <v>410.30599999999998</v>
      </c>
      <c r="O202" s="218" t="s">
        <v>3436</v>
      </c>
      <c r="Q202" s="231"/>
      <c r="DQ202" s="154"/>
      <c r="DX202" s="155"/>
      <c r="EX202" s="150" t="s">
        <v>301</v>
      </c>
      <c r="EY202" s="150" t="s">
        <v>83</v>
      </c>
      <c r="EZ202" s="12" t="s">
        <v>83</v>
      </c>
      <c r="FA202" s="12" t="s">
        <v>32</v>
      </c>
      <c r="FB202" s="12" t="s">
        <v>74</v>
      </c>
      <c r="FC202" s="150" t="s">
        <v>282</v>
      </c>
    </row>
    <row r="203" spans="2:173" s="11" customFormat="1" x14ac:dyDescent="0.2">
      <c r="B203" s="143"/>
      <c r="D203" s="138" t="s">
        <v>301</v>
      </c>
      <c r="E203" s="144" t="s">
        <v>1</v>
      </c>
      <c r="F203" s="145" t="s">
        <v>976</v>
      </c>
      <c r="H203" s="144" t="s">
        <v>1</v>
      </c>
      <c r="I203" s="146"/>
      <c r="L203" s="143"/>
      <c r="N203" s="215"/>
      <c r="O203" s="216"/>
      <c r="Q203" s="230"/>
      <c r="DQ203" s="147"/>
      <c r="DX203" s="148"/>
      <c r="EX203" s="144" t="s">
        <v>301</v>
      </c>
      <c r="EY203" s="144" t="s">
        <v>83</v>
      </c>
      <c r="EZ203" s="11" t="s">
        <v>81</v>
      </c>
      <c r="FA203" s="11" t="s">
        <v>32</v>
      </c>
      <c r="FB203" s="11" t="s">
        <v>74</v>
      </c>
      <c r="FC203" s="144" t="s">
        <v>282</v>
      </c>
    </row>
    <row r="204" spans="2:173" s="12" customFormat="1" x14ac:dyDescent="0.2">
      <c r="B204" s="149"/>
      <c r="D204" s="138" t="s">
        <v>301</v>
      </c>
      <c r="E204" s="150" t="s">
        <v>1</v>
      </c>
      <c r="F204" s="151" t="s">
        <v>977</v>
      </c>
      <c r="H204" s="152">
        <v>27.99</v>
      </c>
      <c r="I204" s="153"/>
      <c r="L204" s="149"/>
      <c r="N204" s="310">
        <f>H204</f>
        <v>27.99</v>
      </c>
      <c r="O204" s="218"/>
      <c r="Q204" s="231"/>
      <c r="DQ204" s="154"/>
      <c r="DX204" s="155"/>
      <c r="EX204" s="150" t="s">
        <v>301</v>
      </c>
      <c r="EY204" s="150" t="s">
        <v>83</v>
      </c>
      <c r="EZ204" s="12" t="s">
        <v>83</v>
      </c>
      <c r="FA204" s="12" t="s">
        <v>32</v>
      </c>
      <c r="FB204" s="12" t="s">
        <v>74</v>
      </c>
      <c r="FC204" s="150" t="s">
        <v>282</v>
      </c>
    </row>
    <row r="205" spans="2:173" s="13" customFormat="1" x14ac:dyDescent="0.2">
      <c r="B205" s="156"/>
      <c r="D205" s="138" t="s">
        <v>301</v>
      </c>
      <c r="E205" s="157" t="s">
        <v>1</v>
      </c>
      <c r="F205" s="158" t="s">
        <v>305</v>
      </c>
      <c r="H205" s="159">
        <v>446.51400000000001</v>
      </c>
      <c r="I205" s="160"/>
      <c r="L205" s="156"/>
      <c r="N205" s="311">
        <f>N202+N204</f>
        <v>438.29599999999999</v>
      </c>
      <c r="O205" s="220"/>
      <c r="Q205" s="232"/>
      <c r="DQ205" s="161"/>
      <c r="DX205" s="162"/>
      <c r="EX205" s="157" t="s">
        <v>301</v>
      </c>
      <c r="EY205" s="157" t="s">
        <v>83</v>
      </c>
      <c r="EZ205" s="13" t="s">
        <v>95</v>
      </c>
      <c r="FA205" s="13" t="s">
        <v>32</v>
      </c>
      <c r="FB205" s="13" t="s">
        <v>81</v>
      </c>
      <c r="FC205" s="157" t="s">
        <v>282</v>
      </c>
    </row>
    <row r="206" spans="2:173" s="13" customFormat="1" x14ac:dyDescent="0.2">
      <c r="B206" s="156"/>
      <c r="D206" s="138"/>
      <c r="E206" s="157"/>
      <c r="F206" s="158"/>
      <c r="H206" s="159"/>
      <c r="I206" s="160"/>
      <c r="L206" s="156"/>
      <c r="N206" s="311">
        <f>N205-H205</f>
        <v>-8.2180000000000177</v>
      </c>
      <c r="O206" s="220"/>
      <c r="Q206" s="232"/>
      <c r="DQ206" s="161"/>
      <c r="DX206" s="162"/>
      <c r="EX206" s="157"/>
      <c r="EY206" s="157"/>
      <c r="FC206" s="157"/>
    </row>
    <row r="207" spans="2:173" s="1" customFormat="1" ht="37.9" customHeight="1" x14ac:dyDescent="0.2">
      <c r="B207" s="124"/>
      <c r="C207" s="125" t="s">
        <v>392</v>
      </c>
      <c r="D207" s="125" t="s">
        <v>284</v>
      </c>
      <c r="E207" s="126" t="s">
        <v>978</v>
      </c>
      <c r="F207" s="127" t="s">
        <v>979</v>
      </c>
      <c r="G207" s="128" t="s">
        <v>366</v>
      </c>
      <c r="H207" s="129">
        <v>204.61699999999999</v>
      </c>
      <c r="I207" s="130">
        <v>282.06861194786097</v>
      </c>
      <c r="J207" s="131">
        <f>ROUND(I207*H207,2)</f>
        <v>57716.03</v>
      </c>
      <c r="K207" s="127" t="s">
        <v>1</v>
      </c>
      <c r="L207" s="198">
        <f>S207</f>
        <v>0</v>
      </c>
      <c r="M207" s="206">
        <f>ROUND(L207*I207,2)</f>
        <v>0</v>
      </c>
      <c r="N207" s="211"/>
      <c r="O207" s="212">
        <f>ROUND(N207*I207,2)</f>
        <v>0</v>
      </c>
      <c r="P207" s="207">
        <f>H207-L207-N207</f>
        <v>204.61699999999999</v>
      </c>
      <c r="Q207" s="228">
        <f>ROUND(P207*I207,2)</f>
        <v>57716.03</v>
      </c>
      <c r="R207" s="199"/>
      <c r="S207" s="200">
        <f>W207+Y207+AA207+AC207+AE207+AG207+AI207+AK207</f>
        <v>0</v>
      </c>
      <c r="T207" s="200">
        <f>ROUND(S207*I207,2)</f>
        <v>0</v>
      </c>
      <c r="U207" s="200">
        <f>H207-S207</f>
        <v>204.61699999999999</v>
      </c>
      <c r="V207" s="200">
        <f>ROUND(U207*I207,2)</f>
        <v>57716.03</v>
      </c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DQ207" s="132" t="s">
        <v>1</v>
      </c>
      <c r="DR207" s="133" t="s">
        <v>40</v>
      </c>
      <c r="DT207" s="134">
        <f>DS207*H207</f>
        <v>0</v>
      </c>
      <c r="DU207" s="134">
        <v>0</v>
      </c>
      <c r="DV207" s="134">
        <f>DU207*H207</f>
        <v>0</v>
      </c>
      <c r="DW207" s="134">
        <v>0</v>
      </c>
      <c r="DX207" s="135">
        <f>DW207*H207</f>
        <v>0</v>
      </c>
      <c r="EV207" s="136" t="s">
        <v>95</v>
      </c>
      <c r="EX207" s="136" t="s">
        <v>284</v>
      </c>
      <c r="EY207" s="136" t="s">
        <v>83</v>
      </c>
      <c r="FC207" s="16" t="s">
        <v>282</v>
      </c>
      <c r="FI207" s="137">
        <f>IF(DR207="základní",J207,0)</f>
        <v>57716.03</v>
      </c>
      <c r="FJ207" s="137">
        <f>IF(DR207="snížená",J207,0)</f>
        <v>0</v>
      </c>
      <c r="FK207" s="137">
        <f>IF(DR207="zákl. přenesená",J207,0)</f>
        <v>0</v>
      </c>
      <c r="FL207" s="137">
        <f>IF(DR207="sníž. přenesená",J207,0)</f>
        <v>0</v>
      </c>
      <c r="FM207" s="137">
        <f>IF(DR207="nulová",J207,0)</f>
        <v>0</v>
      </c>
      <c r="FN207" s="16" t="s">
        <v>81</v>
      </c>
      <c r="FO207" s="137">
        <f>ROUND(I207*H207,2)</f>
        <v>57716.03</v>
      </c>
      <c r="FP207" s="16" t="s">
        <v>95</v>
      </c>
      <c r="FQ207" s="136" t="s">
        <v>980</v>
      </c>
    </row>
    <row r="208" spans="2:173" s="1" customFormat="1" ht="39" x14ac:dyDescent="0.2">
      <c r="B208" s="31"/>
      <c r="D208" s="138" t="s">
        <v>289</v>
      </c>
      <c r="F208" s="139" t="s">
        <v>401</v>
      </c>
      <c r="I208" s="140"/>
      <c r="L208" s="31"/>
      <c r="N208" s="213"/>
      <c r="O208" s="214"/>
      <c r="Q208" s="229"/>
      <c r="DQ208" s="141"/>
      <c r="DX208" s="50"/>
      <c r="EX208" s="16" t="s">
        <v>289</v>
      </c>
      <c r="EY208" s="16" t="s">
        <v>83</v>
      </c>
    </row>
    <row r="209" spans="2:173" s="1" customFormat="1" ht="37.9" customHeight="1" x14ac:dyDescent="0.2">
      <c r="B209" s="124"/>
      <c r="C209" s="125" t="s">
        <v>397</v>
      </c>
      <c r="D209" s="125" t="s">
        <v>284</v>
      </c>
      <c r="E209" s="126" t="s">
        <v>405</v>
      </c>
      <c r="F209" s="127" t="s">
        <v>406</v>
      </c>
      <c r="G209" s="128" t="s">
        <v>366</v>
      </c>
      <c r="H209" s="129">
        <v>2232.5700000000002</v>
      </c>
      <c r="I209" s="130">
        <v>3.4208109177592001</v>
      </c>
      <c r="J209" s="131">
        <f>ROUND(I209*H209,2)</f>
        <v>7637.2</v>
      </c>
      <c r="K209" s="127" t="s">
        <v>293</v>
      </c>
      <c r="L209" s="198">
        <f>S209</f>
        <v>0</v>
      </c>
      <c r="M209" s="206">
        <f>ROUND(L209*I209,2)</f>
        <v>0</v>
      </c>
      <c r="N209" s="211">
        <f>N212</f>
        <v>-41.090000000000146</v>
      </c>
      <c r="O209" s="212">
        <f>ROUND(N209*I209,2)</f>
        <v>-140.56</v>
      </c>
      <c r="P209" s="207">
        <f>H209-L209-N209</f>
        <v>2273.6600000000003</v>
      </c>
      <c r="Q209" s="228">
        <f>ROUND(P209*I209,2)</f>
        <v>7777.76</v>
      </c>
      <c r="R209" s="199"/>
      <c r="S209" s="200">
        <f>W209+Y209+AA209+AC209+AE209+AG209+AI209+AK209</f>
        <v>0</v>
      </c>
      <c r="T209" s="200">
        <f>ROUND(S209*I209,2)</f>
        <v>0</v>
      </c>
      <c r="U209" s="200">
        <f>H209-S209</f>
        <v>2232.5700000000002</v>
      </c>
      <c r="V209" s="200">
        <f>ROUND(U209*I209,2)</f>
        <v>7637.2</v>
      </c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DQ209" s="132" t="s">
        <v>1</v>
      </c>
      <c r="DR209" s="133" t="s">
        <v>40</v>
      </c>
      <c r="DT209" s="134">
        <f>DS209*H209</f>
        <v>0</v>
      </c>
      <c r="DU209" s="134">
        <v>0</v>
      </c>
      <c r="DV209" s="134">
        <f>DU209*H209</f>
        <v>0</v>
      </c>
      <c r="DW209" s="134">
        <v>0</v>
      </c>
      <c r="DX209" s="135">
        <f>DW209*H209</f>
        <v>0</v>
      </c>
      <c r="EV209" s="136" t="s">
        <v>95</v>
      </c>
      <c r="EX209" s="136" t="s">
        <v>284</v>
      </c>
      <c r="EY209" s="136" t="s">
        <v>83</v>
      </c>
      <c r="FC209" s="16" t="s">
        <v>282</v>
      </c>
      <c r="FI209" s="137">
        <f>IF(DR209="základní",J209,0)</f>
        <v>7637.2</v>
      </c>
      <c r="FJ209" s="137">
        <f>IF(DR209="snížená",J209,0)</f>
        <v>0</v>
      </c>
      <c r="FK209" s="137">
        <f>IF(DR209="zákl. přenesená",J209,0)</f>
        <v>0</v>
      </c>
      <c r="FL209" s="137">
        <f>IF(DR209="sníž. přenesená",J209,0)</f>
        <v>0</v>
      </c>
      <c r="FM209" s="137">
        <f>IF(DR209="nulová",J209,0)</f>
        <v>0</v>
      </c>
      <c r="FN209" s="16" t="s">
        <v>81</v>
      </c>
      <c r="FO209" s="137">
        <f>ROUND(I209*H209,2)</f>
        <v>7637.2</v>
      </c>
      <c r="FP209" s="16" t="s">
        <v>95</v>
      </c>
      <c r="FQ209" s="136" t="s">
        <v>407</v>
      </c>
    </row>
    <row r="210" spans="2:173" s="1" customFormat="1" ht="48.75" x14ac:dyDescent="0.2">
      <c r="B210" s="31"/>
      <c r="D210" s="138" t="s">
        <v>289</v>
      </c>
      <c r="F210" s="139" t="s">
        <v>408</v>
      </c>
      <c r="I210" s="140"/>
      <c r="L210" s="31"/>
      <c r="N210" s="213"/>
      <c r="O210" s="214"/>
      <c r="Q210" s="229"/>
      <c r="DQ210" s="141"/>
      <c r="DX210" s="50"/>
      <c r="EX210" s="16" t="s">
        <v>289</v>
      </c>
      <c r="EY210" s="16" t="s">
        <v>83</v>
      </c>
    </row>
    <row r="211" spans="2:173" s="12" customFormat="1" x14ac:dyDescent="0.2">
      <c r="B211" s="149"/>
      <c r="D211" s="138" t="s">
        <v>301</v>
      </c>
      <c r="F211" s="151" t="s">
        <v>981</v>
      </c>
      <c r="H211" s="152">
        <v>2232.5700000000002</v>
      </c>
      <c r="I211" s="153"/>
      <c r="L211" s="149"/>
      <c r="N211" s="217">
        <f>438.296*5</f>
        <v>2191.48</v>
      </c>
      <c r="O211" s="359" t="s">
        <v>3437</v>
      </c>
      <c r="Q211" s="231"/>
      <c r="DQ211" s="154"/>
      <c r="DX211" s="155"/>
      <c r="EX211" s="150" t="s">
        <v>301</v>
      </c>
      <c r="EY211" s="150" t="s">
        <v>83</v>
      </c>
      <c r="EZ211" s="12" t="s">
        <v>83</v>
      </c>
      <c r="FA211" s="12" t="s">
        <v>3</v>
      </c>
      <c r="FB211" s="12" t="s">
        <v>81</v>
      </c>
      <c r="FC211" s="150" t="s">
        <v>282</v>
      </c>
    </row>
    <row r="212" spans="2:173" s="12" customFormat="1" x14ac:dyDescent="0.2">
      <c r="B212" s="149"/>
      <c r="D212" s="138"/>
      <c r="F212" s="151"/>
      <c r="H212" s="152"/>
      <c r="I212" s="153"/>
      <c r="L212" s="149"/>
      <c r="N212" s="310">
        <f>N211-H211</f>
        <v>-41.090000000000146</v>
      </c>
      <c r="O212" s="359"/>
      <c r="Q212" s="231"/>
      <c r="DQ212" s="154"/>
      <c r="DX212" s="155"/>
      <c r="EX212" s="150"/>
      <c r="EY212" s="150"/>
      <c r="FC212" s="150"/>
    </row>
    <row r="213" spans="2:173" s="1" customFormat="1" ht="37.9" customHeight="1" x14ac:dyDescent="0.2">
      <c r="B213" s="124"/>
      <c r="C213" s="125" t="s">
        <v>404</v>
      </c>
      <c r="D213" s="125" t="s">
        <v>284</v>
      </c>
      <c r="E213" s="126" t="s">
        <v>982</v>
      </c>
      <c r="F213" s="127" t="s">
        <v>983</v>
      </c>
      <c r="G213" s="128" t="s">
        <v>366</v>
      </c>
      <c r="H213" s="129">
        <v>1023.085</v>
      </c>
      <c r="I213" s="130">
        <v>3.4208109177592001</v>
      </c>
      <c r="J213" s="131">
        <f>ROUND(I213*H213,2)</f>
        <v>3499.78</v>
      </c>
      <c r="K213" s="127" t="s">
        <v>1</v>
      </c>
      <c r="L213" s="198">
        <f>S213</f>
        <v>0</v>
      </c>
      <c r="M213" s="206">
        <f>ROUND(L213*I213,2)</f>
        <v>0</v>
      </c>
      <c r="N213" s="211"/>
      <c r="O213" s="212">
        <f>ROUND(N213*I213,2)</f>
        <v>0</v>
      </c>
      <c r="P213" s="207">
        <f>H213-L213-N213</f>
        <v>1023.085</v>
      </c>
      <c r="Q213" s="228">
        <f>ROUND(P213*I213,2)</f>
        <v>3499.78</v>
      </c>
      <c r="R213" s="199"/>
      <c r="S213" s="200">
        <f>W213+Y213+AA213+AC213+AE213+AG213+AI213+AK213</f>
        <v>0</v>
      </c>
      <c r="T213" s="200">
        <f>ROUND(S213*I213,2)</f>
        <v>0</v>
      </c>
      <c r="U213" s="200">
        <f>H213-S213</f>
        <v>1023.085</v>
      </c>
      <c r="V213" s="200">
        <f>ROUND(U213*I213,2)</f>
        <v>3499.78</v>
      </c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200"/>
      <c r="AK213" s="200"/>
      <c r="AL213" s="200"/>
      <c r="DQ213" s="132" t="s">
        <v>1</v>
      </c>
      <c r="DR213" s="133" t="s">
        <v>40</v>
      </c>
      <c r="DT213" s="134">
        <f>DS213*H213</f>
        <v>0</v>
      </c>
      <c r="DU213" s="134">
        <v>0</v>
      </c>
      <c r="DV213" s="134">
        <f>DU213*H213</f>
        <v>0</v>
      </c>
      <c r="DW213" s="134">
        <v>0</v>
      </c>
      <c r="DX213" s="135">
        <f>DW213*H213</f>
        <v>0</v>
      </c>
      <c r="EV213" s="136" t="s">
        <v>95</v>
      </c>
      <c r="EX213" s="136" t="s">
        <v>284</v>
      </c>
      <c r="EY213" s="136" t="s">
        <v>83</v>
      </c>
      <c r="FC213" s="16" t="s">
        <v>282</v>
      </c>
      <c r="FI213" s="137">
        <f>IF(DR213="základní",J213,0)</f>
        <v>3499.78</v>
      </c>
      <c r="FJ213" s="137">
        <f>IF(DR213="snížená",J213,0)</f>
        <v>0</v>
      </c>
      <c r="FK213" s="137">
        <f>IF(DR213="zákl. přenesená",J213,0)</f>
        <v>0</v>
      </c>
      <c r="FL213" s="137">
        <f>IF(DR213="sníž. přenesená",J213,0)</f>
        <v>0</v>
      </c>
      <c r="FM213" s="137">
        <f>IF(DR213="nulová",J213,0)</f>
        <v>0</v>
      </c>
      <c r="FN213" s="16" t="s">
        <v>81</v>
      </c>
      <c r="FO213" s="137">
        <f>ROUND(I213*H213,2)</f>
        <v>3499.78</v>
      </c>
      <c r="FP213" s="16" t="s">
        <v>95</v>
      </c>
      <c r="FQ213" s="136" t="s">
        <v>984</v>
      </c>
    </row>
    <row r="214" spans="2:173" s="1" customFormat="1" ht="48.75" x14ac:dyDescent="0.2">
      <c r="B214" s="31"/>
      <c r="D214" s="138" t="s">
        <v>289</v>
      </c>
      <c r="F214" s="139" t="s">
        <v>408</v>
      </c>
      <c r="I214" s="140"/>
      <c r="L214" s="31"/>
      <c r="N214" s="213"/>
      <c r="O214" s="214"/>
      <c r="Q214" s="229"/>
      <c r="DQ214" s="141"/>
      <c r="DX214" s="50"/>
      <c r="EX214" s="16" t="s">
        <v>289</v>
      </c>
      <c r="EY214" s="16" t="s">
        <v>83</v>
      </c>
    </row>
    <row r="215" spans="2:173" s="12" customFormat="1" x14ac:dyDescent="0.2">
      <c r="B215" s="149"/>
      <c r="D215" s="138" t="s">
        <v>301</v>
      </c>
      <c r="F215" s="151" t="s">
        <v>985</v>
      </c>
      <c r="H215" s="152">
        <v>1023.085</v>
      </c>
      <c r="I215" s="153"/>
      <c r="L215" s="149"/>
      <c r="N215" s="217"/>
      <c r="O215" s="218"/>
      <c r="Q215" s="231"/>
      <c r="DQ215" s="154"/>
      <c r="DX215" s="155"/>
      <c r="EX215" s="150" t="s">
        <v>301</v>
      </c>
      <c r="EY215" s="150" t="s">
        <v>83</v>
      </c>
      <c r="EZ215" s="12" t="s">
        <v>83</v>
      </c>
      <c r="FA215" s="12" t="s">
        <v>3</v>
      </c>
      <c r="FB215" s="12" t="s">
        <v>81</v>
      </c>
      <c r="FC215" s="150" t="s">
        <v>282</v>
      </c>
    </row>
    <row r="216" spans="2:173" s="1" customFormat="1" ht="24.2" customHeight="1" x14ac:dyDescent="0.2">
      <c r="B216" s="124"/>
      <c r="C216" s="125" t="s">
        <v>7</v>
      </c>
      <c r="D216" s="125" t="s">
        <v>284</v>
      </c>
      <c r="E216" s="126" t="s">
        <v>986</v>
      </c>
      <c r="F216" s="127" t="s">
        <v>987</v>
      </c>
      <c r="G216" s="128" t="s">
        <v>366</v>
      </c>
      <c r="H216" s="129">
        <v>204.61699999999999</v>
      </c>
      <c r="I216" s="130">
        <v>43.080493951075745</v>
      </c>
      <c r="J216" s="131">
        <f>ROUND(I216*H216,2)</f>
        <v>8815</v>
      </c>
      <c r="K216" s="127" t="s">
        <v>293</v>
      </c>
      <c r="L216" s="198">
        <f>S216</f>
        <v>0</v>
      </c>
      <c r="M216" s="206">
        <f>ROUND(L216*I216,2)</f>
        <v>0</v>
      </c>
      <c r="N216" s="211"/>
      <c r="O216" s="212">
        <f>ROUND(N216*I216,2)</f>
        <v>0</v>
      </c>
      <c r="P216" s="207">
        <f>H216-L216-N216</f>
        <v>204.61699999999999</v>
      </c>
      <c r="Q216" s="228">
        <f>ROUND(P216*I216,2)</f>
        <v>8815</v>
      </c>
      <c r="R216" s="199"/>
      <c r="S216" s="200">
        <f>W216+Y216+AA216+AC216+AE216+AG216+AI216+AK216</f>
        <v>0</v>
      </c>
      <c r="T216" s="200">
        <f>ROUND(S216*I216,2)</f>
        <v>0</v>
      </c>
      <c r="U216" s="200">
        <f>H216-S216</f>
        <v>204.61699999999999</v>
      </c>
      <c r="V216" s="200">
        <f>ROUND(U216*I216,2)</f>
        <v>8815</v>
      </c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  <c r="AK216" s="200"/>
      <c r="AL216" s="200"/>
      <c r="DQ216" s="132" t="s">
        <v>1</v>
      </c>
      <c r="DR216" s="133" t="s">
        <v>40</v>
      </c>
      <c r="DT216" s="134">
        <f>DS216*H216</f>
        <v>0</v>
      </c>
      <c r="DU216" s="134">
        <v>0</v>
      </c>
      <c r="DV216" s="134">
        <f>DU216*H216</f>
        <v>0</v>
      </c>
      <c r="DW216" s="134">
        <v>0</v>
      </c>
      <c r="DX216" s="135">
        <f>DW216*H216</f>
        <v>0</v>
      </c>
      <c r="EV216" s="136" t="s">
        <v>95</v>
      </c>
      <c r="EX216" s="136" t="s">
        <v>284</v>
      </c>
      <c r="EY216" s="136" t="s">
        <v>83</v>
      </c>
      <c r="FC216" s="16" t="s">
        <v>282</v>
      </c>
      <c r="FI216" s="137">
        <f>IF(DR216="základní",J216,0)</f>
        <v>8815</v>
      </c>
      <c r="FJ216" s="137">
        <f>IF(DR216="snížená",J216,0)</f>
        <v>0</v>
      </c>
      <c r="FK216" s="137">
        <f>IF(DR216="zákl. přenesená",J216,0)</f>
        <v>0</v>
      </c>
      <c r="FL216" s="137">
        <f>IF(DR216="sníž. přenesená",J216,0)</f>
        <v>0</v>
      </c>
      <c r="FM216" s="137">
        <f>IF(DR216="nulová",J216,0)</f>
        <v>0</v>
      </c>
      <c r="FN216" s="16" t="s">
        <v>81</v>
      </c>
      <c r="FO216" s="137">
        <f>ROUND(I216*H216,2)</f>
        <v>8815</v>
      </c>
      <c r="FP216" s="16" t="s">
        <v>95</v>
      </c>
      <c r="FQ216" s="136" t="s">
        <v>988</v>
      </c>
    </row>
    <row r="217" spans="2:173" s="1" customFormat="1" ht="29.25" x14ac:dyDescent="0.2">
      <c r="B217" s="31"/>
      <c r="D217" s="138" t="s">
        <v>289</v>
      </c>
      <c r="F217" s="139" t="s">
        <v>989</v>
      </c>
      <c r="I217" s="140"/>
      <c r="L217" s="31"/>
      <c r="N217" s="213"/>
      <c r="O217" s="214"/>
      <c r="Q217" s="229"/>
      <c r="DQ217" s="141"/>
      <c r="DX217" s="50"/>
      <c r="EX217" s="16" t="s">
        <v>289</v>
      </c>
      <c r="EY217" s="16" t="s">
        <v>83</v>
      </c>
    </row>
    <row r="218" spans="2:173" s="11" customFormat="1" x14ac:dyDescent="0.2">
      <c r="B218" s="143"/>
      <c r="D218" s="138" t="s">
        <v>301</v>
      </c>
      <c r="E218" s="144" t="s">
        <v>1</v>
      </c>
      <c r="F218" s="145" t="s">
        <v>976</v>
      </c>
      <c r="H218" s="144" t="s">
        <v>1</v>
      </c>
      <c r="I218" s="146"/>
      <c r="L218" s="143"/>
      <c r="N218" s="215"/>
      <c r="O218" s="216"/>
      <c r="Q218" s="230"/>
      <c r="DQ218" s="147"/>
      <c r="DX218" s="148"/>
      <c r="EX218" s="144" t="s">
        <v>301</v>
      </c>
      <c r="EY218" s="144" t="s">
        <v>83</v>
      </c>
      <c r="EZ218" s="11" t="s">
        <v>81</v>
      </c>
      <c r="FA218" s="11" t="s">
        <v>32</v>
      </c>
      <c r="FB218" s="11" t="s">
        <v>74</v>
      </c>
      <c r="FC218" s="144" t="s">
        <v>282</v>
      </c>
    </row>
    <row r="219" spans="2:173" s="12" customFormat="1" x14ac:dyDescent="0.2">
      <c r="B219" s="149"/>
      <c r="D219" s="138" t="s">
        <v>301</v>
      </c>
      <c r="E219" s="150" t="s">
        <v>1</v>
      </c>
      <c r="F219" s="151" t="s">
        <v>977</v>
      </c>
      <c r="H219" s="152">
        <v>27.99</v>
      </c>
      <c r="I219" s="153"/>
      <c r="L219" s="149"/>
      <c r="N219" s="217"/>
      <c r="O219" s="218"/>
      <c r="Q219" s="231"/>
      <c r="DQ219" s="154"/>
      <c r="DX219" s="155"/>
      <c r="EX219" s="150" t="s">
        <v>301</v>
      </c>
      <c r="EY219" s="150" t="s">
        <v>83</v>
      </c>
      <c r="EZ219" s="12" t="s">
        <v>83</v>
      </c>
      <c r="FA219" s="12" t="s">
        <v>32</v>
      </c>
      <c r="FB219" s="12" t="s">
        <v>74</v>
      </c>
      <c r="FC219" s="150" t="s">
        <v>282</v>
      </c>
    </row>
    <row r="220" spans="2:173" s="14" customFormat="1" x14ac:dyDescent="0.2">
      <c r="B220" s="163"/>
      <c r="D220" s="138" t="s">
        <v>301</v>
      </c>
      <c r="E220" s="164" t="s">
        <v>1</v>
      </c>
      <c r="F220" s="165" t="s">
        <v>373</v>
      </c>
      <c r="H220" s="166">
        <v>27.99</v>
      </c>
      <c r="I220" s="167"/>
      <c r="L220" s="163"/>
      <c r="N220" s="221"/>
      <c r="O220" s="222"/>
      <c r="Q220" s="233"/>
      <c r="DQ220" s="168"/>
      <c r="DX220" s="169"/>
      <c r="EX220" s="164" t="s">
        <v>301</v>
      </c>
      <c r="EY220" s="164" t="s">
        <v>83</v>
      </c>
      <c r="EZ220" s="14" t="s">
        <v>90</v>
      </c>
      <c r="FA220" s="14" t="s">
        <v>32</v>
      </c>
      <c r="FB220" s="14" t="s">
        <v>74</v>
      </c>
      <c r="FC220" s="164" t="s">
        <v>282</v>
      </c>
    </row>
    <row r="221" spans="2:173" s="11" customFormat="1" x14ac:dyDescent="0.2">
      <c r="B221" s="143"/>
      <c r="D221" s="138" t="s">
        <v>301</v>
      </c>
      <c r="E221" s="144" t="s">
        <v>1</v>
      </c>
      <c r="F221" s="145" t="s">
        <v>990</v>
      </c>
      <c r="H221" s="144" t="s">
        <v>1</v>
      </c>
      <c r="I221" s="146"/>
      <c r="L221" s="143"/>
      <c r="N221" s="215"/>
      <c r="O221" s="216"/>
      <c r="Q221" s="230"/>
      <c r="DQ221" s="147"/>
      <c r="DX221" s="148"/>
      <c r="EX221" s="144" t="s">
        <v>301</v>
      </c>
      <c r="EY221" s="144" t="s">
        <v>83</v>
      </c>
      <c r="EZ221" s="11" t="s">
        <v>81</v>
      </c>
      <c r="FA221" s="11" t="s">
        <v>32</v>
      </c>
      <c r="FB221" s="11" t="s">
        <v>74</v>
      </c>
      <c r="FC221" s="144" t="s">
        <v>282</v>
      </c>
    </row>
    <row r="222" spans="2:173" s="12" customFormat="1" x14ac:dyDescent="0.2">
      <c r="B222" s="149"/>
      <c r="D222" s="138" t="s">
        <v>301</v>
      </c>
      <c r="E222" s="150" t="s">
        <v>1</v>
      </c>
      <c r="F222" s="151" t="s">
        <v>991</v>
      </c>
      <c r="H222" s="152">
        <v>181.23500000000001</v>
      </c>
      <c r="I222" s="153"/>
      <c r="L222" s="149"/>
      <c r="N222" s="217"/>
      <c r="O222" s="218"/>
      <c r="Q222" s="231"/>
      <c r="DQ222" s="154"/>
      <c r="DX222" s="155"/>
      <c r="EX222" s="150" t="s">
        <v>301</v>
      </c>
      <c r="EY222" s="150" t="s">
        <v>83</v>
      </c>
      <c r="EZ222" s="12" t="s">
        <v>83</v>
      </c>
      <c r="FA222" s="12" t="s">
        <v>32</v>
      </c>
      <c r="FB222" s="12" t="s">
        <v>74</v>
      </c>
      <c r="FC222" s="150" t="s">
        <v>282</v>
      </c>
    </row>
    <row r="223" spans="2:173" s="12" customFormat="1" x14ac:dyDescent="0.2">
      <c r="B223" s="149"/>
      <c r="D223" s="138" t="s">
        <v>301</v>
      </c>
      <c r="E223" s="150" t="s">
        <v>1</v>
      </c>
      <c r="F223" s="151" t="s">
        <v>992</v>
      </c>
      <c r="H223" s="152">
        <v>-3.1379999999999999</v>
      </c>
      <c r="I223" s="153"/>
      <c r="L223" s="149"/>
      <c r="N223" s="217"/>
      <c r="O223" s="218"/>
      <c r="Q223" s="231"/>
      <c r="DQ223" s="154"/>
      <c r="DX223" s="155"/>
      <c r="EX223" s="150" t="s">
        <v>301</v>
      </c>
      <c r="EY223" s="150" t="s">
        <v>83</v>
      </c>
      <c r="EZ223" s="12" t="s">
        <v>83</v>
      </c>
      <c r="FA223" s="12" t="s">
        <v>32</v>
      </c>
      <c r="FB223" s="12" t="s">
        <v>74</v>
      </c>
      <c r="FC223" s="150" t="s">
        <v>282</v>
      </c>
    </row>
    <row r="224" spans="2:173" s="12" customFormat="1" x14ac:dyDescent="0.2">
      <c r="B224" s="149"/>
      <c r="D224" s="138" t="s">
        <v>301</v>
      </c>
      <c r="E224" s="150" t="s">
        <v>1</v>
      </c>
      <c r="F224" s="151" t="s">
        <v>993</v>
      </c>
      <c r="H224" s="152">
        <v>-1.47</v>
      </c>
      <c r="I224" s="153"/>
      <c r="L224" s="149"/>
      <c r="N224" s="217"/>
      <c r="O224" s="218"/>
      <c r="Q224" s="231"/>
      <c r="DQ224" s="154"/>
      <c r="DX224" s="155"/>
      <c r="EX224" s="150" t="s">
        <v>301</v>
      </c>
      <c r="EY224" s="150" t="s">
        <v>83</v>
      </c>
      <c r="EZ224" s="12" t="s">
        <v>83</v>
      </c>
      <c r="FA224" s="12" t="s">
        <v>32</v>
      </c>
      <c r="FB224" s="12" t="s">
        <v>74</v>
      </c>
      <c r="FC224" s="150" t="s">
        <v>282</v>
      </c>
    </row>
    <row r="225" spans="2:173" s="14" customFormat="1" x14ac:dyDescent="0.2">
      <c r="B225" s="163"/>
      <c r="D225" s="138" t="s">
        <v>301</v>
      </c>
      <c r="E225" s="164" t="s">
        <v>1</v>
      </c>
      <c r="F225" s="165" t="s">
        <v>373</v>
      </c>
      <c r="H225" s="166">
        <v>176.62700000000001</v>
      </c>
      <c r="I225" s="167"/>
      <c r="L225" s="163"/>
      <c r="N225" s="221"/>
      <c r="O225" s="222"/>
      <c r="Q225" s="233"/>
      <c r="DQ225" s="168"/>
      <c r="DX225" s="169"/>
      <c r="EX225" s="164" t="s">
        <v>301</v>
      </c>
      <c r="EY225" s="164" t="s">
        <v>83</v>
      </c>
      <c r="EZ225" s="14" t="s">
        <v>90</v>
      </c>
      <c r="FA225" s="14" t="s">
        <v>32</v>
      </c>
      <c r="FB225" s="14" t="s">
        <v>74</v>
      </c>
      <c r="FC225" s="164" t="s">
        <v>282</v>
      </c>
    </row>
    <row r="226" spans="2:173" s="13" customFormat="1" x14ac:dyDescent="0.2">
      <c r="B226" s="156"/>
      <c r="D226" s="138" t="s">
        <v>301</v>
      </c>
      <c r="E226" s="157" t="s">
        <v>1</v>
      </c>
      <c r="F226" s="158" t="s">
        <v>305</v>
      </c>
      <c r="H226" s="159">
        <v>204.61700000000002</v>
      </c>
      <c r="I226" s="160"/>
      <c r="L226" s="156"/>
      <c r="N226" s="219"/>
      <c r="O226" s="220"/>
      <c r="Q226" s="232"/>
      <c r="DQ226" s="161"/>
      <c r="DX226" s="162"/>
      <c r="EX226" s="157" t="s">
        <v>301</v>
      </c>
      <c r="EY226" s="157" t="s">
        <v>83</v>
      </c>
      <c r="EZ226" s="13" t="s">
        <v>95</v>
      </c>
      <c r="FA226" s="13" t="s">
        <v>32</v>
      </c>
      <c r="FB226" s="13" t="s">
        <v>81</v>
      </c>
      <c r="FC226" s="157" t="s">
        <v>282</v>
      </c>
    </row>
    <row r="227" spans="2:173" s="1" customFormat="1" ht="24.2" customHeight="1" x14ac:dyDescent="0.2">
      <c r="B227" s="124"/>
      <c r="C227" s="125" t="s">
        <v>415</v>
      </c>
      <c r="D227" s="125" t="s">
        <v>284</v>
      </c>
      <c r="E227" s="126" t="s">
        <v>410</v>
      </c>
      <c r="F227" s="127" t="s">
        <v>411</v>
      </c>
      <c r="G227" s="128" t="s">
        <v>287</v>
      </c>
      <c r="H227" s="129">
        <v>175.785</v>
      </c>
      <c r="I227" s="130">
        <v>6.3644601414457247</v>
      </c>
      <c r="J227" s="131">
        <f>ROUND(I227*H227,2)</f>
        <v>1118.78</v>
      </c>
      <c r="K227" s="127" t="s">
        <v>293</v>
      </c>
      <c r="L227" s="198">
        <f>S227</f>
        <v>0</v>
      </c>
      <c r="M227" s="206">
        <f>ROUND(L227*I227,2)</f>
        <v>0</v>
      </c>
      <c r="N227" s="211">
        <f>N234</f>
        <v>-3.8219999999999743</v>
      </c>
      <c r="O227" s="212">
        <f>ROUND(N227*I227,2)</f>
        <v>-24.32</v>
      </c>
      <c r="P227" s="207">
        <f>H227-L227-N227</f>
        <v>179.60699999999997</v>
      </c>
      <c r="Q227" s="228">
        <f>ROUND(P227*I227,2)</f>
        <v>1143.0999999999999</v>
      </c>
      <c r="R227" s="199"/>
      <c r="S227" s="200">
        <f>W227+Y227+AA227+AC227+AE227+AG227+AI227+AK227</f>
        <v>0</v>
      </c>
      <c r="T227" s="200">
        <f>ROUND(S227*I227,2)</f>
        <v>0</v>
      </c>
      <c r="U227" s="200">
        <f>H227-S227</f>
        <v>175.785</v>
      </c>
      <c r="V227" s="200">
        <f>ROUND(U227*I227,2)</f>
        <v>1118.78</v>
      </c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200"/>
      <c r="AK227" s="200"/>
      <c r="AL227" s="200"/>
      <c r="DQ227" s="132" t="s">
        <v>1</v>
      </c>
      <c r="DR227" s="133" t="s">
        <v>40</v>
      </c>
      <c r="DT227" s="134">
        <f>DS227*H227</f>
        <v>0</v>
      </c>
      <c r="DU227" s="134">
        <v>0</v>
      </c>
      <c r="DV227" s="134">
        <f>DU227*H227</f>
        <v>0</v>
      </c>
      <c r="DW227" s="134">
        <v>0</v>
      </c>
      <c r="DX227" s="135">
        <f>DW227*H227</f>
        <v>0</v>
      </c>
      <c r="EV227" s="136" t="s">
        <v>95</v>
      </c>
      <c r="EX227" s="136" t="s">
        <v>284</v>
      </c>
      <c r="EY227" s="136" t="s">
        <v>83</v>
      </c>
      <c r="FC227" s="16" t="s">
        <v>282</v>
      </c>
      <c r="FI227" s="137">
        <f>IF(DR227="základní",J227,0)</f>
        <v>1118.78</v>
      </c>
      <c r="FJ227" s="137">
        <f>IF(DR227="snížená",J227,0)</f>
        <v>0</v>
      </c>
      <c r="FK227" s="137">
        <f>IF(DR227="zákl. přenesená",J227,0)</f>
        <v>0</v>
      </c>
      <c r="FL227" s="137">
        <f>IF(DR227="sníž. přenesená",J227,0)</f>
        <v>0</v>
      </c>
      <c r="FM227" s="137">
        <f>IF(DR227="nulová",J227,0)</f>
        <v>0</v>
      </c>
      <c r="FN227" s="16" t="s">
        <v>81</v>
      </c>
      <c r="FO227" s="137">
        <f>ROUND(I227*H227,2)</f>
        <v>1118.78</v>
      </c>
      <c r="FP227" s="16" t="s">
        <v>95</v>
      </c>
      <c r="FQ227" s="136" t="s">
        <v>412</v>
      </c>
    </row>
    <row r="228" spans="2:173" s="1" customFormat="1" ht="19.5" x14ac:dyDescent="0.2">
      <c r="B228" s="31"/>
      <c r="D228" s="138" t="s">
        <v>289</v>
      </c>
      <c r="F228" s="139" t="s">
        <v>413</v>
      </c>
      <c r="I228" s="140"/>
      <c r="L228" s="31"/>
      <c r="N228" s="213"/>
      <c r="O228" s="214"/>
      <c r="Q228" s="229"/>
      <c r="DQ228" s="141"/>
      <c r="DX228" s="50"/>
      <c r="EX228" s="16" t="s">
        <v>289</v>
      </c>
      <c r="EY228" s="16" t="s">
        <v>83</v>
      </c>
    </row>
    <row r="229" spans="2:173" s="1" customFormat="1" ht="19.5" x14ac:dyDescent="0.2">
      <c r="B229" s="31"/>
      <c r="D229" s="138" t="s">
        <v>299</v>
      </c>
      <c r="F229" s="142" t="s">
        <v>317</v>
      </c>
      <c r="I229" s="140"/>
      <c r="L229" s="31"/>
      <c r="N229" s="213"/>
      <c r="O229" s="214"/>
      <c r="Q229" s="229"/>
      <c r="DQ229" s="141"/>
      <c r="DX229" s="50"/>
      <c r="EX229" s="16" t="s">
        <v>299</v>
      </c>
      <c r="EY229" s="16" t="s">
        <v>83</v>
      </c>
    </row>
    <row r="230" spans="2:173" s="12" customFormat="1" x14ac:dyDescent="0.2">
      <c r="B230" s="149"/>
      <c r="D230" s="138" t="s">
        <v>301</v>
      </c>
      <c r="E230" s="150" t="s">
        <v>1</v>
      </c>
      <c r="F230" s="151" t="s">
        <v>994</v>
      </c>
      <c r="H230" s="152">
        <v>164.85</v>
      </c>
      <c r="I230" s="153"/>
      <c r="L230" s="149"/>
      <c r="N230" s="217">
        <f>153.36*1.05</f>
        <v>161.02800000000002</v>
      </c>
      <c r="O230" s="218" t="s">
        <v>3438</v>
      </c>
      <c r="Q230" s="231"/>
      <c r="DQ230" s="154"/>
      <c r="DX230" s="155"/>
      <c r="EX230" s="150" t="s">
        <v>301</v>
      </c>
      <c r="EY230" s="150" t="s">
        <v>83</v>
      </c>
      <c r="EZ230" s="12" t="s">
        <v>83</v>
      </c>
      <c r="FA230" s="12" t="s">
        <v>32</v>
      </c>
      <c r="FB230" s="12" t="s">
        <v>74</v>
      </c>
      <c r="FC230" s="150" t="s">
        <v>282</v>
      </c>
    </row>
    <row r="231" spans="2:173" s="12" customFormat="1" x14ac:dyDescent="0.2">
      <c r="B231" s="149"/>
      <c r="D231" s="138" t="s">
        <v>301</v>
      </c>
      <c r="E231" s="150" t="s">
        <v>1</v>
      </c>
      <c r="F231" s="151" t="s">
        <v>806</v>
      </c>
      <c r="H231" s="152">
        <v>8.91</v>
      </c>
      <c r="I231" s="153"/>
      <c r="L231" s="149"/>
      <c r="N231" s="310">
        <f>H231</f>
        <v>8.91</v>
      </c>
      <c r="O231" s="218"/>
      <c r="Q231" s="231"/>
      <c r="DQ231" s="154"/>
      <c r="DX231" s="155"/>
      <c r="EX231" s="150" t="s">
        <v>301</v>
      </c>
      <c r="EY231" s="150" t="s">
        <v>83</v>
      </c>
      <c r="EZ231" s="12" t="s">
        <v>83</v>
      </c>
      <c r="FA231" s="12" t="s">
        <v>32</v>
      </c>
      <c r="FB231" s="12" t="s">
        <v>74</v>
      </c>
      <c r="FC231" s="150" t="s">
        <v>282</v>
      </c>
    </row>
    <row r="232" spans="2:173" s="12" customFormat="1" x14ac:dyDescent="0.2">
      <c r="B232" s="149"/>
      <c r="D232" s="138" t="s">
        <v>301</v>
      </c>
      <c r="E232" s="150" t="s">
        <v>1</v>
      </c>
      <c r="F232" s="151" t="s">
        <v>995</v>
      </c>
      <c r="H232" s="152">
        <v>2.0249999999999999</v>
      </c>
      <c r="I232" s="153"/>
      <c r="L232" s="149"/>
      <c r="N232" s="310">
        <f>H232</f>
        <v>2.0249999999999999</v>
      </c>
      <c r="O232" s="218"/>
      <c r="Q232" s="231"/>
      <c r="DQ232" s="154"/>
      <c r="DX232" s="155"/>
      <c r="EX232" s="150" t="s">
        <v>301</v>
      </c>
      <c r="EY232" s="150" t="s">
        <v>83</v>
      </c>
      <c r="EZ232" s="12" t="s">
        <v>83</v>
      </c>
      <c r="FA232" s="12" t="s">
        <v>32</v>
      </c>
      <c r="FB232" s="12" t="s">
        <v>74</v>
      </c>
      <c r="FC232" s="150" t="s">
        <v>282</v>
      </c>
    </row>
    <row r="233" spans="2:173" s="13" customFormat="1" x14ac:dyDescent="0.2">
      <c r="B233" s="156"/>
      <c r="D233" s="138" t="s">
        <v>301</v>
      </c>
      <c r="E233" s="157" t="s">
        <v>1</v>
      </c>
      <c r="F233" s="158" t="s">
        <v>305</v>
      </c>
      <c r="H233" s="159">
        <v>175.785</v>
      </c>
      <c r="I233" s="160"/>
      <c r="L233" s="156"/>
      <c r="N233" s="311">
        <f>N230+N231+N232</f>
        <v>171.96300000000002</v>
      </c>
      <c r="O233" s="220"/>
      <c r="Q233" s="232"/>
      <c r="DQ233" s="161"/>
      <c r="DX233" s="162"/>
      <c r="EX233" s="157" t="s">
        <v>301</v>
      </c>
      <c r="EY233" s="157" t="s">
        <v>83</v>
      </c>
      <c r="EZ233" s="13" t="s">
        <v>95</v>
      </c>
      <c r="FA233" s="13" t="s">
        <v>32</v>
      </c>
      <c r="FB233" s="13" t="s">
        <v>81</v>
      </c>
      <c r="FC233" s="157" t="s">
        <v>282</v>
      </c>
    </row>
    <row r="234" spans="2:173" s="13" customFormat="1" x14ac:dyDescent="0.2">
      <c r="B234" s="156"/>
      <c r="D234" s="138"/>
      <c r="E234" s="157"/>
      <c r="F234" s="158"/>
      <c r="H234" s="159"/>
      <c r="I234" s="160"/>
      <c r="L234" s="156"/>
      <c r="N234" s="311">
        <f>N233-H233</f>
        <v>-3.8219999999999743</v>
      </c>
      <c r="O234" s="220"/>
      <c r="Q234" s="232"/>
      <c r="DQ234" s="161"/>
      <c r="DX234" s="162"/>
      <c r="EX234" s="157"/>
      <c r="EY234" s="157"/>
      <c r="FC234" s="157"/>
    </row>
    <row r="235" spans="2:173" s="1" customFormat="1" ht="24.2" customHeight="1" x14ac:dyDescent="0.2">
      <c r="B235" s="124"/>
      <c r="C235" s="125" t="s">
        <v>422</v>
      </c>
      <c r="D235" s="125" t="s">
        <v>284</v>
      </c>
      <c r="E235" s="126" t="s">
        <v>416</v>
      </c>
      <c r="F235" s="127" t="s">
        <v>417</v>
      </c>
      <c r="G235" s="128" t="s">
        <v>418</v>
      </c>
      <c r="H235" s="129">
        <v>435.41500000000002</v>
      </c>
      <c r="I235" s="130">
        <v>110.6455721</v>
      </c>
      <c r="J235" s="131">
        <f>ROUND(I235*H235,2)</f>
        <v>48176.74</v>
      </c>
      <c r="K235" s="127" t="s">
        <v>293</v>
      </c>
      <c r="L235" s="198">
        <f>S235</f>
        <v>0</v>
      </c>
      <c r="M235" s="206">
        <f>ROUND(L235*I235,2)</f>
        <v>0</v>
      </c>
      <c r="N235" s="211">
        <f>N243</f>
        <v>-14.7928</v>
      </c>
      <c r="O235" s="212">
        <f>ROUND(N235*I235,2)</f>
        <v>-1636.76</v>
      </c>
      <c r="P235" s="207">
        <f>H235-L235-N235</f>
        <v>450.20780000000002</v>
      </c>
      <c r="Q235" s="228">
        <f>ROUND(P235*I235,2)</f>
        <v>49813.5</v>
      </c>
      <c r="R235" s="199"/>
      <c r="S235" s="200">
        <f>W235+Y235+AA235+AC235+AE235+AG235+AI235+AK235</f>
        <v>0</v>
      </c>
      <c r="T235" s="200">
        <f>ROUND(S235*I235,2)</f>
        <v>0</v>
      </c>
      <c r="U235" s="200">
        <f>H235-S235</f>
        <v>435.41500000000002</v>
      </c>
      <c r="V235" s="200">
        <f>ROUND(U235*I235,2)</f>
        <v>48176.74</v>
      </c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200"/>
      <c r="AK235" s="200"/>
      <c r="AL235" s="200"/>
      <c r="DQ235" s="132" t="s">
        <v>1</v>
      </c>
      <c r="DR235" s="133" t="s">
        <v>40</v>
      </c>
      <c r="DT235" s="134">
        <f>DS235*H235</f>
        <v>0</v>
      </c>
      <c r="DU235" s="134">
        <v>0</v>
      </c>
      <c r="DV235" s="134">
        <f>DU235*H235</f>
        <v>0</v>
      </c>
      <c r="DW235" s="134">
        <v>0</v>
      </c>
      <c r="DX235" s="135">
        <f>DW235*H235</f>
        <v>0</v>
      </c>
      <c r="EV235" s="136" t="s">
        <v>95</v>
      </c>
      <c r="EX235" s="136" t="s">
        <v>284</v>
      </c>
      <c r="EY235" s="136" t="s">
        <v>83</v>
      </c>
      <c r="FC235" s="16" t="s">
        <v>282</v>
      </c>
      <c r="FI235" s="137">
        <f>IF(DR235="základní",J235,0)</f>
        <v>48176.74</v>
      </c>
      <c r="FJ235" s="137">
        <f>IF(DR235="snížená",J235,0)</f>
        <v>0</v>
      </c>
      <c r="FK235" s="137">
        <f>IF(DR235="zákl. přenesená",J235,0)</f>
        <v>0</v>
      </c>
      <c r="FL235" s="137">
        <f>IF(DR235="sníž. přenesená",J235,0)</f>
        <v>0</v>
      </c>
      <c r="FM235" s="137">
        <f>IF(DR235="nulová",J235,0)</f>
        <v>0</v>
      </c>
      <c r="FN235" s="16" t="s">
        <v>81</v>
      </c>
      <c r="FO235" s="137">
        <f>ROUND(I235*H235,2)</f>
        <v>48176.74</v>
      </c>
      <c r="FP235" s="16" t="s">
        <v>95</v>
      </c>
      <c r="FQ235" s="136" t="s">
        <v>419</v>
      </c>
    </row>
    <row r="236" spans="2:173" s="1" customFormat="1" ht="29.25" x14ac:dyDescent="0.2">
      <c r="B236" s="31"/>
      <c r="D236" s="138" t="s">
        <v>289</v>
      </c>
      <c r="F236" s="139" t="s">
        <v>420</v>
      </c>
      <c r="I236" s="140"/>
      <c r="L236" s="31"/>
      <c r="N236" s="213"/>
      <c r="O236" s="214"/>
      <c r="Q236" s="229"/>
      <c r="DQ236" s="141"/>
      <c r="DX236" s="50"/>
      <c r="EX236" s="16" t="s">
        <v>289</v>
      </c>
      <c r="EY236" s="16" t="s">
        <v>83</v>
      </c>
    </row>
    <row r="237" spans="2:173" s="11" customFormat="1" x14ac:dyDescent="0.2">
      <c r="B237" s="143"/>
      <c r="D237" s="138" t="s">
        <v>301</v>
      </c>
      <c r="E237" s="144" t="s">
        <v>1</v>
      </c>
      <c r="F237" s="145" t="s">
        <v>996</v>
      </c>
      <c r="H237" s="144" t="s">
        <v>1</v>
      </c>
      <c r="I237" s="146"/>
      <c r="L237" s="143"/>
      <c r="N237" s="215"/>
      <c r="O237" s="216"/>
      <c r="Q237" s="230"/>
      <c r="DQ237" s="147"/>
      <c r="DX237" s="148"/>
      <c r="EX237" s="144" t="s">
        <v>301</v>
      </c>
      <c r="EY237" s="144" t="s">
        <v>83</v>
      </c>
      <c r="EZ237" s="11" t="s">
        <v>81</v>
      </c>
      <c r="FA237" s="11" t="s">
        <v>32</v>
      </c>
      <c r="FB237" s="11" t="s">
        <v>74</v>
      </c>
      <c r="FC237" s="144" t="s">
        <v>282</v>
      </c>
    </row>
    <row r="238" spans="2:173" s="12" customFormat="1" x14ac:dyDescent="0.2">
      <c r="B238" s="149"/>
      <c r="D238" s="138" t="s">
        <v>301</v>
      </c>
      <c r="E238" s="150" t="s">
        <v>1</v>
      </c>
      <c r="F238" s="151" t="s">
        <v>997</v>
      </c>
      <c r="H238" s="152">
        <v>446.51400000000001</v>
      </c>
      <c r="I238" s="153"/>
      <c r="L238" s="149"/>
      <c r="N238" s="217">
        <v>438.29599999999999</v>
      </c>
      <c r="O238" s="218"/>
      <c r="Q238" s="231"/>
      <c r="DQ238" s="154"/>
      <c r="DX238" s="155"/>
      <c r="EX238" s="150" t="s">
        <v>301</v>
      </c>
      <c r="EY238" s="150" t="s">
        <v>83</v>
      </c>
      <c r="EZ238" s="12" t="s">
        <v>83</v>
      </c>
      <c r="FA238" s="12" t="s">
        <v>32</v>
      </c>
      <c r="FB238" s="12" t="s">
        <v>74</v>
      </c>
      <c r="FC238" s="150" t="s">
        <v>282</v>
      </c>
    </row>
    <row r="239" spans="2:173" s="11" customFormat="1" x14ac:dyDescent="0.2">
      <c r="B239" s="143"/>
      <c r="D239" s="138" t="s">
        <v>301</v>
      </c>
      <c r="E239" s="144" t="s">
        <v>1</v>
      </c>
      <c r="F239" s="145" t="s">
        <v>998</v>
      </c>
      <c r="H239" s="144" t="s">
        <v>1</v>
      </c>
      <c r="I239" s="146"/>
      <c r="L239" s="143"/>
      <c r="N239" s="215"/>
      <c r="O239" s="216"/>
      <c r="Q239" s="230"/>
      <c r="DQ239" s="147"/>
      <c r="DX239" s="148"/>
      <c r="EX239" s="144" t="s">
        <v>301</v>
      </c>
      <c r="EY239" s="144" t="s">
        <v>83</v>
      </c>
      <c r="EZ239" s="11" t="s">
        <v>81</v>
      </c>
      <c r="FA239" s="11" t="s">
        <v>32</v>
      </c>
      <c r="FB239" s="11" t="s">
        <v>74</v>
      </c>
      <c r="FC239" s="144" t="s">
        <v>282</v>
      </c>
    </row>
    <row r="240" spans="2:173" s="12" customFormat="1" x14ac:dyDescent="0.2">
      <c r="B240" s="149"/>
      <c r="D240" s="138" t="s">
        <v>301</v>
      </c>
      <c r="E240" s="150" t="s">
        <v>1</v>
      </c>
      <c r="F240" s="151" t="s">
        <v>999</v>
      </c>
      <c r="H240" s="152">
        <v>-204.61699999999999</v>
      </c>
      <c r="I240" s="153"/>
      <c r="L240" s="149"/>
      <c r="N240" s="310">
        <f>H240</f>
        <v>-204.61699999999999</v>
      </c>
      <c r="O240" s="218"/>
      <c r="Q240" s="231"/>
      <c r="DQ240" s="154"/>
      <c r="DX240" s="155"/>
      <c r="EX240" s="150" t="s">
        <v>301</v>
      </c>
      <c r="EY240" s="150" t="s">
        <v>83</v>
      </c>
      <c r="EZ240" s="12" t="s">
        <v>83</v>
      </c>
      <c r="FA240" s="12" t="s">
        <v>32</v>
      </c>
      <c r="FB240" s="12" t="s">
        <v>74</v>
      </c>
      <c r="FC240" s="150" t="s">
        <v>282</v>
      </c>
    </row>
    <row r="241" spans="2:173" s="13" customFormat="1" x14ac:dyDescent="0.2">
      <c r="B241" s="156"/>
      <c r="D241" s="138" t="s">
        <v>301</v>
      </c>
      <c r="E241" s="157" t="s">
        <v>1</v>
      </c>
      <c r="F241" s="158" t="s">
        <v>305</v>
      </c>
      <c r="H241" s="159">
        <v>241.89700000000002</v>
      </c>
      <c r="I241" s="160"/>
      <c r="L241" s="156"/>
      <c r="N241" s="311">
        <f>N238+N240</f>
        <v>233.679</v>
      </c>
      <c r="O241" s="220"/>
      <c r="Q241" s="232"/>
      <c r="DQ241" s="161"/>
      <c r="DX241" s="162"/>
      <c r="EX241" s="157" t="s">
        <v>301</v>
      </c>
      <c r="EY241" s="157" t="s">
        <v>83</v>
      </c>
      <c r="EZ241" s="13" t="s">
        <v>95</v>
      </c>
      <c r="FA241" s="13" t="s">
        <v>32</v>
      </c>
      <c r="FB241" s="13" t="s">
        <v>81</v>
      </c>
      <c r="FC241" s="157" t="s">
        <v>282</v>
      </c>
    </row>
    <row r="242" spans="2:173" s="12" customFormat="1" x14ac:dyDescent="0.2">
      <c r="B242" s="149"/>
      <c r="D242" s="138" t="s">
        <v>301</v>
      </c>
      <c r="F242" s="151" t="s">
        <v>1000</v>
      </c>
      <c r="H242" s="152">
        <v>435.41500000000002</v>
      </c>
      <c r="I242" s="153"/>
      <c r="L242" s="149"/>
      <c r="N242" s="217">
        <f>N241*1.8</f>
        <v>420.62220000000002</v>
      </c>
      <c r="O242" s="218"/>
      <c r="Q242" s="231"/>
      <c r="DQ242" s="154"/>
      <c r="DX242" s="155"/>
      <c r="EX242" s="150" t="s">
        <v>301</v>
      </c>
      <c r="EY242" s="150" t="s">
        <v>83</v>
      </c>
      <c r="EZ242" s="12" t="s">
        <v>83</v>
      </c>
      <c r="FA242" s="12" t="s">
        <v>3</v>
      </c>
      <c r="FB242" s="12" t="s">
        <v>81</v>
      </c>
      <c r="FC242" s="150" t="s">
        <v>282</v>
      </c>
    </row>
    <row r="243" spans="2:173" s="12" customFormat="1" x14ac:dyDescent="0.2">
      <c r="B243" s="149"/>
      <c r="D243" s="138"/>
      <c r="F243" s="151"/>
      <c r="H243" s="152"/>
      <c r="I243" s="153"/>
      <c r="L243" s="149"/>
      <c r="N243" s="310">
        <f>N242-H242</f>
        <v>-14.7928</v>
      </c>
      <c r="O243" s="218"/>
      <c r="Q243" s="231"/>
      <c r="DQ243" s="154"/>
      <c r="DX243" s="155"/>
      <c r="EX243" s="150"/>
      <c r="EY243" s="150"/>
      <c r="FC243" s="150"/>
    </row>
    <row r="244" spans="2:173" s="1" customFormat="1" ht="24.2" customHeight="1" x14ac:dyDescent="0.2">
      <c r="B244" s="124"/>
      <c r="C244" s="125" t="s">
        <v>438</v>
      </c>
      <c r="D244" s="125" t="s">
        <v>284</v>
      </c>
      <c r="E244" s="126" t="s">
        <v>423</v>
      </c>
      <c r="F244" s="127" t="s">
        <v>424</v>
      </c>
      <c r="G244" s="128" t="s">
        <v>366</v>
      </c>
      <c r="H244" s="129">
        <v>328.73399999999998</v>
      </c>
      <c r="I244" s="130">
        <v>140.64048227116101</v>
      </c>
      <c r="J244" s="131">
        <f>ROUND(I244*H244,2)</f>
        <v>46233.31</v>
      </c>
      <c r="K244" s="127" t="s">
        <v>293</v>
      </c>
      <c r="L244" s="198">
        <f>S244</f>
        <v>0</v>
      </c>
      <c r="M244" s="206">
        <f>ROUND(L244*I244,2)</f>
        <v>0</v>
      </c>
      <c r="N244" s="211">
        <f>N259</f>
        <v>-7.2620000000000005</v>
      </c>
      <c r="O244" s="212">
        <f>ROUND(N244*I244,2)</f>
        <v>-1021.33</v>
      </c>
      <c r="P244" s="207">
        <f>H244-L244-N244</f>
        <v>335.99599999999998</v>
      </c>
      <c r="Q244" s="228">
        <f>ROUND(P244*I244,2)</f>
        <v>47254.64</v>
      </c>
      <c r="R244" s="199"/>
      <c r="S244" s="200">
        <f>W244+Y244+AA244+AC244+AE244+AG244+AI244+AK244</f>
        <v>0</v>
      </c>
      <c r="T244" s="200">
        <f>ROUND(S244*I244,2)</f>
        <v>0</v>
      </c>
      <c r="U244" s="200">
        <f>H244-S244</f>
        <v>328.73399999999998</v>
      </c>
      <c r="V244" s="200">
        <f>ROUND(U244*I244,2)</f>
        <v>46233.31</v>
      </c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DQ244" s="132" t="s">
        <v>1</v>
      </c>
      <c r="DR244" s="133" t="s">
        <v>40</v>
      </c>
      <c r="DT244" s="134">
        <f>DS244*H244</f>
        <v>0</v>
      </c>
      <c r="DU244" s="134">
        <v>0</v>
      </c>
      <c r="DV244" s="134">
        <f>DU244*H244</f>
        <v>0</v>
      </c>
      <c r="DW244" s="134">
        <v>0</v>
      </c>
      <c r="DX244" s="135">
        <f>DW244*H244</f>
        <v>0</v>
      </c>
      <c r="EV244" s="136" t="s">
        <v>95</v>
      </c>
      <c r="EX244" s="136" t="s">
        <v>284</v>
      </c>
      <c r="EY244" s="136" t="s">
        <v>83</v>
      </c>
      <c r="FC244" s="16" t="s">
        <v>282</v>
      </c>
      <c r="FI244" s="137">
        <f>IF(DR244="základní",J244,0)</f>
        <v>46233.31</v>
      </c>
      <c r="FJ244" s="137">
        <f>IF(DR244="snížená",J244,0)</f>
        <v>0</v>
      </c>
      <c r="FK244" s="137">
        <f>IF(DR244="zákl. přenesená",J244,0)</f>
        <v>0</v>
      </c>
      <c r="FL244" s="137">
        <f>IF(DR244="sníž. přenesená",J244,0)</f>
        <v>0</v>
      </c>
      <c r="FM244" s="137">
        <f>IF(DR244="nulová",J244,0)</f>
        <v>0</v>
      </c>
      <c r="FN244" s="16" t="s">
        <v>81</v>
      </c>
      <c r="FO244" s="137">
        <f>ROUND(I244*H244,2)</f>
        <v>46233.31</v>
      </c>
      <c r="FP244" s="16" t="s">
        <v>95</v>
      </c>
      <c r="FQ244" s="136" t="s">
        <v>425</v>
      </c>
    </row>
    <row r="245" spans="2:173" s="1" customFormat="1" ht="29.25" x14ac:dyDescent="0.2">
      <c r="B245" s="31"/>
      <c r="D245" s="138" t="s">
        <v>289</v>
      </c>
      <c r="F245" s="139" t="s">
        <v>426</v>
      </c>
      <c r="I245" s="140"/>
      <c r="L245" s="31"/>
      <c r="N245" s="213"/>
      <c r="O245" s="214"/>
      <c r="Q245" s="229"/>
      <c r="DQ245" s="141"/>
      <c r="DX245" s="50"/>
      <c r="EX245" s="16" t="s">
        <v>289</v>
      </c>
      <c r="EY245" s="16" t="s">
        <v>83</v>
      </c>
    </row>
    <row r="246" spans="2:173" s="11" customFormat="1" x14ac:dyDescent="0.2">
      <c r="B246" s="143"/>
      <c r="D246" s="138" t="s">
        <v>301</v>
      </c>
      <c r="E246" s="144" t="s">
        <v>1</v>
      </c>
      <c r="F246" s="145" t="s">
        <v>427</v>
      </c>
      <c r="H246" s="144" t="s">
        <v>1</v>
      </c>
      <c r="I246" s="146"/>
      <c r="L246" s="143"/>
      <c r="N246" s="215"/>
      <c r="O246" s="216"/>
      <c r="Q246" s="230"/>
      <c r="DQ246" s="147"/>
      <c r="DX246" s="148"/>
      <c r="EX246" s="144" t="s">
        <v>301</v>
      </c>
      <c r="EY246" s="144" t="s">
        <v>83</v>
      </c>
      <c r="EZ246" s="11" t="s">
        <v>81</v>
      </c>
      <c r="FA246" s="11" t="s">
        <v>32</v>
      </c>
      <c r="FB246" s="11" t="s">
        <v>74</v>
      </c>
      <c r="FC246" s="144" t="s">
        <v>282</v>
      </c>
    </row>
    <row r="247" spans="2:173" s="12" customFormat="1" x14ac:dyDescent="0.2">
      <c r="B247" s="149"/>
      <c r="D247" s="138" t="s">
        <v>301</v>
      </c>
      <c r="E247" s="150" t="s">
        <v>1</v>
      </c>
      <c r="F247" s="151" t="s">
        <v>975</v>
      </c>
      <c r="H247" s="152">
        <v>418.524</v>
      </c>
      <c r="I247" s="153"/>
      <c r="L247" s="149"/>
      <c r="N247" s="217">
        <f>205.153+205.153</f>
        <v>410.30599999999998</v>
      </c>
      <c r="O247" s="218" t="s">
        <v>3436</v>
      </c>
      <c r="Q247" s="231"/>
      <c r="DQ247" s="154"/>
      <c r="DX247" s="155"/>
      <c r="EX247" s="150" t="s">
        <v>301</v>
      </c>
      <c r="EY247" s="150" t="s">
        <v>83</v>
      </c>
      <c r="EZ247" s="12" t="s">
        <v>83</v>
      </c>
      <c r="FA247" s="12" t="s">
        <v>32</v>
      </c>
      <c r="FB247" s="12" t="s">
        <v>74</v>
      </c>
      <c r="FC247" s="150" t="s">
        <v>282</v>
      </c>
    </row>
    <row r="248" spans="2:173" s="11" customFormat="1" x14ac:dyDescent="0.2">
      <c r="B248" s="143"/>
      <c r="D248" s="138" t="s">
        <v>301</v>
      </c>
      <c r="E248" s="144" t="s">
        <v>1</v>
      </c>
      <c r="F248" s="145" t="s">
        <v>428</v>
      </c>
      <c r="H248" s="144" t="s">
        <v>1</v>
      </c>
      <c r="I248" s="146"/>
      <c r="L248" s="143"/>
      <c r="N248" s="215"/>
      <c r="O248" s="216"/>
      <c r="Q248" s="230"/>
      <c r="DQ248" s="147"/>
      <c r="DX248" s="148"/>
      <c r="EX248" s="144" t="s">
        <v>301</v>
      </c>
      <c r="EY248" s="144" t="s">
        <v>83</v>
      </c>
      <c r="EZ248" s="11" t="s">
        <v>81</v>
      </c>
      <c r="FA248" s="11" t="s">
        <v>32</v>
      </c>
      <c r="FB248" s="11" t="s">
        <v>74</v>
      </c>
      <c r="FC248" s="144" t="s">
        <v>282</v>
      </c>
    </row>
    <row r="249" spans="2:173" s="12" customFormat="1" x14ac:dyDescent="0.2">
      <c r="B249" s="149"/>
      <c r="D249" s="138" t="s">
        <v>301</v>
      </c>
      <c r="E249" s="150" t="s">
        <v>1</v>
      </c>
      <c r="F249" s="151" t="s">
        <v>1001</v>
      </c>
      <c r="H249" s="152">
        <v>-90.668000000000006</v>
      </c>
      <c r="I249" s="153"/>
      <c r="L249" s="149"/>
      <c r="N249" s="217">
        <f>-N276</f>
        <v>-88.565400000000025</v>
      </c>
      <c r="O249" s="218"/>
      <c r="Q249" s="231"/>
      <c r="DQ249" s="154"/>
      <c r="DX249" s="155"/>
      <c r="EX249" s="150" t="s">
        <v>301</v>
      </c>
      <c r="EY249" s="150" t="s">
        <v>83</v>
      </c>
      <c r="EZ249" s="12" t="s">
        <v>83</v>
      </c>
      <c r="FA249" s="12" t="s">
        <v>32</v>
      </c>
      <c r="FB249" s="12" t="s">
        <v>74</v>
      </c>
      <c r="FC249" s="150" t="s">
        <v>282</v>
      </c>
    </row>
    <row r="250" spans="2:173" s="11" customFormat="1" x14ac:dyDescent="0.2">
      <c r="B250" s="143"/>
      <c r="D250" s="138" t="s">
        <v>301</v>
      </c>
      <c r="E250" s="144" t="s">
        <v>1</v>
      </c>
      <c r="F250" s="145" t="s">
        <v>430</v>
      </c>
      <c r="H250" s="144" t="s">
        <v>1</v>
      </c>
      <c r="I250" s="146"/>
      <c r="L250" s="143"/>
      <c r="N250" s="215"/>
      <c r="O250" s="216"/>
      <c r="Q250" s="230"/>
      <c r="DQ250" s="147"/>
      <c r="DX250" s="148"/>
      <c r="EX250" s="144" t="s">
        <v>301</v>
      </c>
      <c r="EY250" s="144" t="s">
        <v>83</v>
      </c>
      <c r="EZ250" s="11" t="s">
        <v>81</v>
      </c>
      <c r="FA250" s="11" t="s">
        <v>32</v>
      </c>
      <c r="FB250" s="11" t="s">
        <v>74</v>
      </c>
      <c r="FC250" s="144" t="s">
        <v>282</v>
      </c>
    </row>
    <row r="251" spans="2:173" s="12" customFormat="1" x14ac:dyDescent="0.2">
      <c r="B251" s="149"/>
      <c r="D251" s="138" t="s">
        <v>301</v>
      </c>
      <c r="E251" s="150" t="s">
        <v>1</v>
      </c>
      <c r="F251" s="151" t="s">
        <v>1002</v>
      </c>
      <c r="H251" s="152">
        <v>-18.41</v>
      </c>
      <c r="I251" s="153"/>
      <c r="L251" s="149"/>
      <c r="N251" s="217">
        <f>-N300-1.925</f>
        <v>-18.027800000000003</v>
      </c>
      <c r="O251" s="218"/>
      <c r="Q251" s="231"/>
      <c r="DQ251" s="154"/>
      <c r="DX251" s="155"/>
      <c r="EX251" s="150" t="s">
        <v>301</v>
      </c>
      <c r="EY251" s="150" t="s">
        <v>83</v>
      </c>
      <c r="EZ251" s="12" t="s">
        <v>83</v>
      </c>
      <c r="FA251" s="12" t="s">
        <v>32</v>
      </c>
      <c r="FB251" s="12" t="s">
        <v>74</v>
      </c>
      <c r="FC251" s="150" t="s">
        <v>282</v>
      </c>
    </row>
    <row r="252" spans="2:173" s="11" customFormat="1" x14ac:dyDescent="0.2">
      <c r="B252" s="143"/>
      <c r="D252" s="138" t="s">
        <v>301</v>
      </c>
      <c r="E252" s="144" t="s">
        <v>1</v>
      </c>
      <c r="F252" s="145" t="s">
        <v>432</v>
      </c>
      <c r="H252" s="144" t="s">
        <v>1</v>
      </c>
      <c r="I252" s="146"/>
      <c r="L252" s="143"/>
      <c r="N252" s="215"/>
      <c r="O252" s="216"/>
      <c r="Q252" s="230"/>
      <c r="DQ252" s="147"/>
      <c r="DX252" s="148"/>
      <c r="EX252" s="144" t="s">
        <v>301</v>
      </c>
      <c r="EY252" s="144" t="s">
        <v>83</v>
      </c>
      <c r="EZ252" s="11" t="s">
        <v>81</v>
      </c>
      <c r="FA252" s="11" t="s">
        <v>32</v>
      </c>
      <c r="FB252" s="11" t="s">
        <v>74</v>
      </c>
      <c r="FC252" s="144" t="s">
        <v>282</v>
      </c>
    </row>
    <row r="253" spans="2:173" s="12" customFormat="1" x14ac:dyDescent="0.2">
      <c r="B253" s="149"/>
      <c r="D253" s="138" t="s">
        <v>301</v>
      </c>
      <c r="E253" s="150" t="s">
        <v>1</v>
      </c>
      <c r="F253" s="151" t="s">
        <v>1003</v>
      </c>
      <c r="H253" s="152">
        <v>-1.038</v>
      </c>
      <c r="I253" s="153"/>
      <c r="L253" s="149"/>
      <c r="N253" s="310">
        <f>H253</f>
        <v>-1.038</v>
      </c>
      <c r="O253" s="218"/>
      <c r="Q253" s="231"/>
      <c r="DQ253" s="154"/>
      <c r="DX253" s="155"/>
      <c r="EX253" s="150" t="s">
        <v>301</v>
      </c>
      <c r="EY253" s="150" t="s">
        <v>83</v>
      </c>
      <c r="EZ253" s="12" t="s">
        <v>83</v>
      </c>
      <c r="FA253" s="12" t="s">
        <v>32</v>
      </c>
      <c r="FB253" s="12" t="s">
        <v>74</v>
      </c>
      <c r="FC253" s="150" t="s">
        <v>282</v>
      </c>
    </row>
    <row r="254" spans="2:173" s="12" customFormat="1" x14ac:dyDescent="0.2">
      <c r="B254" s="149"/>
      <c r="D254" s="138" t="s">
        <v>301</v>
      </c>
      <c r="E254" s="150" t="s">
        <v>1</v>
      </c>
      <c r="F254" s="151" t="s">
        <v>821</v>
      </c>
      <c r="H254" s="152">
        <v>-6.2759999999999998</v>
      </c>
      <c r="I254" s="153"/>
      <c r="L254" s="149"/>
      <c r="N254" s="310">
        <f>H254</f>
        <v>-6.2759999999999998</v>
      </c>
      <c r="O254" s="218"/>
      <c r="Q254" s="231"/>
      <c r="DQ254" s="154"/>
      <c r="DX254" s="155"/>
      <c r="EX254" s="150" t="s">
        <v>301</v>
      </c>
      <c r="EY254" s="150" t="s">
        <v>83</v>
      </c>
      <c r="EZ254" s="12" t="s">
        <v>83</v>
      </c>
      <c r="FA254" s="12" t="s">
        <v>32</v>
      </c>
      <c r="FB254" s="12" t="s">
        <v>74</v>
      </c>
      <c r="FC254" s="150" t="s">
        <v>282</v>
      </c>
    </row>
    <row r="255" spans="2:173" s="12" customFormat="1" x14ac:dyDescent="0.2">
      <c r="B255" s="149"/>
      <c r="D255" s="138" t="s">
        <v>301</v>
      </c>
      <c r="E255" s="150" t="s">
        <v>1</v>
      </c>
      <c r="F255" s="151" t="s">
        <v>1004</v>
      </c>
      <c r="H255" s="152">
        <v>-2.2040000000000002</v>
      </c>
      <c r="I255" s="153"/>
      <c r="L255" s="149"/>
      <c r="N255" s="310">
        <f>H255</f>
        <v>-2.2040000000000002</v>
      </c>
      <c r="O255" s="218"/>
      <c r="Q255" s="231"/>
      <c r="DQ255" s="154"/>
      <c r="DX255" s="155"/>
      <c r="EX255" s="150" t="s">
        <v>301</v>
      </c>
      <c r="EY255" s="150" t="s">
        <v>83</v>
      </c>
      <c r="EZ255" s="12" t="s">
        <v>83</v>
      </c>
      <c r="FA255" s="12" t="s">
        <v>32</v>
      </c>
      <c r="FB255" s="12" t="s">
        <v>74</v>
      </c>
      <c r="FC255" s="150" t="s">
        <v>282</v>
      </c>
    </row>
    <row r="256" spans="2:173" s="11" customFormat="1" x14ac:dyDescent="0.2">
      <c r="B256" s="143"/>
      <c r="D256" s="138" t="s">
        <v>301</v>
      </c>
      <c r="E256" s="144" t="s">
        <v>1</v>
      </c>
      <c r="F256" s="145" t="s">
        <v>436</v>
      </c>
      <c r="H256" s="144" t="s">
        <v>1</v>
      </c>
      <c r="I256" s="146"/>
      <c r="L256" s="143"/>
      <c r="N256" s="215"/>
      <c r="O256" s="216"/>
      <c r="Q256" s="230"/>
      <c r="DQ256" s="147"/>
      <c r="DX256" s="148"/>
      <c r="EX256" s="144" t="s">
        <v>301</v>
      </c>
      <c r="EY256" s="144" t="s">
        <v>83</v>
      </c>
      <c r="EZ256" s="11" t="s">
        <v>81</v>
      </c>
      <c r="FA256" s="11" t="s">
        <v>32</v>
      </c>
      <c r="FB256" s="11" t="s">
        <v>74</v>
      </c>
      <c r="FC256" s="144" t="s">
        <v>282</v>
      </c>
    </row>
    <row r="257" spans="2:173" s="12" customFormat="1" x14ac:dyDescent="0.2">
      <c r="B257" s="149"/>
      <c r="D257" s="138" t="s">
        <v>301</v>
      </c>
      <c r="E257" s="150" t="s">
        <v>1</v>
      </c>
      <c r="F257" s="151" t="s">
        <v>1005</v>
      </c>
      <c r="H257" s="152">
        <v>28.806000000000001</v>
      </c>
      <c r="I257" s="153"/>
      <c r="L257" s="149"/>
      <c r="N257" s="217">
        <f>68.193*(0.45-0.05)</f>
        <v>27.277200000000001</v>
      </c>
      <c r="O257" s="218" t="s">
        <v>3441</v>
      </c>
      <c r="Q257" s="231"/>
      <c r="DQ257" s="154"/>
      <c r="DX257" s="155"/>
      <c r="EX257" s="150" t="s">
        <v>301</v>
      </c>
      <c r="EY257" s="150" t="s">
        <v>83</v>
      </c>
      <c r="EZ257" s="12" t="s">
        <v>83</v>
      </c>
      <c r="FA257" s="12" t="s">
        <v>32</v>
      </c>
      <c r="FB257" s="12" t="s">
        <v>74</v>
      </c>
      <c r="FC257" s="150" t="s">
        <v>282</v>
      </c>
    </row>
    <row r="258" spans="2:173" s="13" customFormat="1" x14ac:dyDescent="0.2">
      <c r="B258" s="156"/>
      <c r="D258" s="138" t="s">
        <v>301</v>
      </c>
      <c r="E258" s="157" t="s">
        <v>1</v>
      </c>
      <c r="F258" s="158" t="s">
        <v>305</v>
      </c>
      <c r="H258" s="159">
        <v>328.73399999999992</v>
      </c>
      <c r="I258" s="160"/>
      <c r="L258" s="156"/>
      <c r="N258" s="311">
        <f>N247+N249+N251+N253+N254+N255+N257</f>
        <v>321.47199999999992</v>
      </c>
      <c r="O258" s="220"/>
      <c r="Q258" s="232"/>
      <c r="DQ258" s="161"/>
      <c r="DX258" s="162"/>
      <c r="EX258" s="157" t="s">
        <v>301</v>
      </c>
      <c r="EY258" s="157" t="s">
        <v>83</v>
      </c>
      <c r="EZ258" s="13" t="s">
        <v>95</v>
      </c>
      <c r="FA258" s="13" t="s">
        <v>32</v>
      </c>
      <c r="FB258" s="13" t="s">
        <v>81</v>
      </c>
      <c r="FC258" s="157" t="s">
        <v>282</v>
      </c>
    </row>
    <row r="259" spans="2:173" s="13" customFormat="1" x14ac:dyDescent="0.2">
      <c r="B259" s="156"/>
      <c r="D259" s="138"/>
      <c r="E259" s="157"/>
      <c r="F259" s="158"/>
      <c r="H259" s="159"/>
      <c r="I259" s="160"/>
      <c r="L259" s="156"/>
      <c r="N259" s="311">
        <f>N258-H258</f>
        <v>-7.2620000000000005</v>
      </c>
      <c r="O259" s="220"/>
      <c r="Q259" s="232"/>
      <c r="DQ259" s="161"/>
      <c r="DX259" s="162"/>
      <c r="EX259" s="157"/>
      <c r="EY259" s="157"/>
      <c r="FC259" s="157"/>
    </row>
    <row r="260" spans="2:173" s="1" customFormat="1" ht="21" customHeight="1" x14ac:dyDescent="0.2">
      <c r="B260" s="124"/>
      <c r="C260" s="170" t="s">
        <v>445</v>
      </c>
      <c r="D260" s="170" t="s">
        <v>439</v>
      </c>
      <c r="E260" s="171" t="s">
        <v>440</v>
      </c>
      <c r="F260" s="172" t="s">
        <v>441</v>
      </c>
      <c r="G260" s="173" t="s">
        <v>418</v>
      </c>
      <c r="H260" s="174">
        <v>304.19400000000002</v>
      </c>
      <c r="I260" s="175">
        <v>390.0974172</v>
      </c>
      <c r="J260" s="176">
        <f>ROUND(I260*H260,2)</f>
        <v>118665.29</v>
      </c>
      <c r="K260" s="172" t="s">
        <v>293</v>
      </c>
      <c r="L260" s="198">
        <f>S260</f>
        <v>0</v>
      </c>
      <c r="M260" s="206">
        <f>ROUND(L260*I260,2)</f>
        <v>0</v>
      </c>
      <c r="N260" s="211">
        <f>N272</f>
        <v>-14.523999999999999</v>
      </c>
      <c r="O260" s="212">
        <f>ROUND(N260*I260,2)</f>
        <v>-5665.77</v>
      </c>
      <c r="P260" s="207">
        <f>H260-L260-N260</f>
        <v>318.71800000000002</v>
      </c>
      <c r="Q260" s="228">
        <f>ROUND(P260*I260,2)</f>
        <v>124331.07</v>
      </c>
      <c r="R260" s="199"/>
      <c r="S260" s="200">
        <f>W260+Y260+AA260+AC260+AE260+AG260+AI260+AK260</f>
        <v>0</v>
      </c>
      <c r="T260" s="200">
        <f>ROUND(S260*I260,2)</f>
        <v>0</v>
      </c>
      <c r="U260" s="200">
        <f>H260-S260</f>
        <v>304.19400000000002</v>
      </c>
      <c r="V260" s="200">
        <f>ROUND(U260*I260,2)</f>
        <v>118665.29</v>
      </c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77" t="s">
        <v>1</v>
      </c>
      <c r="DR260" s="178" t="s">
        <v>40</v>
      </c>
      <c r="DT260" s="134">
        <f>DS260*H260</f>
        <v>0</v>
      </c>
      <c r="DU260" s="134">
        <v>1</v>
      </c>
      <c r="DV260" s="134">
        <f>DU260*H260</f>
        <v>304.19400000000002</v>
      </c>
      <c r="DW260" s="134">
        <v>0</v>
      </c>
      <c r="DX260" s="135">
        <f>DW260*H260</f>
        <v>0</v>
      </c>
      <c r="EV260" s="136" t="s">
        <v>328</v>
      </c>
      <c r="EX260" s="136" t="s">
        <v>439</v>
      </c>
      <c r="EY260" s="136" t="s">
        <v>83</v>
      </c>
      <c r="FC260" s="16" t="s">
        <v>282</v>
      </c>
      <c r="FI260" s="137">
        <f>IF(DR260="základní",J260,0)</f>
        <v>118665.29</v>
      </c>
      <c r="FJ260" s="137">
        <f>IF(DR260="snížená",J260,0)</f>
        <v>0</v>
      </c>
      <c r="FK260" s="137">
        <f>IF(DR260="zákl. přenesená",J260,0)</f>
        <v>0</v>
      </c>
      <c r="FL260" s="137">
        <f>IF(DR260="sníž. přenesená",J260,0)</f>
        <v>0</v>
      </c>
      <c r="FM260" s="137">
        <f>IF(DR260="nulová",J260,0)</f>
        <v>0</v>
      </c>
      <c r="FN260" s="16" t="s">
        <v>81</v>
      </c>
      <c r="FO260" s="137">
        <f>ROUND(I260*H260,2)</f>
        <v>118665.29</v>
      </c>
      <c r="FP260" s="16" t="s">
        <v>95</v>
      </c>
      <c r="FQ260" s="136" t="s">
        <v>442</v>
      </c>
    </row>
    <row r="261" spans="2:173" s="1" customFormat="1" x14ac:dyDescent="0.2">
      <c r="B261" s="31"/>
      <c r="D261" s="138" t="s">
        <v>289</v>
      </c>
      <c r="F261" s="139" t="s">
        <v>441</v>
      </c>
      <c r="I261" s="140"/>
      <c r="L261" s="31"/>
      <c r="N261" s="213"/>
      <c r="O261" s="214"/>
      <c r="Q261" s="229"/>
      <c r="DQ261" s="141"/>
      <c r="DX261" s="50"/>
      <c r="EX261" s="16" t="s">
        <v>289</v>
      </c>
      <c r="EY261" s="16" t="s">
        <v>83</v>
      </c>
    </row>
    <row r="262" spans="2:173" s="1" customFormat="1" ht="19.5" x14ac:dyDescent="0.2">
      <c r="B262" s="31"/>
      <c r="D262" s="138" t="s">
        <v>299</v>
      </c>
      <c r="F262" s="142" t="s">
        <v>443</v>
      </c>
      <c r="I262" s="140"/>
      <c r="L262" s="31"/>
      <c r="N262" s="213"/>
      <c r="O262" s="214"/>
      <c r="Q262" s="229"/>
      <c r="DQ262" s="141"/>
      <c r="DX262" s="50"/>
      <c r="EX262" s="16" t="s">
        <v>299</v>
      </c>
      <c r="EY262" s="16" t="s">
        <v>83</v>
      </c>
    </row>
    <row r="263" spans="2:173" s="11" customFormat="1" x14ac:dyDescent="0.2">
      <c r="B263" s="143"/>
      <c r="D263" s="138" t="s">
        <v>301</v>
      </c>
      <c r="E263" s="144" t="s">
        <v>1</v>
      </c>
      <c r="F263" s="145" t="s">
        <v>1006</v>
      </c>
      <c r="H263" s="144" t="s">
        <v>1</v>
      </c>
      <c r="I263" s="146"/>
      <c r="L263" s="143"/>
      <c r="N263" s="215"/>
      <c r="O263" s="216"/>
      <c r="Q263" s="230"/>
      <c r="DQ263" s="147"/>
      <c r="DX263" s="148"/>
      <c r="EX263" s="144" t="s">
        <v>301</v>
      </c>
      <c r="EY263" s="144" t="s">
        <v>83</v>
      </c>
      <c r="EZ263" s="11" t="s">
        <v>81</v>
      </c>
      <c r="FA263" s="11" t="s">
        <v>32</v>
      </c>
      <c r="FB263" s="11" t="s">
        <v>74</v>
      </c>
      <c r="FC263" s="144" t="s">
        <v>282</v>
      </c>
    </row>
    <row r="264" spans="2:173" s="12" customFormat="1" x14ac:dyDescent="0.2">
      <c r="B264" s="149"/>
      <c r="D264" s="138" t="s">
        <v>301</v>
      </c>
      <c r="E264" s="150" t="s">
        <v>1</v>
      </c>
      <c r="F264" s="151" t="s">
        <v>1007</v>
      </c>
      <c r="H264" s="152">
        <v>328.72399999999999</v>
      </c>
      <c r="I264" s="153"/>
      <c r="L264" s="149"/>
      <c r="N264" s="217"/>
      <c r="O264" s="218"/>
      <c r="Q264" s="231"/>
      <c r="DQ264" s="154"/>
      <c r="DX264" s="155"/>
      <c r="EX264" s="150" t="s">
        <v>301</v>
      </c>
      <c r="EY264" s="150" t="s">
        <v>83</v>
      </c>
      <c r="EZ264" s="12" t="s">
        <v>83</v>
      </c>
      <c r="FA264" s="12" t="s">
        <v>32</v>
      </c>
      <c r="FB264" s="12" t="s">
        <v>74</v>
      </c>
      <c r="FC264" s="150" t="s">
        <v>282</v>
      </c>
    </row>
    <row r="265" spans="2:173" s="14" customFormat="1" x14ac:dyDescent="0.2">
      <c r="B265" s="163"/>
      <c r="D265" s="138" t="s">
        <v>301</v>
      </c>
      <c r="E265" s="164" t="s">
        <v>1</v>
      </c>
      <c r="F265" s="165" t="s">
        <v>373</v>
      </c>
      <c r="H265" s="166">
        <v>328.72399999999999</v>
      </c>
      <c r="I265" s="167"/>
      <c r="L265" s="163"/>
      <c r="N265" s="221"/>
      <c r="O265" s="222"/>
      <c r="Q265" s="233"/>
      <c r="DQ265" s="168"/>
      <c r="DX265" s="169"/>
      <c r="EX265" s="164" t="s">
        <v>301</v>
      </c>
      <c r="EY265" s="164" t="s">
        <v>83</v>
      </c>
      <c r="EZ265" s="14" t="s">
        <v>90</v>
      </c>
      <c r="FA265" s="14" t="s">
        <v>32</v>
      </c>
      <c r="FB265" s="14" t="s">
        <v>74</v>
      </c>
      <c r="FC265" s="164" t="s">
        <v>282</v>
      </c>
    </row>
    <row r="266" spans="2:173" s="11" customFormat="1" x14ac:dyDescent="0.2">
      <c r="B266" s="143"/>
      <c r="D266" s="138" t="s">
        <v>301</v>
      </c>
      <c r="E266" s="144" t="s">
        <v>1</v>
      </c>
      <c r="F266" s="145" t="s">
        <v>990</v>
      </c>
      <c r="H266" s="144" t="s">
        <v>1</v>
      </c>
      <c r="I266" s="146"/>
      <c r="L266" s="143"/>
      <c r="N266" s="215"/>
      <c r="O266" s="216"/>
      <c r="Q266" s="230"/>
      <c r="DQ266" s="147"/>
      <c r="DX266" s="148"/>
      <c r="EX266" s="144" t="s">
        <v>301</v>
      </c>
      <c r="EY266" s="144" t="s">
        <v>83</v>
      </c>
      <c r="EZ266" s="11" t="s">
        <v>81</v>
      </c>
      <c r="FA266" s="11" t="s">
        <v>32</v>
      </c>
      <c r="FB266" s="11" t="s">
        <v>74</v>
      </c>
      <c r="FC266" s="144" t="s">
        <v>282</v>
      </c>
    </row>
    <row r="267" spans="2:173" s="12" customFormat="1" x14ac:dyDescent="0.2">
      <c r="B267" s="149"/>
      <c r="D267" s="138" t="s">
        <v>301</v>
      </c>
      <c r="E267" s="150" t="s">
        <v>1</v>
      </c>
      <c r="F267" s="151" t="s">
        <v>991</v>
      </c>
      <c r="H267" s="152">
        <v>181.23500000000001</v>
      </c>
      <c r="I267" s="153"/>
      <c r="L267" s="149"/>
      <c r="N267" s="217"/>
      <c r="O267" s="218"/>
      <c r="Q267" s="231"/>
      <c r="DQ267" s="154"/>
      <c r="DX267" s="155"/>
      <c r="EX267" s="150" t="s">
        <v>301</v>
      </c>
      <c r="EY267" s="150" t="s">
        <v>83</v>
      </c>
      <c r="EZ267" s="12" t="s">
        <v>83</v>
      </c>
      <c r="FA267" s="12" t="s">
        <v>32</v>
      </c>
      <c r="FB267" s="12" t="s">
        <v>74</v>
      </c>
      <c r="FC267" s="150" t="s">
        <v>282</v>
      </c>
    </row>
    <row r="268" spans="2:173" s="12" customFormat="1" x14ac:dyDescent="0.2">
      <c r="B268" s="149"/>
      <c r="D268" s="138" t="s">
        <v>301</v>
      </c>
      <c r="E268" s="150" t="s">
        <v>1</v>
      </c>
      <c r="F268" s="151" t="s">
        <v>992</v>
      </c>
      <c r="H268" s="152">
        <v>-3.1379999999999999</v>
      </c>
      <c r="I268" s="153"/>
      <c r="L268" s="149"/>
      <c r="N268" s="217"/>
      <c r="O268" s="218"/>
      <c r="Q268" s="231"/>
      <c r="DQ268" s="154"/>
      <c r="DX268" s="155"/>
      <c r="EX268" s="150" t="s">
        <v>301</v>
      </c>
      <c r="EY268" s="150" t="s">
        <v>83</v>
      </c>
      <c r="EZ268" s="12" t="s">
        <v>83</v>
      </c>
      <c r="FA268" s="12" t="s">
        <v>32</v>
      </c>
      <c r="FB268" s="12" t="s">
        <v>74</v>
      </c>
      <c r="FC268" s="150" t="s">
        <v>282</v>
      </c>
    </row>
    <row r="269" spans="2:173" s="12" customFormat="1" x14ac:dyDescent="0.2">
      <c r="B269" s="149"/>
      <c r="D269" s="138" t="s">
        <v>301</v>
      </c>
      <c r="E269" s="150" t="s">
        <v>1</v>
      </c>
      <c r="F269" s="151" t="s">
        <v>993</v>
      </c>
      <c r="H269" s="152">
        <v>-1.47</v>
      </c>
      <c r="I269" s="153"/>
      <c r="L269" s="149"/>
      <c r="N269" s="217"/>
      <c r="O269" s="218"/>
      <c r="Q269" s="231"/>
      <c r="DQ269" s="154"/>
      <c r="DX269" s="155"/>
      <c r="EX269" s="150" t="s">
        <v>301</v>
      </c>
      <c r="EY269" s="150" t="s">
        <v>83</v>
      </c>
      <c r="EZ269" s="12" t="s">
        <v>83</v>
      </c>
      <c r="FA269" s="12" t="s">
        <v>32</v>
      </c>
      <c r="FB269" s="12" t="s">
        <v>74</v>
      </c>
      <c r="FC269" s="150" t="s">
        <v>282</v>
      </c>
    </row>
    <row r="270" spans="2:173" s="14" customFormat="1" x14ac:dyDescent="0.2">
      <c r="B270" s="163"/>
      <c r="D270" s="138" t="s">
        <v>301</v>
      </c>
      <c r="E270" s="164" t="s">
        <v>1</v>
      </c>
      <c r="F270" s="165" t="s">
        <v>373</v>
      </c>
      <c r="H270" s="166">
        <v>176.62700000000001</v>
      </c>
      <c r="I270" s="167"/>
      <c r="L270" s="163"/>
      <c r="N270" s="221"/>
      <c r="O270" s="222"/>
      <c r="Q270" s="233"/>
      <c r="DQ270" s="168"/>
      <c r="DX270" s="169"/>
      <c r="EX270" s="164" t="s">
        <v>301</v>
      </c>
      <c r="EY270" s="164" t="s">
        <v>83</v>
      </c>
      <c r="EZ270" s="14" t="s">
        <v>90</v>
      </c>
      <c r="FA270" s="14" t="s">
        <v>32</v>
      </c>
      <c r="FB270" s="14" t="s">
        <v>74</v>
      </c>
      <c r="FC270" s="164" t="s">
        <v>282</v>
      </c>
    </row>
    <row r="271" spans="2:173" s="12" customFormat="1" x14ac:dyDescent="0.2">
      <c r="B271" s="149"/>
      <c r="D271" s="138" t="s">
        <v>301</v>
      </c>
      <c r="E271" s="150" t="s">
        <v>1</v>
      </c>
      <c r="F271" s="151" t="s">
        <v>1008</v>
      </c>
      <c r="H271" s="152">
        <v>152.09700000000001</v>
      </c>
      <c r="I271" s="153"/>
      <c r="L271" s="149"/>
      <c r="N271" s="217"/>
      <c r="O271" s="218"/>
      <c r="Q271" s="231"/>
      <c r="DQ271" s="154"/>
      <c r="DX271" s="155"/>
      <c r="EX271" s="150" t="s">
        <v>301</v>
      </c>
      <c r="EY271" s="150" t="s">
        <v>83</v>
      </c>
      <c r="EZ271" s="12" t="s">
        <v>83</v>
      </c>
      <c r="FA271" s="12" t="s">
        <v>32</v>
      </c>
      <c r="FB271" s="12" t="s">
        <v>81</v>
      </c>
      <c r="FC271" s="150" t="s">
        <v>282</v>
      </c>
    </row>
    <row r="272" spans="2:173" s="12" customFormat="1" x14ac:dyDescent="0.2">
      <c r="B272" s="149"/>
      <c r="D272" s="138" t="s">
        <v>301</v>
      </c>
      <c r="F272" s="151" t="s">
        <v>1009</v>
      </c>
      <c r="H272" s="152">
        <v>304.19400000000002</v>
      </c>
      <c r="I272" s="153"/>
      <c r="L272" s="149"/>
      <c r="N272" s="217">
        <f>-7.262*2</f>
        <v>-14.523999999999999</v>
      </c>
      <c r="O272" s="218" t="s">
        <v>3442</v>
      </c>
      <c r="Q272" s="231"/>
      <c r="DQ272" s="154"/>
      <c r="DX272" s="155"/>
      <c r="EX272" s="150" t="s">
        <v>301</v>
      </c>
      <c r="EY272" s="150" t="s">
        <v>83</v>
      </c>
      <c r="EZ272" s="12" t="s">
        <v>83</v>
      </c>
      <c r="FA272" s="12" t="s">
        <v>3</v>
      </c>
      <c r="FB272" s="12" t="s">
        <v>81</v>
      </c>
      <c r="FC272" s="150" t="s">
        <v>282</v>
      </c>
    </row>
    <row r="273" spans="2:173" s="1" customFormat="1" ht="24.2" customHeight="1" x14ac:dyDescent="0.2">
      <c r="B273" s="124"/>
      <c r="C273" s="125" t="s">
        <v>451</v>
      </c>
      <c r="D273" s="125" t="s">
        <v>284</v>
      </c>
      <c r="E273" s="126" t="s">
        <v>446</v>
      </c>
      <c r="F273" s="127" t="s">
        <v>447</v>
      </c>
      <c r="G273" s="128" t="s">
        <v>366</v>
      </c>
      <c r="H273" s="129">
        <v>90.668000000000006</v>
      </c>
      <c r="I273" s="130">
        <v>510.38291484661499</v>
      </c>
      <c r="J273" s="131">
        <f>ROUND(I273*H273,2)</f>
        <v>46275.4</v>
      </c>
      <c r="K273" s="127" t="s">
        <v>293</v>
      </c>
      <c r="L273" s="198">
        <f>S273</f>
        <v>0</v>
      </c>
      <c r="M273" s="206">
        <f>ROUND(L273*I273,2)</f>
        <v>0</v>
      </c>
      <c r="N273" s="211">
        <f>N277</f>
        <v>-2.1025999999999812</v>
      </c>
      <c r="O273" s="212">
        <f>ROUND(N273*I273,2)</f>
        <v>-1073.1300000000001</v>
      </c>
      <c r="P273" s="207">
        <f>H273-L273-N273</f>
        <v>92.770599999999988</v>
      </c>
      <c r="Q273" s="228">
        <f>ROUND(P273*I273,2)</f>
        <v>47348.53</v>
      </c>
      <c r="R273" s="199"/>
      <c r="S273" s="200">
        <f>W273+Y273+AA273+AC273+AE273+AG273+AI273+AK273</f>
        <v>0</v>
      </c>
      <c r="T273" s="200">
        <f>ROUND(S273*I273,2)</f>
        <v>0</v>
      </c>
      <c r="U273" s="200">
        <f>H273-S273</f>
        <v>90.668000000000006</v>
      </c>
      <c r="V273" s="200">
        <f>ROUND(U273*I273,2)</f>
        <v>46275.4</v>
      </c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DQ273" s="132" t="s">
        <v>1</v>
      </c>
      <c r="DR273" s="133" t="s">
        <v>40</v>
      </c>
      <c r="DT273" s="134">
        <f>DS273*H273</f>
        <v>0</v>
      </c>
      <c r="DU273" s="134">
        <v>0</v>
      </c>
      <c r="DV273" s="134">
        <f>DU273*H273</f>
        <v>0</v>
      </c>
      <c r="DW273" s="134">
        <v>0</v>
      </c>
      <c r="DX273" s="135">
        <f>DW273*H273</f>
        <v>0</v>
      </c>
      <c r="EV273" s="136" t="s">
        <v>95</v>
      </c>
      <c r="EX273" s="136" t="s">
        <v>284</v>
      </c>
      <c r="EY273" s="136" t="s">
        <v>83</v>
      </c>
      <c r="FC273" s="16" t="s">
        <v>282</v>
      </c>
      <c r="FI273" s="137">
        <f>IF(DR273="základní",J273,0)</f>
        <v>46275.4</v>
      </c>
      <c r="FJ273" s="137">
        <f>IF(DR273="snížená",J273,0)</f>
        <v>0</v>
      </c>
      <c r="FK273" s="137">
        <f>IF(DR273="zákl. přenesená",J273,0)</f>
        <v>0</v>
      </c>
      <c r="FL273" s="137">
        <f>IF(DR273="sníž. přenesená",J273,0)</f>
        <v>0</v>
      </c>
      <c r="FM273" s="137">
        <f>IF(DR273="nulová",J273,0)</f>
        <v>0</v>
      </c>
      <c r="FN273" s="16" t="s">
        <v>81</v>
      </c>
      <c r="FO273" s="137">
        <f>ROUND(I273*H273,2)</f>
        <v>46275.4</v>
      </c>
      <c r="FP273" s="16" t="s">
        <v>95</v>
      </c>
      <c r="FQ273" s="136" t="s">
        <v>448</v>
      </c>
    </row>
    <row r="274" spans="2:173" s="1" customFormat="1" ht="39" x14ac:dyDescent="0.2">
      <c r="B274" s="31"/>
      <c r="D274" s="138" t="s">
        <v>289</v>
      </c>
      <c r="F274" s="139" t="s">
        <v>449</v>
      </c>
      <c r="I274" s="140"/>
      <c r="L274" s="31"/>
      <c r="N274" s="213"/>
      <c r="O274" s="214"/>
      <c r="Q274" s="229"/>
      <c r="DQ274" s="141"/>
      <c r="DX274" s="50"/>
      <c r="EX274" s="16" t="s">
        <v>289</v>
      </c>
      <c r="EY274" s="16" t="s">
        <v>83</v>
      </c>
    </row>
    <row r="275" spans="2:173" s="1" customFormat="1" ht="19.5" x14ac:dyDescent="0.2">
      <c r="B275" s="31"/>
      <c r="D275" s="138" t="s">
        <v>299</v>
      </c>
      <c r="F275" s="142" t="s">
        <v>317</v>
      </c>
      <c r="I275" s="140"/>
      <c r="L275" s="31"/>
      <c r="N275" s="213"/>
      <c r="O275" s="214"/>
      <c r="Q275" s="229"/>
      <c r="DQ275" s="141"/>
      <c r="DX275" s="50"/>
      <c r="EX275" s="16" t="s">
        <v>299</v>
      </c>
      <c r="EY275" s="16" t="s">
        <v>83</v>
      </c>
    </row>
    <row r="276" spans="2:173" s="12" customFormat="1" x14ac:dyDescent="0.2">
      <c r="B276" s="149"/>
      <c r="D276" s="138" t="s">
        <v>301</v>
      </c>
      <c r="E276" s="150" t="s">
        <v>1</v>
      </c>
      <c r="F276" s="151" t="s">
        <v>1010</v>
      </c>
      <c r="H276" s="152">
        <v>90.668000000000006</v>
      </c>
      <c r="I276" s="153"/>
      <c r="L276" s="149"/>
      <c r="N276" s="217">
        <f>153.36*1.05*0.55</f>
        <v>88.565400000000025</v>
      </c>
      <c r="O276" s="218" t="s">
        <v>3439</v>
      </c>
      <c r="Q276" s="231"/>
      <c r="DQ276" s="154"/>
      <c r="DX276" s="155"/>
      <c r="EX276" s="150" t="s">
        <v>301</v>
      </c>
      <c r="EY276" s="150" t="s">
        <v>83</v>
      </c>
      <c r="EZ276" s="12" t="s">
        <v>83</v>
      </c>
      <c r="FA276" s="12" t="s">
        <v>32</v>
      </c>
      <c r="FB276" s="12" t="s">
        <v>81</v>
      </c>
      <c r="FC276" s="150" t="s">
        <v>282</v>
      </c>
    </row>
    <row r="277" spans="2:173" s="12" customFormat="1" x14ac:dyDescent="0.2">
      <c r="B277" s="149"/>
      <c r="D277" s="138"/>
      <c r="E277" s="150"/>
      <c r="F277" s="151"/>
      <c r="H277" s="152"/>
      <c r="I277" s="153"/>
      <c r="L277" s="149"/>
      <c r="N277" s="310">
        <f>N276-H276</f>
        <v>-2.1025999999999812</v>
      </c>
      <c r="O277" s="218"/>
      <c r="Q277" s="231"/>
      <c r="DQ277" s="154"/>
      <c r="DX277" s="155"/>
      <c r="EX277" s="150"/>
      <c r="EY277" s="150"/>
      <c r="FC277" s="150"/>
    </row>
    <row r="278" spans="2:173" s="1" customFormat="1" ht="14.45" customHeight="1" x14ac:dyDescent="0.2">
      <c r="B278" s="124"/>
      <c r="C278" s="170" t="s">
        <v>456</v>
      </c>
      <c r="D278" s="170" t="s">
        <v>439</v>
      </c>
      <c r="E278" s="171" t="s">
        <v>452</v>
      </c>
      <c r="F278" s="172" t="s">
        <v>453</v>
      </c>
      <c r="G278" s="173" t="s">
        <v>418</v>
      </c>
      <c r="H278" s="174">
        <v>181.33600000000001</v>
      </c>
      <c r="I278" s="175">
        <v>380.62816190000001</v>
      </c>
      <c r="J278" s="176">
        <f>ROUND(I278*H278,2)</f>
        <v>69021.59</v>
      </c>
      <c r="K278" s="172" t="s">
        <v>293</v>
      </c>
      <c r="L278" s="198">
        <f>S278</f>
        <v>0</v>
      </c>
      <c r="M278" s="206">
        <f>ROUND(L278*I278,2)</f>
        <v>0</v>
      </c>
      <c r="N278" s="211">
        <f>N280</f>
        <v>-4.2060000000000004</v>
      </c>
      <c r="O278" s="212">
        <f>ROUND(N278*I278,2)</f>
        <v>-1600.92</v>
      </c>
      <c r="P278" s="207">
        <f>H278-L278-N278</f>
        <v>185.542</v>
      </c>
      <c r="Q278" s="228">
        <f>ROUND(P278*I278,2)</f>
        <v>70622.509999999995</v>
      </c>
      <c r="R278" s="199"/>
      <c r="S278" s="200">
        <f>W278+Y278+AA278+AC278+AE278+AG278+AI278+AK278</f>
        <v>0</v>
      </c>
      <c r="T278" s="200">
        <f>ROUND(S278*I278,2)</f>
        <v>0</v>
      </c>
      <c r="U278" s="200">
        <f>H278-S278</f>
        <v>181.33600000000001</v>
      </c>
      <c r="V278" s="200">
        <f>ROUND(U278*I278,2)</f>
        <v>69021.59</v>
      </c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77" t="s">
        <v>1</v>
      </c>
      <c r="DR278" s="178" t="s">
        <v>40</v>
      </c>
      <c r="DT278" s="134">
        <f>DS278*H278</f>
        <v>0</v>
      </c>
      <c r="DU278" s="134">
        <v>1</v>
      </c>
      <c r="DV278" s="134">
        <f>DU278*H278</f>
        <v>181.33600000000001</v>
      </c>
      <c r="DW278" s="134">
        <v>0</v>
      </c>
      <c r="DX278" s="135">
        <f>DW278*H278</f>
        <v>0</v>
      </c>
      <c r="EV278" s="136" t="s">
        <v>328</v>
      </c>
      <c r="EX278" s="136" t="s">
        <v>439</v>
      </c>
      <c r="EY278" s="136" t="s">
        <v>83</v>
      </c>
      <c r="FC278" s="16" t="s">
        <v>282</v>
      </c>
      <c r="FI278" s="137">
        <f>IF(DR278="základní",J278,0)</f>
        <v>69021.59</v>
      </c>
      <c r="FJ278" s="137">
        <f>IF(DR278="snížená",J278,0)</f>
        <v>0</v>
      </c>
      <c r="FK278" s="137">
        <f>IF(DR278="zákl. přenesená",J278,0)</f>
        <v>0</v>
      </c>
      <c r="FL278" s="137">
        <f>IF(DR278="sníž. přenesená",J278,0)</f>
        <v>0</v>
      </c>
      <c r="FM278" s="137">
        <f>IF(DR278="nulová",J278,0)</f>
        <v>0</v>
      </c>
      <c r="FN278" s="16" t="s">
        <v>81</v>
      </c>
      <c r="FO278" s="137">
        <f>ROUND(I278*H278,2)</f>
        <v>69021.59</v>
      </c>
      <c r="FP278" s="16" t="s">
        <v>95</v>
      </c>
      <c r="FQ278" s="136" t="s">
        <v>454</v>
      </c>
    </row>
    <row r="279" spans="2:173" s="1" customFormat="1" x14ac:dyDescent="0.2">
      <c r="B279" s="31"/>
      <c r="D279" s="138" t="s">
        <v>289</v>
      </c>
      <c r="F279" s="139" t="s">
        <v>453</v>
      </c>
      <c r="I279" s="140"/>
      <c r="L279" s="31"/>
      <c r="N279" s="213"/>
      <c r="O279" s="214"/>
      <c r="Q279" s="229"/>
      <c r="DQ279" s="141"/>
      <c r="DX279" s="50"/>
      <c r="EX279" s="16" t="s">
        <v>289</v>
      </c>
      <c r="EY279" s="16" t="s">
        <v>83</v>
      </c>
    </row>
    <row r="280" spans="2:173" s="12" customFormat="1" x14ac:dyDescent="0.2">
      <c r="B280" s="149"/>
      <c r="D280" s="138" t="s">
        <v>301</v>
      </c>
      <c r="F280" s="151" t="s">
        <v>1011</v>
      </c>
      <c r="H280" s="152">
        <v>181.33600000000001</v>
      </c>
      <c r="I280" s="153"/>
      <c r="L280" s="149"/>
      <c r="N280" s="217">
        <f>-2.103*2</f>
        <v>-4.2060000000000004</v>
      </c>
      <c r="O280" s="218" t="s">
        <v>3443</v>
      </c>
      <c r="Q280" s="231"/>
      <c r="DQ280" s="154"/>
      <c r="DX280" s="155"/>
      <c r="EX280" s="150" t="s">
        <v>301</v>
      </c>
      <c r="EY280" s="150" t="s">
        <v>83</v>
      </c>
      <c r="EZ280" s="12" t="s">
        <v>83</v>
      </c>
      <c r="FA280" s="12" t="s">
        <v>3</v>
      </c>
      <c r="FB280" s="12" t="s">
        <v>81</v>
      </c>
      <c r="FC280" s="150" t="s">
        <v>282</v>
      </c>
    </row>
    <row r="281" spans="2:173" s="1" customFormat="1" ht="24.2" customHeight="1" x14ac:dyDescent="0.2">
      <c r="B281" s="124"/>
      <c r="C281" s="125" t="s">
        <v>463</v>
      </c>
      <c r="D281" s="125" t="s">
        <v>284</v>
      </c>
      <c r="E281" s="126" t="s">
        <v>1012</v>
      </c>
      <c r="F281" s="127" t="s">
        <v>1013</v>
      </c>
      <c r="G281" s="128" t="s">
        <v>287</v>
      </c>
      <c r="H281" s="129">
        <v>279.89999999999998</v>
      </c>
      <c r="I281" s="130">
        <v>64.410667599999996</v>
      </c>
      <c r="J281" s="131">
        <f>ROUND(I281*H281,2)</f>
        <v>18028.55</v>
      </c>
      <c r="K281" s="127" t="s">
        <v>1</v>
      </c>
      <c r="L281" s="198">
        <f>S281</f>
        <v>0</v>
      </c>
      <c r="M281" s="206">
        <f>ROUND(L281*I281,2)</f>
        <v>0</v>
      </c>
      <c r="N281" s="211"/>
      <c r="O281" s="212">
        <f>ROUND(N281*I281,2)</f>
        <v>0</v>
      </c>
      <c r="P281" s="207">
        <f>H281-L281-N281</f>
        <v>279.89999999999998</v>
      </c>
      <c r="Q281" s="228">
        <f>ROUND(P281*I281,2)</f>
        <v>18028.55</v>
      </c>
      <c r="R281" s="199"/>
      <c r="S281" s="200">
        <f>W281+Y281+AA281+AC281+AE281+AG281+AI281+AK281</f>
        <v>0</v>
      </c>
      <c r="T281" s="200">
        <f>ROUND(S281*I281,2)</f>
        <v>0</v>
      </c>
      <c r="U281" s="200">
        <f>H281-S281</f>
        <v>279.89999999999998</v>
      </c>
      <c r="V281" s="200">
        <f>ROUND(U281*I281,2)</f>
        <v>18028.55</v>
      </c>
      <c r="W281" s="200"/>
      <c r="X281" s="200"/>
      <c r="Y281" s="200"/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DQ281" s="132" t="s">
        <v>1</v>
      </c>
      <c r="DR281" s="133" t="s">
        <v>40</v>
      </c>
      <c r="DT281" s="134">
        <f>DS281*H281</f>
        <v>0</v>
      </c>
      <c r="DU281" s="134">
        <v>0</v>
      </c>
      <c r="DV281" s="134">
        <f>DU281*H281</f>
        <v>0</v>
      </c>
      <c r="DW281" s="134">
        <v>0</v>
      </c>
      <c r="DX281" s="135">
        <f>DW281*H281</f>
        <v>0</v>
      </c>
      <c r="EV281" s="136" t="s">
        <v>95</v>
      </c>
      <c r="EX281" s="136" t="s">
        <v>284</v>
      </c>
      <c r="EY281" s="136" t="s">
        <v>83</v>
      </c>
      <c r="FC281" s="16" t="s">
        <v>282</v>
      </c>
      <c r="FI281" s="137">
        <f>IF(DR281="základní",J281,0)</f>
        <v>18028.55</v>
      </c>
      <c r="FJ281" s="137">
        <f>IF(DR281="snížená",J281,0)</f>
        <v>0</v>
      </c>
      <c r="FK281" s="137">
        <f>IF(DR281="zákl. přenesená",J281,0)</f>
        <v>0</v>
      </c>
      <c r="FL281" s="137">
        <f>IF(DR281="sníž. přenesená",J281,0)</f>
        <v>0</v>
      </c>
      <c r="FM281" s="137">
        <f>IF(DR281="nulová",J281,0)</f>
        <v>0</v>
      </c>
      <c r="FN281" s="16" t="s">
        <v>81</v>
      </c>
      <c r="FO281" s="137">
        <f>ROUND(I281*H281,2)</f>
        <v>18028.55</v>
      </c>
      <c r="FP281" s="16" t="s">
        <v>95</v>
      </c>
      <c r="FQ281" s="136" t="s">
        <v>1014</v>
      </c>
    </row>
    <row r="282" spans="2:173" s="1" customFormat="1" x14ac:dyDescent="0.2">
      <c r="B282" s="31"/>
      <c r="D282" s="138" t="s">
        <v>289</v>
      </c>
      <c r="F282" s="139" t="s">
        <v>1013</v>
      </c>
      <c r="I282" s="140"/>
      <c r="L282" s="31"/>
      <c r="N282" s="213"/>
      <c r="O282" s="214"/>
      <c r="Q282" s="229"/>
      <c r="DQ282" s="141"/>
      <c r="DX282" s="50"/>
      <c r="EX282" s="16" t="s">
        <v>289</v>
      </c>
      <c r="EY282" s="16" t="s">
        <v>83</v>
      </c>
    </row>
    <row r="283" spans="2:173" s="1" customFormat="1" ht="24.2" customHeight="1" x14ac:dyDescent="0.2">
      <c r="B283" s="124"/>
      <c r="C283" s="125" t="s">
        <v>470</v>
      </c>
      <c r="D283" s="125" t="s">
        <v>284</v>
      </c>
      <c r="E283" s="126" t="s">
        <v>1015</v>
      </c>
      <c r="F283" s="127" t="s">
        <v>1016</v>
      </c>
      <c r="G283" s="128" t="s">
        <v>287</v>
      </c>
      <c r="H283" s="129">
        <v>279.89999999999998</v>
      </c>
      <c r="I283" s="130">
        <v>48.300657632010001</v>
      </c>
      <c r="J283" s="131">
        <f>ROUND(I283*H283,2)</f>
        <v>13519.35</v>
      </c>
      <c r="K283" s="127" t="s">
        <v>293</v>
      </c>
      <c r="L283" s="198">
        <f>S283</f>
        <v>0</v>
      </c>
      <c r="M283" s="206">
        <f>ROUND(L283*I283,2)</f>
        <v>0</v>
      </c>
      <c r="N283" s="211"/>
      <c r="O283" s="212">
        <f>ROUND(N283*I283,2)</f>
        <v>0</v>
      </c>
      <c r="P283" s="207">
        <f>H283-L283-N283</f>
        <v>279.89999999999998</v>
      </c>
      <c r="Q283" s="228">
        <f>ROUND(P283*I283,2)</f>
        <v>13519.35</v>
      </c>
      <c r="R283" s="199"/>
      <c r="S283" s="200">
        <f>W283+Y283+AA283+AC283+AE283+AG283+AI283+AK283</f>
        <v>0</v>
      </c>
      <c r="T283" s="200">
        <f>ROUND(S283*I283,2)</f>
        <v>0</v>
      </c>
      <c r="U283" s="200">
        <f>H283-S283</f>
        <v>279.89999999999998</v>
      </c>
      <c r="V283" s="200">
        <f>ROUND(U283*I283,2)</f>
        <v>13519.35</v>
      </c>
      <c r="W283" s="200"/>
      <c r="X283" s="200"/>
      <c r="Y283" s="200"/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DQ283" s="132" t="s">
        <v>1</v>
      </c>
      <c r="DR283" s="133" t="s">
        <v>40</v>
      </c>
      <c r="DT283" s="134">
        <f>DS283*H283</f>
        <v>0</v>
      </c>
      <c r="DU283" s="134">
        <v>0</v>
      </c>
      <c r="DV283" s="134">
        <f>DU283*H283</f>
        <v>0</v>
      </c>
      <c r="DW283" s="134">
        <v>0</v>
      </c>
      <c r="DX283" s="135">
        <f>DW283*H283</f>
        <v>0</v>
      </c>
      <c r="EV283" s="136" t="s">
        <v>95</v>
      </c>
      <c r="EX283" s="136" t="s">
        <v>284</v>
      </c>
      <c r="EY283" s="136" t="s">
        <v>83</v>
      </c>
      <c r="FC283" s="16" t="s">
        <v>282</v>
      </c>
      <c r="FI283" s="137">
        <f>IF(DR283="základní",J283,0)</f>
        <v>13519.35</v>
      </c>
      <c r="FJ283" s="137">
        <f>IF(DR283="snížená",J283,0)</f>
        <v>0</v>
      </c>
      <c r="FK283" s="137">
        <f>IF(DR283="zákl. přenesená",J283,0)</f>
        <v>0</v>
      </c>
      <c r="FL283" s="137">
        <f>IF(DR283="sníž. přenesená",J283,0)</f>
        <v>0</v>
      </c>
      <c r="FM283" s="137">
        <f>IF(DR283="nulová",J283,0)</f>
        <v>0</v>
      </c>
      <c r="FN283" s="16" t="s">
        <v>81</v>
      </c>
      <c r="FO283" s="137">
        <f>ROUND(I283*H283,2)</f>
        <v>13519.35</v>
      </c>
      <c r="FP283" s="16" t="s">
        <v>95</v>
      </c>
      <c r="FQ283" s="136" t="s">
        <v>1017</v>
      </c>
    </row>
    <row r="284" spans="2:173" s="1" customFormat="1" ht="29.25" x14ac:dyDescent="0.2">
      <c r="B284" s="31"/>
      <c r="D284" s="138" t="s">
        <v>289</v>
      </c>
      <c r="F284" s="139" t="s">
        <v>1018</v>
      </c>
      <c r="I284" s="140"/>
      <c r="L284" s="31"/>
      <c r="N284" s="213"/>
      <c r="O284" s="214"/>
      <c r="Q284" s="229"/>
      <c r="DQ284" s="141"/>
      <c r="DX284" s="50"/>
      <c r="EX284" s="16" t="s">
        <v>289</v>
      </c>
      <c r="EY284" s="16" t="s">
        <v>83</v>
      </c>
    </row>
    <row r="285" spans="2:173" s="1" customFormat="1" ht="19.5" x14ac:dyDescent="0.2">
      <c r="B285" s="31"/>
      <c r="D285" s="138" t="s">
        <v>299</v>
      </c>
      <c r="F285" s="142" t="s">
        <v>317</v>
      </c>
      <c r="I285" s="140"/>
      <c r="L285" s="31"/>
      <c r="N285" s="213"/>
      <c r="O285" s="214"/>
      <c r="Q285" s="229"/>
      <c r="DQ285" s="141"/>
      <c r="DX285" s="50"/>
      <c r="EX285" s="16" t="s">
        <v>299</v>
      </c>
      <c r="EY285" s="16" t="s">
        <v>83</v>
      </c>
    </row>
    <row r="286" spans="2:173" s="11" customFormat="1" x14ac:dyDescent="0.2">
      <c r="B286" s="143"/>
      <c r="D286" s="138" t="s">
        <v>301</v>
      </c>
      <c r="E286" s="144" t="s">
        <v>1</v>
      </c>
      <c r="F286" s="145" t="s">
        <v>962</v>
      </c>
      <c r="H286" s="144" t="s">
        <v>1</v>
      </c>
      <c r="I286" s="146"/>
      <c r="L286" s="143"/>
      <c r="N286" s="215"/>
      <c r="O286" s="216"/>
      <c r="Q286" s="230"/>
      <c r="DQ286" s="147"/>
      <c r="DX286" s="148"/>
      <c r="EX286" s="144" t="s">
        <v>301</v>
      </c>
      <c r="EY286" s="144" t="s">
        <v>83</v>
      </c>
      <c r="EZ286" s="11" t="s">
        <v>81</v>
      </c>
      <c r="FA286" s="11" t="s">
        <v>32</v>
      </c>
      <c r="FB286" s="11" t="s">
        <v>74</v>
      </c>
      <c r="FC286" s="144" t="s">
        <v>282</v>
      </c>
    </row>
    <row r="287" spans="2:173" s="12" customFormat="1" x14ac:dyDescent="0.2">
      <c r="B287" s="149"/>
      <c r="D287" s="138" t="s">
        <v>301</v>
      </c>
      <c r="E287" s="150" t="s">
        <v>1</v>
      </c>
      <c r="F287" s="151" t="s">
        <v>963</v>
      </c>
      <c r="H287" s="152">
        <v>279.89999999999998</v>
      </c>
      <c r="I287" s="153"/>
      <c r="L287" s="149"/>
      <c r="N287" s="217"/>
      <c r="O287" s="218"/>
      <c r="Q287" s="231"/>
      <c r="DQ287" s="154"/>
      <c r="DX287" s="155"/>
      <c r="EX287" s="150" t="s">
        <v>301</v>
      </c>
      <c r="EY287" s="150" t="s">
        <v>83</v>
      </c>
      <c r="EZ287" s="12" t="s">
        <v>83</v>
      </c>
      <c r="FA287" s="12" t="s">
        <v>32</v>
      </c>
      <c r="FB287" s="12" t="s">
        <v>81</v>
      </c>
      <c r="FC287" s="150" t="s">
        <v>282</v>
      </c>
    </row>
    <row r="288" spans="2:173" s="1" customFormat="1" ht="24.2" customHeight="1" x14ac:dyDescent="0.2">
      <c r="B288" s="124"/>
      <c r="C288" s="125" t="s">
        <v>476</v>
      </c>
      <c r="D288" s="125" t="s">
        <v>284</v>
      </c>
      <c r="E288" s="126" t="s">
        <v>457</v>
      </c>
      <c r="F288" s="127" t="s">
        <v>458</v>
      </c>
      <c r="G288" s="128" t="s">
        <v>418</v>
      </c>
      <c r="H288" s="129">
        <v>485.53</v>
      </c>
      <c r="I288" s="130">
        <v>61.737071122597108</v>
      </c>
      <c r="J288" s="131">
        <f>ROUND(I288*H288,2)</f>
        <v>29975.200000000001</v>
      </c>
      <c r="K288" s="127" t="s">
        <v>293</v>
      </c>
      <c r="L288" s="198">
        <f>S288</f>
        <v>0</v>
      </c>
      <c r="M288" s="206">
        <f>ROUND(L288*I288,2)</f>
        <v>0</v>
      </c>
      <c r="N288" s="211"/>
      <c r="O288" s="212">
        <f>ROUND(N288*I288,2)</f>
        <v>0</v>
      </c>
      <c r="P288" s="207">
        <f>H288-L288-N288</f>
        <v>485.53</v>
      </c>
      <c r="Q288" s="228">
        <f>ROUND(P288*I288,2)</f>
        <v>29975.200000000001</v>
      </c>
      <c r="R288" s="199"/>
      <c r="S288" s="200">
        <f>W288+Y288+AA288+AC288+AE288+AG288+AI288+AK288</f>
        <v>0</v>
      </c>
      <c r="T288" s="200">
        <f>ROUND(S288*I288,2)</f>
        <v>0</v>
      </c>
      <c r="U288" s="200">
        <f>H288-S288</f>
        <v>485.53</v>
      </c>
      <c r="V288" s="200">
        <f>ROUND(U288*I288,2)</f>
        <v>29975.200000000001</v>
      </c>
      <c r="W288" s="200"/>
      <c r="X288" s="200"/>
      <c r="Y288" s="200"/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DQ288" s="132" t="s">
        <v>1</v>
      </c>
      <c r="DR288" s="133" t="s">
        <v>40</v>
      </c>
      <c r="DT288" s="134">
        <f>DS288*H288</f>
        <v>0</v>
      </c>
      <c r="DU288" s="134">
        <v>0</v>
      </c>
      <c r="DV288" s="134">
        <f>DU288*H288</f>
        <v>0</v>
      </c>
      <c r="DW288" s="134">
        <v>0</v>
      </c>
      <c r="DX288" s="135">
        <f>DW288*H288</f>
        <v>0</v>
      </c>
      <c r="EV288" s="136" t="s">
        <v>95</v>
      </c>
      <c r="EX288" s="136" t="s">
        <v>284</v>
      </c>
      <c r="EY288" s="136" t="s">
        <v>83</v>
      </c>
      <c r="FC288" s="16" t="s">
        <v>282</v>
      </c>
      <c r="FI288" s="137">
        <f>IF(DR288="základní",J288,0)</f>
        <v>29975.200000000001</v>
      </c>
      <c r="FJ288" s="137">
        <f>IF(DR288="snížená",J288,0)</f>
        <v>0</v>
      </c>
      <c r="FK288" s="137">
        <f>IF(DR288="zákl. přenesená",J288,0)</f>
        <v>0</v>
      </c>
      <c r="FL288" s="137">
        <f>IF(DR288="sníž. přenesená",J288,0)</f>
        <v>0</v>
      </c>
      <c r="FM288" s="137">
        <f>IF(DR288="nulová",J288,0)</f>
        <v>0</v>
      </c>
      <c r="FN288" s="16" t="s">
        <v>81</v>
      </c>
      <c r="FO288" s="137">
        <f>ROUND(I288*H288,2)</f>
        <v>29975.200000000001</v>
      </c>
      <c r="FP288" s="16" t="s">
        <v>95</v>
      </c>
      <c r="FQ288" s="136" t="s">
        <v>459</v>
      </c>
    </row>
    <row r="289" spans="2:173" s="1" customFormat="1" ht="29.25" x14ac:dyDescent="0.2">
      <c r="B289" s="31"/>
      <c r="D289" s="138" t="s">
        <v>289</v>
      </c>
      <c r="F289" s="139" t="s">
        <v>460</v>
      </c>
      <c r="I289" s="140"/>
      <c r="L289" s="31"/>
      <c r="N289" s="213"/>
      <c r="O289" s="214"/>
      <c r="Q289" s="229"/>
      <c r="DQ289" s="141"/>
      <c r="DX289" s="50"/>
      <c r="EX289" s="16" t="s">
        <v>289</v>
      </c>
      <c r="EY289" s="16" t="s">
        <v>83</v>
      </c>
    </row>
    <row r="290" spans="2:173" s="12" customFormat="1" x14ac:dyDescent="0.2">
      <c r="B290" s="149"/>
      <c r="D290" s="138" t="s">
        <v>301</v>
      </c>
      <c r="E290" s="150" t="s">
        <v>1</v>
      </c>
      <c r="F290" s="151" t="s">
        <v>1019</v>
      </c>
      <c r="H290" s="152">
        <v>485.53</v>
      </c>
      <c r="I290" s="153"/>
      <c r="L290" s="149"/>
      <c r="N290" s="217"/>
      <c r="O290" s="218"/>
      <c r="Q290" s="231"/>
      <c r="DQ290" s="154"/>
      <c r="DX290" s="155"/>
      <c r="EX290" s="150" t="s">
        <v>301</v>
      </c>
      <c r="EY290" s="150" t="s">
        <v>83</v>
      </c>
      <c r="EZ290" s="12" t="s">
        <v>83</v>
      </c>
      <c r="FA290" s="12" t="s">
        <v>32</v>
      </c>
      <c r="FB290" s="12" t="s">
        <v>81</v>
      </c>
      <c r="FC290" s="150" t="s">
        <v>282</v>
      </c>
    </row>
    <row r="291" spans="2:173" s="10" customFormat="1" ht="22.9" customHeight="1" x14ac:dyDescent="0.2">
      <c r="B291" s="112"/>
      <c r="D291" s="113" t="s">
        <v>73</v>
      </c>
      <c r="E291" s="122" t="s">
        <v>83</v>
      </c>
      <c r="F291" s="122" t="s">
        <v>462</v>
      </c>
      <c r="I291" s="115"/>
      <c r="J291" s="123">
        <f>FO291</f>
        <v>41458.730000000003</v>
      </c>
      <c r="L291" s="112"/>
      <c r="M291" s="320">
        <f>M292</f>
        <v>0</v>
      </c>
      <c r="N291" s="323"/>
      <c r="O291" s="324">
        <f t="shared" ref="O291:V291" si="3">O292</f>
        <v>-961.21</v>
      </c>
      <c r="P291" s="320"/>
      <c r="Q291" s="326">
        <f t="shared" si="3"/>
        <v>42419.93</v>
      </c>
      <c r="R291" s="320"/>
      <c r="S291" s="320"/>
      <c r="T291" s="320">
        <f t="shared" si="3"/>
        <v>0</v>
      </c>
      <c r="U291" s="320"/>
      <c r="V291" s="320">
        <f t="shared" si="3"/>
        <v>41458.730000000003</v>
      </c>
      <c r="DQ291" s="117"/>
      <c r="DT291" s="118">
        <f>SUM(DT292:DT295)</f>
        <v>0</v>
      </c>
      <c r="DV291" s="118">
        <f>SUM(DV292:DV295)</f>
        <v>32.136330000000001</v>
      </c>
      <c r="DX291" s="119">
        <f>SUM(DX292:DX295)</f>
        <v>0</v>
      </c>
      <c r="EV291" s="113" t="s">
        <v>81</v>
      </c>
      <c r="EX291" s="120" t="s">
        <v>73</v>
      </c>
      <c r="EY291" s="120" t="s">
        <v>81</v>
      </c>
      <c r="FC291" s="113" t="s">
        <v>282</v>
      </c>
      <c r="FO291" s="121">
        <f>SUM(FO292:FO295)</f>
        <v>41458.730000000003</v>
      </c>
    </row>
    <row r="292" spans="2:173" s="1" customFormat="1" ht="37.9" customHeight="1" x14ac:dyDescent="0.2">
      <c r="B292" s="124"/>
      <c r="C292" s="125" t="s">
        <v>482</v>
      </c>
      <c r="D292" s="125" t="s">
        <v>284</v>
      </c>
      <c r="E292" s="126" t="s">
        <v>464</v>
      </c>
      <c r="F292" s="127" t="s">
        <v>465</v>
      </c>
      <c r="G292" s="128" t="s">
        <v>344</v>
      </c>
      <c r="H292" s="129">
        <v>157</v>
      </c>
      <c r="I292" s="130">
        <v>264.06831423630393</v>
      </c>
      <c r="J292" s="131">
        <f>ROUND(I292*H292,2)</f>
        <v>41458.730000000003</v>
      </c>
      <c r="K292" s="127" t="s">
        <v>293</v>
      </c>
      <c r="L292" s="198">
        <f>S292</f>
        <v>0</v>
      </c>
      <c r="M292" s="206">
        <f>ROUND(L292*I292,2)</f>
        <v>0</v>
      </c>
      <c r="N292" s="211">
        <f>N295</f>
        <v>-3.6399999999999864</v>
      </c>
      <c r="O292" s="212">
        <f>ROUND(N292*I292,2)</f>
        <v>-961.21</v>
      </c>
      <c r="P292" s="207">
        <f>H292-L292-N292</f>
        <v>160.63999999999999</v>
      </c>
      <c r="Q292" s="228">
        <f>ROUND(P292*I292,2)</f>
        <v>42419.93</v>
      </c>
      <c r="R292" s="199"/>
      <c r="S292" s="200">
        <f>W292+Y292+AA292+AC292+AE292+AG292+AI292+AK292</f>
        <v>0</v>
      </c>
      <c r="T292" s="200">
        <f>ROUND(S292*I292,2)</f>
        <v>0</v>
      </c>
      <c r="U292" s="200">
        <f>H292-S292</f>
        <v>157</v>
      </c>
      <c r="V292" s="200">
        <f>ROUND(U292*I292,2)</f>
        <v>41458.730000000003</v>
      </c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DQ292" s="132" t="s">
        <v>1</v>
      </c>
      <c r="DR292" s="133" t="s">
        <v>40</v>
      </c>
      <c r="DT292" s="134">
        <f>DS292*H292</f>
        <v>0</v>
      </c>
      <c r="DU292" s="134">
        <v>0.20469000000000001</v>
      </c>
      <c r="DV292" s="134">
        <f>DU292*H292</f>
        <v>32.136330000000001</v>
      </c>
      <c r="DW292" s="134">
        <v>0</v>
      </c>
      <c r="DX292" s="135">
        <f>DW292*H292</f>
        <v>0</v>
      </c>
      <c r="EV292" s="136" t="s">
        <v>95</v>
      </c>
      <c r="EX292" s="136" t="s">
        <v>284</v>
      </c>
      <c r="EY292" s="136" t="s">
        <v>83</v>
      </c>
      <c r="FC292" s="16" t="s">
        <v>282</v>
      </c>
      <c r="FI292" s="137">
        <f>IF(DR292="základní",J292,0)</f>
        <v>41458.730000000003</v>
      </c>
      <c r="FJ292" s="137">
        <f>IF(DR292="snížená",J292,0)</f>
        <v>0</v>
      </c>
      <c r="FK292" s="137">
        <f>IF(DR292="zákl. přenesená",J292,0)</f>
        <v>0</v>
      </c>
      <c r="FL292" s="137">
        <f>IF(DR292="sníž. přenesená",J292,0)</f>
        <v>0</v>
      </c>
      <c r="FM292" s="137">
        <f>IF(DR292="nulová",J292,0)</f>
        <v>0</v>
      </c>
      <c r="FN292" s="16" t="s">
        <v>81</v>
      </c>
      <c r="FO292" s="137">
        <f>ROUND(I292*H292,2)</f>
        <v>41458.730000000003</v>
      </c>
      <c r="FP292" s="16" t="s">
        <v>95</v>
      </c>
      <c r="FQ292" s="136" t="s">
        <v>466</v>
      </c>
    </row>
    <row r="293" spans="2:173" s="1" customFormat="1" ht="39" x14ac:dyDescent="0.2">
      <c r="B293" s="31"/>
      <c r="D293" s="138" t="s">
        <v>289</v>
      </c>
      <c r="F293" s="139" t="s">
        <v>467</v>
      </c>
      <c r="I293" s="140"/>
      <c r="L293" s="31"/>
      <c r="N293" s="213"/>
      <c r="O293" s="214"/>
      <c r="Q293" s="229"/>
      <c r="DQ293" s="141"/>
      <c r="DX293" s="50"/>
      <c r="EX293" s="16" t="s">
        <v>289</v>
      </c>
      <c r="EY293" s="16" t="s">
        <v>83</v>
      </c>
    </row>
    <row r="294" spans="2:173" s="1" customFormat="1" ht="19.5" x14ac:dyDescent="0.2">
      <c r="B294" s="31"/>
      <c r="D294" s="138" t="s">
        <v>299</v>
      </c>
      <c r="F294" s="142" t="s">
        <v>317</v>
      </c>
      <c r="I294" s="140"/>
      <c r="L294" s="31"/>
      <c r="N294" s="213"/>
      <c r="O294" s="214"/>
      <c r="Q294" s="229"/>
      <c r="DQ294" s="141"/>
      <c r="DX294" s="50"/>
      <c r="EX294" s="16" t="s">
        <v>299</v>
      </c>
      <c r="EY294" s="16" t="s">
        <v>83</v>
      </c>
    </row>
    <row r="295" spans="2:173" s="12" customFormat="1" x14ac:dyDescent="0.2">
      <c r="B295" s="149"/>
      <c r="D295" s="138" t="s">
        <v>301</v>
      </c>
      <c r="E295" s="150" t="s">
        <v>1</v>
      </c>
      <c r="F295" s="151" t="s">
        <v>1020</v>
      </c>
      <c r="H295" s="152">
        <v>157</v>
      </c>
      <c r="I295" s="153"/>
      <c r="L295" s="149"/>
      <c r="N295" s="217">
        <f>153.36-157</f>
        <v>-3.6399999999999864</v>
      </c>
      <c r="O295" s="218" t="s">
        <v>3444</v>
      </c>
      <c r="Q295" s="231"/>
      <c r="DQ295" s="154"/>
      <c r="DX295" s="155"/>
      <c r="EX295" s="150" t="s">
        <v>301</v>
      </c>
      <c r="EY295" s="150" t="s">
        <v>83</v>
      </c>
      <c r="EZ295" s="12" t="s">
        <v>83</v>
      </c>
      <c r="FA295" s="12" t="s">
        <v>32</v>
      </c>
      <c r="FB295" s="12" t="s">
        <v>81</v>
      </c>
      <c r="FC295" s="150" t="s">
        <v>282</v>
      </c>
    </row>
    <row r="296" spans="2:173" s="10" customFormat="1" ht="22.9" customHeight="1" x14ac:dyDescent="0.2">
      <c r="B296" s="112"/>
      <c r="D296" s="113" t="s">
        <v>73</v>
      </c>
      <c r="E296" s="122" t="s">
        <v>95</v>
      </c>
      <c r="F296" s="122" t="s">
        <v>469</v>
      </c>
      <c r="I296" s="115"/>
      <c r="J296" s="123">
        <f>FO296</f>
        <v>26573.450000000004</v>
      </c>
      <c r="L296" s="112"/>
      <c r="M296" s="320">
        <f>SUM(M297:M322)</f>
        <v>0</v>
      </c>
      <c r="N296" s="323"/>
      <c r="O296" s="324">
        <f t="shared" ref="O296:V296" si="4">SUM(O297:O322)</f>
        <v>-458.71</v>
      </c>
      <c r="P296" s="320"/>
      <c r="Q296" s="326">
        <f t="shared" si="4"/>
        <v>27032.160000000003</v>
      </c>
      <c r="R296" s="320"/>
      <c r="S296" s="320"/>
      <c r="T296" s="320">
        <f t="shared" si="4"/>
        <v>0</v>
      </c>
      <c r="U296" s="320"/>
      <c r="V296" s="320">
        <f t="shared" si="4"/>
        <v>26573.450000000004</v>
      </c>
      <c r="DQ296" s="117"/>
      <c r="DT296" s="118">
        <f>SUM(DT297:DT329)</f>
        <v>0</v>
      </c>
      <c r="DV296" s="118">
        <f>SUM(DV297:DV329)</f>
        <v>0.23680000000000001</v>
      </c>
      <c r="DX296" s="119">
        <f>SUM(DX297:DX329)</f>
        <v>0</v>
      </c>
      <c r="EV296" s="113" t="s">
        <v>81</v>
      </c>
      <c r="EX296" s="120" t="s">
        <v>73</v>
      </c>
      <c r="EY296" s="120" t="s">
        <v>81</v>
      </c>
      <c r="FC296" s="113" t="s">
        <v>282</v>
      </c>
      <c r="FO296" s="121">
        <f>SUM(FO297:FO329)</f>
        <v>26573.450000000004</v>
      </c>
    </row>
    <row r="297" spans="2:173" s="1" customFormat="1" ht="14.45" customHeight="1" x14ac:dyDescent="0.2">
      <c r="B297" s="124"/>
      <c r="C297" s="125" t="s">
        <v>489</v>
      </c>
      <c r="D297" s="125" t="s">
        <v>284</v>
      </c>
      <c r="E297" s="126" t="s">
        <v>471</v>
      </c>
      <c r="F297" s="127" t="s">
        <v>472</v>
      </c>
      <c r="G297" s="128" t="s">
        <v>366</v>
      </c>
      <c r="H297" s="129">
        <v>16.484999999999999</v>
      </c>
      <c r="I297" s="130">
        <v>1200.17173250368</v>
      </c>
      <c r="J297" s="131">
        <f>ROUND(I297*H297,2)</f>
        <v>19784.830000000002</v>
      </c>
      <c r="K297" s="127" t="s">
        <v>293</v>
      </c>
      <c r="L297" s="198">
        <f>S297</f>
        <v>0</v>
      </c>
      <c r="M297" s="206">
        <f>ROUND(L297*I297,2)</f>
        <v>0</v>
      </c>
      <c r="N297" s="211">
        <f>N301</f>
        <v>-0.38219999999999743</v>
      </c>
      <c r="O297" s="212">
        <f>ROUND(N297*I297,2)</f>
        <v>-458.71</v>
      </c>
      <c r="P297" s="207">
        <f>H297-L297-N297</f>
        <v>16.867199999999997</v>
      </c>
      <c r="Q297" s="228">
        <f>ROUND(P297*I297,2)</f>
        <v>20243.54</v>
      </c>
      <c r="R297" s="199"/>
      <c r="S297" s="200">
        <f>W297+Y297+AA297+AC297+AE297+AG297+AI297+AK297</f>
        <v>0</v>
      </c>
      <c r="T297" s="200">
        <f>ROUND(S297*I297,2)</f>
        <v>0</v>
      </c>
      <c r="U297" s="200">
        <f>H297-S297</f>
        <v>16.484999999999999</v>
      </c>
      <c r="V297" s="200">
        <f>ROUND(U297*I297,2)</f>
        <v>19784.830000000002</v>
      </c>
      <c r="W297" s="200"/>
      <c r="X297" s="200"/>
      <c r="Y297" s="200"/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DQ297" s="132" t="s">
        <v>1</v>
      </c>
      <c r="DR297" s="133" t="s">
        <v>40</v>
      </c>
      <c r="DT297" s="134">
        <f>DS297*H297</f>
        <v>0</v>
      </c>
      <c r="DU297" s="134">
        <v>0</v>
      </c>
      <c r="DV297" s="134">
        <f>DU297*H297</f>
        <v>0</v>
      </c>
      <c r="DW297" s="134">
        <v>0</v>
      </c>
      <c r="DX297" s="135">
        <f>DW297*H297</f>
        <v>0</v>
      </c>
      <c r="EV297" s="136" t="s">
        <v>95</v>
      </c>
      <c r="EX297" s="136" t="s">
        <v>284</v>
      </c>
      <c r="EY297" s="136" t="s">
        <v>83</v>
      </c>
      <c r="FC297" s="16" t="s">
        <v>282</v>
      </c>
      <c r="FI297" s="137">
        <f>IF(DR297="základní",J297,0)</f>
        <v>19784.830000000002</v>
      </c>
      <c r="FJ297" s="137">
        <f>IF(DR297="snížená",J297,0)</f>
        <v>0</v>
      </c>
      <c r="FK297" s="137">
        <f>IF(DR297="zákl. přenesená",J297,0)</f>
        <v>0</v>
      </c>
      <c r="FL297" s="137">
        <f>IF(DR297="sníž. přenesená",J297,0)</f>
        <v>0</v>
      </c>
      <c r="FM297" s="137">
        <f>IF(DR297="nulová",J297,0)</f>
        <v>0</v>
      </c>
      <c r="FN297" s="16" t="s">
        <v>81</v>
      </c>
      <c r="FO297" s="137">
        <f>ROUND(I297*H297,2)</f>
        <v>19784.830000000002</v>
      </c>
      <c r="FP297" s="16" t="s">
        <v>95</v>
      </c>
      <c r="FQ297" s="136" t="s">
        <v>473</v>
      </c>
    </row>
    <row r="298" spans="2:173" s="1" customFormat="1" ht="19.5" x14ac:dyDescent="0.2">
      <c r="B298" s="31"/>
      <c r="D298" s="138" t="s">
        <v>289</v>
      </c>
      <c r="F298" s="139" t="s">
        <v>474</v>
      </c>
      <c r="I298" s="140"/>
      <c r="L298" s="31"/>
      <c r="N298" s="213"/>
      <c r="O298" s="214"/>
      <c r="Q298" s="229"/>
      <c r="DQ298" s="141"/>
      <c r="DX298" s="50"/>
      <c r="EX298" s="16" t="s">
        <v>289</v>
      </c>
      <c r="EY298" s="16" t="s">
        <v>83</v>
      </c>
    </row>
    <row r="299" spans="2:173" s="1" customFormat="1" ht="19.5" x14ac:dyDescent="0.2">
      <c r="B299" s="31"/>
      <c r="D299" s="138" t="s">
        <v>299</v>
      </c>
      <c r="F299" s="142" t="s">
        <v>317</v>
      </c>
      <c r="I299" s="140"/>
      <c r="L299" s="31"/>
      <c r="N299" s="213"/>
      <c r="O299" s="214"/>
      <c r="Q299" s="229"/>
      <c r="DQ299" s="141"/>
      <c r="DX299" s="50"/>
      <c r="EX299" s="16" t="s">
        <v>299</v>
      </c>
      <c r="EY299" s="16" t="s">
        <v>83</v>
      </c>
    </row>
    <row r="300" spans="2:173" s="12" customFormat="1" x14ac:dyDescent="0.2">
      <c r="B300" s="149"/>
      <c r="D300" s="138" t="s">
        <v>301</v>
      </c>
      <c r="E300" s="150" t="s">
        <v>1</v>
      </c>
      <c r="F300" s="151" t="s">
        <v>1021</v>
      </c>
      <c r="H300" s="152">
        <v>16.484999999999999</v>
      </c>
      <c r="I300" s="153"/>
      <c r="L300" s="149"/>
      <c r="N300" s="217">
        <f>153.36*1.05*0.1</f>
        <v>16.102800000000002</v>
      </c>
      <c r="O300" s="218" t="s">
        <v>3440</v>
      </c>
      <c r="Q300" s="231"/>
      <c r="DQ300" s="154"/>
      <c r="DX300" s="155"/>
      <c r="EX300" s="150" t="s">
        <v>301</v>
      </c>
      <c r="EY300" s="150" t="s">
        <v>83</v>
      </c>
      <c r="EZ300" s="12" t="s">
        <v>83</v>
      </c>
      <c r="FA300" s="12" t="s">
        <v>32</v>
      </c>
      <c r="FB300" s="12" t="s">
        <v>81</v>
      </c>
      <c r="FC300" s="150" t="s">
        <v>282</v>
      </c>
    </row>
    <row r="301" spans="2:173" s="12" customFormat="1" x14ac:dyDescent="0.2">
      <c r="B301" s="149"/>
      <c r="D301" s="138"/>
      <c r="E301" s="150"/>
      <c r="F301" s="151"/>
      <c r="H301" s="152"/>
      <c r="I301" s="153"/>
      <c r="L301" s="149"/>
      <c r="N301" s="310">
        <f>N300-H300</f>
        <v>-0.38219999999999743</v>
      </c>
      <c r="O301" s="218"/>
      <c r="Q301" s="231"/>
      <c r="DQ301" s="154"/>
      <c r="DX301" s="155"/>
      <c r="EX301" s="150"/>
      <c r="EY301" s="150"/>
      <c r="FC301" s="150"/>
    </row>
    <row r="302" spans="2:173" s="1" customFormat="1" ht="14.45" customHeight="1" x14ac:dyDescent="0.2">
      <c r="B302" s="124"/>
      <c r="C302" s="125" t="s">
        <v>493</v>
      </c>
      <c r="D302" s="125" t="s">
        <v>284</v>
      </c>
      <c r="E302" s="126" t="s">
        <v>477</v>
      </c>
      <c r="F302" s="127" t="s">
        <v>478</v>
      </c>
      <c r="G302" s="128" t="s">
        <v>366</v>
      </c>
      <c r="H302" s="129">
        <v>1.925</v>
      </c>
      <c r="I302" s="130">
        <v>1200.17173250368</v>
      </c>
      <c r="J302" s="131">
        <f>ROUND(I302*H302,2)</f>
        <v>2310.33</v>
      </c>
      <c r="K302" s="127" t="s">
        <v>1</v>
      </c>
      <c r="L302" s="198">
        <f>S302</f>
        <v>0</v>
      </c>
      <c r="M302" s="206">
        <f>ROUND(L302*I302,2)</f>
        <v>0</v>
      </c>
      <c r="N302" s="211"/>
      <c r="O302" s="212">
        <f>ROUND(N302*I302,2)</f>
        <v>0</v>
      </c>
      <c r="P302" s="207">
        <f>H302-L302-N302</f>
        <v>1.925</v>
      </c>
      <c r="Q302" s="228">
        <f>ROUND(P302*I302,2)</f>
        <v>2310.33</v>
      </c>
      <c r="R302" s="199"/>
      <c r="S302" s="200">
        <f>W302+Y302+AA302+AC302+AE302+AG302+AI302+AK302</f>
        <v>0</v>
      </c>
      <c r="T302" s="200">
        <f>ROUND(S302*I302,2)</f>
        <v>0</v>
      </c>
      <c r="U302" s="200">
        <f>H302-S302</f>
        <v>1.925</v>
      </c>
      <c r="V302" s="200">
        <f>ROUND(U302*I302,2)</f>
        <v>2310.33</v>
      </c>
      <c r="W302" s="200"/>
      <c r="X302" s="200"/>
      <c r="Y302" s="200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DQ302" s="132" t="s">
        <v>1</v>
      </c>
      <c r="DR302" s="133" t="s">
        <v>40</v>
      </c>
      <c r="DT302" s="134">
        <f>DS302*H302</f>
        <v>0</v>
      </c>
      <c r="DU302" s="134">
        <v>0</v>
      </c>
      <c r="DV302" s="134">
        <f>DU302*H302</f>
        <v>0</v>
      </c>
      <c r="DW302" s="134">
        <v>0</v>
      </c>
      <c r="DX302" s="135">
        <f>DW302*H302</f>
        <v>0</v>
      </c>
      <c r="EV302" s="136" t="s">
        <v>95</v>
      </c>
      <c r="EX302" s="136" t="s">
        <v>284</v>
      </c>
      <c r="EY302" s="136" t="s">
        <v>83</v>
      </c>
      <c r="FC302" s="16" t="s">
        <v>282</v>
      </c>
      <c r="FI302" s="137">
        <f>IF(DR302="základní",J302,0)</f>
        <v>2310.33</v>
      </c>
      <c r="FJ302" s="137">
        <f>IF(DR302="snížená",J302,0)</f>
        <v>0</v>
      </c>
      <c r="FK302" s="137">
        <f>IF(DR302="zákl. přenesená",J302,0)</f>
        <v>0</v>
      </c>
      <c r="FL302" s="137">
        <f>IF(DR302="sníž. přenesená",J302,0)</f>
        <v>0</v>
      </c>
      <c r="FM302" s="137">
        <f>IF(DR302="nulová",J302,0)</f>
        <v>0</v>
      </c>
      <c r="FN302" s="16" t="s">
        <v>81</v>
      </c>
      <c r="FO302" s="137">
        <f>ROUND(I302*H302,2)</f>
        <v>2310.33</v>
      </c>
      <c r="FP302" s="16" t="s">
        <v>95</v>
      </c>
      <c r="FQ302" s="136" t="s">
        <v>479</v>
      </c>
    </row>
    <row r="303" spans="2:173" s="1" customFormat="1" ht="19.5" x14ac:dyDescent="0.2">
      <c r="B303" s="31"/>
      <c r="D303" s="138" t="s">
        <v>289</v>
      </c>
      <c r="F303" s="139" t="s">
        <v>474</v>
      </c>
      <c r="I303" s="140"/>
      <c r="L303" s="31"/>
      <c r="N303" s="213"/>
      <c r="O303" s="214"/>
      <c r="Q303" s="229"/>
      <c r="DQ303" s="141"/>
      <c r="DX303" s="50"/>
      <c r="EX303" s="16" t="s">
        <v>289</v>
      </c>
      <c r="EY303" s="16" t="s">
        <v>83</v>
      </c>
    </row>
    <row r="304" spans="2:173" s="1" customFormat="1" ht="19.5" x14ac:dyDescent="0.2">
      <c r="B304" s="31"/>
      <c r="D304" s="138" t="s">
        <v>299</v>
      </c>
      <c r="F304" s="142" t="s">
        <v>317</v>
      </c>
      <c r="I304" s="140"/>
      <c r="L304" s="31"/>
      <c r="N304" s="213"/>
      <c r="O304" s="214"/>
      <c r="Q304" s="229"/>
      <c r="DQ304" s="141"/>
      <c r="DX304" s="50"/>
      <c r="EX304" s="16" t="s">
        <v>299</v>
      </c>
      <c r="EY304" s="16" t="s">
        <v>83</v>
      </c>
    </row>
    <row r="305" spans="2:173" s="11" customFormat="1" x14ac:dyDescent="0.2">
      <c r="B305" s="143"/>
      <c r="D305" s="138" t="s">
        <v>301</v>
      </c>
      <c r="E305" s="144" t="s">
        <v>1</v>
      </c>
      <c r="F305" s="145" t="s">
        <v>480</v>
      </c>
      <c r="H305" s="144" t="s">
        <v>1</v>
      </c>
      <c r="I305" s="146"/>
      <c r="L305" s="143"/>
      <c r="N305" s="215"/>
      <c r="O305" s="216"/>
      <c r="Q305" s="230"/>
      <c r="DQ305" s="147"/>
      <c r="DX305" s="148"/>
      <c r="EX305" s="144" t="s">
        <v>301</v>
      </c>
      <c r="EY305" s="144" t="s">
        <v>83</v>
      </c>
      <c r="EZ305" s="11" t="s">
        <v>81</v>
      </c>
      <c r="FA305" s="11" t="s">
        <v>32</v>
      </c>
      <c r="FB305" s="11" t="s">
        <v>74</v>
      </c>
      <c r="FC305" s="144" t="s">
        <v>282</v>
      </c>
    </row>
    <row r="306" spans="2:173" s="12" customFormat="1" x14ac:dyDescent="0.2">
      <c r="B306" s="149"/>
      <c r="D306" s="138" t="s">
        <v>301</v>
      </c>
      <c r="E306" s="150" t="s">
        <v>1</v>
      </c>
      <c r="F306" s="151" t="s">
        <v>829</v>
      </c>
      <c r="H306" s="152">
        <v>1.25</v>
      </c>
      <c r="I306" s="153"/>
      <c r="L306" s="149"/>
      <c r="N306" s="217"/>
      <c r="O306" s="218"/>
      <c r="Q306" s="231"/>
      <c r="DQ306" s="154"/>
      <c r="DX306" s="155"/>
      <c r="EX306" s="150" t="s">
        <v>301</v>
      </c>
      <c r="EY306" s="150" t="s">
        <v>83</v>
      </c>
      <c r="EZ306" s="12" t="s">
        <v>83</v>
      </c>
      <c r="FA306" s="12" t="s">
        <v>32</v>
      </c>
      <c r="FB306" s="12" t="s">
        <v>74</v>
      </c>
      <c r="FC306" s="150" t="s">
        <v>282</v>
      </c>
    </row>
    <row r="307" spans="2:173" s="11" customFormat="1" x14ac:dyDescent="0.2">
      <c r="B307" s="143"/>
      <c r="D307" s="138" t="s">
        <v>301</v>
      </c>
      <c r="E307" s="144" t="s">
        <v>1</v>
      </c>
      <c r="F307" s="145" t="s">
        <v>916</v>
      </c>
      <c r="H307" s="144" t="s">
        <v>1</v>
      </c>
      <c r="I307" s="146"/>
      <c r="L307" s="143"/>
      <c r="N307" s="215"/>
      <c r="O307" s="216"/>
      <c r="Q307" s="230"/>
      <c r="DQ307" s="147"/>
      <c r="DX307" s="148"/>
      <c r="EX307" s="144" t="s">
        <v>301</v>
      </c>
      <c r="EY307" s="144" t="s">
        <v>83</v>
      </c>
      <c r="EZ307" s="11" t="s">
        <v>81</v>
      </c>
      <c r="FA307" s="11" t="s">
        <v>32</v>
      </c>
      <c r="FB307" s="11" t="s">
        <v>74</v>
      </c>
      <c r="FC307" s="144" t="s">
        <v>282</v>
      </c>
    </row>
    <row r="308" spans="2:173" s="12" customFormat="1" x14ac:dyDescent="0.2">
      <c r="B308" s="149"/>
      <c r="D308" s="138" t="s">
        <v>301</v>
      </c>
      <c r="E308" s="150" t="s">
        <v>1</v>
      </c>
      <c r="F308" s="151" t="s">
        <v>1022</v>
      </c>
      <c r="H308" s="152">
        <v>0.67500000000000004</v>
      </c>
      <c r="I308" s="153"/>
      <c r="L308" s="149"/>
      <c r="N308" s="217"/>
      <c r="O308" s="218"/>
      <c r="Q308" s="231"/>
      <c r="DQ308" s="154"/>
      <c r="DX308" s="155"/>
      <c r="EX308" s="150" t="s">
        <v>301</v>
      </c>
      <c r="EY308" s="150" t="s">
        <v>83</v>
      </c>
      <c r="EZ308" s="12" t="s">
        <v>83</v>
      </c>
      <c r="FA308" s="12" t="s">
        <v>32</v>
      </c>
      <c r="FB308" s="12" t="s">
        <v>74</v>
      </c>
      <c r="FC308" s="150" t="s">
        <v>282</v>
      </c>
    </row>
    <row r="309" spans="2:173" s="13" customFormat="1" x14ac:dyDescent="0.2">
      <c r="B309" s="156"/>
      <c r="D309" s="138" t="s">
        <v>301</v>
      </c>
      <c r="E309" s="157" t="s">
        <v>1</v>
      </c>
      <c r="F309" s="158" t="s">
        <v>305</v>
      </c>
      <c r="H309" s="159">
        <v>1.925</v>
      </c>
      <c r="I309" s="160"/>
      <c r="L309" s="156"/>
      <c r="N309" s="219"/>
      <c r="O309" s="220"/>
      <c r="Q309" s="232"/>
      <c r="DQ309" s="161"/>
      <c r="DX309" s="162"/>
      <c r="EX309" s="157" t="s">
        <v>301</v>
      </c>
      <c r="EY309" s="157" t="s">
        <v>83</v>
      </c>
      <c r="EZ309" s="13" t="s">
        <v>95</v>
      </c>
      <c r="FA309" s="13" t="s">
        <v>32</v>
      </c>
      <c r="FB309" s="13" t="s">
        <v>81</v>
      </c>
      <c r="FC309" s="157" t="s">
        <v>282</v>
      </c>
    </row>
    <row r="310" spans="2:173" s="1" customFormat="1" ht="14.45" customHeight="1" x14ac:dyDescent="0.2">
      <c r="B310" s="124"/>
      <c r="C310" s="125" t="s">
        <v>497</v>
      </c>
      <c r="D310" s="125" t="s">
        <v>284</v>
      </c>
      <c r="E310" s="126" t="s">
        <v>483</v>
      </c>
      <c r="F310" s="127" t="s">
        <v>484</v>
      </c>
      <c r="G310" s="128" t="s">
        <v>485</v>
      </c>
      <c r="H310" s="129">
        <v>2</v>
      </c>
      <c r="I310" s="130">
        <v>136.11246338547087</v>
      </c>
      <c r="J310" s="131">
        <f>ROUND(I310*H310,2)</f>
        <v>272.22000000000003</v>
      </c>
      <c r="K310" s="127" t="s">
        <v>293</v>
      </c>
      <c r="L310" s="198">
        <f>S310</f>
        <v>0</v>
      </c>
      <c r="M310" s="206">
        <f>ROUND(L310*I310,2)</f>
        <v>0</v>
      </c>
      <c r="N310" s="211"/>
      <c r="O310" s="212">
        <f>ROUND(N310*I310,2)</f>
        <v>0</v>
      </c>
      <c r="P310" s="207">
        <f>H310-L310-N310</f>
        <v>2</v>
      </c>
      <c r="Q310" s="228">
        <f>ROUND(P310*I310,2)</f>
        <v>272.22000000000003</v>
      </c>
      <c r="R310" s="199"/>
      <c r="S310" s="200">
        <f>W310+Y310+AA310+AC310+AE310+AG310+AI310+AK310</f>
        <v>0</v>
      </c>
      <c r="T310" s="200">
        <f>ROUND(S310*I310,2)</f>
        <v>0</v>
      </c>
      <c r="U310" s="200">
        <f>H310-S310</f>
        <v>2</v>
      </c>
      <c r="V310" s="200">
        <f>ROUND(U310*I310,2)</f>
        <v>272.22000000000003</v>
      </c>
      <c r="W310" s="200"/>
      <c r="X310" s="200"/>
      <c r="Y310" s="200"/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DQ310" s="132" t="s">
        <v>1</v>
      </c>
      <c r="DR310" s="133" t="s">
        <v>40</v>
      </c>
      <c r="DT310" s="134">
        <f>DS310*H310</f>
        <v>0</v>
      </c>
      <c r="DU310" s="134">
        <v>6.6E-3</v>
      </c>
      <c r="DV310" s="134">
        <f>DU310*H310</f>
        <v>1.32E-2</v>
      </c>
      <c r="DW310" s="134">
        <v>0</v>
      </c>
      <c r="DX310" s="135">
        <f>DW310*H310</f>
        <v>0</v>
      </c>
      <c r="EV310" s="136" t="s">
        <v>95</v>
      </c>
      <c r="EX310" s="136" t="s">
        <v>284</v>
      </c>
      <c r="EY310" s="136" t="s">
        <v>83</v>
      </c>
      <c r="FC310" s="16" t="s">
        <v>282</v>
      </c>
      <c r="FI310" s="137">
        <f>IF(DR310="základní",J310,0)</f>
        <v>272.22000000000003</v>
      </c>
      <c r="FJ310" s="137">
        <f>IF(DR310="snížená",J310,0)</f>
        <v>0</v>
      </c>
      <c r="FK310" s="137">
        <f>IF(DR310="zákl. přenesená",J310,0)</f>
        <v>0</v>
      </c>
      <c r="FL310" s="137">
        <f>IF(DR310="sníž. přenesená",J310,0)</f>
        <v>0</v>
      </c>
      <c r="FM310" s="137">
        <f>IF(DR310="nulová",J310,0)</f>
        <v>0</v>
      </c>
      <c r="FN310" s="16" t="s">
        <v>81</v>
      </c>
      <c r="FO310" s="137">
        <f>ROUND(I310*H310,2)</f>
        <v>272.22000000000003</v>
      </c>
      <c r="FP310" s="16" t="s">
        <v>95</v>
      </c>
      <c r="FQ310" s="136" t="s">
        <v>486</v>
      </c>
    </row>
    <row r="311" spans="2:173" s="1" customFormat="1" ht="19.5" x14ac:dyDescent="0.2">
      <c r="B311" s="31"/>
      <c r="D311" s="138" t="s">
        <v>289</v>
      </c>
      <c r="F311" s="139" t="s">
        <v>487</v>
      </c>
      <c r="I311" s="140"/>
      <c r="L311" s="31"/>
      <c r="N311" s="213"/>
      <c r="O311" s="214"/>
      <c r="Q311" s="229"/>
      <c r="DQ311" s="141"/>
      <c r="DX311" s="50"/>
      <c r="EX311" s="16" t="s">
        <v>289</v>
      </c>
      <c r="EY311" s="16" t="s">
        <v>83</v>
      </c>
    </row>
    <row r="312" spans="2:173" s="1" customFormat="1" ht="19.5" x14ac:dyDescent="0.2">
      <c r="B312" s="31"/>
      <c r="D312" s="138" t="s">
        <v>299</v>
      </c>
      <c r="F312" s="142" t="s">
        <v>317</v>
      </c>
      <c r="I312" s="140"/>
      <c r="L312" s="31"/>
      <c r="N312" s="213"/>
      <c r="O312" s="214"/>
      <c r="Q312" s="229"/>
      <c r="DQ312" s="141"/>
      <c r="DX312" s="50"/>
      <c r="EX312" s="16" t="s">
        <v>299</v>
      </c>
      <c r="EY312" s="16" t="s">
        <v>83</v>
      </c>
    </row>
    <row r="313" spans="2:173" s="12" customFormat="1" x14ac:dyDescent="0.2">
      <c r="B313" s="149"/>
      <c r="D313" s="138" t="s">
        <v>301</v>
      </c>
      <c r="E313" s="150" t="s">
        <v>1</v>
      </c>
      <c r="F313" s="151" t="s">
        <v>83</v>
      </c>
      <c r="H313" s="152">
        <v>2</v>
      </c>
      <c r="I313" s="153"/>
      <c r="L313" s="149"/>
      <c r="N313" s="217"/>
      <c r="O313" s="218"/>
      <c r="Q313" s="231"/>
      <c r="DQ313" s="154"/>
      <c r="DX313" s="155"/>
      <c r="EX313" s="150" t="s">
        <v>301</v>
      </c>
      <c r="EY313" s="150" t="s">
        <v>83</v>
      </c>
      <c r="EZ313" s="12" t="s">
        <v>83</v>
      </c>
      <c r="FA313" s="12" t="s">
        <v>32</v>
      </c>
      <c r="FB313" s="12" t="s">
        <v>81</v>
      </c>
      <c r="FC313" s="150" t="s">
        <v>282</v>
      </c>
    </row>
    <row r="314" spans="2:173" s="1" customFormat="1" ht="24.2" customHeight="1" x14ac:dyDescent="0.2">
      <c r="B314" s="124"/>
      <c r="C314" s="170" t="s">
        <v>501</v>
      </c>
      <c r="D314" s="170" t="s">
        <v>439</v>
      </c>
      <c r="E314" s="171" t="s">
        <v>502</v>
      </c>
      <c r="F314" s="172" t="s">
        <v>503</v>
      </c>
      <c r="G314" s="173" t="s">
        <v>485</v>
      </c>
      <c r="H314" s="174">
        <v>2</v>
      </c>
      <c r="I314" s="175">
        <v>314.47561239999999</v>
      </c>
      <c r="J314" s="176">
        <f>ROUND(I314*H314,2)</f>
        <v>628.95000000000005</v>
      </c>
      <c r="K314" s="172" t="s">
        <v>293</v>
      </c>
      <c r="L314" s="198">
        <f>S314</f>
        <v>0</v>
      </c>
      <c r="M314" s="206">
        <f>ROUND(L314*I314,2)</f>
        <v>0</v>
      </c>
      <c r="N314" s="211"/>
      <c r="O314" s="212">
        <f>ROUND(N314*I314,2)</f>
        <v>0</v>
      </c>
      <c r="P314" s="207">
        <f>H314-L314-N314</f>
        <v>2</v>
      </c>
      <c r="Q314" s="228">
        <f>ROUND(P314*I314,2)</f>
        <v>628.95000000000005</v>
      </c>
      <c r="R314" s="199"/>
      <c r="S314" s="200">
        <f>W314+Y314+AA314+AC314+AE314+AG314+AI314+AK314</f>
        <v>0</v>
      </c>
      <c r="T314" s="200">
        <f>ROUND(S314*I314,2)</f>
        <v>0</v>
      </c>
      <c r="U314" s="200">
        <f>H314-S314</f>
        <v>2</v>
      </c>
      <c r="V314" s="200">
        <f>ROUND(U314*I314,2)</f>
        <v>628.95000000000005</v>
      </c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77" t="s">
        <v>1</v>
      </c>
      <c r="DR314" s="178" t="s">
        <v>40</v>
      </c>
      <c r="DT314" s="134">
        <f>DS314*H314</f>
        <v>0</v>
      </c>
      <c r="DU314" s="134">
        <v>6.8000000000000005E-2</v>
      </c>
      <c r="DV314" s="134">
        <f>DU314*H314</f>
        <v>0.13600000000000001</v>
      </c>
      <c r="DW314" s="134">
        <v>0</v>
      </c>
      <c r="DX314" s="135">
        <f>DW314*H314</f>
        <v>0</v>
      </c>
      <c r="EV314" s="136" t="s">
        <v>328</v>
      </c>
      <c r="EX314" s="136" t="s">
        <v>439</v>
      </c>
      <c r="EY314" s="136" t="s">
        <v>83</v>
      </c>
      <c r="FC314" s="16" t="s">
        <v>282</v>
      </c>
      <c r="FI314" s="137">
        <f>IF(DR314="základní",J314,0)</f>
        <v>628.95000000000005</v>
      </c>
      <c r="FJ314" s="137">
        <f>IF(DR314="snížená",J314,0)</f>
        <v>0</v>
      </c>
      <c r="FK314" s="137">
        <f>IF(DR314="zákl. přenesená",J314,0)</f>
        <v>0</v>
      </c>
      <c r="FL314" s="137">
        <f>IF(DR314="sníž. přenesená",J314,0)</f>
        <v>0</v>
      </c>
      <c r="FM314" s="137">
        <f>IF(DR314="nulová",J314,0)</f>
        <v>0</v>
      </c>
      <c r="FN314" s="16" t="s">
        <v>81</v>
      </c>
      <c r="FO314" s="137">
        <f>ROUND(I314*H314,2)</f>
        <v>628.95000000000005</v>
      </c>
      <c r="FP314" s="16" t="s">
        <v>95</v>
      </c>
      <c r="FQ314" s="136" t="s">
        <v>504</v>
      </c>
    </row>
    <row r="315" spans="2:173" s="1" customFormat="1" x14ac:dyDescent="0.2">
      <c r="B315" s="31"/>
      <c r="D315" s="138" t="s">
        <v>289</v>
      </c>
      <c r="F315" s="139" t="s">
        <v>503</v>
      </c>
      <c r="I315" s="140"/>
      <c r="L315" s="31"/>
      <c r="N315" s="213"/>
      <c r="O315" s="214"/>
      <c r="Q315" s="229"/>
      <c r="DQ315" s="141"/>
      <c r="DX315" s="50"/>
      <c r="EX315" s="16" t="s">
        <v>289</v>
      </c>
      <c r="EY315" s="16" t="s">
        <v>83</v>
      </c>
    </row>
    <row r="316" spans="2:173" s="1" customFormat="1" ht="14.45" customHeight="1" x14ac:dyDescent="0.2">
      <c r="B316" s="124"/>
      <c r="C316" s="125" t="s">
        <v>505</v>
      </c>
      <c r="D316" s="125" t="s">
        <v>284</v>
      </c>
      <c r="E316" s="126" t="s">
        <v>506</v>
      </c>
      <c r="F316" s="127" t="s">
        <v>507</v>
      </c>
      <c r="G316" s="128" t="s">
        <v>485</v>
      </c>
      <c r="H316" s="129">
        <v>1</v>
      </c>
      <c r="I316" s="130">
        <v>217.77896833494168</v>
      </c>
      <c r="J316" s="131">
        <f>ROUND(I316*H316,2)</f>
        <v>217.78</v>
      </c>
      <c r="K316" s="127" t="s">
        <v>293</v>
      </c>
      <c r="L316" s="198">
        <f>S316</f>
        <v>0</v>
      </c>
      <c r="M316" s="206">
        <f>ROUND(L316*I316,2)</f>
        <v>0</v>
      </c>
      <c r="N316" s="211"/>
      <c r="O316" s="212">
        <f>ROUND(N316*I316,2)</f>
        <v>0</v>
      </c>
      <c r="P316" s="207">
        <f>H316-L316-N316</f>
        <v>1</v>
      </c>
      <c r="Q316" s="228">
        <f>ROUND(P316*I316,2)</f>
        <v>217.78</v>
      </c>
      <c r="R316" s="199"/>
      <c r="S316" s="200">
        <f>W316+Y316+AA316+AC316+AE316+AG316+AI316+AK316</f>
        <v>0</v>
      </c>
      <c r="T316" s="200">
        <f>ROUND(S316*I316,2)</f>
        <v>0</v>
      </c>
      <c r="U316" s="200">
        <f>H316-S316</f>
        <v>1</v>
      </c>
      <c r="V316" s="200">
        <f>ROUND(U316*I316,2)</f>
        <v>217.78</v>
      </c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DQ316" s="132" t="s">
        <v>1</v>
      </c>
      <c r="DR316" s="133" t="s">
        <v>40</v>
      </c>
      <c r="DT316" s="134">
        <f>DS316*H316</f>
        <v>0</v>
      </c>
      <c r="DU316" s="134">
        <v>6.6E-3</v>
      </c>
      <c r="DV316" s="134">
        <f>DU316*H316</f>
        <v>6.6E-3</v>
      </c>
      <c r="DW316" s="134">
        <v>0</v>
      </c>
      <c r="DX316" s="135">
        <f>DW316*H316</f>
        <v>0</v>
      </c>
      <c r="EV316" s="136" t="s">
        <v>95</v>
      </c>
      <c r="EX316" s="136" t="s">
        <v>284</v>
      </c>
      <c r="EY316" s="136" t="s">
        <v>83</v>
      </c>
      <c r="FC316" s="16" t="s">
        <v>282</v>
      </c>
      <c r="FI316" s="137">
        <f>IF(DR316="základní",J316,0)</f>
        <v>217.78</v>
      </c>
      <c r="FJ316" s="137">
        <f>IF(DR316="snížená",J316,0)</f>
        <v>0</v>
      </c>
      <c r="FK316" s="137">
        <f>IF(DR316="zákl. přenesená",J316,0)</f>
        <v>0</v>
      </c>
      <c r="FL316" s="137">
        <f>IF(DR316="sníž. přenesená",J316,0)</f>
        <v>0</v>
      </c>
      <c r="FM316" s="137">
        <f>IF(DR316="nulová",J316,0)</f>
        <v>0</v>
      </c>
      <c r="FN316" s="16" t="s">
        <v>81</v>
      </c>
      <c r="FO316" s="137">
        <f>ROUND(I316*H316,2)</f>
        <v>217.78</v>
      </c>
      <c r="FP316" s="16" t="s">
        <v>95</v>
      </c>
      <c r="FQ316" s="136" t="s">
        <v>508</v>
      </c>
    </row>
    <row r="317" spans="2:173" s="1" customFormat="1" ht="19.5" x14ac:dyDescent="0.2">
      <c r="B317" s="31"/>
      <c r="D317" s="138" t="s">
        <v>289</v>
      </c>
      <c r="F317" s="139" t="s">
        <v>509</v>
      </c>
      <c r="I317" s="140"/>
      <c r="L317" s="31"/>
      <c r="N317" s="213"/>
      <c r="O317" s="214"/>
      <c r="Q317" s="229"/>
      <c r="DQ317" s="141"/>
      <c r="DX317" s="50"/>
      <c r="EX317" s="16" t="s">
        <v>289</v>
      </c>
      <c r="EY317" s="16" t="s">
        <v>83</v>
      </c>
    </row>
    <row r="318" spans="2:173" s="1" customFormat="1" ht="19.5" x14ac:dyDescent="0.2">
      <c r="B318" s="31"/>
      <c r="D318" s="138" t="s">
        <v>299</v>
      </c>
      <c r="F318" s="142" t="s">
        <v>317</v>
      </c>
      <c r="I318" s="140"/>
      <c r="L318" s="31"/>
      <c r="N318" s="213"/>
      <c r="O318" s="214"/>
      <c r="Q318" s="229"/>
      <c r="DQ318" s="141"/>
      <c r="DX318" s="50"/>
      <c r="EX318" s="16" t="s">
        <v>299</v>
      </c>
      <c r="EY318" s="16" t="s">
        <v>83</v>
      </c>
    </row>
    <row r="319" spans="2:173" s="12" customFormat="1" x14ac:dyDescent="0.2">
      <c r="B319" s="149"/>
      <c r="D319" s="138" t="s">
        <v>301</v>
      </c>
      <c r="E319" s="150" t="s">
        <v>1</v>
      </c>
      <c r="F319" s="151" t="s">
        <v>81</v>
      </c>
      <c r="H319" s="152">
        <v>1</v>
      </c>
      <c r="I319" s="153"/>
      <c r="L319" s="149"/>
      <c r="N319" s="217"/>
      <c r="O319" s="218"/>
      <c r="Q319" s="231"/>
      <c r="DQ319" s="154"/>
      <c r="DX319" s="155"/>
      <c r="EX319" s="150" t="s">
        <v>301</v>
      </c>
      <c r="EY319" s="150" t="s">
        <v>83</v>
      </c>
      <c r="EZ319" s="12" t="s">
        <v>83</v>
      </c>
      <c r="FA319" s="12" t="s">
        <v>32</v>
      </c>
      <c r="FB319" s="12" t="s">
        <v>81</v>
      </c>
      <c r="FC319" s="150" t="s">
        <v>282</v>
      </c>
    </row>
    <row r="320" spans="2:173" s="1" customFormat="1" ht="24.2" customHeight="1" x14ac:dyDescent="0.2">
      <c r="B320" s="124"/>
      <c r="C320" s="170" t="s">
        <v>510</v>
      </c>
      <c r="D320" s="170" t="s">
        <v>439</v>
      </c>
      <c r="E320" s="171" t="s">
        <v>511</v>
      </c>
      <c r="F320" s="172" t="s">
        <v>512</v>
      </c>
      <c r="G320" s="173" t="s">
        <v>485</v>
      </c>
      <c r="H320" s="174">
        <v>1</v>
      </c>
      <c r="I320" s="175">
        <v>354.2586718</v>
      </c>
      <c r="J320" s="176">
        <f>ROUND(I320*H320,2)</f>
        <v>354.26</v>
      </c>
      <c r="K320" s="172" t="s">
        <v>293</v>
      </c>
      <c r="L320" s="198">
        <f>S320</f>
        <v>0</v>
      </c>
      <c r="M320" s="206">
        <f>ROUND(L320*I320,2)</f>
        <v>0</v>
      </c>
      <c r="N320" s="211"/>
      <c r="O320" s="212">
        <f>ROUND(N320*I320,2)</f>
        <v>0</v>
      </c>
      <c r="P320" s="207">
        <f>H320-L320-N320</f>
        <v>1</v>
      </c>
      <c r="Q320" s="228">
        <f>ROUND(P320*I320,2)</f>
        <v>354.26</v>
      </c>
      <c r="R320" s="199"/>
      <c r="S320" s="200">
        <f>W320+Y320+AA320+AC320+AE320+AG320+AI320+AK320</f>
        <v>0</v>
      </c>
      <c r="T320" s="200">
        <f>ROUND(S320*I320,2)</f>
        <v>0</v>
      </c>
      <c r="U320" s="200">
        <f>H320-S320</f>
        <v>1</v>
      </c>
      <c r="V320" s="200">
        <f>ROUND(U320*I320,2)</f>
        <v>354.26</v>
      </c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77" t="s">
        <v>1</v>
      </c>
      <c r="DR320" s="178" t="s">
        <v>40</v>
      </c>
      <c r="DT320" s="134">
        <f>DS320*H320</f>
        <v>0</v>
      </c>
      <c r="DU320" s="134">
        <v>8.1000000000000003E-2</v>
      </c>
      <c r="DV320" s="134">
        <f>DU320*H320</f>
        <v>8.1000000000000003E-2</v>
      </c>
      <c r="DW320" s="134">
        <v>0</v>
      </c>
      <c r="DX320" s="135">
        <f>DW320*H320</f>
        <v>0</v>
      </c>
      <c r="EV320" s="136" t="s">
        <v>328</v>
      </c>
      <c r="EX320" s="136" t="s">
        <v>439</v>
      </c>
      <c r="EY320" s="136" t="s">
        <v>83</v>
      </c>
      <c r="FC320" s="16" t="s">
        <v>282</v>
      </c>
      <c r="FI320" s="137">
        <f>IF(DR320="základní",J320,0)</f>
        <v>354.26</v>
      </c>
      <c r="FJ320" s="137">
        <f>IF(DR320="snížená",J320,0)</f>
        <v>0</v>
      </c>
      <c r="FK320" s="137">
        <f>IF(DR320="zákl. přenesená",J320,0)</f>
        <v>0</v>
      </c>
      <c r="FL320" s="137">
        <f>IF(DR320="sníž. přenesená",J320,0)</f>
        <v>0</v>
      </c>
      <c r="FM320" s="137">
        <f>IF(DR320="nulová",J320,0)</f>
        <v>0</v>
      </c>
      <c r="FN320" s="16" t="s">
        <v>81</v>
      </c>
      <c r="FO320" s="137">
        <f>ROUND(I320*H320,2)</f>
        <v>354.26</v>
      </c>
      <c r="FP320" s="16" t="s">
        <v>95</v>
      </c>
      <c r="FQ320" s="136" t="s">
        <v>513</v>
      </c>
    </row>
    <row r="321" spans="2:173" s="1" customFormat="1" x14ac:dyDescent="0.2">
      <c r="B321" s="31"/>
      <c r="D321" s="138" t="s">
        <v>289</v>
      </c>
      <c r="F321" s="139" t="s">
        <v>512</v>
      </c>
      <c r="I321" s="140"/>
      <c r="L321" s="31"/>
      <c r="N321" s="213"/>
      <c r="O321" s="214"/>
      <c r="Q321" s="229"/>
      <c r="DQ321" s="141"/>
      <c r="DX321" s="50"/>
      <c r="EX321" s="16" t="s">
        <v>289</v>
      </c>
      <c r="EY321" s="16" t="s">
        <v>83</v>
      </c>
    </row>
    <row r="322" spans="2:173" s="1" customFormat="1" ht="24.2" customHeight="1" x14ac:dyDescent="0.2">
      <c r="B322" s="124"/>
      <c r="C322" s="125" t="s">
        <v>514</v>
      </c>
      <c r="D322" s="125" t="s">
        <v>284</v>
      </c>
      <c r="E322" s="126" t="s">
        <v>515</v>
      </c>
      <c r="F322" s="127" t="s">
        <v>516</v>
      </c>
      <c r="G322" s="128" t="s">
        <v>366</v>
      </c>
      <c r="H322" s="129">
        <v>1.038</v>
      </c>
      <c r="I322" s="130">
        <v>2895.0660868876225</v>
      </c>
      <c r="J322" s="131">
        <f>ROUND(I322*H322,2)</f>
        <v>3005.08</v>
      </c>
      <c r="K322" s="127" t="s">
        <v>293</v>
      </c>
      <c r="L322" s="198">
        <f>S322</f>
        <v>0</v>
      </c>
      <c r="M322" s="206">
        <f>ROUND(L322*I322,2)</f>
        <v>0</v>
      </c>
      <c r="N322" s="211"/>
      <c r="O322" s="212">
        <f>ROUND(N322*I322,2)</f>
        <v>0</v>
      </c>
      <c r="P322" s="207">
        <f>H322-L322-N322</f>
        <v>1.038</v>
      </c>
      <c r="Q322" s="228">
        <f>ROUND(P322*I322,2)</f>
        <v>3005.08</v>
      </c>
      <c r="R322" s="199"/>
      <c r="S322" s="200">
        <f>W322+Y322+AA322+AC322+AE322+AG322+AI322+AK322</f>
        <v>0</v>
      </c>
      <c r="T322" s="200">
        <f>ROUND(S322*I322,2)</f>
        <v>0</v>
      </c>
      <c r="U322" s="200">
        <f>H322-S322</f>
        <v>1.038</v>
      </c>
      <c r="V322" s="200">
        <f>ROUND(U322*I322,2)</f>
        <v>3005.08</v>
      </c>
      <c r="W322" s="200"/>
      <c r="X322" s="200"/>
      <c r="Y322" s="200"/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DQ322" s="132" t="s">
        <v>1</v>
      </c>
      <c r="DR322" s="133" t="s">
        <v>40</v>
      </c>
      <c r="DT322" s="134">
        <f>DS322*H322</f>
        <v>0</v>
      </c>
      <c r="DU322" s="134">
        <v>0</v>
      </c>
      <c r="DV322" s="134">
        <f>DU322*H322</f>
        <v>0</v>
      </c>
      <c r="DW322" s="134">
        <v>0</v>
      </c>
      <c r="DX322" s="135">
        <f>DW322*H322</f>
        <v>0</v>
      </c>
      <c r="EV322" s="136" t="s">
        <v>95</v>
      </c>
      <c r="EX322" s="136" t="s">
        <v>284</v>
      </c>
      <c r="EY322" s="136" t="s">
        <v>83</v>
      </c>
      <c r="FC322" s="16" t="s">
        <v>282</v>
      </c>
      <c r="FI322" s="137">
        <f>IF(DR322="základní",J322,0)</f>
        <v>3005.08</v>
      </c>
      <c r="FJ322" s="137">
        <f>IF(DR322="snížená",J322,0)</f>
        <v>0</v>
      </c>
      <c r="FK322" s="137">
        <f>IF(DR322="zákl. přenesená",J322,0)</f>
        <v>0</v>
      </c>
      <c r="FL322" s="137">
        <f>IF(DR322="sníž. přenesená",J322,0)</f>
        <v>0</v>
      </c>
      <c r="FM322" s="137">
        <f>IF(DR322="nulová",J322,0)</f>
        <v>0</v>
      </c>
      <c r="FN322" s="16" t="s">
        <v>81</v>
      </c>
      <c r="FO322" s="137">
        <f>ROUND(I322*H322,2)</f>
        <v>3005.08</v>
      </c>
      <c r="FP322" s="16" t="s">
        <v>95</v>
      </c>
      <c r="FQ322" s="136" t="s">
        <v>517</v>
      </c>
    </row>
    <row r="323" spans="2:173" s="1" customFormat="1" ht="29.25" x14ac:dyDescent="0.2">
      <c r="B323" s="31"/>
      <c r="D323" s="138" t="s">
        <v>289</v>
      </c>
      <c r="F323" s="139" t="s">
        <v>518</v>
      </c>
      <c r="I323" s="140"/>
      <c r="L323" s="31"/>
      <c r="N323" s="213"/>
      <c r="O323" s="214"/>
      <c r="Q323" s="229"/>
      <c r="DQ323" s="141"/>
      <c r="DX323" s="50"/>
      <c r="EX323" s="16" t="s">
        <v>289</v>
      </c>
      <c r="EY323" s="16" t="s">
        <v>83</v>
      </c>
    </row>
    <row r="324" spans="2:173" s="1" customFormat="1" ht="19.5" x14ac:dyDescent="0.2">
      <c r="B324" s="31"/>
      <c r="D324" s="138" t="s">
        <v>299</v>
      </c>
      <c r="F324" s="142" t="s">
        <v>317</v>
      </c>
      <c r="I324" s="140"/>
      <c r="L324" s="31"/>
      <c r="N324" s="213"/>
      <c r="O324" s="214"/>
      <c r="Q324" s="229"/>
      <c r="DQ324" s="141"/>
      <c r="DX324" s="50"/>
      <c r="EX324" s="16" t="s">
        <v>299</v>
      </c>
      <c r="EY324" s="16" t="s">
        <v>83</v>
      </c>
    </row>
    <row r="325" spans="2:173" s="11" customFormat="1" x14ac:dyDescent="0.2">
      <c r="B325" s="143"/>
      <c r="D325" s="138" t="s">
        <v>301</v>
      </c>
      <c r="E325" s="144" t="s">
        <v>1</v>
      </c>
      <c r="F325" s="145" t="s">
        <v>480</v>
      </c>
      <c r="H325" s="144" t="s">
        <v>1</v>
      </c>
      <c r="I325" s="146"/>
      <c r="L325" s="143"/>
      <c r="N325" s="215"/>
      <c r="O325" s="216"/>
      <c r="Q325" s="230"/>
      <c r="DQ325" s="147"/>
      <c r="DX325" s="148"/>
      <c r="EX325" s="144" t="s">
        <v>301</v>
      </c>
      <c r="EY325" s="144" t="s">
        <v>83</v>
      </c>
      <c r="EZ325" s="11" t="s">
        <v>81</v>
      </c>
      <c r="FA325" s="11" t="s">
        <v>32</v>
      </c>
      <c r="FB325" s="11" t="s">
        <v>74</v>
      </c>
      <c r="FC325" s="144" t="s">
        <v>282</v>
      </c>
    </row>
    <row r="326" spans="2:173" s="12" customFormat="1" x14ac:dyDescent="0.2">
      <c r="B326" s="149"/>
      <c r="D326" s="138" t="s">
        <v>301</v>
      </c>
      <c r="E326" s="150" t="s">
        <v>1</v>
      </c>
      <c r="F326" s="151" t="s">
        <v>830</v>
      </c>
      <c r="H326" s="152">
        <v>0.67500000000000004</v>
      </c>
      <c r="I326" s="153"/>
      <c r="L326" s="149"/>
      <c r="N326" s="217"/>
      <c r="O326" s="218"/>
      <c r="Q326" s="231"/>
      <c r="DQ326" s="154"/>
      <c r="DX326" s="155"/>
      <c r="EX326" s="150" t="s">
        <v>301</v>
      </c>
      <c r="EY326" s="150" t="s">
        <v>83</v>
      </c>
      <c r="EZ326" s="12" t="s">
        <v>83</v>
      </c>
      <c r="FA326" s="12" t="s">
        <v>32</v>
      </c>
      <c r="FB326" s="12" t="s">
        <v>74</v>
      </c>
      <c r="FC326" s="150" t="s">
        <v>282</v>
      </c>
    </row>
    <row r="327" spans="2:173" s="11" customFormat="1" x14ac:dyDescent="0.2">
      <c r="B327" s="143"/>
      <c r="D327" s="138" t="s">
        <v>301</v>
      </c>
      <c r="E327" s="144" t="s">
        <v>1</v>
      </c>
      <c r="F327" s="145" t="s">
        <v>916</v>
      </c>
      <c r="H327" s="144" t="s">
        <v>1</v>
      </c>
      <c r="I327" s="146"/>
      <c r="L327" s="143"/>
      <c r="N327" s="215"/>
      <c r="O327" s="216"/>
      <c r="Q327" s="230"/>
      <c r="DQ327" s="147"/>
      <c r="DX327" s="148"/>
      <c r="EX327" s="144" t="s">
        <v>301</v>
      </c>
      <c r="EY327" s="144" t="s">
        <v>83</v>
      </c>
      <c r="EZ327" s="11" t="s">
        <v>81</v>
      </c>
      <c r="FA327" s="11" t="s">
        <v>32</v>
      </c>
      <c r="FB327" s="11" t="s">
        <v>74</v>
      </c>
      <c r="FC327" s="144" t="s">
        <v>282</v>
      </c>
    </row>
    <row r="328" spans="2:173" s="12" customFormat="1" x14ac:dyDescent="0.2">
      <c r="B328" s="149"/>
      <c r="D328" s="138" t="s">
        <v>301</v>
      </c>
      <c r="E328" s="150" t="s">
        <v>1</v>
      </c>
      <c r="F328" s="151" t="s">
        <v>1023</v>
      </c>
      <c r="H328" s="152">
        <v>0.36299999999999999</v>
      </c>
      <c r="I328" s="153"/>
      <c r="L328" s="149"/>
      <c r="N328" s="217"/>
      <c r="O328" s="218"/>
      <c r="Q328" s="231"/>
      <c r="DQ328" s="154"/>
      <c r="DX328" s="155"/>
      <c r="EX328" s="150" t="s">
        <v>301</v>
      </c>
      <c r="EY328" s="150" t="s">
        <v>83</v>
      </c>
      <c r="EZ328" s="12" t="s">
        <v>83</v>
      </c>
      <c r="FA328" s="12" t="s">
        <v>32</v>
      </c>
      <c r="FB328" s="12" t="s">
        <v>74</v>
      </c>
      <c r="FC328" s="150" t="s">
        <v>282</v>
      </c>
    </row>
    <row r="329" spans="2:173" s="13" customFormat="1" x14ac:dyDescent="0.2">
      <c r="B329" s="156"/>
      <c r="D329" s="138" t="s">
        <v>301</v>
      </c>
      <c r="E329" s="157" t="s">
        <v>1</v>
      </c>
      <c r="F329" s="158" t="s">
        <v>305</v>
      </c>
      <c r="H329" s="159">
        <v>1.038</v>
      </c>
      <c r="I329" s="160"/>
      <c r="L329" s="156"/>
      <c r="N329" s="219"/>
      <c r="O329" s="220"/>
      <c r="Q329" s="232"/>
      <c r="DQ329" s="161"/>
      <c r="DX329" s="162"/>
      <c r="EX329" s="157" t="s">
        <v>301</v>
      </c>
      <c r="EY329" s="157" t="s">
        <v>83</v>
      </c>
      <c r="EZ329" s="13" t="s">
        <v>95</v>
      </c>
      <c r="FA329" s="13" t="s">
        <v>32</v>
      </c>
      <c r="FB329" s="13" t="s">
        <v>81</v>
      </c>
      <c r="FC329" s="157" t="s">
        <v>282</v>
      </c>
    </row>
    <row r="330" spans="2:173" s="10" customFormat="1" ht="22.9" customHeight="1" x14ac:dyDescent="0.2">
      <c r="B330" s="112"/>
      <c r="D330" s="113" t="s">
        <v>73</v>
      </c>
      <c r="E330" s="122" t="s">
        <v>312</v>
      </c>
      <c r="F330" s="122" t="s">
        <v>520</v>
      </c>
      <c r="I330" s="115"/>
      <c r="J330" s="123">
        <f>FO330</f>
        <v>136385.01999999999</v>
      </c>
      <c r="L330" s="112"/>
      <c r="M330" s="320">
        <f>SUM(M331:M344)</f>
        <v>0</v>
      </c>
      <c r="N330" s="323"/>
      <c r="O330" s="324">
        <f t="shared" ref="O330:V330" si="5">SUM(O331:O344)</f>
        <v>-7549.72</v>
      </c>
      <c r="P330" s="320"/>
      <c r="Q330" s="326">
        <f t="shared" si="5"/>
        <v>143934.72</v>
      </c>
      <c r="R330" s="320"/>
      <c r="S330" s="320"/>
      <c r="T330" s="320">
        <f t="shared" si="5"/>
        <v>0</v>
      </c>
      <c r="U330" s="320"/>
      <c r="V330" s="320">
        <f t="shared" si="5"/>
        <v>136385.01999999999</v>
      </c>
      <c r="DQ330" s="117"/>
      <c r="DT330" s="118">
        <f>SUM(DT331:DT348)</f>
        <v>0</v>
      </c>
      <c r="DV330" s="118">
        <f>SUM(DV331:DV348)</f>
        <v>0</v>
      </c>
      <c r="DX330" s="119">
        <f>SUM(DX331:DX348)</f>
        <v>0</v>
      </c>
      <c r="EV330" s="113" t="s">
        <v>81</v>
      </c>
      <c r="EX330" s="120" t="s">
        <v>73</v>
      </c>
      <c r="EY330" s="120" t="s">
        <v>81</v>
      </c>
      <c r="FC330" s="113" t="s">
        <v>282</v>
      </c>
      <c r="FO330" s="121">
        <f>SUM(FO331:FO348)</f>
        <v>136385.01999999999</v>
      </c>
    </row>
    <row r="331" spans="2:173" s="1" customFormat="1" ht="24.2" customHeight="1" x14ac:dyDescent="0.2">
      <c r="B331" s="124"/>
      <c r="C331" s="125" t="s">
        <v>521</v>
      </c>
      <c r="D331" s="125" t="s">
        <v>284</v>
      </c>
      <c r="E331" s="126" t="s">
        <v>522</v>
      </c>
      <c r="F331" s="127" t="s">
        <v>523</v>
      </c>
      <c r="G331" s="128" t="s">
        <v>287</v>
      </c>
      <c r="H331" s="129">
        <v>72.69</v>
      </c>
      <c r="I331" s="130">
        <v>130.95617506780872</v>
      </c>
      <c r="J331" s="131">
        <f>ROUND(I331*H331,2)</f>
        <v>9519.2000000000007</v>
      </c>
      <c r="K331" s="127" t="s">
        <v>293</v>
      </c>
      <c r="L331" s="198">
        <f>S331</f>
        <v>0</v>
      </c>
      <c r="M331" s="206">
        <f>ROUND(L331*I331,2)</f>
        <v>0</v>
      </c>
      <c r="N331" s="211">
        <f>N125</f>
        <v>-3.8220000000000027</v>
      </c>
      <c r="O331" s="212">
        <f>ROUND(N331*I331,2)</f>
        <v>-500.51</v>
      </c>
      <c r="P331" s="207">
        <f>H331-L331-N331</f>
        <v>76.512</v>
      </c>
      <c r="Q331" s="228">
        <f>ROUND(P331*I331,2)</f>
        <v>10019.719999999999</v>
      </c>
      <c r="R331" s="199"/>
      <c r="S331" s="200">
        <f>W331+Y331+AA331+AC331+AE331+AG331+AI331+AK331</f>
        <v>0</v>
      </c>
      <c r="T331" s="200">
        <f>ROUND(S331*I331,2)</f>
        <v>0</v>
      </c>
      <c r="U331" s="200">
        <f>H331-S331</f>
        <v>72.69</v>
      </c>
      <c r="V331" s="200">
        <f>ROUND(U331*I331,2)</f>
        <v>9519.2000000000007</v>
      </c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DQ331" s="132" t="s">
        <v>1</v>
      </c>
      <c r="DR331" s="133" t="s">
        <v>40</v>
      </c>
      <c r="DT331" s="134">
        <f>DS331*H331</f>
        <v>0</v>
      </c>
      <c r="DU331" s="134">
        <v>0</v>
      </c>
      <c r="DV331" s="134">
        <f>DU331*H331</f>
        <v>0</v>
      </c>
      <c r="DW331" s="134">
        <v>0</v>
      </c>
      <c r="DX331" s="135">
        <f>DW331*H331</f>
        <v>0</v>
      </c>
      <c r="EV331" s="136" t="s">
        <v>95</v>
      </c>
      <c r="EX331" s="136" t="s">
        <v>284</v>
      </c>
      <c r="EY331" s="136" t="s">
        <v>83</v>
      </c>
      <c r="FC331" s="16" t="s">
        <v>282</v>
      </c>
      <c r="FI331" s="137">
        <f>IF(DR331="základní",J331,0)</f>
        <v>9519.2000000000007</v>
      </c>
      <c r="FJ331" s="137">
        <f>IF(DR331="snížená",J331,0)</f>
        <v>0</v>
      </c>
      <c r="FK331" s="137">
        <f>IF(DR331="zákl. přenesená",J331,0)</f>
        <v>0</v>
      </c>
      <c r="FL331" s="137">
        <f>IF(DR331="sníž. přenesená",J331,0)</f>
        <v>0</v>
      </c>
      <c r="FM331" s="137">
        <f>IF(DR331="nulová",J331,0)</f>
        <v>0</v>
      </c>
      <c r="FN331" s="16" t="s">
        <v>81</v>
      </c>
      <c r="FO331" s="137">
        <f>ROUND(I331*H331,2)</f>
        <v>9519.2000000000007</v>
      </c>
      <c r="FP331" s="16" t="s">
        <v>95</v>
      </c>
      <c r="FQ331" s="136" t="s">
        <v>524</v>
      </c>
    </row>
    <row r="332" spans="2:173" s="1" customFormat="1" ht="19.5" x14ac:dyDescent="0.2">
      <c r="B332" s="31"/>
      <c r="D332" s="138" t="s">
        <v>289</v>
      </c>
      <c r="F332" s="139" t="s">
        <v>525</v>
      </c>
      <c r="I332" s="140"/>
      <c r="L332" s="31"/>
      <c r="N332" s="213"/>
      <c r="O332" s="214"/>
      <c r="Q332" s="229"/>
      <c r="DQ332" s="141"/>
      <c r="DX332" s="50"/>
      <c r="EX332" s="16" t="s">
        <v>289</v>
      </c>
      <c r="EY332" s="16" t="s">
        <v>83</v>
      </c>
    </row>
    <row r="333" spans="2:173" s="1" customFormat="1" ht="14.45" customHeight="1" x14ac:dyDescent="0.2">
      <c r="B333" s="124"/>
      <c r="C333" s="125" t="s">
        <v>526</v>
      </c>
      <c r="D333" s="125" t="s">
        <v>284</v>
      </c>
      <c r="E333" s="126" t="s">
        <v>527</v>
      </c>
      <c r="F333" s="127" t="s">
        <v>528</v>
      </c>
      <c r="G333" s="128" t="s">
        <v>287</v>
      </c>
      <c r="H333" s="129">
        <v>72.69</v>
      </c>
      <c r="I333" s="130">
        <v>200.20823792465458</v>
      </c>
      <c r="J333" s="131">
        <f>ROUND(I333*H333,2)</f>
        <v>14553.14</v>
      </c>
      <c r="K333" s="127" t="s">
        <v>293</v>
      </c>
      <c r="L333" s="198">
        <f>S333</f>
        <v>0</v>
      </c>
      <c r="M333" s="206">
        <f>ROUND(L333*I333,2)</f>
        <v>0</v>
      </c>
      <c r="N333" s="211">
        <f>N331</f>
        <v>-3.8220000000000027</v>
      </c>
      <c r="O333" s="212">
        <f>ROUND(N333*I333,2)</f>
        <v>-765.2</v>
      </c>
      <c r="P333" s="207">
        <f>H333-L333-N333</f>
        <v>76.512</v>
      </c>
      <c r="Q333" s="228">
        <f>ROUND(P333*I333,2)</f>
        <v>15318.33</v>
      </c>
      <c r="R333" s="199"/>
      <c r="S333" s="200">
        <f>W333+Y333+AA333+AC333+AE333+AG333+AI333+AK333</f>
        <v>0</v>
      </c>
      <c r="T333" s="200">
        <f>ROUND(S333*I333,2)</f>
        <v>0</v>
      </c>
      <c r="U333" s="200">
        <f>H333-S333</f>
        <v>72.69</v>
      </c>
      <c r="V333" s="200">
        <f>ROUND(U333*I333,2)</f>
        <v>14553.14</v>
      </c>
      <c r="W333" s="200"/>
      <c r="X333" s="200"/>
      <c r="Y333" s="200"/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DQ333" s="132" t="s">
        <v>1</v>
      </c>
      <c r="DR333" s="133" t="s">
        <v>40</v>
      </c>
      <c r="DT333" s="134">
        <f>DS333*H333</f>
        <v>0</v>
      </c>
      <c r="DU333" s="134">
        <v>0</v>
      </c>
      <c r="DV333" s="134">
        <f>DU333*H333</f>
        <v>0</v>
      </c>
      <c r="DW333" s="134">
        <v>0</v>
      </c>
      <c r="DX333" s="135">
        <f>DW333*H333</f>
        <v>0</v>
      </c>
      <c r="EV333" s="136" t="s">
        <v>95</v>
      </c>
      <c r="EX333" s="136" t="s">
        <v>284</v>
      </c>
      <c r="EY333" s="136" t="s">
        <v>83</v>
      </c>
      <c r="FC333" s="16" t="s">
        <v>282</v>
      </c>
      <c r="FI333" s="137">
        <f>IF(DR333="základní",J333,0)</f>
        <v>14553.14</v>
      </c>
      <c r="FJ333" s="137">
        <f>IF(DR333="snížená",J333,0)</f>
        <v>0</v>
      </c>
      <c r="FK333" s="137">
        <f>IF(DR333="zákl. přenesená",J333,0)</f>
        <v>0</v>
      </c>
      <c r="FL333" s="137">
        <f>IF(DR333="sníž. přenesená",J333,0)</f>
        <v>0</v>
      </c>
      <c r="FM333" s="137">
        <f>IF(DR333="nulová",J333,0)</f>
        <v>0</v>
      </c>
      <c r="FN333" s="16" t="s">
        <v>81</v>
      </c>
      <c r="FO333" s="137">
        <f>ROUND(I333*H333,2)</f>
        <v>14553.14</v>
      </c>
      <c r="FP333" s="16" t="s">
        <v>95</v>
      </c>
      <c r="FQ333" s="136" t="s">
        <v>529</v>
      </c>
    </row>
    <row r="334" spans="2:173" s="1" customFormat="1" ht="19.5" x14ac:dyDescent="0.2">
      <c r="B334" s="31"/>
      <c r="D334" s="138" t="s">
        <v>289</v>
      </c>
      <c r="F334" s="139" t="s">
        <v>530</v>
      </c>
      <c r="I334" s="140"/>
      <c r="L334" s="31"/>
      <c r="N334" s="213"/>
      <c r="O334" s="214"/>
      <c r="Q334" s="229"/>
      <c r="DQ334" s="141"/>
      <c r="DX334" s="50"/>
      <c r="EX334" s="16" t="s">
        <v>289</v>
      </c>
      <c r="EY334" s="16" t="s">
        <v>83</v>
      </c>
    </row>
    <row r="335" spans="2:173" s="1" customFormat="1" ht="24.2" customHeight="1" x14ac:dyDescent="0.2">
      <c r="B335" s="124"/>
      <c r="C335" s="125" t="s">
        <v>531</v>
      </c>
      <c r="D335" s="125" t="s">
        <v>284</v>
      </c>
      <c r="E335" s="126" t="s">
        <v>532</v>
      </c>
      <c r="F335" s="127" t="s">
        <v>533</v>
      </c>
      <c r="G335" s="128" t="s">
        <v>287</v>
      </c>
      <c r="H335" s="129">
        <v>72.69</v>
      </c>
      <c r="I335" s="130">
        <v>40.878739778868102</v>
      </c>
      <c r="J335" s="131">
        <f>ROUND(I335*H335,2)</f>
        <v>2971.48</v>
      </c>
      <c r="K335" s="127" t="s">
        <v>293</v>
      </c>
      <c r="L335" s="198">
        <f>S335</f>
        <v>0</v>
      </c>
      <c r="M335" s="206">
        <f>ROUND(L335*I335,2)</f>
        <v>0</v>
      </c>
      <c r="N335" s="211">
        <f>N333</f>
        <v>-3.8220000000000027</v>
      </c>
      <c r="O335" s="212">
        <f>ROUND(N335*I335,2)</f>
        <v>-156.24</v>
      </c>
      <c r="P335" s="207">
        <f>H335-L335-N335</f>
        <v>76.512</v>
      </c>
      <c r="Q335" s="228">
        <f>ROUND(P335*I335,2)</f>
        <v>3127.71</v>
      </c>
      <c r="R335" s="199"/>
      <c r="S335" s="200">
        <f>W335+Y335+AA335+AC335+AE335+AG335+AI335+AK335</f>
        <v>0</v>
      </c>
      <c r="T335" s="200">
        <f>ROUND(S335*I335,2)</f>
        <v>0</v>
      </c>
      <c r="U335" s="200">
        <f>H335-S335</f>
        <v>72.69</v>
      </c>
      <c r="V335" s="200">
        <f>ROUND(U335*I335,2)</f>
        <v>2971.48</v>
      </c>
      <c r="W335" s="200"/>
      <c r="X335" s="200"/>
      <c r="Y335" s="200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DQ335" s="132" t="s">
        <v>1</v>
      </c>
      <c r="DR335" s="133" t="s">
        <v>40</v>
      </c>
      <c r="DT335" s="134">
        <f>DS335*H335</f>
        <v>0</v>
      </c>
      <c r="DU335" s="134">
        <v>0</v>
      </c>
      <c r="DV335" s="134">
        <f>DU335*H335</f>
        <v>0</v>
      </c>
      <c r="DW335" s="134">
        <v>0</v>
      </c>
      <c r="DX335" s="135">
        <f>DW335*H335</f>
        <v>0</v>
      </c>
      <c r="EV335" s="136" t="s">
        <v>95</v>
      </c>
      <c r="EX335" s="136" t="s">
        <v>284</v>
      </c>
      <c r="EY335" s="136" t="s">
        <v>83</v>
      </c>
      <c r="FC335" s="16" t="s">
        <v>282</v>
      </c>
      <c r="FI335" s="137">
        <f>IF(DR335="základní",J335,0)</f>
        <v>2971.48</v>
      </c>
      <c r="FJ335" s="137">
        <f>IF(DR335="snížená",J335,0)</f>
        <v>0</v>
      </c>
      <c r="FK335" s="137">
        <f>IF(DR335="zákl. přenesená",J335,0)</f>
        <v>0</v>
      </c>
      <c r="FL335" s="137">
        <f>IF(DR335="sníž. přenesená",J335,0)</f>
        <v>0</v>
      </c>
      <c r="FM335" s="137">
        <f>IF(DR335="nulová",J335,0)</f>
        <v>0</v>
      </c>
      <c r="FN335" s="16" t="s">
        <v>81</v>
      </c>
      <c r="FO335" s="137">
        <f>ROUND(I335*H335,2)</f>
        <v>2971.48</v>
      </c>
      <c r="FP335" s="16" t="s">
        <v>95</v>
      </c>
      <c r="FQ335" s="136" t="s">
        <v>534</v>
      </c>
    </row>
    <row r="336" spans="2:173" s="1" customFormat="1" ht="19.5" x14ac:dyDescent="0.2">
      <c r="B336" s="31"/>
      <c r="D336" s="138" t="s">
        <v>289</v>
      </c>
      <c r="F336" s="139" t="s">
        <v>535</v>
      </c>
      <c r="I336" s="140"/>
      <c r="L336" s="31"/>
      <c r="N336" s="213"/>
      <c r="O336" s="214"/>
      <c r="Q336" s="229"/>
      <c r="DQ336" s="141"/>
      <c r="DX336" s="50"/>
      <c r="EX336" s="16" t="s">
        <v>289</v>
      </c>
      <c r="EY336" s="16" t="s">
        <v>83</v>
      </c>
    </row>
    <row r="337" spans="2:173" s="1" customFormat="1" ht="24.2" customHeight="1" x14ac:dyDescent="0.2">
      <c r="B337" s="124"/>
      <c r="C337" s="125" t="s">
        <v>536</v>
      </c>
      <c r="D337" s="125" t="s">
        <v>284</v>
      </c>
      <c r="E337" s="126" t="s">
        <v>537</v>
      </c>
      <c r="F337" s="127" t="s">
        <v>538</v>
      </c>
      <c r="G337" s="128" t="s">
        <v>287</v>
      </c>
      <c r="H337" s="129">
        <v>72.69</v>
      </c>
      <c r="I337" s="130">
        <v>362.67856108310502</v>
      </c>
      <c r="J337" s="131">
        <f>ROUND(I337*H337,2)</f>
        <v>26363.1</v>
      </c>
      <c r="K337" s="127" t="s">
        <v>293</v>
      </c>
      <c r="L337" s="198">
        <f>S337</f>
        <v>0</v>
      </c>
      <c r="M337" s="206">
        <f>ROUND(L337*I337,2)</f>
        <v>0</v>
      </c>
      <c r="N337" s="211">
        <f>N335</f>
        <v>-3.8220000000000027</v>
      </c>
      <c r="O337" s="212">
        <f>ROUND(N337*I337,2)</f>
        <v>-1386.16</v>
      </c>
      <c r="P337" s="207">
        <f>H337-L337-N337</f>
        <v>76.512</v>
      </c>
      <c r="Q337" s="228">
        <f>ROUND(P337*I337,2)</f>
        <v>27749.26</v>
      </c>
      <c r="R337" s="199"/>
      <c r="S337" s="200">
        <f>W337+Y337+AA337+AC337+AE337+AG337+AI337+AK337</f>
        <v>0</v>
      </c>
      <c r="T337" s="200">
        <f>ROUND(S337*I337,2)</f>
        <v>0</v>
      </c>
      <c r="U337" s="200">
        <f>H337-S337</f>
        <v>72.69</v>
      </c>
      <c r="V337" s="200">
        <f>ROUND(U337*I337,2)</f>
        <v>26363.1</v>
      </c>
      <c r="W337" s="200"/>
      <c r="X337" s="200"/>
      <c r="Y337" s="200"/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DQ337" s="132" t="s">
        <v>1</v>
      </c>
      <c r="DR337" s="133" t="s">
        <v>40</v>
      </c>
      <c r="DT337" s="134">
        <f>DS337*H337</f>
        <v>0</v>
      </c>
      <c r="DU337" s="134">
        <v>0</v>
      </c>
      <c r="DV337" s="134">
        <f>DU337*H337</f>
        <v>0</v>
      </c>
      <c r="DW337" s="134">
        <v>0</v>
      </c>
      <c r="DX337" s="135">
        <f>DW337*H337</f>
        <v>0</v>
      </c>
      <c r="EV337" s="136" t="s">
        <v>95</v>
      </c>
      <c r="EX337" s="136" t="s">
        <v>284</v>
      </c>
      <c r="EY337" s="136" t="s">
        <v>83</v>
      </c>
      <c r="FC337" s="16" t="s">
        <v>282</v>
      </c>
      <c r="FI337" s="137">
        <f>IF(DR337="základní",J337,0)</f>
        <v>26363.1</v>
      </c>
      <c r="FJ337" s="137">
        <f>IF(DR337="snížená",J337,0)</f>
        <v>0</v>
      </c>
      <c r="FK337" s="137">
        <f>IF(DR337="zákl. přenesená",J337,0)</f>
        <v>0</v>
      </c>
      <c r="FL337" s="137">
        <f>IF(DR337="sníž. přenesená",J337,0)</f>
        <v>0</v>
      </c>
      <c r="FM337" s="137">
        <f>IF(DR337="nulová",J337,0)</f>
        <v>0</v>
      </c>
      <c r="FN337" s="16" t="s">
        <v>81</v>
      </c>
      <c r="FO337" s="137">
        <f>ROUND(I337*H337,2)</f>
        <v>26363.1</v>
      </c>
      <c r="FP337" s="16" t="s">
        <v>95</v>
      </c>
      <c r="FQ337" s="136" t="s">
        <v>539</v>
      </c>
    </row>
    <row r="338" spans="2:173" s="1" customFormat="1" ht="29.25" x14ac:dyDescent="0.2">
      <c r="B338" s="31"/>
      <c r="D338" s="138" t="s">
        <v>289</v>
      </c>
      <c r="F338" s="139" t="s">
        <v>540</v>
      </c>
      <c r="I338" s="140"/>
      <c r="L338" s="31"/>
      <c r="N338" s="213"/>
      <c r="O338" s="214"/>
      <c r="Q338" s="229"/>
      <c r="DQ338" s="141"/>
      <c r="DX338" s="50"/>
      <c r="EX338" s="16" t="s">
        <v>289</v>
      </c>
      <c r="EY338" s="16" t="s">
        <v>83</v>
      </c>
    </row>
    <row r="339" spans="2:173" s="1" customFormat="1" ht="29.25" x14ac:dyDescent="0.2">
      <c r="B339" s="31"/>
      <c r="D339" s="138" t="s">
        <v>299</v>
      </c>
      <c r="F339" s="142" t="s">
        <v>953</v>
      </c>
      <c r="I339" s="140"/>
      <c r="L339" s="31"/>
      <c r="N339" s="213"/>
      <c r="O339" s="214"/>
      <c r="Q339" s="229"/>
      <c r="DQ339" s="141"/>
      <c r="DX339" s="50"/>
      <c r="EX339" s="16" t="s">
        <v>299</v>
      </c>
      <c r="EY339" s="16" t="s">
        <v>83</v>
      </c>
    </row>
    <row r="340" spans="2:173" s="11" customFormat="1" x14ac:dyDescent="0.2">
      <c r="B340" s="143"/>
      <c r="D340" s="138" t="s">
        <v>301</v>
      </c>
      <c r="E340" s="144" t="s">
        <v>1</v>
      </c>
      <c r="F340" s="145" t="s">
        <v>541</v>
      </c>
      <c r="H340" s="144" t="s">
        <v>1</v>
      </c>
      <c r="I340" s="146"/>
      <c r="L340" s="143"/>
      <c r="N340" s="215"/>
      <c r="O340" s="216"/>
      <c r="Q340" s="230"/>
      <c r="DQ340" s="147"/>
      <c r="DX340" s="148"/>
      <c r="EX340" s="144" t="s">
        <v>301</v>
      </c>
      <c r="EY340" s="144" t="s">
        <v>83</v>
      </c>
      <c r="EZ340" s="11" t="s">
        <v>81</v>
      </c>
      <c r="FA340" s="11" t="s">
        <v>32</v>
      </c>
      <c r="FB340" s="11" t="s">
        <v>74</v>
      </c>
      <c r="FC340" s="144" t="s">
        <v>282</v>
      </c>
    </row>
    <row r="341" spans="2:173" s="12" customFormat="1" x14ac:dyDescent="0.2">
      <c r="B341" s="149"/>
      <c r="D341" s="138" t="s">
        <v>301</v>
      </c>
      <c r="E341" s="150" t="s">
        <v>1</v>
      </c>
      <c r="F341" s="151" t="s">
        <v>1024</v>
      </c>
      <c r="H341" s="152">
        <v>72.69</v>
      </c>
      <c r="I341" s="153"/>
      <c r="L341" s="149"/>
      <c r="N341" s="217"/>
      <c r="O341" s="218"/>
      <c r="Q341" s="231"/>
      <c r="DQ341" s="154"/>
      <c r="DX341" s="155"/>
      <c r="EX341" s="150" t="s">
        <v>301</v>
      </c>
      <c r="EY341" s="150" t="s">
        <v>83</v>
      </c>
      <c r="EZ341" s="12" t="s">
        <v>83</v>
      </c>
      <c r="FA341" s="12" t="s">
        <v>32</v>
      </c>
      <c r="FB341" s="12" t="s">
        <v>81</v>
      </c>
      <c r="FC341" s="150" t="s">
        <v>282</v>
      </c>
    </row>
    <row r="342" spans="2:173" s="1" customFormat="1" ht="14.45" customHeight="1" x14ac:dyDescent="0.2">
      <c r="B342" s="124"/>
      <c r="C342" s="125" t="s">
        <v>543</v>
      </c>
      <c r="D342" s="125" t="s">
        <v>284</v>
      </c>
      <c r="E342" s="126" t="s">
        <v>544</v>
      </c>
      <c r="F342" s="127" t="s">
        <v>545</v>
      </c>
      <c r="G342" s="128" t="s">
        <v>287</v>
      </c>
      <c r="H342" s="129">
        <v>203.84</v>
      </c>
      <c r="I342" s="130">
        <v>18.105699236185</v>
      </c>
      <c r="J342" s="131">
        <f>ROUND(I342*H342,2)</f>
        <v>3690.67</v>
      </c>
      <c r="K342" s="127" t="s">
        <v>293</v>
      </c>
      <c r="L342" s="198">
        <f>S342</f>
        <v>0</v>
      </c>
      <c r="M342" s="206">
        <f>ROUND(L342*I342,2)</f>
        <v>0</v>
      </c>
      <c r="N342" s="211">
        <f>N138</f>
        <v>-11.647999999999996</v>
      </c>
      <c r="O342" s="212">
        <f>ROUND(N342*I342,2)</f>
        <v>-210.9</v>
      </c>
      <c r="P342" s="207">
        <f>H342-L342-N342</f>
        <v>215.488</v>
      </c>
      <c r="Q342" s="228">
        <f>ROUND(P342*I342,2)</f>
        <v>3901.56</v>
      </c>
      <c r="R342" s="199"/>
      <c r="S342" s="200">
        <f>W342+Y342+AA342+AC342+AE342+AG342+AI342+AK342</f>
        <v>0</v>
      </c>
      <c r="T342" s="200">
        <f>ROUND(S342*I342,2)</f>
        <v>0</v>
      </c>
      <c r="U342" s="200">
        <f>H342-S342</f>
        <v>203.84</v>
      </c>
      <c r="V342" s="200">
        <f>ROUND(U342*I342,2)</f>
        <v>3690.67</v>
      </c>
      <c r="W342" s="200"/>
      <c r="X342" s="200"/>
      <c r="Y342" s="200"/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DQ342" s="132" t="s">
        <v>1</v>
      </c>
      <c r="DR342" s="133" t="s">
        <v>40</v>
      </c>
      <c r="DT342" s="134">
        <f>DS342*H342</f>
        <v>0</v>
      </c>
      <c r="DU342" s="134">
        <v>0</v>
      </c>
      <c r="DV342" s="134">
        <f>DU342*H342</f>
        <v>0</v>
      </c>
      <c r="DW342" s="134">
        <v>0</v>
      </c>
      <c r="DX342" s="135">
        <f>DW342*H342</f>
        <v>0</v>
      </c>
      <c r="EV342" s="136" t="s">
        <v>95</v>
      </c>
      <c r="EX342" s="136" t="s">
        <v>284</v>
      </c>
      <c r="EY342" s="136" t="s">
        <v>83</v>
      </c>
      <c r="FC342" s="16" t="s">
        <v>282</v>
      </c>
      <c r="FI342" s="137">
        <f>IF(DR342="základní",J342,0)</f>
        <v>3690.67</v>
      </c>
      <c r="FJ342" s="137">
        <f>IF(DR342="snížená",J342,0)</f>
        <v>0</v>
      </c>
      <c r="FK342" s="137">
        <f>IF(DR342="zákl. přenesená",J342,0)</f>
        <v>0</v>
      </c>
      <c r="FL342" s="137">
        <f>IF(DR342="sníž. přenesená",J342,0)</f>
        <v>0</v>
      </c>
      <c r="FM342" s="137">
        <f>IF(DR342="nulová",J342,0)</f>
        <v>0</v>
      </c>
      <c r="FN342" s="16" t="s">
        <v>81</v>
      </c>
      <c r="FO342" s="137">
        <f>ROUND(I342*H342,2)</f>
        <v>3690.67</v>
      </c>
      <c r="FP342" s="16" t="s">
        <v>95</v>
      </c>
      <c r="FQ342" s="136" t="s">
        <v>546</v>
      </c>
    </row>
    <row r="343" spans="2:173" s="1" customFormat="1" ht="19.5" x14ac:dyDescent="0.2">
      <c r="B343" s="31"/>
      <c r="D343" s="138" t="s">
        <v>289</v>
      </c>
      <c r="F343" s="139" t="s">
        <v>547</v>
      </c>
      <c r="I343" s="140"/>
      <c r="L343" s="31"/>
      <c r="N343" s="213"/>
      <c r="O343" s="214"/>
      <c r="Q343" s="229"/>
      <c r="DQ343" s="141"/>
      <c r="DX343" s="50"/>
      <c r="EX343" s="16" t="s">
        <v>289</v>
      </c>
      <c r="EY343" s="16" t="s">
        <v>83</v>
      </c>
    </row>
    <row r="344" spans="2:173" s="1" customFormat="1" ht="24.2" customHeight="1" x14ac:dyDescent="0.2">
      <c r="B344" s="124"/>
      <c r="C344" s="125" t="s">
        <v>548</v>
      </c>
      <c r="D344" s="125" t="s">
        <v>284</v>
      </c>
      <c r="E344" s="126" t="s">
        <v>549</v>
      </c>
      <c r="F344" s="127" t="s">
        <v>550</v>
      </c>
      <c r="G344" s="128" t="s">
        <v>287</v>
      </c>
      <c r="H344" s="129">
        <v>203.84</v>
      </c>
      <c r="I344" s="130">
        <v>388.96896513366403</v>
      </c>
      <c r="J344" s="131">
        <f>ROUND(I344*H344,2)</f>
        <v>79287.429999999993</v>
      </c>
      <c r="K344" s="127" t="s">
        <v>293</v>
      </c>
      <c r="L344" s="198">
        <f>S344</f>
        <v>0</v>
      </c>
      <c r="M344" s="206">
        <f>ROUND(L344*I344,2)</f>
        <v>0</v>
      </c>
      <c r="N344" s="211">
        <f>N342</f>
        <v>-11.647999999999996</v>
      </c>
      <c r="O344" s="212">
        <f>ROUND(N344*I344,2)</f>
        <v>-4530.71</v>
      </c>
      <c r="P344" s="207">
        <f>H344-L344-N344</f>
        <v>215.488</v>
      </c>
      <c r="Q344" s="228">
        <f>ROUND(P344*I344,2)</f>
        <v>83818.14</v>
      </c>
      <c r="R344" s="199"/>
      <c r="S344" s="200">
        <f>W344+Y344+AA344+AC344+AE344+AG344+AI344+AK344</f>
        <v>0</v>
      </c>
      <c r="T344" s="200">
        <f>ROUND(S344*I344,2)</f>
        <v>0</v>
      </c>
      <c r="U344" s="200">
        <f>H344-S344</f>
        <v>203.84</v>
      </c>
      <c r="V344" s="200">
        <f>ROUND(U344*I344,2)</f>
        <v>79287.429999999993</v>
      </c>
      <c r="W344" s="200"/>
      <c r="X344" s="200"/>
      <c r="Y344" s="200"/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DQ344" s="132" t="s">
        <v>1</v>
      </c>
      <c r="DR344" s="133" t="s">
        <v>40</v>
      </c>
      <c r="DT344" s="134">
        <f>DS344*H344</f>
        <v>0</v>
      </c>
      <c r="DU344" s="134">
        <v>0</v>
      </c>
      <c r="DV344" s="134">
        <f>DU344*H344</f>
        <v>0</v>
      </c>
      <c r="DW344" s="134">
        <v>0</v>
      </c>
      <c r="DX344" s="135">
        <f>DW344*H344</f>
        <v>0</v>
      </c>
      <c r="EV344" s="136" t="s">
        <v>95</v>
      </c>
      <c r="EX344" s="136" t="s">
        <v>284</v>
      </c>
      <c r="EY344" s="136" t="s">
        <v>83</v>
      </c>
      <c r="FC344" s="16" t="s">
        <v>282</v>
      </c>
      <c r="FI344" s="137">
        <f>IF(DR344="základní",J344,0)</f>
        <v>79287.429999999993</v>
      </c>
      <c r="FJ344" s="137">
        <f>IF(DR344="snížená",J344,0)</f>
        <v>0</v>
      </c>
      <c r="FK344" s="137">
        <f>IF(DR344="zákl. přenesená",J344,0)</f>
        <v>0</v>
      </c>
      <c r="FL344" s="137">
        <f>IF(DR344="sníž. přenesená",J344,0)</f>
        <v>0</v>
      </c>
      <c r="FM344" s="137">
        <f>IF(DR344="nulová",J344,0)</f>
        <v>0</v>
      </c>
      <c r="FN344" s="16" t="s">
        <v>81</v>
      </c>
      <c r="FO344" s="137">
        <f>ROUND(I344*H344,2)</f>
        <v>79287.429999999993</v>
      </c>
      <c r="FP344" s="16" t="s">
        <v>95</v>
      </c>
      <c r="FQ344" s="136" t="s">
        <v>551</v>
      </c>
    </row>
    <row r="345" spans="2:173" s="1" customFormat="1" ht="29.25" x14ac:dyDescent="0.2">
      <c r="B345" s="31"/>
      <c r="D345" s="138" t="s">
        <v>289</v>
      </c>
      <c r="F345" s="139" t="s">
        <v>552</v>
      </c>
      <c r="I345" s="140"/>
      <c r="L345" s="31"/>
      <c r="N345" s="213"/>
      <c r="O345" s="214"/>
      <c r="Q345" s="229"/>
      <c r="DQ345" s="141"/>
      <c r="DX345" s="50"/>
      <c r="EX345" s="16" t="s">
        <v>289</v>
      </c>
      <c r="EY345" s="16" t="s">
        <v>83</v>
      </c>
    </row>
    <row r="346" spans="2:173" s="1" customFormat="1" ht="29.25" x14ac:dyDescent="0.2">
      <c r="B346" s="31"/>
      <c r="D346" s="138" t="s">
        <v>299</v>
      </c>
      <c r="F346" s="142" t="s">
        <v>953</v>
      </c>
      <c r="I346" s="140"/>
      <c r="L346" s="31"/>
      <c r="N346" s="213"/>
      <c r="O346" s="214"/>
      <c r="Q346" s="229"/>
      <c r="DQ346" s="141"/>
      <c r="DX346" s="50"/>
      <c r="EX346" s="16" t="s">
        <v>299</v>
      </c>
      <c r="EY346" s="16" t="s">
        <v>83</v>
      </c>
    </row>
    <row r="347" spans="2:173" s="11" customFormat="1" x14ac:dyDescent="0.2">
      <c r="B347" s="143"/>
      <c r="D347" s="138" t="s">
        <v>301</v>
      </c>
      <c r="E347" s="144" t="s">
        <v>1</v>
      </c>
      <c r="F347" s="145" t="s">
        <v>553</v>
      </c>
      <c r="H347" s="144" t="s">
        <v>1</v>
      </c>
      <c r="I347" s="146"/>
      <c r="L347" s="143"/>
      <c r="N347" s="215"/>
      <c r="O347" s="216"/>
      <c r="Q347" s="230"/>
      <c r="DQ347" s="147"/>
      <c r="DX347" s="148"/>
      <c r="EX347" s="144" t="s">
        <v>301</v>
      </c>
      <c r="EY347" s="144" t="s">
        <v>83</v>
      </c>
      <c r="EZ347" s="11" t="s">
        <v>81</v>
      </c>
      <c r="FA347" s="11" t="s">
        <v>32</v>
      </c>
      <c r="FB347" s="11" t="s">
        <v>74</v>
      </c>
      <c r="FC347" s="144" t="s">
        <v>282</v>
      </c>
    </row>
    <row r="348" spans="2:173" s="12" customFormat="1" x14ac:dyDescent="0.2">
      <c r="B348" s="149"/>
      <c r="D348" s="138" t="s">
        <v>301</v>
      </c>
      <c r="E348" s="150" t="s">
        <v>1</v>
      </c>
      <c r="F348" s="151" t="s">
        <v>1025</v>
      </c>
      <c r="H348" s="152">
        <v>203.84</v>
      </c>
      <c r="I348" s="153"/>
      <c r="L348" s="149"/>
      <c r="N348" s="217"/>
      <c r="O348" s="218"/>
      <c r="Q348" s="231"/>
      <c r="DQ348" s="154"/>
      <c r="DX348" s="155"/>
      <c r="EX348" s="150" t="s">
        <v>301</v>
      </c>
      <c r="EY348" s="150" t="s">
        <v>83</v>
      </c>
      <c r="EZ348" s="12" t="s">
        <v>83</v>
      </c>
      <c r="FA348" s="12" t="s">
        <v>32</v>
      </c>
      <c r="FB348" s="12" t="s">
        <v>81</v>
      </c>
      <c r="FC348" s="150" t="s">
        <v>282</v>
      </c>
    </row>
    <row r="349" spans="2:173" s="10" customFormat="1" ht="22.9" customHeight="1" x14ac:dyDescent="0.2">
      <c r="B349" s="112"/>
      <c r="D349" s="113" t="s">
        <v>73</v>
      </c>
      <c r="E349" s="122" t="s">
        <v>328</v>
      </c>
      <c r="F349" s="122" t="s">
        <v>555</v>
      </c>
      <c r="I349" s="115"/>
      <c r="J349" s="123">
        <f>FO349</f>
        <v>263247.77</v>
      </c>
      <c r="L349" s="112"/>
      <c r="M349" s="320">
        <f>SUM(M350:M413)</f>
        <v>0</v>
      </c>
      <c r="N349" s="323"/>
      <c r="O349" s="324">
        <f t="shared" ref="O349:V349" si="6">SUM(O350:O413)</f>
        <v>-3428.19</v>
      </c>
      <c r="P349" s="320"/>
      <c r="Q349" s="326">
        <f t="shared" si="6"/>
        <v>266675.95</v>
      </c>
      <c r="R349" s="320"/>
      <c r="S349" s="320"/>
      <c r="T349" s="320">
        <f t="shared" si="6"/>
        <v>0</v>
      </c>
      <c r="U349" s="320"/>
      <c r="V349" s="320">
        <f t="shared" si="6"/>
        <v>263247.77</v>
      </c>
      <c r="DQ349" s="117"/>
      <c r="DT349" s="118">
        <f>SUM(DT350:DT414)</f>
        <v>0</v>
      </c>
      <c r="DV349" s="118">
        <f>SUM(DV350:DV414)</f>
        <v>10.63068</v>
      </c>
      <c r="DX349" s="119">
        <f>SUM(DX350:DX414)</f>
        <v>0</v>
      </c>
      <c r="EV349" s="113" t="s">
        <v>81</v>
      </c>
      <c r="EX349" s="120" t="s">
        <v>73</v>
      </c>
      <c r="EY349" s="120" t="s">
        <v>81</v>
      </c>
      <c r="FC349" s="113" t="s">
        <v>282</v>
      </c>
      <c r="FO349" s="121">
        <f>SUM(FO350:FO414)</f>
        <v>263247.77</v>
      </c>
    </row>
    <row r="350" spans="2:173" s="1" customFormat="1" ht="24.2" customHeight="1" x14ac:dyDescent="0.2">
      <c r="B350" s="124"/>
      <c r="C350" s="125" t="s">
        <v>556</v>
      </c>
      <c r="D350" s="125" t="s">
        <v>284</v>
      </c>
      <c r="E350" s="126" t="s">
        <v>557</v>
      </c>
      <c r="F350" s="127" t="s">
        <v>558</v>
      </c>
      <c r="G350" s="128" t="s">
        <v>344</v>
      </c>
      <c r="H350" s="129">
        <v>157</v>
      </c>
      <c r="I350" s="130">
        <v>850.78954015145496</v>
      </c>
      <c r="J350" s="131">
        <f>ROUND(I350*H350,2)</f>
        <v>133573.96</v>
      </c>
      <c r="K350" s="127" t="s">
        <v>293</v>
      </c>
      <c r="L350" s="198">
        <f>S350</f>
        <v>0</v>
      </c>
      <c r="M350" s="206">
        <f>ROUND(L350*I350,2)</f>
        <v>0</v>
      </c>
      <c r="N350" s="211">
        <f>N352</f>
        <v>-3.6399999999999864</v>
      </c>
      <c r="O350" s="212">
        <f>ROUND(N350*I350,2)</f>
        <v>-3096.87</v>
      </c>
      <c r="P350" s="207">
        <f>H350-L350-N350</f>
        <v>160.63999999999999</v>
      </c>
      <c r="Q350" s="228">
        <f>ROUND(P350*I350,2)</f>
        <v>136670.82999999999</v>
      </c>
      <c r="R350" s="199"/>
      <c r="S350" s="200">
        <f>W350+Y350+AA350+AC350+AE350+AG350+AI350+AK350</f>
        <v>0</v>
      </c>
      <c r="T350" s="200">
        <f>ROUND(S350*I350,2)</f>
        <v>0</v>
      </c>
      <c r="U350" s="200">
        <f>H350-S350</f>
        <v>157</v>
      </c>
      <c r="V350" s="200">
        <f>ROUND(U350*I350,2)</f>
        <v>133573.96</v>
      </c>
      <c r="W350" s="200"/>
      <c r="X350" s="200"/>
      <c r="Y350" s="200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DQ350" s="132" t="s">
        <v>1</v>
      </c>
      <c r="DR350" s="133" t="s">
        <v>40</v>
      </c>
      <c r="DT350" s="134">
        <f>DS350*H350</f>
        <v>0</v>
      </c>
      <c r="DU350" s="134">
        <v>1.323E-2</v>
      </c>
      <c r="DV350" s="134">
        <f>DU350*H350</f>
        <v>2.0771100000000002</v>
      </c>
      <c r="DW350" s="134">
        <v>0</v>
      </c>
      <c r="DX350" s="135">
        <f>DW350*H350</f>
        <v>0</v>
      </c>
      <c r="EV350" s="136" t="s">
        <v>95</v>
      </c>
      <c r="EX350" s="136" t="s">
        <v>284</v>
      </c>
      <c r="EY350" s="136" t="s">
        <v>83</v>
      </c>
      <c r="FC350" s="16" t="s">
        <v>282</v>
      </c>
      <c r="FI350" s="137">
        <f>IF(DR350="základní",J350,0)</f>
        <v>133573.96</v>
      </c>
      <c r="FJ350" s="137">
        <f>IF(DR350="snížená",J350,0)</f>
        <v>0</v>
      </c>
      <c r="FK350" s="137">
        <f>IF(DR350="zákl. přenesená",J350,0)</f>
        <v>0</v>
      </c>
      <c r="FL350" s="137">
        <f>IF(DR350="sníž. přenesená",J350,0)</f>
        <v>0</v>
      </c>
      <c r="FM350" s="137">
        <f>IF(DR350="nulová",J350,0)</f>
        <v>0</v>
      </c>
      <c r="FN350" s="16" t="s">
        <v>81</v>
      </c>
      <c r="FO350" s="137">
        <f>ROUND(I350*H350,2)</f>
        <v>133573.96</v>
      </c>
      <c r="FP350" s="16" t="s">
        <v>95</v>
      </c>
      <c r="FQ350" s="136" t="s">
        <v>559</v>
      </c>
    </row>
    <row r="351" spans="2:173" s="1" customFormat="1" ht="29.25" x14ac:dyDescent="0.2">
      <c r="B351" s="31"/>
      <c r="D351" s="138" t="s">
        <v>289</v>
      </c>
      <c r="F351" s="139" t="s">
        <v>560</v>
      </c>
      <c r="I351" s="140"/>
      <c r="L351" s="31"/>
      <c r="N351" s="213"/>
      <c r="O351" s="214"/>
      <c r="Q351" s="229"/>
      <c r="DQ351" s="141"/>
      <c r="DX351" s="50"/>
      <c r="EX351" s="16" t="s">
        <v>289</v>
      </c>
      <c r="EY351" s="16" t="s">
        <v>83</v>
      </c>
    </row>
    <row r="352" spans="2:173" s="1" customFormat="1" ht="29.25" x14ac:dyDescent="0.2">
      <c r="B352" s="31"/>
      <c r="D352" s="138" t="s">
        <v>299</v>
      </c>
      <c r="F352" s="142" t="s">
        <v>953</v>
      </c>
      <c r="I352" s="140"/>
      <c r="L352" s="31"/>
      <c r="N352" s="213">
        <f>153.36-157</f>
        <v>-3.6399999999999864</v>
      </c>
      <c r="O352" s="214" t="s">
        <v>3444</v>
      </c>
      <c r="Q352" s="229"/>
      <c r="DQ352" s="141"/>
      <c r="DX352" s="50"/>
      <c r="EX352" s="16" t="s">
        <v>299</v>
      </c>
      <c r="EY352" s="16" t="s">
        <v>83</v>
      </c>
    </row>
    <row r="353" spans="2:173" s="12" customFormat="1" x14ac:dyDescent="0.2">
      <c r="B353" s="149"/>
      <c r="D353" s="138" t="s">
        <v>301</v>
      </c>
      <c r="E353" s="150" t="s">
        <v>1</v>
      </c>
      <c r="F353" s="151" t="s">
        <v>1026</v>
      </c>
      <c r="H353" s="152">
        <v>157</v>
      </c>
      <c r="I353" s="153"/>
      <c r="L353" s="149"/>
      <c r="N353" s="217"/>
      <c r="O353" s="218"/>
      <c r="Q353" s="231"/>
      <c r="DQ353" s="154"/>
      <c r="DX353" s="155"/>
      <c r="EX353" s="150" t="s">
        <v>301</v>
      </c>
      <c r="EY353" s="150" t="s">
        <v>83</v>
      </c>
      <c r="EZ353" s="12" t="s">
        <v>83</v>
      </c>
      <c r="FA353" s="12" t="s">
        <v>32</v>
      </c>
      <c r="FB353" s="12" t="s">
        <v>81</v>
      </c>
      <c r="FC353" s="150" t="s">
        <v>282</v>
      </c>
    </row>
    <row r="354" spans="2:173" s="1" customFormat="1" ht="24.2" customHeight="1" x14ac:dyDescent="0.2">
      <c r="B354" s="124"/>
      <c r="C354" s="125" t="s">
        <v>562</v>
      </c>
      <c r="D354" s="125" t="s">
        <v>284</v>
      </c>
      <c r="E354" s="126" t="s">
        <v>563</v>
      </c>
      <c r="F354" s="127" t="s">
        <v>564</v>
      </c>
      <c r="G354" s="128" t="s">
        <v>485</v>
      </c>
      <c r="H354" s="129">
        <v>3</v>
      </c>
      <c r="I354" s="130">
        <v>428.93856860779169</v>
      </c>
      <c r="J354" s="131">
        <f>ROUND(I354*H354,2)</f>
        <v>1286.82</v>
      </c>
      <c r="K354" s="127" t="s">
        <v>293</v>
      </c>
      <c r="L354" s="198">
        <f>S354</f>
        <v>0</v>
      </c>
      <c r="M354" s="206">
        <f>ROUND(L354*I354,2)</f>
        <v>0</v>
      </c>
      <c r="N354" s="211"/>
      <c r="O354" s="212">
        <f>ROUND(N354*I354,2)</f>
        <v>0</v>
      </c>
      <c r="P354" s="207">
        <f>H354-L354-N354</f>
        <v>3</v>
      </c>
      <c r="Q354" s="228">
        <f>ROUND(P354*I354,2)</f>
        <v>1286.82</v>
      </c>
      <c r="R354" s="199"/>
      <c r="S354" s="200">
        <f>W354+Y354+AA354+AC354+AE354+AG354+AI354+AK354</f>
        <v>0</v>
      </c>
      <c r="T354" s="200">
        <f>ROUND(S354*I354,2)</f>
        <v>0</v>
      </c>
      <c r="U354" s="200">
        <f>H354-S354</f>
        <v>3</v>
      </c>
      <c r="V354" s="200">
        <f>ROUND(U354*I354,2)</f>
        <v>1286.82</v>
      </c>
      <c r="W354" s="200"/>
      <c r="X354" s="200"/>
      <c r="Y354" s="200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DQ354" s="132" t="s">
        <v>1</v>
      </c>
      <c r="DR354" s="133" t="s">
        <v>40</v>
      </c>
      <c r="DT354" s="134">
        <f>DS354*H354</f>
        <v>0</v>
      </c>
      <c r="DU354" s="134">
        <v>2.0000000000000002E-5</v>
      </c>
      <c r="DV354" s="134">
        <f>DU354*H354</f>
        <v>6.0000000000000008E-5</v>
      </c>
      <c r="DW354" s="134">
        <v>0</v>
      </c>
      <c r="DX354" s="135">
        <f>DW354*H354</f>
        <v>0</v>
      </c>
      <c r="EV354" s="136" t="s">
        <v>95</v>
      </c>
      <c r="EX354" s="136" t="s">
        <v>284</v>
      </c>
      <c r="EY354" s="136" t="s">
        <v>83</v>
      </c>
      <c r="FC354" s="16" t="s">
        <v>282</v>
      </c>
      <c r="FI354" s="137">
        <f>IF(DR354="základní",J354,0)</f>
        <v>1286.82</v>
      </c>
      <c r="FJ354" s="137">
        <f>IF(DR354="snížená",J354,0)</f>
        <v>0</v>
      </c>
      <c r="FK354" s="137">
        <f>IF(DR354="zákl. přenesená",J354,0)</f>
        <v>0</v>
      </c>
      <c r="FL354" s="137">
        <f>IF(DR354="sníž. přenesená",J354,0)</f>
        <v>0</v>
      </c>
      <c r="FM354" s="137">
        <f>IF(DR354="nulová",J354,0)</f>
        <v>0</v>
      </c>
      <c r="FN354" s="16" t="s">
        <v>81</v>
      </c>
      <c r="FO354" s="137">
        <f>ROUND(I354*H354,2)</f>
        <v>1286.82</v>
      </c>
      <c r="FP354" s="16" t="s">
        <v>95</v>
      </c>
      <c r="FQ354" s="136" t="s">
        <v>565</v>
      </c>
    </row>
    <row r="355" spans="2:173" s="1" customFormat="1" ht="19.5" x14ac:dyDescent="0.2">
      <c r="B355" s="31"/>
      <c r="D355" s="138" t="s">
        <v>289</v>
      </c>
      <c r="F355" s="139" t="s">
        <v>566</v>
      </c>
      <c r="I355" s="140"/>
      <c r="L355" s="31"/>
      <c r="N355" s="213"/>
      <c r="O355" s="214"/>
      <c r="Q355" s="229"/>
      <c r="DQ355" s="141"/>
      <c r="DX355" s="50"/>
      <c r="EX355" s="16" t="s">
        <v>289</v>
      </c>
      <c r="EY355" s="16" t="s">
        <v>83</v>
      </c>
    </row>
    <row r="356" spans="2:173" s="1" customFormat="1" ht="19.5" x14ac:dyDescent="0.2">
      <c r="B356" s="31"/>
      <c r="D356" s="138" t="s">
        <v>299</v>
      </c>
      <c r="F356" s="142" t="s">
        <v>317</v>
      </c>
      <c r="I356" s="140"/>
      <c r="L356" s="31"/>
      <c r="N356" s="213"/>
      <c r="O356" s="214"/>
      <c r="Q356" s="229"/>
      <c r="DQ356" s="141"/>
      <c r="DX356" s="50"/>
      <c r="EX356" s="16" t="s">
        <v>299</v>
      </c>
      <c r="EY356" s="16" t="s">
        <v>83</v>
      </c>
    </row>
    <row r="357" spans="2:173" s="12" customFormat="1" x14ac:dyDescent="0.2">
      <c r="B357" s="149"/>
      <c r="D357" s="138" t="s">
        <v>301</v>
      </c>
      <c r="E357" s="150" t="s">
        <v>1</v>
      </c>
      <c r="F357" s="151" t="s">
        <v>832</v>
      </c>
      <c r="H357" s="152">
        <v>3</v>
      </c>
      <c r="I357" s="153"/>
      <c r="L357" s="149"/>
      <c r="N357" s="217"/>
      <c r="O357" s="218"/>
      <c r="Q357" s="231"/>
      <c r="DQ357" s="154"/>
      <c r="DX357" s="155"/>
      <c r="EX357" s="150" t="s">
        <v>301</v>
      </c>
      <c r="EY357" s="150" t="s">
        <v>83</v>
      </c>
      <c r="EZ357" s="12" t="s">
        <v>83</v>
      </c>
      <c r="FA357" s="12" t="s">
        <v>32</v>
      </c>
      <c r="FB357" s="12" t="s">
        <v>81</v>
      </c>
      <c r="FC357" s="150" t="s">
        <v>282</v>
      </c>
    </row>
    <row r="358" spans="2:173" s="1" customFormat="1" ht="24.2" customHeight="1" x14ac:dyDescent="0.2">
      <c r="B358" s="124"/>
      <c r="C358" s="170" t="s">
        <v>568</v>
      </c>
      <c r="D358" s="170" t="s">
        <v>439</v>
      </c>
      <c r="E358" s="171" t="s">
        <v>569</v>
      </c>
      <c r="F358" s="172" t="s">
        <v>570</v>
      </c>
      <c r="G358" s="173" t="s">
        <v>485</v>
      </c>
      <c r="H358" s="174">
        <v>3</v>
      </c>
      <c r="I358" s="175">
        <v>1984.4168915</v>
      </c>
      <c r="J358" s="176">
        <f>ROUND(I358*H358,2)</f>
        <v>5953.25</v>
      </c>
      <c r="K358" s="172" t="s">
        <v>293</v>
      </c>
      <c r="L358" s="198">
        <f>S358</f>
        <v>0</v>
      </c>
      <c r="M358" s="206">
        <f>ROUND(L358*I358,2)</f>
        <v>0</v>
      </c>
      <c r="N358" s="211"/>
      <c r="O358" s="212">
        <f>ROUND(N358*I358,2)</f>
        <v>0</v>
      </c>
      <c r="P358" s="207">
        <f>H358-L358-N358</f>
        <v>3</v>
      </c>
      <c r="Q358" s="228">
        <f>ROUND(P358*I358,2)</f>
        <v>5953.25</v>
      </c>
      <c r="R358" s="199"/>
      <c r="S358" s="200">
        <f>W358+Y358+AA358+AC358+AE358+AG358+AI358+AK358</f>
        <v>0</v>
      </c>
      <c r="T358" s="200">
        <f>ROUND(S358*I358,2)</f>
        <v>0</v>
      </c>
      <c r="U358" s="200">
        <f>H358-S358</f>
        <v>3</v>
      </c>
      <c r="V358" s="200">
        <f>ROUND(U358*I358,2)</f>
        <v>5953.25</v>
      </c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77" t="s">
        <v>1</v>
      </c>
      <c r="DR358" s="178" t="s">
        <v>40</v>
      </c>
      <c r="DT358" s="134">
        <f>DS358*H358</f>
        <v>0</v>
      </c>
      <c r="DU358" s="134">
        <v>4.2599999999999999E-3</v>
      </c>
      <c r="DV358" s="134">
        <f>DU358*H358</f>
        <v>1.278E-2</v>
      </c>
      <c r="DW358" s="134">
        <v>0</v>
      </c>
      <c r="DX358" s="135">
        <f>DW358*H358</f>
        <v>0</v>
      </c>
      <c r="EV358" s="136" t="s">
        <v>328</v>
      </c>
      <c r="EX358" s="136" t="s">
        <v>439</v>
      </c>
      <c r="EY358" s="136" t="s">
        <v>83</v>
      </c>
      <c r="FC358" s="16" t="s">
        <v>282</v>
      </c>
      <c r="FI358" s="137">
        <f>IF(DR358="základní",J358,0)</f>
        <v>5953.25</v>
      </c>
      <c r="FJ358" s="137">
        <f>IF(DR358="snížená",J358,0)</f>
        <v>0</v>
      </c>
      <c r="FK358" s="137">
        <f>IF(DR358="zákl. přenesená",J358,0)</f>
        <v>0</v>
      </c>
      <c r="FL358" s="137">
        <f>IF(DR358="sníž. přenesená",J358,0)</f>
        <v>0</v>
      </c>
      <c r="FM358" s="137">
        <f>IF(DR358="nulová",J358,0)</f>
        <v>0</v>
      </c>
      <c r="FN358" s="16" t="s">
        <v>81</v>
      </c>
      <c r="FO358" s="137">
        <f>ROUND(I358*H358,2)</f>
        <v>5953.25</v>
      </c>
      <c r="FP358" s="16" t="s">
        <v>95</v>
      </c>
      <c r="FQ358" s="136" t="s">
        <v>571</v>
      </c>
    </row>
    <row r="359" spans="2:173" s="1" customFormat="1" x14ac:dyDescent="0.2">
      <c r="B359" s="31"/>
      <c r="D359" s="138" t="s">
        <v>289</v>
      </c>
      <c r="F359" s="139" t="s">
        <v>570</v>
      </c>
      <c r="I359" s="140"/>
      <c r="L359" s="31"/>
      <c r="N359" s="213"/>
      <c r="O359" s="214"/>
      <c r="Q359" s="229"/>
      <c r="DQ359" s="141"/>
      <c r="DX359" s="50"/>
      <c r="EX359" s="16" t="s">
        <v>289</v>
      </c>
      <c r="EY359" s="16" t="s">
        <v>83</v>
      </c>
    </row>
    <row r="360" spans="2:173" s="1" customFormat="1" ht="24.2" customHeight="1" x14ac:dyDescent="0.2">
      <c r="B360" s="124"/>
      <c r="C360" s="125" t="s">
        <v>572</v>
      </c>
      <c r="D360" s="125" t="s">
        <v>284</v>
      </c>
      <c r="E360" s="126" t="s">
        <v>573</v>
      </c>
      <c r="F360" s="127" t="s">
        <v>574</v>
      </c>
      <c r="G360" s="128" t="s">
        <v>344</v>
      </c>
      <c r="H360" s="129">
        <v>157</v>
      </c>
      <c r="I360" s="130">
        <v>42.624706500000002</v>
      </c>
      <c r="J360" s="131">
        <f>ROUND(I360*H360,2)</f>
        <v>6692.08</v>
      </c>
      <c r="K360" s="127" t="s">
        <v>1</v>
      </c>
      <c r="L360" s="198">
        <f>S360</f>
        <v>0</v>
      </c>
      <c r="M360" s="206">
        <f>ROUND(L360*I360,2)</f>
        <v>0</v>
      </c>
      <c r="N360" s="211">
        <f>N350</f>
        <v>-3.6399999999999864</v>
      </c>
      <c r="O360" s="212">
        <f>ROUND(N360*I360,2)</f>
        <v>-155.15</v>
      </c>
      <c r="P360" s="207">
        <f>H360-L360-N360</f>
        <v>160.63999999999999</v>
      </c>
      <c r="Q360" s="228">
        <f>ROUND(P360*I360,2)</f>
        <v>6847.23</v>
      </c>
      <c r="R360" s="199"/>
      <c r="S360" s="200">
        <f>W360+Y360+AA360+AC360+AE360+AG360+AI360+AK360</f>
        <v>0</v>
      </c>
      <c r="T360" s="200">
        <f>ROUND(S360*I360,2)</f>
        <v>0</v>
      </c>
      <c r="U360" s="200">
        <f>H360-S360</f>
        <v>157</v>
      </c>
      <c r="V360" s="200">
        <f>ROUND(U360*I360,2)</f>
        <v>6692.08</v>
      </c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DQ360" s="132" t="s">
        <v>1</v>
      </c>
      <c r="DR360" s="133" t="s">
        <v>40</v>
      </c>
      <c r="DT360" s="134">
        <f>DS360*H360</f>
        <v>0</v>
      </c>
      <c r="DU360" s="134">
        <v>0</v>
      </c>
      <c r="DV360" s="134">
        <f>DU360*H360</f>
        <v>0</v>
      </c>
      <c r="DW360" s="134">
        <v>0</v>
      </c>
      <c r="DX360" s="135">
        <f>DW360*H360</f>
        <v>0</v>
      </c>
      <c r="EV360" s="136" t="s">
        <v>95</v>
      </c>
      <c r="EX360" s="136" t="s">
        <v>284</v>
      </c>
      <c r="EY360" s="136" t="s">
        <v>83</v>
      </c>
      <c r="FC360" s="16" t="s">
        <v>282</v>
      </c>
      <c r="FI360" s="137">
        <f>IF(DR360="základní",J360,0)</f>
        <v>6692.08</v>
      </c>
      <c r="FJ360" s="137">
        <f>IF(DR360="snížená",J360,0)</f>
        <v>0</v>
      </c>
      <c r="FK360" s="137">
        <f>IF(DR360="zákl. přenesená",J360,0)</f>
        <v>0</v>
      </c>
      <c r="FL360" s="137">
        <f>IF(DR360="sníž. přenesená",J360,0)</f>
        <v>0</v>
      </c>
      <c r="FM360" s="137">
        <f>IF(DR360="nulová",J360,0)</f>
        <v>0</v>
      </c>
      <c r="FN360" s="16" t="s">
        <v>81</v>
      </c>
      <c r="FO360" s="137">
        <f>ROUND(I360*H360,2)</f>
        <v>6692.08</v>
      </c>
      <c r="FP360" s="16" t="s">
        <v>95</v>
      </c>
      <c r="FQ360" s="136" t="s">
        <v>575</v>
      </c>
    </row>
    <row r="361" spans="2:173" s="1" customFormat="1" ht="19.5" x14ac:dyDescent="0.2">
      <c r="B361" s="31"/>
      <c r="D361" s="138" t="s">
        <v>289</v>
      </c>
      <c r="F361" s="139" t="s">
        <v>574</v>
      </c>
      <c r="I361" s="140"/>
      <c r="L361" s="31"/>
      <c r="N361" s="213"/>
      <c r="O361" s="214"/>
      <c r="Q361" s="229"/>
      <c r="DQ361" s="141"/>
      <c r="DX361" s="50"/>
      <c r="EX361" s="16" t="s">
        <v>289</v>
      </c>
      <c r="EY361" s="16" t="s">
        <v>83</v>
      </c>
    </row>
    <row r="362" spans="2:173" s="1" customFormat="1" ht="14.45" customHeight="1" x14ac:dyDescent="0.2">
      <c r="B362" s="124"/>
      <c r="C362" s="125" t="s">
        <v>576</v>
      </c>
      <c r="D362" s="125" t="s">
        <v>284</v>
      </c>
      <c r="E362" s="126" t="s">
        <v>577</v>
      </c>
      <c r="F362" s="127" t="s">
        <v>578</v>
      </c>
      <c r="G362" s="128" t="s">
        <v>344</v>
      </c>
      <c r="H362" s="129">
        <v>157</v>
      </c>
      <c r="I362" s="130">
        <v>18.944313999999999</v>
      </c>
      <c r="J362" s="131">
        <f>ROUND(I362*H362,2)</f>
        <v>2974.26</v>
      </c>
      <c r="K362" s="127" t="s">
        <v>1</v>
      </c>
      <c r="L362" s="198">
        <f>S362</f>
        <v>0</v>
      </c>
      <c r="M362" s="206">
        <f>ROUND(L362*I362,2)</f>
        <v>0</v>
      </c>
      <c r="N362" s="211">
        <f>N350</f>
        <v>-3.6399999999999864</v>
      </c>
      <c r="O362" s="212">
        <f>ROUND(N362*I362,2)</f>
        <v>-68.959999999999994</v>
      </c>
      <c r="P362" s="207">
        <f>H362-L362-N362</f>
        <v>160.63999999999999</v>
      </c>
      <c r="Q362" s="228">
        <f>ROUND(P362*I362,2)</f>
        <v>3043.21</v>
      </c>
      <c r="R362" s="199"/>
      <c r="S362" s="200">
        <f>W362+Y362+AA362+AC362+AE362+AG362+AI362+AK362</f>
        <v>0</v>
      </c>
      <c r="T362" s="200">
        <f>ROUND(S362*I362,2)</f>
        <v>0</v>
      </c>
      <c r="U362" s="200">
        <f>H362-S362</f>
        <v>157</v>
      </c>
      <c r="V362" s="200">
        <f>ROUND(U362*I362,2)</f>
        <v>2974.26</v>
      </c>
      <c r="W362" s="200"/>
      <c r="X362" s="200"/>
      <c r="Y362" s="200"/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DQ362" s="132" t="s">
        <v>1</v>
      </c>
      <c r="DR362" s="133" t="s">
        <v>40</v>
      </c>
      <c r="DT362" s="134">
        <f>DS362*H362</f>
        <v>0</v>
      </c>
      <c r="DU362" s="134">
        <v>0</v>
      </c>
      <c r="DV362" s="134">
        <f>DU362*H362</f>
        <v>0</v>
      </c>
      <c r="DW362" s="134">
        <v>0</v>
      </c>
      <c r="DX362" s="135">
        <f>DW362*H362</f>
        <v>0</v>
      </c>
      <c r="EV362" s="136" t="s">
        <v>95</v>
      </c>
      <c r="EX362" s="136" t="s">
        <v>284</v>
      </c>
      <c r="EY362" s="136" t="s">
        <v>83</v>
      </c>
      <c r="FC362" s="16" t="s">
        <v>282</v>
      </c>
      <c r="FI362" s="137">
        <f>IF(DR362="základní",J362,0)</f>
        <v>2974.26</v>
      </c>
      <c r="FJ362" s="137">
        <f>IF(DR362="snížená",J362,0)</f>
        <v>0</v>
      </c>
      <c r="FK362" s="137">
        <f>IF(DR362="zákl. přenesená",J362,0)</f>
        <v>0</v>
      </c>
      <c r="FL362" s="137">
        <f>IF(DR362="sníž. přenesená",J362,0)</f>
        <v>0</v>
      </c>
      <c r="FM362" s="137">
        <f>IF(DR362="nulová",J362,0)</f>
        <v>0</v>
      </c>
      <c r="FN362" s="16" t="s">
        <v>81</v>
      </c>
      <c r="FO362" s="137">
        <f>ROUND(I362*H362,2)</f>
        <v>2974.26</v>
      </c>
      <c r="FP362" s="16" t="s">
        <v>95</v>
      </c>
      <c r="FQ362" s="136" t="s">
        <v>579</v>
      </c>
    </row>
    <row r="363" spans="2:173" s="1" customFormat="1" x14ac:dyDescent="0.2">
      <c r="B363" s="31"/>
      <c r="D363" s="138" t="s">
        <v>289</v>
      </c>
      <c r="F363" s="139" t="s">
        <v>578</v>
      </c>
      <c r="I363" s="140"/>
      <c r="L363" s="31"/>
      <c r="N363" s="213"/>
      <c r="O363" s="214"/>
      <c r="Q363" s="229"/>
      <c r="DQ363" s="141"/>
      <c r="DX363" s="50"/>
      <c r="EX363" s="16" t="s">
        <v>289</v>
      </c>
      <c r="EY363" s="16" t="s">
        <v>83</v>
      </c>
    </row>
    <row r="364" spans="2:173" s="1" customFormat="1" ht="29.25" x14ac:dyDescent="0.2">
      <c r="B364" s="31"/>
      <c r="D364" s="138" t="s">
        <v>299</v>
      </c>
      <c r="F364" s="142" t="s">
        <v>580</v>
      </c>
      <c r="I364" s="140"/>
      <c r="L364" s="31"/>
      <c r="N364" s="213"/>
      <c r="O364" s="214"/>
      <c r="Q364" s="229"/>
      <c r="DQ364" s="141"/>
      <c r="DX364" s="50"/>
      <c r="EX364" s="16" t="s">
        <v>299</v>
      </c>
      <c r="EY364" s="16" t="s">
        <v>83</v>
      </c>
    </row>
    <row r="365" spans="2:173" s="1" customFormat="1" ht="24.2" customHeight="1" x14ac:dyDescent="0.2">
      <c r="B365" s="124"/>
      <c r="C365" s="125" t="s">
        <v>581</v>
      </c>
      <c r="D365" s="125" t="s">
        <v>284</v>
      </c>
      <c r="E365" s="126" t="s">
        <v>582</v>
      </c>
      <c r="F365" s="127" t="s">
        <v>583</v>
      </c>
      <c r="G365" s="128" t="s">
        <v>584</v>
      </c>
      <c r="H365" s="129">
        <v>5</v>
      </c>
      <c r="I365" s="130">
        <v>933.22469567263556</v>
      </c>
      <c r="J365" s="131">
        <f>ROUND(I365*H365,2)</f>
        <v>4666.12</v>
      </c>
      <c r="K365" s="127" t="s">
        <v>293</v>
      </c>
      <c r="L365" s="198">
        <f>S365</f>
        <v>0</v>
      </c>
      <c r="M365" s="206">
        <f>ROUND(L365*I365,2)</f>
        <v>0</v>
      </c>
      <c r="N365" s="211"/>
      <c r="O365" s="212">
        <f>ROUND(N365*I365,2)</f>
        <v>0</v>
      </c>
      <c r="P365" s="207">
        <f>H365-L365-N365</f>
        <v>5</v>
      </c>
      <c r="Q365" s="228">
        <f>ROUND(P365*I365,2)</f>
        <v>4666.12</v>
      </c>
      <c r="R365" s="199"/>
      <c r="S365" s="200">
        <f>W365+Y365+AA365+AC365+AE365+AG365+AI365+AK365</f>
        <v>0</v>
      </c>
      <c r="T365" s="200">
        <f>ROUND(S365*I365,2)</f>
        <v>0</v>
      </c>
      <c r="U365" s="200">
        <f>H365-S365</f>
        <v>5</v>
      </c>
      <c r="V365" s="200">
        <f>ROUND(U365*I365,2)</f>
        <v>4666.12</v>
      </c>
      <c r="W365" s="200"/>
      <c r="X365" s="200"/>
      <c r="Y365" s="200"/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DQ365" s="132" t="s">
        <v>1</v>
      </c>
      <c r="DR365" s="133" t="s">
        <v>40</v>
      </c>
      <c r="DT365" s="134">
        <f>DS365*H365</f>
        <v>0</v>
      </c>
      <c r="DU365" s="134">
        <v>3.1E-4</v>
      </c>
      <c r="DV365" s="134">
        <f>DU365*H365</f>
        <v>1.5499999999999999E-3</v>
      </c>
      <c r="DW365" s="134">
        <v>0</v>
      </c>
      <c r="DX365" s="135">
        <f>DW365*H365</f>
        <v>0</v>
      </c>
      <c r="EV365" s="136" t="s">
        <v>95</v>
      </c>
      <c r="EX365" s="136" t="s">
        <v>284</v>
      </c>
      <c r="EY365" s="136" t="s">
        <v>83</v>
      </c>
      <c r="FC365" s="16" t="s">
        <v>282</v>
      </c>
      <c r="FI365" s="137">
        <f>IF(DR365="základní",J365,0)</f>
        <v>4666.12</v>
      </c>
      <c r="FJ365" s="137">
        <f>IF(DR365="snížená",J365,0)</f>
        <v>0</v>
      </c>
      <c r="FK365" s="137">
        <f>IF(DR365="zákl. přenesená",J365,0)</f>
        <v>0</v>
      </c>
      <c r="FL365" s="137">
        <f>IF(DR365="sníž. přenesená",J365,0)</f>
        <v>0</v>
      </c>
      <c r="FM365" s="137">
        <f>IF(DR365="nulová",J365,0)</f>
        <v>0</v>
      </c>
      <c r="FN365" s="16" t="s">
        <v>81</v>
      </c>
      <c r="FO365" s="137">
        <f>ROUND(I365*H365,2)</f>
        <v>4666.12</v>
      </c>
      <c r="FP365" s="16" t="s">
        <v>95</v>
      </c>
      <c r="FQ365" s="136" t="s">
        <v>585</v>
      </c>
    </row>
    <row r="366" spans="2:173" s="1" customFormat="1" x14ac:dyDescent="0.2">
      <c r="B366" s="31"/>
      <c r="D366" s="138" t="s">
        <v>289</v>
      </c>
      <c r="F366" s="139" t="s">
        <v>586</v>
      </c>
      <c r="I366" s="140"/>
      <c r="L366" s="31"/>
      <c r="N366" s="213"/>
      <c r="O366" s="214"/>
      <c r="Q366" s="229"/>
      <c r="DQ366" s="141"/>
      <c r="DX366" s="50"/>
      <c r="EX366" s="16" t="s">
        <v>289</v>
      </c>
      <c r="EY366" s="16" t="s">
        <v>83</v>
      </c>
    </row>
    <row r="367" spans="2:173" s="1" customFormat="1" ht="19.5" x14ac:dyDescent="0.2">
      <c r="B367" s="31"/>
      <c r="D367" s="138" t="s">
        <v>299</v>
      </c>
      <c r="F367" s="142" t="s">
        <v>587</v>
      </c>
      <c r="I367" s="140"/>
      <c r="L367" s="31"/>
      <c r="N367" s="213"/>
      <c r="O367" s="214"/>
      <c r="Q367" s="229"/>
      <c r="DQ367" s="141"/>
      <c r="DX367" s="50"/>
      <c r="EX367" s="16" t="s">
        <v>299</v>
      </c>
      <c r="EY367" s="16" t="s">
        <v>83</v>
      </c>
    </row>
    <row r="368" spans="2:173" s="11" customFormat="1" x14ac:dyDescent="0.2">
      <c r="B368" s="143"/>
      <c r="D368" s="138" t="s">
        <v>301</v>
      </c>
      <c r="E368" s="144" t="s">
        <v>1</v>
      </c>
      <c r="F368" s="145" t="s">
        <v>588</v>
      </c>
      <c r="H368" s="144" t="s">
        <v>1</v>
      </c>
      <c r="I368" s="146"/>
      <c r="L368" s="143"/>
      <c r="N368" s="215"/>
      <c r="O368" s="216"/>
      <c r="Q368" s="230"/>
      <c r="DQ368" s="147"/>
      <c r="DX368" s="148"/>
      <c r="EX368" s="144" t="s">
        <v>301</v>
      </c>
      <c r="EY368" s="144" t="s">
        <v>83</v>
      </c>
      <c r="EZ368" s="11" t="s">
        <v>81</v>
      </c>
      <c r="FA368" s="11" t="s">
        <v>32</v>
      </c>
      <c r="FB368" s="11" t="s">
        <v>74</v>
      </c>
      <c r="FC368" s="144" t="s">
        <v>282</v>
      </c>
    </row>
    <row r="369" spans="2:173" s="12" customFormat="1" x14ac:dyDescent="0.2">
      <c r="B369" s="149"/>
      <c r="D369" s="138" t="s">
        <v>301</v>
      </c>
      <c r="E369" s="150" t="s">
        <v>1</v>
      </c>
      <c r="F369" s="151" t="s">
        <v>1027</v>
      </c>
      <c r="H369" s="152">
        <v>5</v>
      </c>
      <c r="I369" s="153"/>
      <c r="L369" s="149"/>
      <c r="N369" s="217"/>
      <c r="O369" s="218"/>
      <c r="Q369" s="231"/>
      <c r="DQ369" s="154"/>
      <c r="DX369" s="155"/>
      <c r="EX369" s="150" t="s">
        <v>301</v>
      </c>
      <c r="EY369" s="150" t="s">
        <v>83</v>
      </c>
      <c r="EZ369" s="12" t="s">
        <v>83</v>
      </c>
      <c r="FA369" s="12" t="s">
        <v>32</v>
      </c>
      <c r="FB369" s="12" t="s">
        <v>81</v>
      </c>
      <c r="FC369" s="150" t="s">
        <v>282</v>
      </c>
    </row>
    <row r="370" spans="2:173" s="1" customFormat="1" ht="24.2" customHeight="1" x14ac:dyDescent="0.2">
      <c r="B370" s="124"/>
      <c r="C370" s="125" t="s">
        <v>589</v>
      </c>
      <c r="D370" s="125" t="s">
        <v>284</v>
      </c>
      <c r="E370" s="126" t="s">
        <v>590</v>
      </c>
      <c r="F370" s="127" t="s">
        <v>591</v>
      </c>
      <c r="G370" s="128" t="s">
        <v>344</v>
      </c>
      <c r="H370" s="129">
        <v>157</v>
      </c>
      <c r="I370" s="130">
        <v>29.453410986389244</v>
      </c>
      <c r="J370" s="131">
        <f>ROUND(I370*H370,2)</f>
        <v>4624.1899999999996</v>
      </c>
      <c r="K370" s="127" t="s">
        <v>293</v>
      </c>
      <c r="L370" s="198">
        <f>S370</f>
        <v>0</v>
      </c>
      <c r="M370" s="206">
        <f>ROUND(L370*I370,2)</f>
        <v>0</v>
      </c>
      <c r="N370" s="211">
        <f>N360</f>
        <v>-3.6399999999999864</v>
      </c>
      <c r="O370" s="212">
        <f>ROUND(N370*I370,2)</f>
        <v>-107.21</v>
      </c>
      <c r="P370" s="207">
        <f>H370-L370-N370</f>
        <v>160.63999999999999</v>
      </c>
      <c r="Q370" s="228">
        <f>ROUND(P370*I370,2)</f>
        <v>4731.3999999999996</v>
      </c>
      <c r="R370" s="199"/>
      <c r="S370" s="200">
        <f>W370+Y370+AA370+AC370+AE370+AG370+AI370+AK370</f>
        <v>0</v>
      </c>
      <c r="T370" s="200">
        <f>ROUND(S370*I370,2)</f>
        <v>0</v>
      </c>
      <c r="U370" s="200">
        <f>H370-S370</f>
        <v>157</v>
      </c>
      <c r="V370" s="200">
        <f>ROUND(U370*I370,2)</f>
        <v>4624.1899999999996</v>
      </c>
      <c r="W370" s="200"/>
      <c r="X370" s="200"/>
      <c r="Y370" s="200"/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DQ370" s="132" t="s">
        <v>1</v>
      </c>
      <c r="DR370" s="133" t="s">
        <v>40</v>
      </c>
      <c r="DT370" s="134">
        <f>DS370*H370</f>
        <v>0</v>
      </c>
      <c r="DU370" s="134">
        <v>0</v>
      </c>
      <c r="DV370" s="134">
        <f>DU370*H370</f>
        <v>0</v>
      </c>
      <c r="DW370" s="134">
        <v>0</v>
      </c>
      <c r="DX370" s="135">
        <f>DW370*H370</f>
        <v>0</v>
      </c>
      <c r="EV370" s="136" t="s">
        <v>95</v>
      </c>
      <c r="EX370" s="136" t="s">
        <v>284</v>
      </c>
      <c r="EY370" s="136" t="s">
        <v>83</v>
      </c>
      <c r="FC370" s="16" t="s">
        <v>282</v>
      </c>
      <c r="FI370" s="137">
        <f>IF(DR370="základní",J370,0)</f>
        <v>4624.1899999999996</v>
      </c>
      <c r="FJ370" s="137">
        <f>IF(DR370="snížená",J370,0)</f>
        <v>0</v>
      </c>
      <c r="FK370" s="137">
        <f>IF(DR370="zákl. přenesená",J370,0)</f>
        <v>0</v>
      </c>
      <c r="FL370" s="137">
        <f>IF(DR370="sníž. přenesená",J370,0)</f>
        <v>0</v>
      </c>
      <c r="FM370" s="137">
        <f>IF(DR370="nulová",J370,0)</f>
        <v>0</v>
      </c>
      <c r="FN370" s="16" t="s">
        <v>81</v>
      </c>
      <c r="FO370" s="137">
        <f>ROUND(I370*H370,2)</f>
        <v>4624.1899999999996</v>
      </c>
      <c r="FP370" s="16" t="s">
        <v>95</v>
      </c>
      <c r="FQ370" s="136" t="s">
        <v>592</v>
      </c>
    </row>
    <row r="371" spans="2:173" s="1" customFormat="1" x14ac:dyDescent="0.2">
      <c r="B371" s="31"/>
      <c r="D371" s="138" t="s">
        <v>289</v>
      </c>
      <c r="F371" s="139" t="s">
        <v>593</v>
      </c>
      <c r="I371" s="140"/>
      <c r="L371" s="31"/>
      <c r="N371" s="213"/>
      <c r="O371" s="214"/>
      <c r="Q371" s="229"/>
      <c r="DQ371" s="141"/>
      <c r="DX371" s="50"/>
      <c r="EX371" s="16" t="s">
        <v>289</v>
      </c>
      <c r="EY371" s="16" t="s">
        <v>83</v>
      </c>
    </row>
    <row r="372" spans="2:173" s="1" customFormat="1" ht="19.5" x14ac:dyDescent="0.2">
      <c r="B372" s="31"/>
      <c r="D372" s="138" t="s">
        <v>299</v>
      </c>
      <c r="F372" s="142" t="s">
        <v>587</v>
      </c>
      <c r="I372" s="140"/>
      <c r="L372" s="31"/>
      <c r="N372" s="213"/>
      <c r="O372" s="214"/>
      <c r="Q372" s="229"/>
      <c r="DQ372" s="141"/>
      <c r="DX372" s="50"/>
      <c r="EX372" s="16" t="s">
        <v>299</v>
      </c>
      <c r="EY372" s="16" t="s">
        <v>83</v>
      </c>
    </row>
    <row r="373" spans="2:173" s="1" customFormat="1" ht="24.2" customHeight="1" x14ac:dyDescent="0.2">
      <c r="B373" s="124"/>
      <c r="C373" s="125" t="s">
        <v>594</v>
      </c>
      <c r="D373" s="125" t="s">
        <v>284</v>
      </c>
      <c r="E373" s="126" t="s">
        <v>595</v>
      </c>
      <c r="F373" s="127" t="s">
        <v>596</v>
      </c>
      <c r="G373" s="128" t="s">
        <v>485</v>
      </c>
      <c r="H373" s="129">
        <v>2</v>
      </c>
      <c r="I373" s="130">
        <v>867.6587001634532</v>
      </c>
      <c r="J373" s="131">
        <f>ROUND(I373*H373,2)</f>
        <v>1735.32</v>
      </c>
      <c r="K373" s="127" t="s">
        <v>293</v>
      </c>
      <c r="L373" s="198">
        <f>S373</f>
        <v>0</v>
      </c>
      <c r="M373" s="206">
        <f>ROUND(L373*I373,2)</f>
        <v>0</v>
      </c>
      <c r="N373" s="211"/>
      <c r="O373" s="212">
        <f>ROUND(N373*I373,2)</f>
        <v>0</v>
      </c>
      <c r="P373" s="207">
        <f>H373-L373-N373</f>
        <v>2</v>
      </c>
      <c r="Q373" s="228">
        <f>ROUND(P373*I373,2)</f>
        <v>1735.32</v>
      </c>
      <c r="R373" s="199"/>
      <c r="S373" s="200">
        <f>W373+Y373+AA373+AC373+AE373+AG373+AI373+AK373</f>
        <v>0</v>
      </c>
      <c r="T373" s="200">
        <f>ROUND(S373*I373,2)</f>
        <v>0</v>
      </c>
      <c r="U373" s="200">
        <f>H373-S373</f>
        <v>2</v>
      </c>
      <c r="V373" s="200">
        <f>ROUND(U373*I373,2)</f>
        <v>1735.32</v>
      </c>
      <c r="W373" s="200"/>
      <c r="X373" s="200"/>
      <c r="Y373" s="200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DQ373" s="132" t="s">
        <v>1</v>
      </c>
      <c r="DR373" s="133" t="s">
        <v>40</v>
      </c>
      <c r="DT373" s="134">
        <f>DS373*H373</f>
        <v>0</v>
      </c>
      <c r="DU373" s="134">
        <v>1.0189999999999999E-2</v>
      </c>
      <c r="DV373" s="134">
        <f>DU373*H373</f>
        <v>2.0379999999999999E-2</v>
      </c>
      <c r="DW373" s="134">
        <v>0</v>
      </c>
      <c r="DX373" s="135">
        <f>DW373*H373</f>
        <v>0</v>
      </c>
      <c r="EV373" s="136" t="s">
        <v>95</v>
      </c>
      <c r="EX373" s="136" t="s">
        <v>284</v>
      </c>
      <c r="EY373" s="136" t="s">
        <v>83</v>
      </c>
      <c r="FC373" s="16" t="s">
        <v>282</v>
      </c>
      <c r="FI373" s="137">
        <f>IF(DR373="základní",J373,0)</f>
        <v>1735.32</v>
      </c>
      <c r="FJ373" s="137">
        <f>IF(DR373="snížená",J373,0)</f>
        <v>0</v>
      </c>
      <c r="FK373" s="137">
        <f>IF(DR373="zákl. přenesená",J373,0)</f>
        <v>0</v>
      </c>
      <c r="FL373" s="137">
        <f>IF(DR373="sníž. přenesená",J373,0)</f>
        <v>0</v>
      </c>
      <c r="FM373" s="137">
        <f>IF(DR373="nulová",J373,0)</f>
        <v>0</v>
      </c>
      <c r="FN373" s="16" t="s">
        <v>81</v>
      </c>
      <c r="FO373" s="137">
        <f>ROUND(I373*H373,2)</f>
        <v>1735.32</v>
      </c>
      <c r="FP373" s="16" t="s">
        <v>95</v>
      </c>
      <c r="FQ373" s="136" t="s">
        <v>597</v>
      </c>
    </row>
    <row r="374" spans="2:173" s="1" customFormat="1" ht="19.5" x14ac:dyDescent="0.2">
      <c r="B374" s="31"/>
      <c r="D374" s="138" t="s">
        <v>289</v>
      </c>
      <c r="F374" s="139" t="s">
        <v>596</v>
      </c>
      <c r="I374" s="140"/>
      <c r="L374" s="31"/>
      <c r="N374" s="213"/>
      <c r="O374" s="214"/>
      <c r="Q374" s="229"/>
      <c r="DQ374" s="141"/>
      <c r="DX374" s="50"/>
      <c r="EX374" s="16" t="s">
        <v>289</v>
      </c>
      <c r="EY374" s="16" t="s">
        <v>83</v>
      </c>
    </row>
    <row r="375" spans="2:173" s="1" customFormat="1" ht="19.5" x14ac:dyDescent="0.2">
      <c r="B375" s="31"/>
      <c r="D375" s="138" t="s">
        <v>299</v>
      </c>
      <c r="F375" s="142" t="s">
        <v>317</v>
      </c>
      <c r="I375" s="140"/>
      <c r="L375" s="31"/>
      <c r="N375" s="213"/>
      <c r="O375" s="214"/>
      <c r="Q375" s="229"/>
      <c r="DQ375" s="141"/>
      <c r="DX375" s="50"/>
      <c r="EX375" s="16" t="s">
        <v>299</v>
      </c>
      <c r="EY375" s="16" t="s">
        <v>83</v>
      </c>
    </row>
    <row r="376" spans="2:173" s="12" customFormat="1" x14ac:dyDescent="0.2">
      <c r="B376" s="149"/>
      <c r="D376" s="138" t="s">
        <v>301</v>
      </c>
      <c r="E376" s="150" t="s">
        <v>1</v>
      </c>
      <c r="F376" s="151" t="s">
        <v>83</v>
      </c>
      <c r="H376" s="152">
        <v>2</v>
      </c>
      <c r="I376" s="153"/>
      <c r="L376" s="149"/>
      <c r="N376" s="217"/>
      <c r="O376" s="218"/>
      <c r="Q376" s="231"/>
      <c r="DQ376" s="154"/>
      <c r="DX376" s="155"/>
      <c r="EX376" s="150" t="s">
        <v>301</v>
      </c>
      <c r="EY376" s="150" t="s">
        <v>83</v>
      </c>
      <c r="EZ376" s="12" t="s">
        <v>83</v>
      </c>
      <c r="FA376" s="12" t="s">
        <v>32</v>
      </c>
      <c r="FB376" s="12" t="s">
        <v>81</v>
      </c>
      <c r="FC376" s="150" t="s">
        <v>282</v>
      </c>
    </row>
    <row r="377" spans="2:173" s="1" customFormat="1" ht="24.2" customHeight="1" x14ac:dyDescent="0.2">
      <c r="B377" s="124"/>
      <c r="C377" s="170" t="s">
        <v>599</v>
      </c>
      <c r="D377" s="170" t="s">
        <v>439</v>
      </c>
      <c r="E377" s="171" t="s">
        <v>610</v>
      </c>
      <c r="F377" s="172" t="s">
        <v>611</v>
      </c>
      <c r="G377" s="173" t="s">
        <v>485</v>
      </c>
      <c r="H377" s="174">
        <v>2</v>
      </c>
      <c r="I377" s="175">
        <v>2661.676117</v>
      </c>
      <c r="J377" s="176">
        <f>ROUND(I377*H377,2)</f>
        <v>5323.35</v>
      </c>
      <c r="K377" s="172" t="s">
        <v>293</v>
      </c>
      <c r="L377" s="198">
        <f>S377</f>
        <v>0</v>
      </c>
      <c r="M377" s="206">
        <f>ROUND(L377*I377,2)</f>
        <v>0</v>
      </c>
      <c r="N377" s="211"/>
      <c r="O377" s="212">
        <f>ROUND(N377*I377,2)</f>
        <v>0</v>
      </c>
      <c r="P377" s="207">
        <f>H377-L377-N377</f>
        <v>2</v>
      </c>
      <c r="Q377" s="228">
        <f>ROUND(P377*I377,2)</f>
        <v>5323.35</v>
      </c>
      <c r="R377" s="199"/>
      <c r="S377" s="200">
        <f>W377+Y377+AA377+AC377+AE377+AG377+AI377+AK377</f>
        <v>0</v>
      </c>
      <c r="T377" s="200">
        <f>ROUND(S377*I377,2)</f>
        <v>0</v>
      </c>
      <c r="U377" s="200">
        <f>H377-S377</f>
        <v>2</v>
      </c>
      <c r="V377" s="200">
        <f>ROUND(U377*I377,2)</f>
        <v>5323.35</v>
      </c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77" t="s">
        <v>1</v>
      </c>
      <c r="DR377" s="178" t="s">
        <v>40</v>
      </c>
      <c r="DT377" s="134">
        <f>DS377*H377</f>
        <v>0</v>
      </c>
      <c r="DU377" s="134">
        <v>1.0129999999999999</v>
      </c>
      <c r="DV377" s="134">
        <f>DU377*H377</f>
        <v>2.0259999999999998</v>
      </c>
      <c r="DW377" s="134">
        <v>0</v>
      </c>
      <c r="DX377" s="135">
        <f>DW377*H377</f>
        <v>0</v>
      </c>
      <c r="EV377" s="136" t="s">
        <v>328</v>
      </c>
      <c r="EX377" s="136" t="s">
        <v>439</v>
      </c>
      <c r="EY377" s="136" t="s">
        <v>83</v>
      </c>
      <c r="FC377" s="16" t="s">
        <v>282</v>
      </c>
      <c r="FI377" s="137">
        <f>IF(DR377="základní",J377,0)</f>
        <v>5323.35</v>
      </c>
      <c r="FJ377" s="137">
        <f>IF(DR377="snížená",J377,0)</f>
        <v>0</v>
      </c>
      <c r="FK377" s="137">
        <f>IF(DR377="zákl. přenesená",J377,0)</f>
        <v>0</v>
      </c>
      <c r="FL377" s="137">
        <f>IF(DR377="sníž. přenesená",J377,0)</f>
        <v>0</v>
      </c>
      <c r="FM377" s="137">
        <f>IF(DR377="nulová",J377,0)</f>
        <v>0</v>
      </c>
      <c r="FN377" s="16" t="s">
        <v>81</v>
      </c>
      <c r="FO377" s="137">
        <f>ROUND(I377*H377,2)</f>
        <v>5323.35</v>
      </c>
      <c r="FP377" s="16" t="s">
        <v>95</v>
      </c>
      <c r="FQ377" s="136" t="s">
        <v>612</v>
      </c>
    </row>
    <row r="378" spans="2:173" s="1" customFormat="1" x14ac:dyDescent="0.2">
      <c r="B378" s="31"/>
      <c r="D378" s="138" t="s">
        <v>289</v>
      </c>
      <c r="F378" s="139" t="s">
        <v>613</v>
      </c>
      <c r="I378" s="140"/>
      <c r="L378" s="31"/>
      <c r="N378" s="213"/>
      <c r="O378" s="214"/>
      <c r="Q378" s="229"/>
      <c r="DQ378" s="141"/>
      <c r="DX378" s="50"/>
      <c r="EX378" s="16" t="s">
        <v>289</v>
      </c>
      <c r="EY378" s="16" t="s">
        <v>83</v>
      </c>
    </row>
    <row r="379" spans="2:173" s="1" customFormat="1" ht="24.2" customHeight="1" x14ac:dyDescent="0.2">
      <c r="B379" s="124"/>
      <c r="C379" s="125" t="s">
        <v>604</v>
      </c>
      <c r="D379" s="125" t="s">
        <v>284</v>
      </c>
      <c r="E379" s="126" t="s">
        <v>615</v>
      </c>
      <c r="F379" s="127" t="s">
        <v>616</v>
      </c>
      <c r="G379" s="128" t="s">
        <v>485</v>
      </c>
      <c r="H379" s="129">
        <v>2</v>
      </c>
      <c r="I379" s="130">
        <v>900.06084521218918</v>
      </c>
      <c r="J379" s="131">
        <f>ROUND(I379*H379,2)</f>
        <v>1800.12</v>
      </c>
      <c r="K379" s="127" t="s">
        <v>293</v>
      </c>
      <c r="L379" s="198">
        <f>S379</f>
        <v>0</v>
      </c>
      <c r="M379" s="206">
        <f>ROUND(L379*I379,2)</f>
        <v>0</v>
      </c>
      <c r="N379" s="211"/>
      <c r="O379" s="212">
        <f>ROUND(N379*I379,2)</f>
        <v>0</v>
      </c>
      <c r="P379" s="207">
        <f>H379-L379-N379</f>
        <v>2</v>
      </c>
      <c r="Q379" s="228">
        <f>ROUND(P379*I379,2)</f>
        <v>1800.12</v>
      </c>
      <c r="R379" s="199"/>
      <c r="S379" s="200">
        <f>W379+Y379+AA379+AC379+AE379+AG379+AI379+AK379</f>
        <v>0</v>
      </c>
      <c r="T379" s="200">
        <f>ROUND(S379*I379,2)</f>
        <v>0</v>
      </c>
      <c r="U379" s="200">
        <f>H379-S379</f>
        <v>2</v>
      </c>
      <c r="V379" s="200">
        <f>ROUND(U379*I379,2)</f>
        <v>1800.12</v>
      </c>
      <c r="W379" s="200"/>
      <c r="X379" s="200"/>
      <c r="Y379" s="200"/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DQ379" s="132" t="s">
        <v>1</v>
      </c>
      <c r="DR379" s="133" t="s">
        <v>40</v>
      </c>
      <c r="DT379" s="134">
        <f>DS379*H379</f>
        <v>0</v>
      </c>
      <c r="DU379" s="134">
        <v>1.248E-2</v>
      </c>
      <c r="DV379" s="134">
        <f>DU379*H379</f>
        <v>2.496E-2</v>
      </c>
      <c r="DW379" s="134">
        <v>0</v>
      </c>
      <c r="DX379" s="135">
        <f>DW379*H379</f>
        <v>0</v>
      </c>
      <c r="EV379" s="136" t="s">
        <v>95</v>
      </c>
      <c r="EX379" s="136" t="s">
        <v>284</v>
      </c>
      <c r="EY379" s="136" t="s">
        <v>83</v>
      </c>
      <c r="FC379" s="16" t="s">
        <v>282</v>
      </c>
      <c r="FI379" s="137">
        <f>IF(DR379="základní",J379,0)</f>
        <v>1800.12</v>
      </c>
      <c r="FJ379" s="137">
        <f>IF(DR379="snížená",J379,0)</f>
        <v>0</v>
      </c>
      <c r="FK379" s="137">
        <f>IF(DR379="zákl. přenesená",J379,0)</f>
        <v>0</v>
      </c>
      <c r="FL379" s="137">
        <f>IF(DR379="sníž. přenesená",J379,0)</f>
        <v>0</v>
      </c>
      <c r="FM379" s="137">
        <f>IF(DR379="nulová",J379,0)</f>
        <v>0</v>
      </c>
      <c r="FN379" s="16" t="s">
        <v>81</v>
      </c>
      <c r="FO379" s="137">
        <f>ROUND(I379*H379,2)</f>
        <v>1800.12</v>
      </c>
      <c r="FP379" s="16" t="s">
        <v>95</v>
      </c>
      <c r="FQ379" s="136" t="s">
        <v>617</v>
      </c>
    </row>
    <row r="380" spans="2:173" s="1" customFormat="1" ht="19.5" x14ac:dyDescent="0.2">
      <c r="B380" s="31"/>
      <c r="D380" s="138" t="s">
        <v>289</v>
      </c>
      <c r="F380" s="139" t="s">
        <v>616</v>
      </c>
      <c r="I380" s="140"/>
      <c r="L380" s="31"/>
      <c r="N380" s="213"/>
      <c r="O380" s="214"/>
      <c r="Q380" s="229"/>
      <c r="DQ380" s="141"/>
      <c r="DX380" s="50"/>
      <c r="EX380" s="16" t="s">
        <v>289</v>
      </c>
      <c r="EY380" s="16" t="s">
        <v>83</v>
      </c>
    </row>
    <row r="381" spans="2:173" s="1" customFormat="1" ht="19.5" x14ac:dyDescent="0.2">
      <c r="B381" s="31"/>
      <c r="D381" s="138" t="s">
        <v>299</v>
      </c>
      <c r="F381" s="142" t="s">
        <v>317</v>
      </c>
      <c r="I381" s="140"/>
      <c r="L381" s="31"/>
      <c r="N381" s="213"/>
      <c r="O381" s="214"/>
      <c r="Q381" s="229"/>
      <c r="DQ381" s="141"/>
      <c r="DX381" s="50"/>
      <c r="EX381" s="16" t="s">
        <v>299</v>
      </c>
      <c r="EY381" s="16" t="s">
        <v>83</v>
      </c>
    </row>
    <row r="382" spans="2:173" s="12" customFormat="1" x14ac:dyDescent="0.2">
      <c r="B382" s="149"/>
      <c r="D382" s="138" t="s">
        <v>301</v>
      </c>
      <c r="E382" s="150" t="s">
        <v>1</v>
      </c>
      <c r="F382" s="151" t="s">
        <v>83</v>
      </c>
      <c r="H382" s="152">
        <v>2</v>
      </c>
      <c r="I382" s="153"/>
      <c r="L382" s="149"/>
      <c r="N382" s="217"/>
      <c r="O382" s="218"/>
      <c r="Q382" s="231"/>
      <c r="DQ382" s="154"/>
      <c r="DX382" s="155"/>
      <c r="EX382" s="150" t="s">
        <v>301</v>
      </c>
      <c r="EY382" s="150" t="s">
        <v>83</v>
      </c>
      <c r="EZ382" s="12" t="s">
        <v>83</v>
      </c>
      <c r="FA382" s="12" t="s">
        <v>32</v>
      </c>
      <c r="FB382" s="12" t="s">
        <v>81</v>
      </c>
      <c r="FC382" s="150" t="s">
        <v>282</v>
      </c>
    </row>
    <row r="383" spans="2:173" s="1" customFormat="1" ht="24.2" customHeight="1" x14ac:dyDescent="0.2">
      <c r="B383" s="124"/>
      <c r="C383" s="170" t="s">
        <v>609</v>
      </c>
      <c r="D383" s="170" t="s">
        <v>439</v>
      </c>
      <c r="E383" s="171" t="s">
        <v>619</v>
      </c>
      <c r="F383" s="172" t="s">
        <v>620</v>
      </c>
      <c r="G383" s="173" t="s">
        <v>485</v>
      </c>
      <c r="H383" s="174">
        <v>2</v>
      </c>
      <c r="I383" s="175">
        <v>2453.2886629999998</v>
      </c>
      <c r="J383" s="176">
        <f>ROUND(I383*H383,2)</f>
        <v>4906.58</v>
      </c>
      <c r="K383" s="172" t="s">
        <v>293</v>
      </c>
      <c r="L383" s="198">
        <f>S383</f>
        <v>0</v>
      </c>
      <c r="M383" s="206">
        <f>ROUND(L383*I383,2)</f>
        <v>0</v>
      </c>
      <c r="N383" s="211"/>
      <c r="O383" s="212">
        <f>ROUND(N383*I383,2)</f>
        <v>0</v>
      </c>
      <c r="P383" s="207">
        <f>H383-L383-N383</f>
        <v>2</v>
      </c>
      <c r="Q383" s="228">
        <f>ROUND(P383*I383,2)</f>
        <v>4906.58</v>
      </c>
      <c r="R383" s="199"/>
      <c r="S383" s="200">
        <f>W383+Y383+AA383+AC383+AE383+AG383+AI383+AK383</f>
        <v>0</v>
      </c>
      <c r="T383" s="200">
        <f>ROUND(S383*I383,2)</f>
        <v>0</v>
      </c>
      <c r="U383" s="200">
        <f>H383-S383</f>
        <v>2</v>
      </c>
      <c r="V383" s="200">
        <f>ROUND(U383*I383,2)</f>
        <v>4906.58</v>
      </c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77" t="s">
        <v>1</v>
      </c>
      <c r="DR383" s="178" t="s">
        <v>40</v>
      </c>
      <c r="DT383" s="134">
        <f>DS383*H383</f>
        <v>0</v>
      </c>
      <c r="DU383" s="134">
        <v>0.54800000000000004</v>
      </c>
      <c r="DV383" s="134">
        <f>DU383*H383</f>
        <v>1.0960000000000001</v>
      </c>
      <c r="DW383" s="134">
        <v>0</v>
      </c>
      <c r="DX383" s="135">
        <f>DW383*H383</f>
        <v>0</v>
      </c>
      <c r="EV383" s="136" t="s">
        <v>328</v>
      </c>
      <c r="EX383" s="136" t="s">
        <v>439</v>
      </c>
      <c r="EY383" s="136" t="s">
        <v>83</v>
      </c>
      <c r="FC383" s="16" t="s">
        <v>282</v>
      </c>
      <c r="FI383" s="137">
        <f>IF(DR383="základní",J383,0)</f>
        <v>4906.58</v>
      </c>
      <c r="FJ383" s="137">
        <f>IF(DR383="snížená",J383,0)</f>
        <v>0</v>
      </c>
      <c r="FK383" s="137">
        <f>IF(DR383="zákl. přenesená",J383,0)</f>
        <v>0</v>
      </c>
      <c r="FL383" s="137">
        <f>IF(DR383="sníž. přenesená",J383,0)</f>
        <v>0</v>
      </c>
      <c r="FM383" s="137">
        <f>IF(DR383="nulová",J383,0)</f>
        <v>0</v>
      </c>
      <c r="FN383" s="16" t="s">
        <v>81</v>
      </c>
      <c r="FO383" s="137">
        <f>ROUND(I383*H383,2)</f>
        <v>4906.58</v>
      </c>
      <c r="FP383" s="16" t="s">
        <v>95</v>
      </c>
      <c r="FQ383" s="136" t="s">
        <v>621</v>
      </c>
    </row>
    <row r="384" spans="2:173" s="1" customFormat="1" ht="19.5" x14ac:dyDescent="0.2">
      <c r="B384" s="31"/>
      <c r="D384" s="138" t="s">
        <v>289</v>
      </c>
      <c r="F384" s="139" t="s">
        <v>620</v>
      </c>
      <c r="I384" s="140"/>
      <c r="L384" s="31"/>
      <c r="N384" s="213"/>
      <c r="O384" s="214"/>
      <c r="Q384" s="229"/>
      <c r="DQ384" s="141"/>
      <c r="DX384" s="50"/>
      <c r="EX384" s="16" t="s">
        <v>289</v>
      </c>
      <c r="EY384" s="16" t="s">
        <v>83</v>
      </c>
    </row>
    <row r="385" spans="2:173" s="1" customFormat="1" ht="24.2" customHeight="1" x14ac:dyDescent="0.2">
      <c r="B385" s="124"/>
      <c r="C385" s="125" t="s">
        <v>614</v>
      </c>
      <c r="D385" s="125" t="s">
        <v>284</v>
      </c>
      <c r="E385" s="126" t="s">
        <v>623</v>
      </c>
      <c r="F385" s="127" t="s">
        <v>624</v>
      </c>
      <c r="G385" s="128" t="s">
        <v>485</v>
      </c>
      <c r="H385" s="129">
        <v>2</v>
      </c>
      <c r="I385" s="130">
        <v>1039.9593659999746</v>
      </c>
      <c r="J385" s="131">
        <f>ROUND(I385*H385,2)</f>
        <v>2079.92</v>
      </c>
      <c r="K385" s="127" t="s">
        <v>293</v>
      </c>
      <c r="L385" s="198">
        <f>S385</f>
        <v>0</v>
      </c>
      <c r="M385" s="206">
        <f>ROUND(L385*I385,2)</f>
        <v>0</v>
      </c>
      <c r="N385" s="211"/>
      <c r="O385" s="212">
        <f>ROUND(N385*I385,2)</f>
        <v>0</v>
      </c>
      <c r="P385" s="207">
        <f>H385-L385-N385</f>
        <v>2</v>
      </c>
      <c r="Q385" s="228">
        <f>ROUND(P385*I385,2)</f>
        <v>2079.92</v>
      </c>
      <c r="R385" s="199"/>
      <c r="S385" s="200">
        <f>W385+Y385+AA385+AC385+AE385+AG385+AI385+AK385</f>
        <v>0</v>
      </c>
      <c r="T385" s="200">
        <f>ROUND(S385*I385,2)</f>
        <v>0</v>
      </c>
      <c r="U385" s="200">
        <f>H385-S385</f>
        <v>2</v>
      </c>
      <c r="V385" s="200">
        <f>ROUND(U385*I385,2)</f>
        <v>2079.92</v>
      </c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DQ385" s="132" t="s">
        <v>1</v>
      </c>
      <c r="DR385" s="133" t="s">
        <v>40</v>
      </c>
      <c r="DT385" s="134">
        <f>DS385*H385</f>
        <v>0</v>
      </c>
      <c r="DU385" s="134">
        <v>2.8539999999999999E-2</v>
      </c>
      <c r="DV385" s="134">
        <f>DU385*H385</f>
        <v>5.7079999999999999E-2</v>
      </c>
      <c r="DW385" s="134">
        <v>0</v>
      </c>
      <c r="DX385" s="135">
        <f>DW385*H385</f>
        <v>0</v>
      </c>
      <c r="EV385" s="136" t="s">
        <v>95</v>
      </c>
      <c r="EX385" s="136" t="s">
        <v>284</v>
      </c>
      <c r="EY385" s="136" t="s">
        <v>83</v>
      </c>
      <c r="FC385" s="16" t="s">
        <v>282</v>
      </c>
      <c r="FI385" s="137">
        <f>IF(DR385="základní",J385,0)</f>
        <v>2079.92</v>
      </c>
      <c r="FJ385" s="137">
        <f>IF(DR385="snížená",J385,0)</f>
        <v>0</v>
      </c>
      <c r="FK385" s="137">
        <f>IF(DR385="zákl. přenesená",J385,0)</f>
        <v>0</v>
      </c>
      <c r="FL385" s="137">
        <f>IF(DR385="sníž. přenesená",J385,0)</f>
        <v>0</v>
      </c>
      <c r="FM385" s="137">
        <f>IF(DR385="nulová",J385,0)</f>
        <v>0</v>
      </c>
      <c r="FN385" s="16" t="s">
        <v>81</v>
      </c>
      <c r="FO385" s="137">
        <f>ROUND(I385*H385,2)</f>
        <v>2079.92</v>
      </c>
      <c r="FP385" s="16" t="s">
        <v>95</v>
      </c>
      <c r="FQ385" s="136" t="s">
        <v>625</v>
      </c>
    </row>
    <row r="386" spans="2:173" s="1" customFormat="1" ht="19.5" x14ac:dyDescent="0.2">
      <c r="B386" s="31"/>
      <c r="D386" s="138" t="s">
        <v>289</v>
      </c>
      <c r="F386" s="139" t="s">
        <v>624</v>
      </c>
      <c r="I386" s="140"/>
      <c r="L386" s="31"/>
      <c r="N386" s="213"/>
      <c r="O386" s="214"/>
      <c r="Q386" s="229"/>
      <c r="DQ386" s="141"/>
      <c r="DX386" s="50"/>
      <c r="EX386" s="16" t="s">
        <v>289</v>
      </c>
      <c r="EY386" s="16" t="s">
        <v>83</v>
      </c>
    </row>
    <row r="387" spans="2:173" s="1" customFormat="1" ht="19.5" x14ac:dyDescent="0.2">
      <c r="B387" s="31"/>
      <c r="D387" s="138" t="s">
        <v>299</v>
      </c>
      <c r="F387" s="142" t="s">
        <v>317</v>
      </c>
      <c r="I387" s="140"/>
      <c r="L387" s="31"/>
      <c r="N387" s="213"/>
      <c r="O387" s="214"/>
      <c r="Q387" s="229"/>
      <c r="DQ387" s="141"/>
      <c r="DX387" s="50"/>
      <c r="EX387" s="16" t="s">
        <v>299</v>
      </c>
      <c r="EY387" s="16" t="s">
        <v>83</v>
      </c>
    </row>
    <row r="388" spans="2:173" s="12" customFormat="1" x14ac:dyDescent="0.2">
      <c r="B388" s="149"/>
      <c r="D388" s="138" t="s">
        <v>301</v>
      </c>
      <c r="E388" s="150" t="s">
        <v>1</v>
      </c>
      <c r="F388" s="151" t="s">
        <v>83</v>
      </c>
      <c r="H388" s="152">
        <v>2</v>
      </c>
      <c r="I388" s="153"/>
      <c r="L388" s="149"/>
      <c r="N388" s="217"/>
      <c r="O388" s="218"/>
      <c r="Q388" s="231"/>
      <c r="DQ388" s="154"/>
      <c r="DX388" s="155"/>
      <c r="EX388" s="150" t="s">
        <v>301</v>
      </c>
      <c r="EY388" s="150" t="s">
        <v>83</v>
      </c>
      <c r="EZ388" s="12" t="s">
        <v>83</v>
      </c>
      <c r="FA388" s="12" t="s">
        <v>32</v>
      </c>
      <c r="FB388" s="12" t="s">
        <v>81</v>
      </c>
      <c r="FC388" s="150" t="s">
        <v>282</v>
      </c>
    </row>
    <row r="389" spans="2:173" s="1" customFormat="1" ht="62.65" customHeight="1" x14ac:dyDescent="0.2">
      <c r="B389" s="124"/>
      <c r="C389" s="170" t="s">
        <v>618</v>
      </c>
      <c r="D389" s="170" t="s">
        <v>439</v>
      </c>
      <c r="E389" s="171" t="s">
        <v>632</v>
      </c>
      <c r="F389" s="172" t="s">
        <v>633</v>
      </c>
      <c r="G389" s="173" t="s">
        <v>485</v>
      </c>
      <c r="H389" s="174">
        <v>2</v>
      </c>
      <c r="I389" s="175">
        <v>9051.3334500000001</v>
      </c>
      <c r="J389" s="176">
        <f>ROUND(I389*H389,2)</f>
        <v>18102.669999999998</v>
      </c>
      <c r="K389" s="172" t="s">
        <v>1</v>
      </c>
      <c r="L389" s="198">
        <f>S389</f>
        <v>0</v>
      </c>
      <c r="M389" s="206">
        <f>ROUND(L389*I389,2)</f>
        <v>0</v>
      </c>
      <c r="N389" s="211"/>
      <c r="O389" s="212">
        <f>ROUND(N389*I389,2)</f>
        <v>0</v>
      </c>
      <c r="P389" s="207">
        <f>H389-L389-N389</f>
        <v>2</v>
      </c>
      <c r="Q389" s="228">
        <f>ROUND(P389*I389,2)</f>
        <v>18102.669999999998</v>
      </c>
      <c r="R389" s="199"/>
      <c r="S389" s="200">
        <f>W389+Y389+AA389+AC389+AE389+AG389+AI389+AK389</f>
        <v>0</v>
      </c>
      <c r="T389" s="200">
        <f>ROUND(S389*I389,2)</f>
        <v>0</v>
      </c>
      <c r="U389" s="200">
        <f>H389-S389</f>
        <v>2</v>
      </c>
      <c r="V389" s="200">
        <f>ROUND(U389*I389,2)</f>
        <v>18102.669999999998</v>
      </c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77" t="s">
        <v>1</v>
      </c>
      <c r="DR389" s="178" t="s">
        <v>40</v>
      </c>
      <c r="DT389" s="134">
        <f>DS389*H389</f>
        <v>0</v>
      </c>
      <c r="DU389" s="134">
        <v>1.87</v>
      </c>
      <c r="DV389" s="134">
        <f>DU389*H389</f>
        <v>3.74</v>
      </c>
      <c r="DW389" s="134">
        <v>0</v>
      </c>
      <c r="DX389" s="135">
        <f>DW389*H389</f>
        <v>0</v>
      </c>
      <c r="EV389" s="136" t="s">
        <v>328</v>
      </c>
      <c r="EX389" s="136" t="s">
        <v>439</v>
      </c>
      <c r="EY389" s="136" t="s">
        <v>83</v>
      </c>
      <c r="FC389" s="16" t="s">
        <v>282</v>
      </c>
      <c r="FI389" s="137">
        <f>IF(DR389="základní",J389,0)</f>
        <v>18102.669999999998</v>
      </c>
      <c r="FJ389" s="137">
        <f>IF(DR389="snížená",J389,0)</f>
        <v>0</v>
      </c>
      <c r="FK389" s="137">
        <f>IF(DR389="zákl. přenesená",J389,0)</f>
        <v>0</v>
      </c>
      <c r="FL389" s="137">
        <f>IF(DR389="sníž. přenesená",J389,0)</f>
        <v>0</v>
      </c>
      <c r="FM389" s="137">
        <f>IF(DR389="nulová",J389,0)</f>
        <v>0</v>
      </c>
      <c r="FN389" s="16" t="s">
        <v>81</v>
      </c>
      <c r="FO389" s="137">
        <f>ROUND(I389*H389,2)</f>
        <v>18102.669999999998</v>
      </c>
      <c r="FP389" s="16" t="s">
        <v>95</v>
      </c>
      <c r="FQ389" s="136" t="s">
        <v>634</v>
      </c>
    </row>
    <row r="390" spans="2:173" s="1" customFormat="1" ht="39" x14ac:dyDescent="0.2">
      <c r="B390" s="31"/>
      <c r="D390" s="138" t="s">
        <v>289</v>
      </c>
      <c r="F390" s="139" t="s">
        <v>633</v>
      </c>
      <c r="I390" s="140"/>
      <c r="L390" s="31"/>
      <c r="N390" s="213"/>
      <c r="O390" s="214"/>
      <c r="Q390" s="229"/>
      <c r="DQ390" s="141"/>
      <c r="DX390" s="50"/>
      <c r="EX390" s="16" t="s">
        <v>289</v>
      </c>
      <c r="EY390" s="16" t="s">
        <v>83</v>
      </c>
    </row>
    <row r="391" spans="2:173" s="1" customFormat="1" ht="24.2" customHeight="1" x14ac:dyDescent="0.2">
      <c r="B391" s="124"/>
      <c r="C391" s="170" t="s">
        <v>622</v>
      </c>
      <c r="D391" s="170" t="s">
        <v>439</v>
      </c>
      <c r="E391" s="171" t="s">
        <v>640</v>
      </c>
      <c r="F391" s="172" t="s">
        <v>641</v>
      </c>
      <c r="G391" s="173" t="s">
        <v>485</v>
      </c>
      <c r="H391" s="174">
        <v>4</v>
      </c>
      <c r="I391" s="175">
        <v>182.81263010000001</v>
      </c>
      <c r="J391" s="176">
        <f>ROUND(I391*H391,2)</f>
        <v>731.25</v>
      </c>
      <c r="K391" s="172" t="s">
        <v>293</v>
      </c>
      <c r="L391" s="198">
        <f>S391</f>
        <v>0</v>
      </c>
      <c r="M391" s="206">
        <f>ROUND(L391*I391,2)</f>
        <v>0</v>
      </c>
      <c r="N391" s="211"/>
      <c r="O391" s="212">
        <f>ROUND(N391*I391,2)</f>
        <v>0</v>
      </c>
      <c r="P391" s="207">
        <f>H391-L391-N391</f>
        <v>4</v>
      </c>
      <c r="Q391" s="228">
        <f>ROUND(P391*I391,2)</f>
        <v>731.25</v>
      </c>
      <c r="R391" s="199"/>
      <c r="S391" s="200">
        <f>W391+Y391+AA391+AC391+AE391+AG391+AI391+AK391</f>
        <v>0</v>
      </c>
      <c r="T391" s="200">
        <f>ROUND(S391*I391,2)</f>
        <v>0</v>
      </c>
      <c r="U391" s="200">
        <f>H391-S391</f>
        <v>4</v>
      </c>
      <c r="V391" s="200">
        <f>ROUND(U391*I391,2)</f>
        <v>731.25</v>
      </c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77" t="s">
        <v>1</v>
      </c>
      <c r="DR391" s="178" t="s">
        <v>40</v>
      </c>
      <c r="DT391" s="134">
        <f>DS391*H391</f>
        <v>0</v>
      </c>
      <c r="DU391" s="134">
        <v>2E-3</v>
      </c>
      <c r="DV391" s="134">
        <f>DU391*H391</f>
        <v>8.0000000000000002E-3</v>
      </c>
      <c r="DW391" s="134">
        <v>0</v>
      </c>
      <c r="DX391" s="135">
        <f>DW391*H391</f>
        <v>0</v>
      </c>
      <c r="EV391" s="136" t="s">
        <v>328</v>
      </c>
      <c r="EX391" s="136" t="s">
        <v>439</v>
      </c>
      <c r="EY391" s="136" t="s">
        <v>83</v>
      </c>
      <c r="FC391" s="16" t="s">
        <v>282</v>
      </c>
      <c r="FI391" s="137">
        <f>IF(DR391="základní",J391,0)</f>
        <v>731.25</v>
      </c>
      <c r="FJ391" s="137">
        <f>IF(DR391="snížená",J391,0)</f>
        <v>0</v>
      </c>
      <c r="FK391" s="137">
        <f>IF(DR391="zákl. přenesená",J391,0)</f>
        <v>0</v>
      </c>
      <c r="FL391" s="137">
        <f>IF(DR391="sníž. přenesená",J391,0)</f>
        <v>0</v>
      </c>
      <c r="FM391" s="137">
        <f>IF(DR391="nulová",J391,0)</f>
        <v>0</v>
      </c>
      <c r="FN391" s="16" t="s">
        <v>81</v>
      </c>
      <c r="FO391" s="137">
        <f>ROUND(I391*H391,2)</f>
        <v>731.25</v>
      </c>
      <c r="FP391" s="16" t="s">
        <v>95</v>
      </c>
      <c r="FQ391" s="136" t="s">
        <v>642</v>
      </c>
    </row>
    <row r="392" spans="2:173" s="1" customFormat="1" x14ac:dyDescent="0.2">
      <c r="B392" s="31"/>
      <c r="D392" s="138" t="s">
        <v>289</v>
      </c>
      <c r="F392" s="139" t="s">
        <v>641</v>
      </c>
      <c r="I392" s="140"/>
      <c r="L392" s="31"/>
      <c r="N392" s="213"/>
      <c r="O392" s="214"/>
      <c r="Q392" s="229"/>
      <c r="DQ392" s="141"/>
      <c r="DX392" s="50"/>
      <c r="EX392" s="16" t="s">
        <v>289</v>
      </c>
      <c r="EY392" s="16" t="s">
        <v>83</v>
      </c>
    </row>
    <row r="393" spans="2:173" s="1" customFormat="1" ht="24.2" customHeight="1" x14ac:dyDescent="0.2">
      <c r="B393" s="124"/>
      <c r="C393" s="125" t="s">
        <v>627</v>
      </c>
      <c r="D393" s="125" t="s">
        <v>284</v>
      </c>
      <c r="E393" s="126" t="s">
        <v>1028</v>
      </c>
      <c r="F393" s="127" t="s">
        <v>1029</v>
      </c>
      <c r="G393" s="128" t="s">
        <v>485</v>
      </c>
      <c r="H393" s="129">
        <v>1</v>
      </c>
      <c r="I393" s="130">
        <v>6140.7931243984813</v>
      </c>
      <c r="J393" s="131">
        <f>ROUND(I393*H393,2)</f>
        <v>6140.79</v>
      </c>
      <c r="K393" s="127" t="s">
        <v>293</v>
      </c>
      <c r="L393" s="198">
        <f>S393</f>
        <v>0</v>
      </c>
      <c r="M393" s="206">
        <f>ROUND(L393*I393,2)</f>
        <v>0</v>
      </c>
      <c r="N393" s="211"/>
      <c r="O393" s="212">
        <f>ROUND(N393*I393,2)</f>
        <v>0</v>
      </c>
      <c r="P393" s="207">
        <f>H393-L393-N393</f>
        <v>1</v>
      </c>
      <c r="Q393" s="228">
        <f>ROUND(P393*I393,2)</f>
        <v>6140.79</v>
      </c>
      <c r="R393" s="199"/>
      <c r="S393" s="200">
        <f>W393+Y393+AA393+AC393+AE393+AG393+AI393+AK393</f>
        <v>0</v>
      </c>
      <c r="T393" s="200">
        <f>ROUND(S393*I393,2)</f>
        <v>0</v>
      </c>
      <c r="U393" s="200">
        <f>H393-S393</f>
        <v>1</v>
      </c>
      <c r="V393" s="200">
        <f>ROUND(U393*I393,2)</f>
        <v>6140.79</v>
      </c>
      <c r="W393" s="200"/>
      <c r="X393" s="200"/>
      <c r="Y393" s="200"/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DQ393" s="132" t="s">
        <v>1</v>
      </c>
      <c r="DR393" s="133" t="s">
        <v>40</v>
      </c>
      <c r="DT393" s="134">
        <f>DS393*H393</f>
        <v>0</v>
      </c>
      <c r="DU393" s="134">
        <v>0.10833</v>
      </c>
      <c r="DV393" s="134">
        <f>DU393*H393</f>
        <v>0.10833</v>
      </c>
      <c r="DW393" s="134">
        <v>0</v>
      </c>
      <c r="DX393" s="135">
        <f>DW393*H393</f>
        <v>0</v>
      </c>
      <c r="EV393" s="136" t="s">
        <v>95</v>
      </c>
      <c r="EX393" s="136" t="s">
        <v>284</v>
      </c>
      <c r="EY393" s="136" t="s">
        <v>83</v>
      </c>
      <c r="FC393" s="16" t="s">
        <v>282</v>
      </c>
      <c r="FI393" s="137">
        <f>IF(DR393="základní",J393,0)</f>
        <v>6140.79</v>
      </c>
      <c r="FJ393" s="137">
        <f>IF(DR393="snížená",J393,0)</f>
        <v>0</v>
      </c>
      <c r="FK393" s="137">
        <f>IF(DR393="zákl. přenesená",J393,0)</f>
        <v>0</v>
      </c>
      <c r="FL393" s="137">
        <f>IF(DR393="sníž. přenesená",J393,0)</f>
        <v>0</v>
      </c>
      <c r="FM393" s="137">
        <f>IF(DR393="nulová",J393,0)</f>
        <v>0</v>
      </c>
      <c r="FN393" s="16" t="s">
        <v>81</v>
      </c>
      <c r="FO393" s="137">
        <f>ROUND(I393*H393,2)</f>
        <v>6140.79</v>
      </c>
      <c r="FP393" s="16" t="s">
        <v>95</v>
      </c>
      <c r="FQ393" s="136" t="s">
        <v>1030</v>
      </c>
    </row>
    <row r="394" spans="2:173" s="1" customFormat="1" ht="29.25" x14ac:dyDescent="0.2">
      <c r="B394" s="31"/>
      <c r="D394" s="138" t="s">
        <v>289</v>
      </c>
      <c r="F394" s="139" t="s">
        <v>1031</v>
      </c>
      <c r="I394" s="140"/>
      <c r="L394" s="31"/>
      <c r="N394" s="213"/>
      <c r="O394" s="214"/>
      <c r="Q394" s="229"/>
      <c r="DQ394" s="141"/>
      <c r="DX394" s="50"/>
      <c r="EX394" s="16" t="s">
        <v>289</v>
      </c>
      <c r="EY394" s="16" t="s">
        <v>83</v>
      </c>
    </row>
    <row r="395" spans="2:173" s="1" customFormat="1" ht="19.5" x14ac:dyDescent="0.2">
      <c r="B395" s="31"/>
      <c r="D395" s="138" t="s">
        <v>299</v>
      </c>
      <c r="F395" s="142" t="s">
        <v>317</v>
      </c>
      <c r="I395" s="140"/>
      <c r="L395" s="31"/>
      <c r="N395" s="213"/>
      <c r="O395" s="214"/>
      <c r="Q395" s="229"/>
      <c r="DQ395" s="141"/>
      <c r="DX395" s="50"/>
      <c r="EX395" s="16" t="s">
        <v>299</v>
      </c>
      <c r="EY395" s="16" t="s">
        <v>83</v>
      </c>
    </row>
    <row r="396" spans="2:173" s="12" customFormat="1" x14ac:dyDescent="0.2">
      <c r="B396" s="149"/>
      <c r="D396" s="138" t="s">
        <v>301</v>
      </c>
      <c r="E396" s="150" t="s">
        <v>1</v>
      </c>
      <c r="F396" s="151" t="s">
        <v>81</v>
      </c>
      <c r="H396" s="152">
        <v>1</v>
      </c>
      <c r="I396" s="153"/>
      <c r="L396" s="149"/>
      <c r="N396" s="217"/>
      <c r="O396" s="218"/>
      <c r="Q396" s="231"/>
      <c r="DQ396" s="154"/>
      <c r="DX396" s="155"/>
      <c r="EX396" s="150" t="s">
        <v>301</v>
      </c>
      <c r="EY396" s="150" t="s">
        <v>83</v>
      </c>
      <c r="EZ396" s="12" t="s">
        <v>83</v>
      </c>
      <c r="FA396" s="12" t="s">
        <v>32</v>
      </c>
      <c r="FB396" s="12" t="s">
        <v>81</v>
      </c>
      <c r="FC396" s="150" t="s">
        <v>282</v>
      </c>
    </row>
    <row r="397" spans="2:173" s="1" customFormat="1" ht="24.2" customHeight="1" x14ac:dyDescent="0.2">
      <c r="B397" s="124"/>
      <c r="C397" s="125" t="s">
        <v>631</v>
      </c>
      <c r="D397" s="125" t="s">
        <v>284</v>
      </c>
      <c r="E397" s="126" t="s">
        <v>928</v>
      </c>
      <c r="F397" s="127" t="s">
        <v>929</v>
      </c>
      <c r="G397" s="128" t="s">
        <v>485</v>
      </c>
      <c r="H397" s="129">
        <v>2</v>
      </c>
      <c r="I397" s="130">
        <v>6179.0606386784812</v>
      </c>
      <c r="J397" s="131">
        <f>ROUND(I397*H397,2)</f>
        <v>12358.12</v>
      </c>
      <c r="K397" s="127" t="s">
        <v>293</v>
      </c>
      <c r="L397" s="198">
        <f>S397</f>
        <v>0</v>
      </c>
      <c r="M397" s="206">
        <f>ROUND(L397*I397,2)</f>
        <v>0</v>
      </c>
      <c r="N397" s="211"/>
      <c r="O397" s="212">
        <f>ROUND(N397*I397,2)</f>
        <v>0</v>
      </c>
      <c r="P397" s="207">
        <f>H397-L397-N397</f>
        <v>2</v>
      </c>
      <c r="Q397" s="228">
        <f>ROUND(P397*I397,2)</f>
        <v>12358.12</v>
      </c>
      <c r="R397" s="199"/>
      <c r="S397" s="200">
        <f>W397+Y397+AA397+AC397+AE397+AG397+AI397+AK397</f>
        <v>0</v>
      </c>
      <c r="T397" s="200">
        <f>ROUND(S397*I397,2)</f>
        <v>0</v>
      </c>
      <c r="U397" s="200">
        <f>H397-S397</f>
        <v>2</v>
      </c>
      <c r="V397" s="200">
        <f>ROUND(U397*I397,2)</f>
        <v>12358.12</v>
      </c>
      <c r="W397" s="200"/>
      <c r="X397" s="200"/>
      <c r="Y397" s="200"/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DQ397" s="132" t="s">
        <v>1</v>
      </c>
      <c r="DR397" s="133" t="s">
        <v>40</v>
      </c>
      <c r="DT397" s="134">
        <f>DS397*H397</f>
        <v>0</v>
      </c>
      <c r="DU397" s="134">
        <v>0.10833</v>
      </c>
      <c r="DV397" s="134">
        <f>DU397*H397</f>
        <v>0.21665999999999999</v>
      </c>
      <c r="DW397" s="134">
        <v>0</v>
      </c>
      <c r="DX397" s="135">
        <f>DW397*H397</f>
        <v>0</v>
      </c>
      <c r="EV397" s="136" t="s">
        <v>95</v>
      </c>
      <c r="EX397" s="136" t="s">
        <v>284</v>
      </c>
      <c r="EY397" s="136" t="s">
        <v>83</v>
      </c>
      <c r="FC397" s="16" t="s">
        <v>282</v>
      </c>
      <c r="FI397" s="137">
        <f>IF(DR397="základní",J397,0)</f>
        <v>12358.12</v>
      </c>
      <c r="FJ397" s="137">
        <f>IF(DR397="snížená",J397,0)</f>
        <v>0</v>
      </c>
      <c r="FK397" s="137">
        <f>IF(DR397="zákl. přenesená",J397,0)</f>
        <v>0</v>
      </c>
      <c r="FL397" s="137">
        <f>IF(DR397="sníž. přenesená",J397,0)</f>
        <v>0</v>
      </c>
      <c r="FM397" s="137">
        <f>IF(DR397="nulová",J397,0)</f>
        <v>0</v>
      </c>
      <c r="FN397" s="16" t="s">
        <v>81</v>
      </c>
      <c r="FO397" s="137">
        <f>ROUND(I397*H397,2)</f>
        <v>12358.12</v>
      </c>
      <c r="FP397" s="16" t="s">
        <v>95</v>
      </c>
      <c r="FQ397" s="136" t="s">
        <v>1032</v>
      </c>
    </row>
    <row r="398" spans="2:173" s="1" customFormat="1" ht="29.25" x14ac:dyDescent="0.2">
      <c r="B398" s="31"/>
      <c r="D398" s="138" t="s">
        <v>289</v>
      </c>
      <c r="F398" s="139" t="s">
        <v>931</v>
      </c>
      <c r="I398" s="140"/>
      <c r="L398" s="31"/>
      <c r="N398" s="213"/>
      <c r="O398" s="214"/>
      <c r="Q398" s="229"/>
      <c r="DQ398" s="141"/>
      <c r="DX398" s="50"/>
      <c r="EX398" s="16" t="s">
        <v>289</v>
      </c>
      <c r="EY398" s="16" t="s">
        <v>83</v>
      </c>
    </row>
    <row r="399" spans="2:173" s="1" customFormat="1" ht="19.5" x14ac:dyDescent="0.2">
      <c r="B399" s="31"/>
      <c r="D399" s="138" t="s">
        <v>299</v>
      </c>
      <c r="F399" s="142" t="s">
        <v>317</v>
      </c>
      <c r="I399" s="140"/>
      <c r="L399" s="31"/>
      <c r="N399" s="213"/>
      <c r="O399" s="214"/>
      <c r="Q399" s="229"/>
      <c r="DQ399" s="141"/>
      <c r="DX399" s="50"/>
      <c r="EX399" s="16" t="s">
        <v>299</v>
      </c>
      <c r="EY399" s="16" t="s">
        <v>83</v>
      </c>
    </row>
    <row r="400" spans="2:173" s="12" customFormat="1" x14ac:dyDescent="0.2">
      <c r="B400" s="149"/>
      <c r="D400" s="138" t="s">
        <v>301</v>
      </c>
      <c r="E400" s="150" t="s">
        <v>1</v>
      </c>
      <c r="F400" s="151" t="s">
        <v>83</v>
      </c>
      <c r="H400" s="152">
        <v>2</v>
      </c>
      <c r="I400" s="153"/>
      <c r="L400" s="149"/>
      <c r="N400" s="217"/>
      <c r="O400" s="218"/>
      <c r="Q400" s="231"/>
      <c r="DQ400" s="154"/>
      <c r="DX400" s="155"/>
      <c r="EX400" s="150" t="s">
        <v>301</v>
      </c>
      <c r="EY400" s="150" t="s">
        <v>83</v>
      </c>
      <c r="EZ400" s="12" t="s">
        <v>83</v>
      </c>
      <c r="FA400" s="12" t="s">
        <v>32</v>
      </c>
      <c r="FB400" s="12" t="s">
        <v>81</v>
      </c>
      <c r="FC400" s="150" t="s">
        <v>282</v>
      </c>
    </row>
    <row r="401" spans="2:173" s="1" customFormat="1" ht="24.2" customHeight="1" x14ac:dyDescent="0.2">
      <c r="B401" s="124"/>
      <c r="C401" s="125" t="s">
        <v>635</v>
      </c>
      <c r="D401" s="125" t="s">
        <v>284</v>
      </c>
      <c r="E401" s="126" t="s">
        <v>932</v>
      </c>
      <c r="F401" s="127" t="s">
        <v>933</v>
      </c>
      <c r="G401" s="128" t="s">
        <v>485</v>
      </c>
      <c r="H401" s="129">
        <v>2</v>
      </c>
      <c r="I401" s="130">
        <v>3593.8097854433977</v>
      </c>
      <c r="J401" s="131">
        <f>ROUND(I401*H401,2)</f>
        <v>7187.62</v>
      </c>
      <c r="K401" s="127" t="s">
        <v>293</v>
      </c>
      <c r="L401" s="198">
        <f>S401</f>
        <v>0</v>
      </c>
      <c r="M401" s="206">
        <f>ROUND(L401*I401,2)</f>
        <v>0</v>
      </c>
      <c r="N401" s="211"/>
      <c r="O401" s="212">
        <f>ROUND(N401*I401,2)</f>
        <v>0</v>
      </c>
      <c r="P401" s="207">
        <f>H401-L401-N401</f>
        <v>2</v>
      </c>
      <c r="Q401" s="228">
        <f>ROUND(P401*I401,2)</f>
        <v>7187.62</v>
      </c>
      <c r="R401" s="199"/>
      <c r="S401" s="200">
        <f>W401+Y401+AA401+AC401+AE401+AG401+AI401+AK401</f>
        <v>0</v>
      </c>
      <c r="T401" s="200">
        <f>ROUND(S401*I401,2)</f>
        <v>0</v>
      </c>
      <c r="U401" s="200">
        <f>H401-S401</f>
        <v>2</v>
      </c>
      <c r="V401" s="200">
        <f>ROUND(U401*I401,2)</f>
        <v>7187.62</v>
      </c>
      <c r="W401" s="200"/>
      <c r="X401" s="200"/>
      <c r="Y401" s="200"/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DQ401" s="132" t="s">
        <v>1</v>
      </c>
      <c r="DR401" s="133" t="s">
        <v>40</v>
      </c>
      <c r="DT401" s="134">
        <f>DS401*H401</f>
        <v>0</v>
      </c>
      <c r="DU401" s="134">
        <v>2.4240000000000001E-2</v>
      </c>
      <c r="DV401" s="134">
        <f>DU401*H401</f>
        <v>4.8480000000000002E-2</v>
      </c>
      <c r="DW401" s="134">
        <v>0</v>
      </c>
      <c r="DX401" s="135">
        <f>DW401*H401</f>
        <v>0</v>
      </c>
      <c r="EV401" s="136" t="s">
        <v>95</v>
      </c>
      <c r="EX401" s="136" t="s">
        <v>284</v>
      </c>
      <c r="EY401" s="136" t="s">
        <v>83</v>
      </c>
      <c r="FC401" s="16" t="s">
        <v>282</v>
      </c>
      <c r="FI401" s="137">
        <f>IF(DR401="základní",J401,0)</f>
        <v>7187.62</v>
      </c>
      <c r="FJ401" s="137">
        <f>IF(DR401="snížená",J401,0)</f>
        <v>0</v>
      </c>
      <c r="FK401" s="137">
        <f>IF(DR401="zákl. přenesená",J401,0)</f>
        <v>0</v>
      </c>
      <c r="FL401" s="137">
        <f>IF(DR401="sníž. přenesená",J401,0)</f>
        <v>0</v>
      </c>
      <c r="FM401" s="137">
        <f>IF(DR401="nulová",J401,0)</f>
        <v>0</v>
      </c>
      <c r="FN401" s="16" t="s">
        <v>81</v>
      </c>
      <c r="FO401" s="137">
        <f>ROUND(I401*H401,2)</f>
        <v>7187.62</v>
      </c>
      <c r="FP401" s="16" t="s">
        <v>95</v>
      </c>
      <c r="FQ401" s="136" t="s">
        <v>1033</v>
      </c>
    </row>
    <row r="402" spans="2:173" s="1" customFormat="1" ht="19.5" x14ac:dyDescent="0.2">
      <c r="B402" s="31"/>
      <c r="D402" s="138" t="s">
        <v>289</v>
      </c>
      <c r="F402" s="139" t="s">
        <v>935</v>
      </c>
      <c r="I402" s="140"/>
      <c r="L402" s="31"/>
      <c r="N402" s="213"/>
      <c r="O402" s="214"/>
      <c r="Q402" s="229"/>
      <c r="DQ402" s="141"/>
      <c r="DX402" s="50"/>
      <c r="EX402" s="16" t="s">
        <v>289</v>
      </c>
      <c r="EY402" s="16" t="s">
        <v>83</v>
      </c>
    </row>
    <row r="403" spans="2:173" s="1" customFormat="1" ht="24.2" customHeight="1" x14ac:dyDescent="0.2">
      <c r="B403" s="124"/>
      <c r="C403" s="125" t="s">
        <v>639</v>
      </c>
      <c r="D403" s="125" t="s">
        <v>284</v>
      </c>
      <c r="E403" s="126" t="s">
        <v>1034</v>
      </c>
      <c r="F403" s="127" t="s">
        <v>1035</v>
      </c>
      <c r="G403" s="128" t="s">
        <v>485</v>
      </c>
      <c r="H403" s="129">
        <v>1</v>
      </c>
      <c r="I403" s="130">
        <v>4993.6517165286823</v>
      </c>
      <c r="J403" s="131">
        <f>ROUND(I403*H403,2)</f>
        <v>4993.6499999999996</v>
      </c>
      <c r="K403" s="127" t="s">
        <v>293</v>
      </c>
      <c r="L403" s="198">
        <f>S403</f>
        <v>0</v>
      </c>
      <c r="M403" s="206">
        <f>ROUND(L403*I403,2)</f>
        <v>0</v>
      </c>
      <c r="N403" s="211"/>
      <c r="O403" s="212">
        <f>ROUND(N403*I403,2)</f>
        <v>0</v>
      </c>
      <c r="P403" s="207">
        <f>H403-L403-N403</f>
        <v>1</v>
      </c>
      <c r="Q403" s="228">
        <f>ROUND(P403*I403,2)</f>
        <v>4993.6499999999996</v>
      </c>
      <c r="R403" s="199"/>
      <c r="S403" s="200">
        <f>W403+Y403+AA403+AC403+AE403+AG403+AI403+AK403</f>
        <v>0</v>
      </c>
      <c r="T403" s="200">
        <f>ROUND(S403*I403,2)</f>
        <v>0</v>
      </c>
      <c r="U403" s="200">
        <f>H403-S403</f>
        <v>1</v>
      </c>
      <c r="V403" s="200">
        <f>ROUND(U403*I403,2)</f>
        <v>4993.6499999999996</v>
      </c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DQ403" s="132" t="s">
        <v>1</v>
      </c>
      <c r="DR403" s="133" t="s">
        <v>40</v>
      </c>
      <c r="DT403" s="134">
        <f>DS403*H403</f>
        <v>0</v>
      </c>
      <c r="DU403" s="134">
        <v>3.637E-2</v>
      </c>
      <c r="DV403" s="134">
        <f>DU403*H403</f>
        <v>3.637E-2</v>
      </c>
      <c r="DW403" s="134">
        <v>0</v>
      </c>
      <c r="DX403" s="135">
        <f>DW403*H403</f>
        <v>0</v>
      </c>
      <c r="EV403" s="136" t="s">
        <v>95</v>
      </c>
      <c r="EX403" s="136" t="s">
        <v>284</v>
      </c>
      <c r="EY403" s="136" t="s">
        <v>83</v>
      </c>
      <c r="FC403" s="16" t="s">
        <v>282</v>
      </c>
      <c r="FI403" s="137">
        <f>IF(DR403="základní",J403,0)</f>
        <v>4993.6499999999996</v>
      </c>
      <c r="FJ403" s="137">
        <f>IF(DR403="snížená",J403,0)</f>
        <v>0</v>
      </c>
      <c r="FK403" s="137">
        <f>IF(DR403="zákl. přenesená",J403,0)</f>
        <v>0</v>
      </c>
      <c r="FL403" s="137">
        <f>IF(DR403="sníž. přenesená",J403,0)</f>
        <v>0</v>
      </c>
      <c r="FM403" s="137">
        <f>IF(DR403="nulová",J403,0)</f>
        <v>0</v>
      </c>
      <c r="FN403" s="16" t="s">
        <v>81</v>
      </c>
      <c r="FO403" s="137">
        <f>ROUND(I403*H403,2)</f>
        <v>4993.6499999999996</v>
      </c>
      <c r="FP403" s="16" t="s">
        <v>95</v>
      </c>
      <c r="FQ403" s="136" t="s">
        <v>1036</v>
      </c>
    </row>
    <row r="404" spans="2:173" s="1" customFormat="1" ht="19.5" x14ac:dyDescent="0.2">
      <c r="B404" s="31"/>
      <c r="D404" s="138" t="s">
        <v>289</v>
      </c>
      <c r="F404" s="139" t="s">
        <v>1037</v>
      </c>
      <c r="I404" s="140"/>
      <c r="L404" s="31"/>
      <c r="N404" s="213"/>
      <c r="O404" s="214"/>
      <c r="Q404" s="229"/>
      <c r="DQ404" s="141"/>
      <c r="DX404" s="50"/>
      <c r="EX404" s="16" t="s">
        <v>289</v>
      </c>
      <c r="EY404" s="16" t="s">
        <v>83</v>
      </c>
    </row>
    <row r="405" spans="2:173" s="1" customFormat="1" ht="24.2" customHeight="1" x14ac:dyDescent="0.2">
      <c r="B405" s="124"/>
      <c r="C405" s="125" t="s">
        <v>643</v>
      </c>
      <c r="D405" s="125" t="s">
        <v>284</v>
      </c>
      <c r="E405" s="126" t="s">
        <v>936</v>
      </c>
      <c r="F405" s="127" t="s">
        <v>937</v>
      </c>
      <c r="G405" s="128" t="s">
        <v>485</v>
      </c>
      <c r="H405" s="129">
        <v>3</v>
      </c>
      <c r="I405" s="130">
        <v>1078.0568828114554</v>
      </c>
      <c r="J405" s="131">
        <f>ROUND(I405*H405,2)</f>
        <v>3234.17</v>
      </c>
      <c r="K405" s="127" t="s">
        <v>293</v>
      </c>
      <c r="L405" s="198">
        <f>S405</f>
        <v>0</v>
      </c>
      <c r="M405" s="206">
        <f>ROUND(L405*I405,2)</f>
        <v>0</v>
      </c>
      <c r="N405" s="211"/>
      <c r="O405" s="212">
        <f>ROUND(N405*I405,2)</f>
        <v>0</v>
      </c>
      <c r="P405" s="207">
        <f>H405-L405-N405</f>
        <v>3</v>
      </c>
      <c r="Q405" s="228">
        <f>ROUND(P405*I405,2)</f>
        <v>3234.17</v>
      </c>
      <c r="R405" s="199"/>
      <c r="S405" s="200">
        <f>W405+Y405+AA405+AC405+AE405+AG405+AI405+AK405</f>
        <v>0</v>
      </c>
      <c r="T405" s="200">
        <f>ROUND(S405*I405,2)</f>
        <v>0</v>
      </c>
      <c r="U405" s="200">
        <f>H405-S405</f>
        <v>3</v>
      </c>
      <c r="V405" s="200">
        <f>ROUND(U405*I405,2)</f>
        <v>3234.17</v>
      </c>
      <c r="W405" s="200"/>
      <c r="X405" s="200"/>
      <c r="Y405" s="200"/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DQ405" s="132" t="s">
        <v>1</v>
      </c>
      <c r="DR405" s="133" t="s">
        <v>40</v>
      </c>
      <c r="DT405" s="134">
        <f>DS405*H405</f>
        <v>0</v>
      </c>
      <c r="DU405" s="134">
        <v>0</v>
      </c>
      <c r="DV405" s="134">
        <f>DU405*H405</f>
        <v>0</v>
      </c>
      <c r="DW405" s="134">
        <v>0</v>
      </c>
      <c r="DX405" s="135">
        <f>DW405*H405</f>
        <v>0</v>
      </c>
      <c r="EV405" s="136" t="s">
        <v>95</v>
      </c>
      <c r="EX405" s="136" t="s">
        <v>284</v>
      </c>
      <c r="EY405" s="136" t="s">
        <v>83</v>
      </c>
      <c r="FC405" s="16" t="s">
        <v>282</v>
      </c>
      <c r="FI405" s="137">
        <f>IF(DR405="základní",J405,0)</f>
        <v>3234.17</v>
      </c>
      <c r="FJ405" s="137">
        <f>IF(DR405="snížená",J405,0)</f>
        <v>0</v>
      </c>
      <c r="FK405" s="137">
        <f>IF(DR405="zákl. přenesená",J405,0)</f>
        <v>0</v>
      </c>
      <c r="FL405" s="137">
        <f>IF(DR405="sníž. přenesená",J405,0)</f>
        <v>0</v>
      </c>
      <c r="FM405" s="137">
        <f>IF(DR405="nulová",J405,0)</f>
        <v>0</v>
      </c>
      <c r="FN405" s="16" t="s">
        <v>81</v>
      </c>
      <c r="FO405" s="137">
        <f>ROUND(I405*H405,2)</f>
        <v>3234.17</v>
      </c>
      <c r="FP405" s="16" t="s">
        <v>95</v>
      </c>
      <c r="FQ405" s="136" t="s">
        <v>1038</v>
      </c>
    </row>
    <row r="406" spans="2:173" s="1" customFormat="1" ht="19.5" x14ac:dyDescent="0.2">
      <c r="B406" s="31"/>
      <c r="D406" s="138" t="s">
        <v>289</v>
      </c>
      <c r="F406" s="139" t="s">
        <v>939</v>
      </c>
      <c r="I406" s="140"/>
      <c r="L406" s="31"/>
      <c r="N406" s="213"/>
      <c r="O406" s="214"/>
      <c r="Q406" s="229"/>
      <c r="DQ406" s="141"/>
      <c r="DX406" s="50"/>
      <c r="EX406" s="16" t="s">
        <v>289</v>
      </c>
      <c r="EY406" s="16" t="s">
        <v>83</v>
      </c>
    </row>
    <row r="407" spans="2:173" s="1" customFormat="1" ht="24.2" customHeight="1" x14ac:dyDescent="0.2">
      <c r="B407" s="124"/>
      <c r="C407" s="125" t="s">
        <v>650</v>
      </c>
      <c r="D407" s="125" t="s">
        <v>284</v>
      </c>
      <c r="E407" s="126" t="s">
        <v>940</v>
      </c>
      <c r="F407" s="127" t="s">
        <v>941</v>
      </c>
      <c r="G407" s="128" t="s">
        <v>485</v>
      </c>
      <c r="H407" s="129">
        <v>3</v>
      </c>
      <c r="I407" s="130">
        <v>8864.0454366400263</v>
      </c>
      <c r="J407" s="131">
        <f>ROUND(I407*H407,2)</f>
        <v>26592.14</v>
      </c>
      <c r="K407" s="127" t="s">
        <v>293</v>
      </c>
      <c r="L407" s="198">
        <f>S407</f>
        <v>0</v>
      </c>
      <c r="M407" s="206">
        <f>ROUND(L407*I407,2)</f>
        <v>0</v>
      </c>
      <c r="N407" s="211"/>
      <c r="O407" s="212">
        <f>ROUND(N407*I407,2)</f>
        <v>0</v>
      </c>
      <c r="P407" s="207">
        <f>H407-L407-N407</f>
        <v>3</v>
      </c>
      <c r="Q407" s="228">
        <f>ROUND(P407*I407,2)</f>
        <v>26592.14</v>
      </c>
      <c r="R407" s="199"/>
      <c r="S407" s="200">
        <f>W407+Y407+AA407+AC407+AE407+AG407+AI407+AK407</f>
        <v>0</v>
      </c>
      <c r="T407" s="200">
        <f>ROUND(S407*I407,2)</f>
        <v>0</v>
      </c>
      <c r="U407" s="200">
        <f>H407-S407</f>
        <v>3</v>
      </c>
      <c r="V407" s="200">
        <f>ROUND(U407*I407,2)</f>
        <v>26592.14</v>
      </c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DQ407" s="132" t="s">
        <v>1</v>
      </c>
      <c r="DR407" s="133" t="s">
        <v>40</v>
      </c>
      <c r="DT407" s="134">
        <f>DS407*H407</f>
        <v>0</v>
      </c>
      <c r="DU407" s="134">
        <v>0.21007999999999999</v>
      </c>
      <c r="DV407" s="134">
        <f>DU407*H407</f>
        <v>0.63023999999999991</v>
      </c>
      <c r="DW407" s="134">
        <v>0</v>
      </c>
      <c r="DX407" s="135">
        <f>DW407*H407</f>
        <v>0</v>
      </c>
      <c r="EV407" s="136" t="s">
        <v>95</v>
      </c>
      <c r="EX407" s="136" t="s">
        <v>284</v>
      </c>
      <c r="EY407" s="136" t="s">
        <v>83</v>
      </c>
      <c r="FC407" s="16" t="s">
        <v>282</v>
      </c>
      <c r="FI407" s="137">
        <f>IF(DR407="základní",J407,0)</f>
        <v>26592.14</v>
      </c>
      <c r="FJ407" s="137">
        <f>IF(DR407="snížená",J407,0)</f>
        <v>0</v>
      </c>
      <c r="FK407" s="137">
        <f>IF(DR407="zákl. přenesená",J407,0)</f>
        <v>0</v>
      </c>
      <c r="FL407" s="137">
        <f>IF(DR407="sníž. přenesená",J407,0)</f>
        <v>0</v>
      </c>
      <c r="FM407" s="137">
        <f>IF(DR407="nulová",J407,0)</f>
        <v>0</v>
      </c>
      <c r="FN407" s="16" t="s">
        <v>81</v>
      </c>
      <c r="FO407" s="137">
        <f>ROUND(I407*H407,2)</f>
        <v>26592.14</v>
      </c>
      <c r="FP407" s="16" t="s">
        <v>95</v>
      </c>
      <c r="FQ407" s="136" t="s">
        <v>1039</v>
      </c>
    </row>
    <row r="408" spans="2:173" s="1" customFormat="1" ht="29.25" x14ac:dyDescent="0.2">
      <c r="B408" s="31"/>
      <c r="D408" s="138" t="s">
        <v>289</v>
      </c>
      <c r="F408" s="139" t="s">
        <v>943</v>
      </c>
      <c r="I408" s="140"/>
      <c r="L408" s="31"/>
      <c r="N408" s="213"/>
      <c r="O408" s="214"/>
      <c r="Q408" s="229"/>
      <c r="DQ408" s="141"/>
      <c r="DX408" s="50"/>
      <c r="EX408" s="16" t="s">
        <v>289</v>
      </c>
      <c r="EY408" s="16" t="s">
        <v>83</v>
      </c>
    </row>
    <row r="409" spans="2:173" s="1" customFormat="1" ht="24.2" customHeight="1" x14ac:dyDescent="0.2">
      <c r="B409" s="124"/>
      <c r="C409" s="125" t="s">
        <v>655</v>
      </c>
      <c r="D409" s="125" t="s">
        <v>284</v>
      </c>
      <c r="E409" s="126" t="s">
        <v>661</v>
      </c>
      <c r="F409" s="127" t="s">
        <v>662</v>
      </c>
      <c r="G409" s="128" t="s">
        <v>485</v>
      </c>
      <c r="H409" s="129">
        <v>2</v>
      </c>
      <c r="I409" s="130">
        <v>1019.8832798103068</v>
      </c>
      <c r="J409" s="131">
        <f>ROUND(I409*H409,2)</f>
        <v>2039.77</v>
      </c>
      <c r="K409" s="127" t="s">
        <v>293</v>
      </c>
      <c r="L409" s="198">
        <f>S409</f>
        <v>0</v>
      </c>
      <c r="M409" s="206">
        <f>ROUND(L409*I409,2)</f>
        <v>0</v>
      </c>
      <c r="N409" s="211"/>
      <c r="O409" s="212">
        <f>ROUND(N409*I409,2)</f>
        <v>0</v>
      </c>
      <c r="P409" s="207">
        <f>H409-L409-N409</f>
        <v>2</v>
      </c>
      <c r="Q409" s="228">
        <f>ROUND(P409*I409,2)</f>
        <v>2039.77</v>
      </c>
      <c r="R409" s="199"/>
      <c r="S409" s="200">
        <f>W409+Y409+AA409+AC409+AE409+AG409+AI409+AK409</f>
        <v>0</v>
      </c>
      <c r="T409" s="200">
        <f>ROUND(S409*I409,2)</f>
        <v>0</v>
      </c>
      <c r="U409" s="200">
        <f>H409-S409</f>
        <v>2</v>
      </c>
      <c r="V409" s="200">
        <f>ROUND(U409*I409,2)</f>
        <v>2039.77</v>
      </c>
      <c r="W409" s="200"/>
      <c r="X409" s="200"/>
      <c r="Y409" s="200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DQ409" s="132" t="s">
        <v>1</v>
      </c>
      <c r="DR409" s="133" t="s">
        <v>40</v>
      </c>
      <c r="DT409" s="134">
        <f>DS409*H409</f>
        <v>0</v>
      </c>
      <c r="DU409" s="134">
        <v>0.21734000000000001</v>
      </c>
      <c r="DV409" s="134">
        <f>DU409*H409</f>
        <v>0.43468000000000001</v>
      </c>
      <c r="DW409" s="134">
        <v>0</v>
      </c>
      <c r="DX409" s="135">
        <f>DW409*H409</f>
        <v>0</v>
      </c>
      <c r="EV409" s="136" t="s">
        <v>95</v>
      </c>
      <c r="EX409" s="136" t="s">
        <v>284</v>
      </c>
      <c r="EY409" s="136" t="s">
        <v>83</v>
      </c>
      <c r="FC409" s="16" t="s">
        <v>282</v>
      </c>
      <c r="FI409" s="137">
        <f>IF(DR409="základní",J409,0)</f>
        <v>2039.77</v>
      </c>
      <c r="FJ409" s="137">
        <f>IF(DR409="snížená",J409,0)</f>
        <v>0</v>
      </c>
      <c r="FK409" s="137">
        <f>IF(DR409="zákl. přenesená",J409,0)</f>
        <v>0</v>
      </c>
      <c r="FL409" s="137">
        <f>IF(DR409="sníž. přenesená",J409,0)</f>
        <v>0</v>
      </c>
      <c r="FM409" s="137">
        <f>IF(DR409="nulová",J409,0)</f>
        <v>0</v>
      </c>
      <c r="FN409" s="16" t="s">
        <v>81</v>
      </c>
      <c r="FO409" s="137">
        <f>ROUND(I409*H409,2)</f>
        <v>2039.77</v>
      </c>
      <c r="FP409" s="16" t="s">
        <v>95</v>
      </c>
      <c r="FQ409" s="136" t="s">
        <v>663</v>
      </c>
    </row>
    <row r="410" spans="2:173" s="1" customFormat="1" ht="19.5" x14ac:dyDescent="0.2">
      <c r="B410" s="31"/>
      <c r="D410" s="138" t="s">
        <v>289</v>
      </c>
      <c r="F410" s="139" t="s">
        <v>664</v>
      </c>
      <c r="I410" s="140"/>
      <c r="L410" s="31"/>
      <c r="N410" s="213"/>
      <c r="O410" s="214"/>
      <c r="Q410" s="229"/>
      <c r="DQ410" s="141"/>
      <c r="DX410" s="50"/>
      <c r="EX410" s="16" t="s">
        <v>289</v>
      </c>
      <c r="EY410" s="16" t="s">
        <v>83</v>
      </c>
    </row>
    <row r="411" spans="2:173" s="1" customFormat="1" ht="19.5" x14ac:dyDescent="0.2">
      <c r="B411" s="31"/>
      <c r="D411" s="138" t="s">
        <v>299</v>
      </c>
      <c r="F411" s="142" t="s">
        <v>317</v>
      </c>
      <c r="I411" s="140"/>
      <c r="L411" s="31"/>
      <c r="N411" s="213"/>
      <c r="O411" s="214"/>
      <c r="Q411" s="229"/>
      <c r="DQ411" s="141"/>
      <c r="DX411" s="50"/>
      <c r="EX411" s="16" t="s">
        <v>299</v>
      </c>
      <c r="EY411" s="16" t="s">
        <v>83</v>
      </c>
    </row>
    <row r="412" spans="2:173" s="12" customFormat="1" x14ac:dyDescent="0.2">
      <c r="B412" s="149"/>
      <c r="D412" s="138" t="s">
        <v>301</v>
      </c>
      <c r="E412" s="150" t="s">
        <v>1</v>
      </c>
      <c r="F412" s="151" t="s">
        <v>83</v>
      </c>
      <c r="H412" s="152">
        <v>2</v>
      </c>
      <c r="I412" s="153"/>
      <c r="L412" s="149"/>
      <c r="N412" s="217"/>
      <c r="O412" s="218"/>
      <c r="Q412" s="231"/>
      <c r="DQ412" s="154"/>
      <c r="DX412" s="155"/>
      <c r="EX412" s="150" t="s">
        <v>301</v>
      </c>
      <c r="EY412" s="150" t="s">
        <v>83</v>
      </c>
      <c r="EZ412" s="12" t="s">
        <v>83</v>
      </c>
      <c r="FA412" s="12" t="s">
        <v>32</v>
      </c>
      <c r="FB412" s="12" t="s">
        <v>81</v>
      </c>
      <c r="FC412" s="150" t="s">
        <v>282</v>
      </c>
    </row>
    <row r="413" spans="2:173" s="1" customFormat="1" ht="24.2" customHeight="1" x14ac:dyDescent="0.2">
      <c r="B413" s="124"/>
      <c r="C413" s="170" t="s">
        <v>660</v>
      </c>
      <c r="D413" s="170" t="s">
        <v>439</v>
      </c>
      <c r="E413" s="171" t="s">
        <v>667</v>
      </c>
      <c r="F413" s="172" t="s">
        <v>668</v>
      </c>
      <c r="G413" s="173" t="s">
        <v>485</v>
      </c>
      <c r="H413" s="174">
        <v>2</v>
      </c>
      <c r="I413" s="175">
        <v>3125.8118100000002</v>
      </c>
      <c r="J413" s="176">
        <f>ROUND(I413*H413,2)</f>
        <v>6251.62</v>
      </c>
      <c r="K413" s="172" t="s">
        <v>1</v>
      </c>
      <c r="L413" s="198">
        <f>S413</f>
        <v>0</v>
      </c>
      <c r="M413" s="206">
        <f>ROUND(L413*I413,2)</f>
        <v>0</v>
      </c>
      <c r="N413" s="211"/>
      <c r="O413" s="212">
        <f>ROUND(N413*I413,2)</f>
        <v>0</v>
      </c>
      <c r="P413" s="207">
        <f>H413-L413-N413</f>
        <v>2</v>
      </c>
      <c r="Q413" s="228">
        <f>ROUND(P413*I413,2)</f>
        <v>6251.62</v>
      </c>
      <c r="R413" s="199"/>
      <c r="S413" s="200">
        <f>W413+Y413+AA413+AC413+AE413+AG413+AI413+AK413</f>
        <v>0</v>
      </c>
      <c r="T413" s="200">
        <f>ROUND(S413*I413,2)</f>
        <v>0</v>
      </c>
      <c r="U413" s="200">
        <f>H413-S413</f>
        <v>2</v>
      </c>
      <c r="V413" s="200">
        <f>ROUND(U413*I413,2)</f>
        <v>6251.62</v>
      </c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77" t="s">
        <v>1</v>
      </c>
      <c r="DR413" s="178" t="s">
        <v>40</v>
      </c>
      <c r="DT413" s="134">
        <f>DS413*H413</f>
        <v>0</v>
      </c>
      <c r="DU413" s="134">
        <v>4.5999999999999999E-2</v>
      </c>
      <c r="DV413" s="134">
        <f>DU413*H413</f>
        <v>9.1999999999999998E-2</v>
      </c>
      <c r="DW413" s="134">
        <v>0</v>
      </c>
      <c r="DX413" s="135">
        <f>DW413*H413</f>
        <v>0</v>
      </c>
      <c r="EV413" s="136" t="s">
        <v>328</v>
      </c>
      <c r="EX413" s="136" t="s">
        <v>439</v>
      </c>
      <c r="EY413" s="136" t="s">
        <v>83</v>
      </c>
      <c r="FC413" s="16" t="s">
        <v>282</v>
      </c>
      <c r="FI413" s="137">
        <f>IF(DR413="základní",J413,0)</f>
        <v>6251.62</v>
      </c>
      <c r="FJ413" s="137">
        <f>IF(DR413="snížená",J413,0)</f>
        <v>0</v>
      </c>
      <c r="FK413" s="137">
        <f>IF(DR413="zákl. přenesená",J413,0)</f>
        <v>0</v>
      </c>
      <c r="FL413" s="137">
        <f>IF(DR413="sníž. přenesená",J413,0)</f>
        <v>0</v>
      </c>
      <c r="FM413" s="137">
        <f>IF(DR413="nulová",J413,0)</f>
        <v>0</v>
      </c>
      <c r="FN413" s="16" t="s">
        <v>81</v>
      </c>
      <c r="FO413" s="137">
        <f>ROUND(I413*H413,2)</f>
        <v>6251.62</v>
      </c>
      <c r="FP413" s="16" t="s">
        <v>95</v>
      </c>
      <c r="FQ413" s="136" t="s">
        <v>669</v>
      </c>
    </row>
    <row r="414" spans="2:173" s="1" customFormat="1" ht="19.5" x14ac:dyDescent="0.2">
      <c r="B414" s="31"/>
      <c r="D414" s="138" t="s">
        <v>289</v>
      </c>
      <c r="F414" s="139" t="s">
        <v>668</v>
      </c>
      <c r="I414" s="140"/>
      <c r="L414" s="31"/>
      <c r="N414" s="213"/>
      <c r="O414" s="214"/>
      <c r="Q414" s="229"/>
      <c r="DQ414" s="141"/>
      <c r="DX414" s="50"/>
      <c r="EX414" s="16" t="s">
        <v>289</v>
      </c>
      <c r="EY414" s="16" t="s">
        <v>83</v>
      </c>
    </row>
    <row r="415" spans="2:173" s="10" customFormat="1" ht="22.9" customHeight="1" x14ac:dyDescent="0.2">
      <c r="B415" s="112"/>
      <c r="D415" s="113" t="s">
        <v>73</v>
      </c>
      <c r="E415" s="122" t="s">
        <v>335</v>
      </c>
      <c r="F415" s="122" t="s">
        <v>674</v>
      </c>
      <c r="I415" s="115"/>
      <c r="J415" s="123">
        <f>FO415</f>
        <v>10987.43</v>
      </c>
      <c r="L415" s="112"/>
      <c r="M415" s="320">
        <f>M416+M421</f>
        <v>0</v>
      </c>
      <c r="N415" s="323"/>
      <c r="O415" s="324">
        <f t="shared" ref="O415:V415" si="7">O416+O421</f>
        <v>0</v>
      </c>
      <c r="P415" s="320"/>
      <c r="Q415" s="326">
        <f t="shared" si="7"/>
        <v>10987.43</v>
      </c>
      <c r="R415" s="320"/>
      <c r="S415" s="320"/>
      <c r="T415" s="320">
        <f t="shared" si="7"/>
        <v>0</v>
      </c>
      <c r="U415" s="320"/>
      <c r="V415" s="320">
        <f t="shared" si="7"/>
        <v>10987.43</v>
      </c>
      <c r="DQ415" s="117"/>
      <c r="DT415" s="118">
        <f>SUM(DT416:DT425)</f>
        <v>0</v>
      </c>
      <c r="DV415" s="118">
        <f>SUM(DV416:DV425)</f>
        <v>5.7600000000000001E-4</v>
      </c>
      <c r="DX415" s="119">
        <f>SUM(DX416:DX425)</f>
        <v>0</v>
      </c>
      <c r="EV415" s="113" t="s">
        <v>81</v>
      </c>
      <c r="EX415" s="120" t="s">
        <v>73</v>
      </c>
      <c r="EY415" s="120" t="s">
        <v>81</v>
      </c>
      <c r="FC415" s="113" t="s">
        <v>282</v>
      </c>
      <c r="FO415" s="121">
        <f>SUM(FO416:FO425)</f>
        <v>10987.43</v>
      </c>
    </row>
    <row r="416" spans="2:173" s="1" customFormat="1" ht="24.2" customHeight="1" x14ac:dyDescent="0.2">
      <c r="B416" s="124"/>
      <c r="C416" s="125" t="s">
        <v>666</v>
      </c>
      <c r="D416" s="125" t="s">
        <v>284</v>
      </c>
      <c r="E416" s="126" t="s">
        <v>682</v>
      </c>
      <c r="F416" s="127" t="s">
        <v>683</v>
      </c>
      <c r="G416" s="128" t="s">
        <v>344</v>
      </c>
      <c r="H416" s="129">
        <v>6.4</v>
      </c>
      <c r="I416" s="130">
        <v>118.35908321829292</v>
      </c>
      <c r="J416" s="131">
        <f>ROUND(I416*H416,2)</f>
        <v>757.5</v>
      </c>
      <c r="K416" s="127" t="s">
        <v>293</v>
      </c>
      <c r="L416" s="198">
        <f>S416</f>
        <v>0</v>
      </c>
      <c r="M416" s="206">
        <f>ROUND(L416*I416,2)</f>
        <v>0</v>
      </c>
      <c r="N416" s="211"/>
      <c r="O416" s="212">
        <f>ROUND(N416*I416,2)</f>
        <v>0</v>
      </c>
      <c r="P416" s="207">
        <f>H416-L416-N416</f>
        <v>6.4</v>
      </c>
      <c r="Q416" s="228">
        <f>ROUND(P416*I416,2)</f>
        <v>757.5</v>
      </c>
      <c r="R416" s="199"/>
      <c r="S416" s="200">
        <f>W416+Y416+AA416+AC416+AE416+AG416+AI416+AK416</f>
        <v>0</v>
      </c>
      <c r="T416" s="200">
        <f>ROUND(S416*I416,2)</f>
        <v>0</v>
      </c>
      <c r="U416" s="200">
        <f>H416-S416</f>
        <v>6.4</v>
      </c>
      <c r="V416" s="200">
        <f>ROUND(U416*I416,2)</f>
        <v>757.5</v>
      </c>
      <c r="W416" s="200"/>
      <c r="X416" s="200"/>
      <c r="Y416" s="200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DQ416" s="132" t="s">
        <v>1</v>
      </c>
      <c r="DR416" s="133" t="s">
        <v>40</v>
      </c>
      <c r="DT416" s="134">
        <f>DS416*H416</f>
        <v>0</v>
      </c>
      <c r="DU416" s="134">
        <v>9.0000000000000006E-5</v>
      </c>
      <c r="DV416" s="134">
        <f>DU416*H416</f>
        <v>5.7600000000000001E-4</v>
      </c>
      <c r="DW416" s="134">
        <v>0</v>
      </c>
      <c r="DX416" s="135">
        <f>DW416*H416</f>
        <v>0</v>
      </c>
      <c r="EV416" s="136" t="s">
        <v>95</v>
      </c>
      <c r="EX416" s="136" t="s">
        <v>284</v>
      </c>
      <c r="EY416" s="136" t="s">
        <v>83</v>
      </c>
      <c r="FC416" s="16" t="s">
        <v>282</v>
      </c>
      <c r="FI416" s="137">
        <f>IF(DR416="základní",J416,0)</f>
        <v>757.5</v>
      </c>
      <c r="FJ416" s="137">
        <f>IF(DR416="snížená",J416,0)</f>
        <v>0</v>
      </c>
      <c r="FK416" s="137">
        <f>IF(DR416="zákl. přenesená",J416,0)</f>
        <v>0</v>
      </c>
      <c r="FL416" s="137">
        <f>IF(DR416="sníž. přenesená",J416,0)</f>
        <v>0</v>
      </c>
      <c r="FM416" s="137">
        <f>IF(DR416="nulová",J416,0)</f>
        <v>0</v>
      </c>
      <c r="FN416" s="16" t="s">
        <v>81</v>
      </c>
      <c r="FO416" s="137">
        <f>ROUND(I416*H416,2)</f>
        <v>757.5</v>
      </c>
      <c r="FP416" s="16" t="s">
        <v>95</v>
      </c>
      <c r="FQ416" s="136" t="s">
        <v>684</v>
      </c>
    </row>
    <row r="417" spans="2:173" s="1" customFormat="1" ht="39" x14ac:dyDescent="0.2">
      <c r="B417" s="31"/>
      <c r="D417" s="138" t="s">
        <v>289</v>
      </c>
      <c r="F417" s="139" t="s">
        <v>685</v>
      </c>
      <c r="I417" s="140"/>
      <c r="L417" s="31"/>
      <c r="N417" s="213"/>
      <c r="O417" s="214"/>
      <c r="Q417" s="229"/>
      <c r="DQ417" s="141"/>
      <c r="DX417" s="50"/>
      <c r="EX417" s="16" t="s">
        <v>289</v>
      </c>
      <c r="EY417" s="16" t="s">
        <v>83</v>
      </c>
    </row>
    <row r="418" spans="2:173" s="1" customFormat="1" ht="19.5" x14ac:dyDescent="0.2">
      <c r="B418" s="31"/>
      <c r="D418" s="138" t="s">
        <v>299</v>
      </c>
      <c r="F418" s="142" t="s">
        <v>317</v>
      </c>
      <c r="I418" s="140"/>
      <c r="L418" s="31"/>
      <c r="N418" s="213"/>
      <c r="O418" s="214"/>
      <c r="Q418" s="229"/>
      <c r="DQ418" s="141"/>
      <c r="DX418" s="50"/>
      <c r="EX418" s="16" t="s">
        <v>299</v>
      </c>
      <c r="EY418" s="16" t="s">
        <v>83</v>
      </c>
    </row>
    <row r="419" spans="2:173" s="11" customFormat="1" x14ac:dyDescent="0.2">
      <c r="B419" s="143"/>
      <c r="D419" s="138" t="s">
        <v>301</v>
      </c>
      <c r="E419" s="144" t="s">
        <v>1</v>
      </c>
      <c r="F419" s="145" t="s">
        <v>686</v>
      </c>
      <c r="H419" s="144" t="s">
        <v>1</v>
      </c>
      <c r="I419" s="146"/>
      <c r="L419" s="143"/>
      <c r="N419" s="215"/>
      <c r="O419" s="216"/>
      <c r="Q419" s="230"/>
      <c r="DQ419" s="147"/>
      <c r="DX419" s="148"/>
      <c r="EX419" s="144" t="s">
        <v>301</v>
      </c>
      <c r="EY419" s="144" t="s">
        <v>83</v>
      </c>
      <c r="EZ419" s="11" t="s">
        <v>81</v>
      </c>
      <c r="FA419" s="11" t="s">
        <v>32</v>
      </c>
      <c r="FB419" s="11" t="s">
        <v>74</v>
      </c>
      <c r="FC419" s="144" t="s">
        <v>282</v>
      </c>
    </row>
    <row r="420" spans="2:173" s="12" customFormat="1" x14ac:dyDescent="0.2">
      <c r="B420" s="149"/>
      <c r="D420" s="138" t="s">
        <v>301</v>
      </c>
      <c r="E420" s="150" t="s">
        <v>1</v>
      </c>
      <c r="F420" s="151" t="s">
        <v>1040</v>
      </c>
      <c r="H420" s="152">
        <v>6.4</v>
      </c>
      <c r="I420" s="153"/>
      <c r="L420" s="149"/>
      <c r="N420" s="217"/>
      <c r="O420" s="218"/>
      <c r="Q420" s="231"/>
      <c r="DQ420" s="154"/>
      <c r="DX420" s="155"/>
      <c r="EX420" s="150" t="s">
        <v>301</v>
      </c>
      <c r="EY420" s="150" t="s">
        <v>83</v>
      </c>
      <c r="EZ420" s="12" t="s">
        <v>83</v>
      </c>
      <c r="FA420" s="12" t="s">
        <v>32</v>
      </c>
      <c r="FB420" s="12" t="s">
        <v>81</v>
      </c>
      <c r="FC420" s="150" t="s">
        <v>282</v>
      </c>
    </row>
    <row r="421" spans="2:173" s="1" customFormat="1" ht="14.45" customHeight="1" x14ac:dyDescent="0.2">
      <c r="B421" s="124"/>
      <c r="C421" s="125" t="s">
        <v>670</v>
      </c>
      <c r="D421" s="125" t="s">
        <v>284</v>
      </c>
      <c r="E421" s="126" t="s">
        <v>689</v>
      </c>
      <c r="F421" s="127" t="s">
        <v>690</v>
      </c>
      <c r="G421" s="128" t="s">
        <v>315</v>
      </c>
      <c r="H421" s="129">
        <v>6</v>
      </c>
      <c r="I421" s="130">
        <v>1704.9882600000001</v>
      </c>
      <c r="J421" s="131">
        <f>ROUND(I421*H421,2)</f>
        <v>10229.93</v>
      </c>
      <c r="K421" s="127" t="s">
        <v>1</v>
      </c>
      <c r="L421" s="198">
        <f>S421</f>
        <v>0</v>
      </c>
      <c r="M421" s="206">
        <f>ROUND(L421*I421,2)</f>
        <v>0</v>
      </c>
      <c r="N421" s="211"/>
      <c r="O421" s="212">
        <f>ROUND(N421*I421,2)</f>
        <v>0</v>
      </c>
      <c r="P421" s="207">
        <f>H421-L421-N421</f>
        <v>6</v>
      </c>
      <c r="Q421" s="228">
        <f>ROUND(P421*I421,2)</f>
        <v>10229.93</v>
      </c>
      <c r="R421" s="199"/>
      <c r="S421" s="200">
        <f>W421+Y421+AA421+AC421+AE421+AG421+AI421+AK421</f>
        <v>0</v>
      </c>
      <c r="T421" s="200">
        <f>ROUND(S421*I421,2)</f>
        <v>0</v>
      </c>
      <c r="U421" s="200">
        <f>H421-S421</f>
        <v>6</v>
      </c>
      <c r="V421" s="200">
        <f>ROUND(U421*I421,2)</f>
        <v>10229.93</v>
      </c>
      <c r="W421" s="200"/>
      <c r="X421" s="200"/>
      <c r="Y421" s="200"/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DQ421" s="132" t="s">
        <v>1</v>
      </c>
      <c r="DR421" s="133" t="s">
        <v>40</v>
      </c>
      <c r="DT421" s="134">
        <f>DS421*H421</f>
        <v>0</v>
      </c>
      <c r="DU421" s="134">
        <v>0</v>
      </c>
      <c r="DV421" s="134">
        <f>DU421*H421</f>
        <v>0</v>
      </c>
      <c r="DW421" s="134">
        <v>0</v>
      </c>
      <c r="DX421" s="135">
        <f>DW421*H421</f>
        <v>0</v>
      </c>
      <c r="EV421" s="136" t="s">
        <v>95</v>
      </c>
      <c r="EX421" s="136" t="s">
        <v>284</v>
      </c>
      <c r="EY421" s="136" t="s">
        <v>83</v>
      </c>
      <c r="FC421" s="16" t="s">
        <v>282</v>
      </c>
      <c r="FI421" s="137">
        <f>IF(DR421="základní",J421,0)</f>
        <v>10229.93</v>
      </c>
      <c r="FJ421" s="137">
        <f>IF(DR421="snížená",J421,0)</f>
        <v>0</v>
      </c>
      <c r="FK421" s="137">
        <f>IF(DR421="zákl. přenesená",J421,0)</f>
        <v>0</v>
      </c>
      <c r="FL421" s="137">
        <f>IF(DR421="sníž. přenesená",J421,0)</f>
        <v>0</v>
      </c>
      <c r="FM421" s="137">
        <f>IF(DR421="nulová",J421,0)</f>
        <v>0</v>
      </c>
      <c r="FN421" s="16" t="s">
        <v>81</v>
      </c>
      <c r="FO421" s="137">
        <f>ROUND(I421*H421,2)</f>
        <v>10229.93</v>
      </c>
      <c r="FP421" s="16" t="s">
        <v>95</v>
      </c>
      <c r="FQ421" s="136" t="s">
        <v>691</v>
      </c>
    </row>
    <row r="422" spans="2:173" s="1" customFormat="1" ht="48.75" x14ac:dyDescent="0.2">
      <c r="B422" s="31"/>
      <c r="D422" s="138" t="s">
        <v>289</v>
      </c>
      <c r="F422" s="139" t="s">
        <v>692</v>
      </c>
      <c r="I422" s="140"/>
      <c r="L422" s="31"/>
      <c r="N422" s="213"/>
      <c r="O422" s="214"/>
      <c r="Q422" s="229"/>
      <c r="DQ422" s="141"/>
      <c r="DX422" s="50"/>
      <c r="EX422" s="16" t="s">
        <v>289</v>
      </c>
      <c r="EY422" s="16" t="s">
        <v>83</v>
      </c>
    </row>
    <row r="423" spans="2:173" s="1" customFormat="1" ht="19.5" x14ac:dyDescent="0.2">
      <c r="B423" s="31"/>
      <c r="D423" s="138" t="s">
        <v>299</v>
      </c>
      <c r="F423" s="142" t="s">
        <v>693</v>
      </c>
      <c r="I423" s="140"/>
      <c r="L423" s="31"/>
      <c r="N423" s="213"/>
      <c r="O423" s="214"/>
      <c r="Q423" s="229"/>
      <c r="DQ423" s="141"/>
      <c r="DX423" s="50"/>
      <c r="EX423" s="16" t="s">
        <v>299</v>
      </c>
      <c r="EY423" s="16" t="s">
        <v>83</v>
      </c>
    </row>
    <row r="424" spans="2:173" s="11" customFormat="1" x14ac:dyDescent="0.2">
      <c r="B424" s="143"/>
      <c r="D424" s="138" t="s">
        <v>301</v>
      </c>
      <c r="E424" s="144" t="s">
        <v>1</v>
      </c>
      <c r="F424" s="145" t="s">
        <v>694</v>
      </c>
      <c r="H424" s="144" t="s">
        <v>1</v>
      </c>
      <c r="I424" s="146"/>
      <c r="L424" s="143"/>
      <c r="N424" s="215"/>
      <c r="O424" s="216"/>
      <c r="Q424" s="230"/>
      <c r="DQ424" s="147"/>
      <c r="DX424" s="148"/>
      <c r="EX424" s="144" t="s">
        <v>301</v>
      </c>
      <c r="EY424" s="144" t="s">
        <v>83</v>
      </c>
      <c r="EZ424" s="11" t="s">
        <v>81</v>
      </c>
      <c r="FA424" s="11" t="s">
        <v>32</v>
      </c>
      <c r="FB424" s="11" t="s">
        <v>74</v>
      </c>
      <c r="FC424" s="144" t="s">
        <v>282</v>
      </c>
    </row>
    <row r="425" spans="2:173" s="12" customFormat="1" x14ac:dyDescent="0.2">
      <c r="B425" s="149"/>
      <c r="D425" s="138" t="s">
        <v>301</v>
      </c>
      <c r="E425" s="150" t="s">
        <v>1</v>
      </c>
      <c r="F425" s="151" t="s">
        <v>318</v>
      </c>
      <c r="H425" s="152">
        <v>6</v>
      </c>
      <c r="I425" s="153"/>
      <c r="L425" s="149"/>
      <c r="N425" s="217"/>
      <c r="O425" s="218"/>
      <c r="Q425" s="231"/>
      <c r="DQ425" s="154"/>
      <c r="DX425" s="155"/>
      <c r="EX425" s="150" t="s">
        <v>301</v>
      </c>
      <c r="EY425" s="150" t="s">
        <v>83</v>
      </c>
      <c r="EZ425" s="12" t="s">
        <v>83</v>
      </c>
      <c r="FA425" s="12" t="s">
        <v>32</v>
      </c>
      <c r="FB425" s="12" t="s">
        <v>81</v>
      </c>
      <c r="FC425" s="150" t="s">
        <v>282</v>
      </c>
    </row>
    <row r="426" spans="2:173" s="10" customFormat="1" ht="22.9" customHeight="1" x14ac:dyDescent="0.2">
      <c r="B426" s="112"/>
      <c r="D426" s="113" t="s">
        <v>73</v>
      </c>
      <c r="E426" s="122" t="s">
        <v>695</v>
      </c>
      <c r="F426" s="122" t="s">
        <v>696</v>
      </c>
      <c r="I426" s="115"/>
      <c r="J426" s="123">
        <f>FO426</f>
        <v>44261.549999999996</v>
      </c>
      <c r="L426" s="112"/>
      <c r="M426" s="320">
        <f>SUM(M427:M443)</f>
        <v>0</v>
      </c>
      <c r="N426" s="323"/>
      <c r="O426" s="324">
        <f t="shared" ref="O426:V426" si="8">SUM(O427:O443)</f>
        <v>-1018.0200000000001</v>
      </c>
      <c r="P426" s="320"/>
      <c r="Q426" s="326">
        <f t="shared" si="8"/>
        <v>45279.56</v>
      </c>
      <c r="R426" s="320"/>
      <c r="S426" s="320"/>
      <c r="T426" s="320">
        <f t="shared" si="8"/>
        <v>0</v>
      </c>
      <c r="U426" s="320"/>
      <c r="V426" s="320">
        <f t="shared" si="8"/>
        <v>44261.549999999996</v>
      </c>
      <c r="DQ426" s="117"/>
      <c r="DT426" s="118">
        <f>SUM(DT427:DT445)</f>
        <v>0</v>
      </c>
      <c r="DV426" s="118">
        <f>SUM(DV427:DV445)</f>
        <v>0</v>
      </c>
      <c r="DX426" s="119">
        <f>SUM(DX427:DX445)</f>
        <v>0</v>
      </c>
      <c r="EV426" s="113" t="s">
        <v>81</v>
      </c>
      <c r="EX426" s="120" t="s">
        <v>73</v>
      </c>
      <c r="EY426" s="120" t="s">
        <v>81</v>
      </c>
      <c r="FC426" s="113" t="s">
        <v>282</v>
      </c>
      <c r="FO426" s="121">
        <f>SUM(FO427:FO445)</f>
        <v>44261.549999999996</v>
      </c>
    </row>
    <row r="427" spans="2:173" s="1" customFormat="1" ht="14.45" customHeight="1" x14ac:dyDescent="0.2">
      <c r="B427" s="124"/>
      <c r="C427" s="125" t="s">
        <v>675</v>
      </c>
      <c r="D427" s="125" t="s">
        <v>284</v>
      </c>
      <c r="E427" s="126" t="s">
        <v>698</v>
      </c>
      <c r="F427" s="127" t="s">
        <v>699</v>
      </c>
      <c r="G427" s="128" t="s">
        <v>418</v>
      </c>
      <c r="H427" s="129">
        <v>114.036</v>
      </c>
      <c r="I427" s="130">
        <v>40.477390926043419</v>
      </c>
      <c r="J427" s="131">
        <f>ROUND(I427*H427,2)</f>
        <v>4615.88</v>
      </c>
      <c r="K427" s="127" t="s">
        <v>293</v>
      </c>
      <c r="L427" s="198">
        <f>S427</f>
        <v>0</v>
      </c>
      <c r="M427" s="206">
        <f>ROUND(L427*I427,2)</f>
        <v>0</v>
      </c>
      <c r="N427" s="211">
        <f>N430</f>
        <v>-2.6228279999999984</v>
      </c>
      <c r="O427" s="212">
        <f>ROUND(N427*I427,2)</f>
        <v>-106.17</v>
      </c>
      <c r="P427" s="207">
        <f>H427-L427-N427</f>
        <v>116.658828</v>
      </c>
      <c r="Q427" s="228">
        <f>ROUND(P427*I427,2)</f>
        <v>4722.04</v>
      </c>
      <c r="R427" s="199"/>
      <c r="S427" s="200">
        <f>W427+Y427+AA427+AC427+AE427+AG427+AI427+AK427</f>
        <v>0</v>
      </c>
      <c r="T427" s="200">
        <f>ROUND(S427*I427,2)</f>
        <v>0</v>
      </c>
      <c r="U427" s="200">
        <f>H427-S427</f>
        <v>114.036</v>
      </c>
      <c r="V427" s="200">
        <f>ROUND(U427*I427,2)</f>
        <v>4615.88</v>
      </c>
      <c r="W427" s="200"/>
      <c r="X427" s="200"/>
      <c r="Y427" s="200"/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DQ427" s="132" t="s">
        <v>1</v>
      </c>
      <c r="DR427" s="133" t="s">
        <v>40</v>
      </c>
      <c r="DT427" s="134">
        <f>DS427*H427</f>
        <v>0</v>
      </c>
      <c r="DU427" s="134">
        <v>0</v>
      </c>
      <c r="DV427" s="134">
        <f>DU427*H427</f>
        <v>0</v>
      </c>
      <c r="DW427" s="134">
        <v>0</v>
      </c>
      <c r="DX427" s="135">
        <f>DW427*H427</f>
        <v>0</v>
      </c>
      <c r="EV427" s="136" t="s">
        <v>95</v>
      </c>
      <c r="EX427" s="136" t="s">
        <v>284</v>
      </c>
      <c r="EY427" s="136" t="s">
        <v>83</v>
      </c>
      <c r="FC427" s="16" t="s">
        <v>282</v>
      </c>
      <c r="FI427" s="137">
        <f>IF(DR427="základní",J427,0)</f>
        <v>4615.88</v>
      </c>
      <c r="FJ427" s="137">
        <f>IF(DR427="snížená",J427,0)</f>
        <v>0</v>
      </c>
      <c r="FK427" s="137">
        <f>IF(DR427="zákl. přenesená",J427,0)</f>
        <v>0</v>
      </c>
      <c r="FL427" s="137">
        <f>IF(DR427="sníž. přenesená",J427,0)</f>
        <v>0</v>
      </c>
      <c r="FM427" s="137">
        <f>IF(DR427="nulová",J427,0)</f>
        <v>0</v>
      </c>
      <c r="FN427" s="16" t="s">
        <v>81</v>
      </c>
      <c r="FO427" s="137">
        <f>ROUND(I427*H427,2)</f>
        <v>4615.88</v>
      </c>
      <c r="FP427" s="16" t="s">
        <v>95</v>
      </c>
      <c r="FQ427" s="136" t="s">
        <v>700</v>
      </c>
    </row>
    <row r="428" spans="2:173" s="1" customFormat="1" ht="19.5" x14ac:dyDescent="0.2">
      <c r="B428" s="31"/>
      <c r="D428" s="138" t="s">
        <v>289</v>
      </c>
      <c r="F428" s="139" t="s">
        <v>701</v>
      </c>
      <c r="I428" s="140"/>
      <c r="L428" s="31"/>
      <c r="N428" s="213"/>
      <c r="O428" s="214"/>
      <c r="Q428" s="229"/>
      <c r="DQ428" s="141"/>
      <c r="DX428" s="50"/>
      <c r="EX428" s="16" t="s">
        <v>289</v>
      </c>
      <c r="EY428" s="16" t="s">
        <v>83</v>
      </c>
    </row>
    <row r="429" spans="2:173" s="12" customFormat="1" x14ac:dyDescent="0.2">
      <c r="B429" s="149"/>
      <c r="D429" s="138" t="s">
        <v>301</v>
      </c>
      <c r="E429" s="150" t="s">
        <v>1</v>
      </c>
      <c r="F429" s="151" t="s">
        <v>1041</v>
      </c>
      <c r="H429" s="152">
        <v>83.537999999999997</v>
      </c>
      <c r="I429" s="153"/>
      <c r="L429" s="149"/>
      <c r="N429" s="217">
        <f>0.977*114.036</f>
        <v>111.413172</v>
      </c>
      <c r="O429" s="218" t="s">
        <v>3873</v>
      </c>
      <c r="Q429" s="231"/>
      <c r="DQ429" s="154"/>
      <c r="DX429" s="155"/>
      <c r="EX429" s="150" t="s">
        <v>301</v>
      </c>
      <c r="EY429" s="150" t="s">
        <v>83</v>
      </c>
      <c r="EZ429" s="12" t="s">
        <v>83</v>
      </c>
      <c r="FA429" s="12" t="s">
        <v>32</v>
      </c>
      <c r="FB429" s="12" t="s">
        <v>74</v>
      </c>
      <c r="FC429" s="150" t="s">
        <v>282</v>
      </c>
    </row>
    <row r="430" spans="2:173" s="12" customFormat="1" x14ac:dyDescent="0.2">
      <c r="B430" s="149"/>
      <c r="D430" s="138" t="s">
        <v>301</v>
      </c>
      <c r="E430" s="150" t="s">
        <v>1</v>
      </c>
      <c r="F430" s="151" t="s">
        <v>1042</v>
      </c>
      <c r="H430" s="152">
        <v>30.498000000000001</v>
      </c>
      <c r="I430" s="153"/>
      <c r="L430" s="149"/>
      <c r="N430" s="310">
        <f>N429-H431</f>
        <v>-2.6228279999999984</v>
      </c>
      <c r="O430" s="218"/>
      <c r="Q430" s="231"/>
      <c r="DQ430" s="154"/>
      <c r="DX430" s="155"/>
      <c r="EX430" s="150" t="s">
        <v>301</v>
      </c>
      <c r="EY430" s="150" t="s">
        <v>83</v>
      </c>
      <c r="EZ430" s="12" t="s">
        <v>83</v>
      </c>
      <c r="FA430" s="12" t="s">
        <v>32</v>
      </c>
      <c r="FB430" s="12" t="s">
        <v>74</v>
      </c>
      <c r="FC430" s="150" t="s">
        <v>282</v>
      </c>
    </row>
    <row r="431" spans="2:173" s="13" customFormat="1" x14ac:dyDescent="0.2">
      <c r="B431" s="156"/>
      <c r="D431" s="138" t="s">
        <v>301</v>
      </c>
      <c r="E431" s="157" t="s">
        <v>1</v>
      </c>
      <c r="F431" s="158" t="s">
        <v>305</v>
      </c>
      <c r="H431" s="159">
        <v>114.036</v>
      </c>
      <c r="I431" s="160"/>
      <c r="L431" s="156"/>
      <c r="N431" s="219"/>
      <c r="O431" s="220"/>
      <c r="Q431" s="232"/>
      <c r="DQ431" s="161"/>
      <c r="DX431" s="162"/>
      <c r="EX431" s="157" t="s">
        <v>301</v>
      </c>
      <c r="EY431" s="157" t="s">
        <v>83</v>
      </c>
      <c r="EZ431" s="13" t="s">
        <v>95</v>
      </c>
      <c r="FA431" s="13" t="s">
        <v>32</v>
      </c>
      <c r="FB431" s="13" t="s">
        <v>81</v>
      </c>
      <c r="FC431" s="157" t="s">
        <v>282</v>
      </c>
    </row>
    <row r="432" spans="2:173" s="1" customFormat="1" ht="24.2" customHeight="1" x14ac:dyDescent="0.2">
      <c r="B432" s="124"/>
      <c r="C432" s="125" t="s">
        <v>681</v>
      </c>
      <c r="D432" s="125" t="s">
        <v>284</v>
      </c>
      <c r="E432" s="126" t="s">
        <v>705</v>
      </c>
      <c r="F432" s="127" t="s">
        <v>706</v>
      </c>
      <c r="G432" s="128" t="s">
        <v>418</v>
      </c>
      <c r="H432" s="129">
        <v>1596.5039999999999</v>
      </c>
      <c r="I432" s="130">
        <v>3.1192340975392101</v>
      </c>
      <c r="J432" s="131">
        <f>ROUND(I432*H432,2)</f>
        <v>4979.87</v>
      </c>
      <c r="K432" s="127" t="s">
        <v>293</v>
      </c>
      <c r="L432" s="198">
        <f>S432</f>
        <v>0</v>
      </c>
      <c r="M432" s="206">
        <f>ROUND(L432*I432,2)</f>
        <v>0</v>
      </c>
      <c r="N432" s="211">
        <f>N436</f>
        <v>-36.719591999999921</v>
      </c>
      <c r="O432" s="212">
        <f>ROUND(N432*I432,2)</f>
        <v>-114.54</v>
      </c>
      <c r="P432" s="207">
        <f>H432-L432-N432</f>
        <v>1633.2235919999998</v>
      </c>
      <c r="Q432" s="228">
        <f>ROUND(P432*I432,2)</f>
        <v>5094.41</v>
      </c>
      <c r="R432" s="199"/>
      <c r="S432" s="200">
        <f>W432+Y432+AA432+AC432+AE432+AG432+AI432+AK432</f>
        <v>0</v>
      </c>
      <c r="T432" s="200">
        <f>ROUND(S432*I432,2)</f>
        <v>0</v>
      </c>
      <c r="U432" s="200">
        <f>H432-S432</f>
        <v>1596.5039999999999</v>
      </c>
      <c r="V432" s="200">
        <f>ROUND(U432*I432,2)</f>
        <v>4979.87</v>
      </c>
      <c r="W432" s="200"/>
      <c r="X432" s="200"/>
      <c r="Y432" s="200"/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DQ432" s="132" t="s">
        <v>1</v>
      </c>
      <c r="DR432" s="133" t="s">
        <v>40</v>
      </c>
      <c r="DT432" s="134">
        <f>DS432*H432</f>
        <v>0</v>
      </c>
      <c r="DU432" s="134">
        <v>0</v>
      </c>
      <c r="DV432" s="134">
        <f>DU432*H432</f>
        <v>0</v>
      </c>
      <c r="DW432" s="134">
        <v>0</v>
      </c>
      <c r="DX432" s="135">
        <f>DW432*H432</f>
        <v>0</v>
      </c>
      <c r="EV432" s="136" t="s">
        <v>95</v>
      </c>
      <c r="EX432" s="136" t="s">
        <v>284</v>
      </c>
      <c r="EY432" s="136" t="s">
        <v>83</v>
      </c>
      <c r="FC432" s="16" t="s">
        <v>282</v>
      </c>
      <c r="FI432" s="137">
        <f>IF(DR432="základní",J432,0)</f>
        <v>4979.87</v>
      </c>
      <c r="FJ432" s="137">
        <f>IF(DR432="snížená",J432,0)</f>
        <v>0</v>
      </c>
      <c r="FK432" s="137">
        <f>IF(DR432="zákl. přenesená",J432,0)</f>
        <v>0</v>
      </c>
      <c r="FL432" s="137">
        <f>IF(DR432="sníž. přenesená",J432,0)</f>
        <v>0</v>
      </c>
      <c r="FM432" s="137">
        <f>IF(DR432="nulová",J432,0)</f>
        <v>0</v>
      </c>
      <c r="FN432" s="16" t="s">
        <v>81</v>
      </c>
      <c r="FO432" s="137">
        <f>ROUND(I432*H432,2)</f>
        <v>4979.87</v>
      </c>
      <c r="FP432" s="16" t="s">
        <v>95</v>
      </c>
      <c r="FQ432" s="136" t="s">
        <v>707</v>
      </c>
    </row>
    <row r="433" spans="2:173" s="1" customFormat="1" ht="29.25" x14ac:dyDescent="0.2">
      <c r="B433" s="31"/>
      <c r="D433" s="138" t="s">
        <v>289</v>
      </c>
      <c r="F433" s="139" t="s">
        <v>708</v>
      </c>
      <c r="I433" s="140"/>
      <c r="L433" s="31"/>
      <c r="N433" s="213"/>
      <c r="O433" s="214"/>
      <c r="Q433" s="229"/>
      <c r="DQ433" s="141"/>
      <c r="DX433" s="50"/>
      <c r="EX433" s="16" t="s">
        <v>289</v>
      </c>
      <c r="EY433" s="16" t="s">
        <v>83</v>
      </c>
    </row>
    <row r="434" spans="2:173" s="12" customFormat="1" x14ac:dyDescent="0.2">
      <c r="B434" s="149"/>
      <c r="D434" s="138" t="s">
        <v>301</v>
      </c>
      <c r="E434" s="150" t="s">
        <v>1</v>
      </c>
      <c r="F434" s="151" t="s">
        <v>1041</v>
      </c>
      <c r="H434" s="152">
        <v>83.537999999999997</v>
      </c>
      <c r="I434" s="153"/>
      <c r="L434" s="149"/>
      <c r="N434" s="217"/>
      <c r="O434" s="218"/>
      <c r="Q434" s="231"/>
      <c r="DQ434" s="154"/>
      <c r="DX434" s="155"/>
      <c r="EX434" s="150" t="s">
        <v>301</v>
      </c>
      <c r="EY434" s="150" t="s">
        <v>83</v>
      </c>
      <c r="EZ434" s="12" t="s">
        <v>83</v>
      </c>
      <c r="FA434" s="12" t="s">
        <v>32</v>
      </c>
      <c r="FB434" s="12" t="s">
        <v>74</v>
      </c>
      <c r="FC434" s="150" t="s">
        <v>282</v>
      </c>
    </row>
    <row r="435" spans="2:173" s="12" customFormat="1" x14ac:dyDescent="0.2">
      <c r="B435" s="149"/>
      <c r="D435" s="138" t="s">
        <v>301</v>
      </c>
      <c r="E435" s="150" t="s">
        <v>1</v>
      </c>
      <c r="F435" s="151" t="s">
        <v>1042</v>
      </c>
      <c r="H435" s="152">
        <v>30.498000000000001</v>
      </c>
      <c r="I435" s="153"/>
      <c r="L435" s="149"/>
      <c r="N435" s="217">
        <f>0.977*1596.504</f>
        <v>1559.784408</v>
      </c>
      <c r="O435" s="218" t="s">
        <v>3874</v>
      </c>
      <c r="Q435" s="231"/>
      <c r="DQ435" s="154"/>
      <c r="DX435" s="155"/>
      <c r="EX435" s="150" t="s">
        <v>301</v>
      </c>
      <c r="EY435" s="150" t="s">
        <v>83</v>
      </c>
      <c r="EZ435" s="12" t="s">
        <v>83</v>
      </c>
      <c r="FA435" s="12" t="s">
        <v>32</v>
      </c>
      <c r="FB435" s="12" t="s">
        <v>74</v>
      </c>
      <c r="FC435" s="150" t="s">
        <v>282</v>
      </c>
    </row>
    <row r="436" spans="2:173" s="13" customFormat="1" x14ac:dyDescent="0.2">
      <c r="B436" s="156"/>
      <c r="D436" s="138" t="s">
        <v>301</v>
      </c>
      <c r="E436" s="157" t="s">
        <v>1</v>
      </c>
      <c r="F436" s="158" t="s">
        <v>305</v>
      </c>
      <c r="H436" s="159">
        <v>114.036</v>
      </c>
      <c r="I436" s="160"/>
      <c r="L436" s="156"/>
      <c r="N436" s="311">
        <f>N435-H437</f>
        <v>-36.719591999999921</v>
      </c>
      <c r="O436" s="220"/>
      <c r="Q436" s="232"/>
      <c r="DQ436" s="161"/>
      <c r="DX436" s="162"/>
      <c r="EX436" s="157" t="s">
        <v>301</v>
      </c>
      <c r="EY436" s="157" t="s">
        <v>83</v>
      </c>
      <c r="EZ436" s="13" t="s">
        <v>95</v>
      </c>
      <c r="FA436" s="13" t="s">
        <v>32</v>
      </c>
      <c r="FB436" s="13" t="s">
        <v>81</v>
      </c>
      <c r="FC436" s="157" t="s">
        <v>282</v>
      </c>
    </row>
    <row r="437" spans="2:173" s="12" customFormat="1" x14ac:dyDescent="0.2">
      <c r="B437" s="149"/>
      <c r="D437" s="138" t="s">
        <v>301</v>
      </c>
      <c r="F437" s="151" t="s">
        <v>1043</v>
      </c>
      <c r="H437" s="152">
        <v>1596.5039999999999</v>
      </c>
      <c r="I437" s="153"/>
      <c r="L437" s="149"/>
      <c r="N437" s="217"/>
      <c r="O437" s="218"/>
      <c r="Q437" s="231"/>
      <c r="DQ437" s="154"/>
      <c r="DX437" s="155"/>
      <c r="EX437" s="150" t="s">
        <v>301</v>
      </c>
      <c r="EY437" s="150" t="s">
        <v>83</v>
      </c>
      <c r="EZ437" s="12" t="s">
        <v>83</v>
      </c>
      <c r="FA437" s="12" t="s">
        <v>3</v>
      </c>
      <c r="FB437" s="12" t="s">
        <v>81</v>
      </c>
      <c r="FC437" s="150" t="s">
        <v>282</v>
      </c>
    </row>
    <row r="438" spans="2:173" s="1" customFormat="1" ht="24.2" customHeight="1" x14ac:dyDescent="0.2">
      <c r="B438" s="124"/>
      <c r="C438" s="125" t="s">
        <v>688</v>
      </c>
      <c r="D438" s="125" t="s">
        <v>284</v>
      </c>
      <c r="E438" s="126" t="s">
        <v>711</v>
      </c>
      <c r="F438" s="127" t="s">
        <v>712</v>
      </c>
      <c r="G438" s="128" t="s">
        <v>418</v>
      </c>
      <c r="H438" s="129">
        <v>114.036</v>
      </c>
      <c r="I438" s="130">
        <v>155.98322812074767</v>
      </c>
      <c r="J438" s="131">
        <f>ROUND(I438*H438,2)</f>
        <v>17787.7</v>
      </c>
      <c r="K438" s="127" t="s">
        <v>293</v>
      </c>
      <c r="L438" s="198">
        <f>S438</f>
        <v>0</v>
      </c>
      <c r="M438" s="206">
        <f>ROUND(L438*I438,2)</f>
        <v>0</v>
      </c>
      <c r="N438" s="211">
        <f>N427</f>
        <v>-2.6228279999999984</v>
      </c>
      <c r="O438" s="212">
        <f>ROUND(N438*I438,2)</f>
        <v>-409.12</v>
      </c>
      <c r="P438" s="207">
        <f>H438-L438-N438</f>
        <v>116.658828</v>
      </c>
      <c r="Q438" s="228">
        <f>ROUND(P438*I438,2)</f>
        <v>18196.82</v>
      </c>
      <c r="R438" s="199"/>
      <c r="S438" s="200">
        <f>W438+Y438+AA438+AC438+AE438+AG438+AI438+AK438</f>
        <v>0</v>
      </c>
      <c r="T438" s="200">
        <f>ROUND(S438*I438,2)</f>
        <v>0</v>
      </c>
      <c r="U438" s="200">
        <f>H438-S438</f>
        <v>114.036</v>
      </c>
      <c r="V438" s="200">
        <f>ROUND(U438*I438,2)</f>
        <v>17787.7</v>
      </c>
      <c r="W438" s="200"/>
      <c r="X438" s="200"/>
      <c r="Y438" s="200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DQ438" s="132" t="s">
        <v>1</v>
      </c>
      <c r="DR438" s="133" t="s">
        <v>40</v>
      </c>
      <c r="DT438" s="134">
        <f>DS438*H438</f>
        <v>0</v>
      </c>
      <c r="DU438" s="134">
        <v>0</v>
      </c>
      <c r="DV438" s="134">
        <f>DU438*H438</f>
        <v>0</v>
      </c>
      <c r="DW438" s="134">
        <v>0</v>
      </c>
      <c r="DX438" s="135">
        <f>DW438*H438</f>
        <v>0</v>
      </c>
      <c r="EV438" s="136" t="s">
        <v>95</v>
      </c>
      <c r="EX438" s="136" t="s">
        <v>284</v>
      </c>
      <c r="EY438" s="136" t="s">
        <v>83</v>
      </c>
      <c r="FC438" s="16" t="s">
        <v>282</v>
      </c>
      <c r="FI438" s="137">
        <f>IF(DR438="základní",J438,0)</f>
        <v>17787.7</v>
      </c>
      <c r="FJ438" s="137">
        <f>IF(DR438="snížená",J438,0)</f>
        <v>0</v>
      </c>
      <c r="FK438" s="137">
        <f>IF(DR438="zákl. přenesená",J438,0)</f>
        <v>0</v>
      </c>
      <c r="FL438" s="137">
        <f>IF(DR438="sníž. přenesená",J438,0)</f>
        <v>0</v>
      </c>
      <c r="FM438" s="137">
        <f>IF(DR438="nulová",J438,0)</f>
        <v>0</v>
      </c>
      <c r="FN438" s="16" t="s">
        <v>81</v>
      </c>
      <c r="FO438" s="137">
        <f>ROUND(I438*H438,2)</f>
        <v>17787.7</v>
      </c>
      <c r="FP438" s="16" t="s">
        <v>95</v>
      </c>
      <c r="FQ438" s="136" t="s">
        <v>713</v>
      </c>
    </row>
    <row r="439" spans="2:173" s="1" customFormat="1" x14ac:dyDescent="0.2">
      <c r="B439" s="31"/>
      <c r="D439" s="138" t="s">
        <v>289</v>
      </c>
      <c r="F439" s="139" t="s">
        <v>714</v>
      </c>
      <c r="I439" s="140"/>
      <c r="L439" s="31"/>
      <c r="N439" s="213"/>
      <c r="O439" s="214"/>
      <c r="Q439" s="229"/>
      <c r="DQ439" s="141"/>
      <c r="DX439" s="50"/>
      <c r="EX439" s="16" t="s">
        <v>289</v>
      </c>
      <c r="EY439" s="16" t="s">
        <v>83</v>
      </c>
    </row>
    <row r="440" spans="2:173" s="1" customFormat="1" ht="37.9" customHeight="1" x14ac:dyDescent="0.2">
      <c r="B440" s="124"/>
      <c r="C440" s="125" t="s">
        <v>697</v>
      </c>
      <c r="D440" s="125" t="s">
        <v>284</v>
      </c>
      <c r="E440" s="126" t="s">
        <v>716</v>
      </c>
      <c r="F440" s="127" t="s">
        <v>420</v>
      </c>
      <c r="G440" s="128" t="s">
        <v>418</v>
      </c>
      <c r="H440" s="129">
        <v>83.537999999999997</v>
      </c>
      <c r="I440" s="130">
        <v>110.6455721</v>
      </c>
      <c r="J440" s="131">
        <f>ROUND(I440*H440,2)</f>
        <v>9243.11</v>
      </c>
      <c r="K440" s="127" t="s">
        <v>293</v>
      </c>
      <c r="L440" s="198">
        <f>S440</f>
        <v>0</v>
      </c>
      <c r="M440" s="206">
        <f>ROUND(L440*I440,2)</f>
        <v>0</v>
      </c>
      <c r="N440" s="211">
        <f>N442</f>
        <v>-1.9213740000000001</v>
      </c>
      <c r="O440" s="212">
        <f>ROUND(N440*I440,2)</f>
        <v>-212.59</v>
      </c>
      <c r="P440" s="207">
        <f>H440-L440-N440</f>
        <v>85.459373999999997</v>
      </c>
      <c r="Q440" s="228">
        <f>ROUND(P440*I440,2)</f>
        <v>9455.7000000000007</v>
      </c>
      <c r="R440" s="199"/>
      <c r="S440" s="200">
        <f>W440+Y440+AA440+AC440+AE440+AG440+AI440+AK440</f>
        <v>0</v>
      </c>
      <c r="T440" s="200">
        <f>ROUND(S440*I440,2)</f>
        <v>0</v>
      </c>
      <c r="U440" s="200">
        <f>H440-S440</f>
        <v>83.537999999999997</v>
      </c>
      <c r="V440" s="200">
        <f>ROUND(U440*I440,2)</f>
        <v>9243.11</v>
      </c>
      <c r="W440" s="200"/>
      <c r="X440" s="200"/>
      <c r="Y440" s="200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DQ440" s="132" t="s">
        <v>1</v>
      </c>
      <c r="DR440" s="133" t="s">
        <v>40</v>
      </c>
      <c r="DT440" s="134">
        <f>DS440*H440</f>
        <v>0</v>
      </c>
      <c r="DU440" s="134">
        <v>0</v>
      </c>
      <c r="DV440" s="134">
        <f>DU440*H440</f>
        <v>0</v>
      </c>
      <c r="DW440" s="134">
        <v>0</v>
      </c>
      <c r="DX440" s="135">
        <f>DW440*H440</f>
        <v>0</v>
      </c>
      <c r="EV440" s="136" t="s">
        <v>95</v>
      </c>
      <c r="EX440" s="136" t="s">
        <v>284</v>
      </c>
      <c r="EY440" s="136" t="s">
        <v>83</v>
      </c>
      <c r="FC440" s="16" t="s">
        <v>282</v>
      </c>
      <c r="FI440" s="137">
        <f>IF(DR440="základní",J440,0)</f>
        <v>9243.11</v>
      </c>
      <c r="FJ440" s="137">
        <f>IF(DR440="snížená",J440,0)</f>
        <v>0</v>
      </c>
      <c r="FK440" s="137">
        <f>IF(DR440="zákl. přenesená",J440,0)</f>
        <v>0</v>
      </c>
      <c r="FL440" s="137">
        <f>IF(DR440="sníž. přenesená",J440,0)</f>
        <v>0</v>
      </c>
      <c r="FM440" s="137">
        <f>IF(DR440="nulová",J440,0)</f>
        <v>0</v>
      </c>
      <c r="FN440" s="16" t="s">
        <v>81</v>
      </c>
      <c r="FO440" s="137">
        <f>ROUND(I440*H440,2)</f>
        <v>9243.11</v>
      </c>
      <c r="FP440" s="16" t="s">
        <v>95</v>
      </c>
      <c r="FQ440" s="136" t="s">
        <v>717</v>
      </c>
    </row>
    <row r="441" spans="2:173" s="1" customFormat="1" ht="29.25" x14ac:dyDescent="0.2">
      <c r="B441" s="31"/>
      <c r="D441" s="138" t="s">
        <v>289</v>
      </c>
      <c r="F441" s="139" t="s">
        <v>420</v>
      </c>
      <c r="I441" s="140"/>
      <c r="L441" s="31"/>
      <c r="N441" s="213">
        <f>0.977*83.538</f>
        <v>81.616625999999997</v>
      </c>
      <c r="O441" s="214" t="s">
        <v>3875</v>
      </c>
      <c r="Q441" s="229"/>
      <c r="DQ441" s="141"/>
      <c r="DX441" s="50"/>
      <c r="EX441" s="16" t="s">
        <v>289</v>
      </c>
      <c r="EY441" s="16" t="s">
        <v>83</v>
      </c>
    </row>
    <row r="442" spans="2:173" s="12" customFormat="1" x14ac:dyDescent="0.2">
      <c r="B442" s="149"/>
      <c r="D442" s="138" t="s">
        <v>301</v>
      </c>
      <c r="E442" s="150" t="s">
        <v>1</v>
      </c>
      <c r="F442" s="151" t="s">
        <v>1041</v>
      </c>
      <c r="H442" s="152">
        <v>83.537999999999997</v>
      </c>
      <c r="I442" s="153"/>
      <c r="L442" s="149"/>
      <c r="N442" s="310">
        <f>N441-H442</f>
        <v>-1.9213740000000001</v>
      </c>
      <c r="O442" s="218"/>
      <c r="Q442" s="231"/>
      <c r="DQ442" s="154"/>
      <c r="DX442" s="155"/>
      <c r="EX442" s="150" t="s">
        <v>301</v>
      </c>
      <c r="EY442" s="150" t="s">
        <v>83</v>
      </c>
      <c r="EZ442" s="12" t="s">
        <v>83</v>
      </c>
      <c r="FA442" s="12" t="s">
        <v>32</v>
      </c>
      <c r="FB442" s="12" t="s">
        <v>81</v>
      </c>
      <c r="FC442" s="150" t="s">
        <v>282</v>
      </c>
    </row>
    <row r="443" spans="2:173" s="1" customFormat="1" ht="37.9" customHeight="1" x14ac:dyDescent="0.2">
      <c r="B443" s="124"/>
      <c r="C443" s="125" t="s">
        <v>704</v>
      </c>
      <c r="D443" s="125" t="s">
        <v>284</v>
      </c>
      <c r="E443" s="126" t="s">
        <v>719</v>
      </c>
      <c r="F443" s="127" t="s">
        <v>720</v>
      </c>
      <c r="G443" s="128" t="s">
        <v>418</v>
      </c>
      <c r="H443" s="129">
        <v>30.498000000000001</v>
      </c>
      <c r="I443" s="130">
        <v>250.3439285</v>
      </c>
      <c r="J443" s="131">
        <f>ROUND(I443*H443,2)</f>
        <v>7634.99</v>
      </c>
      <c r="K443" s="127" t="s">
        <v>293</v>
      </c>
      <c r="L443" s="198">
        <f>S443</f>
        <v>0</v>
      </c>
      <c r="M443" s="206">
        <f>ROUND(L443*I443,2)</f>
        <v>0</v>
      </c>
      <c r="N443" s="211">
        <f>N445</f>
        <v>-0.7014540000000018</v>
      </c>
      <c r="O443" s="212">
        <f>ROUND(N443*I443,2)</f>
        <v>-175.6</v>
      </c>
      <c r="P443" s="207">
        <f>H443-L443-N443</f>
        <v>31.199454000000003</v>
      </c>
      <c r="Q443" s="228">
        <f>ROUND(P443*I443,2)</f>
        <v>7810.59</v>
      </c>
      <c r="R443" s="199"/>
      <c r="S443" s="200">
        <f>W443+Y443+AA443+AC443+AE443+AG443+AI443+AK443</f>
        <v>0</v>
      </c>
      <c r="T443" s="200">
        <f>ROUND(S443*I443,2)</f>
        <v>0</v>
      </c>
      <c r="U443" s="200">
        <f>H443-S443</f>
        <v>30.498000000000001</v>
      </c>
      <c r="V443" s="200">
        <f>ROUND(U443*I443,2)</f>
        <v>7634.99</v>
      </c>
      <c r="W443" s="200"/>
      <c r="X443" s="200"/>
      <c r="Y443" s="200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DQ443" s="132" t="s">
        <v>1</v>
      </c>
      <c r="DR443" s="133" t="s">
        <v>40</v>
      </c>
      <c r="DT443" s="134">
        <f>DS443*H443</f>
        <v>0</v>
      </c>
      <c r="DU443" s="134">
        <v>0</v>
      </c>
      <c r="DV443" s="134">
        <f>DU443*H443</f>
        <v>0</v>
      </c>
      <c r="DW443" s="134">
        <v>0</v>
      </c>
      <c r="DX443" s="135">
        <f>DW443*H443</f>
        <v>0</v>
      </c>
      <c r="EV443" s="136" t="s">
        <v>95</v>
      </c>
      <c r="EX443" s="136" t="s">
        <v>284</v>
      </c>
      <c r="EY443" s="136" t="s">
        <v>83</v>
      </c>
      <c r="FC443" s="16" t="s">
        <v>282</v>
      </c>
      <c r="FI443" s="137">
        <f>IF(DR443="základní",J443,0)</f>
        <v>7634.99</v>
      </c>
      <c r="FJ443" s="137">
        <f>IF(DR443="snížená",J443,0)</f>
        <v>0</v>
      </c>
      <c r="FK443" s="137">
        <f>IF(DR443="zákl. přenesená",J443,0)</f>
        <v>0</v>
      </c>
      <c r="FL443" s="137">
        <f>IF(DR443="sníž. přenesená",J443,0)</f>
        <v>0</v>
      </c>
      <c r="FM443" s="137">
        <f>IF(DR443="nulová",J443,0)</f>
        <v>0</v>
      </c>
      <c r="FN443" s="16" t="s">
        <v>81</v>
      </c>
      <c r="FO443" s="137">
        <f>ROUND(I443*H443,2)</f>
        <v>7634.99</v>
      </c>
      <c r="FP443" s="16" t="s">
        <v>95</v>
      </c>
      <c r="FQ443" s="136" t="s">
        <v>721</v>
      </c>
    </row>
    <row r="444" spans="2:173" s="1" customFormat="1" ht="29.25" x14ac:dyDescent="0.2">
      <c r="B444" s="31"/>
      <c r="D444" s="138" t="s">
        <v>289</v>
      </c>
      <c r="F444" s="139" t="s">
        <v>720</v>
      </c>
      <c r="I444" s="140"/>
      <c r="L444" s="31"/>
      <c r="N444" s="213">
        <f>0.977*30.498</f>
        <v>29.796545999999999</v>
      </c>
      <c r="O444" s="214" t="s">
        <v>3876</v>
      </c>
      <c r="Q444" s="229"/>
      <c r="DQ444" s="141"/>
      <c r="DX444" s="50"/>
      <c r="EX444" s="16" t="s">
        <v>289</v>
      </c>
      <c r="EY444" s="16" t="s">
        <v>83</v>
      </c>
    </row>
    <row r="445" spans="2:173" s="12" customFormat="1" x14ac:dyDescent="0.2">
      <c r="B445" s="149"/>
      <c r="D445" s="138" t="s">
        <v>301</v>
      </c>
      <c r="E445" s="150" t="s">
        <v>1</v>
      </c>
      <c r="F445" s="151" t="s">
        <v>1042</v>
      </c>
      <c r="H445" s="152">
        <v>30.498000000000001</v>
      </c>
      <c r="I445" s="153"/>
      <c r="L445" s="149"/>
      <c r="N445" s="310">
        <f>N444-H445</f>
        <v>-0.7014540000000018</v>
      </c>
      <c r="O445" s="218"/>
      <c r="Q445" s="231"/>
      <c r="DQ445" s="154"/>
      <c r="DX445" s="155"/>
      <c r="EX445" s="150" t="s">
        <v>301</v>
      </c>
      <c r="EY445" s="150" t="s">
        <v>83</v>
      </c>
      <c r="EZ445" s="12" t="s">
        <v>83</v>
      </c>
      <c r="FA445" s="12" t="s">
        <v>32</v>
      </c>
      <c r="FB445" s="12" t="s">
        <v>81</v>
      </c>
      <c r="FC445" s="150" t="s">
        <v>282</v>
      </c>
    </row>
    <row r="446" spans="2:173" s="10" customFormat="1" ht="22.9" customHeight="1" x14ac:dyDescent="0.2">
      <c r="B446" s="112"/>
      <c r="D446" s="113" t="s">
        <v>73</v>
      </c>
      <c r="E446" s="122" t="s">
        <v>722</v>
      </c>
      <c r="F446" s="122" t="s">
        <v>723</v>
      </c>
      <c r="I446" s="115"/>
      <c r="J446" s="123">
        <f>FO446</f>
        <v>39578.75</v>
      </c>
      <c r="L446" s="112"/>
      <c r="M446" s="320">
        <f>M447</f>
        <v>0</v>
      </c>
      <c r="N446" s="323"/>
      <c r="O446" s="324">
        <f t="shared" ref="O446:V446" si="9">O447</f>
        <v>-910.31</v>
      </c>
      <c r="P446" s="320"/>
      <c r="Q446" s="326">
        <f t="shared" si="9"/>
        <v>40489.06</v>
      </c>
      <c r="R446" s="320"/>
      <c r="S446" s="320"/>
      <c r="T446" s="320">
        <f t="shared" si="9"/>
        <v>0</v>
      </c>
      <c r="U446" s="320"/>
      <c r="V446" s="320">
        <f t="shared" si="9"/>
        <v>39578.75</v>
      </c>
      <c r="DQ446" s="117"/>
      <c r="DT446" s="118">
        <f>SUM(DT447:DT450)</f>
        <v>0</v>
      </c>
      <c r="DV446" s="118">
        <f>SUM(DV447:DV450)</f>
        <v>0</v>
      </c>
      <c r="DX446" s="119">
        <f>SUM(DX447:DX450)</f>
        <v>0</v>
      </c>
      <c r="EV446" s="113" t="s">
        <v>81</v>
      </c>
      <c r="EX446" s="120" t="s">
        <v>73</v>
      </c>
      <c r="EY446" s="120" t="s">
        <v>81</v>
      </c>
      <c r="FC446" s="113" t="s">
        <v>282</v>
      </c>
      <c r="FO446" s="121">
        <f>SUM(FO447:FO450)</f>
        <v>39578.75</v>
      </c>
    </row>
    <row r="447" spans="2:173" s="1" customFormat="1" ht="24.2" customHeight="1" x14ac:dyDescent="0.2">
      <c r="B447" s="124"/>
      <c r="C447" s="125" t="s">
        <v>710</v>
      </c>
      <c r="D447" s="125" t="s">
        <v>284</v>
      </c>
      <c r="E447" s="126" t="s">
        <v>725</v>
      </c>
      <c r="F447" s="127" t="s">
        <v>726</v>
      </c>
      <c r="G447" s="128" t="s">
        <v>418</v>
      </c>
      <c r="H447" s="129">
        <v>43.744</v>
      </c>
      <c r="I447" s="130">
        <v>904.78117744148574</v>
      </c>
      <c r="J447" s="131">
        <f>ROUND(I447*H447,2)</f>
        <v>39578.75</v>
      </c>
      <c r="K447" s="127" t="s">
        <v>293</v>
      </c>
      <c r="L447" s="198">
        <f>S447</f>
        <v>0</v>
      </c>
      <c r="M447" s="206">
        <f>ROUND(L447*I447,2)</f>
        <v>0</v>
      </c>
      <c r="N447" s="211">
        <f>N449</f>
        <v>-1.0061120000000017</v>
      </c>
      <c r="O447" s="212">
        <f>ROUND(N447*I447,2)</f>
        <v>-910.31</v>
      </c>
      <c r="P447" s="207">
        <f>H447-L447-N447</f>
        <v>44.750112000000001</v>
      </c>
      <c r="Q447" s="228">
        <f>ROUND(P447*I447,2)</f>
        <v>40489.06</v>
      </c>
      <c r="R447" s="199"/>
      <c r="S447" s="200">
        <f>W447+Y447+AA447+AC447+AE447+AG447+AI447+AK447</f>
        <v>0</v>
      </c>
      <c r="T447" s="200">
        <f>ROUND(S447*I447,2)</f>
        <v>0</v>
      </c>
      <c r="U447" s="200">
        <f>H447-S447</f>
        <v>43.744</v>
      </c>
      <c r="V447" s="200">
        <f>ROUND(U447*I447,2)</f>
        <v>39578.75</v>
      </c>
      <c r="W447" s="200"/>
      <c r="X447" s="200"/>
      <c r="Y447" s="200"/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DQ447" s="132" t="s">
        <v>1</v>
      </c>
      <c r="DR447" s="133" t="s">
        <v>40</v>
      </c>
      <c r="DT447" s="134">
        <f>DS447*H447</f>
        <v>0</v>
      </c>
      <c r="DU447" s="134">
        <v>0</v>
      </c>
      <c r="DV447" s="134">
        <f>DU447*H447</f>
        <v>0</v>
      </c>
      <c r="DW447" s="134">
        <v>0</v>
      </c>
      <c r="DX447" s="135">
        <f>DW447*H447</f>
        <v>0</v>
      </c>
      <c r="EV447" s="136" t="s">
        <v>95</v>
      </c>
      <c r="EX447" s="136" t="s">
        <v>284</v>
      </c>
      <c r="EY447" s="136" t="s">
        <v>83</v>
      </c>
      <c r="FC447" s="16" t="s">
        <v>282</v>
      </c>
      <c r="FI447" s="137">
        <f>IF(DR447="základní",J447,0)</f>
        <v>39578.75</v>
      </c>
      <c r="FJ447" s="137">
        <f>IF(DR447="snížená",J447,0)</f>
        <v>0</v>
      </c>
      <c r="FK447" s="137">
        <f>IF(DR447="zákl. přenesená",J447,0)</f>
        <v>0</v>
      </c>
      <c r="FL447" s="137">
        <f>IF(DR447="sníž. přenesená",J447,0)</f>
        <v>0</v>
      </c>
      <c r="FM447" s="137">
        <f>IF(DR447="nulová",J447,0)</f>
        <v>0</v>
      </c>
      <c r="FN447" s="16" t="s">
        <v>81</v>
      </c>
      <c r="FO447" s="137">
        <f>ROUND(I447*H447,2)</f>
        <v>39578.75</v>
      </c>
      <c r="FP447" s="16" t="s">
        <v>95</v>
      </c>
      <c r="FQ447" s="136" t="s">
        <v>1044</v>
      </c>
    </row>
    <row r="448" spans="2:173" s="1" customFormat="1" ht="29.25" x14ac:dyDescent="0.2">
      <c r="B448" s="31"/>
      <c r="D448" s="138" t="s">
        <v>289</v>
      </c>
      <c r="F448" s="139" t="s">
        <v>728</v>
      </c>
      <c r="I448" s="140"/>
      <c r="L448" s="31"/>
      <c r="N448" s="213">
        <f>0.977*43.744</f>
        <v>42.737887999999998</v>
      </c>
      <c r="O448" s="214" t="s">
        <v>3877</v>
      </c>
      <c r="Q448" s="229"/>
      <c r="DQ448" s="141"/>
      <c r="DX448" s="50"/>
      <c r="EX448" s="16" t="s">
        <v>289</v>
      </c>
      <c r="EY448" s="16" t="s">
        <v>83</v>
      </c>
    </row>
    <row r="449" spans="2:159" s="11" customFormat="1" x14ac:dyDescent="0.2">
      <c r="B449" s="143"/>
      <c r="D449" s="138" t="s">
        <v>301</v>
      </c>
      <c r="E449" s="144" t="s">
        <v>1</v>
      </c>
      <c r="F449" s="145" t="s">
        <v>729</v>
      </c>
      <c r="H449" s="144" t="s">
        <v>1</v>
      </c>
      <c r="I449" s="146"/>
      <c r="L449" s="143"/>
      <c r="N449" s="319">
        <f>N448-H447</f>
        <v>-1.0061120000000017</v>
      </c>
      <c r="O449" s="216"/>
      <c r="Q449" s="230"/>
      <c r="DQ449" s="147"/>
      <c r="DX449" s="148"/>
      <c r="EX449" s="144" t="s">
        <v>301</v>
      </c>
      <c r="EY449" s="144" t="s">
        <v>83</v>
      </c>
      <c r="EZ449" s="11" t="s">
        <v>81</v>
      </c>
      <c r="FA449" s="11" t="s">
        <v>32</v>
      </c>
      <c r="FB449" s="11" t="s">
        <v>74</v>
      </c>
      <c r="FC449" s="144" t="s">
        <v>282</v>
      </c>
    </row>
    <row r="450" spans="2:159" s="12" customFormat="1" x14ac:dyDescent="0.2">
      <c r="B450" s="149"/>
      <c r="D450" s="138" t="s">
        <v>301</v>
      </c>
      <c r="E450" s="150" t="s">
        <v>1</v>
      </c>
      <c r="F450" s="151" t="s">
        <v>1045</v>
      </c>
      <c r="H450" s="152">
        <v>43.744</v>
      </c>
      <c r="I450" s="153"/>
      <c r="L450" s="149"/>
      <c r="N450" s="217"/>
      <c r="O450" s="218"/>
      <c r="Q450" s="231"/>
      <c r="DQ450" s="179"/>
      <c r="DR450" s="180"/>
      <c r="DS450" s="180"/>
      <c r="DT450" s="180"/>
      <c r="DU450" s="180"/>
      <c r="DV450" s="180"/>
      <c r="DW450" s="180"/>
      <c r="DX450" s="181"/>
      <c r="EX450" s="150" t="s">
        <v>301</v>
      </c>
      <c r="EY450" s="150" t="s">
        <v>83</v>
      </c>
      <c r="EZ450" s="12" t="s">
        <v>83</v>
      </c>
      <c r="FA450" s="12" t="s">
        <v>32</v>
      </c>
      <c r="FB450" s="12" t="s">
        <v>81</v>
      </c>
      <c r="FC450" s="150" t="s">
        <v>282</v>
      </c>
    </row>
    <row r="451" spans="2:159" s="1" customFormat="1" ht="6.95" customHeight="1" thickBot="1" x14ac:dyDescent="0.25">
      <c r="B451" s="43"/>
      <c r="C451" s="44"/>
      <c r="D451" s="44"/>
      <c r="E451" s="44"/>
      <c r="F451" s="44"/>
      <c r="G451" s="44"/>
      <c r="H451" s="44"/>
      <c r="I451" s="44"/>
      <c r="J451" s="44"/>
      <c r="K451" s="44"/>
      <c r="L451" s="235"/>
      <c r="M451" s="237"/>
      <c r="N451" s="239"/>
      <c r="O451" s="240"/>
      <c r="P451" s="238"/>
      <c r="Q451" s="241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</row>
  </sheetData>
  <autoFilter ref="C120:K450"/>
  <mergeCells count="26">
    <mergeCell ref="AC121:AD121"/>
    <mergeCell ref="AE121:AF121"/>
    <mergeCell ref="AG121:AH121"/>
    <mergeCell ref="AI121:AJ121"/>
    <mergeCell ref="AK121:AL121"/>
    <mergeCell ref="W121:X121"/>
    <mergeCell ref="Y121:Z121"/>
    <mergeCell ref="AA121:AB121"/>
    <mergeCell ref="U121:V121"/>
    <mergeCell ref="L120:Q120"/>
    <mergeCell ref="L121:M121"/>
    <mergeCell ref="N121:O121"/>
    <mergeCell ref="P121:Q121"/>
    <mergeCell ref="S121:T121"/>
    <mergeCell ref="L2:DZ2"/>
    <mergeCell ref="E31:H31"/>
    <mergeCell ref="E84:H84"/>
    <mergeCell ref="E88:H88"/>
    <mergeCell ref="E86:H86"/>
    <mergeCell ref="G119:K119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N352"/>
  <sheetViews>
    <sheetView windowProtection="1" showGridLines="0" topLeftCell="A320" zoomScale="80" zoomScaleNormal="80" workbookViewId="0">
      <selection activeCell="P320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33203125" customWidth="1"/>
    <col min="13" max="13" width="15" customWidth="1"/>
    <col min="14" max="14" width="12.33203125" customWidth="1"/>
    <col min="15" max="15" width="15.83203125" customWidth="1"/>
    <col min="16" max="16" width="12.33203125" hidden="1" customWidth="1"/>
    <col min="17" max="17" width="15.6640625" hidden="1" customWidth="1"/>
    <col min="18" max="101" width="12.33203125" customWidth="1"/>
    <col min="102" max="102" width="16.33203125" customWidth="1"/>
    <col min="103" max="103" width="12.33203125" customWidth="1"/>
    <col min="104" max="104" width="15" customWidth="1"/>
    <col min="105" max="105" width="11" customWidth="1"/>
    <col min="106" max="106" width="15" customWidth="1"/>
    <col min="107" max="107" width="16.33203125" customWidth="1"/>
    <col min="108" max="108" width="11" customWidth="1"/>
    <col min="109" max="109" width="15" customWidth="1"/>
    <col min="110" max="110" width="16.33203125" customWidth="1"/>
    <col min="123" max="144" width="9.33203125" hidden="1"/>
  </cols>
  <sheetData>
    <row r="1" spans="2:125" hidden="1" x14ac:dyDescent="0.2"/>
    <row r="2" spans="2:125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9"/>
      <c r="CO2" s="399"/>
      <c r="CP2" s="399"/>
      <c r="CQ2" s="399"/>
      <c r="CR2" s="399"/>
      <c r="CS2" s="399"/>
      <c r="CT2" s="399"/>
      <c r="CU2" s="399"/>
      <c r="CV2" s="399"/>
      <c r="CW2" s="399"/>
      <c r="DU2" s="16" t="s">
        <v>114</v>
      </c>
    </row>
    <row r="3" spans="2:125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U3" s="16" t="s">
        <v>83</v>
      </c>
    </row>
    <row r="4" spans="2:125" ht="24.95" hidden="1" customHeight="1" x14ac:dyDescent="0.2">
      <c r="B4" s="19"/>
      <c r="D4" s="20" t="s">
        <v>243</v>
      </c>
      <c r="L4" s="19"/>
      <c r="CN4" s="79" t="s">
        <v>10</v>
      </c>
      <c r="DU4" s="16" t="s">
        <v>3</v>
      </c>
    </row>
    <row r="5" spans="2:125" ht="6.95" hidden="1" customHeight="1" x14ac:dyDescent="0.2">
      <c r="B5" s="19"/>
      <c r="L5" s="19"/>
    </row>
    <row r="6" spans="2:125" ht="12" hidden="1" customHeight="1" x14ac:dyDescent="0.2">
      <c r="B6" s="19"/>
      <c r="D6" s="26" t="s">
        <v>16</v>
      </c>
      <c r="L6" s="19"/>
    </row>
    <row r="7" spans="2:125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25" ht="12.75" hidden="1" x14ac:dyDescent="0.2">
      <c r="B8" s="19"/>
      <c r="D8" s="26" t="s">
        <v>244</v>
      </c>
      <c r="L8" s="19"/>
    </row>
    <row r="9" spans="2:125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25" ht="12" hidden="1" customHeight="1" x14ac:dyDescent="0.2">
      <c r="B10" s="19"/>
      <c r="D10" s="26" t="s">
        <v>246</v>
      </c>
      <c r="L10" s="19"/>
    </row>
    <row r="11" spans="2:125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25" s="1" customFormat="1" ht="12" hidden="1" customHeight="1" x14ac:dyDescent="0.2">
      <c r="B12" s="31"/>
      <c r="D12" s="26" t="s">
        <v>248</v>
      </c>
      <c r="L12" s="31"/>
    </row>
    <row r="13" spans="2:125" s="1" customFormat="1" ht="16.5" hidden="1" customHeight="1" x14ac:dyDescent="0.2">
      <c r="B13" s="31"/>
      <c r="E13" s="432" t="s">
        <v>1046</v>
      </c>
      <c r="F13" s="433"/>
      <c r="G13" s="433"/>
      <c r="H13" s="433"/>
      <c r="L13" s="31"/>
    </row>
    <row r="14" spans="2:125" s="1" customFormat="1" hidden="1" x14ac:dyDescent="0.2">
      <c r="B14" s="31"/>
      <c r="L14" s="31"/>
    </row>
    <row r="15" spans="2:125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25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976216.71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ROUND((SUM(EF121:EF351)),  2)</f>
        <v>976216.71</v>
      </c>
      <c r="I37" s="84">
        <v>0.21</v>
      </c>
      <c r="J37" s="71">
        <f>ROUND(((SUM(EF121:EF351))*I37),  2)</f>
        <v>205005.51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ROUND((SUM(EG121:EG351)),  2)</f>
        <v>0</v>
      </c>
      <c r="I38" s="84">
        <v>0.15</v>
      </c>
      <c r="J38" s="71">
        <f>ROUND(((SUM(EG121:EG351))*I38),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ROUND((SUM(EH121:EH351)),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ROUND((SUM(EI121:EI351)),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ROUND((SUM(EJ121:EJ351)),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1181222.22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00007 - DSO 01.1g Stoka A4b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26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26" s="1" customFormat="1" ht="10.35" hidden="1" customHeight="1" x14ac:dyDescent="0.2">
      <c r="B98" s="31"/>
      <c r="L98" s="31"/>
    </row>
    <row r="99" spans="2:126" s="1" customFormat="1" ht="22.9" hidden="1" customHeight="1" x14ac:dyDescent="0.2">
      <c r="B99" s="31"/>
      <c r="C99" s="95" t="s">
        <v>256</v>
      </c>
      <c r="J99" s="58">
        <f>J121</f>
        <v>976216.71000000008</v>
      </c>
      <c r="L99" s="31"/>
      <c r="DV99" s="16" t="s">
        <v>257</v>
      </c>
    </row>
    <row r="100" spans="2:126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976216.71000000008</v>
      </c>
      <c r="L100" s="96"/>
    </row>
    <row r="101" spans="2:126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580570.42000000004</v>
      </c>
      <c r="L101" s="100"/>
    </row>
    <row r="102" spans="2:126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J238</f>
        <v>21389.53</v>
      </c>
      <c r="L102" s="100"/>
    </row>
    <row r="103" spans="2:126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J243</f>
        <v>11448.15</v>
      </c>
      <c r="L103" s="100"/>
    </row>
    <row r="104" spans="2:126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J259</f>
        <v>163390.96000000002</v>
      </c>
      <c r="L104" s="100"/>
    </row>
    <row r="105" spans="2:126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J278</f>
        <v>123604.49999999999</v>
      </c>
      <c r="L105" s="100"/>
    </row>
    <row r="106" spans="2:126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J316</f>
        <v>5825.11</v>
      </c>
      <c r="L106" s="100"/>
    </row>
    <row r="107" spans="2:126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J327</f>
        <v>53015.25</v>
      </c>
      <c r="L107" s="100"/>
    </row>
    <row r="108" spans="2:126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J347</f>
        <v>16972.79</v>
      </c>
      <c r="L108" s="100"/>
    </row>
    <row r="109" spans="2:126" s="1" customFormat="1" ht="21.75" hidden="1" customHeight="1" x14ac:dyDescent="0.2">
      <c r="B109" s="31"/>
      <c r="L109" s="31"/>
    </row>
    <row r="110" spans="2:126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26" hidden="1" x14ac:dyDescent="0.2"/>
    <row r="112" spans="2:126" hidden="1" x14ac:dyDescent="0.2"/>
    <row r="114" spans="2:144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44" s="1" customFormat="1" ht="24.95" customHeight="1" x14ac:dyDescent="0.2">
      <c r="B115" s="31"/>
      <c r="C115" s="20" t="s">
        <v>3339</v>
      </c>
      <c r="L115" s="31"/>
    </row>
    <row r="116" spans="2:144" s="1" customFormat="1" ht="6.95" customHeight="1" x14ac:dyDescent="0.2">
      <c r="B116" s="31"/>
      <c r="L116" s="31"/>
    </row>
    <row r="117" spans="2:144" s="1" customFormat="1" ht="40.15" customHeight="1" x14ac:dyDescent="0.2">
      <c r="B117" s="31"/>
      <c r="C117" s="26"/>
      <c r="F117" s="24"/>
      <c r="I117" s="26"/>
      <c r="J117" s="29"/>
      <c r="L117" s="31"/>
    </row>
    <row r="118" spans="2:144" s="1" customFormat="1" ht="15.2" customHeight="1" x14ac:dyDescent="0.2">
      <c r="B118" s="31"/>
      <c r="C118" s="26"/>
      <c r="F118" s="24"/>
      <c r="I118" s="26"/>
      <c r="J118" s="29"/>
      <c r="L118" s="31"/>
    </row>
    <row r="119" spans="2:144" s="1" customFormat="1" ht="19.5" customHeight="1" x14ac:dyDescent="0.2">
      <c r="B119" s="31"/>
      <c r="G119" s="430" t="s">
        <v>3305</v>
      </c>
      <c r="H119" s="430"/>
      <c r="I119" s="430"/>
      <c r="J119" s="430"/>
      <c r="K119" s="431"/>
      <c r="L119" s="31"/>
    </row>
    <row r="120" spans="2:144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CN120" s="52" t="s">
        <v>1</v>
      </c>
      <c r="CO120" s="53" t="s">
        <v>39</v>
      </c>
      <c r="CP120" s="53" t="s">
        <v>273</v>
      </c>
      <c r="CQ120" s="53" t="s">
        <v>274</v>
      </c>
      <c r="CR120" s="53" t="s">
        <v>275</v>
      </c>
      <c r="CS120" s="53" t="s">
        <v>276</v>
      </c>
      <c r="CT120" s="53" t="s">
        <v>277</v>
      </c>
      <c r="CU120" s="54" t="s">
        <v>278</v>
      </c>
    </row>
    <row r="121" spans="2:144" s="1" customFormat="1" ht="22.9" customHeight="1" x14ac:dyDescent="0.25">
      <c r="B121" s="31"/>
      <c r="C121" s="57" t="s">
        <v>279</v>
      </c>
      <c r="G121" s="1" t="s">
        <v>3306</v>
      </c>
      <c r="J121" s="108">
        <f>EL121</f>
        <v>976216.71000000008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3320</v>
      </c>
      <c r="X121" s="444"/>
      <c r="Y121" s="444" t="s">
        <v>3321</v>
      </c>
      <c r="Z121" s="444"/>
      <c r="AA121" s="444" t="s">
        <v>3322</v>
      </c>
      <c r="AB121" s="444"/>
      <c r="AC121" s="444" t="s">
        <v>3323</v>
      </c>
      <c r="AD121" s="444"/>
      <c r="AE121" s="444" t="s">
        <v>3324</v>
      </c>
      <c r="AF121" s="444"/>
      <c r="AG121" s="444" t="s">
        <v>3325</v>
      </c>
      <c r="AH121" s="444"/>
      <c r="AI121" s="444" t="s">
        <v>3326</v>
      </c>
      <c r="AJ121" s="444"/>
      <c r="AK121" s="444" t="s">
        <v>3327</v>
      </c>
      <c r="AL121" s="445"/>
      <c r="CN121" s="55"/>
      <c r="CO121" s="49"/>
      <c r="CP121" s="49"/>
      <c r="CQ121" s="109">
        <f>CQ122</f>
        <v>0</v>
      </c>
      <c r="CR121" s="49"/>
      <c r="CS121" s="109">
        <f>CS122</f>
        <v>439.236558</v>
      </c>
      <c r="CT121" s="49"/>
      <c r="CU121" s="110">
        <f>CU122</f>
        <v>136.6362</v>
      </c>
      <c r="DU121" s="16" t="s">
        <v>73</v>
      </c>
      <c r="DV121" s="16" t="s">
        <v>257</v>
      </c>
      <c r="EL121" s="111">
        <f>EL122</f>
        <v>976216.71000000008</v>
      </c>
    </row>
    <row r="122" spans="2:144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EL122</f>
        <v>976216.71000000008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4" t="s">
        <v>3328</v>
      </c>
      <c r="AI122" s="194" t="s">
        <v>270</v>
      </c>
      <c r="AJ122" s="194" t="s">
        <v>3328</v>
      </c>
      <c r="AK122" s="194" t="s">
        <v>270</v>
      </c>
      <c r="AL122" s="195" t="s">
        <v>3328</v>
      </c>
      <c r="CN122" s="117"/>
      <c r="CQ122" s="118">
        <f>CQ124+CQ238+CQ243+CQ259+CQ278+CQ316+CQ327+CQ347</f>
        <v>0</v>
      </c>
      <c r="CS122" s="118">
        <f>CS124+CS238+CS243+CS259+CS278+CS316+CS327+CS347</f>
        <v>439.236558</v>
      </c>
      <c r="CU122" s="119">
        <f>CU124+CU238+CU243+CU259+CU278+CU316+CU327+CU347</f>
        <v>136.6362</v>
      </c>
      <c r="DS122" s="113" t="s">
        <v>81</v>
      </c>
      <c r="DU122" s="120" t="s">
        <v>73</v>
      </c>
      <c r="DV122" s="120" t="s">
        <v>74</v>
      </c>
      <c r="DZ122" s="113" t="s">
        <v>282</v>
      </c>
      <c r="EL122" s="121">
        <f>EL124+EL238+EL243+EL259+EL278+EL316+EL327+EL347</f>
        <v>976216.71000000008</v>
      </c>
    </row>
    <row r="123" spans="2:144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M124+M238+M243+M259+M278+M316+M327+M347</f>
        <v>0</v>
      </c>
      <c r="N123" s="208"/>
      <c r="O123" s="208">
        <f t="shared" ref="O123:Q123" si="0">O124+O238+O243+O259+O278+O316+O327+O347</f>
        <v>-159560.78</v>
      </c>
      <c r="P123" s="192"/>
      <c r="Q123" s="192">
        <f t="shared" si="0"/>
        <v>1135777.5599999998</v>
      </c>
      <c r="S123" s="196"/>
      <c r="T123" s="197">
        <f>T124+T238+T243+T259+T278+T316+T327+T347</f>
        <v>0</v>
      </c>
      <c r="U123" s="197"/>
      <c r="V123" s="197">
        <f t="shared" ref="V123:AL123" si="1">V124+V238+V243+V259+V278+V316+V327+V347</f>
        <v>976216.71000000008</v>
      </c>
      <c r="W123" s="197"/>
      <c r="X123" s="197">
        <f t="shared" si="1"/>
        <v>0</v>
      </c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AE123" s="197"/>
      <c r="AF123" s="197">
        <f t="shared" si="1"/>
        <v>0</v>
      </c>
      <c r="AG123" s="197"/>
      <c r="AH123" s="197">
        <f t="shared" si="1"/>
        <v>0</v>
      </c>
      <c r="AI123" s="197"/>
      <c r="AJ123" s="197">
        <f t="shared" si="1"/>
        <v>0</v>
      </c>
      <c r="AK123" s="197"/>
      <c r="AL123" s="197">
        <f t="shared" si="1"/>
        <v>0</v>
      </c>
      <c r="CN123" s="117"/>
      <c r="CQ123" s="118"/>
      <c r="CS123" s="118"/>
      <c r="CU123" s="119"/>
      <c r="DS123" s="113"/>
      <c r="DU123" s="120"/>
      <c r="DV123" s="120"/>
      <c r="DZ123" s="113"/>
      <c r="EL123" s="121"/>
    </row>
    <row r="124" spans="2:144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EL124</f>
        <v>580570.42000000004</v>
      </c>
      <c r="L124" s="112"/>
      <c r="M124" s="270">
        <f>SUM(M125:M235)</f>
        <v>0</v>
      </c>
      <c r="N124" s="299"/>
      <c r="O124" s="300">
        <f t="shared" ref="O124:V124" si="2">SUM(O125:O235)</f>
        <v>-98557.059999999983</v>
      </c>
      <c r="P124" s="270"/>
      <c r="Q124" s="286">
        <f t="shared" si="2"/>
        <v>679127.5199999999</v>
      </c>
      <c r="R124" s="270"/>
      <c r="S124" s="270"/>
      <c r="T124" s="270">
        <f t="shared" si="2"/>
        <v>0</v>
      </c>
      <c r="U124" s="270"/>
      <c r="V124" s="270">
        <f t="shared" si="2"/>
        <v>580570.42000000004</v>
      </c>
      <c r="CN124" s="117"/>
      <c r="CQ124" s="118">
        <f>SUM(CQ125:CQ237)</f>
        <v>0</v>
      </c>
      <c r="CS124" s="118">
        <f>SUM(CS125:CS237)</f>
        <v>420.90569800000003</v>
      </c>
      <c r="CU124" s="119">
        <f>SUM(CU125:CU237)</f>
        <v>136.6362</v>
      </c>
      <c r="DS124" s="113" t="s">
        <v>81</v>
      </c>
      <c r="DU124" s="120" t="s">
        <v>73</v>
      </c>
      <c r="DV124" s="120" t="s">
        <v>81</v>
      </c>
      <c r="DZ124" s="113" t="s">
        <v>282</v>
      </c>
      <c r="EL124" s="121">
        <f>SUM(EL125:EL237)</f>
        <v>580570.42000000004</v>
      </c>
    </row>
    <row r="125" spans="2:144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86.4</v>
      </c>
      <c r="I125" s="130">
        <v>68.767172335543137</v>
      </c>
      <c r="J125" s="131">
        <f>ROUND(I125*H125,2)</f>
        <v>5941.48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N129</f>
        <v>-15.287999999999997</v>
      </c>
      <c r="O125" s="294">
        <f>ROUND(N125*I125,2)</f>
        <v>-1051.31</v>
      </c>
      <c r="P125" s="273">
        <f>H125-L125-N125</f>
        <v>101.688</v>
      </c>
      <c r="Q125" s="287">
        <f>ROUND(P125*I125,2)</f>
        <v>6992.8</v>
      </c>
      <c r="R125" s="137"/>
      <c r="S125" s="269">
        <f>W125+Y125+AA125+AC125+AE125+AG125+AI125+AK125</f>
        <v>0</v>
      </c>
      <c r="T125" s="269">
        <f>ROUND(S125*I125,2)</f>
        <v>0</v>
      </c>
      <c r="U125" s="269">
        <f>H125-S125</f>
        <v>86.4</v>
      </c>
      <c r="V125" s="269">
        <f>ROUND(U125*I125,2)</f>
        <v>5941.48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CN125" s="132" t="s">
        <v>1</v>
      </c>
      <c r="CO125" s="133" t="s">
        <v>40</v>
      </c>
      <c r="CQ125" s="134">
        <f>CP125*H125</f>
        <v>0</v>
      </c>
      <c r="CR125" s="134">
        <v>0</v>
      </c>
      <c r="CS125" s="134">
        <f>CR125*H125</f>
        <v>0</v>
      </c>
      <c r="CT125" s="134">
        <v>0.57999999999999996</v>
      </c>
      <c r="CU125" s="135">
        <f>CT125*H125</f>
        <v>50.112000000000002</v>
      </c>
      <c r="DS125" s="136" t="s">
        <v>95</v>
      </c>
      <c r="DU125" s="136" t="s">
        <v>284</v>
      </c>
      <c r="DV125" s="136" t="s">
        <v>83</v>
      </c>
      <c r="DZ125" s="16" t="s">
        <v>282</v>
      </c>
      <c r="EF125" s="137">
        <f>IF(CO125="základní",J125,0)</f>
        <v>5941.48</v>
      </c>
      <c r="EG125" s="137">
        <f>IF(CO125="snížená",J125,0)</f>
        <v>0</v>
      </c>
      <c r="EH125" s="137">
        <f>IF(CO125="zákl. přenesená",J125,0)</f>
        <v>0</v>
      </c>
      <c r="EI125" s="137">
        <f>IF(CO125="sníž. přenesená",J125,0)</f>
        <v>0</v>
      </c>
      <c r="EJ125" s="137">
        <f>IF(CO125="nulová",J125,0)</f>
        <v>0</v>
      </c>
      <c r="EK125" s="16" t="s">
        <v>81</v>
      </c>
      <c r="EL125" s="137">
        <f>ROUND(I125*H125,2)</f>
        <v>5941.48</v>
      </c>
      <c r="EM125" s="16" t="s">
        <v>95</v>
      </c>
      <c r="EN125" s="136" t="s">
        <v>288</v>
      </c>
    </row>
    <row r="126" spans="2:144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CN126" s="141"/>
      <c r="CU126" s="50"/>
      <c r="DU126" s="16" t="s">
        <v>289</v>
      </c>
      <c r="DV126" s="16" t="s">
        <v>83</v>
      </c>
    </row>
    <row r="127" spans="2:144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86.4</v>
      </c>
      <c r="I127" s="130">
        <v>68.767172335543137</v>
      </c>
      <c r="J127" s="131">
        <f>ROUND(I127*H127,2)</f>
        <v>5941.48</v>
      </c>
      <c r="K127" s="127" t="s">
        <v>293</v>
      </c>
      <c r="L127" s="268">
        <f>S127</f>
        <v>0</v>
      </c>
      <c r="M127" s="272">
        <f>ROUND(L127*I127,2)</f>
        <v>0</v>
      </c>
      <c r="N127" s="243">
        <f>N129</f>
        <v>-15.287999999999997</v>
      </c>
      <c r="O127" s="294">
        <f>ROUND(N127*I127,2)</f>
        <v>-1051.31</v>
      </c>
      <c r="P127" s="273">
        <f>H127-L127-N127</f>
        <v>101.688</v>
      </c>
      <c r="Q127" s="287">
        <f>ROUND(P127*I127,2)</f>
        <v>6992.8</v>
      </c>
      <c r="R127" s="137"/>
      <c r="S127" s="269">
        <f>W127+Y127+AA127+AC127+AE127+AG127+AI127+AK127</f>
        <v>0</v>
      </c>
      <c r="T127" s="269">
        <f>ROUND(S127*I127,2)</f>
        <v>0</v>
      </c>
      <c r="U127" s="269">
        <f>H127-S127</f>
        <v>86.4</v>
      </c>
      <c r="V127" s="269">
        <f>ROUND(U127*I127,2)</f>
        <v>5941.48</v>
      </c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CN127" s="132" t="s">
        <v>1</v>
      </c>
      <c r="CO127" s="133" t="s">
        <v>40</v>
      </c>
      <c r="CQ127" s="134">
        <f>CP127*H127</f>
        <v>0</v>
      </c>
      <c r="CR127" s="134">
        <v>0</v>
      </c>
      <c r="CS127" s="134">
        <f>CR127*H127</f>
        <v>0</v>
      </c>
      <c r="CT127" s="134">
        <v>0.57999999999999996</v>
      </c>
      <c r="CU127" s="135">
        <f>CT127*H127</f>
        <v>50.112000000000002</v>
      </c>
      <c r="DS127" s="136" t="s">
        <v>95</v>
      </c>
      <c r="DU127" s="136" t="s">
        <v>284</v>
      </c>
      <c r="DV127" s="136" t="s">
        <v>83</v>
      </c>
      <c r="DZ127" s="16" t="s">
        <v>282</v>
      </c>
      <c r="EF127" s="137">
        <f>IF(CO127="základní",J127,0)</f>
        <v>5941.48</v>
      </c>
      <c r="EG127" s="137">
        <f>IF(CO127="snížená",J127,0)</f>
        <v>0</v>
      </c>
      <c r="EH127" s="137">
        <f>IF(CO127="zákl. přenesená",J127,0)</f>
        <v>0</v>
      </c>
      <c r="EI127" s="137">
        <f>IF(CO127="sníž. přenesená",J127,0)</f>
        <v>0</v>
      </c>
      <c r="EJ127" s="137">
        <f>IF(CO127="nulová",J127,0)</f>
        <v>0</v>
      </c>
      <c r="EK127" s="16" t="s">
        <v>81</v>
      </c>
      <c r="EL127" s="137">
        <f>ROUND(I127*H127,2)</f>
        <v>5941.48</v>
      </c>
      <c r="EM127" s="16" t="s">
        <v>95</v>
      </c>
      <c r="EN127" s="136" t="s">
        <v>294</v>
      </c>
    </row>
    <row r="128" spans="2:144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CN128" s="141"/>
      <c r="CU128" s="50"/>
      <c r="DU128" s="16" t="s">
        <v>289</v>
      </c>
      <c r="DV128" s="16" t="s">
        <v>83</v>
      </c>
    </row>
    <row r="129" spans="2:144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732</v>
      </c>
      <c r="G129" s="128" t="s">
        <v>287</v>
      </c>
      <c r="H129" s="129">
        <v>86.4</v>
      </c>
      <c r="I129" s="130">
        <v>27.886826761540966</v>
      </c>
      <c r="J129" s="131">
        <f>ROUND(I129*H129,2)</f>
        <v>2409.42</v>
      </c>
      <c r="K129" s="127" t="s">
        <v>293</v>
      </c>
      <c r="L129" s="268">
        <f>S129</f>
        <v>0</v>
      </c>
      <c r="M129" s="272">
        <f>ROUND(L129*I129,2)</f>
        <v>0</v>
      </c>
      <c r="N129" s="243">
        <f>N136</f>
        <v>-15.287999999999997</v>
      </c>
      <c r="O129" s="294">
        <f>ROUND(N129*I129,2)</f>
        <v>-426.33</v>
      </c>
      <c r="P129" s="273">
        <f>H129-L129-N129</f>
        <v>101.688</v>
      </c>
      <c r="Q129" s="287">
        <f>ROUND(P129*I129,2)</f>
        <v>2835.76</v>
      </c>
      <c r="R129" s="137"/>
      <c r="S129" s="269">
        <f>W129+Y129+AA129+AC129+AE129+AG129+AI129+AK129</f>
        <v>0</v>
      </c>
      <c r="T129" s="269">
        <f>ROUND(S129*I129,2)</f>
        <v>0</v>
      </c>
      <c r="U129" s="269">
        <f>H129-S129</f>
        <v>86.4</v>
      </c>
      <c r="V129" s="269">
        <f>ROUND(U129*I129,2)</f>
        <v>2409.42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CN129" s="132" t="s">
        <v>1</v>
      </c>
      <c r="CO129" s="133" t="s">
        <v>40</v>
      </c>
      <c r="CQ129" s="134">
        <f>CP129*H129</f>
        <v>0</v>
      </c>
      <c r="CR129" s="134">
        <v>0</v>
      </c>
      <c r="CS129" s="134">
        <f>CR129*H129</f>
        <v>0</v>
      </c>
      <c r="CT129" s="134">
        <v>9.8000000000000004E-2</v>
      </c>
      <c r="CU129" s="135">
        <f>CT129*H129</f>
        <v>8.4672000000000001</v>
      </c>
      <c r="DS129" s="136" t="s">
        <v>95</v>
      </c>
      <c r="DU129" s="136" t="s">
        <v>284</v>
      </c>
      <c r="DV129" s="136" t="s">
        <v>83</v>
      </c>
      <c r="DZ129" s="16" t="s">
        <v>282</v>
      </c>
      <c r="EF129" s="137">
        <f>IF(CO129="základní",J129,0)</f>
        <v>2409.42</v>
      </c>
      <c r="EG129" s="137">
        <f>IF(CO129="snížená",J129,0)</f>
        <v>0</v>
      </c>
      <c r="EH129" s="137">
        <f>IF(CO129="zákl. přenesená",J129,0)</f>
        <v>0</v>
      </c>
      <c r="EI129" s="137">
        <f>IF(CO129="sníž. přenesená",J129,0)</f>
        <v>0</v>
      </c>
      <c r="EJ129" s="137">
        <f>IF(CO129="nulová",J129,0)</f>
        <v>0</v>
      </c>
      <c r="EK129" s="16" t="s">
        <v>81</v>
      </c>
      <c r="EL129" s="137">
        <f>ROUND(I129*H129,2)</f>
        <v>2409.42</v>
      </c>
      <c r="EM129" s="16" t="s">
        <v>95</v>
      </c>
      <c r="EN129" s="136" t="s">
        <v>297</v>
      </c>
    </row>
    <row r="130" spans="2:144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CN130" s="141"/>
      <c r="CU130" s="50"/>
      <c r="DU130" s="16" t="s">
        <v>289</v>
      </c>
      <c r="DV130" s="16" t="s">
        <v>83</v>
      </c>
    </row>
    <row r="131" spans="2:144" s="1" customFormat="1" ht="29.25" x14ac:dyDescent="0.2">
      <c r="B131" s="31"/>
      <c r="D131" s="138" t="s">
        <v>299</v>
      </c>
      <c r="F131" s="142" t="s">
        <v>1047</v>
      </c>
      <c r="I131" s="140"/>
      <c r="L131" s="31"/>
      <c r="N131" s="213"/>
      <c r="O131" s="214"/>
      <c r="Q131" s="229"/>
      <c r="CN131" s="141"/>
      <c r="CU131" s="50"/>
      <c r="DU131" s="16" t="s">
        <v>299</v>
      </c>
      <c r="DV131" s="16" t="s">
        <v>83</v>
      </c>
    </row>
    <row r="132" spans="2:144" s="11" customFormat="1" x14ac:dyDescent="0.2">
      <c r="B132" s="143"/>
      <c r="D132" s="138" t="s">
        <v>301</v>
      </c>
      <c r="E132" s="144" t="s">
        <v>1</v>
      </c>
      <c r="F132" s="145" t="s">
        <v>302</v>
      </c>
      <c r="H132" s="144" t="s">
        <v>1</v>
      </c>
      <c r="I132" s="146"/>
      <c r="L132" s="143"/>
      <c r="N132" s="215"/>
      <c r="O132" s="216"/>
      <c r="Q132" s="230"/>
      <c r="CN132" s="147"/>
      <c r="CU132" s="148"/>
      <c r="DU132" s="144" t="s">
        <v>301</v>
      </c>
      <c r="DV132" s="144" t="s">
        <v>83</v>
      </c>
      <c r="DW132" s="11" t="s">
        <v>81</v>
      </c>
      <c r="DX132" s="11" t="s">
        <v>32</v>
      </c>
      <c r="DY132" s="11" t="s">
        <v>74</v>
      </c>
      <c r="DZ132" s="144" t="s">
        <v>282</v>
      </c>
    </row>
    <row r="133" spans="2:144" s="12" customFormat="1" x14ac:dyDescent="0.2">
      <c r="B133" s="149"/>
      <c r="D133" s="138" t="s">
        <v>301</v>
      </c>
      <c r="E133" s="150" t="s">
        <v>1</v>
      </c>
      <c r="F133" s="151" t="s">
        <v>1048</v>
      </c>
      <c r="H133" s="152">
        <v>85.05</v>
      </c>
      <c r="I133" s="153"/>
      <c r="L133" s="149"/>
      <c r="N133" s="217">
        <f>66.44*1.05</f>
        <v>69.762</v>
      </c>
      <c r="O133" s="359" t="s">
        <v>3445</v>
      </c>
      <c r="Q133" s="231"/>
      <c r="CN133" s="154"/>
      <c r="CU133" s="155"/>
      <c r="DU133" s="150" t="s">
        <v>301</v>
      </c>
      <c r="DV133" s="150" t="s">
        <v>83</v>
      </c>
      <c r="DW133" s="12" t="s">
        <v>83</v>
      </c>
      <c r="DX133" s="12" t="s">
        <v>32</v>
      </c>
      <c r="DY133" s="12" t="s">
        <v>74</v>
      </c>
      <c r="DZ133" s="150" t="s">
        <v>282</v>
      </c>
    </row>
    <row r="134" spans="2:144" s="12" customFormat="1" x14ac:dyDescent="0.2">
      <c r="B134" s="149"/>
      <c r="D134" s="138" t="s">
        <v>301</v>
      </c>
      <c r="E134" s="150" t="s">
        <v>1</v>
      </c>
      <c r="F134" s="151" t="s">
        <v>1049</v>
      </c>
      <c r="H134" s="152">
        <v>1.35</v>
      </c>
      <c r="I134" s="153"/>
      <c r="L134" s="149"/>
      <c r="N134" s="310">
        <f>H134</f>
        <v>1.35</v>
      </c>
      <c r="O134" s="218"/>
      <c r="Q134" s="231"/>
      <c r="CN134" s="154"/>
      <c r="CU134" s="155"/>
      <c r="DU134" s="150" t="s">
        <v>301</v>
      </c>
      <c r="DV134" s="150" t="s">
        <v>83</v>
      </c>
      <c r="DW134" s="12" t="s">
        <v>83</v>
      </c>
      <c r="DX134" s="12" t="s">
        <v>32</v>
      </c>
      <c r="DY134" s="12" t="s">
        <v>74</v>
      </c>
      <c r="DZ134" s="150" t="s">
        <v>282</v>
      </c>
    </row>
    <row r="135" spans="2:144" s="13" customFormat="1" x14ac:dyDescent="0.2">
      <c r="B135" s="156"/>
      <c r="D135" s="138" t="s">
        <v>301</v>
      </c>
      <c r="E135" s="157" t="s">
        <v>1</v>
      </c>
      <c r="F135" s="158" t="s">
        <v>305</v>
      </c>
      <c r="H135" s="159">
        <v>86.399999999999991</v>
      </c>
      <c r="I135" s="160"/>
      <c r="L135" s="156"/>
      <c r="N135" s="311">
        <f>N133+N134</f>
        <v>71.111999999999995</v>
      </c>
      <c r="O135" s="220"/>
      <c r="Q135" s="232"/>
      <c r="CN135" s="161"/>
      <c r="CU135" s="162"/>
      <c r="DU135" s="157" t="s">
        <v>301</v>
      </c>
      <c r="DV135" s="157" t="s">
        <v>83</v>
      </c>
      <c r="DW135" s="13" t="s">
        <v>95</v>
      </c>
      <c r="DX135" s="13" t="s">
        <v>32</v>
      </c>
      <c r="DY135" s="13" t="s">
        <v>81</v>
      </c>
      <c r="DZ135" s="157" t="s">
        <v>282</v>
      </c>
    </row>
    <row r="136" spans="2:144" s="13" customFormat="1" x14ac:dyDescent="0.2">
      <c r="B136" s="156"/>
      <c r="D136" s="138"/>
      <c r="E136" s="157"/>
      <c r="F136" s="158"/>
      <c r="H136" s="159"/>
      <c r="I136" s="160"/>
      <c r="L136" s="156"/>
      <c r="N136" s="311">
        <f>N135-H135</f>
        <v>-15.287999999999997</v>
      </c>
      <c r="O136" s="220"/>
      <c r="Q136" s="232"/>
      <c r="CN136" s="161"/>
      <c r="CU136" s="162"/>
      <c r="DU136" s="157"/>
      <c r="DV136" s="157"/>
      <c r="DZ136" s="157"/>
    </row>
    <row r="137" spans="2:144" s="1" customFormat="1" ht="24.2" customHeight="1" x14ac:dyDescent="0.2">
      <c r="B137" s="124"/>
      <c r="C137" s="125" t="s">
        <v>95</v>
      </c>
      <c r="D137" s="125" t="s">
        <v>284</v>
      </c>
      <c r="E137" s="126" t="s">
        <v>306</v>
      </c>
      <c r="F137" s="127" t="s">
        <v>307</v>
      </c>
      <c r="G137" s="128" t="s">
        <v>287</v>
      </c>
      <c r="H137" s="129">
        <v>243</v>
      </c>
      <c r="I137" s="130">
        <v>55.314624729404002</v>
      </c>
      <c r="J137" s="131">
        <f>ROUND(I137*H137,2)</f>
        <v>13441.45</v>
      </c>
      <c r="K137" s="127" t="s">
        <v>293</v>
      </c>
      <c r="L137" s="268">
        <f>S137</f>
        <v>0</v>
      </c>
      <c r="M137" s="272">
        <f>ROUND(L137*I137,2)</f>
        <v>0</v>
      </c>
      <c r="N137" s="243">
        <f>N142</f>
        <v>-43.680000000000007</v>
      </c>
      <c r="O137" s="294">
        <f>ROUND(N137*I137,2)</f>
        <v>-2416.14</v>
      </c>
      <c r="P137" s="273">
        <f>H137-L137-N137</f>
        <v>286.68</v>
      </c>
      <c r="Q137" s="287">
        <f>ROUND(P137*I137,2)</f>
        <v>15857.6</v>
      </c>
      <c r="R137" s="137"/>
      <c r="S137" s="269">
        <f>W137+Y137+AA137+AC137+AE137+AG137+AI137+AK137</f>
        <v>0</v>
      </c>
      <c r="T137" s="269">
        <f>ROUND(S137*I137,2)</f>
        <v>0</v>
      </c>
      <c r="U137" s="269">
        <f>H137-S137</f>
        <v>243</v>
      </c>
      <c r="V137" s="269">
        <f>ROUND(U137*I137,2)</f>
        <v>13441.45</v>
      </c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CN137" s="132" t="s">
        <v>1</v>
      </c>
      <c r="CO137" s="133" t="s">
        <v>40</v>
      </c>
      <c r="CQ137" s="134">
        <f>CP137*H137</f>
        <v>0</v>
      </c>
      <c r="CR137" s="134">
        <v>6.9999999999999994E-5</v>
      </c>
      <c r="CS137" s="134">
        <f>CR137*H137</f>
        <v>1.7009999999999997E-2</v>
      </c>
      <c r="CT137" s="134">
        <v>0.115</v>
      </c>
      <c r="CU137" s="135">
        <f>CT137*H137</f>
        <v>27.945</v>
      </c>
      <c r="DS137" s="136" t="s">
        <v>95</v>
      </c>
      <c r="DU137" s="136" t="s">
        <v>284</v>
      </c>
      <c r="DV137" s="136" t="s">
        <v>83</v>
      </c>
      <c r="DZ137" s="16" t="s">
        <v>282</v>
      </c>
      <c r="EF137" s="137">
        <f>IF(CO137="základní",J137,0)</f>
        <v>13441.45</v>
      </c>
      <c r="EG137" s="137">
        <f>IF(CO137="snížená",J137,0)</f>
        <v>0</v>
      </c>
      <c r="EH137" s="137">
        <f>IF(CO137="zákl. přenesená",J137,0)</f>
        <v>0</v>
      </c>
      <c r="EI137" s="137">
        <f>IF(CO137="sníž. přenesená",J137,0)</f>
        <v>0</v>
      </c>
      <c r="EJ137" s="137">
        <f>IF(CO137="nulová",J137,0)</f>
        <v>0</v>
      </c>
      <c r="EK137" s="16" t="s">
        <v>81</v>
      </c>
      <c r="EL137" s="137">
        <f>ROUND(I137*H137,2)</f>
        <v>13441.45</v>
      </c>
      <c r="EM137" s="16" t="s">
        <v>95</v>
      </c>
      <c r="EN137" s="136" t="s">
        <v>308</v>
      </c>
    </row>
    <row r="138" spans="2:144" s="1" customFormat="1" ht="29.25" x14ac:dyDescent="0.2">
      <c r="B138" s="31"/>
      <c r="D138" s="138" t="s">
        <v>289</v>
      </c>
      <c r="F138" s="139" t="s">
        <v>309</v>
      </c>
      <c r="I138" s="140"/>
      <c r="L138" s="31"/>
      <c r="N138" s="213"/>
      <c r="O138" s="214"/>
      <c r="Q138" s="229"/>
      <c r="CN138" s="141"/>
      <c r="CU138" s="50"/>
      <c r="DU138" s="16" t="s">
        <v>289</v>
      </c>
      <c r="DV138" s="16" t="s">
        <v>83</v>
      </c>
    </row>
    <row r="139" spans="2:144" s="1" customFormat="1" ht="29.25" x14ac:dyDescent="0.2">
      <c r="B139" s="31"/>
      <c r="D139" s="138" t="s">
        <v>299</v>
      </c>
      <c r="F139" s="142" t="s">
        <v>1047</v>
      </c>
      <c r="I139" s="140"/>
      <c r="L139" s="31"/>
      <c r="N139" s="213"/>
      <c r="O139" s="214"/>
      <c r="Q139" s="229"/>
      <c r="CN139" s="141"/>
      <c r="CU139" s="50"/>
      <c r="DU139" s="16" t="s">
        <v>299</v>
      </c>
      <c r="DV139" s="16" t="s">
        <v>83</v>
      </c>
    </row>
    <row r="140" spans="2:144" s="11" customFormat="1" x14ac:dyDescent="0.2">
      <c r="B140" s="143"/>
      <c r="D140" s="138" t="s">
        <v>301</v>
      </c>
      <c r="E140" s="144" t="s">
        <v>1</v>
      </c>
      <c r="F140" s="145" t="s">
        <v>310</v>
      </c>
      <c r="H140" s="144" t="s">
        <v>1</v>
      </c>
      <c r="I140" s="146"/>
      <c r="L140" s="143"/>
      <c r="N140" s="215"/>
      <c r="O140" s="216"/>
      <c r="Q140" s="230"/>
      <c r="CN140" s="147"/>
      <c r="CU140" s="148"/>
      <c r="DU140" s="144" t="s">
        <v>301</v>
      </c>
      <c r="DV140" s="144" t="s">
        <v>83</v>
      </c>
      <c r="DW140" s="11" t="s">
        <v>81</v>
      </c>
      <c r="DX140" s="11" t="s">
        <v>32</v>
      </c>
      <c r="DY140" s="11" t="s">
        <v>74</v>
      </c>
      <c r="DZ140" s="144" t="s">
        <v>282</v>
      </c>
    </row>
    <row r="141" spans="2:144" s="12" customFormat="1" x14ac:dyDescent="0.2">
      <c r="B141" s="149"/>
      <c r="D141" s="138" t="s">
        <v>301</v>
      </c>
      <c r="E141" s="150" t="s">
        <v>1</v>
      </c>
      <c r="F141" s="151" t="s">
        <v>1050</v>
      </c>
      <c r="H141" s="152">
        <v>243</v>
      </c>
      <c r="I141" s="153"/>
      <c r="L141" s="149"/>
      <c r="N141" s="217">
        <f>66.44*3</f>
        <v>199.32</v>
      </c>
      <c r="O141" s="218" t="s">
        <v>3446</v>
      </c>
      <c r="Q141" s="231"/>
      <c r="CN141" s="154"/>
      <c r="CU141" s="155"/>
      <c r="DU141" s="150" t="s">
        <v>301</v>
      </c>
      <c r="DV141" s="150" t="s">
        <v>83</v>
      </c>
      <c r="DW141" s="12" t="s">
        <v>83</v>
      </c>
      <c r="DX141" s="12" t="s">
        <v>32</v>
      </c>
      <c r="DY141" s="12" t="s">
        <v>81</v>
      </c>
      <c r="DZ141" s="150" t="s">
        <v>282</v>
      </c>
    </row>
    <row r="142" spans="2:144" s="12" customFormat="1" x14ac:dyDescent="0.2">
      <c r="B142" s="149"/>
      <c r="D142" s="138"/>
      <c r="E142" s="150"/>
      <c r="F142" s="151"/>
      <c r="H142" s="152"/>
      <c r="I142" s="153"/>
      <c r="L142" s="149"/>
      <c r="N142" s="310">
        <f>N141-H141</f>
        <v>-43.680000000000007</v>
      </c>
      <c r="O142" s="218"/>
      <c r="Q142" s="231"/>
      <c r="CN142" s="154"/>
      <c r="CU142" s="155"/>
      <c r="DU142" s="150"/>
      <c r="DV142" s="150"/>
      <c r="DZ142" s="150"/>
    </row>
    <row r="143" spans="2:144" s="1" customFormat="1" ht="24.2" customHeight="1" x14ac:dyDescent="0.2">
      <c r="B143" s="124"/>
      <c r="C143" s="125" t="s">
        <v>312</v>
      </c>
      <c r="D143" s="125" t="s">
        <v>284</v>
      </c>
      <c r="E143" s="126" t="s">
        <v>313</v>
      </c>
      <c r="F143" s="127" t="s">
        <v>314</v>
      </c>
      <c r="G143" s="128" t="s">
        <v>315</v>
      </c>
      <c r="H143" s="129">
        <v>1</v>
      </c>
      <c r="I143" s="130">
        <v>3788.8627999999999</v>
      </c>
      <c r="J143" s="131">
        <f>ROUND(I143*H143,2)</f>
        <v>3788.86</v>
      </c>
      <c r="K143" s="127" t="s">
        <v>1</v>
      </c>
      <c r="L143" s="268">
        <f>S143</f>
        <v>0</v>
      </c>
      <c r="M143" s="272">
        <f>ROUND(L143*I143,2)</f>
        <v>0</v>
      </c>
      <c r="N143" s="243"/>
      <c r="O143" s="294">
        <f>ROUND(N143*I143,2)</f>
        <v>0</v>
      </c>
      <c r="P143" s="273">
        <f>H143-L143-N143</f>
        <v>1</v>
      </c>
      <c r="Q143" s="287">
        <f>ROUND(P143*I143,2)</f>
        <v>3788.86</v>
      </c>
      <c r="R143" s="137"/>
      <c r="S143" s="269">
        <f>W143+Y143+AA143+AC143+AE143+AG143+AI143+AK143</f>
        <v>0</v>
      </c>
      <c r="T143" s="269">
        <f>ROUND(S143*I143,2)</f>
        <v>0</v>
      </c>
      <c r="U143" s="269">
        <f>H143-S143</f>
        <v>1</v>
      </c>
      <c r="V143" s="269">
        <f>ROUND(U143*I143,2)</f>
        <v>3788.86</v>
      </c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CN143" s="132" t="s">
        <v>1</v>
      </c>
      <c r="CO143" s="133" t="s">
        <v>40</v>
      </c>
      <c r="CQ143" s="134">
        <f>CP143*H143</f>
        <v>0</v>
      </c>
      <c r="CR143" s="134">
        <v>0</v>
      </c>
      <c r="CS143" s="134">
        <f>CR143*H143</f>
        <v>0</v>
      </c>
      <c r="CT143" s="134">
        <v>0</v>
      </c>
      <c r="CU143" s="135">
        <f>CT143*H143</f>
        <v>0</v>
      </c>
      <c r="DS143" s="136" t="s">
        <v>95</v>
      </c>
      <c r="DU143" s="136" t="s">
        <v>284</v>
      </c>
      <c r="DV143" s="136" t="s">
        <v>83</v>
      </c>
      <c r="DZ143" s="16" t="s">
        <v>282</v>
      </c>
      <c r="EF143" s="137">
        <f>IF(CO143="základní",J143,0)</f>
        <v>3788.86</v>
      </c>
      <c r="EG143" s="137">
        <f>IF(CO143="snížená",J143,0)</f>
        <v>0</v>
      </c>
      <c r="EH143" s="137">
        <f>IF(CO143="zákl. přenesená",J143,0)</f>
        <v>0</v>
      </c>
      <c r="EI143" s="137">
        <f>IF(CO143="sníž. přenesená",J143,0)</f>
        <v>0</v>
      </c>
      <c r="EJ143" s="137">
        <f>IF(CO143="nulová",J143,0)</f>
        <v>0</v>
      </c>
      <c r="EK143" s="16" t="s">
        <v>81</v>
      </c>
      <c r="EL143" s="137">
        <f>ROUND(I143*H143,2)</f>
        <v>3788.86</v>
      </c>
      <c r="EM143" s="16" t="s">
        <v>95</v>
      </c>
      <c r="EN143" s="136" t="s">
        <v>316</v>
      </c>
    </row>
    <row r="144" spans="2:144" s="1" customFormat="1" ht="19.5" x14ac:dyDescent="0.2">
      <c r="B144" s="31"/>
      <c r="D144" s="138" t="s">
        <v>289</v>
      </c>
      <c r="F144" s="139" t="s">
        <v>314</v>
      </c>
      <c r="I144" s="140"/>
      <c r="L144" s="31"/>
      <c r="N144" s="213"/>
      <c r="O144" s="214"/>
      <c r="Q144" s="229"/>
      <c r="CN144" s="141"/>
      <c r="CU144" s="50"/>
      <c r="DU144" s="16" t="s">
        <v>289</v>
      </c>
      <c r="DV144" s="16" t="s">
        <v>83</v>
      </c>
    </row>
    <row r="145" spans="2:144" s="1" customFormat="1" ht="19.5" x14ac:dyDescent="0.2">
      <c r="B145" s="31"/>
      <c r="D145" s="138" t="s">
        <v>299</v>
      </c>
      <c r="F145" s="142" t="s">
        <v>317</v>
      </c>
      <c r="I145" s="140"/>
      <c r="L145" s="31"/>
      <c r="N145" s="213"/>
      <c r="O145" s="214"/>
      <c r="Q145" s="229"/>
      <c r="CN145" s="141"/>
      <c r="CU145" s="50"/>
      <c r="DU145" s="16" t="s">
        <v>299</v>
      </c>
      <c r="DV145" s="16" t="s">
        <v>83</v>
      </c>
    </row>
    <row r="146" spans="2:144" s="12" customFormat="1" x14ac:dyDescent="0.2">
      <c r="B146" s="149"/>
      <c r="D146" s="138" t="s">
        <v>301</v>
      </c>
      <c r="E146" s="150" t="s">
        <v>1</v>
      </c>
      <c r="F146" s="151" t="s">
        <v>81</v>
      </c>
      <c r="H146" s="152">
        <v>1</v>
      </c>
      <c r="I146" s="153"/>
      <c r="L146" s="149"/>
      <c r="N146" s="217"/>
      <c r="O146" s="218"/>
      <c r="Q146" s="231"/>
      <c r="CN146" s="154"/>
      <c r="CU146" s="155"/>
      <c r="DU146" s="150" t="s">
        <v>301</v>
      </c>
      <c r="DV146" s="150" t="s">
        <v>83</v>
      </c>
      <c r="DW146" s="12" t="s">
        <v>83</v>
      </c>
      <c r="DX146" s="12" t="s">
        <v>32</v>
      </c>
      <c r="DY146" s="12" t="s">
        <v>81</v>
      </c>
      <c r="DZ146" s="150" t="s">
        <v>282</v>
      </c>
    </row>
    <row r="147" spans="2:144" s="1" customFormat="1" ht="24.2" customHeight="1" x14ac:dyDescent="0.2">
      <c r="B147" s="124"/>
      <c r="C147" s="125" t="s">
        <v>318</v>
      </c>
      <c r="D147" s="125" t="s">
        <v>284</v>
      </c>
      <c r="E147" s="126" t="s">
        <v>324</v>
      </c>
      <c r="F147" s="127" t="s">
        <v>325</v>
      </c>
      <c r="G147" s="128" t="s">
        <v>315</v>
      </c>
      <c r="H147" s="129">
        <v>2</v>
      </c>
      <c r="I147" s="130">
        <v>1847.0706150000001</v>
      </c>
      <c r="J147" s="131">
        <f>ROUND(I147*H147,2)</f>
        <v>3694.14</v>
      </c>
      <c r="K147" s="127" t="s">
        <v>1</v>
      </c>
      <c r="L147" s="268">
        <f>S147</f>
        <v>0</v>
      </c>
      <c r="M147" s="272">
        <f>ROUND(L147*I147,2)</f>
        <v>0</v>
      </c>
      <c r="N147" s="243"/>
      <c r="O147" s="294">
        <f>ROUND(N147*I147,2)</f>
        <v>0</v>
      </c>
      <c r="P147" s="273">
        <f>H147-L147-N147</f>
        <v>2</v>
      </c>
      <c r="Q147" s="287">
        <f>ROUND(P147*I147,2)</f>
        <v>3694.14</v>
      </c>
      <c r="R147" s="137"/>
      <c r="S147" s="269">
        <f>W147+Y147+AA147+AC147+AE147+AG147+AI147+AK147</f>
        <v>0</v>
      </c>
      <c r="T147" s="269">
        <f>ROUND(S147*I147,2)</f>
        <v>0</v>
      </c>
      <c r="U147" s="269">
        <f>H147-S147</f>
        <v>2</v>
      </c>
      <c r="V147" s="269">
        <f>ROUND(U147*I147,2)</f>
        <v>3694.14</v>
      </c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CN147" s="132" t="s">
        <v>1</v>
      </c>
      <c r="CO147" s="133" t="s">
        <v>40</v>
      </c>
      <c r="CQ147" s="134">
        <f>CP147*H147</f>
        <v>0</v>
      </c>
      <c r="CR147" s="134">
        <v>0</v>
      </c>
      <c r="CS147" s="134">
        <f>CR147*H147</f>
        <v>0</v>
      </c>
      <c r="CT147" s="134">
        <v>0</v>
      </c>
      <c r="CU147" s="135">
        <f>CT147*H147</f>
        <v>0</v>
      </c>
      <c r="DS147" s="136" t="s">
        <v>95</v>
      </c>
      <c r="DU147" s="136" t="s">
        <v>284</v>
      </c>
      <c r="DV147" s="136" t="s">
        <v>83</v>
      </c>
      <c r="DZ147" s="16" t="s">
        <v>282</v>
      </c>
      <c r="EF147" s="137">
        <f>IF(CO147="základní",J147,0)</f>
        <v>3694.14</v>
      </c>
      <c r="EG147" s="137">
        <f>IF(CO147="snížená",J147,0)</f>
        <v>0</v>
      </c>
      <c r="EH147" s="137">
        <f>IF(CO147="zákl. přenesená",J147,0)</f>
        <v>0</v>
      </c>
      <c r="EI147" s="137">
        <f>IF(CO147="sníž. přenesená",J147,0)</f>
        <v>0</v>
      </c>
      <c r="EJ147" s="137">
        <f>IF(CO147="nulová",J147,0)</f>
        <v>0</v>
      </c>
      <c r="EK147" s="16" t="s">
        <v>81</v>
      </c>
      <c r="EL147" s="137">
        <f>ROUND(I147*H147,2)</f>
        <v>3694.14</v>
      </c>
      <c r="EM147" s="16" t="s">
        <v>95</v>
      </c>
      <c r="EN147" s="136" t="s">
        <v>326</v>
      </c>
    </row>
    <row r="148" spans="2:144" s="1" customFormat="1" ht="19.5" x14ac:dyDescent="0.2">
      <c r="B148" s="31"/>
      <c r="D148" s="138" t="s">
        <v>289</v>
      </c>
      <c r="F148" s="139" t="s">
        <v>325</v>
      </c>
      <c r="I148" s="140"/>
      <c r="L148" s="31"/>
      <c r="N148" s="213"/>
      <c r="O148" s="214"/>
      <c r="Q148" s="229"/>
      <c r="CN148" s="141"/>
      <c r="CU148" s="50"/>
      <c r="DU148" s="16" t="s">
        <v>289</v>
      </c>
      <c r="DV148" s="16" t="s">
        <v>83</v>
      </c>
    </row>
    <row r="149" spans="2:144" s="1" customFormat="1" ht="19.5" x14ac:dyDescent="0.2">
      <c r="B149" s="31"/>
      <c r="D149" s="138" t="s">
        <v>299</v>
      </c>
      <c r="F149" s="142" t="s">
        <v>317</v>
      </c>
      <c r="I149" s="140"/>
      <c r="L149" s="31"/>
      <c r="N149" s="213"/>
      <c r="O149" s="214"/>
      <c r="Q149" s="229"/>
      <c r="CN149" s="141"/>
      <c r="CU149" s="50"/>
      <c r="DU149" s="16" t="s">
        <v>299</v>
      </c>
      <c r="DV149" s="16" t="s">
        <v>83</v>
      </c>
    </row>
    <row r="150" spans="2:144" s="12" customFormat="1" x14ac:dyDescent="0.2">
      <c r="B150" s="149"/>
      <c r="D150" s="138" t="s">
        <v>301</v>
      </c>
      <c r="E150" s="150" t="s">
        <v>1</v>
      </c>
      <c r="F150" s="151" t="s">
        <v>83</v>
      </c>
      <c r="H150" s="152">
        <v>2</v>
      </c>
      <c r="I150" s="153"/>
      <c r="L150" s="149"/>
      <c r="N150" s="217"/>
      <c r="O150" s="218"/>
      <c r="Q150" s="231"/>
      <c r="CN150" s="154"/>
      <c r="CU150" s="155"/>
      <c r="DU150" s="150" t="s">
        <v>301</v>
      </c>
      <c r="DV150" s="150" t="s">
        <v>83</v>
      </c>
      <c r="DW150" s="12" t="s">
        <v>83</v>
      </c>
      <c r="DX150" s="12" t="s">
        <v>32</v>
      </c>
      <c r="DY150" s="12" t="s">
        <v>81</v>
      </c>
      <c r="DZ150" s="150" t="s">
        <v>282</v>
      </c>
    </row>
    <row r="151" spans="2:144" s="1" customFormat="1" ht="24.2" customHeight="1" x14ac:dyDescent="0.2">
      <c r="B151" s="124"/>
      <c r="C151" s="125" t="s">
        <v>323</v>
      </c>
      <c r="D151" s="125" t="s">
        <v>284</v>
      </c>
      <c r="E151" s="126" t="s">
        <v>329</v>
      </c>
      <c r="F151" s="127" t="s">
        <v>330</v>
      </c>
      <c r="G151" s="128" t="s">
        <v>331</v>
      </c>
      <c r="H151" s="129">
        <v>240</v>
      </c>
      <c r="I151" s="130">
        <v>70.957591385341729</v>
      </c>
      <c r="J151" s="131">
        <f>ROUND(I151*H151,2)</f>
        <v>17029.82</v>
      </c>
      <c r="K151" s="127" t="s">
        <v>293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240</v>
      </c>
      <c r="Q151" s="287">
        <f>ROUND(P151*I151,2)</f>
        <v>17029.82</v>
      </c>
      <c r="R151" s="137"/>
      <c r="S151" s="269">
        <f>W151+Y151+AA151+AC151+AE151+AG151+AI151+AK151</f>
        <v>0</v>
      </c>
      <c r="T151" s="269">
        <f>ROUND(S151*I151,2)</f>
        <v>0</v>
      </c>
      <c r="U151" s="269">
        <f>H151-S151</f>
        <v>240</v>
      </c>
      <c r="V151" s="269">
        <f>ROUND(U151*I151,2)</f>
        <v>17029.82</v>
      </c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CN151" s="132" t="s">
        <v>1</v>
      </c>
      <c r="CO151" s="133" t="s">
        <v>40</v>
      </c>
      <c r="CQ151" s="134">
        <f>CP151*H151</f>
        <v>0</v>
      </c>
      <c r="CR151" s="134">
        <v>3.0000000000000001E-5</v>
      </c>
      <c r="CS151" s="134">
        <f>CR151*H151</f>
        <v>7.1999999999999998E-3</v>
      </c>
      <c r="CT151" s="134">
        <v>0</v>
      </c>
      <c r="CU151" s="135">
        <f>CT151*H151</f>
        <v>0</v>
      </c>
      <c r="DS151" s="136" t="s">
        <v>95</v>
      </c>
      <c r="DU151" s="136" t="s">
        <v>284</v>
      </c>
      <c r="DV151" s="136" t="s">
        <v>83</v>
      </c>
      <c r="DZ151" s="16" t="s">
        <v>282</v>
      </c>
      <c r="EF151" s="137">
        <f>IF(CO151="základní",J151,0)</f>
        <v>17029.82</v>
      </c>
      <c r="EG151" s="137">
        <f>IF(CO151="snížená",J151,0)</f>
        <v>0</v>
      </c>
      <c r="EH151" s="137">
        <f>IF(CO151="zákl. přenesená",J151,0)</f>
        <v>0</v>
      </c>
      <c r="EI151" s="137">
        <f>IF(CO151="sníž. přenesená",J151,0)</f>
        <v>0</v>
      </c>
      <c r="EJ151" s="137">
        <f>IF(CO151="nulová",J151,0)</f>
        <v>0</v>
      </c>
      <c r="EK151" s="16" t="s">
        <v>81</v>
      </c>
      <c r="EL151" s="137">
        <f>ROUND(I151*H151,2)</f>
        <v>17029.82</v>
      </c>
      <c r="EM151" s="16" t="s">
        <v>95</v>
      </c>
      <c r="EN151" s="136" t="s">
        <v>332</v>
      </c>
    </row>
    <row r="152" spans="2:144" s="1" customFormat="1" ht="19.5" x14ac:dyDescent="0.2">
      <c r="B152" s="31"/>
      <c r="D152" s="138" t="s">
        <v>289</v>
      </c>
      <c r="F152" s="139" t="s">
        <v>333</v>
      </c>
      <c r="I152" s="140"/>
      <c r="L152" s="31"/>
      <c r="N152" s="213"/>
      <c r="O152" s="214"/>
      <c r="Q152" s="229"/>
      <c r="CN152" s="141"/>
      <c r="CU152" s="50"/>
      <c r="DU152" s="16" t="s">
        <v>289</v>
      </c>
      <c r="DV152" s="16" t="s">
        <v>83</v>
      </c>
    </row>
    <row r="153" spans="2:144" s="12" customFormat="1" x14ac:dyDescent="0.2">
      <c r="B153" s="149"/>
      <c r="D153" s="138" t="s">
        <v>301</v>
      </c>
      <c r="E153" s="150" t="s">
        <v>1</v>
      </c>
      <c r="F153" s="151" t="s">
        <v>738</v>
      </c>
      <c r="H153" s="152">
        <v>240</v>
      </c>
      <c r="I153" s="153"/>
      <c r="L153" s="149"/>
      <c r="N153" s="217"/>
      <c r="O153" s="218"/>
      <c r="Q153" s="231"/>
      <c r="CN153" s="154"/>
      <c r="CU153" s="155"/>
      <c r="DU153" s="150" t="s">
        <v>301</v>
      </c>
      <c r="DV153" s="150" t="s">
        <v>83</v>
      </c>
      <c r="DW153" s="12" t="s">
        <v>83</v>
      </c>
      <c r="DX153" s="12" t="s">
        <v>32</v>
      </c>
      <c r="DY153" s="12" t="s">
        <v>81</v>
      </c>
      <c r="DZ153" s="150" t="s">
        <v>282</v>
      </c>
    </row>
    <row r="154" spans="2:144" s="1" customFormat="1" ht="24.2" customHeight="1" x14ac:dyDescent="0.2">
      <c r="B154" s="124"/>
      <c r="C154" s="125" t="s">
        <v>328</v>
      </c>
      <c r="D154" s="125" t="s">
        <v>284</v>
      </c>
      <c r="E154" s="126" t="s">
        <v>336</v>
      </c>
      <c r="F154" s="127" t="s">
        <v>337</v>
      </c>
      <c r="G154" s="128" t="s">
        <v>338</v>
      </c>
      <c r="H154" s="129">
        <v>30</v>
      </c>
      <c r="I154" s="130">
        <v>41.621835247115101</v>
      </c>
      <c r="J154" s="131">
        <f>ROUND(I154*H154,2)</f>
        <v>1248.6600000000001</v>
      </c>
      <c r="K154" s="127" t="s">
        <v>293</v>
      </c>
      <c r="L154" s="268">
        <f>S154</f>
        <v>0</v>
      </c>
      <c r="M154" s="272">
        <f>ROUND(L154*I154,2)</f>
        <v>0</v>
      </c>
      <c r="N154" s="243"/>
      <c r="O154" s="294">
        <f>ROUND(N154*I154,2)</f>
        <v>0</v>
      </c>
      <c r="P154" s="273">
        <f>H154-L154-N154</f>
        <v>30</v>
      </c>
      <c r="Q154" s="287">
        <f>ROUND(P154*I154,2)</f>
        <v>1248.6600000000001</v>
      </c>
      <c r="R154" s="137"/>
      <c r="S154" s="269">
        <f>W154+Y154+AA154+AC154+AE154+AG154+AI154+AK154</f>
        <v>0</v>
      </c>
      <c r="T154" s="269">
        <f>ROUND(S154*I154,2)</f>
        <v>0</v>
      </c>
      <c r="U154" s="269">
        <f>H154-S154</f>
        <v>30</v>
      </c>
      <c r="V154" s="269">
        <f>ROUND(U154*I154,2)</f>
        <v>1248.6600000000001</v>
      </c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CN154" s="132" t="s">
        <v>1</v>
      </c>
      <c r="CO154" s="133" t="s">
        <v>40</v>
      </c>
      <c r="CQ154" s="134">
        <f>CP154*H154</f>
        <v>0</v>
      </c>
      <c r="CR154" s="134">
        <v>0</v>
      </c>
      <c r="CS154" s="134">
        <f>CR154*H154</f>
        <v>0</v>
      </c>
      <c r="CT154" s="134">
        <v>0</v>
      </c>
      <c r="CU154" s="135">
        <f>CT154*H154</f>
        <v>0</v>
      </c>
      <c r="DS154" s="136" t="s">
        <v>95</v>
      </c>
      <c r="DU154" s="136" t="s">
        <v>284</v>
      </c>
      <c r="DV154" s="136" t="s">
        <v>83</v>
      </c>
      <c r="DZ154" s="16" t="s">
        <v>282</v>
      </c>
      <c r="EF154" s="137">
        <f>IF(CO154="základní",J154,0)</f>
        <v>1248.6600000000001</v>
      </c>
      <c r="EG154" s="137">
        <f>IF(CO154="snížená",J154,0)</f>
        <v>0</v>
      </c>
      <c r="EH154" s="137">
        <f>IF(CO154="zákl. přenesená",J154,0)</f>
        <v>0</v>
      </c>
      <c r="EI154" s="137">
        <f>IF(CO154="sníž. přenesená",J154,0)</f>
        <v>0</v>
      </c>
      <c r="EJ154" s="137">
        <f>IF(CO154="nulová",J154,0)</f>
        <v>0</v>
      </c>
      <c r="EK154" s="16" t="s">
        <v>81</v>
      </c>
      <c r="EL154" s="137">
        <f>ROUND(I154*H154,2)</f>
        <v>1248.6600000000001</v>
      </c>
      <c r="EM154" s="16" t="s">
        <v>95</v>
      </c>
      <c r="EN154" s="136" t="s">
        <v>339</v>
      </c>
    </row>
    <row r="155" spans="2:144" s="1" customFormat="1" ht="19.5" x14ac:dyDescent="0.2">
      <c r="B155" s="31"/>
      <c r="D155" s="138" t="s">
        <v>289</v>
      </c>
      <c r="F155" s="139" t="s">
        <v>340</v>
      </c>
      <c r="I155" s="140"/>
      <c r="L155" s="31"/>
      <c r="N155" s="213"/>
      <c r="O155" s="214"/>
      <c r="Q155" s="229"/>
      <c r="CN155" s="141"/>
      <c r="CU155" s="50"/>
      <c r="DU155" s="16" t="s">
        <v>289</v>
      </c>
      <c r="DV155" s="16" t="s">
        <v>83</v>
      </c>
    </row>
    <row r="156" spans="2:144" s="1" customFormat="1" ht="14.45" customHeight="1" x14ac:dyDescent="0.2">
      <c r="B156" s="124"/>
      <c r="C156" s="125" t="s">
        <v>335</v>
      </c>
      <c r="D156" s="125" t="s">
        <v>284</v>
      </c>
      <c r="E156" s="126" t="s">
        <v>342</v>
      </c>
      <c r="F156" s="127" t="s">
        <v>343</v>
      </c>
      <c r="G156" s="128" t="s">
        <v>344</v>
      </c>
      <c r="H156" s="129">
        <v>3.15</v>
      </c>
      <c r="I156" s="130">
        <v>235.02024596209694</v>
      </c>
      <c r="J156" s="131">
        <f>ROUND(I156*H156,2)</f>
        <v>740.31</v>
      </c>
      <c r="K156" s="127" t="s">
        <v>293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3.15</v>
      </c>
      <c r="Q156" s="287">
        <f>ROUND(P156*I156,2)</f>
        <v>740.31</v>
      </c>
      <c r="R156" s="137"/>
      <c r="S156" s="269">
        <f>W156+Y156+AA156+AC156+AE156+AG156+AI156+AK156</f>
        <v>0</v>
      </c>
      <c r="T156" s="269">
        <f>ROUND(S156*I156,2)</f>
        <v>0</v>
      </c>
      <c r="U156" s="269">
        <f>H156-S156</f>
        <v>3.15</v>
      </c>
      <c r="V156" s="269">
        <f>ROUND(U156*I156,2)</f>
        <v>740.31</v>
      </c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CN156" s="132" t="s">
        <v>1</v>
      </c>
      <c r="CO156" s="133" t="s">
        <v>40</v>
      </c>
      <c r="CQ156" s="134">
        <f>CP156*H156</f>
        <v>0</v>
      </c>
      <c r="CR156" s="134">
        <v>3.6900000000000002E-2</v>
      </c>
      <c r="CS156" s="134">
        <f>CR156*H156</f>
        <v>0.116235</v>
      </c>
      <c r="CT156" s="134">
        <v>0</v>
      </c>
      <c r="CU156" s="135">
        <f>CT156*H156</f>
        <v>0</v>
      </c>
      <c r="DS156" s="136" t="s">
        <v>95</v>
      </c>
      <c r="DU156" s="136" t="s">
        <v>284</v>
      </c>
      <c r="DV156" s="136" t="s">
        <v>83</v>
      </c>
      <c r="DZ156" s="16" t="s">
        <v>282</v>
      </c>
      <c r="EF156" s="137">
        <f>IF(CO156="základní",J156,0)</f>
        <v>740.31</v>
      </c>
      <c r="EG156" s="137">
        <f>IF(CO156="snížená",J156,0)</f>
        <v>0</v>
      </c>
      <c r="EH156" s="137">
        <f>IF(CO156="zákl. přenesená",J156,0)</f>
        <v>0</v>
      </c>
      <c r="EI156" s="137">
        <f>IF(CO156="sníž. přenesená",J156,0)</f>
        <v>0</v>
      </c>
      <c r="EJ156" s="137">
        <f>IF(CO156="nulová",J156,0)</f>
        <v>0</v>
      </c>
      <c r="EK156" s="16" t="s">
        <v>81</v>
      </c>
      <c r="EL156" s="137">
        <f>ROUND(I156*H156,2)</f>
        <v>740.31</v>
      </c>
      <c r="EM156" s="16" t="s">
        <v>95</v>
      </c>
      <c r="EN156" s="136" t="s">
        <v>345</v>
      </c>
    </row>
    <row r="157" spans="2:144" s="1" customFormat="1" ht="58.5" x14ac:dyDescent="0.2">
      <c r="B157" s="31"/>
      <c r="D157" s="138" t="s">
        <v>289</v>
      </c>
      <c r="F157" s="139" t="s">
        <v>346</v>
      </c>
      <c r="I157" s="140"/>
      <c r="L157" s="31"/>
      <c r="N157" s="213"/>
      <c r="O157" s="214"/>
      <c r="Q157" s="229"/>
      <c r="CN157" s="141"/>
      <c r="CU157" s="50"/>
      <c r="DU157" s="16" t="s">
        <v>289</v>
      </c>
      <c r="DV157" s="16" t="s">
        <v>83</v>
      </c>
    </row>
    <row r="158" spans="2:144" s="1" customFormat="1" ht="29.25" x14ac:dyDescent="0.2">
      <c r="B158" s="31"/>
      <c r="D158" s="138" t="s">
        <v>299</v>
      </c>
      <c r="F158" s="142" t="s">
        <v>1047</v>
      </c>
      <c r="I158" s="140"/>
      <c r="L158" s="31"/>
      <c r="N158" s="213"/>
      <c r="O158" s="214"/>
      <c r="Q158" s="229"/>
      <c r="CN158" s="141"/>
      <c r="CU158" s="50"/>
      <c r="DU158" s="16" t="s">
        <v>299</v>
      </c>
      <c r="DV158" s="16" t="s">
        <v>83</v>
      </c>
    </row>
    <row r="159" spans="2:144" s="12" customFormat="1" x14ac:dyDescent="0.2">
      <c r="B159" s="149"/>
      <c r="D159" s="138" t="s">
        <v>301</v>
      </c>
      <c r="E159" s="150" t="s">
        <v>1</v>
      </c>
      <c r="F159" s="151" t="s">
        <v>739</v>
      </c>
      <c r="H159" s="152">
        <v>3.15</v>
      </c>
      <c r="I159" s="153"/>
      <c r="L159" s="149"/>
      <c r="N159" s="217"/>
      <c r="O159" s="218"/>
      <c r="Q159" s="231"/>
      <c r="CN159" s="154"/>
      <c r="CU159" s="155"/>
      <c r="DU159" s="150" t="s">
        <v>301</v>
      </c>
      <c r="DV159" s="150" t="s">
        <v>83</v>
      </c>
      <c r="DW159" s="12" t="s">
        <v>83</v>
      </c>
      <c r="DX159" s="12" t="s">
        <v>32</v>
      </c>
      <c r="DY159" s="12" t="s">
        <v>81</v>
      </c>
      <c r="DZ159" s="150" t="s">
        <v>282</v>
      </c>
    </row>
    <row r="160" spans="2:144" s="1" customFormat="1" ht="24.2" customHeight="1" x14ac:dyDescent="0.2">
      <c r="B160" s="124"/>
      <c r="C160" s="125" t="s">
        <v>341</v>
      </c>
      <c r="D160" s="125" t="s">
        <v>284</v>
      </c>
      <c r="E160" s="126" t="s">
        <v>349</v>
      </c>
      <c r="F160" s="127" t="s">
        <v>350</v>
      </c>
      <c r="G160" s="128" t="s">
        <v>344</v>
      </c>
      <c r="H160" s="129">
        <v>1.05</v>
      </c>
      <c r="I160" s="130">
        <v>225.71950862012659</v>
      </c>
      <c r="J160" s="131">
        <f>ROUND(I160*H160,2)</f>
        <v>237.01</v>
      </c>
      <c r="K160" s="127" t="s">
        <v>293</v>
      </c>
      <c r="L160" s="268">
        <f>S160</f>
        <v>0</v>
      </c>
      <c r="M160" s="272">
        <f>ROUND(L160*I160,2)</f>
        <v>0</v>
      </c>
      <c r="N160" s="243"/>
      <c r="O160" s="294">
        <f>ROUND(N160*I160,2)</f>
        <v>0</v>
      </c>
      <c r="P160" s="273">
        <f>H160-L160-N160</f>
        <v>1.05</v>
      </c>
      <c r="Q160" s="287">
        <f>ROUND(P160*I160,2)</f>
        <v>237.01</v>
      </c>
      <c r="R160" s="137"/>
      <c r="S160" s="269">
        <f>W160+Y160+AA160+AC160+AE160+AG160+AI160+AK160</f>
        <v>0</v>
      </c>
      <c r="T160" s="269">
        <f>ROUND(S160*I160,2)</f>
        <v>0</v>
      </c>
      <c r="U160" s="269">
        <f>H160-S160</f>
        <v>1.05</v>
      </c>
      <c r="V160" s="269">
        <f>ROUND(U160*I160,2)</f>
        <v>237.01</v>
      </c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CN160" s="132" t="s">
        <v>1</v>
      </c>
      <c r="CO160" s="133" t="s">
        <v>40</v>
      </c>
      <c r="CQ160" s="134">
        <f>CP160*H160</f>
        <v>0</v>
      </c>
      <c r="CR160" s="134">
        <v>3.6900000000000002E-2</v>
      </c>
      <c r="CS160" s="134">
        <f>CR160*H160</f>
        <v>3.8745000000000002E-2</v>
      </c>
      <c r="CT160" s="134">
        <v>0</v>
      </c>
      <c r="CU160" s="135">
        <f>CT160*H160</f>
        <v>0</v>
      </c>
      <c r="DS160" s="136" t="s">
        <v>95</v>
      </c>
      <c r="DU160" s="136" t="s">
        <v>284</v>
      </c>
      <c r="DV160" s="136" t="s">
        <v>83</v>
      </c>
      <c r="DZ160" s="16" t="s">
        <v>282</v>
      </c>
      <c r="EF160" s="137">
        <f>IF(CO160="základní",J160,0)</f>
        <v>237.01</v>
      </c>
      <c r="EG160" s="137">
        <f>IF(CO160="snížená",J160,0)</f>
        <v>0</v>
      </c>
      <c r="EH160" s="137">
        <f>IF(CO160="zákl. přenesená",J160,0)</f>
        <v>0</v>
      </c>
      <c r="EI160" s="137">
        <f>IF(CO160="sníž. přenesená",J160,0)</f>
        <v>0</v>
      </c>
      <c r="EJ160" s="137">
        <f>IF(CO160="nulová",J160,0)</f>
        <v>0</v>
      </c>
      <c r="EK160" s="16" t="s">
        <v>81</v>
      </c>
      <c r="EL160" s="137">
        <f>ROUND(I160*H160,2)</f>
        <v>237.01</v>
      </c>
      <c r="EM160" s="16" t="s">
        <v>95</v>
      </c>
      <c r="EN160" s="136" t="s">
        <v>351</v>
      </c>
    </row>
    <row r="161" spans="2:144" s="1" customFormat="1" ht="58.5" x14ac:dyDescent="0.2">
      <c r="B161" s="31"/>
      <c r="D161" s="138" t="s">
        <v>289</v>
      </c>
      <c r="F161" s="139" t="s">
        <v>352</v>
      </c>
      <c r="I161" s="140"/>
      <c r="L161" s="31"/>
      <c r="N161" s="213"/>
      <c r="O161" s="214"/>
      <c r="Q161" s="229"/>
      <c r="CN161" s="141"/>
      <c r="CU161" s="50"/>
      <c r="DU161" s="16" t="s">
        <v>289</v>
      </c>
      <c r="DV161" s="16" t="s">
        <v>83</v>
      </c>
    </row>
    <row r="162" spans="2:144" s="1" customFormat="1" ht="29.25" x14ac:dyDescent="0.2">
      <c r="B162" s="31"/>
      <c r="D162" s="138" t="s">
        <v>299</v>
      </c>
      <c r="F162" s="142" t="s">
        <v>1047</v>
      </c>
      <c r="I162" s="140"/>
      <c r="L162" s="31"/>
      <c r="N162" s="213"/>
      <c r="O162" s="214"/>
      <c r="Q162" s="229"/>
      <c r="CN162" s="141"/>
      <c r="CU162" s="50"/>
      <c r="DU162" s="16" t="s">
        <v>299</v>
      </c>
      <c r="DV162" s="16" t="s">
        <v>83</v>
      </c>
    </row>
    <row r="163" spans="2:144" s="12" customFormat="1" x14ac:dyDescent="0.2">
      <c r="B163" s="149"/>
      <c r="D163" s="138" t="s">
        <v>301</v>
      </c>
      <c r="E163" s="150" t="s">
        <v>1</v>
      </c>
      <c r="F163" s="151" t="s">
        <v>849</v>
      </c>
      <c r="H163" s="152">
        <v>1.05</v>
      </c>
      <c r="I163" s="153"/>
      <c r="L163" s="149"/>
      <c r="N163" s="217"/>
      <c r="O163" s="218"/>
      <c r="Q163" s="231"/>
      <c r="CN163" s="154"/>
      <c r="CU163" s="155"/>
      <c r="DU163" s="150" t="s">
        <v>301</v>
      </c>
      <c r="DV163" s="150" t="s">
        <v>83</v>
      </c>
      <c r="DW163" s="12" t="s">
        <v>83</v>
      </c>
      <c r="DX163" s="12" t="s">
        <v>32</v>
      </c>
      <c r="DY163" s="12" t="s">
        <v>81</v>
      </c>
      <c r="DZ163" s="150" t="s">
        <v>282</v>
      </c>
    </row>
    <row r="164" spans="2:144" s="1" customFormat="1" ht="24.2" customHeight="1" x14ac:dyDescent="0.2">
      <c r="B164" s="124"/>
      <c r="C164" s="125" t="s">
        <v>348</v>
      </c>
      <c r="D164" s="125" t="s">
        <v>284</v>
      </c>
      <c r="E164" s="126" t="s">
        <v>364</v>
      </c>
      <c r="F164" s="127" t="s">
        <v>365</v>
      </c>
      <c r="G164" s="128" t="s">
        <v>366</v>
      </c>
      <c r="H164" s="129">
        <v>93.173000000000002</v>
      </c>
      <c r="I164" s="130">
        <v>285.201942457955</v>
      </c>
      <c r="J164" s="131">
        <f>ROUND(I164*H164,2)</f>
        <v>26573.119999999999</v>
      </c>
      <c r="K164" s="127" t="s">
        <v>293</v>
      </c>
      <c r="L164" s="268">
        <f>S164</f>
        <v>0</v>
      </c>
      <c r="M164" s="272">
        <f>ROUND(L164*I164,2)</f>
        <v>0</v>
      </c>
      <c r="N164" s="243">
        <f>N172</f>
        <v>-16.434850000000012</v>
      </c>
      <c r="O164" s="294">
        <f>ROUND(N164*I164,2)</f>
        <v>-4687.25</v>
      </c>
      <c r="P164" s="273">
        <f>H164-L164-N164</f>
        <v>109.60785000000001</v>
      </c>
      <c r="Q164" s="287">
        <f>ROUND(P164*I164,2)</f>
        <v>31260.37</v>
      </c>
      <c r="R164" s="137"/>
      <c r="S164" s="269">
        <f>W164+Y164+AA164+AC164+AE164+AG164+AI164+AK164</f>
        <v>0</v>
      </c>
      <c r="T164" s="269">
        <f>ROUND(S164*I164,2)</f>
        <v>0</v>
      </c>
      <c r="U164" s="269">
        <f>H164-S164</f>
        <v>93.173000000000002</v>
      </c>
      <c r="V164" s="269">
        <f>ROUND(U164*I164,2)</f>
        <v>26573.119999999999</v>
      </c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CN164" s="132" t="s">
        <v>1</v>
      </c>
      <c r="CO164" s="133" t="s">
        <v>40</v>
      </c>
      <c r="CQ164" s="134">
        <f>CP164*H164</f>
        <v>0</v>
      </c>
      <c r="CR164" s="134">
        <v>0</v>
      </c>
      <c r="CS164" s="134">
        <f>CR164*H164</f>
        <v>0</v>
      </c>
      <c r="CT164" s="134">
        <v>0</v>
      </c>
      <c r="CU164" s="135">
        <f>CT164*H164</f>
        <v>0</v>
      </c>
      <c r="DS164" s="136" t="s">
        <v>95</v>
      </c>
      <c r="DU164" s="136" t="s">
        <v>284</v>
      </c>
      <c r="DV164" s="136" t="s">
        <v>83</v>
      </c>
      <c r="DZ164" s="16" t="s">
        <v>282</v>
      </c>
      <c r="EF164" s="137">
        <f>IF(CO164="základní",J164,0)</f>
        <v>26573.119999999999</v>
      </c>
      <c r="EG164" s="137">
        <f>IF(CO164="snížená",J164,0)</f>
        <v>0</v>
      </c>
      <c r="EH164" s="137">
        <f>IF(CO164="zákl. přenesená",J164,0)</f>
        <v>0</v>
      </c>
      <c r="EI164" s="137">
        <f>IF(CO164="sníž. přenesená",J164,0)</f>
        <v>0</v>
      </c>
      <c r="EJ164" s="137">
        <f>IF(CO164="nulová",J164,0)</f>
        <v>0</v>
      </c>
      <c r="EK164" s="16" t="s">
        <v>81</v>
      </c>
      <c r="EL164" s="137">
        <f>ROUND(I164*H164,2)</f>
        <v>26573.119999999999</v>
      </c>
      <c r="EM164" s="16" t="s">
        <v>95</v>
      </c>
      <c r="EN164" s="136" t="s">
        <v>367</v>
      </c>
    </row>
    <row r="165" spans="2:144" s="1" customFormat="1" ht="39" x14ac:dyDescent="0.2">
      <c r="B165" s="31"/>
      <c r="D165" s="138" t="s">
        <v>289</v>
      </c>
      <c r="F165" s="139" t="s">
        <v>368</v>
      </c>
      <c r="I165" s="140"/>
      <c r="L165" s="31"/>
      <c r="N165" s="213"/>
      <c r="O165" s="214"/>
      <c r="Q165" s="229"/>
      <c r="CN165" s="141"/>
      <c r="CU165" s="50"/>
      <c r="DU165" s="16" t="s">
        <v>289</v>
      </c>
      <c r="DV165" s="16" t="s">
        <v>83</v>
      </c>
    </row>
    <row r="166" spans="2:144" s="1" customFormat="1" ht="39" x14ac:dyDescent="0.2">
      <c r="B166" s="31"/>
      <c r="D166" s="138" t="s">
        <v>299</v>
      </c>
      <c r="F166" s="142" t="s">
        <v>1051</v>
      </c>
      <c r="I166" s="140"/>
      <c r="L166" s="31"/>
      <c r="N166" s="213"/>
      <c r="O166" s="214"/>
      <c r="Q166" s="229"/>
      <c r="CN166" s="141"/>
      <c r="CU166" s="50"/>
      <c r="DU166" s="16" t="s">
        <v>299</v>
      </c>
      <c r="DV166" s="16" t="s">
        <v>83</v>
      </c>
    </row>
    <row r="167" spans="2:144" s="11" customFormat="1" ht="22.5" x14ac:dyDescent="0.2">
      <c r="B167" s="143"/>
      <c r="D167" s="138" t="s">
        <v>301</v>
      </c>
      <c r="E167" s="144" t="s">
        <v>1</v>
      </c>
      <c r="F167" s="145" t="s">
        <v>370</v>
      </c>
      <c r="H167" s="144" t="s">
        <v>1</v>
      </c>
      <c r="I167" s="146"/>
      <c r="L167" s="143"/>
      <c r="N167" s="215"/>
      <c r="O167" s="216"/>
      <c r="Q167" s="230"/>
      <c r="CN167" s="147"/>
      <c r="CU167" s="148"/>
      <c r="DU167" s="144" t="s">
        <v>301</v>
      </c>
      <c r="DV167" s="144" t="s">
        <v>83</v>
      </c>
      <c r="DW167" s="11" t="s">
        <v>81</v>
      </c>
      <c r="DX167" s="11" t="s">
        <v>32</v>
      </c>
      <c r="DY167" s="11" t="s">
        <v>74</v>
      </c>
      <c r="DZ167" s="144" t="s">
        <v>282</v>
      </c>
    </row>
    <row r="168" spans="2:144" s="12" customFormat="1" x14ac:dyDescent="0.2">
      <c r="B168" s="149"/>
      <c r="D168" s="138" t="s">
        <v>301</v>
      </c>
      <c r="E168" s="150" t="s">
        <v>1</v>
      </c>
      <c r="F168" s="151" t="s">
        <v>1052</v>
      </c>
      <c r="H168" s="152">
        <v>182.858</v>
      </c>
      <c r="I168" s="153"/>
      <c r="L168" s="149"/>
      <c r="N168" s="217">
        <f>66.44*1.05*(2.6-0.45)</f>
        <v>149.98829999999998</v>
      </c>
      <c r="O168" s="218" t="s">
        <v>3447</v>
      </c>
      <c r="Q168" s="231"/>
      <c r="CN168" s="154"/>
      <c r="CU168" s="155"/>
      <c r="DU168" s="150" t="s">
        <v>301</v>
      </c>
      <c r="DV168" s="150" t="s">
        <v>83</v>
      </c>
      <c r="DW168" s="12" t="s">
        <v>83</v>
      </c>
      <c r="DX168" s="12" t="s">
        <v>32</v>
      </c>
      <c r="DY168" s="12" t="s">
        <v>74</v>
      </c>
      <c r="DZ168" s="150" t="s">
        <v>282</v>
      </c>
    </row>
    <row r="169" spans="2:144" s="12" customFormat="1" ht="22.5" x14ac:dyDescent="0.2">
      <c r="B169" s="149"/>
      <c r="D169" s="138" t="s">
        <v>301</v>
      </c>
      <c r="E169" s="150" t="s">
        <v>1</v>
      </c>
      <c r="F169" s="151" t="s">
        <v>1053</v>
      </c>
      <c r="H169" s="152">
        <v>3.488</v>
      </c>
      <c r="I169" s="153"/>
      <c r="L169" s="149"/>
      <c r="N169" s="310">
        <f>H169</f>
        <v>3.488</v>
      </c>
      <c r="O169" s="218"/>
      <c r="Q169" s="231"/>
      <c r="CN169" s="154"/>
      <c r="CU169" s="155"/>
      <c r="DU169" s="150" t="s">
        <v>301</v>
      </c>
      <c r="DV169" s="150" t="s">
        <v>83</v>
      </c>
      <c r="DW169" s="12" t="s">
        <v>83</v>
      </c>
      <c r="DX169" s="12" t="s">
        <v>32</v>
      </c>
      <c r="DY169" s="12" t="s">
        <v>74</v>
      </c>
      <c r="DZ169" s="150" t="s">
        <v>282</v>
      </c>
    </row>
    <row r="170" spans="2:144" s="14" customFormat="1" x14ac:dyDescent="0.2">
      <c r="B170" s="163"/>
      <c r="D170" s="138" t="s">
        <v>301</v>
      </c>
      <c r="E170" s="164" t="s">
        <v>1</v>
      </c>
      <c r="F170" s="165" t="s">
        <v>373</v>
      </c>
      <c r="H170" s="166">
        <v>186.346</v>
      </c>
      <c r="I170" s="167"/>
      <c r="L170" s="163"/>
      <c r="N170" s="318">
        <f>N168+N169</f>
        <v>153.47629999999998</v>
      </c>
      <c r="O170" s="222"/>
      <c r="Q170" s="233"/>
      <c r="CN170" s="168"/>
      <c r="CU170" s="169"/>
      <c r="DU170" s="164" t="s">
        <v>301</v>
      </c>
      <c r="DV170" s="164" t="s">
        <v>83</v>
      </c>
      <c r="DW170" s="14" t="s">
        <v>90</v>
      </c>
      <c r="DX170" s="14" t="s">
        <v>32</v>
      </c>
      <c r="DY170" s="14" t="s">
        <v>74</v>
      </c>
      <c r="DZ170" s="164" t="s">
        <v>282</v>
      </c>
    </row>
    <row r="171" spans="2:144" s="12" customFormat="1" x14ac:dyDescent="0.2">
      <c r="B171" s="149"/>
      <c r="D171" s="138" t="s">
        <v>301</v>
      </c>
      <c r="E171" s="150" t="s">
        <v>1</v>
      </c>
      <c r="F171" s="151" t="s">
        <v>1054</v>
      </c>
      <c r="H171" s="152">
        <v>93.173000000000002</v>
      </c>
      <c r="I171" s="153"/>
      <c r="L171" s="149"/>
      <c r="N171" s="217">
        <f>N170*0.5</f>
        <v>76.73814999999999</v>
      </c>
      <c r="O171" s="218"/>
      <c r="Q171" s="231"/>
      <c r="CN171" s="154"/>
      <c r="CU171" s="155"/>
      <c r="DU171" s="150" t="s">
        <v>301</v>
      </c>
      <c r="DV171" s="150" t="s">
        <v>83</v>
      </c>
      <c r="DW171" s="12" t="s">
        <v>83</v>
      </c>
      <c r="DX171" s="12" t="s">
        <v>32</v>
      </c>
      <c r="DY171" s="12" t="s">
        <v>81</v>
      </c>
      <c r="DZ171" s="150" t="s">
        <v>282</v>
      </c>
    </row>
    <row r="172" spans="2:144" s="12" customFormat="1" x14ac:dyDescent="0.2">
      <c r="B172" s="149"/>
      <c r="D172" s="138"/>
      <c r="E172" s="150"/>
      <c r="F172" s="151"/>
      <c r="H172" s="152"/>
      <c r="I172" s="153"/>
      <c r="L172" s="149"/>
      <c r="N172" s="310">
        <f>N171-H171</f>
        <v>-16.434850000000012</v>
      </c>
      <c r="O172" s="218"/>
      <c r="Q172" s="231"/>
      <c r="CN172" s="154"/>
      <c r="CU172" s="155"/>
      <c r="DU172" s="150"/>
      <c r="DV172" s="150"/>
      <c r="DZ172" s="150"/>
    </row>
    <row r="173" spans="2:144" s="1" customFormat="1" ht="24.2" customHeight="1" x14ac:dyDescent="0.2">
      <c r="B173" s="124"/>
      <c r="C173" s="125" t="s">
        <v>327</v>
      </c>
      <c r="D173" s="125" t="s">
        <v>284</v>
      </c>
      <c r="E173" s="126" t="s">
        <v>375</v>
      </c>
      <c r="F173" s="127" t="s">
        <v>376</v>
      </c>
      <c r="G173" s="128" t="s">
        <v>366</v>
      </c>
      <c r="H173" s="129">
        <v>93.173000000000002</v>
      </c>
      <c r="I173" s="130">
        <v>390.55963566140201</v>
      </c>
      <c r="J173" s="131">
        <f>ROUND(I173*H173,2)</f>
        <v>36389.61</v>
      </c>
      <c r="K173" s="127" t="s">
        <v>293</v>
      </c>
      <c r="L173" s="268">
        <f>S173</f>
        <v>0</v>
      </c>
      <c r="M173" s="272">
        <f>ROUND(L173*I173,2)</f>
        <v>0</v>
      </c>
      <c r="N173" s="243">
        <f>N164</f>
        <v>-16.434850000000012</v>
      </c>
      <c r="O173" s="294">
        <f>ROUND(N173*I173,2)</f>
        <v>-6418.79</v>
      </c>
      <c r="P173" s="273">
        <f>H173-L173-N173</f>
        <v>109.60785000000001</v>
      </c>
      <c r="Q173" s="287">
        <f>ROUND(P173*I173,2)</f>
        <v>42808.4</v>
      </c>
      <c r="R173" s="137"/>
      <c r="S173" s="269">
        <f>W173+Y173+AA173+AC173+AE173+AG173+AI173+AK173</f>
        <v>0</v>
      </c>
      <c r="T173" s="269">
        <f>ROUND(S173*I173,2)</f>
        <v>0</v>
      </c>
      <c r="U173" s="269">
        <f>H173-S173</f>
        <v>93.173000000000002</v>
      </c>
      <c r="V173" s="269">
        <f>ROUND(U173*I173,2)</f>
        <v>36389.61</v>
      </c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CN173" s="132" t="s">
        <v>1</v>
      </c>
      <c r="CO173" s="133" t="s">
        <v>40</v>
      </c>
      <c r="CQ173" s="134">
        <f>CP173*H173</f>
        <v>0</v>
      </c>
      <c r="CR173" s="134">
        <v>0</v>
      </c>
      <c r="CS173" s="134">
        <f>CR173*H173</f>
        <v>0</v>
      </c>
      <c r="CT173" s="134">
        <v>0</v>
      </c>
      <c r="CU173" s="135">
        <f>CT173*H173</f>
        <v>0</v>
      </c>
      <c r="DS173" s="136" t="s">
        <v>95</v>
      </c>
      <c r="DU173" s="136" t="s">
        <v>284</v>
      </c>
      <c r="DV173" s="136" t="s">
        <v>83</v>
      </c>
      <c r="DZ173" s="16" t="s">
        <v>282</v>
      </c>
      <c r="EF173" s="137">
        <f>IF(CO173="základní",J173,0)</f>
        <v>36389.61</v>
      </c>
      <c r="EG173" s="137">
        <f>IF(CO173="snížená",J173,0)</f>
        <v>0</v>
      </c>
      <c r="EH173" s="137">
        <f>IF(CO173="zákl. přenesená",J173,0)</f>
        <v>0</v>
      </c>
      <c r="EI173" s="137">
        <f>IF(CO173="sníž. přenesená",J173,0)</f>
        <v>0</v>
      </c>
      <c r="EJ173" s="137">
        <f>IF(CO173="nulová",J173,0)</f>
        <v>0</v>
      </c>
      <c r="EK173" s="16" t="s">
        <v>81</v>
      </c>
      <c r="EL173" s="137">
        <f>ROUND(I173*H173,2)</f>
        <v>36389.61</v>
      </c>
      <c r="EM173" s="16" t="s">
        <v>95</v>
      </c>
      <c r="EN173" s="136" t="s">
        <v>377</v>
      </c>
    </row>
    <row r="174" spans="2:144" s="1" customFormat="1" ht="39" x14ac:dyDescent="0.2">
      <c r="B174" s="31"/>
      <c r="D174" s="138" t="s">
        <v>289</v>
      </c>
      <c r="F174" s="139" t="s">
        <v>378</v>
      </c>
      <c r="I174" s="140"/>
      <c r="L174" s="31"/>
      <c r="N174" s="213"/>
      <c r="O174" s="214"/>
      <c r="Q174" s="229"/>
      <c r="CN174" s="141"/>
      <c r="CU174" s="50"/>
      <c r="DU174" s="16" t="s">
        <v>289</v>
      </c>
      <c r="DV174" s="16" t="s">
        <v>83</v>
      </c>
    </row>
    <row r="175" spans="2:144" s="1" customFormat="1" ht="39" x14ac:dyDescent="0.2">
      <c r="B175" s="31"/>
      <c r="D175" s="138" t="s">
        <v>299</v>
      </c>
      <c r="F175" s="142" t="s">
        <v>1051</v>
      </c>
      <c r="I175" s="140"/>
      <c r="L175" s="31"/>
      <c r="N175" s="213"/>
      <c r="O175" s="214"/>
      <c r="Q175" s="229"/>
      <c r="CN175" s="141"/>
      <c r="CU175" s="50"/>
      <c r="DU175" s="16" t="s">
        <v>299</v>
      </c>
      <c r="DV175" s="16" t="s">
        <v>83</v>
      </c>
    </row>
    <row r="176" spans="2:144" s="1" customFormat="1" ht="24.2" customHeight="1" x14ac:dyDescent="0.2">
      <c r="B176" s="124"/>
      <c r="C176" s="125" t="s">
        <v>359</v>
      </c>
      <c r="D176" s="125" t="s">
        <v>284</v>
      </c>
      <c r="E176" s="126" t="s">
        <v>380</v>
      </c>
      <c r="F176" s="127" t="s">
        <v>381</v>
      </c>
      <c r="G176" s="128" t="s">
        <v>366</v>
      </c>
      <c r="H176" s="129">
        <v>37.268999999999998</v>
      </c>
      <c r="I176" s="130">
        <v>650.27058629099099</v>
      </c>
      <c r="J176" s="131">
        <f>ROUND(I176*H176,2)</f>
        <v>24234.93</v>
      </c>
      <c r="K176" s="127" t="s">
        <v>293</v>
      </c>
      <c r="L176" s="268">
        <f>S176</f>
        <v>0</v>
      </c>
      <c r="M176" s="272">
        <f>ROUND(L176*I176,2)</f>
        <v>0</v>
      </c>
      <c r="N176" s="243">
        <f>N180</f>
        <v>-6.5737999999999985</v>
      </c>
      <c r="O176" s="294">
        <f>ROUND(N176*I176,2)</f>
        <v>-4274.75</v>
      </c>
      <c r="P176" s="273">
        <f>H176-L176-N176</f>
        <v>43.842799999999997</v>
      </c>
      <c r="Q176" s="287">
        <f>ROUND(P176*I176,2)</f>
        <v>28509.68</v>
      </c>
      <c r="R176" s="137"/>
      <c r="S176" s="269">
        <f>W176+Y176+AA176+AC176+AE176+AG176+AI176+AK176</f>
        <v>0</v>
      </c>
      <c r="T176" s="269">
        <f>ROUND(S176*I176,2)</f>
        <v>0</v>
      </c>
      <c r="U176" s="269">
        <f>H176-S176</f>
        <v>37.268999999999998</v>
      </c>
      <c r="V176" s="269">
        <f>ROUND(U176*I176,2)</f>
        <v>24234.93</v>
      </c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CN176" s="132" t="s">
        <v>1</v>
      </c>
      <c r="CO176" s="133" t="s">
        <v>40</v>
      </c>
      <c r="CQ176" s="134">
        <f>CP176*H176</f>
        <v>0</v>
      </c>
      <c r="CR176" s="134">
        <v>0</v>
      </c>
      <c r="CS176" s="134">
        <f>CR176*H176</f>
        <v>0</v>
      </c>
      <c r="CT176" s="134">
        <v>0</v>
      </c>
      <c r="CU176" s="135">
        <f>CT176*H176</f>
        <v>0</v>
      </c>
      <c r="DS176" s="136" t="s">
        <v>95</v>
      </c>
      <c r="DU176" s="136" t="s">
        <v>284</v>
      </c>
      <c r="DV176" s="136" t="s">
        <v>83</v>
      </c>
      <c r="DZ176" s="16" t="s">
        <v>282</v>
      </c>
      <c r="EF176" s="137">
        <f>IF(CO176="základní",J176,0)</f>
        <v>24234.93</v>
      </c>
      <c r="EG176" s="137">
        <f>IF(CO176="snížená",J176,0)</f>
        <v>0</v>
      </c>
      <c r="EH176" s="137">
        <f>IF(CO176="zákl. přenesená",J176,0)</f>
        <v>0</v>
      </c>
      <c r="EI176" s="137">
        <f>IF(CO176="sníž. přenesená",J176,0)</f>
        <v>0</v>
      </c>
      <c r="EJ176" s="137">
        <f>IF(CO176="nulová",J176,0)</f>
        <v>0</v>
      </c>
      <c r="EK176" s="16" t="s">
        <v>81</v>
      </c>
      <c r="EL176" s="137">
        <f>ROUND(I176*H176,2)</f>
        <v>24234.93</v>
      </c>
      <c r="EM176" s="16" t="s">
        <v>95</v>
      </c>
      <c r="EN176" s="136" t="s">
        <v>382</v>
      </c>
    </row>
    <row r="177" spans="2:144" s="1" customFormat="1" ht="29.25" x14ac:dyDescent="0.2">
      <c r="B177" s="31"/>
      <c r="D177" s="138" t="s">
        <v>289</v>
      </c>
      <c r="F177" s="139" t="s">
        <v>383</v>
      </c>
      <c r="I177" s="140"/>
      <c r="L177" s="31"/>
      <c r="N177" s="213"/>
      <c r="O177" s="214"/>
      <c r="Q177" s="229"/>
      <c r="CN177" s="141"/>
      <c r="CU177" s="50"/>
      <c r="DU177" s="16" t="s">
        <v>289</v>
      </c>
      <c r="DV177" s="16" t="s">
        <v>83</v>
      </c>
    </row>
    <row r="178" spans="2:144" s="11" customFormat="1" x14ac:dyDescent="0.2">
      <c r="B178" s="143"/>
      <c r="D178" s="138" t="s">
        <v>301</v>
      </c>
      <c r="E178" s="144" t="s">
        <v>1</v>
      </c>
      <c r="F178" s="145" t="s">
        <v>384</v>
      </c>
      <c r="H178" s="144" t="s">
        <v>1</v>
      </c>
      <c r="I178" s="146"/>
      <c r="L178" s="143"/>
      <c r="N178" s="215"/>
      <c r="O178" s="216"/>
      <c r="Q178" s="230"/>
      <c r="CN178" s="147"/>
      <c r="CU178" s="148"/>
      <c r="DU178" s="144" t="s">
        <v>301</v>
      </c>
      <c r="DV178" s="144" t="s">
        <v>83</v>
      </c>
      <c r="DW178" s="11" t="s">
        <v>81</v>
      </c>
      <c r="DX178" s="11" t="s">
        <v>32</v>
      </c>
      <c r="DY178" s="11" t="s">
        <v>74</v>
      </c>
      <c r="DZ178" s="144" t="s">
        <v>282</v>
      </c>
    </row>
    <row r="179" spans="2:144" s="12" customFormat="1" x14ac:dyDescent="0.2">
      <c r="B179" s="149"/>
      <c r="D179" s="138" t="s">
        <v>301</v>
      </c>
      <c r="E179" s="150" t="s">
        <v>1</v>
      </c>
      <c r="F179" s="151" t="s">
        <v>1055</v>
      </c>
      <c r="H179" s="152">
        <v>37.268999999999998</v>
      </c>
      <c r="I179" s="153"/>
      <c r="L179" s="149"/>
      <c r="N179" s="217">
        <f>(76.738+76.738)*0.2</f>
        <v>30.6952</v>
      </c>
      <c r="O179" s="218" t="s">
        <v>3448</v>
      </c>
      <c r="Q179" s="231"/>
      <c r="CN179" s="154"/>
      <c r="CU179" s="155"/>
      <c r="DU179" s="150" t="s">
        <v>301</v>
      </c>
      <c r="DV179" s="150" t="s">
        <v>83</v>
      </c>
      <c r="DW179" s="12" t="s">
        <v>83</v>
      </c>
      <c r="DX179" s="12" t="s">
        <v>32</v>
      </c>
      <c r="DY179" s="12" t="s">
        <v>81</v>
      </c>
      <c r="DZ179" s="150" t="s">
        <v>282</v>
      </c>
    </row>
    <row r="180" spans="2:144" s="12" customFormat="1" x14ac:dyDescent="0.2">
      <c r="B180" s="149"/>
      <c r="D180" s="138"/>
      <c r="E180" s="150"/>
      <c r="F180" s="151"/>
      <c r="H180" s="152"/>
      <c r="I180" s="153"/>
      <c r="L180" s="149"/>
      <c r="N180" s="310">
        <f>N179-H179</f>
        <v>-6.5737999999999985</v>
      </c>
      <c r="O180" s="218"/>
      <c r="Q180" s="231"/>
      <c r="CN180" s="154"/>
      <c r="CU180" s="155"/>
      <c r="DU180" s="150"/>
      <c r="DV180" s="150"/>
      <c r="DZ180" s="150"/>
    </row>
    <row r="181" spans="2:144" s="1" customFormat="1" ht="14.45" customHeight="1" x14ac:dyDescent="0.2">
      <c r="B181" s="124"/>
      <c r="C181" s="125" t="s">
        <v>363</v>
      </c>
      <c r="D181" s="125" t="s">
        <v>284</v>
      </c>
      <c r="E181" s="126" t="s">
        <v>387</v>
      </c>
      <c r="F181" s="127" t="s">
        <v>388</v>
      </c>
      <c r="G181" s="128" t="s">
        <v>287</v>
      </c>
      <c r="H181" s="129">
        <v>421.2</v>
      </c>
      <c r="I181" s="130">
        <v>156.6895922457376</v>
      </c>
      <c r="J181" s="131">
        <f>ROUND(I181*H181,2)</f>
        <v>65997.66</v>
      </c>
      <c r="K181" s="127" t="s">
        <v>293</v>
      </c>
      <c r="L181" s="268">
        <f>S181</f>
        <v>0</v>
      </c>
      <c r="M181" s="272">
        <f>ROUND(L181*I181,2)</f>
        <v>0</v>
      </c>
      <c r="N181" s="243">
        <f>N185</f>
        <v>-75.711999999999989</v>
      </c>
      <c r="O181" s="294">
        <f>ROUND(N181*I181,2)</f>
        <v>-11863.28</v>
      </c>
      <c r="P181" s="273">
        <f>H181-L181-N181</f>
        <v>496.91199999999998</v>
      </c>
      <c r="Q181" s="287">
        <f>ROUND(P181*I181,2)</f>
        <v>77860.94</v>
      </c>
      <c r="R181" s="137"/>
      <c r="S181" s="269">
        <f>W181+Y181+AA181+AC181+AE181+AG181+AI181+AK181</f>
        <v>0</v>
      </c>
      <c r="T181" s="269">
        <f>ROUND(S181*I181,2)</f>
        <v>0</v>
      </c>
      <c r="U181" s="269">
        <f>H181-S181</f>
        <v>421.2</v>
      </c>
      <c r="V181" s="269">
        <f>ROUND(U181*I181,2)</f>
        <v>65997.66</v>
      </c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CN181" s="132" t="s">
        <v>1</v>
      </c>
      <c r="CO181" s="133" t="s">
        <v>40</v>
      </c>
      <c r="CQ181" s="134">
        <f>CP181*H181</f>
        <v>0</v>
      </c>
      <c r="CR181" s="134">
        <v>5.9000000000000003E-4</v>
      </c>
      <c r="CS181" s="134">
        <f>CR181*H181</f>
        <v>0.24850800000000001</v>
      </c>
      <c r="CT181" s="134">
        <v>0</v>
      </c>
      <c r="CU181" s="135">
        <f>CT181*H181</f>
        <v>0</v>
      </c>
      <c r="DS181" s="136" t="s">
        <v>95</v>
      </c>
      <c r="DU181" s="136" t="s">
        <v>284</v>
      </c>
      <c r="DV181" s="136" t="s">
        <v>83</v>
      </c>
      <c r="DZ181" s="16" t="s">
        <v>282</v>
      </c>
      <c r="EF181" s="137">
        <f>IF(CO181="základní",J181,0)</f>
        <v>65997.66</v>
      </c>
      <c r="EG181" s="137">
        <f>IF(CO181="snížená",J181,0)</f>
        <v>0</v>
      </c>
      <c r="EH181" s="137">
        <f>IF(CO181="zákl. přenesená",J181,0)</f>
        <v>0</v>
      </c>
      <c r="EI181" s="137">
        <f>IF(CO181="sníž. přenesená",J181,0)</f>
        <v>0</v>
      </c>
      <c r="EJ181" s="137">
        <f>IF(CO181="nulová",J181,0)</f>
        <v>0</v>
      </c>
      <c r="EK181" s="16" t="s">
        <v>81</v>
      </c>
      <c r="EL181" s="137">
        <f>ROUND(I181*H181,2)</f>
        <v>65997.66</v>
      </c>
      <c r="EM181" s="16" t="s">
        <v>95</v>
      </c>
      <c r="EN181" s="136" t="s">
        <v>389</v>
      </c>
    </row>
    <row r="182" spans="2:144" s="1" customFormat="1" ht="19.5" x14ac:dyDescent="0.2">
      <c r="B182" s="31"/>
      <c r="D182" s="138" t="s">
        <v>289</v>
      </c>
      <c r="F182" s="139" t="s">
        <v>390</v>
      </c>
      <c r="I182" s="140"/>
      <c r="L182" s="31"/>
      <c r="N182" s="213"/>
      <c r="O182" s="214"/>
      <c r="Q182" s="229"/>
      <c r="CN182" s="141"/>
      <c r="CU182" s="50"/>
      <c r="DU182" s="16" t="s">
        <v>289</v>
      </c>
      <c r="DV182" s="16" t="s">
        <v>83</v>
      </c>
    </row>
    <row r="183" spans="2:144" s="1" customFormat="1" ht="19.5" x14ac:dyDescent="0.2">
      <c r="B183" s="31"/>
      <c r="D183" s="138" t="s">
        <v>299</v>
      </c>
      <c r="F183" s="142" t="s">
        <v>317</v>
      </c>
      <c r="I183" s="140"/>
      <c r="L183" s="31"/>
      <c r="N183" s="213"/>
      <c r="O183" s="214"/>
      <c r="Q183" s="229"/>
      <c r="CN183" s="141"/>
      <c r="CU183" s="50"/>
      <c r="DU183" s="16" t="s">
        <v>299</v>
      </c>
      <c r="DV183" s="16" t="s">
        <v>83</v>
      </c>
    </row>
    <row r="184" spans="2:144" s="12" customFormat="1" x14ac:dyDescent="0.2">
      <c r="B184" s="149"/>
      <c r="D184" s="138" t="s">
        <v>301</v>
      </c>
      <c r="E184" s="150" t="s">
        <v>1</v>
      </c>
      <c r="F184" s="151" t="s">
        <v>1056</v>
      </c>
      <c r="H184" s="152">
        <v>421.2</v>
      </c>
      <c r="I184" s="153"/>
      <c r="L184" s="149"/>
      <c r="N184" s="217">
        <f>66.44*2.6*2</f>
        <v>345.488</v>
      </c>
      <c r="O184" s="218" t="s">
        <v>3449</v>
      </c>
      <c r="Q184" s="231"/>
      <c r="CN184" s="154"/>
      <c r="CU184" s="155"/>
      <c r="DU184" s="150" t="s">
        <v>301</v>
      </c>
      <c r="DV184" s="150" t="s">
        <v>83</v>
      </c>
      <c r="DW184" s="12" t="s">
        <v>83</v>
      </c>
      <c r="DX184" s="12" t="s">
        <v>32</v>
      </c>
      <c r="DY184" s="12" t="s">
        <v>81</v>
      </c>
      <c r="DZ184" s="150" t="s">
        <v>282</v>
      </c>
    </row>
    <row r="185" spans="2:144" s="12" customFormat="1" x14ac:dyDescent="0.2">
      <c r="B185" s="149"/>
      <c r="D185" s="138"/>
      <c r="E185" s="150"/>
      <c r="F185" s="151"/>
      <c r="H185" s="152"/>
      <c r="I185" s="153"/>
      <c r="L185" s="149"/>
      <c r="N185" s="310">
        <f>N184-H184</f>
        <v>-75.711999999999989</v>
      </c>
      <c r="O185" s="218"/>
      <c r="Q185" s="231"/>
      <c r="CN185" s="154"/>
      <c r="CU185" s="155"/>
      <c r="DU185" s="150"/>
      <c r="DV185" s="150"/>
      <c r="DZ185" s="150"/>
    </row>
    <row r="186" spans="2:144" s="1" customFormat="1" ht="14.45" customHeight="1" x14ac:dyDescent="0.2">
      <c r="B186" s="124"/>
      <c r="C186" s="125" t="s">
        <v>8</v>
      </c>
      <c r="D186" s="125" t="s">
        <v>284</v>
      </c>
      <c r="E186" s="126" t="s">
        <v>393</v>
      </c>
      <c r="F186" s="127" t="s">
        <v>394</v>
      </c>
      <c r="G186" s="128" t="s">
        <v>287</v>
      </c>
      <c r="H186" s="129">
        <v>421.2</v>
      </c>
      <c r="I186" s="130">
        <v>103.33666316345877</v>
      </c>
      <c r="J186" s="131">
        <f>ROUND(I186*H186,2)</f>
        <v>43525.4</v>
      </c>
      <c r="K186" s="127" t="s">
        <v>293</v>
      </c>
      <c r="L186" s="268">
        <f>S186</f>
        <v>0</v>
      </c>
      <c r="M186" s="272">
        <f>ROUND(L186*I186,2)</f>
        <v>0</v>
      </c>
      <c r="N186" s="243">
        <f>N181</f>
        <v>-75.711999999999989</v>
      </c>
      <c r="O186" s="294">
        <f>ROUND(N186*I186,2)</f>
        <v>-7823.83</v>
      </c>
      <c r="P186" s="273">
        <f>H186-L186-N186</f>
        <v>496.91199999999998</v>
      </c>
      <c r="Q186" s="287">
        <f>ROUND(P186*I186,2)</f>
        <v>51349.23</v>
      </c>
      <c r="R186" s="137"/>
      <c r="S186" s="269">
        <f>W186+Y186+AA186+AC186+AE186+AG186+AI186+AK186</f>
        <v>0</v>
      </c>
      <c r="T186" s="269">
        <f>ROUND(S186*I186,2)</f>
        <v>0</v>
      </c>
      <c r="U186" s="269">
        <f>H186-S186</f>
        <v>421.2</v>
      </c>
      <c r="V186" s="269">
        <f>ROUND(U186*I186,2)</f>
        <v>43525.4</v>
      </c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CN186" s="132" t="s">
        <v>1</v>
      </c>
      <c r="CO186" s="133" t="s">
        <v>40</v>
      </c>
      <c r="CQ186" s="134">
        <f>CP186*H186</f>
        <v>0</v>
      </c>
      <c r="CR186" s="134">
        <v>0</v>
      </c>
      <c r="CS186" s="134">
        <f>CR186*H186</f>
        <v>0</v>
      </c>
      <c r="CT186" s="134">
        <v>0</v>
      </c>
      <c r="CU186" s="135">
        <f>CT186*H186</f>
        <v>0</v>
      </c>
      <c r="DS186" s="136" t="s">
        <v>95</v>
      </c>
      <c r="DU186" s="136" t="s">
        <v>284</v>
      </c>
      <c r="DV186" s="136" t="s">
        <v>83</v>
      </c>
      <c r="DZ186" s="16" t="s">
        <v>282</v>
      </c>
      <c r="EF186" s="137">
        <f>IF(CO186="základní",J186,0)</f>
        <v>43525.4</v>
      </c>
      <c r="EG186" s="137">
        <f>IF(CO186="snížená",J186,0)</f>
        <v>0</v>
      </c>
      <c r="EH186" s="137">
        <f>IF(CO186="zákl. přenesená",J186,0)</f>
        <v>0</v>
      </c>
      <c r="EI186" s="137">
        <f>IF(CO186="sníž. přenesená",J186,0)</f>
        <v>0</v>
      </c>
      <c r="EJ186" s="137">
        <f>IF(CO186="nulová",J186,0)</f>
        <v>0</v>
      </c>
      <c r="EK186" s="16" t="s">
        <v>81</v>
      </c>
      <c r="EL186" s="137">
        <f>ROUND(I186*H186,2)</f>
        <v>43525.4</v>
      </c>
      <c r="EM186" s="16" t="s">
        <v>95</v>
      </c>
      <c r="EN186" s="136" t="s">
        <v>395</v>
      </c>
    </row>
    <row r="187" spans="2:144" s="1" customFormat="1" ht="19.5" x14ac:dyDescent="0.2">
      <c r="B187" s="31"/>
      <c r="D187" s="138" t="s">
        <v>289</v>
      </c>
      <c r="F187" s="139" t="s">
        <v>396</v>
      </c>
      <c r="I187" s="140"/>
      <c r="L187" s="31"/>
      <c r="N187" s="213"/>
      <c r="O187" s="214"/>
      <c r="Q187" s="229"/>
      <c r="CN187" s="141"/>
      <c r="CU187" s="50"/>
      <c r="DU187" s="16" t="s">
        <v>289</v>
      </c>
      <c r="DV187" s="16" t="s">
        <v>83</v>
      </c>
    </row>
    <row r="188" spans="2:144" s="1" customFormat="1" ht="37.9" customHeight="1" x14ac:dyDescent="0.2">
      <c r="B188" s="124"/>
      <c r="C188" s="125" t="s">
        <v>379</v>
      </c>
      <c r="D188" s="125" t="s">
        <v>284</v>
      </c>
      <c r="E188" s="126" t="s">
        <v>398</v>
      </c>
      <c r="F188" s="127" t="s">
        <v>399</v>
      </c>
      <c r="G188" s="128" t="s">
        <v>366</v>
      </c>
      <c r="H188" s="129">
        <v>186.346</v>
      </c>
      <c r="I188" s="130">
        <v>282.06861194786097</v>
      </c>
      <c r="J188" s="131">
        <f>ROUND(I188*H188,2)</f>
        <v>52562.36</v>
      </c>
      <c r="K188" s="127" t="s">
        <v>293</v>
      </c>
      <c r="L188" s="268">
        <f>S188</f>
        <v>0</v>
      </c>
      <c r="M188" s="272">
        <f>ROUND(L188*I188,2)</f>
        <v>0</v>
      </c>
      <c r="N188" s="243">
        <f>N192</f>
        <v>-32.870000000000005</v>
      </c>
      <c r="O188" s="294">
        <f>ROUND(N188*I188,2)</f>
        <v>-9271.6</v>
      </c>
      <c r="P188" s="273">
        <f>H188-L188-N188</f>
        <v>219.21600000000001</v>
      </c>
      <c r="Q188" s="287">
        <f>ROUND(P188*I188,2)</f>
        <v>61833.95</v>
      </c>
      <c r="R188" s="137"/>
      <c r="S188" s="269">
        <f>W188+Y188+AA188+AC188+AE188+AG188+AI188+AK188</f>
        <v>0</v>
      </c>
      <c r="T188" s="269">
        <f>ROUND(S188*I188,2)</f>
        <v>0</v>
      </c>
      <c r="U188" s="269">
        <f>H188-S188</f>
        <v>186.346</v>
      </c>
      <c r="V188" s="269">
        <f>ROUND(U188*I188,2)</f>
        <v>52562.36</v>
      </c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CN188" s="132" t="s">
        <v>1</v>
      </c>
      <c r="CO188" s="133" t="s">
        <v>40</v>
      </c>
      <c r="CQ188" s="134">
        <f>CP188*H188</f>
        <v>0</v>
      </c>
      <c r="CR188" s="134">
        <v>0</v>
      </c>
      <c r="CS188" s="134">
        <f>CR188*H188</f>
        <v>0</v>
      </c>
      <c r="CT188" s="134">
        <v>0</v>
      </c>
      <c r="CU188" s="135">
        <f>CT188*H188</f>
        <v>0</v>
      </c>
      <c r="DS188" s="136" t="s">
        <v>95</v>
      </c>
      <c r="DU188" s="136" t="s">
        <v>284</v>
      </c>
      <c r="DV188" s="136" t="s">
        <v>83</v>
      </c>
      <c r="DZ188" s="16" t="s">
        <v>282</v>
      </c>
      <c r="EF188" s="137">
        <f>IF(CO188="základní",J188,0)</f>
        <v>52562.36</v>
      </c>
      <c r="EG188" s="137">
        <f>IF(CO188="snížená",J188,0)</f>
        <v>0</v>
      </c>
      <c r="EH188" s="137">
        <f>IF(CO188="zákl. přenesená",J188,0)</f>
        <v>0</v>
      </c>
      <c r="EI188" s="137">
        <f>IF(CO188="sníž. přenesená",J188,0)</f>
        <v>0</v>
      </c>
      <c r="EJ188" s="137">
        <f>IF(CO188="nulová",J188,0)</f>
        <v>0</v>
      </c>
      <c r="EK188" s="16" t="s">
        <v>81</v>
      </c>
      <c r="EL188" s="137">
        <f>ROUND(I188*H188,2)</f>
        <v>52562.36</v>
      </c>
      <c r="EM188" s="16" t="s">
        <v>95</v>
      </c>
      <c r="EN188" s="136" t="s">
        <v>400</v>
      </c>
    </row>
    <row r="189" spans="2:144" s="1" customFormat="1" ht="39" x14ac:dyDescent="0.2">
      <c r="B189" s="31"/>
      <c r="D189" s="138" t="s">
        <v>289</v>
      </c>
      <c r="F189" s="139" t="s">
        <v>401</v>
      </c>
      <c r="I189" s="140"/>
      <c r="L189" s="31"/>
      <c r="N189" s="213"/>
      <c r="O189" s="214"/>
      <c r="Q189" s="229"/>
      <c r="CN189" s="141"/>
      <c r="CU189" s="50"/>
      <c r="DU189" s="16" t="s">
        <v>289</v>
      </c>
      <c r="DV189" s="16" t="s">
        <v>83</v>
      </c>
    </row>
    <row r="190" spans="2:144" s="11" customFormat="1" x14ac:dyDescent="0.2">
      <c r="B190" s="143"/>
      <c r="D190" s="138" t="s">
        <v>301</v>
      </c>
      <c r="E190" s="144" t="s">
        <v>1</v>
      </c>
      <c r="F190" s="145" t="s">
        <v>402</v>
      </c>
      <c r="H190" s="144" t="s">
        <v>1</v>
      </c>
      <c r="I190" s="146"/>
      <c r="L190" s="143"/>
      <c r="N190" s="215"/>
      <c r="O190" s="216"/>
      <c r="Q190" s="230"/>
      <c r="CN190" s="147"/>
      <c r="CU190" s="148"/>
      <c r="DU190" s="144" t="s">
        <v>301</v>
      </c>
      <c r="DV190" s="144" t="s">
        <v>83</v>
      </c>
      <c r="DW190" s="11" t="s">
        <v>81</v>
      </c>
      <c r="DX190" s="11" t="s">
        <v>32</v>
      </c>
      <c r="DY190" s="11" t="s">
        <v>74</v>
      </c>
      <c r="DZ190" s="144" t="s">
        <v>282</v>
      </c>
    </row>
    <row r="191" spans="2:144" s="12" customFormat="1" x14ac:dyDescent="0.2">
      <c r="B191" s="149"/>
      <c r="D191" s="138" t="s">
        <v>301</v>
      </c>
      <c r="E191" s="150" t="s">
        <v>1</v>
      </c>
      <c r="F191" s="151" t="s">
        <v>1057</v>
      </c>
      <c r="H191" s="152">
        <v>186.346</v>
      </c>
      <c r="I191" s="153"/>
      <c r="L191" s="149"/>
      <c r="N191" s="217">
        <f>76.738+76.738</f>
        <v>153.476</v>
      </c>
      <c r="O191" s="218" t="s">
        <v>3450</v>
      </c>
      <c r="Q191" s="231"/>
      <c r="CN191" s="154"/>
      <c r="CU191" s="155"/>
      <c r="DU191" s="150" t="s">
        <v>301</v>
      </c>
      <c r="DV191" s="150" t="s">
        <v>83</v>
      </c>
      <c r="DW191" s="12" t="s">
        <v>83</v>
      </c>
      <c r="DX191" s="12" t="s">
        <v>32</v>
      </c>
      <c r="DY191" s="12" t="s">
        <v>81</v>
      </c>
      <c r="DZ191" s="150" t="s">
        <v>282</v>
      </c>
    </row>
    <row r="192" spans="2:144" s="12" customFormat="1" x14ac:dyDescent="0.2">
      <c r="B192" s="149"/>
      <c r="D192" s="138"/>
      <c r="E192" s="150"/>
      <c r="F192" s="151"/>
      <c r="H192" s="152"/>
      <c r="I192" s="153"/>
      <c r="L192" s="149"/>
      <c r="N192" s="310">
        <f>N191-H191</f>
        <v>-32.870000000000005</v>
      </c>
      <c r="O192" s="218"/>
      <c r="Q192" s="231"/>
      <c r="CN192" s="154"/>
      <c r="CU192" s="155"/>
      <c r="DU192" s="150"/>
      <c r="DV192" s="150"/>
      <c r="DZ192" s="150"/>
    </row>
    <row r="193" spans="2:144" s="1" customFormat="1" ht="37.9" customHeight="1" x14ac:dyDescent="0.2">
      <c r="B193" s="124"/>
      <c r="C193" s="125" t="s">
        <v>386</v>
      </c>
      <c r="D193" s="125" t="s">
        <v>284</v>
      </c>
      <c r="E193" s="126" t="s">
        <v>405</v>
      </c>
      <c r="F193" s="127" t="s">
        <v>406</v>
      </c>
      <c r="G193" s="128" t="s">
        <v>366</v>
      </c>
      <c r="H193" s="129">
        <v>931.73</v>
      </c>
      <c r="I193" s="130">
        <v>3.4208109177592001</v>
      </c>
      <c r="J193" s="131">
        <f>ROUND(I193*H193,2)</f>
        <v>3187.27</v>
      </c>
      <c r="K193" s="127" t="s">
        <v>293</v>
      </c>
      <c r="L193" s="268">
        <f>S193</f>
        <v>0</v>
      </c>
      <c r="M193" s="272">
        <f>ROUND(L193*I193,2)</f>
        <v>0</v>
      </c>
      <c r="N193" s="243">
        <f>N196</f>
        <v>-164.35000000000002</v>
      </c>
      <c r="O193" s="294">
        <f>ROUND(N193*I193,2)</f>
        <v>-562.21</v>
      </c>
      <c r="P193" s="273">
        <f>H193-L193-N193</f>
        <v>1096.08</v>
      </c>
      <c r="Q193" s="287">
        <f>ROUND(P193*I193,2)</f>
        <v>3749.48</v>
      </c>
      <c r="R193" s="137"/>
      <c r="S193" s="269">
        <f>W193+Y193+AA193+AC193+AE193+AG193+AI193+AK193</f>
        <v>0</v>
      </c>
      <c r="T193" s="269">
        <f>ROUND(S193*I193,2)</f>
        <v>0</v>
      </c>
      <c r="U193" s="269">
        <f>H193-S193</f>
        <v>931.73</v>
      </c>
      <c r="V193" s="269">
        <f>ROUND(U193*I193,2)</f>
        <v>3187.27</v>
      </c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CN193" s="132" t="s">
        <v>1</v>
      </c>
      <c r="CO193" s="133" t="s">
        <v>40</v>
      </c>
      <c r="CQ193" s="134">
        <f>CP193*H193</f>
        <v>0</v>
      </c>
      <c r="CR193" s="134">
        <v>0</v>
      </c>
      <c r="CS193" s="134">
        <f>CR193*H193</f>
        <v>0</v>
      </c>
      <c r="CT193" s="134">
        <v>0</v>
      </c>
      <c r="CU193" s="135">
        <f>CT193*H193</f>
        <v>0</v>
      </c>
      <c r="DS193" s="136" t="s">
        <v>95</v>
      </c>
      <c r="DU193" s="136" t="s">
        <v>284</v>
      </c>
      <c r="DV193" s="136" t="s">
        <v>83</v>
      </c>
      <c r="DZ193" s="16" t="s">
        <v>282</v>
      </c>
      <c r="EF193" s="137">
        <f>IF(CO193="základní",J193,0)</f>
        <v>3187.27</v>
      </c>
      <c r="EG193" s="137">
        <f>IF(CO193="snížená",J193,0)</f>
        <v>0</v>
      </c>
      <c r="EH193" s="137">
        <f>IF(CO193="zákl. přenesená",J193,0)</f>
        <v>0</v>
      </c>
      <c r="EI193" s="137">
        <f>IF(CO193="sníž. přenesená",J193,0)</f>
        <v>0</v>
      </c>
      <c r="EJ193" s="137">
        <f>IF(CO193="nulová",J193,0)</f>
        <v>0</v>
      </c>
      <c r="EK193" s="16" t="s">
        <v>81</v>
      </c>
      <c r="EL193" s="137">
        <f>ROUND(I193*H193,2)</f>
        <v>3187.27</v>
      </c>
      <c r="EM193" s="16" t="s">
        <v>95</v>
      </c>
      <c r="EN193" s="136" t="s">
        <v>407</v>
      </c>
    </row>
    <row r="194" spans="2:144" s="1" customFormat="1" ht="48.75" x14ac:dyDescent="0.2">
      <c r="B194" s="31"/>
      <c r="D194" s="138" t="s">
        <v>289</v>
      </c>
      <c r="F194" s="139" t="s">
        <v>408</v>
      </c>
      <c r="I194" s="140"/>
      <c r="L194" s="31"/>
      <c r="N194" s="213"/>
      <c r="O194" s="214"/>
      <c r="Q194" s="229"/>
      <c r="CN194" s="141"/>
      <c r="CU194" s="50"/>
      <c r="DU194" s="16" t="s">
        <v>289</v>
      </c>
      <c r="DV194" s="16" t="s">
        <v>83</v>
      </c>
    </row>
    <row r="195" spans="2:144" s="12" customFormat="1" x14ac:dyDescent="0.2">
      <c r="B195" s="149"/>
      <c r="D195" s="138" t="s">
        <v>301</v>
      </c>
      <c r="F195" s="151" t="s">
        <v>1058</v>
      </c>
      <c r="H195" s="152">
        <v>931.73</v>
      </c>
      <c r="I195" s="153"/>
      <c r="L195" s="149"/>
      <c r="N195" s="217">
        <f>153.476*5</f>
        <v>767.38</v>
      </c>
      <c r="O195" s="218" t="s">
        <v>3451</v>
      </c>
      <c r="Q195" s="231"/>
      <c r="CN195" s="154"/>
      <c r="CU195" s="155"/>
      <c r="DU195" s="150" t="s">
        <v>301</v>
      </c>
      <c r="DV195" s="150" t="s">
        <v>83</v>
      </c>
      <c r="DW195" s="12" t="s">
        <v>83</v>
      </c>
      <c r="DX195" s="12" t="s">
        <v>3</v>
      </c>
      <c r="DY195" s="12" t="s">
        <v>81</v>
      </c>
      <c r="DZ195" s="150" t="s">
        <v>282</v>
      </c>
    </row>
    <row r="196" spans="2:144" s="12" customFormat="1" x14ac:dyDescent="0.2">
      <c r="B196" s="149"/>
      <c r="D196" s="138"/>
      <c r="F196" s="151"/>
      <c r="H196" s="152"/>
      <c r="I196" s="153"/>
      <c r="L196" s="149"/>
      <c r="N196" s="310">
        <f>N195-H195</f>
        <v>-164.35000000000002</v>
      </c>
      <c r="O196" s="218"/>
      <c r="Q196" s="231"/>
      <c r="CN196" s="154"/>
      <c r="CU196" s="155"/>
      <c r="DU196" s="150"/>
      <c r="DV196" s="150"/>
      <c r="DZ196" s="150"/>
    </row>
    <row r="197" spans="2:144" s="1" customFormat="1" ht="24.2" customHeight="1" x14ac:dyDescent="0.2">
      <c r="B197" s="124"/>
      <c r="C197" s="125" t="s">
        <v>392</v>
      </c>
      <c r="D197" s="125" t="s">
        <v>284</v>
      </c>
      <c r="E197" s="126" t="s">
        <v>410</v>
      </c>
      <c r="F197" s="127" t="s">
        <v>411</v>
      </c>
      <c r="G197" s="128" t="s">
        <v>287</v>
      </c>
      <c r="H197" s="129">
        <v>86.4</v>
      </c>
      <c r="I197" s="130">
        <v>6.3644601414457247</v>
      </c>
      <c r="J197" s="131">
        <f>ROUND(I197*H197,2)</f>
        <v>549.89</v>
      </c>
      <c r="K197" s="127" t="s">
        <v>293</v>
      </c>
      <c r="L197" s="268">
        <f>S197</f>
        <v>0</v>
      </c>
      <c r="M197" s="272">
        <f>ROUND(L197*I197,2)</f>
        <v>0</v>
      </c>
      <c r="N197" s="243">
        <f>N203</f>
        <v>-15.287999999999997</v>
      </c>
      <c r="O197" s="294">
        <f>ROUND(N197*I197,2)</f>
        <v>-97.3</v>
      </c>
      <c r="P197" s="273">
        <f>H197-L197-N197</f>
        <v>101.688</v>
      </c>
      <c r="Q197" s="287">
        <f>ROUND(P197*I197,2)</f>
        <v>647.19000000000005</v>
      </c>
      <c r="R197" s="137"/>
      <c r="S197" s="269">
        <f>W197+Y197+AA197+AC197+AE197+AG197+AI197+AK197</f>
        <v>0</v>
      </c>
      <c r="T197" s="269">
        <f>ROUND(S197*I197,2)</f>
        <v>0</v>
      </c>
      <c r="U197" s="269">
        <f>H197-S197</f>
        <v>86.4</v>
      </c>
      <c r="V197" s="269">
        <f>ROUND(U197*I197,2)</f>
        <v>549.89</v>
      </c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CN197" s="132" t="s">
        <v>1</v>
      </c>
      <c r="CO197" s="133" t="s">
        <v>40</v>
      </c>
      <c r="CQ197" s="134">
        <f>CP197*H197</f>
        <v>0</v>
      </c>
      <c r="CR197" s="134">
        <v>0</v>
      </c>
      <c r="CS197" s="134">
        <f>CR197*H197</f>
        <v>0</v>
      </c>
      <c r="CT197" s="134">
        <v>0</v>
      </c>
      <c r="CU197" s="135">
        <f>CT197*H197</f>
        <v>0</v>
      </c>
      <c r="DS197" s="136" t="s">
        <v>95</v>
      </c>
      <c r="DU197" s="136" t="s">
        <v>284</v>
      </c>
      <c r="DV197" s="136" t="s">
        <v>83</v>
      </c>
      <c r="DZ197" s="16" t="s">
        <v>282</v>
      </c>
      <c r="EF197" s="137">
        <f>IF(CO197="základní",J197,0)</f>
        <v>549.89</v>
      </c>
      <c r="EG197" s="137">
        <f>IF(CO197="snížená",J197,0)</f>
        <v>0</v>
      </c>
      <c r="EH197" s="137">
        <f>IF(CO197="zákl. přenesená",J197,0)</f>
        <v>0</v>
      </c>
      <c r="EI197" s="137">
        <f>IF(CO197="sníž. přenesená",J197,0)</f>
        <v>0</v>
      </c>
      <c r="EJ197" s="137">
        <f>IF(CO197="nulová",J197,0)</f>
        <v>0</v>
      </c>
      <c r="EK197" s="16" t="s">
        <v>81</v>
      </c>
      <c r="EL197" s="137">
        <f>ROUND(I197*H197,2)</f>
        <v>549.89</v>
      </c>
      <c r="EM197" s="16" t="s">
        <v>95</v>
      </c>
      <c r="EN197" s="136" t="s">
        <v>412</v>
      </c>
    </row>
    <row r="198" spans="2:144" s="1" customFormat="1" ht="19.5" x14ac:dyDescent="0.2">
      <c r="B198" s="31"/>
      <c r="D198" s="138" t="s">
        <v>289</v>
      </c>
      <c r="F198" s="139" t="s">
        <v>413</v>
      </c>
      <c r="I198" s="140"/>
      <c r="L198" s="31"/>
      <c r="N198" s="213"/>
      <c r="O198" s="214"/>
      <c r="Q198" s="229"/>
      <c r="CN198" s="141"/>
      <c r="CU198" s="50"/>
      <c r="DU198" s="16" t="s">
        <v>289</v>
      </c>
      <c r="DV198" s="16" t="s">
        <v>83</v>
      </c>
    </row>
    <row r="199" spans="2:144" s="1" customFormat="1" ht="19.5" x14ac:dyDescent="0.2">
      <c r="B199" s="31"/>
      <c r="D199" s="138" t="s">
        <v>299</v>
      </c>
      <c r="F199" s="142" t="s">
        <v>317</v>
      </c>
      <c r="I199" s="140"/>
      <c r="L199" s="31"/>
      <c r="N199" s="213"/>
      <c r="O199" s="214"/>
      <c r="Q199" s="229"/>
      <c r="CN199" s="141"/>
      <c r="CU199" s="50"/>
      <c r="DU199" s="16" t="s">
        <v>299</v>
      </c>
      <c r="DV199" s="16" t="s">
        <v>83</v>
      </c>
    </row>
    <row r="200" spans="2:144" s="12" customFormat="1" x14ac:dyDescent="0.2">
      <c r="B200" s="149"/>
      <c r="D200" s="138" t="s">
        <v>301</v>
      </c>
      <c r="E200" s="150" t="s">
        <v>1</v>
      </c>
      <c r="F200" s="151" t="s">
        <v>1059</v>
      </c>
      <c r="H200" s="152">
        <v>85.05</v>
      </c>
      <c r="I200" s="153"/>
      <c r="L200" s="149"/>
      <c r="N200" s="217">
        <f>66.44*1.05</f>
        <v>69.762</v>
      </c>
      <c r="O200" s="218" t="s">
        <v>3445</v>
      </c>
      <c r="Q200" s="231"/>
      <c r="CN200" s="154"/>
      <c r="CU200" s="155"/>
      <c r="DU200" s="150" t="s">
        <v>301</v>
      </c>
      <c r="DV200" s="150" t="s">
        <v>83</v>
      </c>
      <c r="DW200" s="12" t="s">
        <v>83</v>
      </c>
      <c r="DX200" s="12" t="s">
        <v>32</v>
      </c>
      <c r="DY200" s="12" t="s">
        <v>74</v>
      </c>
      <c r="DZ200" s="150" t="s">
        <v>282</v>
      </c>
    </row>
    <row r="201" spans="2:144" s="12" customFormat="1" x14ac:dyDescent="0.2">
      <c r="B201" s="149"/>
      <c r="D201" s="138" t="s">
        <v>301</v>
      </c>
      <c r="E201" s="150" t="s">
        <v>1</v>
      </c>
      <c r="F201" s="151" t="s">
        <v>1049</v>
      </c>
      <c r="H201" s="152">
        <v>1.35</v>
      </c>
      <c r="I201" s="153"/>
      <c r="L201" s="149"/>
      <c r="N201" s="310">
        <f>H201</f>
        <v>1.35</v>
      </c>
      <c r="O201" s="218"/>
      <c r="Q201" s="231"/>
      <c r="CN201" s="154"/>
      <c r="CU201" s="155"/>
      <c r="DU201" s="150" t="s">
        <v>301</v>
      </c>
      <c r="DV201" s="150" t="s">
        <v>83</v>
      </c>
      <c r="DW201" s="12" t="s">
        <v>83</v>
      </c>
      <c r="DX201" s="12" t="s">
        <v>32</v>
      </c>
      <c r="DY201" s="12" t="s">
        <v>74</v>
      </c>
      <c r="DZ201" s="150" t="s">
        <v>282</v>
      </c>
    </row>
    <row r="202" spans="2:144" s="13" customFormat="1" x14ac:dyDescent="0.2">
      <c r="B202" s="156"/>
      <c r="D202" s="138" t="s">
        <v>301</v>
      </c>
      <c r="E202" s="157" t="s">
        <v>1</v>
      </c>
      <c r="F202" s="158" t="s">
        <v>305</v>
      </c>
      <c r="H202" s="159">
        <v>86.399999999999991</v>
      </c>
      <c r="I202" s="160"/>
      <c r="L202" s="156"/>
      <c r="N202" s="311">
        <f>N200+N201</f>
        <v>71.111999999999995</v>
      </c>
      <c r="O202" s="220"/>
      <c r="Q202" s="232"/>
      <c r="CN202" s="161"/>
      <c r="CU202" s="162"/>
      <c r="DU202" s="157" t="s">
        <v>301</v>
      </c>
      <c r="DV202" s="157" t="s">
        <v>83</v>
      </c>
      <c r="DW202" s="13" t="s">
        <v>95</v>
      </c>
      <c r="DX202" s="13" t="s">
        <v>32</v>
      </c>
      <c r="DY202" s="13" t="s">
        <v>81</v>
      </c>
      <c r="DZ202" s="157" t="s">
        <v>282</v>
      </c>
    </row>
    <row r="203" spans="2:144" s="13" customFormat="1" x14ac:dyDescent="0.2">
      <c r="B203" s="156"/>
      <c r="D203" s="138"/>
      <c r="E203" s="157"/>
      <c r="F203" s="158"/>
      <c r="H203" s="159"/>
      <c r="I203" s="160"/>
      <c r="L203" s="156"/>
      <c r="N203" s="311">
        <f>N202-H202</f>
        <v>-15.287999999999997</v>
      </c>
      <c r="O203" s="220"/>
      <c r="Q203" s="232"/>
      <c r="CN203" s="161"/>
      <c r="CU203" s="162"/>
      <c r="DU203" s="157"/>
      <c r="DV203" s="157"/>
      <c r="DZ203" s="157"/>
    </row>
    <row r="204" spans="2:144" s="1" customFormat="1" ht="24.2" customHeight="1" x14ac:dyDescent="0.2">
      <c r="B204" s="124"/>
      <c r="C204" s="125" t="s">
        <v>397</v>
      </c>
      <c r="D204" s="125" t="s">
        <v>284</v>
      </c>
      <c r="E204" s="126" t="s">
        <v>416</v>
      </c>
      <c r="F204" s="127" t="s">
        <v>417</v>
      </c>
      <c r="G204" s="128" t="s">
        <v>418</v>
      </c>
      <c r="H204" s="129">
        <v>335.423</v>
      </c>
      <c r="I204" s="130">
        <v>110.6455721</v>
      </c>
      <c r="J204" s="131">
        <f>ROUND(I204*H204,2)</f>
        <v>37113.07</v>
      </c>
      <c r="K204" s="127" t="s">
        <v>293</v>
      </c>
      <c r="L204" s="268">
        <f>S204</f>
        <v>0</v>
      </c>
      <c r="M204" s="272">
        <f>ROUND(L204*I204,2)</f>
        <v>0</v>
      </c>
      <c r="N204" s="243">
        <f>N207</f>
        <v>-59.166200000000003</v>
      </c>
      <c r="O204" s="294">
        <f>ROUND(N204*I204,2)</f>
        <v>-6546.48</v>
      </c>
      <c r="P204" s="273">
        <f>H204-L204-N204</f>
        <v>394.58920000000001</v>
      </c>
      <c r="Q204" s="287">
        <f>ROUND(P204*I204,2)</f>
        <v>43659.55</v>
      </c>
      <c r="R204" s="137"/>
      <c r="S204" s="269">
        <f>W204+Y204+AA204+AC204+AE204+AG204+AI204+AK204</f>
        <v>0</v>
      </c>
      <c r="T204" s="269">
        <f>ROUND(S204*I204,2)</f>
        <v>0</v>
      </c>
      <c r="U204" s="269">
        <f>H204-S204</f>
        <v>335.423</v>
      </c>
      <c r="V204" s="269">
        <f>ROUND(U204*I204,2)</f>
        <v>37113.07</v>
      </c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CN204" s="132" t="s">
        <v>1</v>
      </c>
      <c r="CO204" s="133" t="s">
        <v>40</v>
      </c>
      <c r="CQ204" s="134">
        <f>CP204*H204</f>
        <v>0</v>
      </c>
      <c r="CR204" s="134">
        <v>0</v>
      </c>
      <c r="CS204" s="134">
        <f>CR204*H204</f>
        <v>0</v>
      </c>
      <c r="CT204" s="134">
        <v>0</v>
      </c>
      <c r="CU204" s="135">
        <f>CT204*H204</f>
        <v>0</v>
      </c>
      <c r="DS204" s="136" t="s">
        <v>95</v>
      </c>
      <c r="DU204" s="136" t="s">
        <v>284</v>
      </c>
      <c r="DV204" s="136" t="s">
        <v>83</v>
      </c>
      <c r="DZ204" s="16" t="s">
        <v>282</v>
      </c>
      <c r="EF204" s="137">
        <f>IF(CO204="základní",J204,0)</f>
        <v>37113.07</v>
      </c>
      <c r="EG204" s="137">
        <f>IF(CO204="snížená",J204,0)</f>
        <v>0</v>
      </c>
      <c r="EH204" s="137">
        <f>IF(CO204="zákl. přenesená",J204,0)</f>
        <v>0</v>
      </c>
      <c r="EI204" s="137">
        <f>IF(CO204="sníž. přenesená",J204,0)</f>
        <v>0</v>
      </c>
      <c r="EJ204" s="137">
        <f>IF(CO204="nulová",J204,0)</f>
        <v>0</v>
      </c>
      <c r="EK204" s="16" t="s">
        <v>81</v>
      </c>
      <c r="EL204" s="137">
        <f>ROUND(I204*H204,2)</f>
        <v>37113.07</v>
      </c>
      <c r="EM204" s="16" t="s">
        <v>95</v>
      </c>
      <c r="EN204" s="136" t="s">
        <v>419</v>
      </c>
    </row>
    <row r="205" spans="2:144" s="1" customFormat="1" ht="29.25" x14ac:dyDescent="0.2">
      <c r="B205" s="31"/>
      <c r="D205" s="138" t="s">
        <v>289</v>
      </c>
      <c r="F205" s="139" t="s">
        <v>420</v>
      </c>
      <c r="I205" s="140"/>
      <c r="L205" s="31"/>
      <c r="N205" s="213"/>
      <c r="O205" s="214"/>
      <c r="Q205" s="229"/>
      <c r="CN205" s="141"/>
      <c r="CU205" s="50"/>
      <c r="DU205" s="16" t="s">
        <v>289</v>
      </c>
      <c r="DV205" s="16" t="s">
        <v>83</v>
      </c>
    </row>
    <row r="206" spans="2:144" s="12" customFormat="1" x14ac:dyDescent="0.2">
      <c r="B206" s="149"/>
      <c r="D206" s="138" t="s">
        <v>301</v>
      </c>
      <c r="F206" s="151" t="s">
        <v>1060</v>
      </c>
      <c r="H206" s="152">
        <v>335.423</v>
      </c>
      <c r="I206" s="153"/>
      <c r="L206" s="149"/>
      <c r="N206" s="217">
        <f>153.476*1.8</f>
        <v>276.2568</v>
      </c>
      <c r="O206" s="218" t="s">
        <v>3452</v>
      </c>
      <c r="Q206" s="231"/>
      <c r="CN206" s="154"/>
      <c r="CU206" s="155"/>
      <c r="DU206" s="150" t="s">
        <v>301</v>
      </c>
      <c r="DV206" s="150" t="s">
        <v>83</v>
      </c>
      <c r="DW206" s="12" t="s">
        <v>83</v>
      </c>
      <c r="DX206" s="12" t="s">
        <v>3</v>
      </c>
      <c r="DY206" s="12" t="s">
        <v>81</v>
      </c>
      <c r="DZ206" s="150" t="s">
        <v>282</v>
      </c>
    </row>
    <row r="207" spans="2:144" s="12" customFormat="1" x14ac:dyDescent="0.2">
      <c r="B207" s="149"/>
      <c r="D207" s="138"/>
      <c r="F207" s="151"/>
      <c r="H207" s="152"/>
      <c r="I207" s="153"/>
      <c r="L207" s="149"/>
      <c r="N207" s="310">
        <f>N206-H206</f>
        <v>-59.166200000000003</v>
      </c>
      <c r="O207" s="218"/>
      <c r="Q207" s="231"/>
      <c r="CN207" s="154"/>
      <c r="CU207" s="155"/>
      <c r="DU207" s="150"/>
      <c r="DV207" s="150"/>
      <c r="DZ207" s="150"/>
    </row>
    <row r="208" spans="2:144" s="1" customFormat="1" ht="24.2" customHeight="1" x14ac:dyDescent="0.2">
      <c r="B208" s="124"/>
      <c r="C208" s="125" t="s">
        <v>404</v>
      </c>
      <c r="D208" s="125" t="s">
        <v>284</v>
      </c>
      <c r="E208" s="126" t="s">
        <v>423</v>
      </c>
      <c r="F208" s="127" t="s">
        <v>424</v>
      </c>
      <c r="G208" s="128" t="s">
        <v>366</v>
      </c>
      <c r="H208" s="129">
        <v>163.46100000000001</v>
      </c>
      <c r="I208" s="130">
        <v>140.64048227116101</v>
      </c>
      <c r="J208" s="131">
        <f>ROUND(I208*H208,2)</f>
        <v>22989.23</v>
      </c>
      <c r="K208" s="127" t="s">
        <v>293</v>
      </c>
      <c r="L208" s="268">
        <f>S208</f>
        <v>0</v>
      </c>
      <c r="M208" s="272">
        <f>ROUND(L208*I208,2)</f>
        <v>0</v>
      </c>
      <c r="N208" s="243">
        <f>N222</f>
        <v>-29.047500000000014</v>
      </c>
      <c r="O208" s="294">
        <f>ROUND(N208*I208,2)</f>
        <v>-4085.25</v>
      </c>
      <c r="P208" s="273">
        <f>H208-L208-N208</f>
        <v>192.50850000000003</v>
      </c>
      <c r="Q208" s="287">
        <f>ROUND(P208*I208,2)</f>
        <v>27074.49</v>
      </c>
      <c r="R208" s="137"/>
      <c r="S208" s="269">
        <f>W208+Y208+AA208+AC208+AE208+AG208+AI208+AK208</f>
        <v>0</v>
      </c>
      <c r="T208" s="269">
        <f>ROUND(S208*I208,2)</f>
        <v>0</v>
      </c>
      <c r="U208" s="269">
        <f>H208-S208</f>
        <v>163.46100000000001</v>
      </c>
      <c r="V208" s="269">
        <f>ROUND(U208*I208,2)</f>
        <v>22989.23</v>
      </c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CN208" s="132" t="s">
        <v>1</v>
      </c>
      <c r="CO208" s="133" t="s">
        <v>40</v>
      </c>
      <c r="CQ208" s="134">
        <f>CP208*H208</f>
        <v>0</v>
      </c>
      <c r="CR208" s="134">
        <v>0</v>
      </c>
      <c r="CS208" s="134">
        <f>CR208*H208</f>
        <v>0</v>
      </c>
      <c r="CT208" s="134">
        <v>0</v>
      </c>
      <c r="CU208" s="135">
        <f>CT208*H208</f>
        <v>0</v>
      </c>
      <c r="DS208" s="136" t="s">
        <v>95</v>
      </c>
      <c r="DU208" s="136" t="s">
        <v>284</v>
      </c>
      <c r="DV208" s="136" t="s">
        <v>83</v>
      </c>
      <c r="DZ208" s="16" t="s">
        <v>282</v>
      </c>
      <c r="EF208" s="137">
        <f>IF(CO208="základní",J208,0)</f>
        <v>22989.23</v>
      </c>
      <c r="EG208" s="137">
        <f>IF(CO208="snížená",J208,0)</f>
        <v>0</v>
      </c>
      <c r="EH208" s="137">
        <f>IF(CO208="zákl. přenesená",J208,0)</f>
        <v>0</v>
      </c>
      <c r="EI208" s="137">
        <f>IF(CO208="sníž. přenesená",J208,0)</f>
        <v>0</v>
      </c>
      <c r="EJ208" s="137">
        <f>IF(CO208="nulová",J208,0)</f>
        <v>0</v>
      </c>
      <c r="EK208" s="16" t="s">
        <v>81</v>
      </c>
      <c r="EL208" s="137">
        <f>ROUND(I208*H208,2)</f>
        <v>22989.23</v>
      </c>
      <c r="EM208" s="16" t="s">
        <v>95</v>
      </c>
      <c r="EN208" s="136" t="s">
        <v>425</v>
      </c>
    </row>
    <row r="209" spans="2:144" s="1" customFormat="1" ht="29.25" x14ac:dyDescent="0.2">
      <c r="B209" s="31"/>
      <c r="D209" s="138" t="s">
        <v>289</v>
      </c>
      <c r="F209" s="139" t="s">
        <v>426</v>
      </c>
      <c r="I209" s="140"/>
      <c r="L209" s="31"/>
      <c r="N209" s="213"/>
      <c r="O209" s="214"/>
      <c r="Q209" s="229"/>
      <c r="CN209" s="141"/>
      <c r="CU209" s="50"/>
      <c r="DU209" s="16" t="s">
        <v>289</v>
      </c>
      <c r="DV209" s="16" t="s">
        <v>83</v>
      </c>
    </row>
    <row r="210" spans="2:144" s="11" customFormat="1" x14ac:dyDescent="0.2">
      <c r="B210" s="143"/>
      <c r="D210" s="138" t="s">
        <v>301</v>
      </c>
      <c r="E210" s="144" t="s">
        <v>1</v>
      </c>
      <c r="F210" s="145" t="s">
        <v>427</v>
      </c>
      <c r="H210" s="144" t="s">
        <v>1</v>
      </c>
      <c r="I210" s="146"/>
      <c r="L210" s="143"/>
      <c r="N210" s="215"/>
      <c r="O210" s="216"/>
      <c r="Q210" s="230"/>
      <c r="CN210" s="147"/>
      <c r="CU210" s="148"/>
      <c r="DU210" s="144" t="s">
        <v>301</v>
      </c>
      <c r="DV210" s="144" t="s">
        <v>83</v>
      </c>
      <c r="DW210" s="11" t="s">
        <v>81</v>
      </c>
      <c r="DX210" s="11" t="s">
        <v>32</v>
      </c>
      <c r="DY210" s="11" t="s">
        <v>74</v>
      </c>
      <c r="DZ210" s="144" t="s">
        <v>282</v>
      </c>
    </row>
    <row r="211" spans="2:144" s="12" customFormat="1" x14ac:dyDescent="0.2">
      <c r="B211" s="149"/>
      <c r="D211" s="138" t="s">
        <v>301</v>
      </c>
      <c r="E211" s="150" t="s">
        <v>1</v>
      </c>
      <c r="F211" s="151" t="s">
        <v>1057</v>
      </c>
      <c r="H211" s="152">
        <v>186.346</v>
      </c>
      <c r="I211" s="153"/>
      <c r="L211" s="149"/>
      <c r="N211" s="217">
        <f>76.738+76.738</f>
        <v>153.476</v>
      </c>
      <c r="O211" s="218" t="s">
        <v>3450</v>
      </c>
      <c r="Q211" s="231"/>
      <c r="CN211" s="154"/>
      <c r="CU211" s="155"/>
      <c r="DU211" s="150" t="s">
        <v>301</v>
      </c>
      <c r="DV211" s="150" t="s">
        <v>83</v>
      </c>
      <c r="DW211" s="12" t="s">
        <v>83</v>
      </c>
      <c r="DX211" s="12" t="s">
        <v>32</v>
      </c>
      <c r="DY211" s="12" t="s">
        <v>74</v>
      </c>
      <c r="DZ211" s="150" t="s">
        <v>282</v>
      </c>
    </row>
    <row r="212" spans="2:144" s="11" customFormat="1" x14ac:dyDescent="0.2">
      <c r="B212" s="143"/>
      <c r="D212" s="138" t="s">
        <v>301</v>
      </c>
      <c r="E212" s="144" t="s">
        <v>1</v>
      </c>
      <c r="F212" s="145" t="s">
        <v>428</v>
      </c>
      <c r="H212" s="144" t="s">
        <v>1</v>
      </c>
      <c r="I212" s="146"/>
      <c r="L212" s="143"/>
      <c r="N212" s="215"/>
      <c r="O212" s="216"/>
      <c r="Q212" s="230"/>
      <c r="CN212" s="147"/>
      <c r="CU212" s="148"/>
      <c r="DU212" s="144" t="s">
        <v>301</v>
      </c>
      <c r="DV212" s="144" t="s">
        <v>83</v>
      </c>
      <c r="DW212" s="11" t="s">
        <v>81</v>
      </c>
      <c r="DX212" s="11" t="s">
        <v>32</v>
      </c>
      <c r="DY212" s="11" t="s">
        <v>74</v>
      </c>
      <c r="DZ212" s="144" t="s">
        <v>282</v>
      </c>
    </row>
    <row r="213" spans="2:144" s="12" customFormat="1" x14ac:dyDescent="0.2">
      <c r="B213" s="149"/>
      <c r="D213" s="138" t="s">
        <v>301</v>
      </c>
      <c r="E213" s="150" t="s">
        <v>1</v>
      </c>
      <c r="F213" s="151" t="s">
        <v>1061</v>
      </c>
      <c r="H213" s="152">
        <v>-46.777999999999999</v>
      </c>
      <c r="I213" s="153"/>
      <c r="L213" s="149"/>
      <c r="N213" s="217">
        <f>-N230</f>
        <v>-38.369100000000003</v>
      </c>
      <c r="O213" s="218"/>
      <c r="Q213" s="231"/>
      <c r="CN213" s="154"/>
      <c r="CU213" s="155"/>
      <c r="DU213" s="150" t="s">
        <v>301</v>
      </c>
      <c r="DV213" s="150" t="s">
        <v>83</v>
      </c>
      <c r="DW213" s="12" t="s">
        <v>83</v>
      </c>
      <c r="DX213" s="12" t="s">
        <v>32</v>
      </c>
      <c r="DY213" s="12" t="s">
        <v>74</v>
      </c>
      <c r="DZ213" s="150" t="s">
        <v>282</v>
      </c>
    </row>
    <row r="214" spans="2:144" s="11" customFormat="1" x14ac:dyDescent="0.2">
      <c r="B214" s="143"/>
      <c r="D214" s="138" t="s">
        <v>301</v>
      </c>
      <c r="E214" s="144" t="s">
        <v>1</v>
      </c>
      <c r="F214" s="145" t="s">
        <v>430</v>
      </c>
      <c r="H214" s="144" t="s">
        <v>1</v>
      </c>
      <c r="I214" s="146"/>
      <c r="L214" s="143"/>
      <c r="N214" s="215"/>
      <c r="O214" s="216"/>
      <c r="Q214" s="230"/>
      <c r="CN214" s="147"/>
      <c r="CU214" s="148"/>
      <c r="DU214" s="144" t="s">
        <v>301</v>
      </c>
      <c r="DV214" s="144" t="s">
        <v>83</v>
      </c>
      <c r="DW214" s="11" t="s">
        <v>81</v>
      </c>
      <c r="DX214" s="11" t="s">
        <v>32</v>
      </c>
      <c r="DY214" s="11" t="s">
        <v>74</v>
      </c>
      <c r="DZ214" s="144" t="s">
        <v>282</v>
      </c>
    </row>
    <row r="215" spans="2:144" s="12" customFormat="1" x14ac:dyDescent="0.2">
      <c r="B215" s="149"/>
      <c r="D215" s="138" t="s">
        <v>301</v>
      </c>
      <c r="E215" s="150" t="s">
        <v>1</v>
      </c>
      <c r="F215" s="151" t="s">
        <v>1062</v>
      </c>
      <c r="H215" s="152">
        <v>-8.9550000000000001</v>
      </c>
      <c r="I215" s="153"/>
      <c r="L215" s="149"/>
      <c r="N215" s="217">
        <f>-N247-0.45</f>
        <v>-7.4262000000000006</v>
      </c>
      <c r="O215" s="218"/>
      <c r="Q215" s="231"/>
      <c r="CN215" s="154"/>
      <c r="CU215" s="155"/>
      <c r="DU215" s="150" t="s">
        <v>301</v>
      </c>
      <c r="DV215" s="150" t="s">
        <v>83</v>
      </c>
      <c r="DW215" s="12" t="s">
        <v>83</v>
      </c>
      <c r="DX215" s="12" t="s">
        <v>32</v>
      </c>
      <c r="DY215" s="12" t="s">
        <v>74</v>
      </c>
      <c r="DZ215" s="150" t="s">
        <v>282</v>
      </c>
    </row>
    <row r="216" spans="2:144" s="11" customFormat="1" x14ac:dyDescent="0.2">
      <c r="B216" s="143"/>
      <c r="D216" s="138" t="s">
        <v>301</v>
      </c>
      <c r="E216" s="144" t="s">
        <v>1</v>
      </c>
      <c r="F216" s="145" t="s">
        <v>432</v>
      </c>
      <c r="H216" s="144" t="s">
        <v>1</v>
      </c>
      <c r="I216" s="146"/>
      <c r="L216" s="143"/>
      <c r="N216" s="215"/>
      <c r="O216" s="216"/>
      <c r="Q216" s="230"/>
      <c r="CN216" s="147"/>
      <c r="CU216" s="148"/>
      <c r="DU216" s="144" t="s">
        <v>301</v>
      </c>
      <c r="DV216" s="144" t="s">
        <v>83</v>
      </c>
      <c r="DW216" s="11" t="s">
        <v>81</v>
      </c>
      <c r="DX216" s="11" t="s">
        <v>32</v>
      </c>
      <c r="DY216" s="11" t="s">
        <v>74</v>
      </c>
      <c r="DZ216" s="144" t="s">
        <v>282</v>
      </c>
    </row>
    <row r="217" spans="2:144" s="12" customFormat="1" x14ac:dyDescent="0.2">
      <c r="B217" s="149"/>
      <c r="D217" s="138" t="s">
        <v>301</v>
      </c>
      <c r="E217" s="150" t="s">
        <v>1</v>
      </c>
      <c r="F217" s="151" t="s">
        <v>1063</v>
      </c>
      <c r="H217" s="152">
        <v>-0.24199999999999999</v>
      </c>
      <c r="I217" s="153"/>
      <c r="L217" s="149"/>
      <c r="N217" s="310">
        <f>H217</f>
        <v>-0.24199999999999999</v>
      </c>
      <c r="O217" s="218"/>
      <c r="Q217" s="231"/>
      <c r="CN217" s="154"/>
      <c r="CU217" s="155"/>
      <c r="DU217" s="150" t="s">
        <v>301</v>
      </c>
      <c r="DV217" s="150" t="s">
        <v>83</v>
      </c>
      <c r="DW217" s="12" t="s">
        <v>83</v>
      </c>
      <c r="DX217" s="12" t="s">
        <v>32</v>
      </c>
      <c r="DY217" s="12" t="s">
        <v>74</v>
      </c>
      <c r="DZ217" s="150" t="s">
        <v>282</v>
      </c>
    </row>
    <row r="218" spans="2:144" s="12" customFormat="1" x14ac:dyDescent="0.2">
      <c r="B218" s="149"/>
      <c r="D218" s="138" t="s">
        <v>301</v>
      </c>
      <c r="E218" s="150" t="s">
        <v>1</v>
      </c>
      <c r="F218" s="151" t="s">
        <v>993</v>
      </c>
      <c r="H218" s="152">
        <v>-1.47</v>
      </c>
      <c r="I218" s="153"/>
      <c r="L218" s="149"/>
      <c r="N218" s="310">
        <f>H218</f>
        <v>-1.47</v>
      </c>
      <c r="O218" s="218"/>
      <c r="Q218" s="231"/>
      <c r="CN218" s="154"/>
      <c r="CU218" s="155"/>
      <c r="DU218" s="150" t="s">
        <v>301</v>
      </c>
      <c r="DV218" s="150" t="s">
        <v>83</v>
      </c>
      <c r="DW218" s="12" t="s">
        <v>83</v>
      </c>
      <c r="DX218" s="12" t="s">
        <v>32</v>
      </c>
      <c r="DY218" s="12" t="s">
        <v>74</v>
      </c>
      <c r="DZ218" s="150" t="s">
        <v>282</v>
      </c>
    </row>
    <row r="219" spans="2:144" s="11" customFormat="1" x14ac:dyDescent="0.2">
      <c r="B219" s="143"/>
      <c r="D219" s="138" t="s">
        <v>301</v>
      </c>
      <c r="E219" s="144" t="s">
        <v>1</v>
      </c>
      <c r="F219" s="145" t="s">
        <v>436</v>
      </c>
      <c r="H219" s="144" t="s">
        <v>1</v>
      </c>
      <c r="I219" s="146"/>
      <c r="L219" s="143"/>
      <c r="N219" s="215"/>
      <c r="O219" s="216"/>
      <c r="Q219" s="230"/>
      <c r="CN219" s="147"/>
      <c r="CU219" s="148"/>
      <c r="DU219" s="144" t="s">
        <v>301</v>
      </c>
      <c r="DV219" s="144" t="s">
        <v>83</v>
      </c>
      <c r="DW219" s="11" t="s">
        <v>81</v>
      </c>
      <c r="DX219" s="11" t="s">
        <v>32</v>
      </c>
      <c r="DY219" s="11" t="s">
        <v>74</v>
      </c>
      <c r="DZ219" s="144" t="s">
        <v>282</v>
      </c>
    </row>
    <row r="220" spans="2:144" s="12" customFormat="1" x14ac:dyDescent="0.2">
      <c r="B220" s="149"/>
      <c r="D220" s="138" t="s">
        <v>301</v>
      </c>
      <c r="E220" s="150" t="s">
        <v>1</v>
      </c>
      <c r="F220" s="151" t="s">
        <v>1064</v>
      </c>
      <c r="H220" s="152">
        <v>34.56</v>
      </c>
      <c r="I220" s="153"/>
      <c r="L220" s="149"/>
      <c r="N220" s="217">
        <f>71.112*(0.45-0.05)</f>
        <v>28.444800000000001</v>
      </c>
      <c r="O220" s="218" t="s">
        <v>3457</v>
      </c>
      <c r="Q220" s="231"/>
      <c r="CN220" s="154"/>
      <c r="CU220" s="155"/>
      <c r="DU220" s="150" t="s">
        <v>301</v>
      </c>
      <c r="DV220" s="150" t="s">
        <v>83</v>
      </c>
      <c r="DW220" s="12" t="s">
        <v>83</v>
      </c>
      <c r="DX220" s="12" t="s">
        <v>32</v>
      </c>
      <c r="DY220" s="12" t="s">
        <v>74</v>
      </c>
      <c r="DZ220" s="150" t="s">
        <v>282</v>
      </c>
    </row>
    <row r="221" spans="2:144" s="13" customFormat="1" x14ac:dyDescent="0.2">
      <c r="B221" s="156"/>
      <c r="D221" s="138" t="s">
        <v>301</v>
      </c>
      <c r="E221" s="157" t="s">
        <v>1</v>
      </c>
      <c r="F221" s="158" t="s">
        <v>305</v>
      </c>
      <c r="H221" s="159">
        <v>163.46100000000001</v>
      </c>
      <c r="I221" s="160"/>
      <c r="L221" s="156"/>
      <c r="N221" s="311">
        <f>N211+N213+N215+N217+N218+N220</f>
        <v>134.4135</v>
      </c>
      <c r="O221" s="220"/>
      <c r="Q221" s="232"/>
      <c r="CN221" s="161"/>
      <c r="CU221" s="162"/>
      <c r="DU221" s="157" t="s">
        <v>301</v>
      </c>
      <c r="DV221" s="157" t="s">
        <v>83</v>
      </c>
      <c r="DW221" s="13" t="s">
        <v>95</v>
      </c>
      <c r="DX221" s="13" t="s">
        <v>32</v>
      </c>
      <c r="DY221" s="13" t="s">
        <v>81</v>
      </c>
      <c r="DZ221" s="157" t="s">
        <v>282</v>
      </c>
    </row>
    <row r="222" spans="2:144" s="13" customFormat="1" x14ac:dyDescent="0.2">
      <c r="B222" s="156"/>
      <c r="D222" s="138"/>
      <c r="E222" s="157"/>
      <c r="F222" s="158"/>
      <c r="H222" s="159"/>
      <c r="I222" s="160"/>
      <c r="L222" s="156"/>
      <c r="N222" s="311">
        <f>N221-H221</f>
        <v>-29.047500000000014</v>
      </c>
      <c r="O222" s="220"/>
      <c r="Q222" s="232"/>
      <c r="CN222" s="161"/>
      <c r="CU222" s="162"/>
      <c r="DU222" s="157"/>
      <c r="DV222" s="157"/>
      <c r="DZ222" s="157"/>
    </row>
    <row r="223" spans="2:144" s="1" customFormat="1" ht="14.45" customHeight="1" x14ac:dyDescent="0.2">
      <c r="B223" s="124"/>
      <c r="C223" s="170" t="s">
        <v>7</v>
      </c>
      <c r="D223" s="170" t="s">
        <v>439</v>
      </c>
      <c r="E223" s="171" t="s">
        <v>440</v>
      </c>
      <c r="F223" s="172" t="s">
        <v>441</v>
      </c>
      <c r="G223" s="173" t="s">
        <v>418</v>
      </c>
      <c r="H223" s="174">
        <v>326.92200000000003</v>
      </c>
      <c r="I223" s="175">
        <v>390.0974172</v>
      </c>
      <c r="J223" s="176">
        <f>ROUND(I223*H223,2)</f>
        <v>127531.43</v>
      </c>
      <c r="K223" s="172" t="s">
        <v>293</v>
      </c>
      <c r="L223" s="268">
        <f>S223</f>
        <v>0</v>
      </c>
      <c r="M223" s="272">
        <f>ROUND(L223*I223,2)</f>
        <v>0</v>
      </c>
      <c r="N223" s="243">
        <f>N226</f>
        <v>-58.095999999999997</v>
      </c>
      <c r="O223" s="294">
        <f>ROUND(N223*I223,2)</f>
        <v>-22663.1</v>
      </c>
      <c r="P223" s="273">
        <f>H223-L223-N223</f>
        <v>385.01800000000003</v>
      </c>
      <c r="Q223" s="287">
        <f>ROUND(P223*I223,2)</f>
        <v>150194.53</v>
      </c>
      <c r="R223" s="137"/>
      <c r="S223" s="269">
        <f>W223+Y223+AA223+AC223+AE223+AG223+AI223+AK223</f>
        <v>0</v>
      </c>
      <c r="T223" s="269">
        <f>ROUND(S223*I223,2)</f>
        <v>0</v>
      </c>
      <c r="U223" s="269">
        <f>H223-S223</f>
        <v>326.92200000000003</v>
      </c>
      <c r="V223" s="269">
        <f>ROUND(U223*I223,2)</f>
        <v>127531.43</v>
      </c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  <c r="AJ223" s="290"/>
      <c r="AK223" s="290"/>
      <c r="AL223" s="290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77" t="s">
        <v>1</v>
      </c>
      <c r="CO223" s="178" t="s">
        <v>40</v>
      </c>
      <c r="CQ223" s="134">
        <f>CP223*H223</f>
        <v>0</v>
      </c>
      <c r="CR223" s="134">
        <v>1</v>
      </c>
      <c r="CS223" s="134">
        <f>CR223*H223</f>
        <v>326.92200000000003</v>
      </c>
      <c r="CT223" s="134">
        <v>0</v>
      </c>
      <c r="CU223" s="135">
        <f>CT223*H223</f>
        <v>0</v>
      </c>
      <c r="DS223" s="136" t="s">
        <v>328</v>
      </c>
      <c r="DU223" s="136" t="s">
        <v>439</v>
      </c>
      <c r="DV223" s="136" t="s">
        <v>83</v>
      </c>
      <c r="DZ223" s="16" t="s">
        <v>282</v>
      </c>
      <c r="EF223" s="137">
        <f>IF(CO223="základní",J223,0)</f>
        <v>127531.43</v>
      </c>
      <c r="EG223" s="137">
        <f>IF(CO223="snížená",J223,0)</f>
        <v>0</v>
      </c>
      <c r="EH223" s="137">
        <f>IF(CO223="zákl. přenesená",J223,0)</f>
        <v>0</v>
      </c>
      <c r="EI223" s="137">
        <f>IF(CO223="sníž. přenesená",J223,0)</f>
        <v>0</v>
      </c>
      <c r="EJ223" s="137">
        <f>IF(CO223="nulová",J223,0)</f>
        <v>0</v>
      </c>
      <c r="EK223" s="16" t="s">
        <v>81</v>
      </c>
      <c r="EL223" s="137">
        <f>ROUND(I223*H223,2)</f>
        <v>127531.43</v>
      </c>
      <c r="EM223" s="16" t="s">
        <v>95</v>
      </c>
      <c r="EN223" s="136" t="s">
        <v>442</v>
      </c>
    </row>
    <row r="224" spans="2:144" s="1" customFormat="1" x14ac:dyDescent="0.2">
      <c r="B224" s="31"/>
      <c r="D224" s="138" t="s">
        <v>289</v>
      </c>
      <c r="F224" s="139" t="s">
        <v>441</v>
      </c>
      <c r="I224" s="140"/>
      <c r="L224" s="31"/>
      <c r="N224" s="213"/>
      <c r="O224" s="214"/>
      <c r="Q224" s="229"/>
      <c r="CN224" s="141"/>
      <c r="CU224" s="50"/>
      <c r="DU224" s="16" t="s">
        <v>289</v>
      </c>
      <c r="DV224" s="16" t="s">
        <v>83</v>
      </c>
    </row>
    <row r="225" spans="2:144" s="1" customFormat="1" ht="19.5" x14ac:dyDescent="0.2">
      <c r="B225" s="31"/>
      <c r="D225" s="138" t="s">
        <v>299</v>
      </c>
      <c r="F225" s="142" t="s">
        <v>443</v>
      </c>
      <c r="I225" s="140"/>
      <c r="L225" s="31"/>
      <c r="N225" s="213"/>
      <c r="O225" s="214"/>
      <c r="Q225" s="229"/>
      <c r="CN225" s="141"/>
      <c r="CU225" s="50"/>
      <c r="DU225" s="16" t="s">
        <v>299</v>
      </c>
      <c r="DV225" s="16" t="s">
        <v>83</v>
      </c>
    </row>
    <row r="226" spans="2:144" s="12" customFormat="1" x14ac:dyDescent="0.2">
      <c r="B226" s="149"/>
      <c r="D226" s="138" t="s">
        <v>301</v>
      </c>
      <c r="F226" s="151" t="s">
        <v>1065</v>
      </c>
      <c r="H226" s="152">
        <v>326.92200000000003</v>
      </c>
      <c r="I226" s="153"/>
      <c r="L226" s="149"/>
      <c r="N226" s="217">
        <f>-29.048*2</f>
        <v>-58.095999999999997</v>
      </c>
      <c r="O226" s="218" t="s">
        <v>3458</v>
      </c>
      <c r="Q226" s="231"/>
      <c r="CN226" s="154"/>
      <c r="CU226" s="155"/>
      <c r="DU226" s="150" t="s">
        <v>301</v>
      </c>
      <c r="DV226" s="150" t="s">
        <v>83</v>
      </c>
      <c r="DW226" s="12" t="s">
        <v>83</v>
      </c>
      <c r="DX226" s="12" t="s">
        <v>3</v>
      </c>
      <c r="DY226" s="12" t="s">
        <v>81</v>
      </c>
      <c r="DZ226" s="150" t="s">
        <v>282</v>
      </c>
    </row>
    <row r="227" spans="2:144" s="1" customFormat="1" ht="24.2" customHeight="1" x14ac:dyDescent="0.2">
      <c r="B227" s="124"/>
      <c r="C227" s="125" t="s">
        <v>415</v>
      </c>
      <c r="D227" s="125" t="s">
        <v>284</v>
      </c>
      <c r="E227" s="126" t="s">
        <v>446</v>
      </c>
      <c r="F227" s="127" t="s">
        <v>447</v>
      </c>
      <c r="G227" s="128" t="s">
        <v>366</v>
      </c>
      <c r="H227" s="129">
        <v>46.777999999999999</v>
      </c>
      <c r="I227" s="130">
        <v>510.38291484661499</v>
      </c>
      <c r="J227" s="131">
        <f>ROUND(I227*H227,2)</f>
        <v>23874.69</v>
      </c>
      <c r="K227" s="127" t="s">
        <v>293</v>
      </c>
      <c r="L227" s="268">
        <f>S227</f>
        <v>0</v>
      </c>
      <c r="M227" s="272">
        <f>ROUND(L227*I227,2)</f>
        <v>0</v>
      </c>
      <c r="N227" s="243">
        <f>N231</f>
        <v>-8.4088999999999956</v>
      </c>
      <c r="O227" s="294">
        <f>ROUND(N227*I227,2)</f>
        <v>-4291.76</v>
      </c>
      <c r="P227" s="273">
        <f>H227-L227-N227</f>
        <v>55.186899999999994</v>
      </c>
      <c r="Q227" s="287">
        <f>ROUND(P227*I227,2)</f>
        <v>28166.45</v>
      </c>
      <c r="R227" s="137"/>
      <c r="S227" s="269">
        <f>W227+Y227+AA227+AC227+AE227+AG227+AI227+AK227</f>
        <v>0</v>
      </c>
      <c r="T227" s="269">
        <f>ROUND(S227*I227,2)</f>
        <v>0</v>
      </c>
      <c r="U227" s="269">
        <f>H227-S227</f>
        <v>46.777999999999999</v>
      </c>
      <c r="V227" s="269">
        <f>ROUND(U227*I227,2)</f>
        <v>23874.69</v>
      </c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CN227" s="132" t="s">
        <v>1</v>
      </c>
      <c r="CO227" s="133" t="s">
        <v>40</v>
      </c>
      <c r="CQ227" s="134">
        <f>CP227*H227</f>
        <v>0</v>
      </c>
      <c r="CR227" s="134">
        <v>0</v>
      </c>
      <c r="CS227" s="134">
        <f>CR227*H227</f>
        <v>0</v>
      </c>
      <c r="CT227" s="134">
        <v>0</v>
      </c>
      <c r="CU227" s="135">
        <f>CT227*H227</f>
        <v>0</v>
      </c>
      <c r="DS227" s="136" t="s">
        <v>95</v>
      </c>
      <c r="DU227" s="136" t="s">
        <v>284</v>
      </c>
      <c r="DV227" s="136" t="s">
        <v>83</v>
      </c>
      <c r="DZ227" s="16" t="s">
        <v>282</v>
      </c>
      <c r="EF227" s="137">
        <f>IF(CO227="základní",J227,0)</f>
        <v>23874.69</v>
      </c>
      <c r="EG227" s="137">
        <f>IF(CO227="snížená",J227,0)</f>
        <v>0</v>
      </c>
      <c r="EH227" s="137">
        <f>IF(CO227="zákl. přenesená",J227,0)</f>
        <v>0</v>
      </c>
      <c r="EI227" s="137">
        <f>IF(CO227="sníž. přenesená",J227,0)</f>
        <v>0</v>
      </c>
      <c r="EJ227" s="137">
        <f>IF(CO227="nulová",J227,0)</f>
        <v>0</v>
      </c>
      <c r="EK227" s="16" t="s">
        <v>81</v>
      </c>
      <c r="EL227" s="137">
        <f>ROUND(I227*H227,2)</f>
        <v>23874.69</v>
      </c>
      <c r="EM227" s="16" t="s">
        <v>95</v>
      </c>
      <c r="EN227" s="136" t="s">
        <v>448</v>
      </c>
    </row>
    <row r="228" spans="2:144" s="1" customFormat="1" ht="39" x14ac:dyDescent="0.2">
      <c r="B228" s="31"/>
      <c r="D228" s="138" t="s">
        <v>289</v>
      </c>
      <c r="F228" s="139" t="s">
        <v>449</v>
      </c>
      <c r="I228" s="140"/>
      <c r="L228" s="31"/>
      <c r="N228" s="213"/>
      <c r="O228" s="214"/>
      <c r="Q228" s="229"/>
      <c r="CN228" s="141"/>
      <c r="CU228" s="50"/>
      <c r="DU228" s="16" t="s">
        <v>289</v>
      </c>
      <c r="DV228" s="16" t="s">
        <v>83</v>
      </c>
    </row>
    <row r="229" spans="2:144" s="1" customFormat="1" ht="19.5" x14ac:dyDescent="0.2">
      <c r="B229" s="31"/>
      <c r="D229" s="138" t="s">
        <v>299</v>
      </c>
      <c r="F229" s="142" t="s">
        <v>317</v>
      </c>
      <c r="I229" s="140"/>
      <c r="L229" s="31"/>
      <c r="N229" s="213"/>
      <c r="O229" s="214"/>
      <c r="Q229" s="229"/>
      <c r="CN229" s="141"/>
      <c r="CU229" s="50"/>
      <c r="DU229" s="16" t="s">
        <v>299</v>
      </c>
      <c r="DV229" s="16" t="s">
        <v>83</v>
      </c>
    </row>
    <row r="230" spans="2:144" s="12" customFormat="1" x14ac:dyDescent="0.2">
      <c r="B230" s="149"/>
      <c r="D230" s="138" t="s">
        <v>301</v>
      </c>
      <c r="E230" s="150" t="s">
        <v>1</v>
      </c>
      <c r="F230" s="151" t="s">
        <v>1066</v>
      </c>
      <c r="H230" s="152">
        <v>46.777999999999999</v>
      </c>
      <c r="I230" s="153"/>
      <c r="L230" s="149"/>
      <c r="N230" s="217">
        <f>66.44*1.05*0.55</f>
        <v>38.369100000000003</v>
      </c>
      <c r="O230" s="218" t="s">
        <v>3453</v>
      </c>
      <c r="Q230" s="231"/>
      <c r="CN230" s="154"/>
      <c r="CU230" s="155"/>
      <c r="DU230" s="150" t="s">
        <v>301</v>
      </c>
      <c r="DV230" s="150" t="s">
        <v>83</v>
      </c>
      <c r="DW230" s="12" t="s">
        <v>83</v>
      </c>
      <c r="DX230" s="12" t="s">
        <v>32</v>
      </c>
      <c r="DY230" s="12" t="s">
        <v>81</v>
      </c>
      <c r="DZ230" s="150" t="s">
        <v>282</v>
      </c>
    </row>
    <row r="231" spans="2:144" s="12" customFormat="1" x14ac:dyDescent="0.2">
      <c r="B231" s="149"/>
      <c r="D231" s="138"/>
      <c r="E231" s="150"/>
      <c r="F231" s="151"/>
      <c r="H231" s="152"/>
      <c r="I231" s="153"/>
      <c r="L231" s="149"/>
      <c r="N231" s="310">
        <f>N230-H230</f>
        <v>-8.4088999999999956</v>
      </c>
      <c r="O231" s="218"/>
      <c r="Q231" s="231"/>
      <c r="CN231" s="154"/>
      <c r="CU231" s="155"/>
      <c r="DU231" s="150"/>
      <c r="DV231" s="150"/>
      <c r="DZ231" s="150"/>
    </row>
    <row r="232" spans="2:144" s="1" customFormat="1" ht="14.45" customHeight="1" x14ac:dyDescent="0.2">
      <c r="B232" s="124"/>
      <c r="C232" s="170" t="s">
        <v>422</v>
      </c>
      <c r="D232" s="170" t="s">
        <v>439</v>
      </c>
      <c r="E232" s="171" t="s">
        <v>452</v>
      </c>
      <c r="F232" s="172" t="s">
        <v>453</v>
      </c>
      <c r="G232" s="173" t="s">
        <v>418</v>
      </c>
      <c r="H232" s="174">
        <v>93.555999999999997</v>
      </c>
      <c r="I232" s="175">
        <v>380.62816190000001</v>
      </c>
      <c r="J232" s="176">
        <f>ROUND(I232*H232,2)</f>
        <v>35610.050000000003</v>
      </c>
      <c r="K232" s="172" t="s">
        <v>293</v>
      </c>
      <c r="L232" s="268">
        <f>S232</f>
        <v>0</v>
      </c>
      <c r="M232" s="272">
        <f>ROUND(L232*I232,2)</f>
        <v>0</v>
      </c>
      <c r="N232" s="243">
        <f>N234</f>
        <v>-16.818000000000001</v>
      </c>
      <c r="O232" s="294">
        <f>ROUND(N232*I232,2)</f>
        <v>-6401.4</v>
      </c>
      <c r="P232" s="273">
        <f>H232-L232-N232</f>
        <v>110.374</v>
      </c>
      <c r="Q232" s="287">
        <f>ROUND(P232*I232,2)</f>
        <v>42011.45</v>
      </c>
      <c r="R232" s="137"/>
      <c r="S232" s="269">
        <f>W232+Y232+AA232+AC232+AE232+AG232+AI232+AK232</f>
        <v>0</v>
      </c>
      <c r="T232" s="269">
        <f>ROUND(S232*I232,2)</f>
        <v>0</v>
      </c>
      <c r="U232" s="269">
        <f>H232-S232</f>
        <v>93.555999999999997</v>
      </c>
      <c r="V232" s="269">
        <f>ROUND(U232*I232,2)</f>
        <v>35610.050000000003</v>
      </c>
      <c r="W232" s="290"/>
      <c r="X232" s="290"/>
      <c r="Y232" s="290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90"/>
      <c r="AK232" s="290"/>
      <c r="AL232" s="290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77" t="s">
        <v>1</v>
      </c>
      <c r="CO232" s="178" t="s">
        <v>40</v>
      </c>
      <c r="CQ232" s="134">
        <f>CP232*H232</f>
        <v>0</v>
      </c>
      <c r="CR232" s="134">
        <v>1</v>
      </c>
      <c r="CS232" s="134">
        <f>CR232*H232</f>
        <v>93.555999999999997</v>
      </c>
      <c r="CT232" s="134">
        <v>0</v>
      </c>
      <c r="CU232" s="135">
        <f>CT232*H232</f>
        <v>0</v>
      </c>
      <c r="DS232" s="136" t="s">
        <v>328</v>
      </c>
      <c r="DU232" s="136" t="s">
        <v>439</v>
      </c>
      <c r="DV232" s="136" t="s">
        <v>83</v>
      </c>
      <c r="DZ232" s="16" t="s">
        <v>282</v>
      </c>
      <c r="EF232" s="137">
        <f>IF(CO232="základní",J232,0)</f>
        <v>35610.050000000003</v>
      </c>
      <c r="EG232" s="137">
        <f>IF(CO232="snížená",J232,0)</f>
        <v>0</v>
      </c>
      <c r="EH232" s="137">
        <f>IF(CO232="zákl. přenesená",J232,0)</f>
        <v>0</v>
      </c>
      <c r="EI232" s="137">
        <f>IF(CO232="sníž. přenesená",J232,0)</f>
        <v>0</v>
      </c>
      <c r="EJ232" s="137">
        <f>IF(CO232="nulová",J232,0)</f>
        <v>0</v>
      </c>
      <c r="EK232" s="16" t="s">
        <v>81</v>
      </c>
      <c r="EL232" s="137">
        <f>ROUND(I232*H232,2)</f>
        <v>35610.050000000003</v>
      </c>
      <c r="EM232" s="16" t="s">
        <v>95</v>
      </c>
      <c r="EN232" s="136" t="s">
        <v>454</v>
      </c>
    </row>
    <row r="233" spans="2:144" s="1" customFormat="1" x14ac:dyDescent="0.2">
      <c r="B233" s="31"/>
      <c r="D233" s="138" t="s">
        <v>289</v>
      </c>
      <c r="F233" s="139" t="s">
        <v>453</v>
      </c>
      <c r="I233" s="140"/>
      <c r="L233" s="31"/>
      <c r="N233" s="213"/>
      <c r="O233" s="214"/>
      <c r="Q233" s="229"/>
      <c r="CN233" s="141"/>
      <c r="CU233" s="50"/>
      <c r="DU233" s="16" t="s">
        <v>289</v>
      </c>
      <c r="DV233" s="16" t="s">
        <v>83</v>
      </c>
    </row>
    <row r="234" spans="2:144" s="12" customFormat="1" x14ac:dyDescent="0.2">
      <c r="B234" s="149"/>
      <c r="D234" s="138" t="s">
        <v>301</v>
      </c>
      <c r="F234" s="151" t="s">
        <v>1067</v>
      </c>
      <c r="H234" s="152">
        <v>93.555999999999997</v>
      </c>
      <c r="I234" s="153"/>
      <c r="L234" s="149"/>
      <c r="N234" s="217">
        <f>-8.409*2</f>
        <v>-16.818000000000001</v>
      </c>
      <c r="O234" s="218" t="s">
        <v>3454</v>
      </c>
      <c r="Q234" s="231"/>
      <c r="CN234" s="154"/>
      <c r="CU234" s="155"/>
      <c r="DU234" s="150" t="s">
        <v>301</v>
      </c>
      <c r="DV234" s="150" t="s">
        <v>83</v>
      </c>
      <c r="DW234" s="12" t="s">
        <v>83</v>
      </c>
      <c r="DX234" s="12" t="s">
        <v>3</v>
      </c>
      <c r="DY234" s="12" t="s">
        <v>81</v>
      </c>
      <c r="DZ234" s="150" t="s">
        <v>282</v>
      </c>
    </row>
    <row r="235" spans="2:144" s="1" customFormat="1" ht="24.2" customHeight="1" x14ac:dyDescent="0.2">
      <c r="B235" s="124"/>
      <c r="C235" s="125" t="s">
        <v>438</v>
      </c>
      <c r="D235" s="125" t="s">
        <v>284</v>
      </c>
      <c r="E235" s="126" t="s">
        <v>457</v>
      </c>
      <c r="F235" s="127" t="s">
        <v>458</v>
      </c>
      <c r="G235" s="128" t="s">
        <v>418</v>
      </c>
      <c r="H235" s="129">
        <v>420.47800000000001</v>
      </c>
      <c r="I235" s="130">
        <v>61.737071122597108</v>
      </c>
      <c r="J235" s="131">
        <f>ROUND(I235*H235,2)</f>
        <v>25959.08</v>
      </c>
      <c r="K235" s="127" t="s">
        <v>293</v>
      </c>
      <c r="L235" s="268">
        <f>S235</f>
        <v>0</v>
      </c>
      <c r="M235" s="272">
        <f>ROUND(L235*I235,2)</f>
        <v>0</v>
      </c>
      <c r="N235" s="243">
        <f>N237</f>
        <v>-74.914000000000001</v>
      </c>
      <c r="O235" s="294">
        <f>ROUND(N235*I235,2)</f>
        <v>-4624.97</v>
      </c>
      <c r="P235" s="273">
        <f>H235-L235-N235</f>
        <v>495.392</v>
      </c>
      <c r="Q235" s="287">
        <f>ROUND(P235*I235,2)</f>
        <v>30584.05</v>
      </c>
      <c r="R235" s="137"/>
      <c r="S235" s="269">
        <f>W235+Y235+AA235+AC235+AE235+AG235+AI235+AK235</f>
        <v>0</v>
      </c>
      <c r="T235" s="269">
        <f>ROUND(S235*I235,2)</f>
        <v>0</v>
      </c>
      <c r="U235" s="269">
        <f>H235-S235</f>
        <v>420.47800000000001</v>
      </c>
      <c r="V235" s="269">
        <f>ROUND(U235*I235,2)</f>
        <v>25959.08</v>
      </c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CN235" s="132" t="s">
        <v>1</v>
      </c>
      <c r="CO235" s="133" t="s">
        <v>40</v>
      </c>
      <c r="CQ235" s="134">
        <f>CP235*H235</f>
        <v>0</v>
      </c>
      <c r="CR235" s="134">
        <v>0</v>
      </c>
      <c r="CS235" s="134">
        <f>CR235*H235</f>
        <v>0</v>
      </c>
      <c r="CT235" s="134">
        <v>0</v>
      </c>
      <c r="CU235" s="135">
        <f>CT235*H235</f>
        <v>0</v>
      </c>
      <c r="DS235" s="136" t="s">
        <v>95</v>
      </c>
      <c r="DU235" s="136" t="s">
        <v>284</v>
      </c>
      <c r="DV235" s="136" t="s">
        <v>83</v>
      </c>
      <c r="DZ235" s="16" t="s">
        <v>282</v>
      </c>
      <c r="EF235" s="137">
        <f>IF(CO235="základní",J235,0)</f>
        <v>25959.08</v>
      </c>
      <c r="EG235" s="137">
        <f>IF(CO235="snížená",J235,0)</f>
        <v>0</v>
      </c>
      <c r="EH235" s="137">
        <f>IF(CO235="zákl. přenesená",J235,0)</f>
        <v>0</v>
      </c>
      <c r="EI235" s="137">
        <f>IF(CO235="sníž. přenesená",J235,0)</f>
        <v>0</v>
      </c>
      <c r="EJ235" s="137">
        <f>IF(CO235="nulová",J235,0)</f>
        <v>0</v>
      </c>
      <c r="EK235" s="16" t="s">
        <v>81</v>
      </c>
      <c r="EL235" s="137">
        <f>ROUND(I235*H235,2)</f>
        <v>25959.08</v>
      </c>
      <c r="EM235" s="16" t="s">
        <v>95</v>
      </c>
      <c r="EN235" s="136" t="s">
        <v>459</v>
      </c>
    </row>
    <row r="236" spans="2:144" s="1" customFormat="1" ht="29.25" x14ac:dyDescent="0.2">
      <c r="B236" s="31"/>
      <c r="D236" s="138" t="s">
        <v>289</v>
      </c>
      <c r="F236" s="139" t="s">
        <v>460</v>
      </c>
      <c r="I236" s="140"/>
      <c r="L236" s="31"/>
      <c r="N236" s="213"/>
      <c r="O236" s="214"/>
      <c r="Q236" s="229"/>
      <c r="CN236" s="141"/>
      <c r="CU236" s="50"/>
      <c r="DU236" s="16" t="s">
        <v>289</v>
      </c>
      <c r="DV236" s="16" t="s">
        <v>83</v>
      </c>
    </row>
    <row r="237" spans="2:144" s="12" customFormat="1" x14ac:dyDescent="0.2">
      <c r="B237" s="149"/>
      <c r="D237" s="138" t="s">
        <v>301</v>
      </c>
      <c r="E237" s="150" t="s">
        <v>1</v>
      </c>
      <c r="F237" s="151" t="s">
        <v>1068</v>
      </c>
      <c r="H237" s="152">
        <v>420.47800000000001</v>
      </c>
      <c r="I237" s="153"/>
      <c r="L237" s="149"/>
      <c r="N237" s="217">
        <f>-58.096-16.818</f>
        <v>-74.914000000000001</v>
      </c>
      <c r="O237" s="218" t="s">
        <v>3459</v>
      </c>
      <c r="Q237" s="231"/>
      <c r="CN237" s="154"/>
      <c r="CU237" s="155"/>
      <c r="DU237" s="150" t="s">
        <v>301</v>
      </c>
      <c r="DV237" s="150" t="s">
        <v>83</v>
      </c>
      <c r="DW237" s="12" t="s">
        <v>83</v>
      </c>
      <c r="DX237" s="12" t="s">
        <v>32</v>
      </c>
      <c r="DY237" s="12" t="s">
        <v>81</v>
      </c>
      <c r="DZ237" s="150" t="s">
        <v>282</v>
      </c>
    </row>
    <row r="238" spans="2:144" s="10" customFormat="1" ht="22.9" customHeight="1" x14ac:dyDescent="0.2">
      <c r="B238" s="112"/>
      <c r="D238" s="113" t="s">
        <v>73</v>
      </c>
      <c r="E238" s="122" t="s">
        <v>83</v>
      </c>
      <c r="F238" s="122" t="s">
        <v>462</v>
      </c>
      <c r="I238" s="115"/>
      <c r="J238" s="123">
        <f>EL238</f>
        <v>21389.53</v>
      </c>
      <c r="L238" s="112"/>
      <c r="M238" s="270">
        <f>M239</f>
        <v>0</v>
      </c>
      <c r="N238" s="301"/>
      <c r="O238" s="302">
        <f t="shared" ref="O238:V238" si="3">O239</f>
        <v>-3844.83</v>
      </c>
      <c r="P238" s="270"/>
      <c r="Q238" s="288">
        <f t="shared" si="3"/>
        <v>25234.37</v>
      </c>
      <c r="R238" s="270"/>
      <c r="S238" s="270"/>
      <c r="T238" s="270">
        <f t="shared" si="3"/>
        <v>0</v>
      </c>
      <c r="U238" s="270"/>
      <c r="V238" s="270">
        <f t="shared" si="3"/>
        <v>21389.53</v>
      </c>
      <c r="CN238" s="117"/>
      <c r="CQ238" s="118">
        <f>SUM(CQ239:CQ242)</f>
        <v>0</v>
      </c>
      <c r="CS238" s="118">
        <f>SUM(CS239:CS242)</f>
        <v>16.579890000000002</v>
      </c>
      <c r="CU238" s="119">
        <f>SUM(CU239:CU242)</f>
        <v>0</v>
      </c>
      <c r="DS238" s="113" t="s">
        <v>81</v>
      </c>
      <c r="DU238" s="120" t="s">
        <v>73</v>
      </c>
      <c r="DV238" s="120" t="s">
        <v>81</v>
      </c>
      <c r="DZ238" s="113" t="s">
        <v>282</v>
      </c>
      <c r="EL238" s="121">
        <f>SUM(EL239:EL242)</f>
        <v>21389.53</v>
      </c>
    </row>
    <row r="239" spans="2:144" s="1" customFormat="1" ht="37.9" customHeight="1" x14ac:dyDescent="0.2">
      <c r="B239" s="124"/>
      <c r="C239" s="125" t="s">
        <v>445</v>
      </c>
      <c r="D239" s="125" t="s">
        <v>284</v>
      </c>
      <c r="E239" s="126" t="s">
        <v>464</v>
      </c>
      <c r="F239" s="127" t="s">
        <v>465</v>
      </c>
      <c r="G239" s="128" t="s">
        <v>344</v>
      </c>
      <c r="H239" s="129">
        <v>81</v>
      </c>
      <c r="I239" s="130">
        <v>264.06831423630393</v>
      </c>
      <c r="J239" s="131">
        <f>ROUND(I239*H239,2)</f>
        <v>21389.53</v>
      </c>
      <c r="K239" s="127" t="s">
        <v>293</v>
      </c>
      <c r="L239" s="268">
        <f>S239</f>
        <v>0</v>
      </c>
      <c r="M239" s="272">
        <f>ROUND(L239*I239,2)</f>
        <v>0</v>
      </c>
      <c r="N239" s="243">
        <f>N242</f>
        <v>-14.560000000000002</v>
      </c>
      <c r="O239" s="294">
        <f>ROUND(N239*I239,2)</f>
        <v>-3844.83</v>
      </c>
      <c r="P239" s="273">
        <f>H239-L239-N239</f>
        <v>95.56</v>
      </c>
      <c r="Q239" s="287">
        <f>ROUND(P239*I239,2)</f>
        <v>25234.37</v>
      </c>
      <c r="R239" s="137"/>
      <c r="S239" s="269">
        <f>W239+Y239+AA239+AC239+AE239+AG239+AI239+AK239</f>
        <v>0</v>
      </c>
      <c r="T239" s="269">
        <f>ROUND(S239*I239,2)</f>
        <v>0</v>
      </c>
      <c r="U239" s="269">
        <f>H239-S239</f>
        <v>81</v>
      </c>
      <c r="V239" s="269">
        <f>ROUND(U239*I239,2)</f>
        <v>21389.53</v>
      </c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CN239" s="132" t="s">
        <v>1</v>
      </c>
      <c r="CO239" s="133" t="s">
        <v>40</v>
      </c>
      <c r="CQ239" s="134">
        <f>CP239*H239</f>
        <v>0</v>
      </c>
      <c r="CR239" s="134">
        <v>0.20469000000000001</v>
      </c>
      <c r="CS239" s="134">
        <f>CR239*H239</f>
        <v>16.579890000000002</v>
      </c>
      <c r="CT239" s="134">
        <v>0</v>
      </c>
      <c r="CU239" s="135">
        <f>CT239*H239</f>
        <v>0</v>
      </c>
      <c r="DS239" s="136" t="s">
        <v>95</v>
      </c>
      <c r="DU239" s="136" t="s">
        <v>284</v>
      </c>
      <c r="DV239" s="136" t="s">
        <v>83</v>
      </c>
      <c r="DZ239" s="16" t="s">
        <v>282</v>
      </c>
      <c r="EF239" s="137">
        <f>IF(CO239="základní",J239,0)</f>
        <v>21389.53</v>
      </c>
      <c r="EG239" s="137">
        <f>IF(CO239="snížená",J239,0)</f>
        <v>0</v>
      </c>
      <c r="EH239" s="137">
        <f>IF(CO239="zákl. přenesená",J239,0)</f>
        <v>0</v>
      </c>
      <c r="EI239" s="137">
        <f>IF(CO239="sníž. přenesená",J239,0)</f>
        <v>0</v>
      </c>
      <c r="EJ239" s="137">
        <f>IF(CO239="nulová",J239,0)</f>
        <v>0</v>
      </c>
      <c r="EK239" s="16" t="s">
        <v>81</v>
      </c>
      <c r="EL239" s="137">
        <f>ROUND(I239*H239,2)</f>
        <v>21389.53</v>
      </c>
      <c r="EM239" s="16" t="s">
        <v>95</v>
      </c>
      <c r="EN239" s="136" t="s">
        <v>466</v>
      </c>
    </row>
    <row r="240" spans="2:144" s="1" customFormat="1" ht="39" x14ac:dyDescent="0.2">
      <c r="B240" s="31"/>
      <c r="D240" s="138" t="s">
        <v>289</v>
      </c>
      <c r="F240" s="139" t="s">
        <v>467</v>
      </c>
      <c r="I240" s="140"/>
      <c r="L240" s="31"/>
      <c r="N240" s="213"/>
      <c r="O240" s="214"/>
      <c r="Q240" s="229"/>
      <c r="CN240" s="141"/>
      <c r="CU240" s="50"/>
      <c r="DU240" s="16" t="s">
        <v>289</v>
      </c>
      <c r="DV240" s="16" t="s">
        <v>83</v>
      </c>
    </row>
    <row r="241" spans="2:144" s="1" customFormat="1" ht="19.5" x14ac:dyDescent="0.2">
      <c r="B241" s="31"/>
      <c r="D241" s="138" t="s">
        <v>299</v>
      </c>
      <c r="F241" s="142" t="s">
        <v>317</v>
      </c>
      <c r="I241" s="140"/>
      <c r="L241" s="31"/>
      <c r="N241" s="213"/>
      <c r="O241" s="214"/>
      <c r="Q241" s="229"/>
      <c r="CN241" s="141"/>
      <c r="CU241" s="50"/>
      <c r="DU241" s="16" t="s">
        <v>299</v>
      </c>
      <c r="DV241" s="16" t="s">
        <v>83</v>
      </c>
    </row>
    <row r="242" spans="2:144" s="12" customFormat="1" x14ac:dyDescent="0.2">
      <c r="B242" s="149"/>
      <c r="D242" s="138" t="s">
        <v>301</v>
      </c>
      <c r="E242" s="150" t="s">
        <v>1</v>
      </c>
      <c r="F242" s="151" t="s">
        <v>1069</v>
      </c>
      <c r="H242" s="152">
        <v>81</v>
      </c>
      <c r="I242" s="153"/>
      <c r="L242" s="149"/>
      <c r="N242" s="217">
        <f>66.44-81</f>
        <v>-14.560000000000002</v>
      </c>
      <c r="O242" s="218" t="s">
        <v>3455</v>
      </c>
      <c r="Q242" s="231"/>
      <c r="CN242" s="154"/>
      <c r="CU242" s="155"/>
      <c r="DU242" s="150" t="s">
        <v>301</v>
      </c>
      <c r="DV242" s="150" t="s">
        <v>83</v>
      </c>
      <c r="DW242" s="12" t="s">
        <v>83</v>
      </c>
      <c r="DX242" s="12" t="s">
        <v>32</v>
      </c>
      <c r="DY242" s="12" t="s">
        <v>81</v>
      </c>
      <c r="DZ242" s="150" t="s">
        <v>282</v>
      </c>
    </row>
    <row r="243" spans="2:144" s="10" customFormat="1" ht="22.9" customHeight="1" x14ac:dyDescent="0.2">
      <c r="B243" s="112"/>
      <c r="D243" s="113" t="s">
        <v>73</v>
      </c>
      <c r="E243" s="122" t="s">
        <v>95</v>
      </c>
      <c r="F243" s="122" t="s">
        <v>469</v>
      </c>
      <c r="I243" s="115"/>
      <c r="J243" s="123">
        <f>EL243</f>
        <v>11448.15</v>
      </c>
      <c r="L243" s="112"/>
      <c r="M243" s="270">
        <f>M244+M249+M254</f>
        <v>0</v>
      </c>
      <c r="N243" s="301"/>
      <c r="O243" s="302">
        <f t="shared" ref="O243:V243" si="4">O244+O249+O254</f>
        <v>-1834.82</v>
      </c>
      <c r="P243" s="270"/>
      <c r="Q243" s="288">
        <f t="shared" si="4"/>
        <v>13282.970000000001</v>
      </c>
      <c r="R243" s="270"/>
      <c r="S243" s="270"/>
      <c r="T243" s="270">
        <f t="shared" si="4"/>
        <v>0</v>
      </c>
      <c r="U243" s="270"/>
      <c r="V243" s="270">
        <f t="shared" si="4"/>
        <v>11448.15</v>
      </c>
      <c r="CN243" s="117"/>
      <c r="CQ243" s="118">
        <f>SUM(CQ244:CQ258)</f>
        <v>0</v>
      </c>
      <c r="CS243" s="118">
        <f>SUM(CS244:CS258)</f>
        <v>0</v>
      </c>
      <c r="CU243" s="119">
        <f>SUM(CU244:CU258)</f>
        <v>0</v>
      </c>
      <c r="DS243" s="113" t="s">
        <v>81</v>
      </c>
      <c r="DU243" s="120" t="s">
        <v>73</v>
      </c>
      <c r="DV243" s="120" t="s">
        <v>81</v>
      </c>
      <c r="DZ243" s="113" t="s">
        <v>282</v>
      </c>
      <c r="EL243" s="121">
        <f>SUM(EL244:EL258)</f>
        <v>11448.15</v>
      </c>
    </row>
    <row r="244" spans="2:144" s="1" customFormat="1" ht="14.45" customHeight="1" x14ac:dyDescent="0.2">
      <c r="B244" s="124"/>
      <c r="C244" s="125" t="s">
        <v>451</v>
      </c>
      <c r="D244" s="125" t="s">
        <v>284</v>
      </c>
      <c r="E244" s="126" t="s">
        <v>471</v>
      </c>
      <c r="F244" s="127" t="s">
        <v>472</v>
      </c>
      <c r="G244" s="128" t="s">
        <v>366</v>
      </c>
      <c r="H244" s="129">
        <v>8.5050000000000008</v>
      </c>
      <c r="I244" s="130">
        <v>1200.17173250368</v>
      </c>
      <c r="J244" s="131">
        <f>ROUND(I244*H244,2)</f>
        <v>10207.459999999999</v>
      </c>
      <c r="K244" s="127" t="s">
        <v>293</v>
      </c>
      <c r="L244" s="268">
        <f>S244</f>
        <v>0</v>
      </c>
      <c r="M244" s="272">
        <f>ROUND(L244*I244,2)</f>
        <v>0</v>
      </c>
      <c r="N244" s="243">
        <f>N248</f>
        <v>-1.5288000000000004</v>
      </c>
      <c r="O244" s="294">
        <f>ROUND(N244*I244,2)</f>
        <v>-1834.82</v>
      </c>
      <c r="P244" s="273">
        <f>H244-L244-N244</f>
        <v>10.033800000000001</v>
      </c>
      <c r="Q244" s="287">
        <f>ROUND(P244*I244,2)</f>
        <v>12042.28</v>
      </c>
      <c r="R244" s="137"/>
      <c r="S244" s="269">
        <f>W244+Y244+AA244+AC244+AE244+AG244+AI244+AK244</f>
        <v>0</v>
      </c>
      <c r="T244" s="269">
        <f>ROUND(S244*I244,2)</f>
        <v>0</v>
      </c>
      <c r="U244" s="269">
        <f>H244-S244</f>
        <v>8.5050000000000008</v>
      </c>
      <c r="V244" s="269">
        <f>ROUND(U244*I244,2)</f>
        <v>10207.459999999999</v>
      </c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CN244" s="132" t="s">
        <v>1</v>
      </c>
      <c r="CO244" s="133" t="s">
        <v>40</v>
      </c>
      <c r="CQ244" s="134">
        <f>CP244*H244</f>
        <v>0</v>
      </c>
      <c r="CR244" s="134">
        <v>0</v>
      </c>
      <c r="CS244" s="134">
        <f>CR244*H244</f>
        <v>0</v>
      </c>
      <c r="CT244" s="134">
        <v>0</v>
      </c>
      <c r="CU244" s="135">
        <f>CT244*H244</f>
        <v>0</v>
      </c>
      <c r="DS244" s="136" t="s">
        <v>95</v>
      </c>
      <c r="DU244" s="136" t="s">
        <v>284</v>
      </c>
      <c r="DV244" s="136" t="s">
        <v>83</v>
      </c>
      <c r="DZ244" s="16" t="s">
        <v>282</v>
      </c>
      <c r="EF244" s="137">
        <f>IF(CO244="základní",J244,0)</f>
        <v>10207.459999999999</v>
      </c>
      <c r="EG244" s="137">
        <f>IF(CO244="snížená",J244,0)</f>
        <v>0</v>
      </c>
      <c r="EH244" s="137">
        <f>IF(CO244="zákl. přenesená",J244,0)</f>
        <v>0</v>
      </c>
      <c r="EI244" s="137">
        <f>IF(CO244="sníž. přenesená",J244,0)</f>
        <v>0</v>
      </c>
      <c r="EJ244" s="137">
        <f>IF(CO244="nulová",J244,0)</f>
        <v>0</v>
      </c>
      <c r="EK244" s="16" t="s">
        <v>81</v>
      </c>
      <c r="EL244" s="137">
        <f>ROUND(I244*H244,2)</f>
        <v>10207.459999999999</v>
      </c>
      <c r="EM244" s="16" t="s">
        <v>95</v>
      </c>
      <c r="EN244" s="136" t="s">
        <v>473</v>
      </c>
    </row>
    <row r="245" spans="2:144" s="1" customFormat="1" ht="19.5" x14ac:dyDescent="0.2">
      <c r="B245" s="31"/>
      <c r="D245" s="138" t="s">
        <v>289</v>
      </c>
      <c r="F245" s="139" t="s">
        <v>474</v>
      </c>
      <c r="I245" s="140"/>
      <c r="L245" s="31"/>
      <c r="N245" s="213"/>
      <c r="O245" s="214"/>
      <c r="Q245" s="229"/>
      <c r="CN245" s="141"/>
      <c r="CU245" s="50"/>
      <c r="DU245" s="16" t="s">
        <v>289</v>
      </c>
      <c r="DV245" s="16" t="s">
        <v>83</v>
      </c>
    </row>
    <row r="246" spans="2:144" s="1" customFormat="1" ht="19.5" x14ac:dyDescent="0.2">
      <c r="B246" s="31"/>
      <c r="D246" s="138" t="s">
        <v>299</v>
      </c>
      <c r="F246" s="142" t="s">
        <v>317</v>
      </c>
      <c r="I246" s="140"/>
      <c r="L246" s="31"/>
      <c r="N246" s="213"/>
      <c r="O246" s="214"/>
      <c r="Q246" s="229"/>
      <c r="CN246" s="141"/>
      <c r="CU246" s="50"/>
      <c r="DU246" s="16" t="s">
        <v>299</v>
      </c>
      <c r="DV246" s="16" t="s">
        <v>83</v>
      </c>
    </row>
    <row r="247" spans="2:144" s="12" customFormat="1" x14ac:dyDescent="0.2">
      <c r="B247" s="149"/>
      <c r="D247" s="138" t="s">
        <v>301</v>
      </c>
      <c r="E247" s="150" t="s">
        <v>1</v>
      </c>
      <c r="F247" s="151" t="s">
        <v>1070</v>
      </c>
      <c r="H247" s="152">
        <v>8.5050000000000008</v>
      </c>
      <c r="I247" s="153"/>
      <c r="L247" s="149"/>
      <c r="N247" s="217">
        <f>66.44*1.05*0.1</f>
        <v>6.9762000000000004</v>
      </c>
      <c r="O247" s="218" t="s">
        <v>3456</v>
      </c>
      <c r="Q247" s="231"/>
      <c r="CN247" s="154"/>
      <c r="CU247" s="155"/>
      <c r="DU247" s="150" t="s">
        <v>301</v>
      </c>
      <c r="DV247" s="150" t="s">
        <v>83</v>
      </c>
      <c r="DW247" s="12" t="s">
        <v>83</v>
      </c>
      <c r="DX247" s="12" t="s">
        <v>32</v>
      </c>
      <c r="DY247" s="12" t="s">
        <v>81</v>
      </c>
      <c r="DZ247" s="150" t="s">
        <v>282</v>
      </c>
    </row>
    <row r="248" spans="2:144" s="12" customFormat="1" x14ac:dyDescent="0.2">
      <c r="B248" s="149"/>
      <c r="D248" s="138"/>
      <c r="E248" s="150"/>
      <c r="F248" s="151"/>
      <c r="H248" s="152"/>
      <c r="I248" s="153"/>
      <c r="L248" s="149"/>
      <c r="N248" s="310">
        <f>N247-H247</f>
        <v>-1.5288000000000004</v>
      </c>
      <c r="O248" s="218"/>
      <c r="Q248" s="231"/>
      <c r="CN248" s="154"/>
      <c r="CU248" s="155"/>
      <c r="DU248" s="150"/>
      <c r="DV248" s="150"/>
      <c r="DZ248" s="150"/>
    </row>
    <row r="249" spans="2:144" s="1" customFormat="1" ht="14.45" customHeight="1" x14ac:dyDescent="0.2">
      <c r="B249" s="124"/>
      <c r="C249" s="125" t="s">
        <v>456</v>
      </c>
      <c r="D249" s="125" t="s">
        <v>284</v>
      </c>
      <c r="E249" s="126" t="s">
        <v>477</v>
      </c>
      <c r="F249" s="127" t="s">
        <v>478</v>
      </c>
      <c r="G249" s="128" t="s">
        <v>366</v>
      </c>
      <c r="H249" s="129">
        <v>0.45</v>
      </c>
      <c r="I249" s="130">
        <v>1200.17173250368</v>
      </c>
      <c r="J249" s="131">
        <f>ROUND(I249*H249,2)</f>
        <v>540.08000000000004</v>
      </c>
      <c r="K249" s="127" t="s">
        <v>1</v>
      </c>
      <c r="L249" s="268">
        <f>S249</f>
        <v>0</v>
      </c>
      <c r="M249" s="272">
        <f>ROUND(L249*I249,2)</f>
        <v>0</v>
      </c>
      <c r="N249" s="243"/>
      <c r="O249" s="294">
        <f>ROUND(N249*I249,2)</f>
        <v>0</v>
      </c>
      <c r="P249" s="273">
        <f>H249-L249-N249</f>
        <v>0.45</v>
      </c>
      <c r="Q249" s="287">
        <f>ROUND(P249*I249,2)</f>
        <v>540.08000000000004</v>
      </c>
      <c r="R249" s="137"/>
      <c r="S249" s="269">
        <f>W249+Y249+AA249+AC249+AE249+AG249+AI249+AK249</f>
        <v>0</v>
      </c>
      <c r="T249" s="269">
        <f>ROUND(S249*I249,2)</f>
        <v>0</v>
      </c>
      <c r="U249" s="269">
        <f>H249-S249</f>
        <v>0.45</v>
      </c>
      <c r="V249" s="269">
        <f>ROUND(U249*I249,2)</f>
        <v>540.08000000000004</v>
      </c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CN249" s="132" t="s">
        <v>1</v>
      </c>
      <c r="CO249" s="133" t="s">
        <v>40</v>
      </c>
      <c r="CQ249" s="134">
        <f>CP249*H249</f>
        <v>0</v>
      </c>
      <c r="CR249" s="134">
        <v>0</v>
      </c>
      <c r="CS249" s="134">
        <f>CR249*H249</f>
        <v>0</v>
      </c>
      <c r="CT249" s="134">
        <v>0</v>
      </c>
      <c r="CU249" s="135">
        <f>CT249*H249</f>
        <v>0</v>
      </c>
      <c r="DS249" s="136" t="s">
        <v>95</v>
      </c>
      <c r="DU249" s="136" t="s">
        <v>284</v>
      </c>
      <c r="DV249" s="136" t="s">
        <v>83</v>
      </c>
      <c r="DZ249" s="16" t="s">
        <v>282</v>
      </c>
      <c r="EF249" s="137">
        <f>IF(CO249="základní",J249,0)</f>
        <v>540.08000000000004</v>
      </c>
      <c r="EG249" s="137">
        <f>IF(CO249="snížená",J249,0)</f>
        <v>0</v>
      </c>
      <c r="EH249" s="137">
        <f>IF(CO249="zákl. přenesená",J249,0)</f>
        <v>0</v>
      </c>
      <c r="EI249" s="137">
        <f>IF(CO249="sníž. přenesená",J249,0)</f>
        <v>0</v>
      </c>
      <c r="EJ249" s="137">
        <f>IF(CO249="nulová",J249,0)</f>
        <v>0</v>
      </c>
      <c r="EK249" s="16" t="s">
        <v>81</v>
      </c>
      <c r="EL249" s="137">
        <f>ROUND(I249*H249,2)</f>
        <v>540.08000000000004</v>
      </c>
      <c r="EM249" s="16" t="s">
        <v>95</v>
      </c>
      <c r="EN249" s="136" t="s">
        <v>479</v>
      </c>
    </row>
    <row r="250" spans="2:144" s="1" customFormat="1" ht="19.5" x14ac:dyDescent="0.2">
      <c r="B250" s="31"/>
      <c r="D250" s="138" t="s">
        <v>289</v>
      </c>
      <c r="F250" s="139" t="s">
        <v>474</v>
      </c>
      <c r="I250" s="140"/>
      <c r="L250" s="31"/>
      <c r="N250" s="213"/>
      <c r="O250" s="214"/>
      <c r="Q250" s="229"/>
      <c r="CN250" s="141"/>
      <c r="CU250" s="50"/>
      <c r="DU250" s="16" t="s">
        <v>289</v>
      </c>
      <c r="DV250" s="16" t="s">
        <v>83</v>
      </c>
    </row>
    <row r="251" spans="2:144" s="1" customFormat="1" ht="19.5" x14ac:dyDescent="0.2">
      <c r="B251" s="31"/>
      <c r="D251" s="138" t="s">
        <v>299</v>
      </c>
      <c r="F251" s="142" t="s">
        <v>317</v>
      </c>
      <c r="I251" s="140"/>
      <c r="L251" s="31"/>
      <c r="N251" s="213"/>
      <c r="O251" s="214"/>
      <c r="Q251" s="229"/>
      <c r="CN251" s="141"/>
      <c r="CU251" s="50"/>
      <c r="DU251" s="16" t="s">
        <v>299</v>
      </c>
      <c r="DV251" s="16" t="s">
        <v>83</v>
      </c>
    </row>
    <row r="252" spans="2:144" s="11" customFormat="1" x14ac:dyDescent="0.2">
      <c r="B252" s="143"/>
      <c r="D252" s="138" t="s">
        <v>301</v>
      </c>
      <c r="E252" s="144" t="s">
        <v>1</v>
      </c>
      <c r="F252" s="145" t="s">
        <v>916</v>
      </c>
      <c r="H252" s="144" t="s">
        <v>1</v>
      </c>
      <c r="I252" s="146"/>
      <c r="L252" s="143"/>
      <c r="N252" s="215"/>
      <c r="O252" s="216"/>
      <c r="Q252" s="230"/>
      <c r="CN252" s="147"/>
      <c r="CU252" s="148"/>
      <c r="DU252" s="144" t="s">
        <v>301</v>
      </c>
      <c r="DV252" s="144" t="s">
        <v>83</v>
      </c>
      <c r="DW252" s="11" t="s">
        <v>81</v>
      </c>
      <c r="DX252" s="11" t="s">
        <v>32</v>
      </c>
      <c r="DY252" s="11" t="s">
        <v>74</v>
      </c>
      <c r="DZ252" s="144" t="s">
        <v>282</v>
      </c>
    </row>
    <row r="253" spans="2:144" s="12" customFormat="1" x14ac:dyDescent="0.2">
      <c r="B253" s="149"/>
      <c r="D253" s="138" t="s">
        <v>301</v>
      </c>
      <c r="E253" s="150" t="s">
        <v>1</v>
      </c>
      <c r="F253" s="151" t="s">
        <v>1071</v>
      </c>
      <c r="H253" s="152">
        <v>0.45</v>
      </c>
      <c r="I253" s="153"/>
      <c r="L253" s="149"/>
      <c r="N253" s="217"/>
      <c r="O253" s="218"/>
      <c r="Q253" s="231"/>
      <c r="CN253" s="154"/>
      <c r="CU253" s="155"/>
      <c r="DU253" s="150" t="s">
        <v>301</v>
      </c>
      <c r="DV253" s="150" t="s">
        <v>83</v>
      </c>
      <c r="DW253" s="12" t="s">
        <v>83</v>
      </c>
      <c r="DX253" s="12" t="s">
        <v>32</v>
      </c>
      <c r="DY253" s="12" t="s">
        <v>81</v>
      </c>
      <c r="DZ253" s="150" t="s">
        <v>282</v>
      </c>
    </row>
    <row r="254" spans="2:144" s="1" customFormat="1" ht="24.2" customHeight="1" x14ac:dyDescent="0.2">
      <c r="B254" s="124"/>
      <c r="C254" s="125" t="s">
        <v>463</v>
      </c>
      <c r="D254" s="125" t="s">
        <v>284</v>
      </c>
      <c r="E254" s="126" t="s">
        <v>515</v>
      </c>
      <c r="F254" s="127" t="s">
        <v>516</v>
      </c>
      <c r="G254" s="128" t="s">
        <v>366</v>
      </c>
      <c r="H254" s="129">
        <v>0.24199999999999999</v>
      </c>
      <c r="I254" s="130">
        <v>2895.0660868876225</v>
      </c>
      <c r="J254" s="131">
        <f>ROUND(I254*H254,2)</f>
        <v>700.61</v>
      </c>
      <c r="K254" s="127" t="s">
        <v>293</v>
      </c>
      <c r="L254" s="268">
        <f>S254</f>
        <v>0</v>
      </c>
      <c r="M254" s="272">
        <f>ROUND(L254*I254,2)</f>
        <v>0</v>
      </c>
      <c r="N254" s="243"/>
      <c r="O254" s="294">
        <f>ROUND(N254*I254,2)</f>
        <v>0</v>
      </c>
      <c r="P254" s="273">
        <f>H254-L254-N254</f>
        <v>0.24199999999999999</v>
      </c>
      <c r="Q254" s="287">
        <f>ROUND(P254*I254,2)</f>
        <v>700.61</v>
      </c>
      <c r="R254" s="137"/>
      <c r="S254" s="269">
        <f>W254+Y254+AA254+AC254+AE254+AG254+AI254+AK254</f>
        <v>0</v>
      </c>
      <c r="T254" s="269">
        <f>ROUND(S254*I254,2)</f>
        <v>0</v>
      </c>
      <c r="U254" s="269">
        <f>H254-S254</f>
        <v>0.24199999999999999</v>
      </c>
      <c r="V254" s="269">
        <f>ROUND(U254*I254,2)</f>
        <v>700.61</v>
      </c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CN254" s="132" t="s">
        <v>1</v>
      </c>
      <c r="CO254" s="133" t="s">
        <v>40</v>
      </c>
      <c r="CQ254" s="134">
        <f>CP254*H254</f>
        <v>0</v>
      </c>
      <c r="CR254" s="134">
        <v>0</v>
      </c>
      <c r="CS254" s="134">
        <f>CR254*H254</f>
        <v>0</v>
      </c>
      <c r="CT254" s="134">
        <v>0</v>
      </c>
      <c r="CU254" s="135">
        <f>CT254*H254</f>
        <v>0</v>
      </c>
      <c r="DS254" s="136" t="s">
        <v>95</v>
      </c>
      <c r="DU254" s="136" t="s">
        <v>284</v>
      </c>
      <c r="DV254" s="136" t="s">
        <v>83</v>
      </c>
      <c r="DZ254" s="16" t="s">
        <v>282</v>
      </c>
      <c r="EF254" s="137">
        <f>IF(CO254="základní",J254,0)</f>
        <v>700.61</v>
      </c>
      <c r="EG254" s="137">
        <f>IF(CO254="snížená",J254,0)</f>
        <v>0</v>
      </c>
      <c r="EH254" s="137">
        <f>IF(CO254="zákl. přenesená",J254,0)</f>
        <v>0</v>
      </c>
      <c r="EI254" s="137">
        <f>IF(CO254="sníž. přenesená",J254,0)</f>
        <v>0</v>
      </c>
      <c r="EJ254" s="137">
        <f>IF(CO254="nulová",J254,0)</f>
        <v>0</v>
      </c>
      <c r="EK254" s="16" t="s">
        <v>81</v>
      </c>
      <c r="EL254" s="137">
        <f>ROUND(I254*H254,2)</f>
        <v>700.61</v>
      </c>
      <c r="EM254" s="16" t="s">
        <v>95</v>
      </c>
      <c r="EN254" s="136" t="s">
        <v>517</v>
      </c>
    </row>
    <row r="255" spans="2:144" s="1" customFormat="1" ht="29.25" x14ac:dyDescent="0.2">
      <c r="B255" s="31"/>
      <c r="D255" s="138" t="s">
        <v>289</v>
      </c>
      <c r="F255" s="139" t="s">
        <v>518</v>
      </c>
      <c r="I255" s="140"/>
      <c r="L255" s="31"/>
      <c r="N255" s="213"/>
      <c r="O255" s="214"/>
      <c r="Q255" s="229"/>
      <c r="CN255" s="141"/>
      <c r="CU255" s="50"/>
      <c r="DU255" s="16" t="s">
        <v>289</v>
      </c>
      <c r="DV255" s="16" t="s">
        <v>83</v>
      </c>
    </row>
    <row r="256" spans="2:144" s="1" customFormat="1" ht="19.5" x14ac:dyDescent="0.2">
      <c r="B256" s="31"/>
      <c r="D256" s="138" t="s">
        <v>299</v>
      </c>
      <c r="F256" s="142" t="s">
        <v>317</v>
      </c>
      <c r="I256" s="140"/>
      <c r="L256" s="31"/>
      <c r="N256" s="213"/>
      <c r="O256" s="214"/>
      <c r="Q256" s="229"/>
      <c r="CN256" s="141"/>
      <c r="CU256" s="50"/>
      <c r="DU256" s="16" t="s">
        <v>299</v>
      </c>
      <c r="DV256" s="16" t="s">
        <v>83</v>
      </c>
    </row>
    <row r="257" spans="2:144" s="11" customFormat="1" x14ac:dyDescent="0.2">
      <c r="B257" s="143"/>
      <c r="D257" s="138" t="s">
        <v>301</v>
      </c>
      <c r="E257" s="144" t="s">
        <v>1</v>
      </c>
      <c r="F257" s="145" t="s">
        <v>916</v>
      </c>
      <c r="H257" s="144" t="s">
        <v>1</v>
      </c>
      <c r="I257" s="146"/>
      <c r="L257" s="143"/>
      <c r="N257" s="215"/>
      <c r="O257" s="216"/>
      <c r="Q257" s="230"/>
      <c r="CN257" s="147"/>
      <c r="CU257" s="148"/>
      <c r="DU257" s="144" t="s">
        <v>301</v>
      </c>
      <c r="DV257" s="144" t="s">
        <v>83</v>
      </c>
      <c r="DW257" s="11" t="s">
        <v>81</v>
      </c>
      <c r="DX257" s="11" t="s">
        <v>32</v>
      </c>
      <c r="DY257" s="11" t="s">
        <v>74</v>
      </c>
      <c r="DZ257" s="144" t="s">
        <v>282</v>
      </c>
    </row>
    <row r="258" spans="2:144" s="12" customFormat="1" x14ac:dyDescent="0.2">
      <c r="B258" s="149"/>
      <c r="D258" s="138" t="s">
        <v>301</v>
      </c>
      <c r="E258" s="150" t="s">
        <v>1</v>
      </c>
      <c r="F258" s="151" t="s">
        <v>1072</v>
      </c>
      <c r="H258" s="152">
        <v>0.24199999999999999</v>
      </c>
      <c r="I258" s="153"/>
      <c r="L258" s="149"/>
      <c r="N258" s="217"/>
      <c r="O258" s="218"/>
      <c r="Q258" s="231"/>
      <c r="CN258" s="154"/>
      <c r="CU258" s="155"/>
      <c r="DU258" s="150" t="s">
        <v>301</v>
      </c>
      <c r="DV258" s="150" t="s">
        <v>83</v>
      </c>
      <c r="DW258" s="12" t="s">
        <v>83</v>
      </c>
      <c r="DX258" s="12" t="s">
        <v>32</v>
      </c>
      <c r="DY258" s="12" t="s">
        <v>81</v>
      </c>
      <c r="DZ258" s="150" t="s">
        <v>282</v>
      </c>
    </row>
    <row r="259" spans="2:144" s="10" customFormat="1" ht="22.9" customHeight="1" x14ac:dyDescent="0.2">
      <c r="B259" s="112"/>
      <c r="D259" s="113" t="s">
        <v>73</v>
      </c>
      <c r="E259" s="122" t="s">
        <v>312</v>
      </c>
      <c r="F259" s="122" t="s">
        <v>520</v>
      </c>
      <c r="I259" s="115"/>
      <c r="J259" s="123">
        <f>EL259</f>
        <v>163390.96000000002</v>
      </c>
      <c r="L259" s="112"/>
      <c r="M259" s="270">
        <f>SUM(M260:M273)</f>
        <v>0</v>
      </c>
      <c r="N259" s="301"/>
      <c r="O259" s="302">
        <f t="shared" ref="O259:V259" si="5">SUM(O260:O273)</f>
        <v>-29013.440000000002</v>
      </c>
      <c r="P259" s="270"/>
      <c r="Q259" s="288">
        <f t="shared" si="5"/>
        <v>192404.40999999997</v>
      </c>
      <c r="R259" s="270"/>
      <c r="S259" s="270"/>
      <c r="T259" s="270">
        <f t="shared" si="5"/>
        <v>0</v>
      </c>
      <c r="U259" s="270"/>
      <c r="V259" s="270">
        <f t="shared" si="5"/>
        <v>163390.96000000002</v>
      </c>
      <c r="CN259" s="117"/>
      <c r="CQ259" s="118">
        <f>SUM(CQ260:CQ277)</f>
        <v>0</v>
      </c>
      <c r="CS259" s="118">
        <f>SUM(CS260:CS277)</f>
        <v>0</v>
      </c>
      <c r="CU259" s="119">
        <f>SUM(CU260:CU277)</f>
        <v>0</v>
      </c>
      <c r="DS259" s="113" t="s">
        <v>81</v>
      </c>
      <c r="DU259" s="120" t="s">
        <v>73</v>
      </c>
      <c r="DV259" s="120" t="s">
        <v>81</v>
      </c>
      <c r="DZ259" s="113" t="s">
        <v>282</v>
      </c>
      <c r="EL259" s="121">
        <f>SUM(EL260:EL277)</f>
        <v>163390.96000000002</v>
      </c>
    </row>
    <row r="260" spans="2:144" s="1" customFormat="1" ht="24.2" customHeight="1" x14ac:dyDescent="0.2">
      <c r="B260" s="124"/>
      <c r="C260" s="125" t="s">
        <v>470</v>
      </c>
      <c r="D260" s="125" t="s">
        <v>284</v>
      </c>
      <c r="E260" s="126" t="s">
        <v>522</v>
      </c>
      <c r="F260" s="127" t="s">
        <v>523</v>
      </c>
      <c r="G260" s="128" t="s">
        <v>287</v>
      </c>
      <c r="H260" s="129">
        <v>87.75</v>
      </c>
      <c r="I260" s="130">
        <v>130.95617506780872</v>
      </c>
      <c r="J260" s="131">
        <f>ROUND(I260*H260,2)</f>
        <v>11491.4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N125</f>
        <v>-15.287999999999997</v>
      </c>
      <c r="O260" s="294">
        <f>ROUND(N260*I260,2)</f>
        <v>-2002.06</v>
      </c>
      <c r="P260" s="273">
        <f>H260-L260-N260</f>
        <v>103.038</v>
      </c>
      <c r="Q260" s="287">
        <f>ROUND(P260*I260,2)</f>
        <v>13493.46</v>
      </c>
      <c r="R260" s="137"/>
      <c r="S260" s="269">
        <f>W260+Y260+AA260+AC260+AE260+AG260+AI260+AK260</f>
        <v>0</v>
      </c>
      <c r="T260" s="269">
        <f>ROUND(S260*I260,2)</f>
        <v>0</v>
      </c>
      <c r="U260" s="269">
        <f>H260-S260</f>
        <v>87.75</v>
      </c>
      <c r="V260" s="269">
        <f>ROUND(U260*I260,2)</f>
        <v>11491.4</v>
      </c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CN260" s="132" t="s">
        <v>1</v>
      </c>
      <c r="CO260" s="133" t="s">
        <v>40</v>
      </c>
      <c r="CQ260" s="134">
        <f>CP260*H260</f>
        <v>0</v>
      </c>
      <c r="CR260" s="134">
        <v>0</v>
      </c>
      <c r="CS260" s="134">
        <f>CR260*H260</f>
        <v>0</v>
      </c>
      <c r="CT260" s="134">
        <v>0</v>
      </c>
      <c r="CU260" s="135">
        <f>CT260*H260</f>
        <v>0</v>
      </c>
      <c r="DS260" s="136" t="s">
        <v>95</v>
      </c>
      <c r="DU260" s="136" t="s">
        <v>284</v>
      </c>
      <c r="DV260" s="136" t="s">
        <v>83</v>
      </c>
      <c r="DZ260" s="16" t="s">
        <v>282</v>
      </c>
      <c r="EF260" s="137">
        <f>IF(CO260="základní",J260,0)</f>
        <v>11491.4</v>
      </c>
      <c r="EG260" s="137">
        <f>IF(CO260="snížená",J260,0)</f>
        <v>0</v>
      </c>
      <c r="EH260" s="137">
        <f>IF(CO260="zákl. přenesená",J260,0)</f>
        <v>0</v>
      </c>
      <c r="EI260" s="137">
        <f>IF(CO260="sníž. přenesená",J260,0)</f>
        <v>0</v>
      </c>
      <c r="EJ260" s="137">
        <f>IF(CO260="nulová",J260,0)</f>
        <v>0</v>
      </c>
      <c r="EK260" s="16" t="s">
        <v>81</v>
      </c>
      <c r="EL260" s="137">
        <f>ROUND(I260*H260,2)</f>
        <v>11491.4</v>
      </c>
      <c r="EM260" s="16" t="s">
        <v>95</v>
      </c>
      <c r="EN260" s="136" t="s">
        <v>524</v>
      </c>
    </row>
    <row r="261" spans="2:144" s="1" customFormat="1" ht="19.5" x14ac:dyDescent="0.2">
      <c r="B261" s="31"/>
      <c r="D261" s="138" t="s">
        <v>289</v>
      </c>
      <c r="F261" s="139" t="s">
        <v>525</v>
      </c>
      <c r="I261" s="140"/>
      <c r="L261" s="31"/>
      <c r="N261" s="213"/>
      <c r="O261" s="214"/>
      <c r="Q261" s="229"/>
      <c r="CN261" s="141"/>
      <c r="CU261" s="50"/>
      <c r="DU261" s="16" t="s">
        <v>289</v>
      </c>
      <c r="DV261" s="16" t="s">
        <v>83</v>
      </c>
    </row>
    <row r="262" spans="2:144" s="1" customFormat="1" ht="14.45" customHeight="1" x14ac:dyDescent="0.2">
      <c r="B262" s="124"/>
      <c r="C262" s="125" t="s">
        <v>476</v>
      </c>
      <c r="D262" s="125" t="s">
        <v>284</v>
      </c>
      <c r="E262" s="126" t="s">
        <v>527</v>
      </c>
      <c r="F262" s="127" t="s">
        <v>528</v>
      </c>
      <c r="G262" s="128" t="s">
        <v>287</v>
      </c>
      <c r="H262" s="129">
        <v>87.75</v>
      </c>
      <c r="I262" s="130">
        <v>200.20823792465458</v>
      </c>
      <c r="J262" s="131">
        <f>ROUND(I262*H262,2)</f>
        <v>17568.27</v>
      </c>
      <c r="K262" s="127" t="s">
        <v>293</v>
      </c>
      <c r="L262" s="268">
        <f>S262</f>
        <v>0</v>
      </c>
      <c r="M262" s="272">
        <f>ROUND(L262*I262,2)</f>
        <v>0</v>
      </c>
      <c r="N262" s="243">
        <f>N260</f>
        <v>-15.287999999999997</v>
      </c>
      <c r="O262" s="294">
        <f>ROUND(N262*I262,2)</f>
        <v>-3060.78</v>
      </c>
      <c r="P262" s="273">
        <f>H262-L262-N262</f>
        <v>103.038</v>
      </c>
      <c r="Q262" s="287">
        <f>ROUND(P262*I262,2)</f>
        <v>20629.060000000001</v>
      </c>
      <c r="R262" s="137"/>
      <c r="S262" s="269">
        <f>W262+Y262+AA262+AC262+AE262+AG262+AI262+AK262</f>
        <v>0</v>
      </c>
      <c r="T262" s="269">
        <f>ROUND(S262*I262,2)</f>
        <v>0</v>
      </c>
      <c r="U262" s="269">
        <f>H262-S262</f>
        <v>87.75</v>
      </c>
      <c r="V262" s="269">
        <f>ROUND(U262*I262,2)</f>
        <v>17568.27</v>
      </c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CN262" s="132" t="s">
        <v>1</v>
      </c>
      <c r="CO262" s="133" t="s">
        <v>40</v>
      </c>
      <c r="CQ262" s="134">
        <f>CP262*H262</f>
        <v>0</v>
      </c>
      <c r="CR262" s="134">
        <v>0</v>
      </c>
      <c r="CS262" s="134">
        <f>CR262*H262</f>
        <v>0</v>
      </c>
      <c r="CT262" s="134">
        <v>0</v>
      </c>
      <c r="CU262" s="135">
        <f>CT262*H262</f>
        <v>0</v>
      </c>
      <c r="DS262" s="136" t="s">
        <v>95</v>
      </c>
      <c r="DU262" s="136" t="s">
        <v>284</v>
      </c>
      <c r="DV262" s="136" t="s">
        <v>83</v>
      </c>
      <c r="DZ262" s="16" t="s">
        <v>282</v>
      </c>
      <c r="EF262" s="137">
        <f>IF(CO262="základní",J262,0)</f>
        <v>17568.27</v>
      </c>
      <c r="EG262" s="137">
        <f>IF(CO262="snížená",J262,0)</f>
        <v>0</v>
      </c>
      <c r="EH262" s="137">
        <f>IF(CO262="zákl. přenesená",J262,0)</f>
        <v>0</v>
      </c>
      <c r="EI262" s="137">
        <f>IF(CO262="sníž. přenesená",J262,0)</f>
        <v>0</v>
      </c>
      <c r="EJ262" s="137">
        <f>IF(CO262="nulová",J262,0)</f>
        <v>0</v>
      </c>
      <c r="EK262" s="16" t="s">
        <v>81</v>
      </c>
      <c r="EL262" s="137">
        <f>ROUND(I262*H262,2)</f>
        <v>17568.27</v>
      </c>
      <c r="EM262" s="16" t="s">
        <v>95</v>
      </c>
      <c r="EN262" s="136" t="s">
        <v>529</v>
      </c>
    </row>
    <row r="263" spans="2:144" s="1" customFormat="1" ht="19.5" x14ac:dyDescent="0.2">
      <c r="B263" s="31"/>
      <c r="D263" s="138" t="s">
        <v>289</v>
      </c>
      <c r="F263" s="139" t="s">
        <v>530</v>
      </c>
      <c r="I263" s="140"/>
      <c r="L263" s="31"/>
      <c r="N263" s="213"/>
      <c r="O263" s="214"/>
      <c r="Q263" s="229"/>
      <c r="CN263" s="141"/>
      <c r="CU263" s="50"/>
      <c r="DU263" s="16" t="s">
        <v>289</v>
      </c>
      <c r="DV263" s="16" t="s">
        <v>83</v>
      </c>
    </row>
    <row r="264" spans="2:144" s="1" customFormat="1" ht="24.2" customHeight="1" x14ac:dyDescent="0.2">
      <c r="B264" s="124"/>
      <c r="C264" s="125" t="s">
        <v>482</v>
      </c>
      <c r="D264" s="125" t="s">
        <v>284</v>
      </c>
      <c r="E264" s="126" t="s">
        <v>532</v>
      </c>
      <c r="F264" s="127" t="s">
        <v>533</v>
      </c>
      <c r="G264" s="128" t="s">
        <v>287</v>
      </c>
      <c r="H264" s="129">
        <v>87.75</v>
      </c>
      <c r="I264" s="130">
        <v>40.878739778868102</v>
      </c>
      <c r="J264" s="131">
        <f>ROUND(I264*H264,2)</f>
        <v>3587.11</v>
      </c>
      <c r="K264" s="127" t="s">
        <v>293</v>
      </c>
      <c r="L264" s="268">
        <f>S264</f>
        <v>0</v>
      </c>
      <c r="M264" s="272">
        <f>ROUND(L264*I264,2)</f>
        <v>0</v>
      </c>
      <c r="N264" s="243">
        <f>N262</f>
        <v>-15.287999999999997</v>
      </c>
      <c r="O264" s="294">
        <f>ROUND(N264*I264,2)</f>
        <v>-624.95000000000005</v>
      </c>
      <c r="P264" s="273">
        <f>H264-L264-N264</f>
        <v>103.038</v>
      </c>
      <c r="Q264" s="287">
        <f>ROUND(P264*I264,2)</f>
        <v>4212.0600000000004</v>
      </c>
      <c r="R264" s="137"/>
      <c r="S264" s="269">
        <f>W264+Y264+AA264+AC264+AE264+AG264+AI264+AK264</f>
        <v>0</v>
      </c>
      <c r="T264" s="269">
        <f>ROUND(S264*I264,2)</f>
        <v>0</v>
      </c>
      <c r="U264" s="269">
        <f>H264-S264</f>
        <v>87.75</v>
      </c>
      <c r="V264" s="269">
        <f>ROUND(U264*I264,2)</f>
        <v>3587.11</v>
      </c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CN264" s="132" t="s">
        <v>1</v>
      </c>
      <c r="CO264" s="133" t="s">
        <v>40</v>
      </c>
      <c r="CQ264" s="134">
        <f>CP264*H264</f>
        <v>0</v>
      </c>
      <c r="CR264" s="134">
        <v>0</v>
      </c>
      <c r="CS264" s="134">
        <f>CR264*H264</f>
        <v>0</v>
      </c>
      <c r="CT264" s="134">
        <v>0</v>
      </c>
      <c r="CU264" s="135">
        <f>CT264*H264</f>
        <v>0</v>
      </c>
      <c r="DS264" s="136" t="s">
        <v>95</v>
      </c>
      <c r="DU264" s="136" t="s">
        <v>284</v>
      </c>
      <c r="DV264" s="136" t="s">
        <v>83</v>
      </c>
      <c r="DZ264" s="16" t="s">
        <v>282</v>
      </c>
      <c r="EF264" s="137">
        <f>IF(CO264="základní",J264,0)</f>
        <v>3587.11</v>
      </c>
      <c r="EG264" s="137">
        <f>IF(CO264="snížená",J264,0)</f>
        <v>0</v>
      </c>
      <c r="EH264" s="137">
        <f>IF(CO264="zákl. přenesená",J264,0)</f>
        <v>0</v>
      </c>
      <c r="EI264" s="137">
        <f>IF(CO264="sníž. přenesená",J264,0)</f>
        <v>0</v>
      </c>
      <c r="EJ264" s="137">
        <f>IF(CO264="nulová",J264,0)</f>
        <v>0</v>
      </c>
      <c r="EK264" s="16" t="s">
        <v>81</v>
      </c>
      <c r="EL264" s="137">
        <f>ROUND(I264*H264,2)</f>
        <v>3587.11</v>
      </c>
      <c r="EM264" s="16" t="s">
        <v>95</v>
      </c>
      <c r="EN264" s="136" t="s">
        <v>534</v>
      </c>
    </row>
    <row r="265" spans="2:144" s="1" customFormat="1" ht="19.5" x14ac:dyDescent="0.2">
      <c r="B265" s="31"/>
      <c r="D265" s="138" t="s">
        <v>289</v>
      </c>
      <c r="F265" s="139" t="s">
        <v>535</v>
      </c>
      <c r="I265" s="140"/>
      <c r="L265" s="31"/>
      <c r="N265" s="213"/>
      <c r="O265" s="214"/>
      <c r="Q265" s="229"/>
      <c r="CN265" s="141"/>
      <c r="CU265" s="50"/>
      <c r="DU265" s="16" t="s">
        <v>289</v>
      </c>
      <c r="DV265" s="16" t="s">
        <v>83</v>
      </c>
    </row>
    <row r="266" spans="2:144" s="1" customFormat="1" ht="24.2" customHeight="1" x14ac:dyDescent="0.2">
      <c r="B266" s="124"/>
      <c r="C266" s="125" t="s">
        <v>489</v>
      </c>
      <c r="D266" s="125" t="s">
        <v>284</v>
      </c>
      <c r="E266" s="126" t="s">
        <v>537</v>
      </c>
      <c r="F266" s="127" t="s">
        <v>538</v>
      </c>
      <c r="G266" s="128" t="s">
        <v>287</v>
      </c>
      <c r="H266" s="129">
        <v>87.75</v>
      </c>
      <c r="I266" s="130">
        <v>362.67856108310502</v>
      </c>
      <c r="J266" s="131">
        <f>ROUND(I266*H266,2)</f>
        <v>31825.040000000001</v>
      </c>
      <c r="K266" s="127" t="s">
        <v>293</v>
      </c>
      <c r="L266" s="268">
        <f>S266</f>
        <v>0</v>
      </c>
      <c r="M266" s="272">
        <f>ROUND(L266*I266,2)</f>
        <v>0</v>
      </c>
      <c r="N266" s="243">
        <f>N264</f>
        <v>-15.287999999999997</v>
      </c>
      <c r="O266" s="294">
        <f>ROUND(N266*I266,2)</f>
        <v>-5544.63</v>
      </c>
      <c r="P266" s="273">
        <f>H266-L266-N266</f>
        <v>103.038</v>
      </c>
      <c r="Q266" s="287">
        <f>ROUND(P266*I266,2)</f>
        <v>37369.67</v>
      </c>
      <c r="R266" s="137"/>
      <c r="S266" s="269">
        <f>W266+Y266+AA266+AC266+AE266+AG266+AI266+AK266</f>
        <v>0</v>
      </c>
      <c r="T266" s="269">
        <f>ROUND(S266*I266,2)</f>
        <v>0</v>
      </c>
      <c r="U266" s="269">
        <f>H266-S266</f>
        <v>87.75</v>
      </c>
      <c r="V266" s="269">
        <f>ROUND(U266*I266,2)</f>
        <v>31825.040000000001</v>
      </c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CN266" s="132" t="s">
        <v>1</v>
      </c>
      <c r="CO266" s="133" t="s">
        <v>40</v>
      </c>
      <c r="CQ266" s="134">
        <f>CP266*H266</f>
        <v>0</v>
      </c>
      <c r="CR266" s="134">
        <v>0</v>
      </c>
      <c r="CS266" s="134">
        <f>CR266*H266</f>
        <v>0</v>
      </c>
      <c r="CT266" s="134">
        <v>0</v>
      </c>
      <c r="CU266" s="135">
        <f>CT266*H266</f>
        <v>0</v>
      </c>
      <c r="DS266" s="136" t="s">
        <v>95</v>
      </c>
      <c r="DU266" s="136" t="s">
        <v>284</v>
      </c>
      <c r="DV266" s="136" t="s">
        <v>83</v>
      </c>
      <c r="DZ266" s="16" t="s">
        <v>282</v>
      </c>
      <c r="EF266" s="137">
        <f>IF(CO266="základní",J266,0)</f>
        <v>31825.040000000001</v>
      </c>
      <c r="EG266" s="137">
        <f>IF(CO266="snížená",J266,0)</f>
        <v>0</v>
      </c>
      <c r="EH266" s="137">
        <f>IF(CO266="zákl. přenesená",J266,0)</f>
        <v>0</v>
      </c>
      <c r="EI266" s="137">
        <f>IF(CO266="sníž. přenesená",J266,0)</f>
        <v>0</v>
      </c>
      <c r="EJ266" s="137">
        <f>IF(CO266="nulová",J266,0)</f>
        <v>0</v>
      </c>
      <c r="EK266" s="16" t="s">
        <v>81</v>
      </c>
      <c r="EL266" s="137">
        <f>ROUND(I266*H266,2)</f>
        <v>31825.040000000001</v>
      </c>
      <c r="EM266" s="16" t="s">
        <v>95</v>
      </c>
      <c r="EN266" s="136" t="s">
        <v>539</v>
      </c>
    </row>
    <row r="267" spans="2:144" s="1" customFormat="1" ht="29.25" x14ac:dyDescent="0.2">
      <c r="B267" s="31"/>
      <c r="D267" s="138" t="s">
        <v>289</v>
      </c>
      <c r="F267" s="139" t="s">
        <v>540</v>
      </c>
      <c r="I267" s="140"/>
      <c r="L267" s="31"/>
      <c r="N267" s="213"/>
      <c r="O267" s="214"/>
      <c r="Q267" s="229"/>
      <c r="CN267" s="141"/>
      <c r="CU267" s="50"/>
      <c r="DU267" s="16" t="s">
        <v>289</v>
      </c>
      <c r="DV267" s="16" t="s">
        <v>83</v>
      </c>
    </row>
    <row r="268" spans="2:144" s="1" customFormat="1" ht="29.25" x14ac:dyDescent="0.2">
      <c r="B268" s="31"/>
      <c r="D268" s="138" t="s">
        <v>299</v>
      </c>
      <c r="F268" s="142" t="s">
        <v>1047</v>
      </c>
      <c r="I268" s="140"/>
      <c r="L268" s="31"/>
      <c r="N268" s="213"/>
      <c r="O268" s="214"/>
      <c r="Q268" s="229"/>
      <c r="CN268" s="141"/>
      <c r="CU268" s="50"/>
      <c r="DU268" s="16" t="s">
        <v>299</v>
      </c>
      <c r="DV268" s="16" t="s">
        <v>83</v>
      </c>
    </row>
    <row r="269" spans="2:144" s="11" customFormat="1" x14ac:dyDescent="0.2">
      <c r="B269" s="143"/>
      <c r="D269" s="138" t="s">
        <v>301</v>
      </c>
      <c r="E269" s="144" t="s">
        <v>1</v>
      </c>
      <c r="F269" s="145" t="s">
        <v>541</v>
      </c>
      <c r="H269" s="144" t="s">
        <v>1</v>
      </c>
      <c r="I269" s="146"/>
      <c r="L269" s="143"/>
      <c r="N269" s="215"/>
      <c r="O269" s="216"/>
      <c r="Q269" s="230"/>
      <c r="CN269" s="147"/>
      <c r="CU269" s="148"/>
      <c r="DU269" s="144" t="s">
        <v>301</v>
      </c>
      <c r="DV269" s="144" t="s">
        <v>83</v>
      </c>
      <c r="DW269" s="11" t="s">
        <v>81</v>
      </c>
      <c r="DX269" s="11" t="s">
        <v>32</v>
      </c>
      <c r="DY269" s="11" t="s">
        <v>74</v>
      </c>
      <c r="DZ269" s="144" t="s">
        <v>282</v>
      </c>
    </row>
    <row r="270" spans="2:144" s="12" customFormat="1" x14ac:dyDescent="0.2">
      <c r="B270" s="149"/>
      <c r="D270" s="138" t="s">
        <v>301</v>
      </c>
      <c r="E270" s="150" t="s">
        <v>1</v>
      </c>
      <c r="F270" s="151" t="s">
        <v>1073</v>
      </c>
      <c r="H270" s="152">
        <v>87.75</v>
      </c>
      <c r="I270" s="153"/>
      <c r="L270" s="149"/>
      <c r="N270" s="217"/>
      <c r="O270" s="218"/>
      <c r="Q270" s="231"/>
      <c r="CN270" s="154"/>
      <c r="CU270" s="155"/>
      <c r="DU270" s="150" t="s">
        <v>301</v>
      </c>
      <c r="DV270" s="150" t="s">
        <v>83</v>
      </c>
      <c r="DW270" s="12" t="s">
        <v>83</v>
      </c>
      <c r="DX270" s="12" t="s">
        <v>32</v>
      </c>
      <c r="DY270" s="12" t="s">
        <v>81</v>
      </c>
      <c r="DZ270" s="150" t="s">
        <v>282</v>
      </c>
    </row>
    <row r="271" spans="2:144" s="1" customFormat="1" ht="14.45" customHeight="1" x14ac:dyDescent="0.2">
      <c r="B271" s="124"/>
      <c r="C271" s="125" t="s">
        <v>493</v>
      </c>
      <c r="D271" s="125" t="s">
        <v>284</v>
      </c>
      <c r="E271" s="126" t="s">
        <v>544</v>
      </c>
      <c r="F271" s="127" t="s">
        <v>545</v>
      </c>
      <c r="G271" s="128" t="s">
        <v>287</v>
      </c>
      <c r="H271" s="129">
        <v>243</v>
      </c>
      <c r="I271" s="130">
        <v>18.105699236185</v>
      </c>
      <c r="J271" s="131">
        <f>ROUND(I271*H271,2)</f>
        <v>4399.68</v>
      </c>
      <c r="K271" s="127" t="s">
        <v>293</v>
      </c>
      <c r="L271" s="268">
        <f>S271</f>
        <v>0</v>
      </c>
      <c r="M271" s="272">
        <f>ROUND(L271*I271,2)</f>
        <v>0</v>
      </c>
      <c r="N271" s="243">
        <f>N137</f>
        <v>-43.680000000000007</v>
      </c>
      <c r="O271" s="294">
        <f>ROUND(N271*I271,2)</f>
        <v>-790.86</v>
      </c>
      <c r="P271" s="273">
        <f>H271-L271-N271</f>
        <v>286.68</v>
      </c>
      <c r="Q271" s="287">
        <f>ROUND(P271*I271,2)</f>
        <v>5190.54</v>
      </c>
      <c r="R271" s="137"/>
      <c r="S271" s="269">
        <f>W271+Y271+AA271+AC271+AE271+AG271+AI271+AK271</f>
        <v>0</v>
      </c>
      <c r="T271" s="269">
        <f>ROUND(S271*I271,2)</f>
        <v>0</v>
      </c>
      <c r="U271" s="269">
        <f>H271-S271</f>
        <v>243</v>
      </c>
      <c r="V271" s="269">
        <f>ROUND(U271*I271,2)</f>
        <v>4399.68</v>
      </c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CN271" s="132" t="s">
        <v>1</v>
      </c>
      <c r="CO271" s="133" t="s">
        <v>40</v>
      </c>
      <c r="CQ271" s="134">
        <f>CP271*H271</f>
        <v>0</v>
      </c>
      <c r="CR271" s="134">
        <v>0</v>
      </c>
      <c r="CS271" s="134">
        <f>CR271*H271</f>
        <v>0</v>
      </c>
      <c r="CT271" s="134">
        <v>0</v>
      </c>
      <c r="CU271" s="135">
        <f>CT271*H271</f>
        <v>0</v>
      </c>
      <c r="DS271" s="136" t="s">
        <v>95</v>
      </c>
      <c r="DU271" s="136" t="s">
        <v>284</v>
      </c>
      <c r="DV271" s="136" t="s">
        <v>83</v>
      </c>
      <c r="DZ271" s="16" t="s">
        <v>282</v>
      </c>
      <c r="EF271" s="137">
        <f>IF(CO271="základní",J271,0)</f>
        <v>4399.68</v>
      </c>
      <c r="EG271" s="137">
        <f>IF(CO271="snížená",J271,0)</f>
        <v>0</v>
      </c>
      <c r="EH271" s="137">
        <f>IF(CO271="zákl. přenesená",J271,0)</f>
        <v>0</v>
      </c>
      <c r="EI271" s="137">
        <f>IF(CO271="sníž. přenesená",J271,0)</f>
        <v>0</v>
      </c>
      <c r="EJ271" s="137">
        <f>IF(CO271="nulová",J271,0)</f>
        <v>0</v>
      </c>
      <c r="EK271" s="16" t="s">
        <v>81</v>
      </c>
      <c r="EL271" s="137">
        <f>ROUND(I271*H271,2)</f>
        <v>4399.68</v>
      </c>
      <c r="EM271" s="16" t="s">
        <v>95</v>
      </c>
      <c r="EN271" s="136" t="s">
        <v>546</v>
      </c>
    </row>
    <row r="272" spans="2:144" s="1" customFormat="1" ht="19.5" x14ac:dyDescent="0.2">
      <c r="B272" s="31"/>
      <c r="D272" s="138" t="s">
        <v>289</v>
      </c>
      <c r="F272" s="139" t="s">
        <v>547</v>
      </c>
      <c r="I272" s="140"/>
      <c r="L272" s="31"/>
      <c r="N272" s="213"/>
      <c r="O272" s="214"/>
      <c r="Q272" s="229"/>
      <c r="CN272" s="141"/>
      <c r="CU272" s="50"/>
      <c r="DU272" s="16" t="s">
        <v>289</v>
      </c>
      <c r="DV272" s="16" t="s">
        <v>83</v>
      </c>
    </row>
    <row r="273" spans="2:144" s="1" customFormat="1" ht="24.2" customHeight="1" x14ac:dyDescent="0.2">
      <c r="B273" s="124"/>
      <c r="C273" s="125" t="s">
        <v>497</v>
      </c>
      <c r="D273" s="125" t="s">
        <v>284</v>
      </c>
      <c r="E273" s="126" t="s">
        <v>549</v>
      </c>
      <c r="F273" s="127" t="s">
        <v>550</v>
      </c>
      <c r="G273" s="128" t="s">
        <v>287</v>
      </c>
      <c r="H273" s="129">
        <v>243</v>
      </c>
      <c r="I273" s="130">
        <v>388.96896513366403</v>
      </c>
      <c r="J273" s="131">
        <f>ROUND(I273*H273,2)</f>
        <v>94519.46</v>
      </c>
      <c r="K273" s="127" t="s">
        <v>293</v>
      </c>
      <c r="L273" s="268">
        <f>S273</f>
        <v>0</v>
      </c>
      <c r="M273" s="272">
        <f>ROUND(L273*I273,2)</f>
        <v>0</v>
      </c>
      <c r="N273" s="243">
        <f>N271</f>
        <v>-43.680000000000007</v>
      </c>
      <c r="O273" s="294">
        <f>ROUND(N273*I273,2)</f>
        <v>-16990.16</v>
      </c>
      <c r="P273" s="273">
        <f>H273-L273-N273</f>
        <v>286.68</v>
      </c>
      <c r="Q273" s="287">
        <f>ROUND(P273*I273,2)</f>
        <v>111509.62</v>
      </c>
      <c r="R273" s="137"/>
      <c r="S273" s="269">
        <f>W273+Y273+AA273+AC273+AE273+AG273+AI273+AK273</f>
        <v>0</v>
      </c>
      <c r="T273" s="269">
        <f>ROUND(S273*I273,2)</f>
        <v>0</v>
      </c>
      <c r="U273" s="269">
        <f>H273-S273</f>
        <v>243</v>
      </c>
      <c r="V273" s="269">
        <f>ROUND(U273*I273,2)</f>
        <v>94519.46</v>
      </c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CN273" s="132" t="s">
        <v>1</v>
      </c>
      <c r="CO273" s="133" t="s">
        <v>40</v>
      </c>
      <c r="CQ273" s="134">
        <f>CP273*H273</f>
        <v>0</v>
      </c>
      <c r="CR273" s="134">
        <v>0</v>
      </c>
      <c r="CS273" s="134">
        <f>CR273*H273</f>
        <v>0</v>
      </c>
      <c r="CT273" s="134">
        <v>0</v>
      </c>
      <c r="CU273" s="135">
        <f>CT273*H273</f>
        <v>0</v>
      </c>
      <c r="DS273" s="136" t="s">
        <v>95</v>
      </c>
      <c r="DU273" s="136" t="s">
        <v>284</v>
      </c>
      <c r="DV273" s="136" t="s">
        <v>83</v>
      </c>
      <c r="DZ273" s="16" t="s">
        <v>282</v>
      </c>
      <c r="EF273" s="137">
        <f>IF(CO273="základní",J273,0)</f>
        <v>94519.46</v>
      </c>
      <c r="EG273" s="137">
        <f>IF(CO273="snížená",J273,0)</f>
        <v>0</v>
      </c>
      <c r="EH273" s="137">
        <f>IF(CO273="zákl. přenesená",J273,0)</f>
        <v>0</v>
      </c>
      <c r="EI273" s="137">
        <f>IF(CO273="sníž. přenesená",J273,0)</f>
        <v>0</v>
      </c>
      <c r="EJ273" s="137">
        <f>IF(CO273="nulová",J273,0)</f>
        <v>0</v>
      </c>
      <c r="EK273" s="16" t="s">
        <v>81</v>
      </c>
      <c r="EL273" s="137">
        <f>ROUND(I273*H273,2)</f>
        <v>94519.46</v>
      </c>
      <c r="EM273" s="16" t="s">
        <v>95</v>
      </c>
      <c r="EN273" s="136" t="s">
        <v>551</v>
      </c>
    </row>
    <row r="274" spans="2:144" s="1" customFormat="1" ht="29.25" x14ac:dyDescent="0.2">
      <c r="B274" s="31"/>
      <c r="D274" s="138" t="s">
        <v>289</v>
      </c>
      <c r="F274" s="139" t="s">
        <v>552</v>
      </c>
      <c r="I274" s="140"/>
      <c r="L274" s="31"/>
      <c r="N274" s="213"/>
      <c r="O274" s="214"/>
      <c r="Q274" s="229"/>
      <c r="CN274" s="141"/>
      <c r="CU274" s="50"/>
      <c r="DU274" s="16" t="s">
        <v>289</v>
      </c>
      <c r="DV274" s="16" t="s">
        <v>83</v>
      </c>
    </row>
    <row r="275" spans="2:144" s="1" customFormat="1" ht="29.25" x14ac:dyDescent="0.2">
      <c r="B275" s="31"/>
      <c r="D275" s="138" t="s">
        <v>299</v>
      </c>
      <c r="F275" s="142" t="s">
        <v>1047</v>
      </c>
      <c r="I275" s="140"/>
      <c r="L275" s="31"/>
      <c r="N275" s="213"/>
      <c r="O275" s="214"/>
      <c r="Q275" s="229"/>
      <c r="CN275" s="141"/>
      <c r="CU275" s="50"/>
      <c r="DU275" s="16" t="s">
        <v>299</v>
      </c>
      <c r="DV275" s="16" t="s">
        <v>83</v>
      </c>
    </row>
    <row r="276" spans="2:144" s="11" customFormat="1" x14ac:dyDescent="0.2">
      <c r="B276" s="143"/>
      <c r="D276" s="138" t="s">
        <v>301</v>
      </c>
      <c r="E276" s="144" t="s">
        <v>1</v>
      </c>
      <c r="F276" s="145" t="s">
        <v>553</v>
      </c>
      <c r="H276" s="144" t="s">
        <v>1</v>
      </c>
      <c r="I276" s="146"/>
      <c r="L276" s="143"/>
      <c r="N276" s="215"/>
      <c r="O276" s="216"/>
      <c r="Q276" s="230"/>
      <c r="CN276" s="147"/>
      <c r="CU276" s="148"/>
      <c r="DU276" s="144" t="s">
        <v>301</v>
      </c>
      <c r="DV276" s="144" t="s">
        <v>83</v>
      </c>
      <c r="DW276" s="11" t="s">
        <v>81</v>
      </c>
      <c r="DX276" s="11" t="s">
        <v>32</v>
      </c>
      <c r="DY276" s="11" t="s">
        <v>74</v>
      </c>
      <c r="DZ276" s="144" t="s">
        <v>282</v>
      </c>
    </row>
    <row r="277" spans="2:144" s="12" customFormat="1" x14ac:dyDescent="0.2">
      <c r="B277" s="149"/>
      <c r="D277" s="138" t="s">
        <v>301</v>
      </c>
      <c r="E277" s="150" t="s">
        <v>1</v>
      </c>
      <c r="F277" s="151" t="s">
        <v>1074</v>
      </c>
      <c r="H277" s="152">
        <v>243</v>
      </c>
      <c r="I277" s="153"/>
      <c r="L277" s="149"/>
      <c r="N277" s="217"/>
      <c r="O277" s="218"/>
      <c r="Q277" s="231"/>
      <c r="CN277" s="154"/>
      <c r="CU277" s="155"/>
      <c r="DU277" s="150" t="s">
        <v>301</v>
      </c>
      <c r="DV277" s="150" t="s">
        <v>83</v>
      </c>
      <c r="DW277" s="12" t="s">
        <v>83</v>
      </c>
      <c r="DX277" s="12" t="s">
        <v>32</v>
      </c>
      <c r="DY277" s="12" t="s">
        <v>81</v>
      </c>
      <c r="DZ277" s="150" t="s">
        <v>282</v>
      </c>
    </row>
    <row r="278" spans="2:144" s="10" customFormat="1" ht="22.9" customHeight="1" x14ac:dyDescent="0.2">
      <c r="B278" s="112"/>
      <c r="D278" s="113" t="s">
        <v>73</v>
      </c>
      <c r="E278" s="122" t="s">
        <v>328</v>
      </c>
      <c r="F278" s="122" t="s">
        <v>555</v>
      </c>
      <c r="I278" s="115"/>
      <c r="J278" s="123">
        <f>EL278</f>
        <v>123604.49999999999</v>
      </c>
      <c r="L278" s="112"/>
      <c r="M278" s="270">
        <f>SUM(M279:M314)</f>
        <v>0</v>
      </c>
      <c r="N278" s="301"/>
      <c r="O278" s="302">
        <f t="shared" ref="O278:V278" si="6">SUM(O279:O314)</f>
        <v>-13712.79</v>
      </c>
      <c r="P278" s="270"/>
      <c r="Q278" s="288">
        <f t="shared" si="6"/>
        <v>137317.29</v>
      </c>
      <c r="R278" s="270"/>
      <c r="S278" s="270"/>
      <c r="T278" s="270">
        <f t="shared" si="6"/>
        <v>0</v>
      </c>
      <c r="U278" s="270"/>
      <c r="V278" s="270">
        <f t="shared" si="6"/>
        <v>123604.49999999999</v>
      </c>
      <c r="CN278" s="117"/>
      <c r="CQ278" s="118">
        <f>SUM(CQ279:CQ315)</f>
        <v>0</v>
      </c>
      <c r="CS278" s="118">
        <f>SUM(CS279:CS315)</f>
        <v>1.7504300000000002</v>
      </c>
      <c r="CU278" s="119">
        <f>SUM(CU279:CU315)</f>
        <v>0</v>
      </c>
      <c r="DS278" s="113" t="s">
        <v>81</v>
      </c>
      <c r="DU278" s="120" t="s">
        <v>73</v>
      </c>
      <c r="DV278" s="120" t="s">
        <v>81</v>
      </c>
      <c r="DZ278" s="113" t="s">
        <v>282</v>
      </c>
      <c r="EL278" s="121">
        <f>SUM(EL279:EL315)</f>
        <v>123604.49999999999</v>
      </c>
    </row>
    <row r="279" spans="2:144" s="1" customFormat="1" ht="24.2" customHeight="1" x14ac:dyDescent="0.2">
      <c r="B279" s="124"/>
      <c r="C279" s="125" t="s">
        <v>501</v>
      </c>
      <c r="D279" s="125" t="s">
        <v>284</v>
      </c>
      <c r="E279" s="126" t="s">
        <v>557</v>
      </c>
      <c r="F279" s="127" t="s">
        <v>558</v>
      </c>
      <c r="G279" s="128" t="s">
        <v>344</v>
      </c>
      <c r="H279" s="129">
        <v>81</v>
      </c>
      <c r="I279" s="130">
        <v>850.78954015145496</v>
      </c>
      <c r="J279" s="131">
        <f>ROUND(I279*H279,2)</f>
        <v>68913.95</v>
      </c>
      <c r="K279" s="127" t="s">
        <v>293</v>
      </c>
      <c r="L279" s="268">
        <f>S279</f>
        <v>0</v>
      </c>
      <c r="M279" s="272">
        <f>ROUND(L279*I279,2)</f>
        <v>0</v>
      </c>
      <c r="N279" s="243">
        <f>N282</f>
        <v>-14.560000000000002</v>
      </c>
      <c r="O279" s="294">
        <f>ROUND(N279*I279,2)</f>
        <v>-12387.5</v>
      </c>
      <c r="P279" s="273">
        <f>H279-L279-N279</f>
        <v>95.56</v>
      </c>
      <c r="Q279" s="287">
        <f>ROUND(P279*I279,2)</f>
        <v>81301.45</v>
      </c>
      <c r="R279" s="137"/>
      <c r="S279" s="269">
        <f>W279+Y279+AA279+AC279+AE279+AG279+AI279+AK279</f>
        <v>0</v>
      </c>
      <c r="T279" s="269">
        <f>ROUND(S279*I279,2)</f>
        <v>0</v>
      </c>
      <c r="U279" s="269">
        <f>H279-S279</f>
        <v>81</v>
      </c>
      <c r="V279" s="269">
        <f>ROUND(U279*I279,2)</f>
        <v>68913.95</v>
      </c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CN279" s="132" t="s">
        <v>1</v>
      </c>
      <c r="CO279" s="133" t="s">
        <v>40</v>
      </c>
      <c r="CQ279" s="134">
        <f>CP279*H279</f>
        <v>0</v>
      </c>
      <c r="CR279" s="134">
        <v>1.323E-2</v>
      </c>
      <c r="CS279" s="134">
        <f>CR279*H279</f>
        <v>1.0716300000000001</v>
      </c>
      <c r="CT279" s="134">
        <v>0</v>
      </c>
      <c r="CU279" s="135">
        <f>CT279*H279</f>
        <v>0</v>
      </c>
      <c r="DS279" s="136" t="s">
        <v>95</v>
      </c>
      <c r="DU279" s="136" t="s">
        <v>284</v>
      </c>
      <c r="DV279" s="136" t="s">
        <v>83</v>
      </c>
      <c r="DZ279" s="16" t="s">
        <v>282</v>
      </c>
      <c r="EF279" s="137">
        <f>IF(CO279="základní",J279,0)</f>
        <v>68913.95</v>
      </c>
      <c r="EG279" s="137">
        <f>IF(CO279="snížená",J279,0)</f>
        <v>0</v>
      </c>
      <c r="EH279" s="137">
        <f>IF(CO279="zákl. přenesená",J279,0)</f>
        <v>0</v>
      </c>
      <c r="EI279" s="137">
        <f>IF(CO279="sníž. přenesená",J279,0)</f>
        <v>0</v>
      </c>
      <c r="EJ279" s="137">
        <f>IF(CO279="nulová",J279,0)</f>
        <v>0</v>
      </c>
      <c r="EK279" s="16" t="s">
        <v>81</v>
      </c>
      <c r="EL279" s="137">
        <f>ROUND(I279*H279,2)</f>
        <v>68913.95</v>
      </c>
      <c r="EM279" s="16" t="s">
        <v>95</v>
      </c>
      <c r="EN279" s="136" t="s">
        <v>559</v>
      </c>
    </row>
    <row r="280" spans="2:144" s="1" customFormat="1" ht="29.25" x14ac:dyDescent="0.2">
      <c r="B280" s="31"/>
      <c r="D280" s="138" t="s">
        <v>289</v>
      </c>
      <c r="F280" s="139" t="s">
        <v>560</v>
      </c>
      <c r="I280" s="140"/>
      <c r="L280" s="31"/>
      <c r="N280" s="213"/>
      <c r="O280" s="214"/>
      <c r="Q280" s="229"/>
      <c r="CN280" s="141"/>
      <c r="CU280" s="50"/>
      <c r="DU280" s="16" t="s">
        <v>289</v>
      </c>
      <c r="DV280" s="16" t="s">
        <v>83</v>
      </c>
    </row>
    <row r="281" spans="2:144" s="1" customFormat="1" ht="29.25" x14ac:dyDescent="0.2">
      <c r="B281" s="31"/>
      <c r="D281" s="138" t="s">
        <v>299</v>
      </c>
      <c r="F281" s="142" t="s">
        <v>1047</v>
      </c>
      <c r="I281" s="140"/>
      <c r="L281" s="31"/>
      <c r="N281" s="213"/>
      <c r="O281" s="214"/>
      <c r="Q281" s="229"/>
      <c r="CN281" s="141"/>
      <c r="CU281" s="50"/>
      <c r="DU281" s="16" t="s">
        <v>299</v>
      </c>
      <c r="DV281" s="16" t="s">
        <v>83</v>
      </c>
    </row>
    <row r="282" spans="2:144" s="12" customFormat="1" x14ac:dyDescent="0.2">
      <c r="B282" s="149"/>
      <c r="D282" s="138" t="s">
        <v>301</v>
      </c>
      <c r="E282" s="150" t="s">
        <v>1</v>
      </c>
      <c r="F282" s="151" t="s">
        <v>1075</v>
      </c>
      <c r="H282" s="152">
        <v>81</v>
      </c>
      <c r="I282" s="153"/>
      <c r="L282" s="149"/>
      <c r="N282" s="217">
        <f>66.44-81</f>
        <v>-14.560000000000002</v>
      </c>
      <c r="O282" s="218" t="s">
        <v>3455</v>
      </c>
      <c r="Q282" s="231"/>
      <c r="CN282" s="154"/>
      <c r="CU282" s="155"/>
      <c r="DU282" s="150" t="s">
        <v>301</v>
      </c>
      <c r="DV282" s="150" t="s">
        <v>83</v>
      </c>
      <c r="DW282" s="12" t="s">
        <v>83</v>
      </c>
      <c r="DX282" s="12" t="s">
        <v>32</v>
      </c>
      <c r="DY282" s="12" t="s">
        <v>81</v>
      </c>
      <c r="DZ282" s="150" t="s">
        <v>282</v>
      </c>
    </row>
    <row r="283" spans="2:144" s="1" customFormat="1" ht="24.2" customHeight="1" x14ac:dyDescent="0.2">
      <c r="B283" s="124"/>
      <c r="C283" s="125" t="s">
        <v>505</v>
      </c>
      <c r="D283" s="125" t="s">
        <v>284</v>
      </c>
      <c r="E283" s="126" t="s">
        <v>563</v>
      </c>
      <c r="F283" s="127" t="s">
        <v>564</v>
      </c>
      <c r="G283" s="128" t="s">
        <v>485</v>
      </c>
      <c r="H283" s="129">
        <v>4</v>
      </c>
      <c r="I283" s="130">
        <v>428.93856860779169</v>
      </c>
      <c r="J283" s="131">
        <f>ROUND(I283*H283,2)</f>
        <v>1715.75</v>
      </c>
      <c r="K283" s="127" t="s">
        <v>293</v>
      </c>
      <c r="L283" s="268">
        <f>S283</f>
        <v>0</v>
      </c>
      <c r="M283" s="272">
        <f>ROUND(L283*I283,2)</f>
        <v>0</v>
      </c>
      <c r="N283" s="243"/>
      <c r="O283" s="294">
        <f>ROUND(N283*I283,2)</f>
        <v>0</v>
      </c>
      <c r="P283" s="273">
        <f>H283-L283-N283</f>
        <v>4</v>
      </c>
      <c r="Q283" s="287">
        <f>ROUND(P283*I283,2)</f>
        <v>1715.75</v>
      </c>
      <c r="R283" s="137"/>
      <c r="S283" s="269">
        <f>W283+Y283+AA283+AC283+AE283+AG283+AI283+AK283</f>
        <v>0</v>
      </c>
      <c r="T283" s="269">
        <f>ROUND(S283*I283,2)</f>
        <v>0</v>
      </c>
      <c r="U283" s="269">
        <f>H283-S283</f>
        <v>4</v>
      </c>
      <c r="V283" s="269">
        <f>ROUND(U283*I283,2)</f>
        <v>1715.75</v>
      </c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  <c r="AL283" s="269"/>
      <c r="CN283" s="132" t="s">
        <v>1</v>
      </c>
      <c r="CO283" s="133" t="s">
        <v>40</v>
      </c>
      <c r="CQ283" s="134">
        <f>CP283*H283</f>
        <v>0</v>
      </c>
      <c r="CR283" s="134">
        <v>2.0000000000000002E-5</v>
      </c>
      <c r="CS283" s="134">
        <f>CR283*H283</f>
        <v>8.0000000000000007E-5</v>
      </c>
      <c r="CT283" s="134">
        <v>0</v>
      </c>
      <c r="CU283" s="135">
        <f>CT283*H283</f>
        <v>0</v>
      </c>
      <c r="DS283" s="136" t="s">
        <v>95</v>
      </c>
      <c r="DU283" s="136" t="s">
        <v>284</v>
      </c>
      <c r="DV283" s="136" t="s">
        <v>83</v>
      </c>
      <c r="DZ283" s="16" t="s">
        <v>282</v>
      </c>
      <c r="EF283" s="137">
        <f>IF(CO283="základní",J283,0)</f>
        <v>1715.75</v>
      </c>
      <c r="EG283" s="137">
        <f>IF(CO283="snížená",J283,0)</f>
        <v>0</v>
      </c>
      <c r="EH283" s="137">
        <f>IF(CO283="zákl. přenesená",J283,0)</f>
        <v>0</v>
      </c>
      <c r="EI283" s="137">
        <f>IF(CO283="sníž. přenesená",J283,0)</f>
        <v>0</v>
      </c>
      <c r="EJ283" s="137">
        <f>IF(CO283="nulová",J283,0)</f>
        <v>0</v>
      </c>
      <c r="EK283" s="16" t="s">
        <v>81</v>
      </c>
      <c r="EL283" s="137">
        <f>ROUND(I283*H283,2)</f>
        <v>1715.75</v>
      </c>
      <c r="EM283" s="16" t="s">
        <v>95</v>
      </c>
      <c r="EN283" s="136" t="s">
        <v>565</v>
      </c>
    </row>
    <row r="284" spans="2:144" s="1" customFormat="1" ht="19.5" x14ac:dyDescent="0.2">
      <c r="B284" s="31"/>
      <c r="D284" s="138" t="s">
        <v>289</v>
      </c>
      <c r="F284" s="139" t="s">
        <v>566</v>
      </c>
      <c r="I284" s="140"/>
      <c r="L284" s="31"/>
      <c r="N284" s="213"/>
      <c r="O284" s="214"/>
      <c r="Q284" s="229"/>
      <c r="CN284" s="141"/>
      <c r="CU284" s="50"/>
      <c r="DU284" s="16" t="s">
        <v>289</v>
      </c>
      <c r="DV284" s="16" t="s">
        <v>83</v>
      </c>
    </row>
    <row r="285" spans="2:144" s="1" customFormat="1" ht="19.5" x14ac:dyDescent="0.2">
      <c r="B285" s="31"/>
      <c r="D285" s="138" t="s">
        <v>299</v>
      </c>
      <c r="F285" s="142" t="s">
        <v>317</v>
      </c>
      <c r="I285" s="140"/>
      <c r="L285" s="31"/>
      <c r="N285" s="213"/>
      <c r="O285" s="214"/>
      <c r="Q285" s="229"/>
      <c r="CN285" s="141"/>
      <c r="CU285" s="50"/>
      <c r="DU285" s="16" t="s">
        <v>299</v>
      </c>
      <c r="DV285" s="16" t="s">
        <v>83</v>
      </c>
    </row>
    <row r="286" spans="2:144" s="12" customFormat="1" x14ac:dyDescent="0.2">
      <c r="B286" s="149"/>
      <c r="D286" s="138" t="s">
        <v>301</v>
      </c>
      <c r="E286" s="150" t="s">
        <v>1</v>
      </c>
      <c r="F286" s="151" t="s">
        <v>775</v>
      </c>
      <c r="H286" s="152">
        <v>4</v>
      </c>
      <c r="I286" s="153"/>
      <c r="L286" s="149"/>
      <c r="N286" s="217"/>
      <c r="O286" s="218"/>
      <c r="Q286" s="231"/>
      <c r="CN286" s="154"/>
      <c r="CU286" s="155"/>
      <c r="DU286" s="150" t="s">
        <v>301</v>
      </c>
      <c r="DV286" s="150" t="s">
        <v>83</v>
      </c>
      <c r="DW286" s="12" t="s">
        <v>83</v>
      </c>
      <c r="DX286" s="12" t="s">
        <v>32</v>
      </c>
      <c r="DY286" s="12" t="s">
        <v>81</v>
      </c>
      <c r="DZ286" s="150" t="s">
        <v>282</v>
      </c>
    </row>
    <row r="287" spans="2:144" s="1" customFormat="1" ht="24.2" customHeight="1" x14ac:dyDescent="0.2">
      <c r="B287" s="124"/>
      <c r="C287" s="170" t="s">
        <v>510</v>
      </c>
      <c r="D287" s="170" t="s">
        <v>439</v>
      </c>
      <c r="E287" s="171" t="s">
        <v>569</v>
      </c>
      <c r="F287" s="172" t="s">
        <v>570</v>
      </c>
      <c r="G287" s="173" t="s">
        <v>485</v>
      </c>
      <c r="H287" s="174">
        <v>4</v>
      </c>
      <c r="I287" s="175">
        <v>1984.4168915</v>
      </c>
      <c r="J287" s="176">
        <f>ROUND(I287*H287,2)</f>
        <v>7937.67</v>
      </c>
      <c r="K287" s="172" t="s">
        <v>293</v>
      </c>
      <c r="L287" s="268">
        <f>S287</f>
        <v>0</v>
      </c>
      <c r="M287" s="272">
        <f>ROUND(L287*I287,2)</f>
        <v>0</v>
      </c>
      <c r="N287" s="243"/>
      <c r="O287" s="294">
        <f>ROUND(N287*I287,2)</f>
        <v>0</v>
      </c>
      <c r="P287" s="273">
        <f>H287-L287-N287</f>
        <v>4</v>
      </c>
      <c r="Q287" s="287">
        <f>ROUND(P287*I287,2)</f>
        <v>7937.67</v>
      </c>
      <c r="R287" s="137"/>
      <c r="S287" s="269">
        <f>W287+Y287+AA287+AC287+AE287+AG287+AI287+AK287</f>
        <v>0</v>
      </c>
      <c r="T287" s="269">
        <f>ROUND(S287*I287,2)</f>
        <v>0</v>
      </c>
      <c r="U287" s="269">
        <f>H287-S287</f>
        <v>4</v>
      </c>
      <c r="V287" s="269">
        <f>ROUND(U287*I287,2)</f>
        <v>7937.67</v>
      </c>
      <c r="W287" s="290"/>
      <c r="X287" s="290"/>
      <c r="Y287" s="290"/>
      <c r="Z287" s="290"/>
      <c r="AA287" s="290"/>
      <c r="AB287" s="290"/>
      <c r="AC287" s="290"/>
      <c r="AD287" s="290"/>
      <c r="AE287" s="290"/>
      <c r="AF287" s="290"/>
      <c r="AG287" s="290"/>
      <c r="AH287" s="290"/>
      <c r="AI287" s="290"/>
      <c r="AJ287" s="290"/>
      <c r="AK287" s="290"/>
      <c r="AL287" s="290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77" t="s">
        <v>1</v>
      </c>
      <c r="CO287" s="178" t="s">
        <v>40</v>
      </c>
      <c r="CQ287" s="134">
        <f>CP287*H287</f>
        <v>0</v>
      </c>
      <c r="CR287" s="134">
        <v>4.2599999999999999E-3</v>
      </c>
      <c r="CS287" s="134">
        <f>CR287*H287</f>
        <v>1.704E-2</v>
      </c>
      <c r="CT287" s="134">
        <v>0</v>
      </c>
      <c r="CU287" s="135">
        <f>CT287*H287</f>
        <v>0</v>
      </c>
      <c r="DS287" s="136" t="s">
        <v>328</v>
      </c>
      <c r="DU287" s="136" t="s">
        <v>439</v>
      </c>
      <c r="DV287" s="136" t="s">
        <v>83</v>
      </c>
      <c r="DZ287" s="16" t="s">
        <v>282</v>
      </c>
      <c r="EF287" s="137">
        <f>IF(CO287="základní",J287,0)</f>
        <v>7937.67</v>
      </c>
      <c r="EG287" s="137">
        <f>IF(CO287="snížená",J287,0)</f>
        <v>0</v>
      </c>
      <c r="EH287" s="137">
        <f>IF(CO287="zákl. přenesená",J287,0)</f>
        <v>0</v>
      </c>
      <c r="EI287" s="137">
        <f>IF(CO287="sníž. přenesená",J287,0)</f>
        <v>0</v>
      </c>
      <c r="EJ287" s="137">
        <f>IF(CO287="nulová",J287,0)</f>
        <v>0</v>
      </c>
      <c r="EK287" s="16" t="s">
        <v>81</v>
      </c>
      <c r="EL287" s="137">
        <f>ROUND(I287*H287,2)</f>
        <v>7937.67</v>
      </c>
      <c r="EM287" s="16" t="s">
        <v>95</v>
      </c>
      <c r="EN287" s="136" t="s">
        <v>571</v>
      </c>
    </row>
    <row r="288" spans="2:144" s="1" customFormat="1" x14ac:dyDescent="0.2">
      <c r="B288" s="31"/>
      <c r="D288" s="138" t="s">
        <v>289</v>
      </c>
      <c r="F288" s="139" t="s">
        <v>570</v>
      </c>
      <c r="I288" s="140"/>
      <c r="L288" s="31"/>
      <c r="N288" s="213"/>
      <c r="O288" s="214"/>
      <c r="Q288" s="229"/>
      <c r="CN288" s="141"/>
      <c r="CU288" s="50"/>
      <c r="DU288" s="16" t="s">
        <v>289</v>
      </c>
      <c r="DV288" s="16" t="s">
        <v>83</v>
      </c>
    </row>
    <row r="289" spans="2:144" s="1" customFormat="1" ht="24.2" customHeight="1" x14ac:dyDescent="0.2">
      <c r="B289" s="124"/>
      <c r="C289" s="125" t="s">
        <v>514</v>
      </c>
      <c r="D289" s="125" t="s">
        <v>284</v>
      </c>
      <c r="E289" s="126" t="s">
        <v>573</v>
      </c>
      <c r="F289" s="127" t="s">
        <v>574</v>
      </c>
      <c r="G289" s="128" t="s">
        <v>344</v>
      </c>
      <c r="H289" s="129">
        <v>81</v>
      </c>
      <c r="I289" s="130">
        <v>42.624706500000002</v>
      </c>
      <c r="J289" s="131">
        <f>ROUND(I289*H289,2)</f>
        <v>3452.6</v>
      </c>
      <c r="K289" s="127" t="s">
        <v>1</v>
      </c>
      <c r="L289" s="268">
        <f>S289</f>
        <v>0</v>
      </c>
      <c r="M289" s="272">
        <f>ROUND(L289*I289,2)</f>
        <v>0</v>
      </c>
      <c r="N289" s="243">
        <f>N279</f>
        <v>-14.560000000000002</v>
      </c>
      <c r="O289" s="294">
        <f>ROUND(N289*I289,2)</f>
        <v>-620.62</v>
      </c>
      <c r="P289" s="273">
        <f>H289-L289-N289</f>
        <v>95.56</v>
      </c>
      <c r="Q289" s="287">
        <f>ROUND(P289*I289,2)</f>
        <v>4073.22</v>
      </c>
      <c r="R289" s="137"/>
      <c r="S289" s="269">
        <f>W289+Y289+AA289+AC289+AE289+AG289+AI289+AK289</f>
        <v>0</v>
      </c>
      <c r="T289" s="269">
        <f>ROUND(S289*I289,2)</f>
        <v>0</v>
      </c>
      <c r="U289" s="269">
        <f>H289-S289</f>
        <v>81</v>
      </c>
      <c r="V289" s="269">
        <f>ROUND(U289*I289,2)</f>
        <v>3452.6</v>
      </c>
      <c r="W289" s="269"/>
      <c r="X289" s="269"/>
      <c r="Y289" s="269"/>
      <c r="Z289" s="269"/>
      <c r="AA289" s="269"/>
      <c r="AB289" s="269"/>
      <c r="AC289" s="269"/>
      <c r="AD289" s="269"/>
      <c r="AE289" s="269"/>
      <c r="AF289" s="269"/>
      <c r="AG289" s="269"/>
      <c r="AH289" s="269"/>
      <c r="AI289" s="269"/>
      <c r="AJ289" s="269"/>
      <c r="AK289" s="269"/>
      <c r="AL289" s="269"/>
      <c r="CN289" s="132" t="s">
        <v>1</v>
      </c>
      <c r="CO289" s="133" t="s">
        <v>40</v>
      </c>
      <c r="CQ289" s="134">
        <f>CP289*H289</f>
        <v>0</v>
      </c>
      <c r="CR289" s="134">
        <v>0</v>
      </c>
      <c r="CS289" s="134">
        <f>CR289*H289</f>
        <v>0</v>
      </c>
      <c r="CT289" s="134">
        <v>0</v>
      </c>
      <c r="CU289" s="135">
        <f>CT289*H289</f>
        <v>0</v>
      </c>
      <c r="DS289" s="136" t="s">
        <v>95</v>
      </c>
      <c r="DU289" s="136" t="s">
        <v>284</v>
      </c>
      <c r="DV289" s="136" t="s">
        <v>83</v>
      </c>
      <c r="DZ289" s="16" t="s">
        <v>282</v>
      </c>
      <c r="EF289" s="137">
        <f>IF(CO289="základní",J289,0)</f>
        <v>3452.6</v>
      </c>
      <c r="EG289" s="137">
        <f>IF(CO289="snížená",J289,0)</f>
        <v>0</v>
      </c>
      <c r="EH289" s="137">
        <f>IF(CO289="zákl. přenesená",J289,0)</f>
        <v>0</v>
      </c>
      <c r="EI289" s="137">
        <f>IF(CO289="sníž. přenesená",J289,0)</f>
        <v>0</v>
      </c>
      <c r="EJ289" s="137">
        <f>IF(CO289="nulová",J289,0)</f>
        <v>0</v>
      </c>
      <c r="EK289" s="16" t="s">
        <v>81</v>
      </c>
      <c r="EL289" s="137">
        <f>ROUND(I289*H289,2)</f>
        <v>3452.6</v>
      </c>
      <c r="EM289" s="16" t="s">
        <v>95</v>
      </c>
      <c r="EN289" s="136" t="s">
        <v>575</v>
      </c>
    </row>
    <row r="290" spans="2:144" s="1" customFormat="1" ht="19.5" x14ac:dyDescent="0.2">
      <c r="B290" s="31"/>
      <c r="D290" s="138" t="s">
        <v>289</v>
      </c>
      <c r="F290" s="139" t="s">
        <v>574</v>
      </c>
      <c r="I290" s="140"/>
      <c r="L290" s="31"/>
      <c r="N290" s="213"/>
      <c r="O290" s="214"/>
      <c r="Q290" s="229"/>
      <c r="CN290" s="141"/>
      <c r="CU290" s="50"/>
      <c r="DU290" s="16" t="s">
        <v>289</v>
      </c>
      <c r="DV290" s="16" t="s">
        <v>83</v>
      </c>
    </row>
    <row r="291" spans="2:144" s="1" customFormat="1" ht="14.45" customHeight="1" x14ac:dyDescent="0.2">
      <c r="B291" s="124"/>
      <c r="C291" s="125" t="s">
        <v>521</v>
      </c>
      <c r="D291" s="125" t="s">
        <v>284</v>
      </c>
      <c r="E291" s="126" t="s">
        <v>577</v>
      </c>
      <c r="F291" s="127" t="s">
        <v>578</v>
      </c>
      <c r="G291" s="128" t="s">
        <v>344</v>
      </c>
      <c r="H291" s="129">
        <v>81</v>
      </c>
      <c r="I291" s="130">
        <v>18.944313999999999</v>
      </c>
      <c r="J291" s="131">
        <f>ROUND(I291*H291,2)</f>
        <v>1534.49</v>
      </c>
      <c r="K291" s="127" t="s">
        <v>1</v>
      </c>
      <c r="L291" s="268">
        <f>S291</f>
        <v>0</v>
      </c>
      <c r="M291" s="272">
        <f>ROUND(L291*I291,2)</f>
        <v>0</v>
      </c>
      <c r="N291" s="243">
        <f>N289</f>
        <v>-14.560000000000002</v>
      </c>
      <c r="O291" s="294">
        <f>ROUND(N291*I291,2)</f>
        <v>-275.83</v>
      </c>
      <c r="P291" s="273">
        <f>H291-L291-N291</f>
        <v>95.56</v>
      </c>
      <c r="Q291" s="287">
        <f>ROUND(P291*I291,2)</f>
        <v>1810.32</v>
      </c>
      <c r="R291" s="137"/>
      <c r="S291" s="269">
        <f>W291+Y291+AA291+AC291+AE291+AG291+AI291+AK291</f>
        <v>0</v>
      </c>
      <c r="T291" s="269">
        <f>ROUND(S291*I291,2)</f>
        <v>0</v>
      </c>
      <c r="U291" s="269">
        <f>H291-S291</f>
        <v>81</v>
      </c>
      <c r="V291" s="269">
        <f>ROUND(U291*I291,2)</f>
        <v>1534.49</v>
      </c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CN291" s="132" t="s">
        <v>1</v>
      </c>
      <c r="CO291" s="133" t="s">
        <v>40</v>
      </c>
      <c r="CQ291" s="134">
        <f>CP291*H291</f>
        <v>0</v>
      </c>
      <c r="CR291" s="134">
        <v>0</v>
      </c>
      <c r="CS291" s="134">
        <f>CR291*H291</f>
        <v>0</v>
      </c>
      <c r="CT291" s="134">
        <v>0</v>
      </c>
      <c r="CU291" s="135">
        <f>CT291*H291</f>
        <v>0</v>
      </c>
      <c r="DS291" s="136" t="s">
        <v>95</v>
      </c>
      <c r="DU291" s="136" t="s">
        <v>284</v>
      </c>
      <c r="DV291" s="136" t="s">
        <v>83</v>
      </c>
      <c r="DZ291" s="16" t="s">
        <v>282</v>
      </c>
      <c r="EF291" s="137">
        <f>IF(CO291="základní",J291,0)</f>
        <v>1534.49</v>
      </c>
      <c r="EG291" s="137">
        <f>IF(CO291="snížená",J291,0)</f>
        <v>0</v>
      </c>
      <c r="EH291" s="137">
        <f>IF(CO291="zákl. přenesená",J291,0)</f>
        <v>0</v>
      </c>
      <c r="EI291" s="137">
        <f>IF(CO291="sníž. přenesená",J291,0)</f>
        <v>0</v>
      </c>
      <c r="EJ291" s="137">
        <f>IF(CO291="nulová",J291,0)</f>
        <v>0</v>
      </c>
      <c r="EK291" s="16" t="s">
        <v>81</v>
      </c>
      <c r="EL291" s="137">
        <f>ROUND(I291*H291,2)</f>
        <v>1534.49</v>
      </c>
      <c r="EM291" s="16" t="s">
        <v>95</v>
      </c>
      <c r="EN291" s="136" t="s">
        <v>579</v>
      </c>
    </row>
    <row r="292" spans="2:144" s="1" customFormat="1" x14ac:dyDescent="0.2">
      <c r="B292" s="31"/>
      <c r="D292" s="138" t="s">
        <v>289</v>
      </c>
      <c r="F292" s="139" t="s">
        <v>578</v>
      </c>
      <c r="I292" s="140"/>
      <c r="L292" s="31"/>
      <c r="N292" s="213"/>
      <c r="O292" s="214"/>
      <c r="Q292" s="229"/>
      <c r="CN292" s="141"/>
      <c r="CU292" s="50"/>
      <c r="DU292" s="16" t="s">
        <v>289</v>
      </c>
      <c r="DV292" s="16" t="s">
        <v>83</v>
      </c>
    </row>
    <row r="293" spans="2:144" s="1" customFormat="1" ht="29.25" x14ac:dyDescent="0.2">
      <c r="B293" s="31"/>
      <c r="D293" s="138" t="s">
        <v>299</v>
      </c>
      <c r="F293" s="142" t="s">
        <v>580</v>
      </c>
      <c r="I293" s="140"/>
      <c r="L293" s="31"/>
      <c r="N293" s="213"/>
      <c r="O293" s="214"/>
      <c r="Q293" s="229"/>
      <c r="CN293" s="141"/>
      <c r="CU293" s="50"/>
      <c r="DU293" s="16" t="s">
        <v>299</v>
      </c>
      <c r="DV293" s="16" t="s">
        <v>83</v>
      </c>
    </row>
    <row r="294" spans="2:144" s="1" customFormat="1" ht="24.2" customHeight="1" x14ac:dyDescent="0.2">
      <c r="B294" s="124"/>
      <c r="C294" s="125" t="s">
        <v>526</v>
      </c>
      <c r="D294" s="125" t="s">
        <v>284</v>
      </c>
      <c r="E294" s="126" t="s">
        <v>582</v>
      </c>
      <c r="F294" s="127" t="s">
        <v>583</v>
      </c>
      <c r="G294" s="128" t="s">
        <v>584</v>
      </c>
      <c r="H294" s="129">
        <v>2</v>
      </c>
      <c r="I294" s="130">
        <v>933.22469567263556</v>
      </c>
      <c r="J294" s="131">
        <f>ROUND(I294*H294,2)</f>
        <v>1866.45</v>
      </c>
      <c r="K294" s="127" t="s">
        <v>293</v>
      </c>
      <c r="L294" s="268">
        <f>S294</f>
        <v>0</v>
      </c>
      <c r="M294" s="272">
        <f>ROUND(L294*I294,2)</f>
        <v>0</v>
      </c>
      <c r="N294" s="243"/>
      <c r="O294" s="294">
        <f>ROUND(N294*I294,2)</f>
        <v>0</v>
      </c>
      <c r="P294" s="273">
        <f>H294-L294-N294</f>
        <v>2</v>
      </c>
      <c r="Q294" s="287">
        <f>ROUND(P294*I294,2)</f>
        <v>1866.45</v>
      </c>
      <c r="R294" s="137"/>
      <c r="S294" s="269">
        <f>W294+Y294+AA294+AC294+AE294+AG294+AI294+AK294</f>
        <v>0</v>
      </c>
      <c r="T294" s="269">
        <f>ROUND(S294*I294,2)</f>
        <v>0</v>
      </c>
      <c r="U294" s="269">
        <f>H294-S294</f>
        <v>2</v>
      </c>
      <c r="V294" s="269">
        <f>ROUND(U294*I294,2)</f>
        <v>1866.45</v>
      </c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CN294" s="132" t="s">
        <v>1</v>
      </c>
      <c r="CO294" s="133" t="s">
        <v>40</v>
      </c>
      <c r="CQ294" s="134">
        <f>CP294*H294</f>
        <v>0</v>
      </c>
      <c r="CR294" s="134">
        <v>3.1E-4</v>
      </c>
      <c r="CS294" s="134">
        <f>CR294*H294</f>
        <v>6.2E-4</v>
      </c>
      <c r="CT294" s="134">
        <v>0</v>
      </c>
      <c r="CU294" s="135">
        <f>CT294*H294</f>
        <v>0</v>
      </c>
      <c r="DS294" s="136" t="s">
        <v>95</v>
      </c>
      <c r="DU294" s="136" t="s">
        <v>284</v>
      </c>
      <c r="DV294" s="136" t="s">
        <v>83</v>
      </c>
      <c r="DZ294" s="16" t="s">
        <v>282</v>
      </c>
      <c r="EF294" s="137">
        <f>IF(CO294="základní",J294,0)</f>
        <v>1866.45</v>
      </c>
      <c r="EG294" s="137">
        <f>IF(CO294="snížená",J294,0)</f>
        <v>0</v>
      </c>
      <c r="EH294" s="137">
        <f>IF(CO294="zákl. přenesená",J294,0)</f>
        <v>0</v>
      </c>
      <c r="EI294" s="137">
        <f>IF(CO294="sníž. přenesená",J294,0)</f>
        <v>0</v>
      </c>
      <c r="EJ294" s="137">
        <f>IF(CO294="nulová",J294,0)</f>
        <v>0</v>
      </c>
      <c r="EK294" s="16" t="s">
        <v>81</v>
      </c>
      <c r="EL294" s="137">
        <f>ROUND(I294*H294,2)</f>
        <v>1866.45</v>
      </c>
      <c r="EM294" s="16" t="s">
        <v>95</v>
      </c>
      <c r="EN294" s="136" t="s">
        <v>585</v>
      </c>
    </row>
    <row r="295" spans="2:144" s="1" customFormat="1" x14ac:dyDescent="0.2">
      <c r="B295" s="31"/>
      <c r="D295" s="138" t="s">
        <v>289</v>
      </c>
      <c r="F295" s="139" t="s">
        <v>586</v>
      </c>
      <c r="I295" s="140"/>
      <c r="L295" s="31"/>
      <c r="N295" s="213"/>
      <c r="O295" s="214"/>
      <c r="Q295" s="229"/>
      <c r="CN295" s="141"/>
      <c r="CU295" s="50"/>
      <c r="DU295" s="16" t="s">
        <v>289</v>
      </c>
      <c r="DV295" s="16" t="s">
        <v>83</v>
      </c>
    </row>
    <row r="296" spans="2:144" s="1" customFormat="1" ht="19.5" x14ac:dyDescent="0.2">
      <c r="B296" s="31"/>
      <c r="D296" s="138" t="s">
        <v>299</v>
      </c>
      <c r="F296" s="142" t="s">
        <v>587</v>
      </c>
      <c r="I296" s="140"/>
      <c r="L296" s="31"/>
      <c r="N296" s="213"/>
      <c r="O296" s="214"/>
      <c r="Q296" s="229"/>
      <c r="CN296" s="141"/>
      <c r="CU296" s="50"/>
      <c r="DU296" s="16" t="s">
        <v>299</v>
      </c>
      <c r="DV296" s="16" t="s">
        <v>83</v>
      </c>
    </row>
    <row r="297" spans="2:144" s="11" customFormat="1" x14ac:dyDescent="0.2">
      <c r="B297" s="143"/>
      <c r="D297" s="138" t="s">
        <v>301</v>
      </c>
      <c r="E297" s="144" t="s">
        <v>1</v>
      </c>
      <c r="F297" s="145" t="s">
        <v>588</v>
      </c>
      <c r="H297" s="144" t="s">
        <v>1</v>
      </c>
      <c r="I297" s="146"/>
      <c r="L297" s="143"/>
      <c r="N297" s="215"/>
      <c r="O297" s="216"/>
      <c r="Q297" s="230"/>
      <c r="CN297" s="147"/>
      <c r="CU297" s="148"/>
      <c r="DU297" s="144" t="s">
        <v>301</v>
      </c>
      <c r="DV297" s="144" t="s">
        <v>83</v>
      </c>
      <c r="DW297" s="11" t="s">
        <v>81</v>
      </c>
      <c r="DX297" s="11" t="s">
        <v>32</v>
      </c>
      <c r="DY297" s="11" t="s">
        <v>74</v>
      </c>
      <c r="DZ297" s="144" t="s">
        <v>282</v>
      </c>
    </row>
    <row r="298" spans="2:144" s="12" customFormat="1" x14ac:dyDescent="0.2">
      <c r="B298" s="149"/>
      <c r="D298" s="138" t="s">
        <v>301</v>
      </c>
      <c r="E298" s="150" t="s">
        <v>1</v>
      </c>
      <c r="F298" s="151" t="s">
        <v>83</v>
      </c>
      <c r="H298" s="152">
        <v>2</v>
      </c>
      <c r="I298" s="153"/>
      <c r="L298" s="149"/>
      <c r="N298" s="217"/>
      <c r="O298" s="218"/>
      <c r="Q298" s="231"/>
      <c r="CN298" s="154"/>
      <c r="CU298" s="155"/>
      <c r="DU298" s="150" t="s">
        <v>301</v>
      </c>
      <c r="DV298" s="150" t="s">
        <v>83</v>
      </c>
      <c r="DW298" s="12" t="s">
        <v>83</v>
      </c>
      <c r="DX298" s="12" t="s">
        <v>32</v>
      </c>
      <c r="DY298" s="12" t="s">
        <v>81</v>
      </c>
      <c r="DZ298" s="150" t="s">
        <v>282</v>
      </c>
    </row>
    <row r="299" spans="2:144" s="1" customFormat="1" ht="24.2" customHeight="1" x14ac:dyDescent="0.2">
      <c r="B299" s="124"/>
      <c r="C299" s="125" t="s">
        <v>531</v>
      </c>
      <c r="D299" s="125" t="s">
        <v>284</v>
      </c>
      <c r="E299" s="126" t="s">
        <v>590</v>
      </c>
      <c r="F299" s="127" t="s">
        <v>591</v>
      </c>
      <c r="G299" s="128" t="s">
        <v>344</v>
      </c>
      <c r="H299" s="129">
        <v>81</v>
      </c>
      <c r="I299" s="130">
        <v>29.453410986389244</v>
      </c>
      <c r="J299" s="131">
        <f>ROUND(I299*H299,2)</f>
        <v>2385.73</v>
      </c>
      <c r="K299" s="127" t="s">
        <v>293</v>
      </c>
      <c r="L299" s="268">
        <f>S299</f>
        <v>0</v>
      </c>
      <c r="M299" s="272">
        <f>ROUND(L299*I299,2)</f>
        <v>0</v>
      </c>
      <c r="N299" s="243">
        <f>N291</f>
        <v>-14.560000000000002</v>
      </c>
      <c r="O299" s="294">
        <f>ROUND(N299*I299,2)</f>
        <v>-428.84</v>
      </c>
      <c r="P299" s="273">
        <f>H299-L299-N299</f>
        <v>95.56</v>
      </c>
      <c r="Q299" s="287">
        <f>ROUND(P299*I299,2)</f>
        <v>2814.57</v>
      </c>
      <c r="R299" s="137"/>
      <c r="S299" s="269">
        <f>W299+Y299+AA299+AC299+AE299+AG299+AI299+AK299</f>
        <v>0</v>
      </c>
      <c r="T299" s="269">
        <f>ROUND(S299*I299,2)</f>
        <v>0</v>
      </c>
      <c r="U299" s="269">
        <f>H299-S299</f>
        <v>81</v>
      </c>
      <c r="V299" s="269">
        <f>ROUND(U299*I299,2)</f>
        <v>2385.73</v>
      </c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AK299" s="269"/>
      <c r="AL299" s="269"/>
      <c r="CN299" s="132" t="s">
        <v>1</v>
      </c>
      <c r="CO299" s="133" t="s">
        <v>40</v>
      </c>
      <c r="CQ299" s="134">
        <f>CP299*H299</f>
        <v>0</v>
      </c>
      <c r="CR299" s="134">
        <v>0</v>
      </c>
      <c r="CS299" s="134">
        <f>CR299*H299</f>
        <v>0</v>
      </c>
      <c r="CT299" s="134">
        <v>0</v>
      </c>
      <c r="CU299" s="135">
        <f>CT299*H299</f>
        <v>0</v>
      </c>
      <c r="DS299" s="136" t="s">
        <v>95</v>
      </c>
      <c r="DU299" s="136" t="s">
        <v>284</v>
      </c>
      <c r="DV299" s="136" t="s">
        <v>83</v>
      </c>
      <c r="DZ299" s="16" t="s">
        <v>282</v>
      </c>
      <c r="EF299" s="137">
        <f>IF(CO299="základní",J299,0)</f>
        <v>2385.73</v>
      </c>
      <c r="EG299" s="137">
        <f>IF(CO299="snížená",J299,0)</f>
        <v>0</v>
      </c>
      <c r="EH299" s="137">
        <f>IF(CO299="zákl. přenesená",J299,0)</f>
        <v>0</v>
      </c>
      <c r="EI299" s="137">
        <f>IF(CO299="sníž. přenesená",J299,0)</f>
        <v>0</v>
      </c>
      <c r="EJ299" s="137">
        <f>IF(CO299="nulová",J299,0)</f>
        <v>0</v>
      </c>
      <c r="EK299" s="16" t="s">
        <v>81</v>
      </c>
      <c r="EL299" s="137">
        <f>ROUND(I299*H299,2)</f>
        <v>2385.73</v>
      </c>
      <c r="EM299" s="16" t="s">
        <v>95</v>
      </c>
      <c r="EN299" s="136" t="s">
        <v>592</v>
      </c>
    </row>
    <row r="300" spans="2:144" s="1" customFormat="1" x14ac:dyDescent="0.2">
      <c r="B300" s="31"/>
      <c r="D300" s="138" t="s">
        <v>289</v>
      </c>
      <c r="F300" s="139" t="s">
        <v>593</v>
      </c>
      <c r="I300" s="140"/>
      <c r="L300" s="31"/>
      <c r="N300" s="213"/>
      <c r="O300" s="214"/>
      <c r="Q300" s="229"/>
      <c r="CN300" s="141"/>
      <c r="CU300" s="50"/>
      <c r="DU300" s="16" t="s">
        <v>289</v>
      </c>
      <c r="DV300" s="16" t="s">
        <v>83</v>
      </c>
    </row>
    <row r="301" spans="2:144" s="1" customFormat="1" ht="19.5" x14ac:dyDescent="0.2">
      <c r="B301" s="31"/>
      <c r="D301" s="138" t="s">
        <v>299</v>
      </c>
      <c r="F301" s="142" t="s">
        <v>587</v>
      </c>
      <c r="I301" s="140"/>
      <c r="L301" s="31"/>
      <c r="N301" s="213"/>
      <c r="O301" s="214"/>
      <c r="Q301" s="229"/>
      <c r="CN301" s="141"/>
      <c r="CU301" s="50"/>
      <c r="DU301" s="16" t="s">
        <v>299</v>
      </c>
      <c r="DV301" s="16" t="s">
        <v>83</v>
      </c>
    </row>
    <row r="302" spans="2:144" s="1" customFormat="1" ht="24.2" customHeight="1" x14ac:dyDescent="0.2">
      <c r="B302" s="124"/>
      <c r="C302" s="125" t="s">
        <v>536</v>
      </c>
      <c r="D302" s="125" t="s">
        <v>284</v>
      </c>
      <c r="E302" s="126" t="s">
        <v>1028</v>
      </c>
      <c r="F302" s="127" t="s">
        <v>1029</v>
      </c>
      <c r="G302" s="128" t="s">
        <v>485</v>
      </c>
      <c r="H302" s="129">
        <v>1</v>
      </c>
      <c r="I302" s="130">
        <v>6140.7931243984813</v>
      </c>
      <c r="J302" s="131">
        <f>ROUND(I302*H302,2)</f>
        <v>6140.79</v>
      </c>
      <c r="K302" s="127" t="s">
        <v>293</v>
      </c>
      <c r="L302" s="268">
        <f>S302</f>
        <v>0</v>
      </c>
      <c r="M302" s="272">
        <f>ROUND(L302*I302,2)</f>
        <v>0</v>
      </c>
      <c r="N302" s="243"/>
      <c r="O302" s="294">
        <f>ROUND(N302*I302,2)</f>
        <v>0</v>
      </c>
      <c r="P302" s="273">
        <f>H302-L302-N302</f>
        <v>1</v>
      </c>
      <c r="Q302" s="287">
        <f>ROUND(P302*I302,2)</f>
        <v>6140.79</v>
      </c>
      <c r="R302" s="137"/>
      <c r="S302" s="269">
        <f>W302+Y302+AA302+AC302+AE302+AG302+AI302+AK302</f>
        <v>0</v>
      </c>
      <c r="T302" s="269">
        <f>ROUND(S302*I302,2)</f>
        <v>0</v>
      </c>
      <c r="U302" s="269">
        <f>H302-S302</f>
        <v>1</v>
      </c>
      <c r="V302" s="269">
        <f>ROUND(U302*I302,2)</f>
        <v>6140.79</v>
      </c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CN302" s="132" t="s">
        <v>1</v>
      </c>
      <c r="CO302" s="133" t="s">
        <v>40</v>
      </c>
      <c r="CQ302" s="134">
        <f>CP302*H302</f>
        <v>0</v>
      </c>
      <c r="CR302" s="134">
        <v>0.10833</v>
      </c>
      <c r="CS302" s="134">
        <f>CR302*H302</f>
        <v>0.10833</v>
      </c>
      <c r="CT302" s="134">
        <v>0</v>
      </c>
      <c r="CU302" s="135">
        <f>CT302*H302</f>
        <v>0</v>
      </c>
      <c r="DS302" s="136" t="s">
        <v>95</v>
      </c>
      <c r="DU302" s="136" t="s">
        <v>284</v>
      </c>
      <c r="DV302" s="136" t="s">
        <v>83</v>
      </c>
      <c r="DZ302" s="16" t="s">
        <v>282</v>
      </c>
      <c r="EF302" s="137">
        <f>IF(CO302="základní",J302,0)</f>
        <v>6140.79</v>
      </c>
      <c r="EG302" s="137">
        <f>IF(CO302="snížená",J302,0)</f>
        <v>0</v>
      </c>
      <c r="EH302" s="137">
        <f>IF(CO302="zákl. přenesená",J302,0)</f>
        <v>0</v>
      </c>
      <c r="EI302" s="137">
        <f>IF(CO302="sníž. přenesená",J302,0)</f>
        <v>0</v>
      </c>
      <c r="EJ302" s="137">
        <f>IF(CO302="nulová",J302,0)</f>
        <v>0</v>
      </c>
      <c r="EK302" s="16" t="s">
        <v>81</v>
      </c>
      <c r="EL302" s="137">
        <f>ROUND(I302*H302,2)</f>
        <v>6140.79</v>
      </c>
      <c r="EM302" s="16" t="s">
        <v>95</v>
      </c>
      <c r="EN302" s="136" t="s">
        <v>1076</v>
      </c>
    </row>
    <row r="303" spans="2:144" s="1" customFormat="1" ht="29.25" x14ac:dyDescent="0.2">
      <c r="B303" s="31"/>
      <c r="D303" s="138" t="s">
        <v>289</v>
      </c>
      <c r="F303" s="139" t="s">
        <v>1031</v>
      </c>
      <c r="I303" s="140"/>
      <c r="L303" s="31"/>
      <c r="N303" s="213"/>
      <c r="O303" s="214"/>
      <c r="Q303" s="229"/>
      <c r="CN303" s="141"/>
      <c r="CU303" s="50"/>
      <c r="DU303" s="16" t="s">
        <v>289</v>
      </c>
      <c r="DV303" s="16" t="s">
        <v>83</v>
      </c>
    </row>
    <row r="304" spans="2:144" s="1" customFormat="1" ht="19.5" x14ac:dyDescent="0.2">
      <c r="B304" s="31"/>
      <c r="D304" s="138" t="s">
        <v>299</v>
      </c>
      <c r="F304" s="142" t="s">
        <v>317</v>
      </c>
      <c r="I304" s="140"/>
      <c r="L304" s="31"/>
      <c r="N304" s="213"/>
      <c r="O304" s="214"/>
      <c r="Q304" s="229"/>
      <c r="CN304" s="141"/>
      <c r="CU304" s="50"/>
      <c r="DU304" s="16" t="s">
        <v>299</v>
      </c>
      <c r="DV304" s="16" t="s">
        <v>83</v>
      </c>
    </row>
    <row r="305" spans="2:144" s="12" customFormat="1" x14ac:dyDescent="0.2">
      <c r="B305" s="149"/>
      <c r="D305" s="138" t="s">
        <v>301</v>
      </c>
      <c r="E305" s="150" t="s">
        <v>1</v>
      </c>
      <c r="F305" s="151" t="s">
        <v>81</v>
      </c>
      <c r="H305" s="152">
        <v>1</v>
      </c>
      <c r="I305" s="153"/>
      <c r="L305" s="149"/>
      <c r="N305" s="217"/>
      <c r="O305" s="218"/>
      <c r="Q305" s="231"/>
      <c r="CN305" s="154"/>
      <c r="CU305" s="155"/>
      <c r="DU305" s="150" t="s">
        <v>301</v>
      </c>
      <c r="DV305" s="150" t="s">
        <v>83</v>
      </c>
      <c r="DW305" s="12" t="s">
        <v>83</v>
      </c>
      <c r="DX305" s="12" t="s">
        <v>32</v>
      </c>
      <c r="DY305" s="12" t="s">
        <v>81</v>
      </c>
      <c r="DZ305" s="150" t="s">
        <v>282</v>
      </c>
    </row>
    <row r="306" spans="2:144" s="1" customFormat="1" ht="24.2" customHeight="1" x14ac:dyDescent="0.2">
      <c r="B306" s="124"/>
      <c r="C306" s="125" t="s">
        <v>543</v>
      </c>
      <c r="D306" s="125" t="s">
        <v>284</v>
      </c>
      <c r="E306" s="126" t="s">
        <v>928</v>
      </c>
      <c r="F306" s="127" t="s">
        <v>929</v>
      </c>
      <c r="G306" s="128" t="s">
        <v>485</v>
      </c>
      <c r="H306" s="129">
        <v>1</v>
      </c>
      <c r="I306" s="130">
        <v>6179.0606386784812</v>
      </c>
      <c r="J306" s="131">
        <f>ROUND(I306*H306,2)</f>
        <v>6179.06</v>
      </c>
      <c r="K306" s="127" t="s">
        <v>293</v>
      </c>
      <c r="L306" s="268">
        <f>S306</f>
        <v>0</v>
      </c>
      <c r="M306" s="272">
        <f>ROUND(L306*I306,2)</f>
        <v>0</v>
      </c>
      <c r="N306" s="243"/>
      <c r="O306" s="294">
        <f>ROUND(N306*I306,2)</f>
        <v>0</v>
      </c>
      <c r="P306" s="273">
        <f>H306-L306-N306</f>
        <v>1</v>
      </c>
      <c r="Q306" s="287">
        <f>ROUND(P306*I306,2)</f>
        <v>6179.06</v>
      </c>
      <c r="R306" s="137"/>
      <c r="S306" s="269">
        <f>W306+Y306+AA306+AC306+AE306+AG306+AI306+AK306</f>
        <v>0</v>
      </c>
      <c r="T306" s="269">
        <f>ROUND(S306*I306,2)</f>
        <v>0</v>
      </c>
      <c r="U306" s="269">
        <f>H306-S306</f>
        <v>1</v>
      </c>
      <c r="V306" s="269">
        <f>ROUND(U306*I306,2)</f>
        <v>6179.06</v>
      </c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  <c r="AL306" s="269"/>
      <c r="CN306" s="132" t="s">
        <v>1</v>
      </c>
      <c r="CO306" s="133" t="s">
        <v>40</v>
      </c>
      <c r="CQ306" s="134">
        <f>CP306*H306</f>
        <v>0</v>
      </c>
      <c r="CR306" s="134">
        <v>0.10833</v>
      </c>
      <c r="CS306" s="134">
        <f>CR306*H306</f>
        <v>0.10833</v>
      </c>
      <c r="CT306" s="134">
        <v>0</v>
      </c>
      <c r="CU306" s="135">
        <f>CT306*H306</f>
        <v>0</v>
      </c>
      <c r="DS306" s="136" t="s">
        <v>95</v>
      </c>
      <c r="DU306" s="136" t="s">
        <v>284</v>
      </c>
      <c r="DV306" s="136" t="s">
        <v>83</v>
      </c>
      <c r="DZ306" s="16" t="s">
        <v>282</v>
      </c>
      <c r="EF306" s="137">
        <f>IF(CO306="základní",J306,0)</f>
        <v>6179.06</v>
      </c>
      <c r="EG306" s="137">
        <f>IF(CO306="snížená",J306,0)</f>
        <v>0</v>
      </c>
      <c r="EH306" s="137">
        <f>IF(CO306="zákl. přenesená",J306,0)</f>
        <v>0</v>
      </c>
      <c r="EI306" s="137">
        <f>IF(CO306="sníž. přenesená",J306,0)</f>
        <v>0</v>
      </c>
      <c r="EJ306" s="137">
        <f>IF(CO306="nulová",J306,0)</f>
        <v>0</v>
      </c>
      <c r="EK306" s="16" t="s">
        <v>81</v>
      </c>
      <c r="EL306" s="137">
        <f>ROUND(I306*H306,2)</f>
        <v>6179.06</v>
      </c>
      <c r="EM306" s="16" t="s">
        <v>95</v>
      </c>
      <c r="EN306" s="136" t="s">
        <v>1077</v>
      </c>
    </row>
    <row r="307" spans="2:144" s="1" customFormat="1" ht="29.25" x14ac:dyDescent="0.2">
      <c r="B307" s="31"/>
      <c r="D307" s="138" t="s">
        <v>289</v>
      </c>
      <c r="F307" s="139" t="s">
        <v>931</v>
      </c>
      <c r="I307" s="140"/>
      <c r="L307" s="31"/>
      <c r="N307" s="213"/>
      <c r="O307" s="214"/>
      <c r="Q307" s="229"/>
      <c r="CN307" s="141"/>
      <c r="CU307" s="50"/>
      <c r="DU307" s="16" t="s">
        <v>289</v>
      </c>
      <c r="DV307" s="16" t="s">
        <v>83</v>
      </c>
    </row>
    <row r="308" spans="2:144" s="1" customFormat="1" ht="19.5" x14ac:dyDescent="0.2">
      <c r="B308" s="31"/>
      <c r="D308" s="138" t="s">
        <v>299</v>
      </c>
      <c r="F308" s="142" t="s">
        <v>317</v>
      </c>
      <c r="I308" s="140"/>
      <c r="L308" s="31"/>
      <c r="N308" s="213"/>
      <c r="O308" s="214"/>
      <c r="Q308" s="229"/>
      <c r="CN308" s="141"/>
      <c r="CU308" s="50"/>
      <c r="DU308" s="16" t="s">
        <v>299</v>
      </c>
      <c r="DV308" s="16" t="s">
        <v>83</v>
      </c>
    </row>
    <row r="309" spans="2:144" s="12" customFormat="1" x14ac:dyDescent="0.2">
      <c r="B309" s="149"/>
      <c r="D309" s="138" t="s">
        <v>301</v>
      </c>
      <c r="E309" s="150" t="s">
        <v>1</v>
      </c>
      <c r="F309" s="151" t="s">
        <v>81</v>
      </c>
      <c r="H309" s="152">
        <v>1</v>
      </c>
      <c r="I309" s="153"/>
      <c r="L309" s="149"/>
      <c r="N309" s="217"/>
      <c r="O309" s="218"/>
      <c r="Q309" s="231"/>
      <c r="CN309" s="154"/>
      <c r="CU309" s="155"/>
      <c r="DU309" s="150" t="s">
        <v>301</v>
      </c>
      <c r="DV309" s="150" t="s">
        <v>83</v>
      </c>
      <c r="DW309" s="12" t="s">
        <v>83</v>
      </c>
      <c r="DX309" s="12" t="s">
        <v>32</v>
      </c>
      <c r="DY309" s="12" t="s">
        <v>81</v>
      </c>
      <c r="DZ309" s="150" t="s">
        <v>282</v>
      </c>
    </row>
    <row r="310" spans="2:144" s="1" customFormat="1" ht="24.2" customHeight="1" x14ac:dyDescent="0.2">
      <c r="B310" s="124"/>
      <c r="C310" s="125" t="s">
        <v>548</v>
      </c>
      <c r="D310" s="125" t="s">
        <v>284</v>
      </c>
      <c r="E310" s="126" t="s">
        <v>932</v>
      </c>
      <c r="F310" s="127" t="s">
        <v>933</v>
      </c>
      <c r="G310" s="128" t="s">
        <v>485</v>
      </c>
      <c r="H310" s="129">
        <v>1</v>
      </c>
      <c r="I310" s="130">
        <v>3593.8097854433977</v>
      </c>
      <c r="J310" s="131">
        <f>ROUND(I310*H310,2)</f>
        <v>3593.81</v>
      </c>
      <c r="K310" s="127" t="s">
        <v>293</v>
      </c>
      <c r="L310" s="268">
        <f>S310</f>
        <v>0</v>
      </c>
      <c r="M310" s="272">
        <f>ROUND(L310*I310,2)</f>
        <v>0</v>
      </c>
      <c r="N310" s="243"/>
      <c r="O310" s="294">
        <f>ROUND(N310*I310,2)</f>
        <v>0</v>
      </c>
      <c r="P310" s="273">
        <f>H310-L310-N310</f>
        <v>1</v>
      </c>
      <c r="Q310" s="287">
        <f>ROUND(P310*I310,2)</f>
        <v>3593.81</v>
      </c>
      <c r="R310" s="137"/>
      <c r="S310" s="269">
        <f>W310+Y310+AA310+AC310+AE310+AG310+AI310+AK310</f>
        <v>0</v>
      </c>
      <c r="T310" s="269">
        <f>ROUND(S310*I310,2)</f>
        <v>0</v>
      </c>
      <c r="U310" s="269">
        <f>H310-S310</f>
        <v>1</v>
      </c>
      <c r="V310" s="269">
        <f>ROUND(U310*I310,2)</f>
        <v>3593.81</v>
      </c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  <c r="AL310" s="269"/>
      <c r="CN310" s="132" t="s">
        <v>1</v>
      </c>
      <c r="CO310" s="133" t="s">
        <v>40</v>
      </c>
      <c r="CQ310" s="134">
        <f>CP310*H310</f>
        <v>0</v>
      </c>
      <c r="CR310" s="134">
        <v>2.4240000000000001E-2</v>
      </c>
      <c r="CS310" s="134">
        <f>CR310*H310</f>
        <v>2.4240000000000001E-2</v>
      </c>
      <c r="CT310" s="134">
        <v>0</v>
      </c>
      <c r="CU310" s="135">
        <f>CT310*H310</f>
        <v>0</v>
      </c>
      <c r="DS310" s="136" t="s">
        <v>95</v>
      </c>
      <c r="DU310" s="136" t="s">
        <v>284</v>
      </c>
      <c r="DV310" s="136" t="s">
        <v>83</v>
      </c>
      <c r="DZ310" s="16" t="s">
        <v>282</v>
      </c>
      <c r="EF310" s="137">
        <f>IF(CO310="základní",J310,0)</f>
        <v>3593.81</v>
      </c>
      <c r="EG310" s="137">
        <f>IF(CO310="snížená",J310,0)</f>
        <v>0</v>
      </c>
      <c r="EH310" s="137">
        <f>IF(CO310="zákl. přenesená",J310,0)</f>
        <v>0</v>
      </c>
      <c r="EI310" s="137">
        <f>IF(CO310="sníž. přenesená",J310,0)</f>
        <v>0</v>
      </c>
      <c r="EJ310" s="137">
        <f>IF(CO310="nulová",J310,0)</f>
        <v>0</v>
      </c>
      <c r="EK310" s="16" t="s">
        <v>81</v>
      </c>
      <c r="EL310" s="137">
        <f>ROUND(I310*H310,2)</f>
        <v>3593.81</v>
      </c>
      <c r="EM310" s="16" t="s">
        <v>95</v>
      </c>
      <c r="EN310" s="136" t="s">
        <v>934</v>
      </c>
    </row>
    <row r="311" spans="2:144" s="1" customFormat="1" ht="19.5" x14ac:dyDescent="0.2">
      <c r="B311" s="31"/>
      <c r="D311" s="138" t="s">
        <v>289</v>
      </c>
      <c r="F311" s="139" t="s">
        <v>935</v>
      </c>
      <c r="I311" s="140"/>
      <c r="L311" s="31"/>
      <c r="N311" s="213"/>
      <c r="O311" s="214"/>
      <c r="Q311" s="229"/>
      <c r="CN311" s="141"/>
      <c r="CU311" s="50"/>
      <c r="DU311" s="16" t="s">
        <v>289</v>
      </c>
      <c r="DV311" s="16" t="s">
        <v>83</v>
      </c>
    </row>
    <row r="312" spans="2:144" s="1" customFormat="1" ht="24.2" customHeight="1" x14ac:dyDescent="0.2">
      <c r="B312" s="124"/>
      <c r="C312" s="125" t="s">
        <v>556</v>
      </c>
      <c r="D312" s="125" t="s">
        <v>284</v>
      </c>
      <c r="E312" s="126" t="s">
        <v>936</v>
      </c>
      <c r="F312" s="127" t="s">
        <v>937</v>
      </c>
      <c r="G312" s="128" t="s">
        <v>485</v>
      </c>
      <c r="H312" s="129">
        <v>2</v>
      </c>
      <c r="I312" s="130">
        <v>1078.0568828114554</v>
      </c>
      <c r="J312" s="131">
        <f>ROUND(I312*H312,2)</f>
        <v>2156.11</v>
      </c>
      <c r="K312" s="127" t="s">
        <v>293</v>
      </c>
      <c r="L312" s="268">
        <f>S312</f>
        <v>0</v>
      </c>
      <c r="M312" s="272">
        <f>ROUND(L312*I312,2)</f>
        <v>0</v>
      </c>
      <c r="N312" s="243"/>
      <c r="O312" s="294">
        <f>ROUND(N312*I312,2)</f>
        <v>0</v>
      </c>
      <c r="P312" s="273">
        <f>H312-L312-N312</f>
        <v>2</v>
      </c>
      <c r="Q312" s="287">
        <f>ROUND(P312*I312,2)</f>
        <v>2156.11</v>
      </c>
      <c r="R312" s="137"/>
      <c r="S312" s="269">
        <f>W312+Y312+AA312+AC312+AE312+AG312+AI312+AK312</f>
        <v>0</v>
      </c>
      <c r="T312" s="269">
        <f>ROUND(S312*I312,2)</f>
        <v>0</v>
      </c>
      <c r="U312" s="269">
        <f>H312-S312</f>
        <v>2</v>
      </c>
      <c r="V312" s="269">
        <f>ROUND(U312*I312,2)</f>
        <v>2156.11</v>
      </c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  <c r="AL312" s="269"/>
      <c r="CN312" s="132" t="s">
        <v>1</v>
      </c>
      <c r="CO312" s="133" t="s">
        <v>40</v>
      </c>
      <c r="CQ312" s="134">
        <f>CP312*H312</f>
        <v>0</v>
      </c>
      <c r="CR312" s="134">
        <v>0</v>
      </c>
      <c r="CS312" s="134">
        <f>CR312*H312</f>
        <v>0</v>
      </c>
      <c r="CT312" s="134">
        <v>0</v>
      </c>
      <c r="CU312" s="135">
        <f>CT312*H312</f>
        <v>0</v>
      </c>
      <c r="DS312" s="136" t="s">
        <v>95</v>
      </c>
      <c r="DU312" s="136" t="s">
        <v>284</v>
      </c>
      <c r="DV312" s="136" t="s">
        <v>83</v>
      </c>
      <c r="DZ312" s="16" t="s">
        <v>282</v>
      </c>
      <c r="EF312" s="137">
        <f>IF(CO312="základní",J312,0)</f>
        <v>2156.11</v>
      </c>
      <c r="EG312" s="137">
        <f>IF(CO312="snížená",J312,0)</f>
        <v>0</v>
      </c>
      <c r="EH312" s="137">
        <f>IF(CO312="zákl. přenesená",J312,0)</f>
        <v>0</v>
      </c>
      <c r="EI312" s="137">
        <f>IF(CO312="sníž. přenesená",J312,0)</f>
        <v>0</v>
      </c>
      <c r="EJ312" s="137">
        <f>IF(CO312="nulová",J312,0)</f>
        <v>0</v>
      </c>
      <c r="EK312" s="16" t="s">
        <v>81</v>
      </c>
      <c r="EL312" s="137">
        <f>ROUND(I312*H312,2)</f>
        <v>2156.11</v>
      </c>
      <c r="EM312" s="16" t="s">
        <v>95</v>
      </c>
      <c r="EN312" s="136" t="s">
        <v>938</v>
      </c>
    </row>
    <row r="313" spans="2:144" s="1" customFormat="1" ht="19.5" x14ac:dyDescent="0.2">
      <c r="B313" s="31"/>
      <c r="D313" s="138" t="s">
        <v>289</v>
      </c>
      <c r="F313" s="139" t="s">
        <v>939</v>
      </c>
      <c r="I313" s="140"/>
      <c r="L313" s="31"/>
      <c r="N313" s="213"/>
      <c r="O313" s="214"/>
      <c r="Q313" s="229"/>
      <c r="CN313" s="141"/>
      <c r="CU313" s="50"/>
      <c r="DU313" s="16" t="s">
        <v>289</v>
      </c>
      <c r="DV313" s="16" t="s">
        <v>83</v>
      </c>
    </row>
    <row r="314" spans="2:144" s="1" customFormat="1" ht="24.2" customHeight="1" x14ac:dyDescent="0.2">
      <c r="B314" s="124"/>
      <c r="C314" s="125" t="s">
        <v>562</v>
      </c>
      <c r="D314" s="125" t="s">
        <v>284</v>
      </c>
      <c r="E314" s="126" t="s">
        <v>940</v>
      </c>
      <c r="F314" s="127" t="s">
        <v>941</v>
      </c>
      <c r="G314" s="128" t="s">
        <v>485</v>
      </c>
      <c r="H314" s="129">
        <v>2</v>
      </c>
      <c r="I314" s="130">
        <v>8864.0454366400263</v>
      </c>
      <c r="J314" s="131">
        <f>ROUND(I314*H314,2)</f>
        <v>17728.09</v>
      </c>
      <c r="K314" s="127" t="s">
        <v>293</v>
      </c>
      <c r="L314" s="268">
        <f>S314</f>
        <v>0</v>
      </c>
      <c r="M314" s="272">
        <f>ROUND(L314*I314,2)</f>
        <v>0</v>
      </c>
      <c r="N314" s="243"/>
      <c r="O314" s="294">
        <f>ROUND(N314*I314,2)</f>
        <v>0</v>
      </c>
      <c r="P314" s="273">
        <f>H314-L314-N314</f>
        <v>2</v>
      </c>
      <c r="Q314" s="287">
        <f>ROUND(P314*I314,2)</f>
        <v>17728.09</v>
      </c>
      <c r="R314" s="137"/>
      <c r="S314" s="269">
        <f>W314+Y314+AA314+AC314+AE314+AG314+AI314+AK314</f>
        <v>0</v>
      </c>
      <c r="T314" s="269">
        <f>ROUND(S314*I314,2)</f>
        <v>0</v>
      </c>
      <c r="U314" s="269">
        <f>H314-S314</f>
        <v>2</v>
      </c>
      <c r="V314" s="269">
        <f>ROUND(U314*I314,2)</f>
        <v>17728.09</v>
      </c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CN314" s="132" t="s">
        <v>1</v>
      </c>
      <c r="CO314" s="133" t="s">
        <v>40</v>
      </c>
      <c r="CQ314" s="134">
        <f>CP314*H314</f>
        <v>0</v>
      </c>
      <c r="CR314" s="134">
        <v>0.21007999999999999</v>
      </c>
      <c r="CS314" s="134">
        <f>CR314*H314</f>
        <v>0.42015999999999998</v>
      </c>
      <c r="CT314" s="134">
        <v>0</v>
      </c>
      <c r="CU314" s="135">
        <f>CT314*H314</f>
        <v>0</v>
      </c>
      <c r="DS314" s="136" t="s">
        <v>95</v>
      </c>
      <c r="DU314" s="136" t="s">
        <v>284</v>
      </c>
      <c r="DV314" s="136" t="s">
        <v>83</v>
      </c>
      <c r="DZ314" s="16" t="s">
        <v>282</v>
      </c>
      <c r="EF314" s="137">
        <f>IF(CO314="základní",J314,0)</f>
        <v>17728.09</v>
      </c>
      <c r="EG314" s="137">
        <f>IF(CO314="snížená",J314,0)</f>
        <v>0</v>
      </c>
      <c r="EH314" s="137">
        <f>IF(CO314="zákl. přenesená",J314,0)</f>
        <v>0</v>
      </c>
      <c r="EI314" s="137">
        <f>IF(CO314="sníž. přenesená",J314,0)</f>
        <v>0</v>
      </c>
      <c r="EJ314" s="137">
        <f>IF(CO314="nulová",J314,0)</f>
        <v>0</v>
      </c>
      <c r="EK314" s="16" t="s">
        <v>81</v>
      </c>
      <c r="EL314" s="137">
        <f>ROUND(I314*H314,2)</f>
        <v>17728.09</v>
      </c>
      <c r="EM314" s="16" t="s">
        <v>95</v>
      </c>
      <c r="EN314" s="136" t="s">
        <v>942</v>
      </c>
    </row>
    <row r="315" spans="2:144" s="1" customFormat="1" ht="29.25" x14ac:dyDescent="0.2">
      <c r="B315" s="31"/>
      <c r="D315" s="138" t="s">
        <v>289</v>
      </c>
      <c r="F315" s="139" t="s">
        <v>943</v>
      </c>
      <c r="I315" s="140"/>
      <c r="L315" s="31"/>
      <c r="N315" s="213"/>
      <c r="O315" s="214"/>
      <c r="Q315" s="229"/>
      <c r="CN315" s="141"/>
      <c r="CU315" s="50"/>
      <c r="DU315" s="16" t="s">
        <v>289</v>
      </c>
      <c r="DV315" s="16" t="s">
        <v>83</v>
      </c>
    </row>
    <row r="316" spans="2:144" s="10" customFormat="1" ht="22.9" customHeight="1" x14ac:dyDescent="0.2">
      <c r="B316" s="112"/>
      <c r="D316" s="113" t="s">
        <v>73</v>
      </c>
      <c r="E316" s="122" t="s">
        <v>335</v>
      </c>
      <c r="F316" s="122" t="s">
        <v>674</v>
      </c>
      <c r="I316" s="115"/>
      <c r="J316" s="123">
        <f>EL316</f>
        <v>5825.11</v>
      </c>
      <c r="L316" s="112"/>
      <c r="M316" s="270">
        <f>M317+M322</f>
        <v>0</v>
      </c>
      <c r="N316" s="301"/>
      <c r="O316" s="302">
        <f t="shared" ref="O316:V316" si="7">O317+O322</f>
        <v>0</v>
      </c>
      <c r="P316" s="270"/>
      <c r="Q316" s="288">
        <f t="shared" si="7"/>
        <v>5825.11</v>
      </c>
      <c r="R316" s="270"/>
      <c r="S316" s="270"/>
      <c r="T316" s="270">
        <f t="shared" si="7"/>
        <v>0</v>
      </c>
      <c r="U316" s="270"/>
      <c r="V316" s="270">
        <f t="shared" si="7"/>
        <v>5825.11</v>
      </c>
      <c r="CN316" s="117"/>
      <c r="CQ316" s="118">
        <f>SUM(CQ317:CQ326)</f>
        <v>0</v>
      </c>
      <c r="CS316" s="118">
        <f>SUM(CS317:CS326)</f>
        <v>5.4000000000000001E-4</v>
      </c>
      <c r="CU316" s="119">
        <f>SUM(CU317:CU326)</f>
        <v>0</v>
      </c>
      <c r="DS316" s="113" t="s">
        <v>81</v>
      </c>
      <c r="DU316" s="120" t="s">
        <v>73</v>
      </c>
      <c r="DV316" s="120" t="s">
        <v>81</v>
      </c>
      <c r="DZ316" s="113" t="s">
        <v>282</v>
      </c>
      <c r="EL316" s="121">
        <f>SUM(EL317:EL326)</f>
        <v>5825.11</v>
      </c>
    </row>
    <row r="317" spans="2:144" s="1" customFormat="1" ht="24.2" customHeight="1" x14ac:dyDescent="0.2">
      <c r="B317" s="124"/>
      <c r="C317" s="125" t="s">
        <v>568</v>
      </c>
      <c r="D317" s="125" t="s">
        <v>284</v>
      </c>
      <c r="E317" s="126" t="s">
        <v>682</v>
      </c>
      <c r="F317" s="127" t="s">
        <v>683</v>
      </c>
      <c r="G317" s="128" t="s">
        <v>344</v>
      </c>
      <c r="H317" s="129">
        <v>6</v>
      </c>
      <c r="I317" s="130">
        <v>118.35908321829292</v>
      </c>
      <c r="J317" s="131">
        <f>ROUND(I317*H317,2)</f>
        <v>710.15</v>
      </c>
      <c r="K317" s="127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6</v>
      </c>
      <c r="Q317" s="287">
        <f>ROUND(P317*I317,2)</f>
        <v>710.15</v>
      </c>
      <c r="R317" s="137"/>
      <c r="S317" s="269">
        <f>W317+Y317+AA317+AC317+AE317+AG317+AI317+AK317</f>
        <v>0</v>
      </c>
      <c r="T317" s="269">
        <f>ROUND(S317*I317,2)</f>
        <v>0</v>
      </c>
      <c r="U317" s="269">
        <f>H317-S317</f>
        <v>6</v>
      </c>
      <c r="V317" s="269">
        <f>ROUND(U317*I317,2)</f>
        <v>710.15</v>
      </c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CN317" s="132" t="s">
        <v>1</v>
      </c>
      <c r="CO317" s="133" t="s">
        <v>40</v>
      </c>
      <c r="CQ317" s="134">
        <f>CP317*H317</f>
        <v>0</v>
      </c>
      <c r="CR317" s="134">
        <v>9.0000000000000006E-5</v>
      </c>
      <c r="CS317" s="134">
        <f>CR317*H317</f>
        <v>5.4000000000000001E-4</v>
      </c>
      <c r="CT317" s="134">
        <v>0</v>
      </c>
      <c r="CU317" s="135">
        <f>CT317*H317</f>
        <v>0</v>
      </c>
      <c r="DS317" s="136" t="s">
        <v>95</v>
      </c>
      <c r="DU317" s="136" t="s">
        <v>284</v>
      </c>
      <c r="DV317" s="136" t="s">
        <v>83</v>
      </c>
      <c r="DZ317" s="16" t="s">
        <v>282</v>
      </c>
      <c r="EF317" s="137">
        <f>IF(CO317="základní",J317,0)</f>
        <v>710.15</v>
      </c>
      <c r="EG317" s="137">
        <f>IF(CO317="snížená",J317,0)</f>
        <v>0</v>
      </c>
      <c r="EH317" s="137">
        <f>IF(CO317="zákl. přenesená",J317,0)</f>
        <v>0</v>
      </c>
      <c r="EI317" s="137">
        <f>IF(CO317="sníž. přenesená",J317,0)</f>
        <v>0</v>
      </c>
      <c r="EJ317" s="137">
        <f>IF(CO317="nulová",J317,0)</f>
        <v>0</v>
      </c>
      <c r="EK317" s="16" t="s">
        <v>81</v>
      </c>
      <c r="EL317" s="137">
        <f>ROUND(I317*H317,2)</f>
        <v>710.15</v>
      </c>
      <c r="EM317" s="16" t="s">
        <v>95</v>
      </c>
      <c r="EN317" s="136" t="s">
        <v>684</v>
      </c>
    </row>
    <row r="318" spans="2:144" s="1" customFormat="1" ht="39" x14ac:dyDescent="0.2">
      <c r="B318" s="31"/>
      <c r="D318" s="138" t="s">
        <v>289</v>
      </c>
      <c r="F318" s="139" t="s">
        <v>685</v>
      </c>
      <c r="I318" s="140"/>
      <c r="L318" s="31"/>
      <c r="N318" s="213"/>
      <c r="O318" s="214"/>
      <c r="Q318" s="229"/>
      <c r="CN318" s="141"/>
      <c r="CU318" s="50"/>
      <c r="DU318" s="16" t="s">
        <v>289</v>
      </c>
      <c r="DV318" s="16" t="s">
        <v>83</v>
      </c>
    </row>
    <row r="319" spans="2:144" s="1" customFormat="1" ht="19.5" x14ac:dyDescent="0.2">
      <c r="B319" s="31"/>
      <c r="D319" s="138" t="s">
        <v>299</v>
      </c>
      <c r="F319" s="142" t="s">
        <v>317</v>
      </c>
      <c r="I319" s="140"/>
      <c r="L319" s="31"/>
      <c r="N319" s="213"/>
      <c r="O319" s="214"/>
      <c r="Q319" s="229"/>
      <c r="CN319" s="141"/>
      <c r="CU319" s="50"/>
      <c r="DU319" s="16" t="s">
        <v>299</v>
      </c>
      <c r="DV319" s="16" t="s">
        <v>83</v>
      </c>
    </row>
    <row r="320" spans="2:144" s="11" customFormat="1" x14ac:dyDescent="0.2">
      <c r="B320" s="143"/>
      <c r="D320" s="138" t="s">
        <v>301</v>
      </c>
      <c r="E320" s="144" t="s">
        <v>1</v>
      </c>
      <c r="F320" s="145" t="s">
        <v>686</v>
      </c>
      <c r="H320" s="144" t="s">
        <v>1</v>
      </c>
      <c r="I320" s="146"/>
      <c r="L320" s="143"/>
      <c r="N320" s="215"/>
      <c r="O320" s="216"/>
      <c r="Q320" s="230"/>
      <c r="CN320" s="147"/>
      <c r="CU320" s="148"/>
      <c r="DU320" s="144" t="s">
        <v>301</v>
      </c>
      <c r="DV320" s="144" t="s">
        <v>83</v>
      </c>
      <c r="DW320" s="11" t="s">
        <v>81</v>
      </c>
      <c r="DX320" s="11" t="s">
        <v>32</v>
      </c>
      <c r="DY320" s="11" t="s">
        <v>74</v>
      </c>
      <c r="DZ320" s="144" t="s">
        <v>282</v>
      </c>
    </row>
    <row r="321" spans="2:144" s="12" customFormat="1" x14ac:dyDescent="0.2">
      <c r="B321" s="149"/>
      <c r="D321" s="138" t="s">
        <v>301</v>
      </c>
      <c r="E321" s="150" t="s">
        <v>1</v>
      </c>
      <c r="F321" s="151" t="s">
        <v>837</v>
      </c>
      <c r="H321" s="152">
        <v>6</v>
      </c>
      <c r="I321" s="153"/>
      <c r="L321" s="149"/>
      <c r="N321" s="217"/>
      <c r="O321" s="218"/>
      <c r="Q321" s="231"/>
      <c r="CN321" s="154"/>
      <c r="CU321" s="155"/>
      <c r="DU321" s="150" t="s">
        <v>301</v>
      </c>
      <c r="DV321" s="150" t="s">
        <v>83</v>
      </c>
      <c r="DW321" s="12" t="s">
        <v>83</v>
      </c>
      <c r="DX321" s="12" t="s">
        <v>32</v>
      </c>
      <c r="DY321" s="12" t="s">
        <v>81</v>
      </c>
      <c r="DZ321" s="150" t="s">
        <v>282</v>
      </c>
    </row>
    <row r="322" spans="2:144" s="1" customFormat="1" ht="14.45" customHeight="1" x14ac:dyDescent="0.2">
      <c r="B322" s="124"/>
      <c r="C322" s="125" t="s">
        <v>572</v>
      </c>
      <c r="D322" s="125" t="s">
        <v>284</v>
      </c>
      <c r="E322" s="126" t="s">
        <v>689</v>
      </c>
      <c r="F322" s="127" t="s">
        <v>690</v>
      </c>
      <c r="G322" s="128" t="s">
        <v>315</v>
      </c>
      <c r="H322" s="129">
        <v>3</v>
      </c>
      <c r="I322" s="130">
        <v>1704.9882600000001</v>
      </c>
      <c r="J322" s="131">
        <f>ROUND(I322*H322,2)</f>
        <v>5114.96</v>
      </c>
      <c r="K322" s="127" t="s">
        <v>1</v>
      </c>
      <c r="L322" s="268">
        <f>S322</f>
        <v>0</v>
      </c>
      <c r="M322" s="272">
        <f>ROUND(L322*I322,2)</f>
        <v>0</v>
      </c>
      <c r="N322" s="243"/>
      <c r="O322" s="294">
        <f>ROUND(N322*I322,2)</f>
        <v>0</v>
      </c>
      <c r="P322" s="273">
        <f>H322-L322-N322</f>
        <v>3</v>
      </c>
      <c r="Q322" s="287">
        <f>ROUND(P322*I322,2)</f>
        <v>5114.96</v>
      </c>
      <c r="R322" s="137"/>
      <c r="S322" s="269">
        <f>W322+Y322+AA322+AC322+AE322+AG322+AI322+AK322</f>
        <v>0</v>
      </c>
      <c r="T322" s="269">
        <f>ROUND(S322*I322,2)</f>
        <v>0</v>
      </c>
      <c r="U322" s="269">
        <f>H322-S322</f>
        <v>3</v>
      </c>
      <c r="V322" s="269">
        <f>ROUND(U322*I322,2)</f>
        <v>5114.96</v>
      </c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  <c r="AL322" s="269"/>
      <c r="CN322" s="132" t="s">
        <v>1</v>
      </c>
      <c r="CO322" s="133" t="s">
        <v>40</v>
      </c>
      <c r="CQ322" s="134">
        <f>CP322*H322</f>
        <v>0</v>
      </c>
      <c r="CR322" s="134">
        <v>0</v>
      </c>
      <c r="CS322" s="134">
        <f>CR322*H322</f>
        <v>0</v>
      </c>
      <c r="CT322" s="134">
        <v>0</v>
      </c>
      <c r="CU322" s="135">
        <f>CT322*H322</f>
        <v>0</v>
      </c>
      <c r="DS322" s="136" t="s">
        <v>95</v>
      </c>
      <c r="DU322" s="136" t="s">
        <v>284</v>
      </c>
      <c r="DV322" s="136" t="s">
        <v>83</v>
      </c>
      <c r="DZ322" s="16" t="s">
        <v>282</v>
      </c>
      <c r="EF322" s="137">
        <f>IF(CO322="základní",J322,0)</f>
        <v>5114.96</v>
      </c>
      <c r="EG322" s="137">
        <f>IF(CO322="snížená",J322,0)</f>
        <v>0</v>
      </c>
      <c r="EH322" s="137">
        <f>IF(CO322="zákl. přenesená",J322,0)</f>
        <v>0</v>
      </c>
      <c r="EI322" s="137">
        <f>IF(CO322="sníž. přenesená",J322,0)</f>
        <v>0</v>
      </c>
      <c r="EJ322" s="137">
        <f>IF(CO322="nulová",J322,0)</f>
        <v>0</v>
      </c>
      <c r="EK322" s="16" t="s">
        <v>81</v>
      </c>
      <c r="EL322" s="137">
        <f>ROUND(I322*H322,2)</f>
        <v>5114.96</v>
      </c>
      <c r="EM322" s="16" t="s">
        <v>95</v>
      </c>
      <c r="EN322" s="136" t="s">
        <v>691</v>
      </c>
    </row>
    <row r="323" spans="2:144" s="1" customFormat="1" ht="48.75" x14ac:dyDescent="0.2">
      <c r="B323" s="31"/>
      <c r="D323" s="138" t="s">
        <v>289</v>
      </c>
      <c r="F323" s="139" t="s">
        <v>692</v>
      </c>
      <c r="I323" s="140"/>
      <c r="L323" s="31"/>
      <c r="N323" s="213"/>
      <c r="O323" s="214"/>
      <c r="Q323" s="229"/>
      <c r="CN323" s="141"/>
      <c r="CU323" s="50"/>
      <c r="DU323" s="16" t="s">
        <v>289</v>
      </c>
      <c r="DV323" s="16" t="s">
        <v>83</v>
      </c>
    </row>
    <row r="324" spans="2:144" s="1" customFormat="1" ht="19.5" x14ac:dyDescent="0.2">
      <c r="B324" s="31"/>
      <c r="D324" s="138" t="s">
        <v>299</v>
      </c>
      <c r="F324" s="142" t="s">
        <v>693</v>
      </c>
      <c r="I324" s="140"/>
      <c r="L324" s="31"/>
      <c r="N324" s="213"/>
      <c r="O324" s="214"/>
      <c r="Q324" s="229"/>
      <c r="CN324" s="141"/>
      <c r="CU324" s="50"/>
      <c r="DU324" s="16" t="s">
        <v>299</v>
      </c>
      <c r="DV324" s="16" t="s">
        <v>83</v>
      </c>
    </row>
    <row r="325" spans="2:144" s="11" customFormat="1" x14ac:dyDescent="0.2">
      <c r="B325" s="143"/>
      <c r="D325" s="138" t="s">
        <v>301</v>
      </c>
      <c r="E325" s="144" t="s">
        <v>1</v>
      </c>
      <c r="F325" s="145" t="s">
        <v>694</v>
      </c>
      <c r="H325" s="144" t="s">
        <v>1</v>
      </c>
      <c r="I325" s="146"/>
      <c r="L325" s="143"/>
      <c r="N325" s="215"/>
      <c r="O325" s="216"/>
      <c r="Q325" s="230"/>
      <c r="CN325" s="147"/>
      <c r="CU325" s="148"/>
      <c r="DU325" s="144" t="s">
        <v>301</v>
      </c>
      <c r="DV325" s="144" t="s">
        <v>83</v>
      </c>
      <c r="DW325" s="11" t="s">
        <v>81</v>
      </c>
      <c r="DX325" s="11" t="s">
        <v>32</v>
      </c>
      <c r="DY325" s="11" t="s">
        <v>74</v>
      </c>
      <c r="DZ325" s="144" t="s">
        <v>282</v>
      </c>
    </row>
    <row r="326" spans="2:144" s="12" customFormat="1" x14ac:dyDescent="0.2">
      <c r="B326" s="149"/>
      <c r="D326" s="138" t="s">
        <v>301</v>
      </c>
      <c r="E326" s="150" t="s">
        <v>1</v>
      </c>
      <c r="F326" s="151" t="s">
        <v>90</v>
      </c>
      <c r="H326" s="152">
        <v>3</v>
      </c>
      <c r="I326" s="153"/>
      <c r="L326" s="149"/>
      <c r="N326" s="217"/>
      <c r="O326" s="218"/>
      <c r="Q326" s="231"/>
      <c r="CN326" s="154"/>
      <c r="CU326" s="155"/>
      <c r="DU326" s="150" t="s">
        <v>301</v>
      </c>
      <c r="DV326" s="150" t="s">
        <v>83</v>
      </c>
      <c r="DW326" s="12" t="s">
        <v>83</v>
      </c>
      <c r="DX326" s="12" t="s">
        <v>32</v>
      </c>
      <c r="DY326" s="12" t="s">
        <v>81</v>
      </c>
      <c r="DZ326" s="150" t="s">
        <v>282</v>
      </c>
    </row>
    <row r="327" spans="2:144" s="10" customFormat="1" ht="22.9" customHeight="1" x14ac:dyDescent="0.2">
      <c r="B327" s="112"/>
      <c r="D327" s="113" t="s">
        <v>73</v>
      </c>
      <c r="E327" s="122" t="s">
        <v>695</v>
      </c>
      <c r="F327" s="122" t="s">
        <v>696</v>
      </c>
      <c r="I327" s="115"/>
      <c r="J327" s="123">
        <f>EL327</f>
        <v>53015.25</v>
      </c>
      <c r="L327" s="112"/>
      <c r="M327" s="270">
        <f>SUM(M328:M344)</f>
        <v>0</v>
      </c>
      <c r="N327" s="301"/>
      <c r="O327" s="302">
        <f t="shared" ref="O327:V327" si="8">SUM(O328:O344)</f>
        <v>-9542.74</v>
      </c>
      <c r="P327" s="270"/>
      <c r="Q327" s="288">
        <f t="shared" si="8"/>
        <v>62557.999999999993</v>
      </c>
      <c r="R327" s="270"/>
      <c r="S327" s="270"/>
      <c r="T327" s="270">
        <f t="shared" si="8"/>
        <v>0</v>
      </c>
      <c r="U327" s="270"/>
      <c r="V327" s="270">
        <f t="shared" si="8"/>
        <v>53015.25</v>
      </c>
      <c r="CN327" s="117"/>
      <c r="CQ327" s="118">
        <f>SUM(CQ328:CQ346)</f>
        <v>0</v>
      </c>
      <c r="CS327" s="118">
        <f>SUM(CS328:CS346)</f>
        <v>0</v>
      </c>
      <c r="CU327" s="119">
        <f>SUM(CU328:CU346)</f>
        <v>0</v>
      </c>
      <c r="DS327" s="113" t="s">
        <v>81</v>
      </c>
      <c r="DU327" s="120" t="s">
        <v>73</v>
      </c>
      <c r="DV327" s="120" t="s">
        <v>81</v>
      </c>
      <c r="DZ327" s="113" t="s">
        <v>282</v>
      </c>
      <c r="EL327" s="121">
        <f>SUM(EL328:EL346)</f>
        <v>53015.25</v>
      </c>
    </row>
    <row r="328" spans="2:144" s="1" customFormat="1" ht="14.45" customHeight="1" x14ac:dyDescent="0.2">
      <c r="B328" s="124"/>
      <c r="C328" s="125" t="s">
        <v>576</v>
      </c>
      <c r="D328" s="125" t="s">
        <v>284</v>
      </c>
      <c r="E328" s="126" t="s">
        <v>698</v>
      </c>
      <c r="F328" s="127" t="s">
        <v>699</v>
      </c>
      <c r="G328" s="128" t="s">
        <v>418</v>
      </c>
      <c r="H328" s="129">
        <v>136.636</v>
      </c>
      <c r="I328" s="130">
        <v>40.477390926043419</v>
      </c>
      <c r="J328" s="131">
        <f>ROUND(I328*H328,2)</f>
        <v>5530.67</v>
      </c>
      <c r="K328" s="127" t="s">
        <v>293</v>
      </c>
      <c r="L328" s="268">
        <f>S328</f>
        <v>0</v>
      </c>
      <c r="M328" s="272">
        <f>ROUND(L328*I328,2)</f>
        <v>0</v>
      </c>
      <c r="N328" s="243">
        <f>N331</f>
        <v>-24.594480000000004</v>
      </c>
      <c r="O328" s="294">
        <f>ROUND(N328*I328,2)</f>
        <v>-995.52</v>
      </c>
      <c r="P328" s="273">
        <f>H328-L328-N328</f>
        <v>161.23048</v>
      </c>
      <c r="Q328" s="287">
        <f>ROUND(P328*I328,2)</f>
        <v>6526.19</v>
      </c>
      <c r="R328" s="137"/>
      <c r="S328" s="269">
        <f>W328+Y328+AA328+AC328+AE328+AG328+AI328+AK328</f>
        <v>0</v>
      </c>
      <c r="T328" s="269">
        <f>ROUND(S328*I328,2)</f>
        <v>0</v>
      </c>
      <c r="U328" s="269">
        <f>H328-S328</f>
        <v>136.636</v>
      </c>
      <c r="V328" s="269">
        <f>ROUND(U328*I328,2)</f>
        <v>5530.67</v>
      </c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  <c r="AL328" s="269"/>
      <c r="CN328" s="132" t="s">
        <v>1</v>
      </c>
      <c r="CO328" s="133" t="s">
        <v>40</v>
      </c>
      <c r="CQ328" s="134">
        <f>CP328*H328</f>
        <v>0</v>
      </c>
      <c r="CR328" s="134">
        <v>0</v>
      </c>
      <c r="CS328" s="134">
        <f>CR328*H328</f>
        <v>0</v>
      </c>
      <c r="CT328" s="134">
        <v>0</v>
      </c>
      <c r="CU328" s="135">
        <f>CT328*H328</f>
        <v>0</v>
      </c>
      <c r="DS328" s="136" t="s">
        <v>95</v>
      </c>
      <c r="DU328" s="136" t="s">
        <v>284</v>
      </c>
      <c r="DV328" s="136" t="s">
        <v>83</v>
      </c>
      <c r="DZ328" s="16" t="s">
        <v>282</v>
      </c>
      <c r="EF328" s="137">
        <f>IF(CO328="základní",J328,0)</f>
        <v>5530.67</v>
      </c>
      <c r="EG328" s="137">
        <f>IF(CO328="snížená",J328,0)</f>
        <v>0</v>
      </c>
      <c r="EH328" s="137">
        <f>IF(CO328="zákl. přenesená",J328,0)</f>
        <v>0</v>
      </c>
      <c r="EI328" s="137">
        <f>IF(CO328="sníž. přenesená",J328,0)</f>
        <v>0</v>
      </c>
      <c r="EJ328" s="137">
        <f>IF(CO328="nulová",J328,0)</f>
        <v>0</v>
      </c>
      <c r="EK328" s="16" t="s">
        <v>81</v>
      </c>
      <c r="EL328" s="137">
        <f>ROUND(I328*H328,2)</f>
        <v>5530.67</v>
      </c>
      <c r="EM328" s="16" t="s">
        <v>95</v>
      </c>
      <c r="EN328" s="136" t="s">
        <v>700</v>
      </c>
    </row>
    <row r="329" spans="2:144" s="1" customFormat="1" ht="19.5" x14ac:dyDescent="0.2">
      <c r="B329" s="31"/>
      <c r="D329" s="138" t="s">
        <v>289</v>
      </c>
      <c r="F329" s="139" t="s">
        <v>701</v>
      </c>
      <c r="I329" s="140"/>
      <c r="L329" s="31"/>
      <c r="N329" s="213"/>
      <c r="O329" s="214"/>
      <c r="Q329" s="229"/>
      <c r="CN329" s="141"/>
      <c r="CU329" s="50"/>
      <c r="DU329" s="16" t="s">
        <v>289</v>
      </c>
      <c r="DV329" s="16" t="s">
        <v>83</v>
      </c>
    </row>
    <row r="330" spans="2:144" s="12" customFormat="1" x14ac:dyDescent="0.2">
      <c r="B330" s="149"/>
      <c r="D330" s="138" t="s">
        <v>301</v>
      </c>
      <c r="E330" s="150" t="s">
        <v>1</v>
      </c>
      <c r="F330" s="151" t="s">
        <v>1078</v>
      </c>
      <c r="H330" s="152">
        <v>100.224</v>
      </c>
      <c r="I330" s="153"/>
      <c r="L330" s="149"/>
      <c r="N330" s="217">
        <f>0.82*136.636</f>
        <v>112.04151999999999</v>
      </c>
      <c r="O330" s="218" t="s">
        <v>3878</v>
      </c>
      <c r="Q330" s="231"/>
      <c r="CN330" s="154"/>
      <c r="CU330" s="155"/>
      <c r="DU330" s="150" t="s">
        <v>301</v>
      </c>
      <c r="DV330" s="150" t="s">
        <v>83</v>
      </c>
      <c r="DW330" s="12" t="s">
        <v>83</v>
      </c>
      <c r="DX330" s="12" t="s">
        <v>32</v>
      </c>
      <c r="DY330" s="12" t="s">
        <v>74</v>
      </c>
      <c r="DZ330" s="150" t="s">
        <v>282</v>
      </c>
    </row>
    <row r="331" spans="2:144" s="12" customFormat="1" x14ac:dyDescent="0.2">
      <c r="B331" s="149"/>
      <c r="D331" s="138" t="s">
        <v>301</v>
      </c>
      <c r="E331" s="150" t="s">
        <v>1</v>
      </c>
      <c r="F331" s="151" t="s">
        <v>1079</v>
      </c>
      <c r="H331" s="152">
        <v>36.411999999999999</v>
      </c>
      <c r="I331" s="153"/>
      <c r="L331" s="149"/>
      <c r="N331" s="310">
        <f>N330-H332</f>
        <v>-24.594480000000004</v>
      </c>
      <c r="O331" s="218"/>
      <c r="Q331" s="231"/>
      <c r="CN331" s="154"/>
      <c r="CU331" s="155"/>
      <c r="DU331" s="150" t="s">
        <v>301</v>
      </c>
      <c r="DV331" s="150" t="s">
        <v>83</v>
      </c>
      <c r="DW331" s="12" t="s">
        <v>83</v>
      </c>
      <c r="DX331" s="12" t="s">
        <v>32</v>
      </c>
      <c r="DY331" s="12" t="s">
        <v>74</v>
      </c>
      <c r="DZ331" s="150" t="s">
        <v>282</v>
      </c>
    </row>
    <row r="332" spans="2:144" s="13" customFormat="1" x14ac:dyDescent="0.2">
      <c r="B332" s="156"/>
      <c r="D332" s="138" t="s">
        <v>301</v>
      </c>
      <c r="E332" s="157" t="s">
        <v>1</v>
      </c>
      <c r="F332" s="158" t="s">
        <v>305</v>
      </c>
      <c r="H332" s="159">
        <v>136.636</v>
      </c>
      <c r="I332" s="160"/>
      <c r="L332" s="156"/>
      <c r="N332" s="219"/>
      <c r="O332" s="220"/>
      <c r="Q332" s="232"/>
      <c r="CN332" s="161"/>
      <c r="CU332" s="162"/>
      <c r="DU332" s="157" t="s">
        <v>301</v>
      </c>
      <c r="DV332" s="157" t="s">
        <v>83</v>
      </c>
      <c r="DW332" s="13" t="s">
        <v>95</v>
      </c>
      <c r="DX332" s="13" t="s">
        <v>32</v>
      </c>
      <c r="DY332" s="13" t="s">
        <v>81</v>
      </c>
      <c r="DZ332" s="157" t="s">
        <v>282</v>
      </c>
    </row>
    <row r="333" spans="2:144" s="1" customFormat="1" ht="24.2" customHeight="1" x14ac:dyDescent="0.2">
      <c r="B333" s="124"/>
      <c r="C333" s="125" t="s">
        <v>581</v>
      </c>
      <c r="D333" s="125" t="s">
        <v>284</v>
      </c>
      <c r="E333" s="126" t="s">
        <v>705</v>
      </c>
      <c r="F333" s="127" t="s">
        <v>706</v>
      </c>
      <c r="G333" s="128" t="s">
        <v>418</v>
      </c>
      <c r="H333" s="129">
        <v>1912.904</v>
      </c>
      <c r="I333" s="130">
        <v>3.1192340975392101</v>
      </c>
      <c r="J333" s="131">
        <f>ROUND(I333*H333,2)</f>
        <v>5966.8</v>
      </c>
      <c r="K333" s="127" t="s">
        <v>293</v>
      </c>
      <c r="L333" s="268">
        <f>S333</f>
        <v>0</v>
      </c>
      <c r="M333" s="272">
        <f>ROUND(L333*I333,2)</f>
        <v>0</v>
      </c>
      <c r="N333" s="243">
        <f>N336</f>
        <v>-344.32272000000012</v>
      </c>
      <c r="O333" s="294">
        <f>ROUND(N333*I333,2)</f>
        <v>-1074.02</v>
      </c>
      <c r="P333" s="273">
        <f>H333-L333-N333</f>
        <v>2257.2267200000001</v>
      </c>
      <c r="Q333" s="287">
        <f>ROUND(P333*I333,2)</f>
        <v>7040.82</v>
      </c>
      <c r="R333" s="137"/>
      <c r="S333" s="269">
        <f>W333+Y333+AA333+AC333+AE333+AG333+AI333+AK333</f>
        <v>0</v>
      </c>
      <c r="T333" s="269">
        <f>ROUND(S333*I333,2)</f>
        <v>0</v>
      </c>
      <c r="U333" s="269">
        <f>H333-S333</f>
        <v>1912.904</v>
      </c>
      <c r="V333" s="269">
        <f>ROUND(U333*I333,2)</f>
        <v>5966.8</v>
      </c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  <c r="AL333" s="269"/>
      <c r="CN333" s="132" t="s">
        <v>1</v>
      </c>
      <c r="CO333" s="133" t="s">
        <v>40</v>
      </c>
      <c r="CQ333" s="134">
        <f>CP333*H333</f>
        <v>0</v>
      </c>
      <c r="CR333" s="134">
        <v>0</v>
      </c>
      <c r="CS333" s="134">
        <f>CR333*H333</f>
        <v>0</v>
      </c>
      <c r="CT333" s="134">
        <v>0</v>
      </c>
      <c r="CU333" s="135">
        <f>CT333*H333</f>
        <v>0</v>
      </c>
      <c r="DS333" s="136" t="s">
        <v>95</v>
      </c>
      <c r="DU333" s="136" t="s">
        <v>284</v>
      </c>
      <c r="DV333" s="136" t="s">
        <v>83</v>
      </c>
      <c r="DZ333" s="16" t="s">
        <v>282</v>
      </c>
      <c r="EF333" s="137">
        <f>IF(CO333="základní",J333,0)</f>
        <v>5966.8</v>
      </c>
      <c r="EG333" s="137">
        <f>IF(CO333="snížená",J333,0)</f>
        <v>0</v>
      </c>
      <c r="EH333" s="137">
        <f>IF(CO333="zákl. přenesená",J333,0)</f>
        <v>0</v>
      </c>
      <c r="EI333" s="137">
        <f>IF(CO333="sníž. přenesená",J333,0)</f>
        <v>0</v>
      </c>
      <c r="EJ333" s="137">
        <f>IF(CO333="nulová",J333,0)</f>
        <v>0</v>
      </c>
      <c r="EK333" s="16" t="s">
        <v>81</v>
      </c>
      <c r="EL333" s="137">
        <f>ROUND(I333*H333,2)</f>
        <v>5966.8</v>
      </c>
      <c r="EM333" s="16" t="s">
        <v>95</v>
      </c>
      <c r="EN333" s="136" t="s">
        <v>707</v>
      </c>
    </row>
    <row r="334" spans="2:144" s="1" customFormat="1" ht="29.25" x14ac:dyDescent="0.2">
      <c r="B334" s="31"/>
      <c r="D334" s="138" t="s">
        <v>289</v>
      </c>
      <c r="F334" s="139" t="s">
        <v>708</v>
      </c>
      <c r="I334" s="140"/>
      <c r="L334" s="31"/>
      <c r="N334" s="213"/>
      <c r="O334" s="214"/>
      <c r="Q334" s="229"/>
      <c r="CN334" s="141"/>
      <c r="CU334" s="50"/>
      <c r="DU334" s="16" t="s">
        <v>289</v>
      </c>
      <c r="DV334" s="16" t="s">
        <v>83</v>
      </c>
    </row>
    <row r="335" spans="2:144" s="12" customFormat="1" x14ac:dyDescent="0.2">
      <c r="B335" s="149"/>
      <c r="D335" s="138" t="s">
        <v>301</v>
      </c>
      <c r="E335" s="150" t="s">
        <v>1</v>
      </c>
      <c r="F335" s="151" t="s">
        <v>1078</v>
      </c>
      <c r="H335" s="152">
        <v>100.224</v>
      </c>
      <c r="I335" s="153"/>
      <c r="L335" s="149"/>
      <c r="N335" s="217">
        <f>0.82*1912.904</f>
        <v>1568.5812799999999</v>
      </c>
      <c r="O335" s="218" t="s">
        <v>3879</v>
      </c>
      <c r="Q335" s="231"/>
      <c r="CN335" s="154"/>
      <c r="CU335" s="155"/>
      <c r="DU335" s="150" t="s">
        <v>301</v>
      </c>
      <c r="DV335" s="150" t="s">
        <v>83</v>
      </c>
      <c r="DW335" s="12" t="s">
        <v>83</v>
      </c>
      <c r="DX335" s="12" t="s">
        <v>32</v>
      </c>
      <c r="DY335" s="12" t="s">
        <v>74</v>
      </c>
      <c r="DZ335" s="150" t="s">
        <v>282</v>
      </c>
    </row>
    <row r="336" spans="2:144" s="12" customFormat="1" x14ac:dyDescent="0.2">
      <c r="B336" s="149"/>
      <c r="D336" s="138" t="s">
        <v>301</v>
      </c>
      <c r="E336" s="150" t="s">
        <v>1</v>
      </c>
      <c r="F336" s="151" t="s">
        <v>1079</v>
      </c>
      <c r="H336" s="152">
        <v>36.411999999999999</v>
      </c>
      <c r="I336" s="153"/>
      <c r="L336" s="149"/>
      <c r="N336" s="310">
        <f>N335-H338</f>
        <v>-344.32272000000012</v>
      </c>
      <c r="O336" s="218"/>
      <c r="Q336" s="231"/>
      <c r="CN336" s="154"/>
      <c r="CU336" s="155"/>
      <c r="DU336" s="150" t="s">
        <v>301</v>
      </c>
      <c r="DV336" s="150" t="s">
        <v>83</v>
      </c>
      <c r="DW336" s="12" t="s">
        <v>83</v>
      </c>
      <c r="DX336" s="12" t="s">
        <v>32</v>
      </c>
      <c r="DY336" s="12" t="s">
        <v>74</v>
      </c>
      <c r="DZ336" s="150" t="s">
        <v>282</v>
      </c>
    </row>
    <row r="337" spans="2:144" s="13" customFormat="1" x14ac:dyDescent="0.2">
      <c r="B337" s="156"/>
      <c r="D337" s="138" t="s">
        <v>301</v>
      </c>
      <c r="E337" s="157" t="s">
        <v>1</v>
      </c>
      <c r="F337" s="158" t="s">
        <v>305</v>
      </c>
      <c r="H337" s="159">
        <v>136.636</v>
      </c>
      <c r="I337" s="160"/>
      <c r="L337" s="156"/>
      <c r="N337" s="219"/>
      <c r="O337" s="220"/>
      <c r="Q337" s="232"/>
      <c r="CN337" s="161"/>
      <c r="CU337" s="162"/>
      <c r="DU337" s="157" t="s">
        <v>301</v>
      </c>
      <c r="DV337" s="157" t="s">
        <v>83</v>
      </c>
      <c r="DW337" s="13" t="s">
        <v>95</v>
      </c>
      <c r="DX337" s="13" t="s">
        <v>32</v>
      </c>
      <c r="DY337" s="13" t="s">
        <v>81</v>
      </c>
      <c r="DZ337" s="157" t="s">
        <v>282</v>
      </c>
    </row>
    <row r="338" spans="2:144" s="12" customFormat="1" x14ac:dyDescent="0.2">
      <c r="B338" s="149"/>
      <c r="D338" s="138" t="s">
        <v>301</v>
      </c>
      <c r="F338" s="151" t="s">
        <v>1080</v>
      </c>
      <c r="H338" s="152">
        <v>1912.904</v>
      </c>
      <c r="I338" s="153"/>
      <c r="L338" s="149"/>
      <c r="N338" s="217"/>
      <c r="O338" s="218"/>
      <c r="Q338" s="231"/>
      <c r="CN338" s="154"/>
      <c r="CU338" s="155"/>
      <c r="DU338" s="150" t="s">
        <v>301</v>
      </c>
      <c r="DV338" s="150" t="s">
        <v>83</v>
      </c>
      <c r="DW338" s="12" t="s">
        <v>83</v>
      </c>
      <c r="DX338" s="12" t="s">
        <v>3</v>
      </c>
      <c r="DY338" s="12" t="s">
        <v>81</v>
      </c>
      <c r="DZ338" s="150" t="s">
        <v>282</v>
      </c>
    </row>
    <row r="339" spans="2:144" s="1" customFormat="1" ht="24.2" customHeight="1" x14ac:dyDescent="0.2">
      <c r="B339" s="124"/>
      <c r="C339" s="125" t="s">
        <v>589</v>
      </c>
      <c r="D339" s="125" t="s">
        <v>284</v>
      </c>
      <c r="E339" s="126" t="s">
        <v>711</v>
      </c>
      <c r="F339" s="127" t="s">
        <v>712</v>
      </c>
      <c r="G339" s="128" t="s">
        <v>418</v>
      </c>
      <c r="H339" s="129">
        <v>136.636</v>
      </c>
      <c r="I339" s="130">
        <v>155.98322812074767</v>
      </c>
      <c r="J339" s="131">
        <f>ROUND(I339*H339,2)</f>
        <v>21312.92</v>
      </c>
      <c r="K339" s="127" t="s">
        <v>293</v>
      </c>
      <c r="L339" s="268">
        <f>S339</f>
        <v>0</v>
      </c>
      <c r="M339" s="272">
        <f>ROUND(L339*I339,2)</f>
        <v>0</v>
      </c>
      <c r="N339" s="243">
        <f>N328</f>
        <v>-24.594480000000004</v>
      </c>
      <c r="O339" s="294">
        <f>ROUND(N339*I339,2)</f>
        <v>-3836.33</v>
      </c>
      <c r="P339" s="273">
        <f>H339-L339-N339</f>
        <v>161.23048</v>
      </c>
      <c r="Q339" s="287">
        <f>ROUND(P339*I339,2)</f>
        <v>25149.25</v>
      </c>
      <c r="R339" s="137"/>
      <c r="S339" s="269">
        <f>W339+Y339+AA339+AC339+AE339+AG339+AI339+AK339</f>
        <v>0</v>
      </c>
      <c r="T339" s="269">
        <f>ROUND(S339*I339,2)</f>
        <v>0</v>
      </c>
      <c r="U339" s="269">
        <f>H339-S339</f>
        <v>136.636</v>
      </c>
      <c r="V339" s="269">
        <f>ROUND(U339*I339,2)</f>
        <v>21312.92</v>
      </c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I339" s="269"/>
      <c r="AJ339" s="269"/>
      <c r="AK339" s="269"/>
      <c r="AL339" s="269"/>
      <c r="CN339" s="132" t="s">
        <v>1</v>
      </c>
      <c r="CO339" s="133" t="s">
        <v>40</v>
      </c>
      <c r="CQ339" s="134">
        <f>CP339*H339</f>
        <v>0</v>
      </c>
      <c r="CR339" s="134">
        <v>0</v>
      </c>
      <c r="CS339" s="134">
        <f>CR339*H339</f>
        <v>0</v>
      </c>
      <c r="CT339" s="134">
        <v>0</v>
      </c>
      <c r="CU339" s="135">
        <f>CT339*H339</f>
        <v>0</v>
      </c>
      <c r="DS339" s="136" t="s">
        <v>95</v>
      </c>
      <c r="DU339" s="136" t="s">
        <v>284</v>
      </c>
      <c r="DV339" s="136" t="s">
        <v>83</v>
      </c>
      <c r="DZ339" s="16" t="s">
        <v>282</v>
      </c>
      <c r="EF339" s="137">
        <f>IF(CO339="základní",J339,0)</f>
        <v>21312.92</v>
      </c>
      <c r="EG339" s="137">
        <f>IF(CO339="snížená",J339,0)</f>
        <v>0</v>
      </c>
      <c r="EH339" s="137">
        <f>IF(CO339="zákl. přenesená",J339,0)</f>
        <v>0</v>
      </c>
      <c r="EI339" s="137">
        <f>IF(CO339="sníž. přenesená",J339,0)</f>
        <v>0</v>
      </c>
      <c r="EJ339" s="137">
        <f>IF(CO339="nulová",J339,0)</f>
        <v>0</v>
      </c>
      <c r="EK339" s="16" t="s">
        <v>81</v>
      </c>
      <c r="EL339" s="137">
        <f>ROUND(I339*H339,2)</f>
        <v>21312.92</v>
      </c>
      <c r="EM339" s="16" t="s">
        <v>95</v>
      </c>
      <c r="EN339" s="136" t="s">
        <v>713</v>
      </c>
    </row>
    <row r="340" spans="2:144" s="1" customFormat="1" x14ac:dyDescent="0.2">
      <c r="B340" s="31"/>
      <c r="D340" s="138" t="s">
        <v>289</v>
      </c>
      <c r="F340" s="139" t="s">
        <v>714</v>
      </c>
      <c r="I340" s="140"/>
      <c r="L340" s="31"/>
      <c r="N340" s="213"/>
      <c r="O340" s="214"/>
      <c r="Q340" s="229"/>
      <c r="CN340" s="141"/>
      <c r="CU340" s="50"/>
      <c r="DU340" s="16" t="s">
        <v>289</v>
      </c>
      <c r="DV340" s="16" t="s">
        <v>83</v>
      </c>
    </row>
    <row r="341" spans="2:144" s="1" customFormat="1" ht="37.9" customHeight="1" x14ac:dyDescent="0.2">
      <c r="B341" s="124"/>
      <c r="C341" s="125" t="s">
        <v>594</v>
      </c>
      <c r="D341" s="125" t="s">
        <v>284</v>
      </c>
      <c r="E341" s="126" t="s">
        <v>716</v>
      </c>
      <c r="F341" s="127" t="s">
        <v>420</v>
      </c>
      <c r="G341" s="128" t="s">
        <v>418</v>
      </c>
      <c r="H341" s="129">
        <v>100.224</v>
      </c>
      <c r="I341" s="130">
        <v>110.6455721</v>
      </c>
      <c r="J341" s="131">
        <f>ROUND(I341*H341,2)</f>
        <v>11089.34</v>
      </c>
      <c r="K341" s="127" t="s">
        <v>293</v>
      </c>
      <c r="L341" s="268">
        <f>S341</f>
        <v>0</v>
      </c>
      <c r="M341" s="272">
        <f>ROUND(L341*I341,2)</f>
        <v>0</v>
      </c>
      <c r="N341" s="243">
        <f>N343</f>
        <v>-18.040320000000008</v>
      </c>
      <c r="O341" s="294">
        <f>ROUND(N341*I341,2)</f>
        <v>-1996.08</v>
      </c>
      <c r="P341" s="273">
        <f>H341-L341-N341</f>
        <v>118.26432000000001</v>
      </c>
      <c r="Q341" s="287">
        <f>ROUND(P341*I341,2)</f>
        <v>13085.42</v>
      </c>
      <c r="R341" s="137"/>
      <c r="S341" s="269">
        <f>W341+Y341+AA341+AC341+AE341+AG341+AI341+AK341</f>
        <v>0</v>
      </c>
      <c r="T341" s="269">
        <f>ROUND(S341*I341,2)</f>
        <v>0</v>
      </c>
      <c r="U341" s="269">
        <f>H341-S341</f>
        <v>100.224</v>
      </c>
      <c r="V341" s="269">
        <f>ROUND(U341*I341,2)</f>
        <v>11089.34</v>
      </c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CN341" s="132" t="s">
        <v>1</v>
      </c>
      <c r="CO341" s="133" t="s">
        <v>40</v>
      </c>
      <c r="CQ341" s="134">
        <f>CP341*H341</f>
        <v>0</v>
      </c>
      <c r="CR341" s="134">
        <v>0</v>
      </c>
      <c r="CS341" s="134">
        <f>CR341*H341</f>
        <v>0</v>
      </c>
      <c r="CT341" s="134">
        <v>0</v>
      </c>
      <c r="CU341" s="135">
        <f>CT341*H341</f>
        <v>0</v>
      </c>
      <c r="DS341" s="136" t="s">
        <v>95</v>
      </c>
      <c r="DU341" s="136" t="s">
        <v>284</v>
      </c>
      <c r="DV341" s="136" t="s">
        <v>83</v>
      </c>
      <c r="DZ341" s="16" t="s">
        <v>282</v>
      </c>
      <c r="EF341" s="137">
        <f>IF(CO341="základní",J341,0)</f>
        <v>11089.34</v>
      </c>
      <c r="EG341" s="137">
        <f>IF(CO341="snížená",J341,0)</f>
        <v>0</v>
      </c>
      <c r="EH341" s="137">
        <f>IF(CO341="zákl. přenesená",J341,0)</f>
        <v>0</v>
      </c>
      <c r="EI341" s="137">
        <f>IF(CO341="sníž. přenesená",J341,0)</f>
        <v>0</v>
      </c>
      <c r="EJ341" s="137">
        <f>IF(CO341="nulová",J341,0)</f>
        <v>0</v>
      </c>
      <c r="EK341" s="16" t="s">
        <v>81</v>
      </c>
      <c r="EL341" s="137">
        <f>ROUND(I341*H341,2)</f>
        <v>11089.34</v>
      </c>
      <c r="EM341" s="16" t="s">
        <v>95</v>
      </c>
      <c r="EN341" s="136" t="s">
        <v>717</v>
      </c>
    </row>
    <row r="342" spans="2:144" s="1" customFormat="1" ht="29.25" x14ac:dyDescent="0.2">
      <c r="B342" s="31"/>
      <c r="D342" s="138" t="s">
        <v>289</v>
      </c>
      <c r="F342" s="139" t="s">
        <v>420</v>
      </c>
      <c r="I342" s="140"/>
      <c r="L342" s="31"/>
      <c r="N342" s="213">
        <f>0.82*100.224</f>
        <v>82.183679999999995</v>
      </c>
      <c r="O342" s="214" t="s">
        <v>3880</v>
      </c>
      <c r="Q342" s="229"/>
      <c r="CN342" s="141"/>
      <c r="CU342" s="50"/>
      <c r="DU342" s="16" t="s">
        <v>289</v>
      </c>
      <c r="DV342" s="16" t="s">
        <v>83</v>
      </c>
    </row>
    <row r="343" spans="2:144" s="12" customFormat="1" x14ac:dyDescent="0.2">
      <c r="B343" s="149"/>
      <c r="D343" s="138" t="s">
        <v>301</v>
      </c>
      <c r="E343" s="150" t="s">
        <v>1</v>
      </c>
      <c r="F343" s="151" t="s">
        <v>1078</v>
      </c>
      <c r="H343" s="152">
        <v>100.224</v>
      </c>
      <c r="I343" s="153"/>
      <c r="L343" s="149"/>
      <c r="N343" s="310">
        <f>N342-H343</f>
        <v>-18.040320000000008</v>
      </c>
      <c r="O343" s="218"/>
      <c r="Q343" s="231"/>
      <c r="CN343" s="154"/>
      <c r="CU343" s="155"/>
      <c r="DU343" s="150" t="s">
        <v>301</v>
      </c>
      <c r="DV343" s="150" t="s">
        <v>83</v>
      </c>
      <c r="DW343" s="12" t="s">
        <v>83</v>
      </c>
      <c r="DX343" s="12" t="s">
        <v>32</v>
      </c>
      <c r="DY343" s="12" t="s">
        <v>81</v>
      </c>
      <c r="DZ343" s="150" t="s">
        <v>282</v>
      </c>
    </row>
    <row r="344" spans="2:144" s="1" customFormat="1" ht="37.9" customHeight="1" x14ac:dyDescent="0.2">
      <c r="B344" s="124"/>
      <c r="C344" s="125" t="s">
        <v>599</v>
      </c>
      <c r="D344" s="125" t="s">
        <v>284</v>
      </c>
      <c r="E344" s="126" t="s">
        <v>719</v>
      </c>
      <c r="F344" s="127" t="s">
        <v>720</v>
      </c>
      <c r="G344" s="128" t="s">
        <v>418</v>
      </c>
      <c r="H344" s="129">
        <v>36.411999999999999</v>
      </c>
      <c r="I344" s="130">
        <v>250.3439285</v>
      </c>
      <c r="J344" s="131">
        <f>ROUND(I344*H344,2)</f>
        <v>9115.52</v>
      </c>
      <c r="K344" s="127" t="s">
        <v>293</v>
      </c>
      <c r="L344" s="268">
        <f>S344</f>
        <v>0</v>
      </c>
      <c r="M344" s="272">
        <f>ROUND(L344*I344,2)</f>
        <v>0</v>
      </c>
      <c r="N344" s="243">
        <f>N346</f>
        <v>-6.5541600000000031</v>
      </c>
      <c r="O344" s="294">
        <f>ROUND(N344*I344,2)</f>
        <v>-1640.79</v>
      </c>
      <c r="P344" s="273">
        <f>H344-L344-N344</f>
        <v>42.966160000000002</v>
      </c>
      <c r="Q344" s="287">
        <f>ROUND(P344*I344,2)</f>
        <v>10756.32</v>
      </c>
      <c r="R344" s="137"/>
      <c r="S344" s="269">
        <f>W344+Y344+AA344+AC344+AE344+AG344+AI344+AK344</f>
        <v>0</v>
      </c>
      <c r="T344" s="269">
        <f>ROUND(S344*I344,2)</f>
        <v>0</v>
      </c>
      <c r="U344" s="269">
        <f>H344-S344</f>
        <v>36.411999999999999</v>
      </c>
      <c r="V344" s="269">
        <f>ROUND(U344*I344,2)</f>
        <v>9115.52</v>
      </c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  <c r="AL344" s="269"/>
      <c r="CN344" s="132" t="s">
        <v>1</v>
      </c>
      <c r="CO344" s="133" t="s">
        <v>40</v>
      </c>
      <c r="CQ344" s="134">
        <f>CP344*H344</f>
        <v>0</v>
      </c>
      <c r="CR344" s="134">
        <v>0</v>
      </c>
      <c r="CS344" s="134">
        <f>CR344*H344</f>
        <v>0</v>
      </c>
      <c r="CT344" s="134">
        <v>0</v>
      </c>
      <c r="CU344" s="135">
        <f>CT344*H344</f>
        <v>0</v>
      </c>
      <c r="DS344" s="136" t="s">
        <v>95</v>
      </c>
      <c r="DU344" s="136" t="s">
        <v>284</v>
      </c>
      <c r="DV344" s="136" t="s">
        <v>83</v>
      </c>
      <c r="DZ344" s="16" t="s">
        <v>282</v>
      </c>
      <c r="EF344" s="137">
        <f>IF(CO344="základní",J344,0)</f>
        <v>9115.52</v>
      </c>
      <c r="EG344" s="137">
        <f>IF(CO344="snížená",J344,0)</f>
        <v>0</v>
      </c>
      <c r="EH344" s="137">
        <f>IF(CO344="zákl. přenesená",J344,0)</f>
        <v>0</v>
      </c>
      <c r="EI344" s="137">
        <f>IF(CO344="sníž. přenesená",J344,0)</f>
        <v>0</v>
      </c>
      <c r="EJ344" s="137">
        <f>IF(CO344="nulová",J344,0)</f>
        <v>0</v>
      </c>
      <c r="EK344" s="16" t="s">
        <v>81</v>
      </c>
      <c r="EL344" s="137">
        <f>ROUND(I344*H344,2)</f>
        <v>9115.52</v>
      </c>
      <c r="EM344" s="16" t="s">
        <v>95</v>
      </c>
      <c r="EN344" s="136" t="s">
        <v>721</v>
      </c>
    </row>
    <row r="345" spans="2:144" s="1" customFormat="1" ht="29.25" x14ac:dyDescent="0.2">
      <c r="B345" s="31"/>
      <c r="D345" s="138" t="s">
        <v>289</v>
      </c>
      <c r="F345" s="139" t="s">
        <v>720</v>
      </c>
      <c r="I345" s="140"/>
      <c r="L345" s="31"/>
      <c r="N345" s="213">
        <f>0.82*36.412</f>
        <v>29.857839999999996</v>
      </c>
      <c r="O345" s="214" t="s">
        <v>3881</v>
      </c>
      <c r="Q345" s="229"/>
      <c r="CN345" s="141"/>
      <c r="CU345" s="50"/>
      <c r="DU345" s="16" t="s">
        <v>289</v>
      </c>
      <c r="DV345" s="16" t="s">
        <v>83</v>
      </c>
    </row>
    <row r="346" spans="2:144" s="12" customFormat="1" x14ac:dyDescent="0.2">
      <c r="B346" s="149"/>
      <c r="D346" s="138" t="s">
        <v>301</v>
      </c>
      <c r="E346" s="150" t="s">
        <v>1</v>
      </c>
      <c r="F346" s="151" t="s">
        <v>1079</v>
      </c>
      <c r="H346" s="152">
        <v>36.411999999999999</v>
      </c>
      <c r="I346" s="153"/>
      <c r="L346" s="149"/>
      <c r="N346" s="310">
        <f>N345-H346</f>
        <v>-6.5541600000000031</v>
      </c>
      <c r="O346" s="218"/>
      <c r="Q346" s="231"/>
      <c r="CN346" s="154"/>
      <c r="CU346" s="155"/>
      <c r="DU346" s="150" t="s">
        <v>301</v>
      </c>
      <c r="DV346" s="150" t="s">
        <v>83</v>
      </c>
      <c r="DW346" s="12" t="s">
        <v>83</v>
      </c>
      <c r="DX346" s="12" t="s">
        <v>32</v>
      </c>
      <c r="DY346" s="12" t="s">
        <v>81</v>
      </c>
      <c r="DZ346" s="150" t="s">
        <v>282</v>
      </c>
    </row>
    <row r="347" spans="2:144" s="10" customFormat="1" ht="22.9" customHeight="1" x14ac:dyDescent="0.2">
      <c r="B347" s="112"/>
      <c r="D347" s="113" t="s">
        <v>73</v>
      </c>
      <c r="E347" s="122" t="s">
        <v>722</v>
      </c>
      <c r="F347" s="122" t="s">
        <v>723</v>
      </c>
      <c r="I347" s="115"/>
      <c r="J347" s="123">
        <f>EL347</f>
        <v>16972.79</v>
      </c>
      <c r="L347" s="112"/>
      <c r="M347" s="270">
        <f>M348</f>
        <v>0</v>
      </c>
      <c r="N347" s="301"/>
      <c r="O347" s="302">
        <f t="shared" ref="O347:V347" si="9">O348</f>
        <v>-3055.1</v>
      </c>
      <c r="P347" s="270"/>
      <c r="Q347" s="288">
        <f t="shared" si="9"/>
        <v>20027.89</v>
      </c>
      <c r="R347" s="270"/>
      <c r="S347" s="270"/>
      <c r="T347" s="270">
        <f t="shared" si="9"/>
        <v>0</v>
      </c>
      <c r="U347" s="270"/>
      <c r="V347" s="270">
        <f t="shared" si="9"/>
        <v>16972.79</v>
      </c>
      <c r="CN347" s="117"/>
      <c r="CQ347" s="118">
        <f>SUM(CQ348:CQ351)</f>
        <v>0</v>
      </c>
      <c r="CS347" s="118">
        <f>SUM(CS348:CS351)</f>
        <v>0</v>
      </c>
      <c r="CU347" s="119">
        <f>SUM(CU348:CU351)</f>
        <v>0</v>
      </c>
      <c r="DS347" s="113" t="s">
        <v>81</v>
      </c>
      <c r="DU347" s="120" t="s">
        <v>73</v>
      </c>
      <c r="DV347" s="120" t="s">
        <v>81</v>
      </c>
      <c r="DZ347" s="113" t="s">
        <v>282</v>
      </c>
      <c r="EL347" s="121">
        <f>SUM(EL348:EL351)</f>
        <v>16972.79</v>
      </c>
    </row>
    <row r="348" spans="2:144" s="1" customFormat="1" ht="24.2" customHeight="1" x14ac:dyDescent="0.2">
      <c r="B348" s="124"/>
      <c r="C348" s="125" t="s">
        <v>604</v>
      </c>
      <c r="D348" s="125" t="s">
        <v>284</v>
      </c>
      <c r="E348" s="126" t="s">
        <v>725</v>
      </c>
      <c r="F348" s="127" t="s">
        <v>726</v>
      </c>
      <c r="G348" s="128" t="s">
        <v>418</v>
      </c>
      <c r="H348" s="129">
        <v>18.759</v>
      </c>
      <c r="I348" s="130">
        <v>904.78117744148574</v>
      </c>
      <c r="J348" s="131">
        <f>ROUND(I348*H348,2)</f>
        <v>16972.79</v>
      </c>
      <c r="K348" s="127" t="s">
        <v>293</v>
      </c>
      <c r="L348" s="268">
        <f>S348</f>
        <v>0</v>
      </c>
      <c r="M348" s="272">
        <f>ROUND(L348*I348,2)</f>
        <v>0</v>
      </c>
      <c r="N348" s="243">
        <f>N350</f>
        <v>-3.3766200000000008</v>
      </c>
      <c r="O348" s="294">
        <f>ROUND(N348*I348,2)</f>
        <v>-3055.1</v>
      </c>
      <c r="P348" s="273">
        <f>H348-L348-N348</f>
        <v>22.135620000000003</v>
      </c>
      <c r="Q348" s="287">
        <f>ROUND(P348*I348,2)</f>
        <v>20027.89</v>
      </c>
      <c r="R348" s="137"/>
      <c r="S348" s="269">
        <f>W348+Y348+AA348+AC348+AE348+AG348+AI348+AK348</f>
        <v>0</v>
      </c>
      <c r="T348" s="269">
        <f>ROUND(S348*I348,2)</f>
        <v>0</v>
      </c>
      <c r="U348" s="269">
        <f>H348-S348</f>
        <v>18.759</v>
      </c>
      <c r="V348" s="269">
        <f>ROUND(U348*I348,2)</f>
        <v>16972.79</v>
      </c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  <c r="AL348" s="269"/>
      <c r="CN348" s="132" t="s">
        <v>1</v>
      </c>
      <c r="CO348" s="133" t="s">
        <v>40</v>
      </c>
      <c r="CQ348" s="134">
        <f>CP348*H348</f>
        <v>0</v>
      </c>
      <c r="CR348" s="134">
        <v>0</v>
      </c>
      <c r="CS348" s="134">
        <f>CR348*H348</f>
        <v>0</v>
      </c>
      <c r="CT348" s="134">
        <v>0</v>
      </c>
      <c r="CU348" s="135">
        <f>CT348*H348</f>
        <v>0</v>
      </c>
      <c r="DS348" s="136" t="s">
        <v>95</v>
      </c>
      <c r="DU348" s="136" t="s">
        <v>284</v>
      </c>
      <c r="DV348" s="136" t="s">
        <v>83</v>
      </c>
      <c r="DZ348" s="16" t="s">
        <v>282</v>
      </c>
      <c r="EF348" s="137">
        <f>IF(CO348="základní",J348,0)</f>
        <v>16972.79</v>
      </c>
      <c r="EG348" s="137">
        <f>IF(CO348="snížená",J348,0)</f>
        <v>0</v>
      </c>
      <c r="EH348" s="137">
        <f>IF(CO348="zákl. přenesená",J348,0)</f>
        <v>0</v>
      </c>
      <c r="EI348" s="137">
        <f>IF(CO348="sníž. přenesená",J348,0)</f>
        <v>0</v>
      </c>
      <c r="EJ348" s="137">
        <f>IF(CO348="nulová",J348,0)</f>
        <v>0</v>
      </c>
      <c r="EK348" s="16" t="s">
        <v>81</v>
      </c>
      <c r="EL348" s="137">
        <f>ROUND(I348*H348,2)</f>
        <v>16972.79</v>
      </c>
      <c r="EM348" s="16" t="s">
        <v>95</v>
      </c>
      <c r="EN348" s="136" t="s">
        <v>727</v>
      </c>
    </row>
    <row r="349" spans="2:144" s="1" customFormat="1" ht="29.25" x14ac:dyDescent="0.2">
      <c r="B349" s="31"/>
      <c r="D349" s="138" t="s">
        <v>289</v>
      </c>
      <c r="F349" s="139" t="s">
        <v>728</v>
      </c>
      <c r="I349" s="140"/>
      <c r="L349" s="31"/>
      <c r="N349" s="213">
        <f>0.82*18.759</f>
        <v>15.382379999999999</v>
      </c>
      <c r="O349" s="214" t="s">
        <v>3882</v>
      </c>
      <c r="Q349" s="229"/>
      <c r="CN349" s="141"/>
      <c r="CU349" s="50"/>
      <c r="DU349" s="16" t="s">
        <v>289</v>
      </c>
      <c r="DV349" s="16" t="s">
        <v>83</v>
      </c>
    </row>
    <row r="350" spans="2:144" s="11" customFormat="1" x14ac:dyDescent="0.2">
      <c r="B350" s="143"/>
      <c r="D350" s="138" t="s">
        <v>301</v>
      </c>
      <c r="E350" s="144" t="s">
        <v>1</v>
      </c>
      <c r="F350" s="145" t="s">
        <v>729</v>
      </c>
      <c r="H350" s="144" t="s">
        <v>1</v>
      </c>
      <c r="I350" s="146"/>
      <c r="L350" s="143"/>
      <c r="N350" s="319">
        <f>N349-H351</f>
        <v>-3.3766200000000008</v>
      </c>
      <c r="O350" s="216"/>
      <c r="Q350" s="230"/>
      <c r="CN350" s="147"/>
      <c r="CU350" s="148"/>
      <c r="DU350" s="144" t="s">
        <v>301</v>
      </c>
      <c r="DV350" s="144" t="s">
        <v>83</v>
      </c>
      <c r="DW350" s="11" t="s">
        <v>81</v>
      </c>
      <c r="DX350" s="11" t="s">
        <v>32</v>
      </c>
      <c r="DY350" s="11" t="s">
        <v>74</v>
      </c>
      <c r="DZ350" s="144" t="s">
        <v>282</v>
      </c>
    </row>
    <row r="351" spans="2:144" s="12" customFormat="1" x14ac:dyDescent="0.2">
      <c r="B351" s="149"/>
      <c r="D351" s="138" t="s">
        <v>301</v>
      </c>
      <c r="E351" s="150" t="s">
        <v>1</v>
      </c>
      <c r="F351" s="151" t="s">
        <v>1081</v>
      </c>
      <c r="H351" s="152">
        <v>18.759</v>
      </c>
      <c r="I351" s="153"/>
      <c r="L351" s="149"/>
      <c r="N351" s="217"/>
      <c r="O351" s="218"/>
      <c r="Q351" s="327"/>
      <c r="CN351" s="179"/>
      <c r="CO351" s="180"/>
      <c r="CP351" s="180"/>
      <c r="CQ351" s="180"/>
      <c r="CR351" s="180"/>
      <c r="CS351" s="180"/>
      <c r="CT351" s="180"/>
      <c r="CU351" s="181"/>
      <c r="DU351" s="150" t="s">
        <v>301</v>
      </c>
      <c r="DV351" s="150" t="s">
        <v>83</v>
      </c>
      <c r="DW351" s="12" t="s">
        <v>83</v>
      </c>
      <c r="DX351" s="12" t="s">
        <v>32</v>
      </c>
      <c r="DY351" s="12" t="s">
        <v>81</v>
      </c>
      <c r="DZ351" s="150" t="s">
        <v>282</v>
      </c>
    </row>
    <row r="352" spans="2:144" s="1" customFormat="1" ht="6.95" customHeight="1" thickBot="1" x14ac:dyDescent="0.25"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235"/>
      <c r="M352" s="237"/>
      <c r="N352" s="239"/>
      <c r="O352" s="240"/>
      <c r="P352" s="238"/>
      <c r="Q352" s="235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</row>
  </sheetData>
  <autoFilter ref="C120:K351"/>
  <mergeCells count="26">
    <mergeCell ref="AE121:AF121"/>
    <mergeCell ref="AG121:AH121"/>
    <mergeCell ref="AI121:AJ121"/>
    <mergeCell ref="AK121:AL121"/>
    <mergeCell ref="U121:V121"/>
    <mergeCell ref="W121:X121"/>
    <mergeCell ref="Y121:Z121"/>
    <mergeCell ref="AA121:AB121"/>
    <mergeCell ref="AC121:AD121"/>
    <mergeCell ref="L120:Q120"/>
    <mergeCell ref="L121:M121"/>
    <mergeCell ref="N121:O121"/>
    <mergeCell ref="P121:Q121"/>
    <mergeCell ref="S121:T121"/>
    <mergeCell ref="L2:CW2"/>
    <mergeCell ref="E31:H31"/>
    <mergeCell ref="E84:H84"/>
    <mergeCell ref="E88:H88"/>
    <mergeCell ref="E86:H86"/>
    <mergeCell ref="G119:K119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F393"/>
  <sheetViews>
    <sheetView windowProtection="1" showGridLines="0" topLeftCell="A365" zoomScale="80" zoomScaleNormal="80" workbookViewId="0">
      <selection activeCell="P365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33203125" customWidth="1"/>
    <col min="13" max="13" width="17.6640625" customWidth="1"/>
    <col min="14" max="14" width="12.33203125" customWidth="1"/>
    <col min="15" max="15" width="19.1640625" customWidth="1"/>
    <col min="16" max="16" width="12.33203125" hidden="1" customWidth="1"/>
    <col min="17" max="17" width="16.5" hidden="1" customWidth="1"/>
    <col min="18" max="19" width="12.33203125" customWidth="1"/>
    <col min="20" max="20" width="15.83203125" customWidth="1"/>
    <col min="21" max="21" width="12.33203125" customWidth="1"/>
    <col min="22" max="22" width="14.1640625" customWidth="1"/>
    <col min="23" max="83" width="12.33203125" customWidth="1"/>
    <col min="84" max="84" width="10.83203125" customWidth="1"/>
    <col min="86" max="91" width="14.1640625" customWidth="1"/>
    <col min="92" max="92" width="16.33203125" customWidth="1"/>
    <col min="93" max="93" width="12.33203125" customWidth="1"/>
    <col min="94" max="94" width="16.33203125" customWidth="1"/>
    <col min="95" max="95" width="12.33203125" customWidth="1"/>
    <col min="96" max="96" width="15" customWidth="1"/>
    <col min="97" max="97" width="11" customWidth="1"/>
    <col min="98" max="98" width="15" customWidth="1"/>
    <col min="99" max="99" width="16.33203125" customWidth="1"/>
    <col min="100" max="100" width="11" customWidth="1"/>
    <col min="101" max="101" width="15" customWidth="1"/>
    <col min="102" max="102" width="16.33203125" customWidth="1"/>
    <col min="115" max="136" width="9.33203125" hidden="1"/>
  </cols>
  <sheetData>
    <row r="1" spans="2:117" hidden="1" x14ac:dyDescent="0.2"/>
    <row r="2" spans="2:117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DM2" s="16" t="s">
        <v>119</v>
      </c>
    </row>
    <row r="3" spans="2:117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M3" s="16" t="s">
        <v>83</v>
      </c>
    </row>
    <row r="4" spans="2:117" ht="24.95" hidden="1" customHeight="1" x14ac:dyDescent="0.2">
      <c r="B4" s="19"/>
      <c r="D4" s="20" t="s">
        <v>243</v>
      </c>
      <c r="L4" s="19"/>
      <c r="CF4" s="79" t="s">
        <v>10</v>
      </c>
      <c r="DM4" s="16" t="s">
        <v>3</v>
      </c>
    </row>
    <row r="5" spans="2:117" ht="6.95" hidden="1" customHeight="1" x14ac:dyDescent="0.2">
      <c r="B5" s="19"/>
      <c r="L5" s="19"/>
    </row>
    <row r="6" spans="2:117" ht="12" hidden="1" customHeight="1" x14ac:dyDescent="0.2">
      <c r="B6" s="19"/>
      <c r="D6" s="26" t="s">
        <v>16</v>
      </c>
      <c r="L6" s="19"/>
    </row>
    <row r="7" spans="2:117" ht="16.5" hidden="1" customHeight="1" x14ac:dyDescent="0.2">
      <c r="B7" s="19"/>
      <c r="E7" s="434" t="str">
        <f>'Rekapitulace stavby'!K6</f>
        <v>Kanalizace Podlesí - I.Etapa</v>
      </c>
      <c r="F7" s="434"/>
      <c r="G7" s="434"/>
      <c r="H7" s="434"/>
      <c r="L7" s="19"/>
    </row>
    <row r="8" spans="2:117" ht="12.75" hidden="1" x14ac:dyDescent="0.2">
      <c r="B8" s="19"/>
      <c r="D8" s="26" t="s">
        <v>244</v>
      </c>
      <c r="L8" s="19"/>
    </row>
    <row r="9" spans="2:117" ht="16.5" hidden="1" customHeight="1" x14ac:dyDescent="0.2">
      <c r="B9" s="19"/>
      <c r="E9" s="434" t="s">
        <v>245</v>
      </c>
      <c r="F9" s="434"/>
      <c r="G9" s="434"/>
      <c r="H9" s="434"/>
      <c r="L9" s="19"/>
    </row>
    <row r="10" spans="2:117" ht="12" hidden="1" customHeight="1" x14ac:dyDescent="0.2">
      <c r="B10" s="19"/>
      <c r="D10" s="26" t="s">
        <v>246</v>
      </c>
      <c r="L10" s="19"/>
    </row>
    <row r="11" spans="2:117" s="1" customFormat="1" ht="16.5" hidden="1" customHeight="1" x14ac:dyDescent="0.2">
      <c r="B11" s="31"/>
      <c r="E11" s="401" t="s">
        <v>247</v>
      </c>
      <c r="F11" s="401"/>
      <c r="G11" s="401"/>
      <c r="H11" s="401"/>
      <c r="L11" s="31"/>
    </row>
    <row r="12" spans="2:117" s="1" customFormat="1" ht="12" hidden="1" customHeight="1" x14ac:dyDescent="0.2">
      <c r="B12" s="31"/>
      <c r="D12" s="26" t="s">
        <v>248</v>
      </c>
      <c r="L12" s="31"/>
    </row>
    <row r="13" spans="2:117" s="1" customFormat="1" ht="16.5" hidden="1" customHeight="1" x14ac:dyDescent="0.2">
      <c r="B13" s="31"/>
      <c r="E13" s="432" t="s">
        <v>1082</v>
      </c>
      <c r="F13" s="432"/>
      <c r="G13" s="432"/>
      <c r="H13" s="432"/>
      <c r="L13" s="31"/>
    </row>
    <row r="14" spans="2:117" s="1" customFormat="1" hidden="1" x14ac:dyDescent="0.2">
      <c r="B14" s="31"/>
      <c r="L14" s="31"/>
    </row>
    <row r="15" spans="2:117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17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36"/>
      <c r="G22" s="436"/>
      <c r="H22" s="436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ROUND(J122, 2)</f>
        <v>1788086.23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ROUND((SUM(DX122:DX392)),  2)</f>
        <v>1788086.23</v>
      </c>
      <c r="I37" s="84">
        <v>0.21</v>
      </c>
      <c r="J37" s="71">
        <f>ROUND(((SUM(DX122:DX392))*I37),  2)</f>
        <v>375498.11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ROUND((SUM(DY122:DY392)),  2)</f>
        <v>0</v>
      </c>
      <c r="I38" s="84">
        <v>0.15</v>
      </c>
      <c r="J38" s="71">
        <f>ROUND(((SUM(DY122:DY392))*I38),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ROUND((SUM(DZ122:DZ392)),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ROUND((SUM(EA122:EA392)),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ROUND((SUM(EB122:EB392)),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2163584.34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4"/>
      <c r="G84" s="434"/>
      <c r="H84" s="434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434"/>
      <c r="G86" s="434"/>
      <c r="H86" s="434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01"/>
      <c r="G88" s="401"/>
      <c r="H88" s="401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00001 - DSO 01.1.1a Kanalizační odbočení Stoky A</v>
      </c>
      <c r="F90" s="432"/>
      <c r="G90" s="432"/>
      <c r="H90" s="432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8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8" s="1" customFormat="1" ht="10.35" hidden="1" customHeight="1" x14ac:dyDescent="0.2">
      <c r="B98" s="31"/>
      <c r="L98" s="31"/>
    </row>
    <row r="99" spans="2:118" s="1" customFormat="1" ht="22.9" hidden="1" customHeight="1" x14ac:dyDescent="0.2">
      <c r="B99" s="31"/>
      <c r="C99" s="95" t="s">
        <v>256</v>
      </c>
      <c r="J99" s="58">
        <f>J122</f>
        <v>1788086.2299999997</v>
      </c>
      <c r="L99" s="31"/>
      <c r="DN99" s="16" t="s">
        <v>257</v>
      </c>
    </row>
    <row r="100" spans="2:118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J123</f>
        <v>1788086.2299999997</v>
      </c>
      <c r="L100" s="96"/>
    </row>
    <row r="101" spans="2:118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J125</f>
        <v>776965.94999999984</v>
      </c>
      <c r="L101" s="100"/>
    </row>
    <row r="102" spans="2:118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J262</f>
        <v>38316.31</v>
      </c>
      <c r="L102" s="100"/>
    </row>
    <row r="103" spans="2:118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J267</f>
        <v>36150.770000000004</v>
      </c>
      <c r="L103" s="100"/>
    </row>
    <row r="104" spans="2:118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J291</f>
        <v>104378.24000000001</v>
      </c>
      <c r="L104" s="100"/>
    </row>
    <row r="105" spans="2:118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J303</f>
        <v>660411.81000000006</v>
      </c>
      <c r="L105" s="100"/>
    </row>
    <row r="106" spans="2:118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J355</f>
        <v>71798.95</v>
      </c>
      <c r="L106" s="100"/>
    </row>
    <row r="107" spans="2:118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J368</f>
        <v>64634.779999999992</v>
      </c>
      <c r="L107" s="100"/>
    </row>
    <row r="108" spans="2:118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J388</f>
        <v>35429.42</v>
      </c>
      <c r="L108" s="100"/>
    </row>
    <row r="109" spans="2:118" s="1" customFormat="1" ht="21.75" hidden="1" customHeight="1" x14ac:dyDescent="0.2">
      <c r="B109" s="31"/>
      <c r="L109" s="31"/>
    </row>
    <row r="110" spans="2:118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18" hidden="1" x14ac:dyDescent="0.2"/>
    <row r="112" spans="2:118" hidden="1" x14ac:dyDescent="0.2"/>
    <row r="114" spans="2:136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36" s="1" customFormat="1" ht="24.95" customHeight="1" x14ac:dyDescent="0.2">
      <c r="B115" s="31"/>
      <c r="C115" s="20" t="s">
        <v>3340</v>
      </c>
      <c r="L115" s="31"/>
    </row>
    <row r="116" spans="2:136" s="1" customFormat="1" ht="6.95" customHeight="1" x14ac:dyDescent="0.2">
      <c r="B116" s="31"/>
      <c r="L116" s="31"/>
    </row>
    <row r="117" spans="2:136" s="1" customFormat="1" ht="6.95" customHeight="1" x14ac:dyDescent="0.2">
      <c r="B117" s="31"/>
      <c r="L117" s="31"/>
    </row>
    <row r="118" spans="2:136" s="1" customFormat="1" ht="40.15" customHeight="1" x14ac:dyDescent="0.2">
      <c r="B118" s="31"/>
      <c r="C118" s="26"/>
      <c r="F118" s="24"/>
      <c r="I118" s="26"/>
      <c r="J118" s="29"/>
      <c r="L118" s="31"/>
    </row>
    <row r="119" spans="2:136" s="1" customFormat="1" ht="15.2" customHeight="1" x14ac:dyDescent="0.2">
      <c r="B119" s="31"/>
      <c r="C119" s="26"/>
      <c r="F119" s="24"/>
      <c r="I119" s="26"/>
      <c r="J119" s="29"/>
      <c r="L119" s="31"/>
    </row>
    <row r="120" spans="2:136" s="1" customFormat="1" ht="24" customHeight="1" x14ac:dyDescent="0.2">
      <c r="B120" s="31"/>
      <c r="G120" s="430" t="s">
        <v>3305</v>
      </c>
      <c r="H120" s="430"/>
      <c r="I120" s="430"/>
      <c r="J120" s="430"/>
      <c r="K120" s="431"/>
      <c r="L120" s="31"/>
    </row>
    <row r="121" spans="2:136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CF121" s="52" t="s">
        <v>1</v>
      </c>
      <c r="CG121" s="53" t="s">
        <v>39</v>
      </c>
      <c r="CH121" s="53" t="s">
        <v>273</v>
      </c>
      <c r="CI121" s="53" t="s">
        <v>274</v>
      </c>
      <c r="CJ121" s="53" t="s">
        <v>275</v>
      </c>
      <c r="CK121" s="53" t="s">
        <v>276</v>
      </c>
      <c r="CL121" s="53" t="s">
        <v>277</v>
      </c>
      <c r="CM121" s="54" t="s">
        <v>278</v>
      </c>
    </row>
    <row r="122" spans="2:136" s="1" customFormat="1" ht="22.9" customHeight="1" x14ac:dyDescent="0.25">
      <c r="B122" s="31"/>
      <c r="C122" s="57" t="s">
        <v>279</v>
      </c>
      <c r="G122" s="1" t="s">
        <v>3306</v>
      </c>
      <c r="J122" s="108">
        <f>ED122</f>
        <v>1788086.2299999997</v>
      </c>
      <c r="L122" s="440" t="s">
        <v>3308</v>
      </c>
      <c r="M122" s="441"/>
      <c r="N122" s="440" t="s">
        <v>3377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3320</v>
      </c>
      <c r="X122" s="444"/>
      <c r="Y122" s="444" t="s">
        <v>3321</v>
      </c>
      <c r="Z122" s="444"/>
      <c r="AA122" s="444" t="s">
        <v>3322</v>
      </c>
      <c r="AB122" s="444"/>
      <c r="AC122" s="444" t="s">
        <v>3323</v>
      </c>
      <c r="AD122" s="444"/>
      <c r="AE122" s="444" t="s">
        <v>3324</v>
      </c>
      <c r="AF122" s="444"/>
      <c r="AG122" s="444" t="s">
        <v>3325</v>
      </c>
      <c r="AH122" s="444"/>
      <c r="AI122" s="444" t="s">
        <v>3326</v>
      </c>
      <c r="AJ122" s="444"/>
      <c r="AK122" s="444" t="s">
        <v>3327</v>
      </c>
      <c r="AL122" s="445"/>
      <c r="CF122" s="55"/>
      <c r="CG122" s="49"/>
      <c r="CH122" s="49"/>
      <c r="CI122" s="109">
        <f>CI123</f>
        <v>0</v>
      </c>
      <c r="CJ122" s="49"/>
      <c r="CK122" s="109">
        <f>CK123</f>
        <v>566.09558059999995</v>
      </c>
      <c r="CL122" s="49"/>
      <c r="CM122" s="110">
        <f>CM123</f>
        <v>178.71776999999997</v>
      </c>
      <c r="DM122" s="16" t="s">
        <v>73</v>
      </c>
      <c r="DN122" s="16" t="s">
        <v>257</v>
      </c>
      <c r="ED122" s="111">
        <f>ED123</f>
        <v>1788086.2299999997</v>
      </c>
    </row>
    <row r="123" spans="2:136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ED123</f>
        <v>1788086.2299999997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4" t="s">
        <v>3328</v>
      </c>
      <c r="AE123" s="194" t="s">
        <v>270</v>
      </c>
      <c r="AF123" s="194" t="s">
        <v>3328</v>
      </c>
      <c r="AG123" s="194" t="s">
        <v>270</v>
      </c>
      <c r="AH123" s="194" t="s">
        <v>3328</v>
      </c>
      <c r="AI123" s="194" t="s">
        <v>270</v>
      </c>
      <c r="AJ123" s="194" t="s">
        <v>3328</v>
      </c>
      <c r="AK123" s="194" t="s">
        <v>270</v>
      </c>
      <c r="AL123" s="195" t="s">
        <v>3328</v>
      </c>
      <c r="CF123" s="117"/>
      <c r="CI123" s="118">
        <f>CI125+CI262+CI267+CI291+CI303+CI355+CI368+CI388</f>
        <v>0</v>
      </c>
      <c r="CK123" s="118">
        <f>CK125+CK262+CK267+CK291+CK303+CK355+CK368+CK388</f>
        <v>566.09558059999995</v>
      </c>
      <c r="CM123" s="119">
        <f>CM125+CM262+CM267+CM291+CM303+CM355+CM368+CM388</f>
        <v>178.71776999999997</v>
      </c>
      <c r="DK123" s="113" t="s">
        <v>81</v>
      </c>
      <c r="DM123" s="120" t="s">
        <v>73</v>
      </c>
      <c r="DN123" s="120" t="s">
        <v>74</v>
      </c>
      <c r="DR123" s="113" t="s">
        <v>282</v>
      </c>
      <c r="ED123" s="121">
        <f>ED125+ED262+ED267+ED291+ED303+ED355+ED368+ED388</f>
        <v>1788086.2299999997</v>
      </c>
    </row>
    <row r="124" spans="2:136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M125+M262+M267+M291+M303+M355+M368+M388</f>
        <v>0</v>
      </c>
      <c r="N124" s="208"/>
      <c r="O124" s="208">
        <f t="shared" ref="O124:Q124" si="0">O125+O262+O267+O291+O303+O355+O368+O388</f>
        <v>-11417.456999999984</v>
      </c>
      <c r="P124" s="192"/>
      <c r="Q124" s="192">
        <f t="shared" si="0"/>
        <v>1799738.33</v>
      </c>
      <c r="S124" s="196"/>
      <c r="T124" s="197">
        <f>T125+T262+T267+T291+T303+T355+T368+T388</f>
        <v>0</v>
      </c>
      <c r="U124" s="197"/>
      <c r="V124" s="197">
        <f t="shared" ref="V124:AL124" si="1">V125+V262+V267+V291+V303+V355+V368+V388</f>
        <v>1788086.2299999997</v>
      </c>
      <c r="W124" s="197"/>
      <c r="X124" s="197">
        <f t="shared" si="1"/>
        <v>0</v>
      </c>
      <c r="Y124" s="197"/>
      <c r="Z124" s="197">
        <f t="shared" si="1"/>
        <v>0</v>
      </c>
      <c r="AA124" s="197"/>
      <c r="AB124" s="197">
        <f t="shared" si="1"/>
        <v>0</v>
      </c>
      <c r="AC124" s="197"/>
      <c r="AD124" s="197">
        <f t="shared" si="1"/>
        <v>0</v>
      </c>
      <c r="AE124" s="197"/>
      <c r="AF124" s="197">
        <f t="shared" si="1"/>
        <v>0</v>
      </c>
      <c r="AG124" s="197"/>
      <c r="AH124" s="197">
        <f t="shared" si="1"/>
        <v>0</v>
      </c>
      <c r="AI124" s="197"/>
      <c r="AJ124" s="197">
        <f t="shared" si="1"/>
        <v>0</v>
      </c>
      <c r="AK124" s="197"/>
      <c r="AL124" s="197">
        <f t="shared" si="1"/>
        <v>0</v>
      </c>
      <c r="CF124" s="117"/>
      <c r="CI124" s="118"/>
      <c r="CK124" s="118"/>
      <c r="CM124" s="119"/>
      <c r="DK124" s="113"/>
      <c r="DM124" s="120"/>
      <c r="DN124" s="120"/>
      <c r="DR124" s="113"/>
      <c r="ED124" s="121"/>
    </row>
    <row r="125" spans="2:136" s="10" customFormat="1" ht="22.9" customHeight="1" x14ac:dyDescent="0.2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ED125</f>
        <v>776965.94999999984</v>
      </c>
      <c r="L125" s="112"/>
      <c r="M125" s="320">
        <f>SUM(M126:M259)</f>
        <v>0</v>
      </c>
      <c r="N125" s="321"/>
      <c r="O125" s="322">
        <f t="shared" ref="O125:V125" si="2">SUM(O126:O259)</f>
        <v>40249.093000000008</v>
      </c>
      <c r="P125" s="320"/>
      <c r="Q125" s="325">
        <f t="shared" si="2"/>
        <v>736951.54</v>
      </c>
      <c r="R125" s="320"/>
      <c r="S125" s="320"/>
      <c r="T125" s="320">
        <f t="shared" si="2"/>
        <v>0</v>
      </c>
      <c r="U125" s="320"/>
      <c r="V125" s="320">
        <f t="shared" si="2"/>
        <v>776965.94999999984</v>
      </c>
      <c r="CF125" s="117"/>
      <c r="CI125" s="118">
        <f>SUM(CI126:CI261)</f>
        <v>0</v>
      </c>
      <c r="CK125" s="118">
        <f>SUM(CK126:CK261)</f>
        <v>527.31467959999998</v>
      </c>
      <c r="CM125" s="119">
        <f>SUM(CM126:CM261)</f>
        <v>178.71776999999997</v>
      </c>
      <c r="DK125" s="113" t="s">
        <v>81</v>
      </c>
      <c r="DM125" s="120" t="s">
        <v>73</v>
      </c>
      <c r="DN125" s="120" t="s">
        <v>81</v>
      </c>
      <c r="DR125" s="113" t="s">
        <v>282</v>
      </c>
      <c r="ED125" s="121">
        <f>SUM(ED126:ED261)</f>
        <v>776965.94999999984</v>
      </c>
    </row>
    <row r="126" spans="2:136" s="1" customFormat="1" ht="24.2" customHeight="1" x14ac:dyDescent="0.2">
      <c r="B126" s="124"/>
      <c r="C126" s="125" t="s">
        <v>81</v>
      </c>
      <c r="D126" s="125" t="s">
        <v>284</v>
      </c>
      <c r="E126" s="126" t="s">
        <v>285</v>
      </c>
      <c r="F126" s="127" t="s">
        <v>286</v>
      </c>
      <c r="G126" s="128" t="s">
        <v>287</v>
      </c>
      <c r="H126" s="129">
        <v>142.065</v>
      </c>
      <c r="I126" s="130">
        <v>68.767172335543137</v>
      </c>
      <c r="J126" s="131">
        <f>ROUND(I126*H126,2)</f>
        <v>9769.41</v>
      </c>
      <c r="K126" s="127" t="s">
        <v>1</v>
      </c>
      <c r="L126" s="198">
        <f>S126</f>
        <v>0</v>
      </c>
      <c r="M126" s="206">
        <f>ROUND(L126*I126,2)</f>
        <v>0</v>
      </c>
      <c r="N126" s="211">
        <f>N128</f>
        <v>4.5</v>
      </c>
      <c r="O126" s="212">
        <f>ROUND(N126*I126,2)</f>
        <v>309.45</v>
      </c>
      <c r="P126" s="207">
        <f>H126-L126-N126</f>
        <v>137.565</v>
      </c>
      <c r="Q126" s="228">
        <f>ROUND(P126*I126,2)</f>
        <v>9459.9599999999991</v>
      </c>
      <c r="R126" s="199"/>
      <c r="S126" s="200">
        <f>W126+Y126+AA126+AC126+AE126+AG126+AI126+AK126</f>
        <v>0</v>
      </c>
      <c r="T126" s="200">
        <f>ROUND(S126*I126,2)</f>
        <v>0</v>
      </c>
      <c r="U126" s="200">
        <f>H126-S126</f>
        <v>142.065</v>
      </c>
      <c r="V126" s="200">
        <f>ROUND(U126*I126,2)</f>
        <v>9769.41</v>
      </c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CF126" s="132" t="s">
        <v>1</v>
      </c>
      <c r="CG126" s="133" t="s">
        <v>40</v>
      </c>
      <c r="CI126" s="134">
        <f>CH126*H126</f>
        <v>0</v>
      </c>
      <c r="CJ126" s="134">
        <v>0</v>
      </c>
      <c r="CK126" s="134">
        <f>CJ126*H126</f>
        <v>0</v>
      </c>
      <c r="CL126" s="134">
        <v>0.57999999999999996</v>
      </c>
      <c r="CM126" s="135">
        <f>CL126*H126</f>
        <v>82.397699999999986</v>
      </c>
      <c r="DK126" s="136" t="s">
        <v>95</v>
      </c>
      <c r="DM126" s="136" t="s">
        <v>284</v>
      </c>
      <c r="DN126" s="136" t="s">
        <v>83</v>
      </c>
      <c r="DR126" s="16" t="s">
        <v>282</v>
      </c>
      <c r="DX126" s="137">
        <f>IF(CG126="základní",J126,0)</f>
        <v>9769.41</v>
      </c>
      <c r="DY126" s="137">
        <f>IF(CG126="snížená",J126,0)</f>
        <v>0</v>
      </c>
      <c r="DZ126" s="137">
        <f>IF(CG126="zákl. přenesená",J126,0)</f>
        <v>0</v>
      </c>
      <c r="EA126" s="137">
        <f>IF(CG126="sníž. přenesená",J126,0)</f>
        <v>0</v>
      </c>
      <c r="EB126" s="137">
        <f>IF(CG126="nulová",J126,0)</f>
        <v>0</v>
      </c>
      <c r="EC126" s="16" t="s">
        <v>81</v>
      </c>
      <c r="ED126" s="137">
        <f>ROUND(I126*H126,2)</f>
        <v>9769.41</v>
      </c>
      <c r="EE126" s="16" t="s">
        <v>95</v>
      </c>
      <c r="EF126" s="136" t="s">
        <v>288</v>
      </c>
    </row>
    <row r="127" spans="2:136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CF127" s="141"/>
      <c r="CM127" s="50"/>
      <c r="DM127" s="16" t="s">
        <v>289</v>
      </c>
      <c r="DN127" s="16" t="s">
        <v>83</v>
      </c>
    </row>
    <row r="128" spans="2:136" s="1" customFormat="1" ht="24.2" customHeight="1" x14ac:dyDescent="0.2">
      <c r="B128" s="124"/>
      <c r="C128" s="125" t="s">
        <v>83</v>
      </c>
      <c r="D128" s="125" t="s">
        <v>284</v>
      </c>
      <c r="E128" s="126" t="s">
        <v>291</v>
      </c>
      <c r="F128" s="127" t="s">
        <v>292</v>
      </c>
      <c r="G128" s="128" t="s">
        <v>287</v>
      </c>
      <c r="H128" s="129">
        <v>142.065</v>
      </c>
      <c r="I128" s="130">
        <v>68.767172335543137</v>
      </c>
      <c r="J128" s="131">
        <f>ROUND(I128*H128,2)</f>
        <v>9769.41</v>
      </c>
      <c r="K128" s="127" t="s">
        <v>293</v>
      </c>
      <c r="L128" s="198">
        <f>S128</f>
        <v>0</v>
      </c>
      <c r="M128" s="206">
        <f>ROUND(L128*I128,2)</f>
        <v>0</v>
      </c>
      <c r="N128" s="211">
        <f>N130</f>
        <v>4.5</v>
      </c>
      <c r="O128" s="212">
        <f>ROUND(N128*I128,2)</f>
        <v>309.45</v>
      </c>
      <c r="P128" s="207">
        <f>H128-L128-N128</f>
        <v>137.565</v>
      </c>
      <c r="Q128" s="228">
        <f>ROUND(P128*I128,2)</f>
        <v>9459.9599999999991</v>
      </c>
      <c r="R128" s="199"/>
      <c r="S128" s="200">
        <f>W128+Y128+AA128+AC128+AE128+AG128+AI128+AK128</f>
        <v>0</v>
      </c>
      <c r="T128" s="200">
        <f>ROUND(S128*I128,2)</f>
        <v>0</v>
      </c>
      <c r="U128" s="200">
        <f>H128-S128</f>
        <v>142.065</v>
      </c>
      <c r="V128" s="200">
        <f>ROUND(U128*I128,2)</f>
        <v>9769.41</v>
      </c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CF128" s="132" t="s">
        <v>1</v>
      </c>
      <c r="CG128" s="133" t="s">
        <v>40</v>
      </c>
      <c r="CI128" s="134">
        <f>CH128*H128</f>
        <v>0</v>
      </c>
      <c r="CJ128" s="134">
        <v>0</v>
      </c>
      <c r="CK128" s="134">
        <f>CJ128*H128</f>
        <v>0</v>
      </c>
      <c r="CL128" s="134">
        <v>0.57999999999999996</v>
      </c>
      <c r="CM128" s="135">
        <f>CL128*H128</f>
        <v>82.397699999999986</v>
      </c>
      <c r="DK128" s="136" t="s">
        <v>95</v>
      </c>
      <c r="DM128" s="136" t="s">
        <v>284</v>
      </c>
      <c r="DN128" s="136" t="s">
        <v>83</v>
      </c>
      <c r="DR128" s="16" t="s">
        <v>282</v>
      </c>
      <c r="DX128" s="137">
        <f>IF(CG128="základní",J128,0)</f>
        <v>9769.41</v>
      </c>
      <c r="DY128" s="137">
        <f>IF(CG128="snížená",J128,0)</f>
        <v>0</v>
      </c>
      <c r="DZ128" s="137">
        <f>IF(CG128="zákl. přenesená",J128,0)</f>
        <v>0</v>
      </c>
      <c r="EA128" s="137">
        <f>IF(CG128="sníž. přenesená",J128,0)</f>
        <v>0</v>
      </c>
      <c r="EB128" s="137">
        <f>IF(CG128="nulová",J128,0)</f>
        <v>0</v>
      </c>
      <c r="EC128" s="16" t="s">
        <v>81</v>
      </c>
      <c r="ED128" s="137">
        <f>ROUND(I128*H128,2)</f>
        <v>9769.41</v>
      </c>
      <c r="EE128" s="16" t="s">
        <v>95</v>
      </c>
      <c r="EF128" s="136" t="s">
        <v>294</v>
      </c>
    </row>
    <row r="129" spans="2:136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CF129" s="141"/>
      <c r="CM129" s="50"/>
      <c r="DM129" s="16" t="s">
        <v>289</v>
      </c>
      <c r="DN129" s="16" t="s">
        <v>83</v>
      </c>
    </row>
    <row r="130" spans="2:136" s="1" customFormat="1" ht="24.2" customHeight="1" x14ac:dyDescent="0.2">
      <c r="B130" s="124"/>
      <c r="C130" s="125" t="s">
        <v>90</v>
      </c>
      <c r="D130" s="125" t="s">
        <v>284</v>
      </c>
      <c r="E130" s="126" t="s">
        <v>295</v>
      </c>
      <c r="F130" s="127" t="s">
        <v>732</v>
      </c>
      <c r="G130" s="128" t="s">
        <v>287</v>
      </c>
      <c r="H130" s="129">
        <v>142.065</v>
      </c>
      <c r="I130" s="130">
        <v>27.886826761540966</v>
      </c>
      <c r="J130" s="131">
        <f>ROUND(I130*H130,2)</f>
        <v>3961.74</v>
      </c>
      <c r="K130" s="127" t="s">
        <v>293</v>
      </c>
      <c r="L130" s="198">
        <f>S130</f>
        <v>0</v>
      </c>
      <c r="M130" s="206">
        <f>ROUND(L130*I130,2)</f>
        <v>0</v>
      </c>
      <c r="N130" s="211">
        <f>N139</f>
        <v>4.5</v>
      </c>
      <c r="O130" s="212">
        <f>ROUND(N130*I130,2)</f>
        <v>125.49</v>
      </c>
      <c r="P130" s="207">
        <f>H130-L130-N130</f>
        <v>137.565</v>
      </c>
      <c r="Q130" s="228">
        <f>ROUND(P130*I130,2)</f>
        <v>3836.25</v>
      </c>
      <c r="R130" s="199"/>
      <c r="S130" s="200">
        <f>W130+Y130+AA130+AC130+AE130+AG130+AI130+AK130</f>
        <v>0</v>
      </c>
      <c r="T130" s="200">
        <f>ROUND(S130*I130,2)</f>
        <v>0</v>
      </c>
      <c r="U130" s="200">
        <f>H130-S130</f>
        <v>142.065</v>
      </c>
      <c r="V130" s="200">
        <f>ROUND(U130*I130,2)</f>
        <v>3961.74</v>
      </c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CF130" s="132" t="s">
        <v>1</v>
      </c>
      <c r="CG130" s="133" t="s">
        <v>40</v>
      </c>
      <c r="CI130" s="134">
        <f>CH130*H130</f>
        <v>0</v>
      </c>
      <c r="CJ130" s="134">
        <v>0</v>
      </c>
      <c r="CK130" s="134">
        <f>CJ130*H130</f>
        <v>0</v>
      </c>
      <c r="CL130" s="134">
        <v>9.8000000000000004E-2</v>
      </c>
      <c r="CM130" s="135">
        <f>CL130*H130</f>
        <v>13.922370000000001</v>
      </c>
      <c r="DK130" s="136" t="s">
        <v>95</v>
      </c>
      <c r="DM130" s="136" t="s">
        <v>284</v>
      </c>
      <c r="DN130" s="136" t="s">
        <v>83</v>
      </c>
      <c r="DR130" s="16" t="s">
        <v>282</v>
      </c>
      <c r="DX130" s="137">
        <f>IF(CG130="základní",J130,0)</f>
        <v>3961.74</v>
      </c>
      <c r="DY130" s="137">
        <f>IF(CG130="snížená",J130,0)</f>
        <v>0</v>
      </c>
      <c r="DZ130" s="137">
        <f>IF(CG130="zákl. přenesená",J130,0)</f>
        <v>0</v>
      </c>
      <c r="EA130" s="137">
        <f>IF(CG130="sníž. přenesená",J130,0)</f>
        <v>0</v>
      </c>
      <c r="EB130" s="137">
        <f>IF(CG130="nulová",J130,0)</f>
        <v>0</v>
      </c>
      <c r="EC130" s="16" t="s">
        <v>81</v>
      </c>
      <c r="ED130" s="137">
        <f>ROUND(I130*H130,2)</f>
        <v>3961.74</v>
      </c>
      <c r="EE130" s="16" t="s">
        <v>95</v>
      </c>
      <c r="EF130" s="136" t="s">
        <v>297</v>
      </c>
    </row>
    <row r="131" spans="2:136" s="1" customFormat="1" ht="29.25" x14ac:dyDescent="0.2">
      <c r="B131" s="31"/>
      <c r="D131" s="138" t="s">
        <v>289</v>
      </c>
      <c r="F131" s="139" t="s">
        <v>298</v>
      </c>
      <c r="I131" s="140"/>
      <c r="L131" s="31"/>
      <c r="N131" s="213"/>
      <c r="O131" s="214"/>
      <c r="Q131" s="229"/>
      <c r="CF131" s="141"/>
      <c r="CM131" s="50"/>
      <c r="DM131" s="16" t="s">
        <v>289</v>
      </c>
      <c r="DN131" s="16" t="s">
        <v>83</v>
      </c>
    </row>
    <row r="132" spans="2:136" s="1" customFormat="1" ht="29.25" x14ac:dyDescent="0.2">
      <c r="B132" s="31"/>
      <c r="D132" s="138" t="s">
        <v>299</v>
      </c>
      <c r="F132" s="142" t="s">
        <v>1083</v>
      </c>
      <c r="I132" s="140"/>
      <c r="L132" s="31"/>
      <c r="N132" s="213"/>
      <c r="O132" s="214"/>
      <c r="Q132" s="229"/>
      <c r="CF132" s="141"/>
      <c r="CM132" s="50"/>
      <c r="DM132" s="16" t="s">
        <v>299</v>
      </c>
      <c r="DN132" s="16" t="s">
        <v>83</v>
      </c>
    </row>
    <row r="133" spans="2:136" s="11" customFormat="1" x14ac:dyDescent="0.2">
      <c r="B133" s="143"/>
      <c r="D133" s="138" t="s">
        <v>301</v>
      </c>
      <c r="E133" s="144" t="s">
        <v>1</v>
      </c>
      <c r="F133" s="145" t="s">
        <v>1084</v>
      </c>
      <c r="H133" s="144" t="s">
        <v>1</v>
      </c>
      <c r="I133" s="146"/>
      <c r="L133" s="143"/>
      <c r="N133" s="215"/>
      <c r="O133" s="216"/>
      <c r="Q133" s="230"/>
      <c r="CF133" s="147"/>
      <c r="CM133" s="148"/>
      <c r="DM133" s="144" t="s">
        <v>301</v>
      </c>
      <c r="DN133" s="144" t="s">
        <v>83</v>
      </c>
      <c r="DO133" s="11" t="s">
        <v>81</v>
      </c>
      <c r="DP133" s="11" t="s">
        <v>32</v>
      </c>
      <c r="DQ133" s="11" t="s">
        <v>74</v>
      </c>
      <c r="DR133" s="144" t="s">
        <v>282</v>
      </c>
    </row>
    <row r="134" spans="2:136" s="11" customFormat="1" x14ac:dyDescent="0.2">
      <c r="B134" s="143"/>
      <c r="D134" s="138" t="s">
        <v>301</v>
      </c>
      <c r="E134" s="144" t="s">
        <v>1</v>
      </c>
      <c r="F134" s="145" t="s">
        <v>302</v>
      </c>
      <c r="H134" s="144" t="s">
        <v>1</v>
      </c>
      <c r="I134" s="146"/>
      <c r="L134" s="143"/>
      <c r="N134" s="215"/>
      <c r="O134" s="216"/>
      <c r="Q134" s="230"/>
      <c r="CF134" s="147"/>
      <c r="CM134" s="148"/>
      <c r="DM134" s="144" t="s">
        <v>301</v>
      </c>
      <c r="DN134" s="144" t="s">
        <v>83</v>
      </c>
      <c r="DO134" s="11" t="s">
        <v>81</v>
      </c>
      <c r="DP134" s="11" t="s">
        <v>32</v>
      </c>
      <c r="DQ134" s="11" t="s">
        <v>74</v>
      </c>
      <c r="DR134" s="144" t="s">
        <v>282</v>
      </c>
    </row>
    <row r="135" spans="2:136" s="12" customFormat="1" x14ac:dyDescent="0.2">
      <c r="B135" s="149"/>
      <c r="D135" s="138" t="s">
        <v>301</v>
      </c>
      <c r="E135" s="150" t="s">
        <v>1</v>
      </c>
      <c r="F135" s="151" t="s">
        <v>1085</v>
      </c>
      <c r="H135" s="152">
        <v>145.1</v>
      </c>
      <c r="I135" s="153"/>
      <c r="L135" s="149"/>
      <c r="N135" s="217">
        <f>156.85*1</f>
        <v>156.85</v>
      </c>
      <c r="O135" s="218" t="s">
        <v>3632</v>
      </c>
      <c r="Q135" s="231"/>
      <c r="CF135" s="154"/>
      <c r="CM135" s="155"/>
      <c r="DM135" s="150" t="s">
        <v>301</v>
      </c>
      <c r="DN135" s="150" t="s">
        <v>83</v>
      </c>
      <c r="DO135" s="12" t="s">
        <v>83</v>
      </c>
      <c r="DP135" s="12" t="s">
        <v>32</v>
      </c>
      <c r="DQ135" s="12" t="s">
        <v>74</v>
      </c>
      <c r="DR135" s="150" t="s">
        <v>282</v>
      </c>
    </row>
    <row r="136" spans="2:136" s="12" customFormat="1" x14ac:dyDescent="0.2">
      <c r="B136" s="149"/>
      <c r="D136" s="138" t="s">
        <v>301</v>
      </c>
      <c r="E136" s="150" t="s">
        <v>1</v>
      </c>
      <c r="F136" s="151" t="s">
        <v>1086</v>
      </c>
      <c r="H136" s="152">
        <v>12.75</v>
      </c>
      <c r="I136" s="153"/>
      <c r="L136" s="149"/>
      <c r="N136" s="217">
        <f>1.5*1.5*8-1.5*1*8</f>
        <v>6</v>
      </c>
      <c r="O136" s="218" t="s">
        <v>3633</v>
      </c>
      <c r="Q136" s="231"/>
      <c r="CF136" s="154"/>
      <c r="CM136" s="155"/>
      <c r="DM136" s="150" t="s">
        <v>301</v>
      </c>
      <c r="DN136" s="150" t="s">
        <v>83</v>
      </c>
      <c r="DO136" s="12" t="s">
        <v>83</v>
      </c>
      <c r="DP136" s="12" t="s">
        <v>32</v>
      </c>
      <c r="DQ136" s="12" t="s">
        <v>74</v>
      </c>
      <c r="DR136" s="150" t="s">
        <v>282</v>
      </c>
    </row>
    <row r="137" spans="2:136" s="14" customFormat="1" x14ac:dyDescent="0.2">
      <c r="B137" s="163"/>
      <c r="D137" s="138" t="s">
        <v>301</v>
      </c>
      <c r="E137" s="164" t="s">
        <v>1</v>
      </c>
      <c r="F137" s="165" t="s">
        <v>373</v>
      </c>
      <c r="H137" s="166">
        <v>157.85</v>
      </c>
      <c r="I137" s="167"/>
      <c r="L137" s="163"/>
      <c r="N137" s="221">
        <f>N135+N136</f>
        <v>162.85</v>
      </c>
      <c r="O137" s="222"/>
      <c r="Q137" s="233"/>
      <c r="CF137" s="168"/>
      <c r="CM137" s="169"/>
      <c r="DM137" s="164" t="s">
        <v>301</v>
      </c>
      <c r="DN137" s="164" t="s">
        <v>83</v>
      </c>
      <c r="DO137" s="14" t="s">
        <v>90</v>
      </c>
      <c r="DP137" s="14" t="s">
        <v>32</v>
      </c>
      <c r="DQ137" s="14" t="s">
        <v>74</v>
      </c>
      <c r="DR137" s="164" t="s">
        <v>282</v>
      </c>
    </row>
    <row r="138" spans="2:136" s="12" customFormat="1" x14ac:dyDescent="0.2">
      <c r="B138" s="149"/>
      <c r="D138" s="138" t="s">
        <v>301</v>
      </c>
      <c r="E138" s="150" t="s">
        <v>1</v>
      </c>
      <c r="F138" s="151" t="s">
        <v>1087</v>
      </c>
      <c r="H138" s="152">
        <v>142.065</v>
      </c>
      <c r="I138" s="153"/>
      <c r="L138" s="149"/>
      <c r="N138" s="217">
        <f>N137*0.9</f>
        <v>146.565</v>
      </c>
      <c r="O138" s="218"/>
      <c r="Q138" s="231"/>
      <c r="CF138" s="154"/>
      <c r="CM138" s="155"/>
      <c r="DM138" s="150" t="s">
        <v>301</v>
      </c>
      <c r="DN138" s="150" t="s">
        <v>83</v>
      </c>
      <c r="DO138" s="12" t="s">
        <v>83</v>
      </c>
      <c r="DP138" s="12" t="s">
        <v>32</v>
      </c>
      <c r="DQ138" s="12" t="s">
        <v>81</v>
      </c>
      <c r="DR138" s="150" t="s">
        <v>282</v>
      </c>
    </row>
    <row r="139" spans="2:136" s="12" customFormat="1" x14ac:dyDescent="0.2">
      <c r="B139" s="149"/>
      <c r="D139" s="138"/>
      <c r="E139" s="150"/>
      <c r="F139" s="151"/>
      <c r="H139" s="152"/>
      <c r="I139" s="153"/>
      <c r="L139" s="149"/>
      <c r="N139" s="310">
        <f>N138-H138</f>
        <v>4.5</v>
      </c>
      <c r="O139" s="218"/>
      <c r="Q139" s="231"/>
      <c r="CF139" s="154"/>
      <c r="CM139" s="155"/>
      <c r="DM139" s="150"/>
      <c r="DN139" s="150"/>
      <c r="DR139" s="150"/>
    </row>
    <row r="140" spans="2:136" s="1" customFormat="1" ht="24.2" customHeight="1" x14ac:dyDescent="0.2">
      <c r="B140" s="124"/>
      <c r="C140" s="125" t="s">
        <v>95</v>
      </c>
      <c r="D140" s="125" t="s">
        <v>284</v>
      </c>
      <c r="E140" s="126" t="s">
        <v>958</v>
      </c>
      <c r="F140" s="127" t="s">
        <v>959</v>
      </c>
      <c r="G140" s="128" t="s">
        <v>287</v>
      </c>
      <c r="H140" s="129">
        <v>43.53</v>
      </c>
      <c r="I140" s="130">
        <v>23.091823190584471</v>
      </c>
      <c r="J140" s="131">
        <f>ROUND(I140*H140,2)</f>
        <v>1005.19</v>
      </c>
      <c r="K140" s="127" t="s">
        <v>293</v>
      </c>
      <c r="L140" s="198">
        <f>S140</f>
        <v>0</v>
      </c>
      <c r="M140" s="206">
        <f>ROUND(L140*I140,2)</f>
        <v>0</v>
      </c>
      <c r="N140" s="211">
        <f>N145</f>
        <v>3.5249999999999986</v>
      </c>
      <c r="O140" s="212">
        <f>ROUND(N140*I140,2)</f>
        <v>81.400000000000006</v>
      </c>
      <c r="P140" s="207">
        <f>H140-L140-N140</f>
        <v>40.005000000000003</v>
      </c>
      <c r="Q140" s="228">
        <f>ROUND(P140*I140,2)</f>
        <v>923.79</v>
      </c>
      <c r="R140" s="199"/>
      <c r="S140" s="200">
        <f>W140+Y140+AA140+AC140+AE140+AG140+AI140+AK140</f>
        <v>0</v>
      </c>
      <c r="T140" s="200">
        <f>ROUND(S140*I140,2)</f>
        <v>0</v>
      </c>
      <c r="U140" s="200">
        <f>H140-S140</f>
        <v>43.53</v>
      </c>
      <c r="V140" s="200">
        <f>ROUND(U140*I140,2)</f>
        <v>1005.19</v>
      </c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CF140" s="132" t="s">
        <v>1</v>
      </c>
      <c r="CG140" s="133" t="s">
        <v>40</v>
      </c>
      <c r="CI140" s="134">
        <f>CH140*H140</f>
        <v>0</v>
      </c>
      <c r="CJ140" s="134">
        <v>0</v>
      </c>
      <c r="CK140" s="134">
        <f>CJ140*H140</f>
        <v>0</v>
      </c>
      <c r="CL140" s="134">
        <v>0</v>
      </c>
      <c r="CM140" s="135">
        <f>CL140*H140</f>
        <v>0</v>
      </c>
      <c r="DK140" s="136" t="s">
        <v>95</v>
      </c>
      <c r="DM140" s="136" t="s">
        <v>284</v>
      </c>
      <c r="DN140" s="136" t="s">
        <v>83</v>
      </c>
      <c r="DR140" s="16" t="s">
        <v>282</v>
      </c>
      <c r="DX140" s="137">
        <f>IF(CG140="základní",J140,0)</f>
        <v>1005.19</v>
      </c>
      <c r="DY140" s="137">
        <f>IF(CG140="snížená",J140,0)</f>
        <v>0</v>
      </c>
      <c r="DZ140" s="137">
        <f>IF(CG140="zákl. přenesená",J140,0)</f>
        <v>0</v>
      </c>
      <c r="EA140" s="137">
        <f>IF(CG140="sníž. přenesená",J140,0)</f>
        <v>0</v>
      </c>
      <c r="EB140" s="137">
        <f>IF(CG140="nulová",J140,0)</f>
        <v>0</v>
      </c>
      <c r="EC140" s="16" t="s">
        <v>81</v>
      </c>
      <c r="ED140" s="137">
        <f>ROUND(I140*H140,2)</f>
        <v>1005.19</v>
      </c>
      <c r="EE140" s="16" t="s">
        <v>95</v>
      </c>
      <c r="EF140" s="136" t="s">
        <v>960</v>
      </c>
    </row>
    <row r="141" spans="2:136" s="1" customFormat="1" ht="19.5" x14ac:dyDescent="0.2">
      <c r="B141" s="31"/>
      <c r="D141" s="138" t="s">
        <v>289</v>
      </c>
      <c r="F141" s="139" t="s">
        <v>961</v>
      </c>
      <c r="I141" s="140"/>
      <c r="L141" s="31"/>
      <c r="N141" s="213"/>
      <c r="O141" s="214"/>
      <c r="Q141" s="229"/>
      <c r="CF141" s="141"/>
      <c r="CM141" s="50"/>
      <c r="DM141" s="16" t="s">
        <v>289</v>
      </c>
      <c r="DN141" s="16" t="s">
        <v>83</v>
      </c>
    </row>
    <row r="142" spans="2:136" s="1" customFormat="1" ht="29.25" x14ac:dyDescent="0.2">
      <c r="B142" s="31"/>
      <c r="D142" s="138" t="s">
        <v>299</v>
      </c>
      <c r="F142" s="142" t="s">
        <v>1083</v>
      </c>
      <c r="I142" s="140"/>
      <c r="L142" s="31"/>
      <c r="N142" s="213"/>
      <c r="O142" s="214"/>
      <c r="Q142" s="229"/>
      <c r="CF142" s="141"/>
      <c r="CM142" s="50"/>
      <c r="DM142" s="16" t="s">
        <v>299</v>
      </c>
      <c r="DN142" s="16" t="s">
        <v>83</v>
      </c>
    </row>
    <row r="143" spans="2:136" s="11" customFormat="1" x14ac:dyDescent="0.2">
      <c r="B143" s="143"/>
      <c r="D143" s="138" t="s">
        <v>301</v>
      </c>
      <c r="E143" s="144" t="s">
        <v>1</v>
      </c>
      <c r="F143" s="145" t="s">
        <v>1088</v>
      </c>
      <c r="H143" s="144" t="s">
        <v>1</v>
      </c>
      <c r="I143" s="146"/>
      <c r="L143" s="143"/>
      <c r="N143" s="215"/>
      <c r="O143" s="216"/>
      <c r="Q143" s="230"/>
      <c r="CF143" s="147"/>
      <c r="CM143" s="148"/>
      <c r="DM143" s="144" t="s">
        <v>301</v>
      </c>
      <c r="DN143" s="144" t="s">
        <v>83</v>
      </c>
      <c r="DO143" s="11" t="s">
        <v>81</v>
      </c>
      <c r="DP143" s="11" t="s">
        <v>32</v>
      </c>
      <c r="DQ143" s="11" t="s">
        <v>74</v>
      </c>
      <c r="DR143" s="144" t="s">
        <v>282</v>
      </c>
    </row>
    <row r="144" spans="2:136" s="12" customFormat="1" x14ac:dyDescent="0.2">
      <c r="B144" s="149"/>
      <c r="D144" s="138" t="s">
        <v>301</v>
      </c>
      <c r="E144" s="150" t="s">
        <v>1</v>
      </c>
      <c r="F144" s="151" t="s">
        <v>1089</v>
      </c>
      <c r="H144" s="152">
        <v>43.53</v>
      </c>
      <c r="I144" s="153"/>
      <c r="L144" s="149"/>
      <c r="N144" s="217">
        <f>156.85*3*0.1</f>
        <v>47.055</v>
      </c>
      <c r="O144" s="218" t="s">
        <v>3634</v>
      </c>
      <c r="Q144" s="231"/>
      <c r="CF144" s="154"/>
      <c r="CM144" s="155"/>
      <c r="DM144" s="150" t="s">
        <v>301</v>
      </c>
      <c r="DN144" s="150" t="s">
        <v>83</v>
      </c>
      <c r="DO144" s="12" t="s">
        <v>83</v>
      </c>
      <c r="DP144" s="12" t="s">
        <v>32</v>
      </c>
      <c r="DQ144" s="12" t="s">
        <v>81</v>
      </c>
      <c r="DR144" s="150" t="s">
        <v>282</v>
      </c>
    </row>
    <row r="145" spans="2:136" s="12" customFormat="1" x14ac:dyDescent="0.2">
      <c r="B145" s="149"/>
      <c r="D145" s="138"/>
      <c r="E145" s="150"/>
      <c r="F145" s="151"/>
      <c r="H145" s="152"/>
      <c r="I145" s="153"/>
      <c r="L145" s="149"/>
      <c r="N145" s="310">
        <f>N144-H144</f>
        <v>3.5249999999999986</v>
      </c>
      <c r="O145" s="218"/>
      <c r="Q145" s="231"/>
      <c r="CF145" s="154"/>
      <c r="CM145" s="155"/>
      <c r="DM145" s="150"/>
      <c r="DN145" s="150"/>
      <c r="DR145" s="150"/>
    </row>
    <row r="146" spans="2:136" s="1" customFormat="1" ht="24.2" customHeight="1" x14ac:dyDescent="0.2">
      <c r="B146" s="124"/>
      <c r="C146" s="125" t="s">
        <v>312</v>
      </c>
      <c r="D146" s="125" t="s">
        <v>284</v>
      </c>
      <c r="E146" s="126" t="s">
        <v>364</v>
      </c>
      <c r="F146" s="127" t="s">
        <v>365</v>
      </c>
      <c r="G146" s="128" t="s">
        <v>366</v>
      </c>
      <c r="H146" s="129">
        <v>144.48400000000001</v>
      </c>
      <c r="I146" s="130">
        <v>285.201942457955</v>
      </c>
      <c r="J146" s="131">
        <f>ROUND(I146*H146,2)</f>
        <v>41207.120000000003</v>
      </c>
      <c r="K146" s="127" t="s">
        <v>293</v>
      </c>
      <c r="L146" s="198">
        <f>S146</f>
        <v>0</v>
      </c>
      <c r="M146" s="206">
        <f>ROUND(L146*I146,2)</f>
        <v>0</v>
      </c>
      <c r="N146" s="211">
        <f>N156</f>
        <v>2.5546249999999873</v>
      </c>
      <c r="O146" s="212">
        <f>ROUND(N146*I146,2)</f>
        <v>728.58</v>
      </c>
      <c r="P146" s="207">
        <f>H146-L146-N146</f>
        <v>141.92937500000002</v>
      </c>
      <c r="Q146" s="228">
        <f>ROUND(P146*I146,2)</f>
        <v>40478.53</v>
      </c>
      <c r="R146" s="199"/>
      <c r="S146" s="200">
        <f>W146+Y146+AA146+AC146+AE146+AG146+AI146+AK146</f>
        <v>0</v>
      </c>
      <c r="T146" s="200">
        <f>ROUND(S146*I146,2)</f>
        <v>0</v>
      </c>
      <c r="U146" s="200">
        <f>H146-S146</f>
        <v>144.48400000000001</v>
      </c>
      <c r="V146" s="200">
        <f>ROUND(U146*I146,2)</f>
        <v>41207.120000000003</v>
      </c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CF146" s="132" t="s">
        <v>1</v>
      </c>
      <c r="CG146" s="133" t="s">
        <v>40</v>
      </c>
      <c r="CI146" s="134">
        <f>CH146*H146</f>
        <v>0</v>
      </c>
      <c r="CJ146" s="134">
        <v>0</v>
      </c>
      <c r="CK146" s="134">
        <f>CJ146*H146</f>
        <v>0</v>
      </c>
      <c r="CL146" s="134">
        <v>0</v>
      </c>
      <c r="CM146" s="135">
        <f>CL146*H146</f>
        <v>0</v>
      </c>
      <c r="DK146" s="136" t="s">
        <v>95</v>
      </c>
      <c r="DM146" s="136" t="s">
        <v>284</v>
      </c>
      <c r="DN146" s="136" t="s">
        <v>83</v>
      </c>
      <c r="DR146" s="16" t="s">
        <v>282</v>
      </c>
      <c r="DX146" s="137">
        <f>IF(CG146="základní",J146,0)</f>
        <v>41207.120000000003</v>
      </c>
      <c r="DY146" s="137">
        <f>IF(CG146="snížená",J146,0)</f>
        <v>0</v>
      </c>
      <c r="DZ146" s="137">
        <f>IF(CG146="zákl. přenesená",J146,0)</f>
        <v>0</v>
      </c>
      <c r="EA146" s="137">
        <f>IF(CG146="sníž. přenesená",J146,0)</f>
        <v>0</v>
      </c>
      <c r="EB146" s="137">
        <f>IF(CG146="nulová",J146,0)</f>
        <v>0</v>
      </c>
      <c r="EC146" s="16" t="s">
        <v>81</v>
      </c>
      <c r="ED146" s="137">
        <f>ROUND(I146*H146,2)</f>
        <v>41207.120000000003</v>
      </c>
      <c r="EE146" s="16" t="s">
        <v>95</v>
      </c>
      <c r="EF146" s="136" t="s">
        <v>367</v>
      </c>
    </row>
    <row r="147" spans="2:136" s="1" customFormat="1" ht="39" x14ac:dyDescent="0.2">
      <c r="B147" s="31"/>
      <c r="D147" s="138" t="s">
        <v>289</v>
      </c>
      <c r="F147" s="139" t="s">
        <v>368</v>
      </c>
      <c r="I147" s="140"/>
      <c r="L147" s="31"/>
      <c r="N147" s="213"/>
      <c r="O147" s="214"/>
      <c r="Q147" s="229"/>
      <c r="CF147" s="141"/>
      <c r="CM147" s="50"/>
      <c r="DM147" s="16" t="s">
        <v>289</v>
      </c>
      <c r="DN147" s="16" t="s">
        <v>83</v>
      </c>
    </row>
    <row r="148" spans="2:136" s="1" customFormat="1" ht="39" x14ac:dyDescent="0.2">
      <c r="B148" s="31"/>
      <c r="D148" s="138" t="s">
        <v>299</v>
      </c>
      <c r="F148" s="142" t="s">
        <v>1090</v>
      </c>
      <c r="I148" s="140"/>
      <c r="L148" s="31"/>
      <c r="N148" s="213"/>
      <c r="O148" s="214"/>
      <c r="Q148" s="229"/>
      <c r="CF148" s="141"/>
      <c r="CM148" s="50"/>
      <c r="DM148" s="16" t="s">
        <v>299</v>
      </c>
      <c r="DN148" s="16" t="s">
        <v>83</v>
      </c>
    </row>
    <row r="149" spans="2:136" s="11" customFormat="1" ht="22.5" x14ac:dyDescent="0.2">
      <c r="B149" s="143"/>
      <c r="D149" s="138" t="s">
        <v>301</v>
      </c>
      <c r="E149" s="144" t="s">
        <v>1</v>
      </c>
      <c r="F149" s="145" t="s">
        <v>1091</v>
      </c>
      <c r="H149" s="144" t="s">
        <v>1</v>
      </c>
      <c r="I149" s="146"/>
      <c r="L149" s="143"/>
      <c r="N149" s="215"/>
      <c r="O149" s="216"/>
      <c r="Q149" s="230"/>
      <c r="CF149" s="147"/>
      <c r="CM149" s="148"/>
      <c r="DM149" s="144" t="s">
        <v>301</v>
      </c>
      <c r="DN149" s="144" t="s">
        <v>83</v>
      </c>
      <c r="DO149" s="11" t="s">
        <v>81</v>
      </c>
      <c r="DP149" s="11" t="s">
        <v>32</v>
      </c>
      <c r="DQ149" s="11" t="s">
        <v>74</v>
      </c>
      <c r="DR149" s="144" t="s">
        <v>282</v>
      </c>
    </row>
    <row r="150" spans="2:136" s="12" customFormat="1" x14ac:dyDescent="0.2">
      <c r="B150" s="149"/>
      <c r="D150" s="138" t="s">
        <v>301</v>
      </c>
      <c r="E150" s="150" t="s">
        <v>1</v>
      </c>
      <c r="F150" s="151" t="s">
        <v>1092</v>
      </c>
      <c r="H150" s="152">
        <v>228.53299999999999</v>
      </c>
      <c r="I150" s="153"/>
      <c r="L150" s="149"/>
      <c r="N150" s="217">
        <f>156.85*1*(2.2-0.45)*0.9</f>
        <v>247.03875000000002</v>
      </c>
      <c r="O150" s="218" t="s">
        <v>3635</v>
      </c>
      <c r="Q150" s="231"/>
      <c r="CF150" s="154"/>
      <c r="CM150" s="155"/>
      <c r="DM150" s="150" t="s">
        <v>301</v>
      </c>
      <c r="DN150" s="150" t="s">
        <v>83</v>
      </c>
      <c r="DO150" s="12" t="s">
        <v>83</v>
      </c>
      <c r="DP150" s="12" t="s">
        <v>32</v>
      </c>
      <c r="DQ150" s="12" t="s">
        <v>74</v>
      </c>
      <c r="DR150" s="150" t="s">
        <v>282</v>
      </c>
    </row>
    <row r="151" spans="2:136" s="12" customFormat="1" ht="22.5" x14ac:dyDescent="0.2">
      <c r="B151" s="149"/>
      <c r="D151" s="138" t="s">
        <v>301</v>
      </c>
      <c r="E151" s="150" t="s">
        <v>1</v>
      </c>
      <c r="F151" s="151" t="s">
        <v>1093</v>
      </c>
      <c r="H151" s="152">
        <v>29.963000000000001</v>
      </c>
      <c r="I151" s="153"/>
      <c r="L151" s="149"/>
      <c r="N151" s="217">
        <f>1.5*1.5*(2.4-0.45)*8-1.5*1*(2.2-0.45)*8</f>
        <v>14.099999999999998</v>
      </c>
      <c r="O151" s="218" t="s">
        <v>3636</v>
      </c>
      <c r="Q151" s="231"/>
      <c r="CF151" s="154"/>
      <c r="CM151" s="155"/>
      <c r="DM151" s="150" t="s">
        <v>301</v>
      </c>
      <c r="DN151" s="150" t="s">
        <v>83</v>
      </c>
      <c r="DO151" s="12" t="s">
        <v>83</v>
      </c>
      <c r="DP151" s="12" t="s">
        <v>32</v>
      </c>
      <c r="DQ151" s="12" t="s">
        <v>74</v>
      </c>
      <c r="DR151" s="150" t="s">
        <v>282</v>
      </c>
    </row>
    <row r="152" spans="2:136" s="11" customFormat="1" x14ac:dyDescent="0.2">
      <c r="B152" s="143"/>
      <c r="D152" s="138" t="s">
        <v>301</v>
      </c>
      <c r="E152" s="144" t="s">
        <v>1</v>
      </c>
      <c r="F152" s="145" t="s">
        <v>968</v>
      </c>
      <c r="H152" s="144" t="s">
        <v>1</v>
      </c>
      <c r="I152" s="146"/>
      <c r="L152" s="143"/>
      <c r="N152" s="215"/>
      <c r="O152" s="216"/>
      <c r="Q152" s="230"/>
      <c r="CF152" s="147"/>
      <c r="CM152" s="148"/>
      <c r="DM152" s="144" t="s">
        <v>301</v>
      </c>
      <c r="DN152" s="144" t="s">
        <v>83</v>
      </c>
      <c r="DO152" s="11" t="s">
        <v>81</v>
      </c>
      <c r="DP152" s="11" t="s">
        <v>32</v>
      </c>
      <c r="DQ152" s="11" t="s">
        <v>74</v>
      </c>
      <c r="DR152" s="144" t="s">
        <v>282</v>
      </c>
    </row>
    <row r="153" spans="2:136" s="12" customFormat="1" x14ac:dyDescent="0.2">
      <c r="B153" s="149"/>
      <c r="D153" s="138" t="s">
        <v>301</v>
      </c>
      <c r="E153" s="150" t="s">
        <v>1</v>
      </c>
      <c r="F153" s="151" t="s">
        <v>1094</v>
      </c>
      <c r="H153" s="152">
        <v>30.471</v>
      </c>
      <c r="I153" s="153"/>
      <c r="L153" s="149"/>
      <c r="N153" s="217">
        <f>156.85*1*(2.2-0.1)*0.1</f>
        <v>32.938499999999998</v>
      </c>
      <c r="O153" s="218" t="s">
        <v>3637</v>
      </c>
      <c r="Q153" s="231"/>
      <c r="CF153" s="154"/>
      <c r="CM153" s="155"/>
      <c r="DM153" s="150" t="s">
        <v>301</v>
      </c>
      <c r="DN153" s="150" t="s">
        <v>83</v>
      </c>
      <c r="DO153" s="12" t="s">
        <v>83</v>
      </c>
      <c r="DP153" s="12" t="s">
        <v>32</v>
      </c>
      <c r="DQ153" s="12" t="s">
        <v>74</v>
      </c>
      <c r="DR153" s="150" t="s">
        <v>282</v>
      </c>
    </row>
    <row r="154" spans="2:136" s="14" customFormat="1" x14ac:dyDescent="0.2">
      <c r="B154" s="163"/>
      <c r="D154" s="138" t="s">
        <v>301</v>
      </c>
      <c r="E154" s="164" t="s">
        <v>1</v>
      </c>
      <c r="F154" s="165" t="s">
        <v>373</v>
      </c>
      <c r="H154" s="166">
        <v>288.96699999999998</v>
      </c>
      <c r="I154" s="167"/>
      <c r="L154" s="163"/>
      <c r="N154" s="221">
        <f>N150+N151+N153</f>
        <v>294.07724999999999</v>
      </c>
      <c r="O154" s="222"/>
      <c r="Q154" s="233"/>
      <c r="CF154" s="168"/>
      <c r="CM154" s="169"/>
      <c r="DM154" s="164" t="s">
        <v>301</v>
      </c>
      <c r="DN154" s="164" t="s">
        <v>83</v>
      </c>
      <c r="DO154" s="14" t="s">
        <v>90</v>
      </c>
      <c r="DP154" s="14" t="s">
        <v>32</v>
      </c>
      <c r="DQ154" s="14" t="s">
        <v>74</v>
      </c>
      <c r="DR154" s="164" t="s">
        <v>282</v>
      </c>
    </row>
    <row r="155" spans="2:136" s="12" customFormat="1" x14ac:dyDescent="0.2">
      <c r="B155" s="149"/>
      <c r="D155" s="138" t="s">
        <v>301</v>
      </c>
      <c r="E155" s="150" t="s">
        <v>1</v>
      </c>
      <c r="F155" s="151" t="s">
        <v>1095</v>
      </c>
      <c r="H155" s="152">
        <v>144.48400000000001</v>
      </c>
      <c r="I155" s="153"/>
      <c r="L155" s="149"/>
      <c r="N155" s="217">
        <f>N154*0.5</f>
        <v>147.038625</v>
      </c>
      <c r="O155" s="218"/>
      <c r="Q155" s="231"/>
      <c r="CF155" s="154"/>
      <c r="CM155" s="155"/>
      <c r="DM155" s="150" t="s">
        <v>301</v>
      </c>
      <c r="DN155" s="150" t="s">
        <v>83</v>
      </c>
      <c r="DO155" s="12" t="s">
        <v>83</v>
      </c>
      <c r="DP155" s="12" t="s">
        <v>32</v>
      </c>
      <c r="DQ155" s="12" t="s">
        <v>81</v>
      </c>
      <c r="DR155" s="150" t="s">
        <v>282</v>
      </c>
    </row>
    <row r="156" spans="2:136" s="12" customFormat="1" x14ac:dyDescent="0.2">
      <c r="B156" s="149"/>
      <c r="D156" s="138"/>
      <c r="E156" s="150"/>
      <c r="F156" s="151"/>
      <c r="H156" s="152"/>
      <c r="I156" s="153"/>
      <c r="L156" s="149"/>
      <c r="N156" s="310">
        <f>N155-H155</f>
        <v>2.5546249999999873</v>
      </c>
      <c r="O156" s="218"/>
      <c r="Q156" s="231"/>
      <c r="CF156" s="154"/>
      <c r="CM156" s="155"/>
      <c r="DM156" s="150"/>
      <c r="DN156" s="150"/>
      <c r="DR156" s="150"/>
    </row>
    <row r="157" spans="2:136" s="1" customFormat="1" ht="24.2" customHeight="1" x14ac:dyDescent="0.2">
      <c r="B157" s="124"/>
      <c r="C157" s="125" t="s">
        <v>318</v>
      </c>
      <c r="D157" s="125" t="s">
        <v>284</v>
      </c>
      <c r="E157" s="126" t="s">
        <v>375</v>
      </c>
      <c r="F157" s="127" t="s">
        <v>376</v>
      </c>
      <c r="G157" s="128" t="s">
        <v>366</v>
      </c>
      <c r="H157" s="129">
        <v>144.48400000000001</v>
      </c>
      <c r="I157" s="130">
        <v>390.55963566140201</v>
      </c>
      <c r="J157" s="131">
        <f>ROUND(I157*H157,2)</f>
        <v>56429.62</v>
      </c>
      <c r="K157" s="127" t="s">
        <v>293</v>
      </c>
      <c r="L157" s="198">
        <f>S157</f>
        <v>0</v>
      </c>
      <c r="M157" s="206">
        <f>ROUND(L157*I157,2)</f>
        <v>0</v>
      </c>
      <c r="N157" s="211">
        <f>N146</f>
        <v>2.5546249999999873</v>
      </c>
      <c r="O157" s="212">
        <f>ROUND(N157*I157,2)</f>
        <v>997.73</v>
      </c>
      <c r="P157" s="207">
        <f>H157-L157-N157</f>
        <v>141.92937500000002</v>
      </c>
      <c r="Q157" s="228">
        <f>ROUND(P157*I157,2)</f>
        <v>55431.88</v>
      </c>
      <c r="R157" s="199"/>
      <c r="S157" s="200">
        <f>W157+Y157+AA157+AC157+AE157+AG157+AI157+AK157</f>
        <v>0</v>
      </c>
      <c r="T157" s="200">
        <f>ROUND(S157*I157,2)</f>
        <v>0</v>
      </c>
      <c r="U157" s="200">
        <f>H157-S157</f>
        <v>144.48400000000001</v>
      </c>
      <c r="V157" s="200">
        <f>ROUND(U157*I157,2)</f>
        <v>56429.62</v>
      </c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CF157" s="132" t="s">
        <v>1</v>
      </c>
      <c r="CG157" s="133" t="s">
        <v>40</v>
      </c>
      <c r="CI157" s="134">
        <f>CH157*H157</f>
        <v>0</v>
      </c>
      <c r="CJ157" s="134">
        <v>0</v>
      </c>
      <c r="CK157" s="134">
        <f>CJ157*H157</f>
        <v>0</v>
      </c>
      <c r="CL157" s="134">
        <v>0</v>
      </c>
      <c r="CM157" s="135">
        <f>CL157*H157</f>
        <v>0</v>
      </c>
      <c r="DK157" s="136" t="s">
        <v>95</v>
      </c>
      <c r="DM157" s="136" t="s">
        <v>284</v>
      </c>
      <c r="DN157" s="136" t="s">
        <v>83</v>
      </c>
      <c r="DR157" s="16" t="s">
        <v>282</v>
      </c>
      <c r="DX157" s="137">
        <f>IF(CG157="základní",J157,0)</f>
        <v>56429.62</v>
      </c>
      <c r="DY157" s="137">
        <f>IF(CG157="snížená",J157,0)</f>
        <v>0</v>
      </c>
      <c r="DZ157" s="137">
        <f>IF(CG157="zákl. přenesená",J157,0)</f>
        <v>0</v>
      </c>
      <c r="EA157" s="137">
        <f>IF(CG157="sníž. přenesená",J157,0)</f>
        <v>0</v>
      </c>
      <c r="EB157" s="137">
        <f>IF(CG157="nulová",J157,0)</f>
        <v>0</v>
      </c>
      <c r="EC157" s="16" t="s">
        <v>81</v>
      </c>
      <c r="ED157" s="137">
        <f>ROUND(I157*H157,2)</f>
        <v>56429.62</v>
      </c>
      <c r="EE157" s="16" t="s">
        <v>95</v>
      </c>
      <c r="EF157" s="136" t="s">
        <v>377</v>
      </c>
    </row>
    <row r="158" spans="2:136" s="1" customFormat="1" ht="39" x14ac:dyDescent="0.2">
      <c r="B158" s="31"/>
      <c r="D158" s="138" t="s">
        <v>289</v>
      </c>
      <c r="F158" s="139" t="s">
        <v>378</v>
      </c>
      <c r="I158" s="140"/>
      <c r="L158" s="31"/>
      <c r="N158" s="213"/>
      <c r="O158" s="214"/>
      <c r="Q158" s="229"/>
      <c r="CF158" s="141"/>
      <c r="CM158" s="50"/>
      <c r="DM158" s="16" t="s">
        <v>289</v>
      </c>
      <c r="DN158" s="16" t="s">
        <v>83</v>
      </c>
    </row>
    <row r="159" spans="2:136" s="1" customFormat="1" ht="39" x14ac:dyDescent="0.2">
      <c r="B159" s="31"/>
      <c r="D159" s="138" t="s">
        <v>299</v>
      </c>
      <c r="F159" s="142" t="s">
        <v>1090</v>
      </c>
      <c r="I159" s="140"/>
      <c r="L159" s="31"/>
      <c r="N159" s="213"/>
      <c r="O159" s="214"/>
      <c r="Q159" s="229"/>
      <c r="CF159" s="141"/>
      <c r="CM159" s="50"/>
      <c r="DM159" s="16" t="s">
        <v>299</v>
      </c>
      <c r="DN159" s="16" t="s">
        <v>83</v>
      </c>
    </row>
    <row r="160" spans="2:136" s="1" customFormat="1" ht="24.2" customHeight="1" x14ac:dyDescent="0.2">
      <c r="B160" s="124"/>
      <c r="C160" s="125" t="s">
        <v>323</v>
      </c>
      <c r="D160" s="125" t="s">
        <v>284</v>
      </c>
      <c r="E160" s="126" t="s">
        <v>380</v>
      </c>
      <c r="F160" s="127" t="s">
        <v>381</v>
      </c>
      <c r="G160" s="128" t="s">
        <v>366</v>
      </c>
      <c r="H160" s="129">
        <v>57.793999999999997</v>
      </c>
      <c r="I160" s="130">
        <v>650.27058629099099</v>
      </c>
      <c r="J160" s="131">
        <f>ROUND(I160*H160,2)</f>
        <v>37581.74</v>
      </c>
      <c r="K160" s="127" t="s">
        <v>293</v>
      </c>
      <c r="L160" s="198">
        <f>S160</f>
        <v>0</v>
      </c>
      <c r="M160" s="206">
        <f>ROUND(L160*I160,2)</f>
        <v>0</v>
      </c>
      <c r="N160" s="211">
        <f>N164</f>
        <v>1.0215999999999994</v>
      </c>
      <c r="O160" s="212">
        <f>ROUND(N160*I160,2)</f>
        <v>664.32</v>
      </c>
      <c r="P160" s="207">
        <f>H160-L160-N160</f>
        <v>56.772399999999998</v>
      </c>
      <c r="Q160" s="228">
        <f>ROUND(P160*I160,2)</f>
        <v>36917.42</v>
      </c>
      <c r="R160" s="199"/>
      <c r="S160" s="200">
        <f>W160+Y160+AA160+AC160+AE160+AG160+AI160+AK160</f>
        <v>0</v>
      </c>
      <c r="T160" s="200">
        <f>ROUND(S160*I160,2)</f>
        <v>0</v>
      </c>
      <c r="U160" s="200">
        <f>H160-S160</f>
        <v>57.793999999999997</v>
      </c>
      <c r="V160" s="200">
        <f>ROUND(U160*I160,2)</f>
        <v>37581.74</v>
      </c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CF160" s="132" t="s">
        <v>1</v>
      </c>
      <c r="CG160" s="133" t="s">
        <v>40</v>
      </c>
      <c r="CI160" s="134">
        <f>CH160*H160</f>
        <v>0</v>
      </c>
      <c r="CJ160" s="134">
        <v>0</v>
      </c>
      <c r="CK160" s="134">
        <f>CJ160*H160</f>
        <v>0</v>
      </c>
      <c r="CL160" s="134">
        <v>0</v>
      </c>
      <c r="CM160" s="135">
        <f>CL160*H160</f>
        <v>0</v>
      </c>
      <c r="DK160" s="136" t="s">
        <v>95</v>
      </c>
      <c r="DM160" s="136" t="s">
        <v>284</v>
      </c>
      <c r="DN160" s="136" t="s">
        <v>83</v>
      </c>
      <c r="DR160" s="16" t="s">
        <v>282</v>
      </c>
      <c r="DX160" s="137">
        <f>IF(CG160="základní",J160,0)</f>
        <v>37581.74</v>
      </c>
      <c r="DY160" s="137">
        <f>IF(CG160="snížená",J160,0)</f>
        <v>0</v>
      </c>
      <c r="DZ160" s="137">
        <f>IF(CG160="zákl. přenesená",J160,0)</f>
        <v>0</v>
      </c>
      <c r="EA160" s="137">
        <f>IF(CG160="sníž. přenesená",J160,0)</f>
        <v>0</v>
      </c>
      <c r="EB160" s="137">
        <f>IF(CG160="nulová",J160,0)</f>
        <v>0</v>
      </c>
      <c r="EC160" s="16" t="s">
        <v>81</v>
      </c>
      <c r="ED160" s="137">
        <f>ROUND(I160*H160,2)</f>
        <v>37581.74</v>
      </c>
      <c r="EE160" s="16" t="s">
        <v>95</v>
      </c>
      <c r="EF160" s="136" t="s">
        <v>382</v>
      </c>
    </row>
    <row r="161" spans="2:136" s="1" customFormat="1" ht="29.25" x14ac:dyDescent="0.2">
      <c r="B161" s="31"/>
      <c r="D161" s="138" t="s">
        <v>289</v>
      </c>
      <c r="F161" s="139" t="s">
        <v>383</v>
      </c>
      <c r="I161" s="140"/>
      <c r="L161" s="31"/>
      <c r="N161" s="213"/>
      <c r="O161" s="214"/>
      <c r="Q161" s="229"/>
      <c r="CF161" s="141"/>
      <c r="CM161" s="50"/>
      <c r="DM161" s="16" t="s">
        <v>289</v>
      </c>
      <c r="DN161" s="16" t="s">
        <v>83</v>
      </c>
    </row>
    <row r="162" spans="2:136" s="11" customFormat="1" x14ac:dyDescent="0.2">
      <c r="B162" s="143"/>
      <c r="D162" s="138" t="s">
        <v>301</v>
      </c>
      <c r="E162" s="144" t="s">
        <v>1</v>
      </c>
      <c r="F162" s="145" t="s">
        <v>384</v>
      </c>
      <c r="H162" s="144" t="s">
        <v>1</v>
      </c>
      <c r="I162" s="146"/>
      <c r="L162" s="143"/>
      <c r="N162" s="215"/>
      <c r="O162" s="216"/>
      <c r="Q162" s="230"/>
      <c r="CF162" s="147"/>
      <c r="CM162" s="148"/>
      <c r="DM162" s="144" t="s">
        <v>301</v>
      </c>
      <c r="DN162" s="144" t="s">
        <v>83</v>
      </c>
      <c r="DO162" s="11" t="s">
        <v>81</v>
      </c>
      <c r="DP162" s="11" t="s">
        <v>32</v>
      </c>
      <c r="DQ162" s="11" t="s">
        <v>74</v>
      </c>
      <c r="DR162" s="144" t="s">
        <v>282</v>
      </c>
    </row>
    <row r="163" spans="2:136" s="12" customFormat="1" x14ac:dyDescent="0.2">
      <c r="B163" s="149"/>
      <c r="D163" s="138" t="s">
        <v>301</v>
      </c>
      <c r="E163" s="150" t="s">
        <v>1</v>
      </c>
      <c r="F163" s="151" t="s">
        <v>1096</v>
      </c>
      <c r="H163" s="152">
        <v>57.793999999999997</v>
      </c>
      <c r="I163" s="153"/>
      <c r="L163" s="149"/>
      <c r="N163" s="217">
        <f>(147.039+147.039)*0.2</f>
        <v>58.815599999999996</v>
      </c>
      <c r="O163" s="218" t="s">
        <v>3638</v>
      </c>
      <c r="Q163" s="231"/>
      <c r="CF163" s="154"/>
      <c r="CM163" s="155"/>
      <c r="DM163" s="150" t="s">
        <v>301</v>
      </c>
      <c r="DN163" s="150" t="s">
        <v>83</v>
      </c>
      <c r="DO163" s="12" t="s">
        <v>83</v>
      </c>
      <c r="DP163" s="12" t="s">
        <v>32</v>
      </c>
      <c r="DQ163" s="12" t="s">
        <v>81</v>
      </c>
      <c r="DR163" s="150" t="s">
        <v>282</v>
      </c>
    </row>
    <row r="164" spans="2:136" s="12" customFormat="1" x14ac:dyDescent="0.2">
      <c r="B164" s="149"/>
      <c r="D164" s="138"/>
      <c r="E164" s="150"/>
      <c r="F164" s="151"/>
      <c r="H164" s="152"/>
      <c r="I164" s="153"/>
      <c r="L164" s="149"/>
      <c r="N164" s="310">
        <f>N163-H163</f>
        <v>1.0215999999999994</v>
      </c>
      <c r="O164" s="218"/>
      <c r="Q164" s="231"/>
      <c r="CF164" s="154"/>
      <c r="CM164" s="155"/>
      <c r="DM164" s="150"/>
      <c r="DN164" s="150"/>
      <c r="DR164" s="150"/>
    </row>
    <row r="165" spans="2:136" s="1" customFormat="1" ht="18" customHeight="1" x14ac:dyDescent="0.2">
      <c r="B165" s="124"/>
      <c r="C165" s="125" t="s">
        <v>328</v>
      </c>
      <c r="D165" s="125" t="s">
        <v>284</v>
      </c>
      <c r="E165" s="126" t="s">
        <v>387</v>
      </c>
      <c r="F165" s="127" t="s">
        <v>388</v>
      </c>
      <c r="G165" s="128" t="s">
        <v>287</v>
      </c>
      <c r="H165" s="129">
        <v>638.44000000000005</v>
      </c>
      <c r="I165" s="130">
        <v>156.6895922457376</v>
      </c>
      <c r="J165" s="131">
        <f>ROUND(I165*H165,2)</f>
        <v>100036.9</v>
      </c>
      <c r="K165" s="127" t="s">
        <v>293</v>
      </c>
      <c r="L165" s="198">
        <f>S165</f>
        <v>0</v>
      </c>
      <c r="M165" s="206">
        <f>ROUND(L165*I165,2)</f>
        <v>0</v>
      </c>
      <c r="N165" s="211">
        <f>N169</f>
        <v>51.699999999999932</v>
      </c>
      <c r="O165" s="212">
        <f>ROUND(N165*I165,2)</f>
        <v>8100.85</v>
      </c>
      <c r="P165" s="207">
        <f>H165-L165-N165</f>
        <v>586.74000000000012</v>
      </c>
      <c r="Q165" s="228">
        <f>ROUND(P165*I165,2)</f>
        <v>91936.05</v>
      </c>
      <c r="R165" s="199"/>
      <c r="S165" s="200">
        <f>W165+Y165+AA165+AC165+AE165+AG165+AI165+AK165</f>
        <v>0</v>
      </c>
      <c r="T165" s="200">
        <f>ROUND(S165*I165,2)</f>
        <v>0</v>
      </c>
      <c r="U165" s="200">
        <f>H165-S165</f>
        <v>638.44000000000005</v>
      </c>
      <c r="V165" s="200">
        <f>ROUND(U165*I165,2)</f>
        <v>100036.9</v>
      </c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CF165" s="132" t="s">
        <v>1</v>
      </c>
      <c r="CG165" s="133" t="s">
        <v>40</v>
      </c>
      <c r="CI165" s="134">
        <f>CH165*H165</f>
        <v>0</v>
      </c>
      <c r="CJ165" s="134">
        <v>5.9000000000000003E-4</v>
      </c>
      <c r="CK165" s="134">
        <f>CJ165*H165</f>
        <v>0.37667960000000006</v>
      </c>
      <c r="CL165" s="134">
        <v>0</v>
      </c>
      <c r="CM165" s="135">
        <f>CL165*H165</f>
        <v>0</v>
      </c>
      <c r="DK165" s="136" t="s">
        <v>95</v>
      </c>
      <c r="DM165" s="136" t="s">
        <v>284</v>
      </c>
      <c r="DN165" s="136" t="s">
        <v>83</v>
      </c>
      <c r="DR165" s="16" t="s">
        <v>282</v>
      </c>
      <c r="DX165" s="137">
        <f>IF(CG165="základní",J165,0)</f>
        <v>100036.9</v>
      </c>
      <c r="DY165" s="137">
        <f>IF(CG165="snížená",J165,0)</f>
        <v>0</v>
      </c>
      <c r="DZ165" s="137">
        <f>IF(CG165="zákl. přenesená",J165,0)</f>
        <v>0</v>
      </c>
      <c r="EA165" s="137">
        <f>IF(CG165="sníž. přenesená",J165,0)</f>
        <v>0</v>
      </c>
      <c r="EB165" s="137">
        <f>IF(CG165="nulová",J165,0)</f>
        <v>0</v>
      </c>
      <c r="EC165" s="16" t="s">
        <v>81</v>
      </c>
      <c r="ED165" s="137">
        <f>ROUND(I165*H165,2)</f>
        <v>100036.9</v>
      </c>
      <c r="EE165" s="16" t="s">
        <v>95</v>
      </c>
      <c r="EF165" s="136" t="s">
        <v>389</v>
      </c>
    </row>
    <row r="166" spans="2:136" s="1" customFormat="1" ht="19.5" x14ac:dyDescent="0.2">
      <c r="B166" s="31"/>
      <c r="D166" s="138" t="s">
        <v>289</v>
      </c>
      <c r="F166" s="139" t="s">
        <v>390</v>
      </c>
      <c r="I166" s="140"/>
      <c r="L166" s="31"/>
      <c r="N166" s="213"/>
      <c r="O166" s="214"/>
      <c r="Q166" s="229"/>
      <c r="CF166" s="141"/>
      <c r="CM166" s="50"/>
      <c r="DM166" s="16" t="s">
        <v>289</v>
      </c>
      <c r="DN166" s="16" t="s">
        <v>83</v>
      </c>
    </row>
    <row r="167" spans="2:136" s="1" customFormat="1" ht="29.25" x14ac:dyDescent="0.2">
      <c r="B167" s="31"/>
      <c r="D167" s="138" t="s">
        <v>299</v>
      </c>
      <c r="F167" s="142" t="s">
        <v>1083</v>
      </c>
      <c r="I167" s="140"/>
      <c r="L167" s="31"/>
      <c r="N167" s="213"/>
      <c r="O167" s="214"/>
      <c r="Q167" s="229"/>
      <c r="CF167" s="141"/>
      <c r="CM167" s="50"/>
      <c r="DM167" s="16" t="s">
        <v>299</v>
      </c>
      <c r="DN167" s="16" t="s">
        <v>83</v>
      </c>
    </row>
    <row r="168" spans="2:136" s="12" customFormat="1" x14ac:dyDescent="0.2">
      <c r="B168" s="149"/>
      <c r="D168" s="138" t="s">
        <v>301</v>
      </c>
      <c r="E168" s="150" t="s">
        <v>1</v>
      </c>
      <c r="F168" s="151" t="s">
        <v>1097</v>
      </c>
      <c r="H168" s="152">
        <v>638.44000000000005</v>
      </c>
      <c r="I168" s="153"/>
      <c r="L168" s="149"/>
      <c r="N168" s="217">
        <f>156.85*2.2*2</f>
        <v>690.14</v>
      </c>
      <c r="O168" s="218" t="s">
        <v>3639</v>
      </c>
      <c r="Q168" s="231"/>
      <c r="CF168" s="154"/>
      <c r="CM168" s="155"/>
      <c r="DM168" s="150" t="s">
        <v>301</v>
      </c>
      <c r="DN168" s="150" t="s">
        <v>83</v>
      </c>
      <c r="DO168" s="12" t="s">
        <v>83</v>
      </c>
      <c r="DP168" s="12" t="s">
        <v>32</v>
      </c>
      <c r="DQ168" s="12" t="s">
        <v>81</v>
      </c>
      <c r="DR168" s="150" t="s">
        <v>282</v>
      </c>
    </row>
    <row r="169" spans="2:136" s="12" customFormat="1" x14ac:dyDescent="0.2">
      <c r="B169" s="149"/>
      <c r="D169" s="138"/>
      <c r="E169" s="150"/>
      <c r="F169" s="151"/>
      <c r="H169" s="152"/>
      <c r="I169" s="153"/>
      <c r="L169" s="149"/>
      <c r="N169" s="310">
        <f>N168-H168</f>
        <v>51.699999999999932</v>
      </c>
      <c r="O169" s="218"/>
      <c r="Q169" s="231"/>
      <c r="CF169" s="154"/>
      <c r="CM169" s="155"/>
      <c r="DM169" s="150"/>
      <c r="DN169" s="150"/>
      <c r="DR169" s="150"/>
    </row>
    <row r="170" spans="2:136" s="1" customFormat="1" ht="14.45" customHeight="1" x14ac:dyDescent="0.2">
      <c r="B170" s="124"/>
      <c r="C170" s="125" t="s">
        <v>335</v>
      </c>
      <c r="D170" s="125" t="s">
        <v>284</v>
      </c>
      <c r="E170" s="126" t="s">
        <v>393</v>
      </c>
      <c r="F170" s="127" t="s">
        <v>394</v>
      </c>
      <c r="G170" s="128" t="s">
        <v>287</v>
      </c>
      <c r="H170" s="129">
        <v>638.44000000000005</v>
      </c>
      <c r="I170" s="130">
        <v>103.33666316345877</v>
      </c>
      <c r="J170" s="131">
        <f>ROUND(I170*H170,2)</f>
        <v>65974.259999999995</v>
      </c>
      <c r="K170" s="127" t="s">
        <v>293</v>
      </c>
      <c r="L170" s="198">
        <f>S170</f>
        <v>0</v>
      </c>
      <c r="M170" s="206">
        <f>ROUND(L170*I170,2)</f>
        <v>0</v>
      </c>
      <c r="N170" s="211">
        <f>N165</f>
        <v>51.699999999999932</v>
      </c>
      <c r="O170" s="212">
        <f>ROUND(N170*I170,2)</f>
        <v>5342.51</v>
      </c>
      <c r="P170" s="207">
        <f>H170-L170-N170</f>
        <v>586.74000000000012</v>
      </c>
      <c r="Q170" s="228">
        <f>ROUND(P170*I170,2)</f>
        <v>60631.75</v>
      </c>
      <c r="R170" s="199"/>
      <c r="S170" s="200">
        <f>W170+Y170+AA170+AC170+AE170+AG170+AI170+AK170</f>
        <v>0</v>
      </c>
      <c r="T170" s="200">
        <f>ROUND(S170*I170,2)</f>
        <v>0</v>
      </c>
      <c r="U170" s="200">
        <f>H170-S170</f>
        <v>638.44000000000005</v>
      </c>
      <c r="V170" s="200">
        <f>ROUND(U170*I170,2)</f>
        <v>65974.259999999995</v>
      </c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CF170" s="132" t="s">
        <v>1</v>
      </c>
      <c r="CG170" s="133" t="s">
        <v>40</v>
      </c>
      <c r="CI170" s="134">
        <f>CH170*H170</f>
        <v>0</v>
      </c>
      <c r="CJ170" s="134">
        <v>0</v>
      </c>
      <c r="CK170" s="134">
        <f>CJ170*H170</f>
        <v>0</v>
      </c>
      <c r="CL170" s="134">
        <v>0</v>
      </c>
      <c r="CM170" s="135">
        <f>CL170*H170</f>
        <v>0</v>
      </c>
      <c r="DK170" s="136" t="s">
        <v>95</v>
      </c>
      <c r="DM170" s="136" t="s">
        <v>284</v>
      </c>
      <c r="DN170" s="136" t="s">
        <v>83</v>
      </c>
      <c r="DR170" s="16" t="s">
        <v>282</v>
      </c>
      <c r="DX170" s="137">
        <f>IF(CG170="základní",J170,0)</f>
        <v>65974.259999999995</v>
      </c>
      <c r="DY170" s="137">
        <f>IF(CG170="snížená",J170,0)</f>
        <v>0</v>
      </c>
      <c r="DZ170" s="137">
        <f>IF(CG170="zákl. přenesená",J170,0)</f>
        <v>0</v>
      </c>
      <c r="EA170" s="137">
        <f>IF(CG170="sníž. přenesená",J170,0)</f>
        <v>0</v>
      </c>
      <c r="EB170" s="137">
        <f>IF(CG170="nulová",J170,0)</f>
        <v>0</v>
      </c>
      <c r="EC170" s="16" t="s">
        <v>81</v>
      </c>
      <c r="ED170" s="137">
        <f>ROUND(I170*H170,2)</f>
        <v>65974.259999999995</v>
      </c>
      <c r="EE170" s="16" t="s">
        <v>95</v>
      </c>
      <c r="EF170" s="136" t="s">
        <v>395</v>
      </c>
    </row>
    <row r="171" spans="2:136" s="1" customFormat="1" ht="19.5" x14ac:dyDescent="0.2">
      <c r="B171" s="31"/>
      <c r="D171" s="138" t="s">
        <v>289</v>
      </c>
      <c r="F171" s="139" t="s">
        <v>396</v>
      </c>
      <c r="I171" s="140"/>
      <c r="L171" s="31"/>
      <c r="N171" s="213"/>
      <c r="O171" s="214"/>
      <c r="Q171" s="229"/>
      <c r="CF171" s="141"/>
      <c r="CM171" s="50"/>
      <c r="DM171" s="16" t="s">
        <v>289</v>
      </c>
      <c r="DN171" s="16" t="s">
        <v>83</v>
      </c>
    </row>
    <row r="172" spans="2:136" s="1" customFormat="1" ht="37.9" customHeight="1" x14ac:dyDescent="0.2">
      <c r="B172" s="124"/>
      <c r="C172" s="125" t="s">
        <v>341</v>
      </c>
      <c r="D172" s="125" t="s">
        <v>284</v>
      </c>
      <c r="E172" s="126" t="s">
        <v>398</v>
      </c>
      <c r="F172" s="127" t="s">
        <v>399</v>
      </c>
      <c r="G172" s="128" t="s">
        <v>366</v>
      </c>
      <c r="H172" s="129">
        <v>293.32100000000003</v>
      </c>
      <c r="I172" s="130">
        <v>262.06861194786097</v>
      </c>
      <c r="J172" s="131">
        <f>ROUND(I172*H172,2)</f>
        <v>76870.23</v>
      </c>
      <c r="K172" s="127" t="s">
        <v>293</v>
      </c>
      <c r="L172" s="198">
        <f>S172</f>
        <v>0</v>
      </c>
      <c r="M172" s="206">
        <f>ROUND(L172*I172,2)</f>
        <v>0</v>
      </c>
      <c r="N172" s="211">
        <f>N179</f>
        <v>5.1099999999999568</v>
      </c>
      <c r="O172" s="212">
        <f>ROUND(N172*I172,2)</f>
        <v>1339.17</v>
      </c>
      <c r="P172" s="207">
        <f>H172-L172-N172</f>
        <v>288.21100000000007</v>
      </c>
      <c r="Q172" s="228">
        <f>ROUND(P172*I172,2)</f>
        <v>75531.06</v>
      </c>
      <c r="R172" s="199"/>
      <c r="S172" s="200">
        <f>W172+Y172+AA172+AC172+AE172+AG172+AI172+AK172</f>
        <v>0</v>
      </c>
      <c r="T172" s="200">
        <f>ROUND(S172*I172,2)</f>
        <v>0</v>
      </c>
      <c r="U172" s="200">
        <f>H172-S172</f>
        <v>293.32100000000003</v>
      </c>
      <c r="V172" s="200">
        <f>ROUND(U172*I172,2)</f>
        <v>76870.23</v>
      </c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CF172" s="132" t="s">
        <v>1</v>
      </c>
      <c r="CG172" s="133" t="s">
        <v>40</v>
      </c>
      <c r="CI172" s="134">
        <f>CH172*H172</f>
        <v>0</v>
      </c>
      <c r="CJ172" s="134">
        <v>0</v>
      </c>
      <c r="CK172" s="134">
        <f>CJ172*H172</f>
        <v>0</v>
      </c>
      <c r="CL172" s="134">
        <v>0</v>
      </c>
      <c r="CM172" s="135">
        <f>CL172*H172</f>
        <v>0</v>
      </c>
      <c r="DK172" s="136" t="s">
        <v>95</v>
      </c>
      <c r="DM172" s="136" t="s">
        <v>284</v>
      </c>
      <c r="DN172" s="136" t="s">
        <v>83</v>
      </c>
      <c r="DR172" s="16" t="s">
        <v>282</v>
      </c>
      <c r="DX172" s="137">
        <f>IF(CG172="základní",J172,0)</f>
        <v>76870.23</v>
      </c>
      <c r="DY172" s="137">
        <f>IF(CG172="snížená",J172,0)</f>
        <v>0</v>
      </c>
      <c r="DZ172" s="137">
        <f>IF(CG172="zákl. přenesená",J172,0)</f>
        <v>0</v>
      </c>
      <c r="EA172" s="137">
        <f>IF(CG172="sníž. přenesená",J172,0)</f>
        <v>0</v>
      </c>
      <c r="EB172" s="137">
        <f>IF(CG172="nulová",J172,0)</f>
        <v>0</v>
      </c>
      <c r="EC172" s="16" t="s">
        <v>81</v>
      </c>
      <c r="ED172" s="137">
        <f>ROUND(I172*H172,2)</f>
        <v>76870.23</v>
      </c>
      <c r="EE172" s="16" t="s">
        <v>95</v>
      </c>
      <c r="EF172" s="136" t="s">
        <v>400</v>
      </c>
    </row>
    <row r="173" spans="2:136" s="1" customFormat="1" ht="39" x14ac:dyDescent="0.2">
      <c r="B173" s="31"/>
      <c r="D173" s="138" t="s">
        <v>289</v>
      </c>
      <c r="F173" s="139" t="s">
        <v>401</v>
      </c>
      <c r="I173" s="140"/>
      <c r="L173" s="31"/>
      <c r="N173" s="213"/>
      <c r="O173" s="214"/>
      <c r="Q173" s="229"/>
      <c r="CF173" s="141"/>
      <c r="CM173" s="50"/>
      <c r="DM173" s="16" t="s">
        <v>289</v>
      </c>
      <c r="DN173" s="16" t="s">
        <v>83</v>
      </c>
    </row>
    <row r="174" spans="2:136" s="11" customFormat="1" x14ac:dyDescent="0.2">
      <c r="B174" s="143"/>
      <c r="D174" s="138" t="s">
        <v>301</v>
      </c>
      <c r="E174" s="144" t="s">
        <v>1</v>
      </c>
      <c r="F174" s="145" t="s">
        <v>402</v>
      </c>
      <c r="H174" s="144" t="s">
        <v>1</v>
      </c>
      <c r="I174" s="146"/>
      <c r="L174" s="143"/>
      <c r="N174" s="215"/>
      <c r="O174" s="216"/>
      <c r="Q174" s="230"/>
      <c r="CF174" s="147"/>
      <c r="CM174" s="148"/>
      <c r="DM174" s="144" t="s">
        <v>301</v>
      </c>
      <c r="DN174" s="144" t="s">
        <v>83</v>
      </c>
      <c r="DO174" s="11" t="s">
        <v>81</v>
      </c>
      <c r="DP174" s="11" t="s">
        <v>32</v>
      </c>
      <c r="DQ174" s="11" t="s">
        <v>74</v>
      </c>
      <c r="DR174" s="144" t="s">
        <v>282</v>
      </c>
    </row>
    <row r="175" spans="2:136" s="12" customFormat="1" x14ac:dyDescent="0.2">
      <c r="B175" s="149"/>
      <c r="D175" s="138" t="s">
        <v>301</v>
      </c>
      <c r="E175" s="150" t="s">
        <v>1</v>
      </c>
      <c r="F175" s="151" t="s">
        <v>1098</v>
      </c>
      <c r="H175" s="152">
        <v>288.96800000000002</v>
      </c>
      <c r="I175" s="153"/>
      <c r="L175" s="149"/>
      <c r="N175" s="217">
        <f>147.039+147.039</f>
        <v>294.07799999999997</v>
      </c>
      <c r="O175" s="218" t="s">
        <v>3640</v>
      </c>
      <c r="Q175" s="231"/>
      <c r="CF175" s="154"/>
      <c r="CM175" s="155"/>
      <c r="DM175" s="150" t="s">
        <v>301</v>
      </c>
      <c r="DN175" s="150" t="s">
        <v>83</v>
      </c>
      <c r="DO175" s="12" t="s">
        <v>83</v>
      </c>
      <c r="DP175" s="12" t="s">
        <v>32</v>
      </c>
      <c r="DQ175" s="12" t="s">
        <v>74</v>
      </c>
      <c r="DR175" s="150" t="s">
        <v>282</v>
      </c>
    </row>
    <row r="176" spans="2:136" s="11" customFormat="1" x14ac:dyDescent="0.2">
      <c r="B176" s="143"/>
      <c r="D176" s="138" t="s">
        <v>301</v>
      </c>
      <c r="E176" s="144" t="s">
        <v>1</v>
      </c>
      <c r="F176" s="145" t="s">
        <v>976</v>
      </c>
      <c r="H176" s="144" t="s">
        <v>1</v>
      </c>
      <c r="I176" s="146"/>
      <c r="L176" s="143"/>
      <c r="N176" s="215"/>
      <c r="O176" s="216"/>
      <c r="Q176" s="230"/>
      <c r="CF176" s="147"/>
      <c r="CM176" s="148"/>
      <c r="DM176" s="144" t="s">
        <v>301</v>
      </c>
      <c r="DN176" s="144" t="s">
        <v>83</v>
      </c>
      <c r="DO176" s="11" t="s">
        <v>81</v>
      </c>
      <c r="DP176" s="11" t="s">
        <v>32</v>
      </c>
      <c r="DQ176" s="11" t="s">
        <v>74</v>
      </c>
      <c r="DR176" s="144" t="s">
        <v>282</v>
      </c>
    </row>
    <row r="177" spans="2:136" s="12" customFormat="1" x14ac:dyDescent="0.2">
      <c r="B177" s="149"/>
      <c r="D177" s="138" t="s">
        <v>301</v>
      </c>
      <c r="E177" s="150" t="s">
        <v>1</v>
      </c>
      <c r="F177" s="151" t="s">
        <v>1099</v>
      </c>
      <c r="H177" s="152">
        <v>4.3529999999999998</v>
      </c>
      <c r="I177" s="153"/>
      <c r="L177" s="149"/>
      <c r="N177" s="310">
        <f>H177</f>
        <v>4.3529999999999998</v>
      </c>
      <c r="O177" s="218"/>
      <c r="Q177" s="231"/>
      <c r="CF177" s="154"/>
      <c r="CM177" s="155"/>
      <c r="DM177" s="150" t="s">
        <v>301</v>
      </c>
      <c r="DN177" s="150" t="s">
        <v>83</v>
      </c>
      <c r="DO177" s="12" t="s">
        <v>83</v>
      </c>
      <c r="DP177" s="12" t="s">
        <v>32</v>
      </c>
      <c r="DQ177" s="12" t="s">
        <v>74</v>
      </c>
      <c r="DR177" s="150" t="s">
        <v>282</v>
      </c>
    </row>
    <row r="178" spans="2:136" s="13" customFormat="1" x14ac:dyDescent="0.2">
      <c r="B178" s="156"/>
      <c r="D178" s="138" t="s">
        <v>301</v>
      </c>
      <c r="E178" s="157" t="s">
        <v>1</v>
      </c>
      <c r="F178" s="158" t="s">
        <v>305</v>
      </c>
      <c r="H178" s="159">
        <v>293.32100000000003</v>
      </c>
      <c r="I178" s="160"/>
      <c r="L178" s="156"/>
      <c r="N178" s="311">
        <f>N175+N177</f>
        <v>298.43099999999998</v>
      </c>
      <c r="O178" s="220"/>
      <c r="Q178" s="232"/>
      <c r="CF178" s="161"/>
      <c r="CM178" s="162"/>
      <c r="DM178" s="157" t="s">
        <v>301</v>
      </c>
      <c r="DN178" s="157" t="s">
        <v>83</v>
      </c>
      <c r="DO178" s="13" t="s">
        <v>95</v>
      </c>
      <c r="DP178" s="13" t="s">
        <v>32</v>
      </c>
      <c r="DQ178" s="13" t="s">
        <v>81</v>
      </c>
      <c r="DR178" s="157" t="s">
        <v>282</v>
      </c>
    </row>
    <row r="179" spans="2:136" s="13" customFormat="1" x14ac:dyDescent="0.2">
      <c r="B179" s="156"/>
      <c r="D179" s="138"/>
      <c r="E179" s="157"/>
      <c r="F179" s="158"/>
      <c r="H179" s="159"/>
      <c r="I179" s="160"/>
      <c r="L179" s="156"/>
      <c r="N179" s="311">
        <f>N178-H178</f>
        <v>5.1099999999999568</v>
      </c>
      <c r="O179" s="220"/>
      <c r="Q179" s="232"/>
      <c r="CF179" s="161"/>
      <c r="CM179" s="162"/>
      <c r="DM179" s="157"/>
      <c r="DN179" s="157"/>
      <c r="DR179" s="157"/>
    </row>
    <row r="180" spans="2:136" s="1" customFormat="1" ht="37.9" customHeight="1" x14ac:dyDescent="0.2">
      <c r="B180" s="124"/>
      <c r="C180" s="125" t="s">
        <v>348</v>
      </c>
      <c r="D180" s="125" t="s">
        <v>284</v>
      </c>
      <c r="E180" s="126" t="s">
        <v>978</v>
      </c>
      <c r="F180" s="127" t="s">
        <v>979</v>
      </c>
      <c r="G180" s="128" t="s">
        <v>366</v>
      </c>
      <c r="H180" s="129">
        <v>26.844000000000001</v>
      </c>
      <c r="I180" s="130">
        <v>282.06861194786097</v>
      </c>
      <c r="J180" s="131">
        <f>ROUND(I180*H180,2)</f>
        <v>7571.85</v>
      </c>
      <c r="K180" s="127" t="s">
        <v>1</v>
      </c>
      <c r="L180" s="198">
        <f>S180</f>
        <v>0</v>
      </c>
      <c r="M180" s="206">
        <f>ROUND(L180*I180,2)</f>
        <v>0</v>
      </c>
      <c r="N180" s="211"/>
      <c r="O180" s="212">
        <f>ROUND(N180*I180,2)</f>
        <v>0</v>
      </c>
      <c r="P180" s="207">
        <f>H180-L180-N180</f>
        <v>26.844000000000001</v>
      </c>
      <c r="Q180" s="228">
        <f>ROUND(P180*I180,2)</f>
        <v>7571.85</v>
      </c>
      <c r="R180" s="199"/>
      <c r="S180" s="200">
        <f>W180+Y180+AA180+AC180+AE180+AG180+AI180+AK180</f>
        <v>0</v>
      </c>
      <c r="T180" s="200">
        <f>ROUND(S180*I180,2)</f>
        <v>0</v>
      </c>
      <c r="U180" s="200">
        <f>H180-S180</f>
        <v>26.844000000000001</v>
      </c>
      <c r="V180" s="200">
        <f>ROUND(U180*I180,2)</f>
        <v>7571.85</v>
      </c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CF180" s="132" t="s">
        <v>1</v>
      </c>
      <c r="CG180" s="133" t="s">
        <v>40</v>
      </c>
      <c r="CI180" s="134">
        <f>CH180*H180</f>
        <v>0</v>
      </c>
      <c r="CJ180" s="134">
        <v>0</v>
      </c>
      <c r="CK180" s="134">
        <f>CJ180*H180</f>
        <v>0</v>
      </c>
      <c r="CL180" s="134">
        <v>0</v>
      </c>
      <c r="CM180" s="135">
        <f>CL180*H180</f>
        <v>0</v>
      </c>
      <c r="DK180" s="136" t="s">
        <v>95</v>
      </c>
      <c r="DM180" s="136" t="s">
        <v>284</v>
      </c>
      <c r="DN180" s="136" t="s">
        <v>83</v>
      </c>
      <c r="DR180" s="16" t="s">
        <v>282</v>
      </c>
      <c r="DX180" s="137">
        <f>IF(CG180="základní",J180,0)</f>
        <v>7571.85</v>
      </c>
      <c r="DY180" s="137">
        <f>IF(CG180="snížená",J180,0)</f>
        <v>0</v>
      </c>
      <c r="DZ180" s="137">
        <f>IF(CG180="zákl. přenesená",J180,0)</f>
        <v>0</v>
      </c>
      <c r="EA180" s="137">
        <f>IF(CG180="sníž. přenesená",J180,0)</f>
        <v>0</v>
      </c>
      <c r="EB180" s="137">
        <f>IF(CG180="nulová",J180,0)</f>
        <v>0</v>
      </c>
      <c r="EC180" s="16" t="s">
        <v>81</v>
      </c>
      <c r="ED180" s="137">
        <f>ROUND(I180*H180,2)</f>
        <v>7571.85</v>
      </c>
      <c r="EE180" s="16" t="s">
        <v>95</v>
      </c>
      <c r="EF180" s="136" t="s">
        <v>980</v>
      </c>
    </row>
    <row r="181" spans="2:136" s="1" customFormat="1" ht="39" x14ac:dyDescent="0.2">
      <c r="B181" s="31"/>
      <c r="D181" s="138" t="s">
        <v>289</v>
      </c>
      <c r="F181" s="139" t="s">
        <v>401</v>
      </c>
      <c r="I181" s="140"/>
      <c r="L181" s="31"/>
      <c r="N181" s="213"/>
      <c r="O181" s="214"/>
      <c r="Q181" s="229"/>
      <c r="CF181" s="141"/>
      <c r="CM181" s="50"/>
      <c r="DM181" s="16" t="s">
        <v>289</v>
      </c>
      <c r="DN181" s="16" t="s">
        <v>83</v>
      </c>
    </row>
    <row r="182" spans="2:136" s="1" customFormat="1" ht="45" customHeight="1" x14ac:dyDescent="0.2">
      <c r="B182" s="124"/>
      <c r="C182" s="125" t="s">
        <v>327</v>
      </c>
      <c r="D182" s="125" t="s">
        <v>284</v>
      </c>
      <c r="E182" s="126" t="s">
        <v>405</v>
      </c>
      <c r="F182" s="127" t="s">
        <v>406</v>
      </c>
      <c r="G182" s="128" t="s">
        <v>366</v>
      </c>
      <c r="H182" s="129">
        <v>1466.605</v>
      </c>
      <c r="I182" s="130">
        <v>3.4208109177592001</v>
      </c>
      <c r="J182" s="131">
        <f>ROUND(I182*H182,2)</f>
        <v>5016.9799999999996</v>
      </c>
      <c r="K182" s="127" t="s">
        <v>293</v>
      </c>
      <c r="L182" s="198">
        <f>S182</f>
        <v>0</v>
      </c>
      <c r="M182" s="206">
        <f>ROUND(L182*I182,2)</f>
        <v>0</v>
      </c>
      <c r="N182" s="211">
        <f>N185</f>
        <v>25.549999999999955</v>
      </c>
      <c r="O182" s="212">
        <f>ROUND(N182*I182,2)</f>
        <v>87.4</v>
      </c>
      <c r="P182" s="207">
        <f>H182-L182-N182</f>
        <v>1441.0550000000001</v>
      </c>
      <c r="Q182" s="228">
        <f>ROUND(P182*I182,2)</f>
        <v>4929.58</v>
      </c>
      <c r="R182" s="199"/>
      <c r="S182" s="200">
        <f>W182+Y182+AA182+AC182+AE182+AG182+AI182+AK182</f>
        <v>0</v>
      </c>
      <c r="T182" s="200">
        <f>ROUND(S182*I182,2)</f>
        <v>0</v>
      </c>
      <c r="U182" s="200">
        <f>H182-S182</f>
        <v>1466.605</v>
      </c>
      <c r="V182" s="200">
        <f>ROUND(U182*I182,2)</f>
        <v>5016.9799999999996</v>
      </c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CF182" s="132" t="s">
        <v>1</v>
      </c>
      <c r="CG182" s="133" t="s">
        <v>40</v>
      </c>
      <c r="CI182" s="134">
        <f>CH182*H182</f>
        <v>0</v>
      </c>
      <c r="CJ182" s="134">
        <v>0</v>
      </c>
      <c r="CK182" s="134">
        <f>CJ182*H182</f>
        <v>0</v>
      </c>
      <c r="CL182" s="134">
        <v>0</v>
      </c>
      <c r="CM182" s="135">
        <f>CL182*H182</f>
        <v>0</v>
      </c>
      <c r="DK182" s="136" t="s">
        <v>95</v>
      </c>
      <c r="DM182" s="136" t="s">
        <v>284</v>
      </c>
      <c r="DN182" s="136" t="s">
        <v>83</v>
      </c>
      <c r="DR182" s="16" t="s">
        <v>282</v>
      </c>
      <c r="DX182" s="137">
        <f>IF(CG182="základní",J182,0)</f>
        <v>5016.9799999999996</v>
      </c>
      <c r="DY182" s="137">
        <f>IF(CG182="snížená",J182,0)</f>
        <v>0</v>
      </c>
      <c r="DZ182" s="137">
        <f>IF(CG182="zákl. přenesená",J182,0)</f>
        <v>0</v>
      </c>
      <c r="EA182" s="137">
        <f>IF(CG182="sníž. přenesená",J182,0)</f>
        <v>0</v>
      </c>
      <c r="EB182" s="137">
        <f>IF(CG182="nulová",J182,0)</f>
        <v>0</v>
      </c>
      <c r="EC182" s="16" t="s">
        <v>81</v>
      </c>
      <c r="ED182" s="137">
        <f>ROUND(I182*H182,2)</f>
        <v>5016.9799999999996</v>
      </c>
      <c r="EE182" s="16" t="s">
        <v>95</v>
      </c>
      <c r="EF182" s="136" t="s">
        <v>407</v>
      </c>
    </row>
    <row r="183" spans="2:136" s="1" customFormat="1" ht="48.75" x14ac:dyDescent="0.2">
      <c r="B183" s="31"/>
      <c r="D183" s="138" t="s">
        <v>289</v>
      </c>
      <c r="F183" s="139" t="s">
        <v>408</v>
      </c>
      <c r="I183" s="140"/>
      <c r="L183" s="31"/>
      <c r="N183" s="213"/>
      <c r="O183" s="214"/>
      <c r="Q183" s="229"/>
      <c r="CF183" s="141"/>
      <c r="CM183" s="50"/>
      <c r="DM183" s="16" t="s">
        <v>289</v>
      </c>
      <c r="DN183" s="16" t="s">
        <v>83</v>
      </c>
    </row>
    <row r="184" spans="2:136" s="12" customFormat="1" x14ac:dyDescent="0.2">
      <c r="B184" s="149"/>
      <c r="D184" s="138" t="s">
        <v>301</v>
      </c>
      <c r="F184" s="151" t="s">
        <v>1100</v>
      </c>
      <c r="H184" s="152">
        <v>1466.605</v>
      </c>
      <c r="I184" s="153"/>
      <c r="L184" s="149"/>
      <c r="N184" s="217">
        <f>298.431*5</f>
        <v>1492.155</v>
      </c>
      <c r="O184" s="218" t="s">
        <v>3641</v>
      </c>
      <c r="Q184" s="231"/>
      <c r="CF184" s="154"/>
      <c r="CM184" s="155"/>
      <c r="DM184" s="150" t="s">
        <v>301</v>
      </c>
      <c r="DN184" s="150" t="s">
        <v>83</v>
      </c>
      <c r="DO184" s="12" t="s">
        <v>83</v>
      </c>
      <c r="DP184" s="12" t="s">
        <v>3</v>
      </c>
      <c r="DQ184" s="12" t="s">
        <v>81</v>
      </c>
      <c r="DR184" s="150" t="s">
        <v>282</v>
      </c>
    </row>
    <row r="185" spans="2:136" s="12" customFormat="1" x14ac:dyDescent="0.2">
      <c r="B185" s="149"/>
      <c r="D185" s="138"/>
      <c r="F185" s="151"/>
      <c r="H185" s="152"/>
      <c r="I185" s="153"/>
      <c r="L185" s="149"/>
      <c r="N185" s="310">
        <f>N184-H184</f>
        <v>25.549999999999955</v>
      </c>
      <c r="O185" s="218"/>
      <c r="Q185" s="231"/>
      <c r="CF185" s="154"/>
      <c r="CM185" s="155"/>
      <c r="DM185" s="150"/>
      <c r="DN185" s="150"/>
      <c r="DR185" s="150"/>
    </row>
    <row r="186" spans="2:136" s="1" customFormat="1" ht="37.9" customHeight="1" x14ac:dyDescent="0.2">
      <c r="B186" s="124"/>
      <c r="C186" s="125" t="s">
        <v>359</v>
      </c>
      <c r="D186" s="125" t="s">
        <v>284</v>
      </c>
      <c r="E186" s="126" t="s">
        <v>982</v>
      </c>
      <c r="F186" s="127" t="s">
        <v>983</v>
      </c>
      <c r="G186" s="128" t="s">
        <v>366</v>
      </c>
      <c r="H186" s="129">
        <v>134.22</v>
      </c>
      <c r="I186" s="130">
        <v>3.4208109177592001</v>
      </c>
      <c r="J186" s="131">
        <f>ROUND(I186*H186,2)</f>
        <v>459.14</v>
      </c>
      <c r="K186" s="127" t="s">
        <v>1</v>
      </c>
      <c r="L186" s="198">
        <f>S186</f>
        <v>0</v>
      </c>
      <c r="M186" s="206">
        <f>ROUND(L186*I186,2)</f>
        <v>0</v>
      </c>
      <c r="N186" s="211"/>
      <c r="O186" s="212">
        <f>ROUND(N186*I186,2)</f>
        <v>0</v>
      </c>
      <c r="P186" s="207">
        <f>H186-L186-N186</f>
        <v>134.22</v>
      </c>
      <c r="Q186" s="228">
        <f>ROUND(P186*I186,2)</f>
        <v>459.14</v>
      </c>
      <c r="R186" s="199"/>
      <c r="S186" s="200">
        <f>W186+Y186+AA186+AC186+AE186+AG186+AI186+AK186</f>
        <v>0</v>
      </c>
      <c r="T186" s="200">
        <f>ROUND(S186*I186,2)</f>
        <v>0</v>
      </c>
      <c r="U186" s="200">
        <f>H186-S186</f>
        <v>134.22</v>
      </c>
      <c r="V186" s="200">
        <f>ROUND(U186*I186,2)</f>
        <v>459.14</v>
      </c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CF186" s="132" t="s">
        <v>1</v>
      </c>
      <c r="CG186" s="133" t="s">
        <v>40</v>
      </c>
      <c r="CI186" s="134">
        <f>CH186*H186</f>
        <v>0</v>
      </c>
      <c r="CJ186" s="134">
        <v>0</v>
      </c>
      <c r="CK186" s="134">
        <f>CJ186*H186</f>
        <v>0</v>
      </c>
      <c r="CL186" s="134">
        <v>0</v>
      </c>
      <c r="CM186" s="135">
        <f>CL186*H186</f>
        <v>0</v>
      </c>
      <c r="DK186" s="136" t="s">
        <v>95</v>
      </c>
      <c r="DM186" s="136" t="s">
        <v>284</v>
      </c>
      <c r="DN186" s="136" t="s">
        <v>83</v>
      </c>
      <c r="DR186" s="16" t="s">
        <v>282</v>
      </c>
      <c r="DX186" s="137">
        <f>IF(CG186="základní",J186,0)</f>
        <v>459.14</v>
      </c>
      <c r="DY186" s="137">
        <f>IF(CG186="snížená",J186,0)</f>
        <v>0</v>
      </c>
      <c r="DZ186" s="137">
        <f>IF(CG186="zákl. přenesená",J186,0)</f>
        <v>0</v>
      </c>
      <c r="EA186" s="137">
        <f>IF(CG186="sníž. přenesená",J186,0)</f>
        <v>0</v>
      </c>
      <c r="EB186" s="137">
        <f>IF(CG186="nulová",J186,0)</f>
        <v>0</v>
      </c>
      <c r="EC186" s="16" t="s">
        <v>81</v>
      </c>
      <c r="ED186" s="137">
        <f>ROUND(I186*H186,2)</f>
        <v>459.14</v>
      </c>
      <c r="EE186" s="16" t="s">
        <v>95</v>
      </c>
      <c r="EF186" s="136" t="s">
        <v>984</v>
      </c>
    </row>
    <row r="187" spans="2:136" s="1" customFormat="1" ht="48.75" x14ac:dyDescent="0.2">
      <c r="B187" s="31"/>
      <c r="D187" s="138" t="s">
        <v>289</v>
      </c>
      <c r="F187" s="139" t="s">
        <v>408</v>
      </c>
      <c r="I187" s="140"/>
      <c r="L187" s="31"/>
      <c r="N187" s="213"/>
      <c r="O187" s="214"/>
      <c r="Q187" s="229"/>
      <c r="CF187" s="141"/>
      <c r="CM187" s="50"/>
      <c r="DM187" s="16" t="s">
        <v>289</v>
      </c>
      <c r="DN187" s="16" t="s">
        <v>83</v>
      </c>
    </row>
    <row r="188" spans="2:136" s="12" customFormat="1" x14ac:dyDescent="0.2">
      <c r="B188" s="149"/>
      <c r="D188" s="138" t="s">
        <v>301</v>
      </c>
      <c r="F188" s="151" t="s">
        <v>1101</v>
      </c>
      <c r="H188" s="152">
        <v>134.22</v>
      </c>
      <c r="I188" s="153"/>
      <c r="L188" s="149"/>
      <c r="N188" s="217"/>
      <c r="O188" s="218"/>
      <c r="Q188" s="231"/>
      <c r="CF188" s="154"/>
      <c r="CM188" s="155"/>
      <c r="DM188" s="150" t="s">
        <v>301</v>
      </c>
      <c r="DN188" s="150" t="s">
        <v>83</v>
      </c>
      <c r="DO188" s="12" t="s">
        <v>83</v>
      </c>
      <c r="DP188" s="12" t="s">
        <v>3</v>
      </c>
      <c r="DQ188" s="12" t="s">
        <v>81</v>
      </c>
      <c r="DR188" s="150" t="s">
        <v>282</v>
      </c>
    </row>
    <row r="189" spans="2:136" s="1" customFormat="1" ht="24.2" customHeight="1" x14ac:dyDescent="0.2">
      <c r="B189" s="124"/>
      <c r="C189" s="125" t="s">
        <v>363</v>
      </c>
      <c r="D189" s="125" t="s">
        <v>284</v>
      </c>
      <c r="E189" s="126" t="s">
        <v>986</v>
      </c>
      <c r="F189" s="127" t="s">
        <v>987</v>
      </c>
      <c r="G189" s="128" t="s">
        <v>366</v>
      </c>
      <c r="H189" s="129">
        <v>26.844000000000001</v>
      </c>
      <c r="I189" s="130">
        <v>43.080493951075745</v>
      </c>
      <c r="J189" s="131">
        <f>ROUND(I189*H189,2)</f>
        <v>1156.45</v>
      </c>
      <c r="K189" s="127" t="s">
        <v>293</v>
      </c>
      <c r="L189" s="198">
        <f>S189</f>
        <v>0</v>
      </c>
      <c r="M189" s="206">
        <f>ROUND(L189*I189,2)</f>
        <v>0</v>
      </c>
      <c r="N189" s="211">
        <f>N198</f>
        <v>1.8207500000000039</v>
      </c>
      <c r="O189" s="212">
        <f>ROUND(N189*I189,2)</f>
        <v>78.44</v>
      </c>
      <c r="P189" s="207">
        <f>H189-L189-N189</f>
        <v>25.023249999999997</v>
      </c>
      <c r="Q189" s="228">
        <f>ROUND(P189*I189,2)</f>
        <v>1078.01</v>
      </c>
      <c r="R189" s="199"/>
      <c r="S189" s="200">
        <f>W189+Y189+AA189+AC189+AE189+AG189+AI189+AK189</f>
        <v>0</v>
      </c>
      <c r="T189" s="200">
        <f>ROUND(S189*I189,2)</f>
        <v>0</v>
      </c>
      <c r="U189" s="200">
        <f>H189-S189</f>
        <v>26.844000000000001</v>
      </c>
      <c r="V189" s="200">
        <f>ROUND(U189*I189,2)</f>
        <v>1156.45</v>
      </c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CF189" s="132" t="s">
        <v>1</v>
      </c>
      <c r="CG189" s="133" t="s">
        <v>40</v>
      </c>
      <c r="CI189" s="134">
        <f>CH189*H189</f>
        <v>0</v>
      </c>
      <c r="CJ189" s="134">
        <v>0</v>
      </c>
      <c r="CK189" s="134">
        <f>CJ189*H189</f>
        <v>0</v>
      </c>
      <c r="CL189" s="134">
        <v>0</v>
      </c>
      <c r="CM189" s="135">
        <f>CL189*H189</f>
        <v>0</v>
      </c>
      <c r="DK189" s="136" t="s">
        <v>95</v>
      </c>
      <c r="DM189" s="136" t="s">
        <v>284</v>
      </c>
      <c r="DN189" s="136" t="s">
        <v>83</v>
      </c>
      <c r="DR189" s="16" t="s">
        <v>282</v>
      </c>
      <c r="DX189" s="137">
        <f>IF(CG189="základní",J189,0)</f>
        <v>1156.45</v>
      </c>
      <c r="DY189" s="137">
        <f>IF(CG189="snížená",J189,0)</f>
        <v>0</v>
      </c>
      <c r="DZ189" s="137">
        <f>IF(CG189="zákl. přenesená",J189,0)</f>
        <v>0</v>
      </c>
      <c r="EA189" s="137">
        <f>IF(CG189="sníž. přenesená",J189,0)</f>
        <v>0</v>
      </c>
      <c r="EB189" s="137">
        <f>IF(CG189="nulová",J189,0)</f>
        <v>0</v>
      </c>
      <c r="EC189" s="16" t="s">
        <v>81</v>
      </c>
      <c r="ED189" s="137">
        <f>ROUND(I189*H189,2)</f>
        <v>1156.45</v>
      </c>
      <c r="EE189" s="16" t="s">
        <v>95</v>
      </c>
      <c r="EF189" s="136" t="s">
        <v>988</v>
      </c>
    </row>
    <row r="190" spans="2:136" s="1" customFormat="1" ht="29.25" x14ac:dyDescent="0.2">
      <c r="B190" s="31"/>
      <c r="D190" s="138" t="s">
        <v>289</v>
      </c>
      <c r="F190" s="139" t="s">
        <v>989</v>
      </c>
      <c r="I190" s="140"/>
      <c r="L190" s="31"/>
      <c r="N190" s="213"/>
      <c r="O190" s="214"/>
      <c r="Q190" s="229"/>
      <c r="CF190" s="141"/>
      <c r="CM190" s="50"/>
      <c r="DM190" s="16" t="s">
        <v>289</v>
      </c>
      <c r="DN190" s="16" t="s">
        <v>83</v>
      </c>
    </row>
    <row r="191" spans="2:136" s="11" customFormat="1" x14ac:dyDescent="0.2">
      <c r="B191" s="143"/>
      <c r="D191" s="138" t="s">
        <v>301</v>
      </c>
      <c r="E191" s="144" t="s">
        <v>1</v>
      </c>
      <c r="F191" s="145" t="s">
        <v>976</v>
      </c>
      <c r="H191" s="144" t="s">
        <v>1</v>
      </c>
      <c r="I191" s="146"/>
      <c r="L191" s="143"/>
      <c r="N191" s="215"/>
      <c r="O191" s="216"/>
      <c r="Q191" s="230"/>
      <c r="CF191" s="147"/>
      <c r="CM191" s="148"/>
      <c r="DM191" s="144" t="s">
        <v>301</v>
      </c>
      <c r="DN191" s="144" t="s">
        <v>83</v>
      </c>
      <c r="DO191" s="11" t="s">
        <v>81</v>
      </c>
      <c r="DP191" s="11" t="s">
        <v>32</v>
      </c>
      <c r="DQ191" s="11" t="s">
        <v>74</v>
      </c>
      <c r="DR191" s="144" t="s">
        <v>282</v>
      </c>
    </row>
    <row r="192" spans="2:136" s="12" customFormat="1" x14ac:dyDescent="0.2">
      <c r="B192" s="149"/>
      <c r="D192" s="138" t="s">
        <v>301</v>
      </c>
      <c r="E192" s="150" t="s">
        <v>1</v>
      </c>
      <c r="F192" s="151" t="s">
        <v>1099</v>
      </c>
      <c r="H192" s="152">
        <v>4.3529999999999998</v>
      </c>
      <c r="I192" s="153"/>
      <c r="L192" s="149"/>
      <c r="N192" s="310">
        <f>H192</f>
        <v>4.3529999999999998</v>
      </c>
      <c r="O192" s="218"/>
      <c r="Q192" s="231"/>
      <c r="CF192" s="154"/>
      <c r="CM192" s="155"/>
      <c r="DM192" s="150" t="s">
        <v>301</v>
      </c>
      <c r="DN192" s="150" t="s">
        <v>83</v>
      </c>
      <c r="DO192" s="12" t="s">
        <v>83</v>
      </c>
      <c r="DP192" s="12" t="s">
        <v>32</v>
      </c>
      <c r="DQ192" s="12" t="s">
        <v>74</v>
      </c>
      <c r="DR192" s="150" t="s">
        <v>282</v>
      </c>
    </row>
    <row r="193" spans="2:136" s="14" customFormat="1" x14ac:dyDescent="0.2">
      <c r="B193" s="163"/>
      <c r="D193" s="138" t="s">
        <v>301</v>
      </c>
      <c r="E193" s="164" t="s">
        <v>1</v>
      </c>
      <c r="F193" s="165" t="s">
        <v>373</v>
      </c>
      <c r="H193" s="166">
        <v>4.3529999999999998</v>
      </c>
      <c r="I193" s="167"/>
      <c r="L193" s="163"/>
      <c r="N193" s="318">
        <f>N192</f>
        <v>4.3529999999999998</v>
      </c>
      <c r="O193" s="222"/>
      <c r="Q193" s="233"/>
      <c r="CF193" s="168"/>
      <c r="CM193" s="169"/>
      <c r="DM193" s="164" t="s">
        <v>301</v>
      </c>
      <c r="DN193" s="164" t="s">
        <v>83</v>
      </c>
      <c r="DO193" s="14" t="s">
        <v>90</v>
      </c>
      <c r="DP193" s="14" t="s">
        <v>32</v>
      </c>
      <c r="DQ193" s="14" t="s">
        <v>74</v>
      </c>
      <c r="DR193" s="164" t="s">
        <v>282</v>
      </c>
    </row>
    <row r="194" spans="2:136" s="11" customFormat="1" x14ac:dyDescent="0.2">
      <c r="B194" s="143"/>
      <c r="D194" s="138" t="s">
        <v>301</v>
      </c>
      <c r="E194" s="144" t="s">
        <v>1</v>
      </c>
      <c r="F194" s="145" t="s">
        <v>1102</v>
      </c>
      <c r="H194" s="144" t="s">
        <v>1</v>
      </c>
      <c r="I194" s="146"/>
      <c r="L194" s="143"/>
      <c r="N194" s="215">
        <f>156.85*1*(2.2-0.1-0.45-0.1)*0.1</f>
        <v>24.311750000000004</v>
      </c>
      <c r="O194" s="216" t="s">
        <v>3642</v>
      </c>
      <c r="Q194" s="230"/>
      <c r="CF194" s="147"/>
      <c r="CM194" s="148"/>
      <c r="DM194" s="144" t="s">
        <v>301</v>
      </c>
      <c r="DN194" s="144" t="s">
        <v>83</v>
      </c>
      <c r="DO194" s="11" t="s">
        <v>81</v>
      </c>
      <c r="DP194" s="11" t="s">
        <v>32</v>
      </c>
      <c r="DQ194" s="11" t="s">
        <v>74</v>
      </c>
      <c r="DR194" s="144" t="s">
        <v>282</v>
      </c>
    </row>
    <row r="195" spans="2:136" s="12" customFormat="1" x14ac:dyDescent="0.2">
      <c r="B195" s="149"/>
      <c r="D195" s="138" t="s">
        <v>301</v>
      </c>
      <c r="E195" s="150" t="s">
        <v>1</v>
      </c>
      <c r="F195" s="151" t="s">
        <v>1103</v>
      </c>
      <c r="H195" s="152">
        <v>22.491</v>
      </c>
      <c r="I195" s="153"/>
      <c r="L195" s="149"/>
      <c r="N195" s="217">
        <f>N194</f>
        <v>24.311750000000004</v>
      </c>
      <c r="O195" s="218"/>
      <c r="Q195" s="231"/>
      <c r="CF195" s="154"/>
      <c r="CM195" s="155"/>
      <c r="DM195" s="150" t="s">
        <v>301</v>
      </c>
      <c r="DN195" s="150" t="s">
        <v>83</v>
      </c>
      <c r="DO195" s="12" t="s">
        <v>83</v>
      </c>
      <c r="DP195" s="12" t="s">
        <v>32</v>
      </c>
      <c r="DQ195" s="12" t="s">
        <v>74</v>
      </c>
      <c r="DR195" s="150" t="s">
        <v>282</v>
      </c>
    </row>
    <row r="196" spans="2:136" s="14" customFormat="1" x14ac:dyDescent="0.2">
      <c r="B196" s="163"/>
      <c r="D196" s="138" t="s">
        <v>301</v>
      </c>
      <c r="E196" s="164" t="s">
        <v>1</v>
      </c>
      <c r="F196" s="165" t="s">
        <v>373</v>
      </c>
      <c r="H196" s="166">
        <v>22.491</v>
      </c>
      <c r="I196" s="167"/>
      <c r="L196" s="163"/>
      <c r="N196" s="221"/>
      <c r="O196" s="222"/>
      <c r="Q196" s="233"/>
      <c r="CF196" s="168"/>
      <c r="CM196" s="169"/>
      <c r="DM196" s="164" t="s">
        <v>301</v>
      </c>
      <c r="DN196" s="164" t="s">
        <v>83</v>
      </c>
      <c r="DO196" s="14" t="s">
        <v>90</v>
      </c>
      <c r="DP196" s="14" t="s">
        <v>32</v>
      </c>
      <c r="DQ196" s="14" t="s">
        <v>74</v>
      </c>
      <c r="DR196" s="164" t="s">
        <v>282</v>
      </c>
    </row>
    <row r="197" spans="2:136" s="13" customFormat="1" x14ac:dyDescent="0.2">
      <c r="B197" s="156"/>
      <c r="D197" s="138" t="s">
        <v>301</v>
      </c>
      <c r="E197" s="157" t="s">
        <v>1</v>
      </c>
      <c r="F197" s="158" t="s">
        <v>305</v>
      </c>
      <c r="H197" s="159">
        <v>26.844000000000001</v>
      </c>
      <c r="I197" s="160"/>
      <c r="L197" s="156"/>
      <c r="N197" s="311">
        <f>N193+N195</f>
        <v>28.664750000000005</v>
      </c>
      <c r="O197" s="220"/>
      <c r="Q197" s="232"/>
      <c r="CF197" s="161"/>
      <c r="CM197" s="162"/>
      <c r="DM197" s="157" t="s">
        <v>301</v>
      </c>
      <c r="DN197" s="157" t="s">
        <v>83</v>
      </c>
      <c r="DO197" s="13" t="s">
        <v>95</v>
      </c>
      <c r="DP197" s="13" t="s">
        <v>32</v>
      </c>
      <c r="DQ197" s="13" t="s">
        <v>81</v>
      </c>
      <c r="DR197" s="157" t="s">
        <v>282</v>
      </c>
    </row>
    <row r="198" spans="2:136" s="13" customFormat="1" x14ac:dyDescent="0.2">
      <c r="B198" s="156"/>
      <c r="D198" s="138"/>
      <c r="E198" s="157"/>
      <c r="F198" s="158"/>
      <c r="H198" s="159"/>
      <c r="I198" s="160"/>
      <c r="L198" s="156"/>
      <c r="N198" s="311">
        <f>N197-H197</f>
        <v>1.8207500000000039</v>
      </c>
      <c r="O198" s="220"/>
      <c r="Q198" s="232"/>
      <c r="CF198" s="161"/>
      <c r="CM198" s="162"/>
      <c r="DM198" s="157"/>
      <c r="DN198" s="157"/>
      <c r="DR198" s="157"/>
    </row>
    <row r="199" spans="2:136" s="1" customFormat="1" ht="24.2" customHeight="1" x14ac:dyDescent="0.2">
      <c r="B199" s="124"/>
      <c r="C199" s="125" t="s">
        <v>8</v>
      </c>
      <c r="D199" s="125" t="s">
        <v>284</v>
      </c>
      <c r="E199" s="126" t="s">
        <v>410</v>
      </c>
      <c r="F199" s="127" t="s">
        <v>411</v>
      </c>
      <c r="G199" s="128" t="s">
        <v>287</v>
      </c>
      <c r="H199" s="129">
        <v>157.85</v>
      </c>
      <c r="I199" s="130">
        <v>6.3644601414457247</v>
      </c>
      <c r="J199" s="131">
        <f>ROUND(I199*H199,2)</f>
        <v>1004.63</v>
      </c>
      <c r="K199" s="127" t="s">
        <v>293</v>
      </c>
      <c r="L199" s="198">
        <f>S199</f>
        <v>0</v>
      </c>
      <c r="M199" s="206">
        <f>ROUND(L199*I199,2)</f>
        <v>0</v>
      </c>
      <c r="N199" s="211">
        <f>N205</f>
        <v>5</v>
      </c>
      <c r="O199" s="212">
        <f>ROUND(N199*I199,2)</f>
        <v>31.82</v>
      </c>
      <c r="P199" s="207">
        <f>H199-L199-N199</f>
        <v>152.85</v>
      </c>
      <c r="Q199" s="228">
        <f>ROUND(P199*I199,2)</f>
        <v>972.81</v>
      </c>
      <c r="R199" s="199"/>
      <c r="S199" s="200">
        <f>W199+Y199+AA199+AC199+AE199+AG199+AI199+AK199</f>
        <v>0</v>
      </c>
      <c r="T199" s="200">
        <f>ROUND(S199*I199,2)</f>
        <v>0</v>
      </c>
      <c r="U199" s="200">
        <f>H199-S199</f>
        <v>157.85</v>
      </c>
      <c r="V199" s="200">
        <f>ROUND(U199*I199,2)</f>
        <v>1004.63</v>
      </c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CF199" s="132" t="s">
        <v>1</v>
      </c>
      <c r="CG199" s="133" t="s">
        <v>40</v>
      </c>
      <c r="CI199" s="134">
        <f>CH199*H199</f>
        <v>0</v>
      </c>
      <c r="CJ199" s="134">
        <v>0</v>
      </c>
      <c r="CK199" s="134">
        <f>CJ199*H199</f>
        <v>0</v>
      </c>
      <c r="CL199" s="134">
        <v>0</v>
      </c>
      <c r="CM199" s="135">
        <f>CL199*H199</f>
        <v>0</v>
      </c>
      <c r="DK199" s="136" t="s">
        <v>95</v>
      </c>
      <c r="DM199" s="136" t="s">
        <v>284</v>
      </c>
      <c r="DN199" s="136" t="s">
        <v>83</v>
      </c>
      <c r="DR199" s="16" t="s">
        <v>282</v>
      </c>
      <c r="DX199" s="137">
        <f>IF(CG199="základní",J199,0)</f>
        <v>1004.63</v>
      </c>
      <c r="DY199" s="137">
        <f>IF(CG199="snížená",J199,0)</f>
        <v>0</v>
      </c>
      <c r="DZ199" s="137">
        <f>IF(CG199="zákl. přenesená",J199,0)</f>
        <v>0</v>
      </c>
      <c r="EA199" s="137">
        <f>IF(CG199="sníž. přenesená",J199,0)</f>
        <v>0</v>
      </c>
      <c r="EB199" s="137">
        <f>IF(CG199="nulová",J199,0)</f>
        <v>0</v>
      </c>
      <c r="EC199" s="16" t="s">
        <v>81</v>
      </c>
      <c r="ED199" s="137">
        <f>ROUND(I199*H199,2)</f>
        <v>1004.63</v>
      </c>
      <c r="EE199" s="16" t="s">
        <v>95</v>
      </c>
      <c r="EF199" s="136" t="s">
        <v>412</v>
      </c>
    </row>
    <row r="200" spans="2:136" s="1" customFormat="1" ht="19.5" x14ac:dyDescent="0.2">
      <c r="B200" s="31"/>
      <c r="D200" s="138" t="s">
        <v>289</v>
      </c>
      <c r="F200" s="139" t="s">
        <v>413</v>
      </c>
      <c r="I200" s="140"/>
      <c r="L200" s="31"/>
      <c r="N200" s="213"/>
      <c r="O200" s="214"/>
      <c r="Q200" s="229"/>
      <c r="CF200" s="141"/>
      <c r="CM200" s="50"/>
      <c r="DM200" s="16" t="s">
        <v>289</v>
      </c>
      <c r="DN200" s="16" t="s">
        <v>83</v>
      </c>
    </row>
    <row r="201" spans="2:136" s="1" customFormat="1" ht="19.5" x14ac:dyDescent="0.2">
      <c r="B201" s="31"/>
      <c r="D201" s="138" t="s">
        <v>299</v>
      </c>
      <c r="F201" s="142" t="s">
        <v>317</v>
      </c>
      <c r="I201" s="140"/>
      <c r="L201" s="31"/>
      <c r="N201" s="213"/>
      <c r="O201" s="214"/>
      <c r="Q201" s="229"/>
      <c r="CF201" s="141"/>
      <c r="CM201" s="50"/>
      <c r="DM201" s="16" t="s">
        <v>299</v>
      </c>
      <c r="DN201" s="16" t="s">
        <v>83</v>
      </c>
    </row>
    <row r="202" spans="2:136" s="12" customFormat="1" x14ac:dyDescent="0.2">
      <c r="B202" s="149"/>
      <c r="D202" s="138" t="s">
        <v>301</v>
      </c>
      <c r="E202" s="150" t="s">
        <v>1</v>
      </c>
      <c r="F202" s="151" t="s">
        <v>1104</v>
      </c>
      <c r="H202" s="152">
        <v>145.1</v>
      </c>
      <c r="I202" s="153"/>
      <c r="L202" s="149"/>
      <c r="N202" s="217">
        <f>156.85*1</f>
        <v>156.85</v>
      </c>
      <c r="O202" s="218" t="s">
        <v>3632</v>
      </c>
      <c r="Q202" s="231"/>
      <c r="CF202" s="154"/>
      <c r="CM202" s="155"/>
      <c r="DM202" s="150" t="s">
        <v>301</v>
      </c>
      <c r="DN202" s="150" t="s">
        <v>83</v>
      </c>
      <c r="DO202" s="12" t="s">
        <v>83</v>
      </c>
      <c r="DP202" s="12" t="s">
        <v>32</v>
      </c>
      <c r="DQ202" s="12" t="s">
        <v>74</v>
      </c>
      <c r="DR202" s="150" t="s">
        <v>282</v>
      </c>
    </row>
    <row r="203" spans="2:136" s="12" customFormat="1" x14ac:dyDescent="0.2">
      <c r="B203" s="149"/>
      <c r="D203" s="138" t="s">
        <v>301</v>
      </c>
      <c r="E203" s="150" t="s">
        <v>1</v>
      </c>
      <c r="F203" s="151" t="s">
        <v>1086</v>
      </c>
      <c r="H203" s="152">
        <v>12.75</v>
      </c>
      <c r="I203" s="153"/>
      <c r="L203" s="149"/>
      <c r="N203" s="217">
        <f>1.5*1.5*8-1.5*1*8</f>
        <v>6</v>
      </c>
      <c r="O203" s="218" t="s">
        <v>3633</v>
      </c>
      <c r="Q203" s="231"/>
      <c r="CF203" s="154"/>
      <c r="CM203" s="155"/>
      <c r="DM203" s="150" t="s">
        <v>301</v>
      </c>
      <c r="DN203" s="150" t="s">
        <v>83</v>
      </c>
      <c r="DO203" s="12" t="s">
        <v>83</v>
      </c>
      <c r="DP203" s="12" t="s">
        <v>32</v>
      </c>
      <c r="DQ203" s="12" t="s">
        <v>74</v>
      </c>
      <c r="DR203" s="150" t="s">
        <v>282</v>
      </c>
    </row>
    <row r="204" spans="2:136" s="13" customFormat="1" x14ac:dyDescent="0.2">
      <c r="B204" s="156"/>
      <c r="D204" s="138" t="s">
        <v>301</v>
      </c>
      <c r="E204" s="157" t="s">
        <v>1</v>
      </c>
      <c r="F204" s="158" t="s">
        <v>305</v>
      </c>
      <c r="H204" s="159">
        <v>157.85</v>
      </c>
      <c r="I204" s="160"/>
      <c r="L204" s="156"/>
      <c r="N204" s="219">
        <f>N202+N203</f>
        <v>162.85</v>
      </c>
      <c r="O204" s="220"/>
      <c r="Q204" s="232"/>
      <c r="CF204" s="161"/>
      <c r="CM204" s="162"/>
      <c r="DM204" s="157" t="s">
        <v>301</v>
      </c>
      <c r="DN204" s="157" t="s">
        <v>83</v>
      </c>
      <c r="DO204" s="13" t="s">
        <v>95</v>
      </c>
      <c r="DP204" s="13" t="s">
        <v>32</v>
      </c>
      <c r="DQ204" s="13" t="s">
        <v>81</v>
      </c>
      <c r="DR204" s="157" t="s">
        <v>282</v>
      </c>
    </row>
    <row r="205" spans="2:136" s="13" customFormat="1" x14ac:dyDescent="0.2">
      <c r="B205" s="156"/>
      <c r="D205" s="138"/>
      <c r="E205" s="157"/>
      <c r="F205" s="158"/>
      <c r="H205" s="159"/>
      <c r="I205" s="160"/>
      <c r="L205" s="156"/>
      <c r="N205" s="311">
        <f>N204-H204</f>
        <v>5</v>
      </c>
      <c r="O205" s="220"/>
      <c r="Q205" s="232"/>
      <c r="CF205" s="161"/>
      <c r="CM205" s="162"/>
      <c r="DM205" s="157"/>
      <c r="DN205" s="157"/>
      <c r="DR205" s="157"/>
    </row>
    <row r="206" spans="2:136" s="1" customFormat="1" ht="24.2" customHeight="1" x14ac:dyDescent="0.2">
      <c r="B206" s="124"/>
      <c r="C206" s="125" t="s">
        <v>379</v>
      </c>
      <c r="D206" s="125" t="s">
        <v>284</v>
      </c>
      <c r="E206" s="126" t="s">
        <v>416</v>
      </c>
      <c r="F206" s="127" t="s">
        <v>417</v>
      </c>
      <c r="G206" s="128" t="s">
        <v>418</v>
      </c>
      <c r="H206" s="129">
        <v>479.31700000000001</v>
      </c>
      <c r="I206" s="130">
        <v>110.6455721</v>
      </c>
      <c r="J206" s="131">
        <f>ROUND(I206*H206,2)</f>
        <v>53034.3</v>
      </c>
      <c r="K206" s="127" t="s">
        <v>293</v>
      </c>
      <c r="L206" s="198">
        <f>S206</f>
        <v>0</v>
      </c>
      <c r="M206" s="206">
        <f>ROUND(L206*I206,2)</f>
        <v>0</v>
      </c>
      <c r="N206" s="211">
        <f>N214</f>
        <v>9.1975999999999658</v>
      </c>
      <c r="O206" s="212">
        <f>ROUND(N206*I206,2)</f>
        <v>1017.67</v>
      </c>
      <c r="P206" s="207">
        <f>H206-L206-N206</f>
        <v>470.11940000000004</v>
      </c>
      <c r="Q206" s="228">
        <f>ROUND(P206*I206,2)</f>
        <v>52016.63</v>
      </c>
      <c r="R206" s="199"/>
      <c r="S206" s="200">
        <f>W206+Y206+AA206+AC206+AE206+AG206+AI206+AK206</f>
        <v>0</v>
      </c>
      <c r="T206" s="200">
        <f>ROUND(S206*I206,2)</f>
        <v>0</v>
      </c>
      <c r="U206" s="200">
        <f>H206-S206</f>
        <v>479.31700000000001</v>
      </c>
      <c r="V206" s="200">
        <f>ROUND(U206*I206,2)</f>
        <v>53034.3</v>
      </c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CF206" s="132" t="s">
        <v>1</v>
      </c>
      <c r="CG206" s="133" t="s">
        <v>40</v>
      </c>
      <c r="CI206" s="134">
        <f>CH206*H206</f>
        <v>0</v>
      </c>
      <c r="CJ206" s="134">
        <v>0</v>
      </c>
      <c r="CK206" s="134">
        <f>CJ206*H206</f>
        <v>0</v>
      </c>
      <c r="CL206" s="134">
        <v>0</v>
      </c>
      <c r="CM206" s="135">
        <f>CL206*H206</f>
        <v>0</v>
      </c>
      <c r="DK206" s="136" t="s">
        <v>95</v>
      </c>
      <c r="DM206" s="136" t="s">
        <v>284</v>
      </c>
      <c r="DN206" s="136" t="s">
        <v>83</v>
      </c>
      <c r="DR206" s="16" t="s">
        <v>282</v>
      </c>
      <c r="DX206" s="137">
        <f>IF(CG206="základní",J206,0)</f>
        <v>53034.3</v>
      </c>
      <c r="DY206" s="137">
        <f>IF(CG206="snížená",J206,0)</f>
        <v>0</v>
      </c>
      <c r="DZ206" s="137">
        <f>IF(CG206="zákl. přenesená",J206,0)</f>
        <v>0</v>
      </c>
      <c r="EA206" s="137">
        <f>IF(CG206="sníž. přenesená",J206,0)</f>
        <v>0</v>
      </c>
      <c r="EB206" s="137">
        <f>IF(CG206="nulová",J206,0)</f>
        <v>0</v>
      </c>
      <c r="EC206" s="16" t="s">
        <v>81</v>
      </c>
      <c r="ED206" s="137">
        <f>ROUND(I206*H206,2)</f>
        <v>53034.3</v>
      </c>
      <c r="EE206" s="16" t="s">
        <v>95</v>
      </c>
      <c r="EF206" s="136" t="s">
        <v>419</v>
      </c>
    </row>
    <row r="207" spans="2:136" s="1" customFormat="1" ht="29.25" x14ac:dyDescent="0.2">
      <c r="B207" s="31"/>
      <c r="D207" s="138" t="s">
        <v>289</v>
      </c>
      <c r="F207" s="139" t="s">
        <v>420</v>
      </c>
      <c r="I207" s="140"/>
      <c r="L207" s="31"/>
      <c r="N207" s="213"/>
      <c r="O207" s="214"/>
      <c r="Q207" s="229"/>
      <c r="CF207" s="141"/>
      <c r="CM207" s="50"/>
      <c r="DM207" s="16" t="s">
        <v>289</v>
      </c>
      <c r="DN207" s="16" t="s">
        <v>83</v>
      </c>
    </row>
    <row r="208" spans="2:136" s="11" customFormat="1" x14ac:dyDescent="0.2">
      <c r="B208" s="143"/>
      <c r="D208" s="138" t="s">
        <v>301</v>
      </c>
      <c r="E208" s="144" t="s">
        <v>1</v>
      </c>
      <c r="F208" s="145" t="s">
        <v>996</v>
      </c>
      <c r="H208" s="144" t="s">
        <v>1</v>
      </c>
      <c r="I208" s="146"/>
      <c r="L208" s="143"/>
      <c r="N208" s="215"/>
      <c r="O208" s="216"/>
      <c r="Q208" s="230"/>
      <c r="CF208" s="147"/>
      <c r="CM208" s="148"/>
      <c r="DM208" s="144" t="s">
        <v>301</v>
      </c>
      <c r="DN208" s="144" t="s">
        <v>83</v>
      </c>
      <c r="DO208" s="11" t="s">
        <v>81</v>
      </c>
      <c r="DP208" s="11" t="s">
        <v>32</v>
      </c>
      <c r="DQ208" s="11" t="s">
        <v>74</v>
      </c>
      <c r="DR208" s="144" t="s">
        <v>282</v>
      </c>
    </row>
    <row r="209" spans="2:136" s="12" customFormat="1" x14ac:dyDescent="0.2">
      <c r="B209" s="149"/>
      <c r="D209" s="138" t="s">
        <v>301</v>
      </c>
      <c r="E209" s="150" t="s">
        <v>1</v>
      </c>
      <c r="F209" s="151" t="s">
        <v>1105</v>
      </c>
      <c r="H209" s="152">
        <v>293.32100000000003</v>
      </c>
      <c r="I209" s="153"/>
      <c r="L209" s="149"/>
      <c r="N209" s="217">
        <v>298.43099999999998</v>
      </c>
      <c r="O209" s="218"/>
      <c r="Q209" s="231"/>
      <c r="CF209" s="154"/>
      <c r="CM209" s="155"/>
      <c r="DM209" s="150" t="s">
        <v>301</v>
      </c>
      <c r="DN209" s="150" t="s">
        <v>83</v>
      </c>
      <c r="DO209" s="12" t="s">
        <v>83</v>
      </c>
      <c r="DP209" s="12" t="s">
        <v>32</v>
      </c>
      <c r="DQ209" s="12" t="s">
        <v>74</v>
      </c>
      <c r="DR209" s="150" t="s">
        <v>282</v>
      </c>
    </row>
    <row r="210" spans="2:136" s="11" customFormat="1" x14ac:dyDescent="0.2">
      <c r="B210" s="143"/>
      <c r="D210" s="138" t="s">
        <v>301</v>
      </c>
      <c r="E210" s="144" t="s">
        <v>1</v>
      </c>
      <c r="F210" s="145" t="s">
        <v>998</v>
      </c>
      <c r="H210" s="144" t="s">
        <v>1</v>
      </c>
      <c r="I210" s="146"/>
      <c r="L210" s="143"/>
      <c r="N210" s="215"/>
      <c r="O210" s="216"/>
      <c r="Q210" s="230"/>
      <c r="CF210" s="147"/>
      <c r="CM210" s="148"/>
      <c r="DM210" s="144" t="s">
        <v>301</v>
      </c>
      <c r="DN210" s="144" t="s">
        <v>83</v>
      </c>
      <c r="DO210" s="11" t="s">
        <v>81</v>
      </c>
      <c r="DP210" s="11" t="s">
        <v>32</v>
      </c>
      <c r="DQ210" s="11" t="s">
        <v>74</v>
      </c>
      <c r="DR210" s="144" t="s">
        <v>282</v>
      </c>
    </row>
    <row r="211" spans="2:136" s="12" customFormat="1" x14ac:dyDescent="0.2">
      <c r="B211" s="149"/>
      <c r="D211" s="138" t="s">
        <v>301</v>
      </c>
      <c r="E211" s="150" t="s">
        <v>1</v>
      </c>
      <c r="F211" s="151" t="s">
        <v>1106</v>
      </c>
      <c r="H211" s="152">
        <v>-27.033999999999999</v>
      </c>
      <c r="I211" s="153"/>
      <c r="L211" s="149"/>
      <c r="N211" s="310">
        <f>H211</f>
        <v>-27.033999999999999</v>
      </c>
      <c r="O211" s="218"/>
      <c r="Q211" s="231"/>
      <c r="CF211" s="154"/>
      <c r="CM211" s="155"/>
      <c r="DM211" s="150" t="s">
        <v>301</v>
      </c>
      <c r="DN211" s="150" t="s">
        <v>83</v>
      </c>
      <c r="DO211" s="12" t="s">
        <v>83</v>
      </c>
      <c r="DP211" s="12" t="s">
        <v>32</v>
      </c>
      <c r="DQ211" s="12" t="s">
        <v>74</v>
      </c>
      <c r="DR211" s="150" t="s">
        <v>282</v>
      </c>
    </row>
    <row r="212" spans="2:136" s="13" customFormat="1" x14ac:dyDescent="0.2">
      <c r="B212" s="156"/>
      <c r="D212" s="138" t="s">
        <v>301</v>
      </c>
      <c r="E212" s="157" t="s">
        <v>1</v>
      </c>
      <c r="F212" s="158" t="s">
        <v>305</v>
      </c>
      <c r="H212" s="159">
        <v>266.28700000000003</v>
      </c>
      <c r="I212" s="160"/>
      <c r="L212" s="156"/>
      <c r="N212" s="311">
        <f>N209+N211</f>
        <v>271.39699999999999</v>
      </c>
      <c r="O212" s="220"/>
      <c r="Q212" s="232"/>
      <c r="CF212" s="161"/>
      <c r="CM212" s="162"/>
      <c r="DM212" s="157" t="s">
        <v>301</v>
      </c>
      <c r="DN212" s="157" t="s">
        <v>83</v>
      </c>
      <c r="DO212" s="13" t="s">
        <v>95</v>
      </c>
      <c r="DP212" s="13" t="s">
        <v>32</v>
      </c>
      <c r="DQ212" s="13" t="s">
        <v>81</v>
      </c>
      <c r="DR212" s="157" t="s">
        <v>282</v>
      </c>
    </row>
    <row r="213" spans="2:136" s="12" customFormat="1" x14ac:dyDescent="0.2">
      <c r="B213" s="149"/>
      <c r="D213" s="138" t="s">
        <v>301</v>
      </c>
      <c r="F213" s="151" t="s">
        <v>1107</v>
      </c>
      <c r="H213" s="152">
        <v>479.31700000000001</v>
      </c>
      <c r="I213" s="153"/>
      <c r="L213" s="149"/>
      <c r="N213" s="217">
        <f>N212*1.8</f>
        <v>488.51459999999997</v>
      </c>
      <c r="O213" s="218"/>
      <c r="Q213" s="231"/>
      <c r="CF213" s="154"/>
      <c r="CM213" s="155"/>
      <c r="DM213" s="150" t="s">
        <v>301</v>
      </c>
      <c r="DN213" s="150" t="s">
        <v>83</v>
      </c>
      <c r="DO213" s="12" t="s">
        <v>83</v>
      </c>
      <c r="DP213" s="12" t="s">
        <v>3</v>
      </c>
      <c r="DQ213" s="12" t="s">
        <v>81</v>
      </c>
      <c r="DR213" s="150" t="s">
        <v>282</v>
      </c>
    </row>
    <row r="214" spans="2:136" s="12" customFormat="1" x14ac:dyDescent="0.2">
      <c r="B214" s="149"/>
      <c r="D214" s="138"/>
      <c r="F214" s="151"/>
      <c r="H214" s="152"/>
      <c r="I214" s="153"/>
      <c r="L214" s="149"/>
      <c r="N214" s="310">
        <f>N213-H213</f>
        <v>9.1975999999999658</v>
      </c>
      <c r="O214" s="218"/>
      <c r="Q214" s="231"/>
      <c r="CF214" s="154"/>
      <c r="CM214" s="155"/>
      <c r="DM214" s="150"/>
      <c r="DN214" s="150"/>
      <c r="DR214" s="150"/>
    </row>
    <row r="215" spans="2:136" s="1" customFormat="1" ht="24.2" customHeight="1" x14ac:dyDescent="0.2">
      <c r="B215" s="124"/>
      <c r="C215" s="125" t="s">
        <v>386</v>
      </c>
      <c r="D215" s="125" t="s">
        <v>284</v>
      </c>
      <c r="E215" s="126" t="s">
        <v>423</v>
      </c>
      <c r="F215" s="127" t="s">
        <v>424</v>
      </c>
      <c r="G215" s="128" t="s">
        <v>366</v>
      </c>
      <c r="H215" s="129">
        <v>220.655</v>
      </c>
      <c r="I215" s="130">
        <v>140.64048227116101</v>
      </c>
      <c r="J215" s="131">
        <f>ROUND(I215*H215,2)</f>
        <v>31033.03</v>
      </c>
      <c r="K215" s="127" t="s">
        <v>293</v>
      </c>
      <c r="L215" s="198">
        <f>S215</f>
        <v>0</v>
      </c>
      <c r="M215" s="206">
        <f>ROUND(L215*I215,2)</f>
        <v>0</v>
      </c>
      <c r="N215" s="211">
        <f>N230</f>
        <v>14.058215999999987</v>
      </c>
      <c r="O215" s="212">
        <f>ROUND(N215*I215,2)</f>
        <v>1977.15</v>
      </c>
      <c r="P215" s="207">
        <f>H215-L215-N215</f>
        <v>206.59678400000001</v>
      </c>
      <c r="Q215" s="228">
        <f>ROUND(P215*I215,2)</f>
        <v>29055.87</v>
      </c>
      <c r="R215" s="199"/>
      <c r="S215" s="200">
        <f>W215+Y215+AA215+AC215+AE215+AG215+AI215+AK215</f>
        <v>0</v>
      </c>
      <c r="T215" s="200">
        <f>ROUND(S215*I215,2)</f>
        <v>0</v>
      </c>
      <c r="U215" s="200">
        <f>H215-S215</f>
        <v>220.655</v>
      </c>
      <c r="V215" s="200">
        <f>ROUND(U215*I215,2)</f>
        <v>31033.03</v>
      </c>
      <c r="W215" s="200"/>
      <c r="X215" s="200"/>
      <c r="Y215" s="200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200"/>
      <c r="AK215" s="200"/>
      <c r="AL215" s="200"/>
      <c r="CF215" s="132" t="s">
        <v>1</v>
      </c>
      <c r="CG215" s="133" t="s">
        <v>40</v>
      </c>
      <c r="CI215" s="134">
        <f>CH215*H215</f>
        <v>0</v>
      </c>
      <c r="CJ215" s="134">
        <v>0</v>
      </c>
      <c r="CK215" s="134">
        <f>CJ215*H215</f>
        <v>0</v>
      </c>
      <c r="CL215" s="134">
        <v>0</v>
      </c>
      <c r="CM215" s="135">
        <f>CL215*H215</f>
        <v>0</v>
      </c>
      <c r="DK215" s="136" t="s">
        <v>95</v>
      </c>
      <c r="DM215" s="136" t="s">
        <v>284</v>
      </c>
      <c r="DN215" s="136" t="s">
        <v>83</v>
      </c>
      <c r="DR215" s="16" t="s">
        <v>282</v>
      </c>
      <c r="DX215" s="137">
        <f>IF(CG215="základní",J215,0)</f>
        <v>31033.03</v>
      </c>
      <c r="DY215" s="137">
        <f>IF(CG215="snížená",J215,0)</f>
        <v>0</v>
      </c>
      <c r="DZ215" s="137">
        <f>IF(CG215="zákl. přenesená",J215,0)</f>
        <v>0</v>
      </c>
      <c r="EA215" s="137">
        <f>IF(CG215="sníž. přenesená",J215,0)</f>
        <v>0</v>
      </c>
      <c r="EB215" s="137">
        <f>IF(CG215="nulová",J215,0)</f>
        <v>0</v>
      </c>
      <c r="EC215" s="16" t="s">
        <v>81</v>
      </c>
      <c r="ED215" s="137">
        <f>ROUND(I215*H215,2)</f>
        <v>31033.03</v>
      </c>
      <c r="EE215" s="16" t="s">
        <v>95</v>
      </c>
      <c r="EF215" s="136" t="s">
        <v>425</v>
      </c>
    </row>
    <row r="216" spans="2:136" s="1" customFormat="1" ht="29.25" x14ac:dyDescent="0.2">
      <c r="B216" s="31"/>
      <c r="D216" s="138" t="s">
        <v>289</v>
      </c>
      <c r="F216" s="139" t="s">
        <v>426</v>
      </c>
      <c r="I216" s="140"/>
      <c r="L216" s="31"/>
      <c r="N216" s="213"/>
      <c r="O216" s="214"/>
      <c r="Q216" s="229"/>
      <c r="CF216" s="141"/>
      <c r="CM216" s="50"/>
      <c r="DM216" s="16" t="s">
        <v>289</v>
      </c>
      <c r="DN216" s="16" t="s">
        <v>83</v>
      </c>
    </row>
    <row r="217" spans="2:136" s="11" customFormat="1" x14ac:dyDescent="0.2">
      <c r="B217" s="143"/>
      <c r="D217" s="138" t="s">
        <v>301</v>
      </c>
      <c r="E217" s="144" t="s">
        <v>1</v>
      </c>
      <c r="F217" s="145" t="s">
        <v>427</v>
      </c>
      <c r="H217" s="144" t="s">
        <v>1</v>
      </c>
      <c r="I217" s="146"/>
      <c r="L217" s="143"/>
      <c r="N217" s="215"/>
      <c r="O217" s="216"/>
      <c r="Q217" s="230"/>
      <c r="CF217" s="147"/>
      <c r="CM217" s="148"/>
      <c r="DM217" s="144" t="s">
        <v>301</v>
      </c>
      <c r="DN217" s="144" t="s">
        <v>83</v>
      </c>
      <c r="DO217" s="11" t="s">
        <v>81</v>
      </c>
      <c r="DP217" s="11" t="s">
        <v>32</v>
      </c>
      <c r="DQ217" s="11" t="s">
        <v>74</v>
      </c>
      <c r="DR217" s="144" t="s">
        <v>282</v>
      </c>
    </row>
    <row r="218" spans="2:136" s="12" customFormat="1" x14ac:dyDescent="0.2">
      <c r="B218" s="149"/>
      <c r="D218" s="138" t="s">
        <v>301</v>
      </c>
      <c r="E218" s="150" t="s">
        <v>1</v>
      </c>
      <c r="F218" s="151" t="s">
        <v>1098</v>
      </c>
      <c r="H218" s="152">
        <v>288.96800000000002</v>
      </c>
      <c r="I218" s="153"/>
      <c r="L218" s="149"/>
      <c r="N218" s="217">
        <f>147.039+147.039</f>
        <v>294.07799999999997</v>
      </c>
      <c r="O218" s="218" t="s">
        <v>3640</v>
      </c>
      <c r="Q218" s="231"/>
      <c r="CF218" s="154"/>
      <c r="CM218" s="155"/>
      <c r="DM218" s="150" t="s">
        <v>301</v>
      </c>
      <c r="DN218" s="150" t="s">
        <v>83</v>
      </c>
      <c r="DO218" s="12" t="s">
        <v>83</v>
      </c>
      <c r="DP218" s="12" t="s">
        <v>32</v>
      </c>
      <c r="DQ218" s="12" t="s">
        <v>74</v>
      </c>
      <c r="DR218" s="150" t="s">
        <v>282</v>
      </c>
    </row>
    <row r="219" spans="2:136" s="11" customFormat="1" x14ac:dyDescent="0.2">
      <c r="B219" s="143"/>
      <c r="D219" s="138" t="s">
        <v>301</v>
      </c>
      <c r="E219" s="144" t="s">
        <v>1</v>
      </c>
      <c r="F219" s="145" t="s">
        <v>428</v>
      </c>
      <c r="H219" s="144" t="s">
        <v>1</v>
      </c>
      <c r="I219" s="146"/>
      <c r="L219" s="143"/>
      <c r="N219" s="215"/>
      <c r="O219" s="216"/>
      <c r="Q219" s="230"/>
      <c r="CF219" s="147"/>
      <c r="CM219" s="148"/>
      <c r="DM219" s="144" t="s">
        <v>301</v>
      </c>
      <c r="DN219" s="144" t="s">
        <v>83</v>
      </c>
      <c r="DO219" s="11" t="s">
        <v>81</v>
      </c>
      <c r="DP219" s="11" t="s">
        <v>32</v>
      </c>
      <c r="DQ219" s="11" t="s">
        <v>74</v>
      </c>
      <c r="DR219" s="144" t="s">
        <v>282</v>
      </c>
    </row>
    <row r="220" spans="2:136" s="12" customFormat="1" x14ac:dyDescent="0.2">
      <c r="B220" s="149"/>
      <c r="D220" s="138" t="s">
        <v>301</v>
      </c>
      <c r="E220" s="150" t="s">
        <v>1</v>
      </c>
      <c r="F220" s="151" t="s">
        <v>1108</v>
      </c>
      <c r="H220" s="152">
        <v>-65.295000000000002</v>
      </c>
      <c r="I220" s="153"/>
      <c r="L220" s="149"/>
      <c r="N220" s="217">
        <f>-N246</f>
        <v>-70.582499999999996</v>
      </c>
      <c r="O220" s="218"/>
      <c r="Q220" s="231"/>
      <c r="CF220" s="154"/>
      <c r="CM220" s="155"/>
      <c r="DM220" s="150" t="s">
        <v>301</v>
      </c>
      <c r="DN220" s="150" t="s">
        <v>83</v>
      </c>
      <c r="DO220" s="12" t="s">
        <v>83</v>
      </c>
      <c r="DP220" s="12" t="s">
        <v>32</v>
      </c>
      <c r="DQ220" s="12" t="s">
        <v>74</v>
      </c>
      <c r="DR220" s="150" t="s">
        <v>282</v>
      </c>
    </row>
    <row r="221" spans="2:136" s="11" customFormat="1" x14ac:dyDescent="0.2">
      <c r="B221" s="143"/>
      <c r="D221" s="138" t="s">
        <v>301</v>
      </c>
      <c r="E221" s="144" t="s">
        <v>1</v>
      </c>
      <c r="F221" s="145" t="s">
        <v>430</v>
      </c>
      <c r="H221" s="144" t="s">
        <v>1</v>
      </c>
      <c r="I221" s="146"/>
      <c r="L221" s="143"/>
      <c r="N221" s="215"/>
      <c r="O221" s="216"/>
      <c r="Q221" s="230"/>
      <c r="CF221" s="147"/>
      <c r="CM221" s="148"/>
      <c r="DM221" s="144" t="s">
        <v>301</v>
      </c>
      <c r="DN221" s="144" t="s">
        <v>83</v>
      </c>
      <c r="DO221" s="11" t="s">
        <v>81</v>
      </c>
      <c r="DP221" s="11" t="s">
        <v>32</v>
      </c>
      <c r="DQ221" s="11" t="s">
        <v>74</v>
      </c>
      <c r="DR221" s="144" t="s">
        <v>282</v>
      </c>
    </row>
    <row r="222" spans="2:136" s="12" customFormat="1" x14ac:dyDescent="0.2">
      <c r="B222" s="149"/>
      <c r="D222" s="138" t="s">
        <v>301</v>
      </c>
      <c r="E222" s="150" t="s">
        <v>1</v>
      </c>
      <c r="F222" s="151" t="s">
        <v>1109</v>
      </c>
      <c r="H222" s="152">
        <v>-20.335000000000001</v>
      </c>
      <c r="I222" s="153"/>
      <c r="L222" s="149"/>
      <c r="N222" s="217">
        <f>-N271-N280</f>
        <v>-20.484999999999999</v>
      </c>
      <c r="O222" s="218"/>
      <c r="Q222" s="231"/>
      <c r="CF222" s="154"/>
      <c r="CM222" s="155"/>
      <c r="DM222" s="150" t="s">
        <v>301</v>
      </c>
      <c r="DN222" s="150" t="s">
        <v>83</v>
      </c>
      <c r="DO222" s="12" t="s">
        <v>83</v>
      </c>
      <c r="DP222" s="12" t="s">
        <v>32</v>
      </c>
      <c r="DQ222" s="12" t="s">
        <v>74</v>
      </c>
      <c r="DR222" s="150" t="s">
        <v>282</v>
      </c>
    </row>
    <row r="223" spans="2:136" s="11" customFormat="1" x14ac:dyDescent="0.2">
      <c r="B223" s="143"/>
      <c r="D223" s="138" t="s">
        <v>301</v>
      </c>
      <c r="E223" s="144" t="s">
        <v>1</v>
      </c>
      <c r="F223" s="145" t="s">
        <v>432</v>
      </c>
      <c r="H223" s="144" t="s">
        <v>1</v>
      </c>
      <c r="I223" s="146"/>
      <c r="L223" s="143"/>
      <c r="N223" s="215"/>
      <c r="O223" s="216"/>
      <c r="Q223" s="230"/>
      <c r="CF223" s="147"/>
      <c r="CM223" s="148"/>
      <c r="DM223" s="144" t="s">
        <v>301</v>
      </c>
      <c r="DN223" s="144" t="s">
        <v>83</v>
      </c>
      <c r="DO223" s="11" t="s">
        <v>81</v>
      </c>
      <c r="DP223" s="11" t="s">
        <v>32</v>
      </c>
      <c r="DQ223" s="11" t="s">
        <v>74</v>
      </c>
      <c r="DR223" s="144" t="s">
        <v>282</v>
      </c>
    </row>
    <row r="224" spans="2:136" s="12" customFormat="1" x14ac:dyDescent="0.2">
      <c r="B224" s="149"/>
      <c r="D224" s="138" t="s">
        <v>301</v>
      </c>
      <c r="E224" s="150" t="s">
        <v>1</v>
      </c>
      <c r="F224" s="151" t="s">
        <v>1110</v>
      </c>
      <c r="H224" s="152">
        <v>-4.0570000000000004</v>
      </c>
      <c r="I224" s="153"/>
      <c r="L224" s="149"/>
      <c r="N224" s="217">
        <f>-N289</f>
        <v>-3.968</v>
      </c>
      <c r="O224" s="218"/>
      <c r="Q224" s="231"/>
      <c r="CF224" s="154"/>
      <c r="CM224" s="155"/>
      <c r="DM224" s="150" t="s">
        <v>301</v>
      </c>
      <c r="DN224" s="150" t="s">
        <v>83</v>
      </c>
      <c r="DO224" s="12" t="s">
        <v>83</v>
      </c>
      <c r="DP224" s="12" t="s">
        <v>32</v>
      </c>
      <c r="DQ224" s="12" t="s">
        <v>74</v>
      </c>
      <c r="DR224" s="150" t="s">
        <v>282</v>
      </c>
    </row>
    <row r="225" spans="2:136" s="12" customFormat="1" x14ac:dyDescent="0.2">
      <c r="B225" s="149"/>
      <c r="D225" s="138" t="s">
        <v>301</v>
      </c>
      <c r="E225" s="150" t="s">
        <v>1</v>
      </c>
      <c r="F225" s="151" t="s">
        <v>1111</v>
      </c>
      <c r="H225" s="152">
        <v>-6.093</v>
      </c>
      <c r="I225" s="153"/>
      <c r="L225" s="149"/>
      <c r="N225" s="217">
        <f>-3.14*0.21*0.21*2.2*30</f>
        <v>-9.139284</v>
      </c>
      <c r="O225" s="218" t="s">
        <v>3651</v>
      </c>
      <c r="Q225" s="231"/>
      <c r="CF225" s="154"/>
      <c r="CM225" s="155"/>
      <c r="DM225" s="150" t="s">
        <v>301</v>
      </c>
      <c r="DN225" s="150" t="s">
        <v>83</v>
      </c>
      <c r="DO225" s="12" t="s">
        <v>83</v>
      </c>
      <c r="DP225" s="12" t="s">
        <v>32</v>
      </c>
      <c r="DQ225" s="12" t="s">
        <v>74</v>
      </c>
      <c r="DR225" s="150" t="s">
        <v>282</v>
      </c>
    </row>
    <row r="226" spans="2:136" s="12" customFormat="1" x14ac:dyDescent="0.2">
      <c r="B226" s="149"/>
      <c r="D226" s="138" t="s">
        <v>301</v>
      </c>
      <c r="E226" s="150" t="s">
        <v>1</v>
      </c>
      <c r="F226" s="151" t="s">
        <v>1112</v>
      </c>
      <c r="H226" s="152">
        <v>-29.359000000000002</v>
      </c>
      <c r="I226" s="153"/>
      <c r="L226" s="149"/>
      <c r="N226" s="217">
        <f>-3.14*0.5*0.5*2.2*8</f>
        <v>-13.816000000000003</v>
      </c>
      <c r="O226" s="218" t="s">
        <v>3652</v>
      </c>
      <c r="Q226" s="231"/>
      <c r="CF226" s="154"/>
      <c r="CM226" s="155"/>
      <c r="DM226" s="150" t="s">
        <v>301</v>
      </c>
      <c r="DN226" s="150" t="s">
        <v>83</v>
      </c>
      <c r="DO226" s="12" t="s">
        <v>83</v>
      </c>
      <c r="DP226" s="12" t="s">
        <v>32</v>
      </c>
      <c r="DQ226" s="12" t="s">
        <v>74</v>
      </c>
      <c r="DR226" s="150" t="s">
        <v>282</v>
      </c>
    </row>
    <row r="227" spans="2:136" s="11" customFormat="1" x14ac:dyDescent="0.2">
      <c r="B227" s="143"/>
      <c r="D227" s="138" t="s">
        <v>301</v>
      </c>
      <c r="E227" s="144" t="s">
        <v>1</v>
      </c>
      <c r="F227" s="145" t="s">
        <v>436</v>
      </c>
      <c r="H227" s="144" t="s">
        <v>1</v>
      </c>
      <c r="I227" s="146"/>
      <c r="L227" s="143"/>
      <c r="N227" s="215"/>
      <c r="O227" s="216"/>
      <c r="Q227" s="230"/>
      <c r="CF227" s="147"/>
      <c r="CM227" s="148"/>
      <c r="DM227" s="144" t="s">
        <v>301</v>
      </c>
      <c r="DN227" s="144" t="s">
        <v>83</v>
      </c>
      <c r="DO227" s="11" t="s">
        <v>81</v>
      </c>
      <c r="DP227" s="11" t="s">
        <v>32</v>
      </c>
      <c r="DQ227" s="11" t="s">
        <v>74</v>
      </c>
      <c r="DR227" s="144" t="s">
        <v>282</v>
      </c>
    </row>
    <row r="228" spans="2:136" s="12" customFormat="1" x14ac:dyDescent="0.2">
      <c r="B228" s="149"/>
      <c r="D228" s="138" t="s">
        <v>301</v>
      </c>
      <c r="E228" s="150" t="s">
        <v>1</v>
      </c>
      <c r="F228" s="151" t="s">
        <v>1113</v>
      </c>
      <c r="H228" s="152">
        <v>56.826000000000001</v>
      </c>
      <c r="I228" s="153"/>
      <c r="L228" s="149"/>
      <c r="N228" s="217">
        <f>146.565*(0.45-0.05)</f>
        <v>58.626000000000005</v>
      </c>
      <c r="O228" s="218" t="s">
        <v>3649</v>
      </c>
      <c r="Q228" s="231"/>
      <c r="CF228" s="154"/>
      <c r="CM228" s="155"/>
      <c r="DM228" s="150" t="s">
        <v>301</v>
      </c>
      <c r="DN228" s="150" t="s">
        <v>83</v>
      </c>
      <c r="DO228" s="12" t="s">
        <v>83</v>
      </c>
      <c r="DP228" s="12" t="s">
        <v>32</v>
      </c>
      <c r="DQ228" s="12" t="s">
        <v>74</v>
      </c>
      <c r="DR228" s="150" t="s">
        <v>282</v>
      </c>
    </row>
    <row r="229" spans="2:136" s="13" customFormat="1" x14ac:dyDescent="0.2">
      <c r="B229" s="156"/>
      <c r="D229" s="138" t="s">
        <v>301</v>
      </c>
      <c r="E229" s="157" t="s">
        <v>1</v>
      </c>
      <c r="F229" s="158" t="s">
        <v>305</v>
      </c>
      <c r="H229" s="159">
        <v>220.655</v>
      </c>
      <c r="I229" s="160"/>
      <c r="L229" s="156"/>
      <c r="N229" s="219">
        <f>N218+N220+N222+N224+N225+N226+N228</f>
        <v>234.71321599999999</v>
      </c>
      <c r="O229" s="220"/>
      <c r="Q229" s="232"/>
      <c r="CF229" s="161"/>
      <c r="CM229" s="162"/>
      <c r="DM229" s="157" t="s">
        <v>301</v>
      </c>
      <c r="DN229" s="157" t="s">
        <v>83</v>
      </c>
      <c r="DO229" s="13" t="s">
        <v>95</v>
      </c>
      <c r="DP229" s="13" t="s">
        <v>32</v>
      </c>
      <c r="DQ229" s="13" t="s">
        <v>81</v>
      </c>
      <c r="DR229" s="157" t="s">
        <v>282</v>
      </c>
    </row>
    <row r="230" spans="2:136" s="13" customFormat="1" x14ac:dyDescent="0.2">
      <c r="B230" s="156"/>
      <c r="D230" s="138"/>
      <c r="E230" s="157"/>
      <c r="F230" s="158"/>
      <c r="H230" s="159"/>
      <c r="I230" s="160"/>
      <c r="L230" s="156"/>
      <c r="N230" s="311">
        <f>N229-H229</f>
        <v>14.058215999999987</v>
      </c>
      <c r="O230" s="220"/>
      <c r="Q230" s="232"/>
      <c r="CF230" s="161"/>
      <c r="CM230" s="162"/>
      <c r="DM230" s="157"/>
      <c r="DN230" s="157"/>
      <c r="DR230" s="157"/>
    </row>
    <row r="231" spans="2:136" s="1" customFormat="1" ht="14.45" customHeight="1" x14ac:dyDescent="0.2">
      <c r="B231" s="124"/>
      <c r="C231" s="170" t="s">
        <v>392</v>
      </c>
      <c r="D231" s="170" t="s">
        <v>439</v>
      </c>
      <c r="E231" s="171" t="s">
        <v>440</v>
      </c>
      <c r="F231" s="172" t="s">
        <v>441</v>
      </c>
      <c r="G231" s="173" t="s">
        <v>418</v>
      </c>
      <c r="H231" s="174">
        <v>396.34800000000001</v>
      </c>
      <c r="I231" s="175">
        <v>390.0974172</v>
      </c>
      <c r="J231" s="176">
        <f>ROUND(I231*H231,2)</f>
        <v>154614.32999999999</v>
      </c>
      <c r="K231" s="172" t="s">
        <v>293</v>
      </c>
      <c r="L231" s="198">
        <f>S231</f>
        <v>0</v>
      </c>
      <c r="M231" s="206">
        <f>ROUND(L231*I231,2)</f>
        <v>0</v>
      </c>
      <c r="N231" s="211">
        <f>N242</f>
        <v>24.454499999999996</v>
      </c>
      <c r="O231" s="212">
        <f>ROUND(N231*I231,2)</f>
        <v>9539.64</v>
      </c>
      <c r="P231" s="207">
        <f>H231-L231-N231</f>
        <v>371.89350000000002</v>
      </c>
      <c r="Q231" s="228">
        <f>ROUND(P231*I231,2)</f>
        <v>145074.69</v>
      </c>
      <c r="R231" s="199"/>
      <c r="S231" s="200">
        <f>W231+Y231+AA231+AC231+AE231+AG231+AI231+AK231</f>
        <v>0</v>
      </c>
      <c r="T231" s="200">
        <f>ROUND(S231*I231,2)</f>
        <v>0</v>
      </c>
      <c r="U231" s="200">
        <f>H231-S231</f>
        <v>396.34800000000001</v>
      </c>
      <c r="V231" s="200">
        <f>ROUND(U231*I231,2)</f>
        <v>154614.32999999999</v>
      </c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77" t="s">
        <v>1</v>
      </c>
      <c r="CG231" s="178" t="s">
        <v>40</v>
      </c>
      <c r="CI231" s="134">
        <f>CH231*H231</f>
        <v>0</v>
      </c>
      <c r="CJ231" s="134">
        <v>1</v>
      </c>
      <c r="CK231" s="134">
        <f>CJ231*H231</f>
        <v>396.34800000000001</v>
      </c>
      <c r="CL231" s="134">
        <v>0</v>
      </c>
      <c r="CM231" s="135">
        <f>CL231*H231</f>
        <v>0</v>
      </c>
      <c r="DK231" s="136" t="s">
        <v>328</v>
      </c>
      <c r="DM231" s="136" t="s">
        <v>439</v>
      </c>
      <c r="DN231" s="136" t="s">
        <v>83</v>
      </c>
      <c r="DR231" s="16" t="s">
        <v>282</v>
      </c>
      <c r="DX231" s="137">
        <f>IF(CG231="základní",J231,0)</f>
        <v>154614.32999999999</v>
      </c>
      <c r="DY231" s="137">
        <f>IF(CG231="snížená",J231,0)</f>
        <v>0</v>
      </c>
      <c r="DZ231" s="137">
        <f>IF(CG231="zákl. přenesená",J231,0)</f>
        <v>0</v>
      </c>
      <c r="EA231" s="137">
        <f>IF(CG231="sníž. přenesená",J231,0)</f>
        <v>0</v>
      </c>
      <c r="EB231" s="137">
        <f>IF(CG231="nulová",J231,0)</f>
        <v>0</v>
      </c>
      <c r="EC231" s="16" t="s">
        <v>81</v>
      </c>
      <c r="ED231" s="137">
        <f>ROUND(I231*H231,2)</f>
        <v>154614.32999999999</v>
      </c>
      <c r="EE231" s="16" t="s">
        <v>95</v>
      </c>
      <c r="EF231" s="136" t="s">
        <v>442</v>
      </c>
    </row>
    <row r="232" spans="2:136" s="1" customFormat="1" x14ac:dyDescent="0.2">
      <c r="B232" s="31"/>
      <c r="D232" s="138" t="s">
        <v>289</v>
      </c>
      <c r="F232" s="139" t="s">
        <v>441</v>
      </c>
      <c r="I232" s="140"/>
      <c r="L232" s="31"/>
      <c r="N232" s="213"/>
      <c r="O232" s="214"/>
      <c r="Q232" s="229"/>
      <c r="CF232" s="141"/>
      <c r="CM232" s="50"/>
      <c r="DM232" s="16" t="s">
        <v>289</v>
      </c>
      <c r="DN232" s="16" t="s">
        <v>83</v>
      </c>
    </row>
    <row r="233" spans="2:136" s="1" customFormat="1" ht="19.5" x14ac:dyDescent="0.2">
      <c r="B233" s="31"/>
      <c r="D233" s="138" t="s">
        <v>299</v>
      </c>
      <c r="F233" s="142" t="s">
        <v>443</v>
      </c>
      <c r="I233" s="140"/>
      <c r="L233" s="31"/>
      <c r="N233" s="213"/>
      <c r="O233" s="214"/>
      <c r="Q233" s="229"/>
      <c r="CF233" s="141"/>
      <c r="CM233" s="50"/>
      <c r="DM233" s="16" t="s">
        <v>299</v>
      </c>
      <c r="DN233" s="16" t="s">
        <v>83</v>
      </c>
    </row>
    <row r="234" spans="2:136" s="11" customFormat="1" x14ac:dyDescent="0.2">
      <c r="B234" s="143"/>
      <c r="D234" s="138" t="s">
        <v>301</v>
      </c>
      <c r="E234" s="144" t="s">
        <v>1</v>
      </c>
      <c r="F234" s="145" t="s">
        <v>1006</v>
      </c>
      <c r="H234" s="144" t="s">
        <v>1</v>
      </c>
      <c r="I234" s="146"/>
      <c r="L234" s="143"/>
      <c r="N234" s="215"/>
      <c r="O234" s="216"/>
      <c r="Q234" s="230"/>
      <c r="CF234" s="147"/>
      <c r="CM234" s="148"/>
      <c r="DM234" s="144" t="s">
        <v>301</v>
      </c>
      <c r="DN234" s="144" t="s">
        <v>83</v>
      </c>
      <c r="DO234" s="11" t="s">
        <v>81</v>
      </c>
      <c r="DP234" s="11" t="s">
        <v>32</v>
      </c>
      <c r="DQ234" s="11" t="s">
        <v>74</v>
      </c>
      <c r="DR234" s="144" t="s">
        <v>282</v>
      </c>
    </row>
    <row r="235" spans="2:136" s="12" customFormat="1" x14ac:dyDescent="0.2">
      <c r="B235" s="149"/>
      <c r="D235" s="138" t="s">
        <v>301</v>
      </c>
      <c r="E235" s="150" t="s">
        <v>1</v>
      </c>
      <c r="F235" s="151" t="s">
        <v>1114</v>
      </c>
      <c r="H235" s="152">
        <v>220.66499999999999</v>
      </c>
      <c r="I235" s="153"/>
      <c r="L235" s="149"/>
      <c r="N235" s="217">
        <f>O235</f>
        <v>234.71299999999999</v>
      </c>
      <c r="O235" s="218">
        <v>234.71299999999999</v>
      </c>
      <c r="Q235" s="231"/>
      <c r="CF235" s="154"/>
      <c r="CM235" s="155"/>
      <c r="DM235" s="150" t="s">
        <v>301</v>
      </c>
      <c r="DN235" s="150" t="s">
        <v>83</v>
      </c>
      <c r="DO235" s="12" t="s">
        <v>83</v>
      </c>
      <c r="DP235" s="12" t="s">
        <v>32</v>
      </c>
      <c r="DQ235" s="12" t="s">
        <v>74</v>
      </c>
      <c r="DR235" s="150" t="s">
        <v>282</v>
      </c>
    </row>
    <row r="236" spans="2:136" s="14" customFormat="1" x14ac:dyDescent="0.2">
      <c r="B236" s="163"/>
      <c r="D236" s="138" t="s">
        <v>301</v>
      </c>
      <c r="E236" s="164" t="s">
        <v>1</v>
      </c>
      <c r="F236" s="165" t="s">
        <v>373</v>
      </c>
      <c r="H236" s="166">
        <v>220.66499999999999</v>
      </c>
      <c r="I236" s="167"/>
      <c r="L236" s="163"/>
      <c r="N236" s="221">
        <f>N235</f>
        <v>234.71299999999999</v>
      </c>
      <c r="O236" s="222"/>
      <c r="Q236" s="233"/>
      <c r="CF236" s="168"/>
      <c r="CM236" s="169"/>
      <c r="DM236" s="164" t="s">
        <v>301</v>
      </c>
      <c r="DN236" s="164" t="s">
        <v>83</v>
      </c>
      <c r="DO236" s="14" t="s">
        <v>90</v>
      </c>
      <c r="DP236" s="14" t="s">
        <v>32</v>
      </c>
      <c r="DQ236" s="14" t="s">
        <v>74</v>
      </c>
      <c r="DR236" s="164" t="s">
        <v>282</v>
      </c>
    </row>
    <row r="237" spans="2:136" s="11" customFormat="1" x14ac:dyDescent="0.2">
      <c r="B237" s="143"/>
      <c r="D237" s="138" t="s">
        <v>301</v>
      </c>
      <c r="E237" s="144" t="s">
        <v>1</v>
      </c>
      <c r="F237" s="145" t="s">
        <v>1102</v>
      </c>
      <c r="H237" s="144" t="s">
        <v>1</v>
      </c>
      <c r="I237" s="146"/>
      <c r="L237" s="143"/>
      <c r="N237" s="215"/>
      <c r="O237" s="216"/>
      <c r="Q237" s="230"/>
      <c r="CF237" s="147"/>
      <c r="CM237" s="148"/>
      <c r="DM237" s="144" t="s">
        <v>301</v>
      </c>
      <c r="DN237" s="144" t="s">
        <v>83</v>
      </c>
      <c r="DO237" s="11" t="s">
        <v>81</v>
      </c>
      <c r="DP237" s="11" t="s">
        <v>32</v>
      </c>
      <c r="DQ237" s="11" t="s">
        <v>74</v>
      </c>
      <c r="DR237" s="144" t="s">
        <v>282</v>
      </c>
    </row>
    <row r="238" spans="2:136" s="12" customFormat="1" x14ac:dyDescent="0.2">
      <c r="B238" s="149"/>
      <c r="D238" s="138" t="s">
        <v>301</v>
      </c>
      <c r="E238" s="150" t="s">
        <v>1</v>
      </c>
      <c r="F238" s="151" t="s">
        <v>1103</v>
      </c>
      <c r="H238" s="152">
        <v>22.491</v>
      </c>
      <c r="I238" s="153"/>
      <c r="L238" s="149"/>
      <c r="N238" s="217">
        <f>156.85*1*(2.2-0.1-0.45-0.1)*0.1</f>
        <v>24.311750000000004</v>
      </c>
      <c r="O238" s="218" t="s">
        <v>3642</v>
      </c>
      <c r="Q238" s="231"/>
      <c r="CF238" s="154"/>
      <c r="CM238" s="155"/>
      <c r="DM238" s="150" t="s">
        <v>301</v>
      </c>
      <c r="DN238" s="150" t="s">
        <v>83</v>
      </c>
      <c r="DO238" s="12" t="s">
        <v>83</v>
      </c>
      <c r="DP238" s="12" t="s">
        <v>32</v>
      </c>
      <c r="DQ238" s="12" t="s">
        <v>74</v>
      </c>
      <c r="DR238" s="150" t="s">
        <v>282</v>
      </c>
    </row>
    <row r="239" spans="2:136" s="14" customFormat="1" x14ac:dyDescent="0.2">
      <c r="B239" s="163"/>
      <c r="D239" s="138" t="s">
        <v>301</v>
      </c>
      <c r="E239" s="164" t="s">
        <v>1</v>
      </c>
      <c r="F239" s="165" t="s">
        <v>373</v>
      </c>
      <c r="H239" s="166">
        <v>22.491</v>
      </c>
      <c r="I239" s="167"/>
      <c r="L239" s="163"/>
      <c r="N239" s="221">
        <f>N238</f>
        <v>24.311750000000004</v>
      </c>
      <c r="O239" s="222"/>
      <c r="Q239" s="233"/>
      <c r="CF239" s="168"/>
      <c r="CM239" s="169"/>
      <c r="DM239" s="164" t="s">
        <v>301</v>
      </c>
      <c r="DN239" s="164" t="s">
        <v>83</v>
      </c>
      <c r="DO239" s="14" t="s">
        <v>90</v>
      </c>
      <c r="DP239" s="14" t="s">
        <v>32</v>
      </c>
      <c r="DQ239" s="14" t="s">
        <v>74</v>
      </c>
      <c r="DR239" s="164" t="s">
        <v>282</v>
      </c>
    </row>
    <row r="240" spans="2:136" s="12" customFormat="1" x14ac:dyDescent="0.2">
      <c r="B240" s="149"/>
      <c r="D240" s="138" t="s">
        <v>301</v>
      </c>
      <c r="E240" s="150" t="s">
        <v>1</v>
      </c>
      <c r="F240" s="151" t="s">
        <v>1115</v>
      </c>
      <c r="H240" s="152">
        <v>198.17400000000001</v>
      </c>
      <c r="I240" s="153"/>
      <c r="L240" s="149"/>
      <c r="N240" s="217">
        <f>N236-N239</f>
        <v>210.40125</v>
      </c>
      <c r="O240" s="218"/>
      <c r="Q240" s="231"/>
      <c r="CF240" s="154"/>
      <c r="CM240" s="155"/>
      <c r="DM240" s="150" t="s">
        <v>301</v>
      </c>
      <c r="DN240" s="150" t="s">
        <v>83</v>
      </c>
      <c r="DO240" s="12" t="s">
        <v>83</v>
      </c>
      <c r="DP240" s="12" t="s">
        <v>32</v>
      </c>
      <c r="DQ240" s="12" t="s">
        <v>81</v>
      </c>
      <c r="DR240" s="150" t="s">
        <v>282</v>
      </c>
    </row>
    <row r="241" spans="2:136" s="12" customFormat="1" x14ac:dyDescent="0.2">
      <c r="B241" s="149"/>
      <c r="D241" s="138" t="s">
        <v>301</v>
      </c>
      <c r="F241" s="151" t="s">
        <v>1116</v>
      </c>
      <c r="H241" s="152">
        <v>396.34800000000001</v>
      </c>
      <c r="I241" s="153"/>
      <c r="L241" s="149"/>
      <c r="N241" s="217">
        <f>N240*2</f>
        <v>420.80250000000001</v>
      </c>
      <c r="O241" s="218"/>
      <c r="Q241" s="231"/>
      <c r="CF241" s="154"/>
      <c r="CM241" s="155"/>
      <c r="DM241" s="150" t="s">
        <v>301</v>
      </c>
      <c r="DN241" s="150" t="s">
        <v>83</v>
      </c>
      <c r="DO241" s="12" t="s">
        <v>83</v>
      </c>
      <c r="DP241" s="12" t="s">
        <v>3</v>
      </c>
      <c r="DQ241" s="12" t="s">
        <v>81</v>
      </c>
      <c r="DR241" s="150" t="s">
        <v>282</v>
      </c>
    </row>
    <row r="242" spans="2:136" s="12" customFormat="1" x14ac:dyDescent="0.2">
      <c r="B242" s="149"/>
      <c r="D242" s="138"/>
      <c r="F242" s="151"/>
      <c r="H242" s="152"/>
      <c r="I242" s="153"/>
      <c r="L242" s="149"/>
      <c r="N242" s="310">
        <f>N241-H241</f>
        <v>24.454499999999996</v>
      </c>
      <c r="O242" s="218"/>
      <c r="Q242" s="231"/>
      <c r="CF242" s="154"/>
      <c r="CM242" s="155"/>
      <c r="DM242" s="150"/>
      <c r="DN242" s="150"/>
      <c r="DR242" s="150"/>
    </row>
    <row r="243" spans="2:136" s="1" customFormat="1" ht="24.2" customHeight="1" x14ac:dyDescent="0.2">
      <c r="B243" s="124"/>
      <c r="C243" s="125" t="s">
        <v>397</v>
      </c>
      <c r="D243" s="125" t="s">
        <v>284</v>
      </c>
      <c r="E243" s="126" t="s">
        <v>446</v>
      </c>
      <c r="F243" s="127" t="s">
        <v>447</v>
      </c>
      <c r="G243" s="128" t="s">
        <v>366</v>
      </c>
      <c r="H243" s="129">
        <v>65.295000000000002</v>
      </c>
      <c r="I243" s="130">
        <v>510.38291484661499</v>
      </c>
      <c r="J243" s="131">
        <f>ROUND(I243*H243,2)</f>
        <v>33325.449999999997</v>
      </c>
      <c r="K243" s="127" t="s">
        <v>293</v>
      </c>
      <c r="L243" s="198">
        <f>S243</f>
        <v>0</v>
      </c>
      <c r="M243" s="206">
        <f>ROUND(L243*I243,2)</f>
        <v>0</v>
      </c>
      <c r="N243" s="211">
        <f>N247</f>
        <v>5.2874999999999943</v>
      </c>
      <c r="O243" s="212">
        <f>ROUND(N243*I243,2)</f>
        <v>2698.65</v>
      </c>
      <c r="P243" s="207">
        <f>H243-L243-N243</f>
        <v>60.007500000000007</v>
      </c>
      <c r="Q243" s="228">
        <f>ROUND(P243*I243,2)</f>
        <v>30626.799999999999</v>
      </c>
      <c r="R243" s="199"/>
      <c r="S243" s="200">
        <f>W243+Y243+AA243+AC243+AE243+AG243+AI243+AK243</f>
        <v>0</v>
      </c>
      <c r="T243" s="200">
        <f>ROUND(S243*I243,2)</f>
        <v>0</v>
      </c>
      <c r="U243" s="200">
        <f>H243-S243</f>
        <v>65.295000000000002</v>
      </c>
      <c r="V243" s="200">
        <f>ROUND(U243*I243,2)</f>
        <v>33325.449999999997</v>
      </c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CF243" s="132" t="s">
        <v>1</v>
      </c>
      <c r="CG243" s="133" t="s">
        <v>40</v>
      </c>
      <c r="CI243" s="134">
        <f>CH243*H243</f>
        <v>0</v>
      </c>
      <c r="CJ243" s="134">
        <v>0</v>
      </c>
      <c r="CK243" s="134">
        <f>CJ243*H243</f>
        <v>0</v>
      </c>
      <c r="CL243" s="134">
        <v>0</v>
      </c>
      <c r="CM243" s="135">
        <f>CL243*H243</f>
        <v>0</v>
      </c>
      <c r="DK243" s="136" t="s">
        <v>95</v>
      </c>
      <c r="DM243" s="136" t="s">
        <v>284</v>
      </c>
      <c r="DN243" s="136" t="s">
        <v>83</v>
      </c>
      <c r="DR243" s="16" t="s">
        <v>282</v>
      </c>
      <c r="DX243" s="137">
        <f>IF(CG243="základní",J243,0)</f>
        <v>33325.449999999997</v>
      </c>
      <c r="DY243" s="137">
        <f>IF(CG243="snížená",J243,0)</f>
        <v>0</v>
      </c>
      <c r="DZ243" s="137">
        <f>IF(CG243="zákl. přenesená",J243,0)</f>
        <v>0</v>
      </c>
      <c r="EA243" s="137">
        <f>IF(CG243="sníž. přenesená",J243,0)</f>
        <v>0</v>
      </c>
      <c r="EB243" s="137">
        <f>IF(CG243="nulová",J243,0)</f>
        <v>0</v>
      </c>
      <c r="EC243" s="16" t="s">
        <v>81</v>
      </c>
      <c r="ED243" s="137">
        <f>ROUND(I243*H243,2)</f>
        <v>33325.449999999997</v>
      </c>
      <c r="EE243" s="16" t="s">
        <v>95</v>
      </c>
      <c r="EF243" s="136" t="s">
        <v>448</v>
      </c>
    </row>
    <row r="244" spans="2:136" s="1" customFormat="1" ht="39" x14ac:dyDescent="0.2">
      <c r="B244" s="31"/>
      <c r="D244" s="138" t="s">
        <v>289</v>
      </c>
      <c r="F244" s="139" t="s">
        <v>449</v>
      </c>
      <c r="I244" s="140"/>
      <c r="L244" s="31"/>
      <c r="N244" s="213"/>
      <c r="O244" s="214"/>
      <c r="Q244" s="229"/>
      <c r="CF244" s="141"/>
      <c r="CM244" s="50"/>
      <c r="DM244" s="16" t="s">
        <v>289</v>
      </c>
      <c r="DN244" s="16" t="s">
        <v>83</v>
      </c>
    </row>
    <row r="245" spans="2:136" s="1" customFormat="1" ht="29.25" x14ac:dyDescent="0.2">
      <c r="B245" s="31"/>
      <c r="D245" s="138" t="s">
        <v>299</v>
      </c>
      <c r="F245" s="142" t="s">
        <v>1083</v>
      </c>
      <c r="I245" s="140"/>
      <c r="L245" s="31"/>
      <c r="N245" s="213"/>
      <c r="O245" s="214"/>
      <c r="Q245" s="229"/>
      <c r="CF245" s="141"/>
      <c r="CM245" s="50"/>
      <c r="DM245" s="16" t="s">
        <v>299</v>
      </c>
      <c r="DN245" s="16" t="s">
        <v>83</v>
      </c>
    </row>
    <row r="246" spans="2:136" s="12" customFormat="1" x14ac:dyDescent="0.2">
      <c r="B246" s="149"/>
      <c r="D246" s="138" t="s">
        <v>301</v>
      </c>
      <c r="E246" s="150" t="s">
        <v>1</v>
      </c>
      <c r="F246" s="151" t="s">
        <v>1117</v>
      </c>
      <c r="H246" s="152">
        <v>65.295000000000002</v>
      </c>
      <c r="I246" s="153"/>
      <c r="L246" s="149"/>
      <c r="N246" s="217">
        <f>156.85*1*0.45</f>
        <v>70.582499999999996</v>
      </c>
      <c r="O246" s="218" t="s">
        <v>3643</v>
      </c>
      <c r="Q246" s="231"/>
      <c r="CF246" s="154"/>
      <c r="CM246" s="155"/>
      <c r="DM246" s="150" t="s">
        <v>301</v>
      </c>
      <c r="DN246" s="150" t="s">
        <v>83</v>
      </c>
      <c r="DO246" s="12" t="s">
        <v>83</v>
      </c>
      <c r="DP246" s="12" t="s">
        <v>32</v>
      </c>
      <c r="DQ246" s="12" t="s">
        <v>81</v>
      </c>
      <c r="DR246" s="150" t="s">
        <v>282</v>
      </c>
    </row>
    <row r="247" spans="2:136" s="12" customFormat="1" x14ac:dyDescent="0.2">
      <c r="B247" s="149"/>
      <c r="D247" s="138"/>
      <c r="E247" s="150"/>
      <c r="F247" s="151"/>
      <c r="H247" s="152"/>
      <c r="I247" s="153"/>
      <c r="L247" s="149"/>
      <c r="N247" s="310">
        <f>N246-H246</f>
        <v>5.2874999999999943</v>
      </c>
      <c r="O247" s="218"/>
      <c r="Q247" s="231"/>
      <c r="CF247" s="154"/>
      <c r="CM247" s="155"/>
      <c r="DM247" s="150"/>
      <c r="DN247" s="150"/>
      <c r="DR247" s="150"/>
    </row>
    <row r="248" spans="2:136" s="1" customFormat="1" ht="14.45" customHeight="1" x14ac:dyDescent="0.2">
      <c r="B248" s="124"/>
      <c r="C248" s="170" t="s">
        <v>404</v>
      </c>
      <c r="D248" s="170" t="s">
        <v>439</v>
      </c>
      <c r="E248" s="171" t="s">
        <v>452</v>
      </c>
      <c r="F248" s="172" t="s">
        <v>453</v>
      </c>
      <c r="G248" s="173" t="s">
        <v>418</v>
      </c>
      <c r="H248" s="174">
        <v>130.59</v>
      </c>
      <c r="I248" s="175">
        <v>380.62816190000001</v>
      </c>
      <c r="J248" s="176">
        <f>ROUND(I248*H248,2)</f>
        <v>49706.23</v>
      </c>
      <c r="K248" s="172" t="s">
        <v>293</v>
      </c>
      <c r="L248" s="198">
        <f>S248</f>
        <v>0</v>
      </c>
      <c r="M248" s="206">
        <f>ROUND(L248*I248,2)</f>
        <v>0</v>
      </c>
      <c r="N248" s="211">
        <f>N250</f>
        <v>10.574</v>
      </c>
      <c r="O248" s="212">
        <f>ROUND(N248*I248,2)</f>
        <v>4024.76</v>
      </c>
      <c r="P248" s="207">
        <f>H248-L248-N248</f>
        <v>120.01600000000001</v>
      </c>
      <c r="Q248" s="228">
        <f>ROUND(P248*I248,2)</f>
        <v>45681.47</v>
      </c>
      <c r="R248" s="199"/>
      <c r="S248" s="200">
        <f>W248+Y248+AA248+AC248+AE248+AG248+AI248+AK248</f>
        <v>0</v>
      </c>
      <c r="T248" s="200">
        <f>ROUND(S248*I248,2)</f>
        <v>0</v>
      </c>
      <c r="U248" s="200">
        <f>H248-S248</f>
        <v>130.59</v>
      </c>
      <c r="V248" s="200">
        <f>ROUND(U248*I248,2)</f>
        <v>49706.23</v>
      </c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77" t="s">
        <v>1</v>
      </c>
      <c r="CG248" s="178" t="s">
        <v>40</v>
      </c>
      <c r="CI248" s="134">
        <f>CH248*H248</f>
        <v>0</v>
      </c>
      <c r="CJ248" s="134">
        <v>1</v>
      </c>
      <c r="CK248" s="134">
        <f>CJ248*H248</f>
        <v>130.59</v>
      </c>
      <c r="CL248" s="134">
        <v>0</v>
      </c>
      <c r="CM248" s="135">
        <f>CL248*H248</f>
        <v>0</v>
      </c>
      <c r="DK248" s="136" t="s">
        <v>328</v>
      </c>
      <c r="DM248" s="136" t="s">
        <v>439</v>
      </c>
      <c r="DN248" s="136" t="s">
        <v>83</v>
      </c>
      <c r="DR248" s="16" t="s">
        <v>282</v>
      </c>
      <c r="DX248" s="137">
        <f>IF(CG248="základní",J248,0)</f>
        <v>49706.23</v>
      </c>
      <c r="DY248" s="137">
        <f>IF(CG248="snížená",J248,0)</f>
        <v>0</v>
      </c>
      <c r="DZ248" s="137">
        <f>IF(CG248="zákl. přenesená",J248,0)</f>
        <v>0</v>
      </c>
      <c r="EA248" s="137">
        <f>IF(CG248="sníž. přenesená",J248,0)</f>
        <v>0</v>
      </c>
      <c r="EB248" s="137">
        <f>IF(CG248="nulová",J248,0)</f>
        <v>0</v>
      </c>
      <c r="EC248" s="16" t="s">
        <v>81</v>
      </c>
      <c r="ED248" s="137">
        <f>ROUND(I248*H248,2)</f>
        <v>49706.23</v>
      </c>
      <c r="EE248" s="16" t="s">
        <v>95</v>
      </c>
      <c r="EF248" s="136" t="s">
        <v>454</v>
      </c>
    </row>
    <row r="249" spans="2:136" s="1" customFormat="1" x14ac:dyDescent="0.2">
      <c r="B249" s="31"/>
      <c r="D249" s="138" t="s">
        <v>289</v>
      </c>
      <c r="F249" s="139" t="s">
        <v>453</v>
      </c>
      <c r="I249" s="140"/>
      <c r="L249" s="31"/>
      <c r="N249" s="213"/>
      <c r="O249" s="214"/>
      <c r="Q249" s="229"/>
      <c r="CF249" s="141"/>
      <c r="CM249" s="50"/>
      <c r="DM249" s="16" t="s">
        <v>289</v>
      </c>
      <c r="DN249" s="16" t="s">
        <v>83</v>
      </c>
    </row>
    <row r="250" spans="2:136" s="12" customFormat="1" x14ac:dyDescent="0.2">
      <c r="B250" s="149"/>
      <c r="D250" s="138" t="s">
        <v>301</v>
      </c>
      <c r="F250" s="151" t="s">
        <v>1118</v>
      </c>
      <c r="H250" s="152">
        <v>130.59</v>
      </c>
      <c r="I250" s="153"/>
      <c r="L250" s="149"/>
      <c r="N250" s="217">
        <f>5.287*2</f>
        <v>10.574</v>
      </c>
      <c r="O250" s="218" t="s">
        <v>3644</v>
      </c>
      <c r="Q250" s="231"/>
      <c r="CF250" s="154"/>
      <c r="CM250" s="155"/>
      <c r="DM250" s="150" t="s">
        <v>301</v>
      </c>
      <c r="DN250" s="150" t="s">
        <v>83</v>
      </c>
      <c r="DO250" s="12" t="s">
        <v>83</v>
      </c>
      <c r="DP250" s="12" t="s">
        <v>3</v>
      </c>
      <c r="DQ250" s="12" t="s">
        <v>81</v>
      </c>
      <c r="DR250" s="150" t="s">
        <v>282</v>
      </c>
    </row>
    <row r="251" spans="2:136" s="1" customFormat="1" ht="24.2" customHeight="1" x14ac:dyDescent="0.2">
      <c r="B251" s="124"/>
      <c r="C251" s="125" t="s">
        <v>7</v>
      </c>
      <c r="D251" s="125" t="s">
        <v>284</v>
      </c>
      <c r="E251" s="126" t="s">
        <v>1012</v>
      </c>
      <c r="F251" s="127" t="s">
        <v>1013</v>
      </c>
      <c r="G251" s="128" t="s">
        <v>287</v>
      </c>
      <c r="H251" s="129">
        <v>43.53</v>
      </c>
      <c r="I251" s="130">
        <v>64.410667599999996</v>
      </c>
      <c r="J251" s="131">
        <f>ROUND(I251*H251,2)</f>
        <v>2803.8</v>
      </c>
      <c r="K251" s="127" t="s">
        <v>1</v>
      </c>
      <c r="L251" s="198">
        <f>S251</f>
        <v>0</v>
      </c>
      <c r="M251" s="206">
        <f>ROUND(L251*I251,2)</f>
        <v>0</v>
      </c>
      <c r="N251" s="211">
        <f>N253</f>
        <v>3.5249999999999986</v>
      </c>
      <c r="O251" s="212">
        <f>ROUND(N251*I251,2)</f>
        <v>227.05</v>
      </c>
      <c r="P251" s="207">
        <f>H251-L251-N251</f>
        <v>40.005000000000003</v>
      </c>
      <c r="Q251" s="228">
        <f>ROUND(P251*I251,2)</f>
        <v>2576.75</v>
      </c>
      <c r="R251" s="199"/>
      <c r="S251" s="200">
        <f>W251+Y251+AA251+AC251+AE251+AG251+AI251+AK251</f>
        <v>0</v>
      </c>
      <c r="T251" s="200">
        <f>ROUND(S251*I251,2)</f>
        <v>0</v>
      </c>
      <c r="U251" s="200">
        <f>H251-S251</f>
        <v>43.53</v>
      </c>
      <c r="V251" s="200">
        <f>ROUND(U251*I251,2)</f>
        <v>2803.8</v>
      </c>
      <c r="W251" s="200"/>
      <c r="X251" s="200"/>
      <c r="Y251" s="200"/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CF251" s="132" t="s">
        <v>1</v>
      </c>
      <c r="CG251" s="133" t="s">
        <v>40</v>
      </c>
      <c r="CI251" s="134">
        <f>CH251*H251</f>
        <v>0</v>
      </c>
      <c r="CJ251" s="134">
        <v>0</v>
      </c>
      <c r="CK251" s="134">
        <f>CJ251*H251</f>
        <v>0</v>
      </c>
      <c r="CL251" s="134">
        <v>0</v>
      </c>
      <c r="CM251" s="135">
        <f>CL251*H251</f>
        <v>0</v>
      </c>
      <c r="DK251" s="136" t="s">
        <v>95</v>
      </c>
      <c r="DM251" s="136" t="s">
        <v>284</v>
      </c>
      <c r="DN251" s="136" t="s">
        <v>83</v>
      </c>
      <c r="DR251" s="16" t="s">
        <v>282</v>
      </c>
      <c r="DX251" s="137">
        <f>IF(CG251="základní",J251,0)</f>
        <v>2803.8</v>
      </c>
      <c r="DY251" s="137">
        <f>IF(CG251="snížená",J251,0)</f>
        <v>0</v>
      </c>
      <c r="DZ251" s="137">
        <f>IF(CG251="zákl. přenesená",J251,0)</f>
        <v>0</v>
      </c>
      <c r="EA251" s="137">
        <f>IF(CG251="sníž. přenesená",J251,0)</f>
        <v>0</v>
      </c>
      <c r="EB251" s="137">
        <f>IF(CG251="nulová",J251,0)</f>
        <v>0</v>
      </c>
      <c r="EC251" s="16" t="s">
        <v>81</v>
      </c>
      <c r="ED251" s="137">
        <f>ROUND(I251*H251,2)</f>
        <v>2803.8</v>
      </c>
      <c r="EE251" s="16" t="s">
        <v>95</v>
      </c>
      <c r="EF251" s="136" t="s">
        <v>1014</v>
      </c>
    </row>
    <row r="252" spans="2:136" s="1" customFormat="1" x14ac:dyDescent="0.2">
      <c r="B252" s="31"/>
      <c r="D252" s="138" t="s">
        <v>289</v>
      </c>
      <c r="F252" s="139" t="s">
        <v>1013</v>
      </c>
      <c r="I252" s="140"/>
      <c r="L252" s="31"/>
      <c r="N252" s="213"/>
      <c r="O252" s="214"/>
      <c r="Q252" s="229"/>
      <c r="CF252" s="141"/>
      <c r="CM252" s="50"/>
      <c r="DM252" s="16" t="s">
        <v>289</v>
      </c>
      <c r="DN252" s="16" t="s">
        <v>83</v>
      </c>
    </row>
    <row r="253" spans="2:136" s="1" customFormat="1" ht="24.2" customHeight="1" x14ac:dyDescent="0.2">
      <c r="B253" s="124"/>
      <c r="C253" s="125" t="s">
        <v>415</v>
      </c>
      <c r="D253" s="125" t="s">
        <v>284</v>
      </c>
      <c r="E253" s="126" t="s">
        <v>1015</v>
      </c>
      <c r="F253" s="127" t="s">
        <v>1016</v>
      </c>
      <c r="G253" s="128" t="s">
        <v>287</v>
      </c>
      <c r="H253" s="129">
        <v>43.53</v>
      </c>
      <c r="I253" s="130">
        <v>48.300657632010001</v>
      </c>
      <c r="J253" s="131">
        <f>ROUND(I253*H253,2)</f>
        <v>2102.5300000000002</v>
      </c>
      <c r="K253" s="127" t="s">
        <v>293</v>
      </c>
      <c r="L253" s="198">
        <f>S253</f>
        <v>0</v>
      </c>
      <c r="M253" s="206">
        <f>ROUND(L253*I253,2)</f>
        <v>0</v>
      </c>
      <c r="N253" s="211">
        <f>N258</f>
        <v>3.5249999999999986</v>
      </c>
      <c r="O253" s="212">
        <f>ROUND(N253*I253,2)</f>
        <v>170.26</v>
      </c>
      <c r="P253" s="207">
        <f>H253-L253-N253</f>
        <v>40.005000000000003</v>
      </c>
      <c r="Q253" s="228">
        <f>ROUND(P253*I253,2)</f>
        <v>1932.27</v>
      </c>
      <c r="R253" s="199"/>
      <c r="S253" s="200">
        <f>W253+Y253+AA253+AC253+AE253+AG253+AI253+AK253</f>
        <v>0</v>
      </c>
      <c r="T253" s="200">
        <f>ROUND(S253*I253,2)</f>
        <v>0</v>
      </c>
      <c r="U253" s="200">
        <f>H253-S253</f>
        <v>43.53</v>
      </c>
      <c r="V253" s="200">
        <f>ROUND(U253*I253,2)</f>
        <v>2102.5300000000002</v>
      </c>
      <c r="W253" s="200"/>
      <c r="X253" s="200"/>
      <c r="Y253" s="200"/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CF253" s="132" t="s">
        <v>1</v>
      </c>
      <c r="CG253" s="133" t="s">
        <v>40</v>
      </c>
      <c r="CI253" s="134">
        <f>CH253*H253</f>
        <v>0</v>
      </c>
      <c r="CJ253" s="134">
        <v>0</v>
      </c>
      <c r="CK253" s="134">
        <f>CJ253*H253</f>
        <v>0</v>
      </c>
      <c r="CL253" s="134">
        <v>0</v>
      </c>
      <c r="CM253" s="135">
        <f>CL253*H253</f>
        <v>0</v>
      </c>
      <c r="DK253" s="136" t="s">
        <v>95</v>
      </c>
      <c r="DM253" s="136" t="s">
        <v>284</v>
      </c>
      <c r="DN253" s="136" t="s">
        <v>83</v>
      </c>
      <c r="DR253" s="16" t="s">
        <v>282</v>
      </c>
      <c r="DX253" s="137">
        <f>IF(CG253="základní",J253,0)</f>
        <v>2102.5300000000002</v>
      </c>
      <c r="DY253" s="137">
        <f>IF(CG253="snížená",J253,0)</f>
        <v>0</v>
      </c>
      <c r="DZ253" s="137">
        <f>IF(CG253="zákl. přenesená",J253,0)</f>
        <v>0</v>
      </c>
      <c r="EA253" s="137">
        <f>IF(CG253="sníž. přenesená",J253,0)</f>
        <v>0</v>
      </c>
      <c r="EB253" s="137">
        <f>IF(CG253="nulová",J253,0)</f>
        <v>0</v>
      </c>
      <c r="EC253" s="16" t="s">
        <v>81</v>
      </c>
      <c r="ED253" s="137">
        <f>ROUND(I253*H253,2)</f>
        <v>2102.5300000000002</v>
      </c>
      <c r="EE253" s="16" t="s">
        <v>95</v>
      </c>
      <c r="EF253" s="136" t="s">
        <v>1017</v>
      </c>
    </row>
    <row r="254" spans="2:136" s="1" customFormat="1" ht="29.25" x14ac:dyDescent="0.2">
      <c r="B254" s="31"/>
      <c r="D254" s="138" t="s">
        <v>289</v>
      </c>
      <c r="F254" s="139" t="s">
        <v>1018</v>
      </c>
      <c r="I254" s="140"/>
      <c r="L254" s="31"/>
      <c r="N254" s="213"/>
      <c r="O254" s="214"/>
      <c r="Q254" s="229"/>
      <c r="CF254" s="141"/>
      <c r="CM254" s="50"/>
      <c r="DM254" s="16" t="s">
        <v>289</v>
      </c>
      <c r="DN254" s="16" t="s">
        <v>83</v>
      </c>
    </row>
    <row r="255" spans="2:136" s="1" customFormat="1" ht="29.25" x14ac:dyDescent="0.2">
      <c r="B255" s="31"/>
      <c r="D255" s="138" t="s">
        <v>299</v>
      </c>
      <c r="F255" s="142" t="s">
        <v>1083</v>
      </c>
      <c r="I255" s="140"/>
      <c r="L255" s="31"/>
      <c r="N255" s="213"/>
      <c r="O255" s="214"/>
      <c r="Q255" s="229"/>
      <c r="CF255" s="141"/>
      <c r="CM255" s="50"/>
      <c r="DM255" s="16" t="s">
        <v>299</v>
      </c>
      <c r="DN255" s="16" t="s">
        <v>83</v>
      </c>
    </row>
    <row r="256" spans="2:136" s="11" customFormat="1" x14ac:dyDescent="0.2">
      <c r="B256" s="143"/>
      <c r="D256" s="138" t="s">
        <v>301</v>
      </c>
      <c r="E256" s="144" t="s">
        <v>1</v>
      </c>
      <c r="F256" s="145" t="s">
        <v>1088</v>
      </c>
      <c r="H256" s="144" t="s">
        <v>1</v>
      </c>
      <c r="I256" s="146"/>
      <c r="L256" s="143"/>
      <c r="N256" s="215"/>
      <c r="O256" s="216"/>
      <c r="Q256" s="230"/>
      <c r="CF256" s="147"/>
      <c r="CM256" s="148"/>
      <c r="DM256" s="144" t="s">
        <v>301</v>
      </c>
      <c r="DN256" s="144" t="s">
        <v>83</v>
      </c>
      <c r="DO256" s="11" t="s">
        <v>81</v>
      </c>
      <c r="DP256" s="11" t="s">
        <v>32</v>
      </c>
      <c r="DQ256" s="11" t="s">
        <v>74</v>
      </c>
      <c r="DR256" s="144" t="s">
        <v>282</v>
      </c>
    </row>
    <row r="257" spans="2:136" s="12" customFormat="1" x14ac:dyDescent="0.2">
      <c r="B257" s="149"/>
      <c r="D257" s="138" t="s">
        <v>301</v>
      </c>
      <c r="E257" s="150" t="s">
        <v>1</v>
      </c>
      <c r="F257" s="151" t="s">
        <v>1089</v>
      </c>
      <c r="H257" s="152">
        <v>43.53</v>
      </c>
      <c r="I257" s="153"/>
      <c r="L257" s="149"/>
      <c r="N257" s="217">
        <f>156.85*3*0.1</f>
        <v>47.055</v>
      </c>
      <c r="O257" s="218" t="s">
        <v>3634</v>
      </c>
      <c r="Q257" s="231"/>
      <c r="CF257" s="154"/>
      <c r="CM257" s="155"/>
      <c r="DM257" s="150" t="s">
        <v>301</v>
      </c>
      <c r="DN257" s="150" t="s">
        <v>83</v>
      </c>
      <c r="DO257" s="12" t="s">
        <v>83</v>
      </c>
      <c r="DP257" s="12" t="s">
        <v>32</v>
      </c>
      <c r="DQ257" s="12" t="s">
        <v>81</v>
      </c>
      <c r="DR257" s="150" t="s">
        <v>282</v>
      </c>
    </row>
    <row r="258" spans="2:136" s="12" customFormat="1" x14ac:dyDescent="0.2">
      <c r="B258" s="149"/>
      <c r="D258" s="138"/>
      <c r="E258" s="150"/>
      <c r="F258" s="151"/>
      <c r="H258" s="152"/>
      <c r="I258" s="153"/>
      <c r="L258" s="149"/>
      <c r="N258" s="310">
        <f>N257-H257</f>
        <v>3.5249999999999986</v>
      </c>
      <c r="O258" s="218"/>
      <c r="Q258" s="231"/>
      <c r="CF258" s="154"/>
      <c r="CM258" s="155"/>
      <c r="DM258" s="150"/>
      <c r="DN258" s="150"/>
      <c r="DR258" s="150"/>
    </row>
    <row r="259" spans="2:136" s="1" customFormat="1" ht="24.2" customHeight="1" x14ac:dyDescent="0.2">
      <c r="B259" s="124"/>
      <c r="C259" s="125" t="s">
        <v>422</v>
      </c>
      <c r="D259" s="125" t="s">
        <v>284</v>
      </c>
      <c r="E259" s="126" t="s">
        <v>457</v>
      </c>
      <c r="F259" s="127" t="s">
        <v>458</v>
      </c>
      <c r="G259" s="128" t="s">
        <v>418</v>
      </c>
      <c r="H259" s="129">
        <v>526.93799999999999</v>
      </c>
      <c r="I259" s="130">
        <v>61.737071122597108</v>
      </c>
      <c r="J259" s="131">
        <f>ROUND(I259*H259,2)</f>
        <v>32531.61</v>
      </c>
      <c r="K259" s="127" t="s">
        <v>293</v>
      </c>
      <c r="L259" s="198">
        <f>S259</f>
        <v>0</v>
      </c>
      <c r="M259" s="206">
        <f>ROUND(L259*I259,2)</f>
        <v>0</v>
      </c>
      <c r="N259" s="211">
        <f>N261</f>
        <v>35.028999999999996</v>
      </c>
      <c r="O259" s="212">
        <f>ROUND(N259*I259,2)</f>
        <v>2162.59</v>
      </c>
      <c r="P259" s="207">
        <f>H259-L259-N259</f>
        <v>491.90899999999999</v>
      </c>
      <c r="Q259" s="228">
        <f>ROUND(P259*I259,2)</f>
        <v>30369.02</v>
      </c>
      <c r="R259" s="199"/>
      <c r="S259" s="200">
        <f>W259+Y259+AA259+AC259+AE259+AG259+AI259+AK259</f>
        <v>0</v>
      </c>
      <c r="T259" s="200">
        <f>ROUND(S259*I259,2)</f>
        <v>0</v>
      </c>
      <c r="U259" s="200">
        <f>H259-S259</f>
        <v>526.93799999999999</v>
      </c>
      <c r="V259" s="200">
        <f>ROUND(U259*I259,2)</f>
        <v>32531.61</v>
      </c>
      <c r="W259" s="200"/>
      <c r="X259" s="200"/>
      <c r="Y259" s="200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CF259" s="132" t="s">
        <v>1</v>
      </c>
      <c r="CG259" s="133" t="s">
        <v>40</v>
      </c>
      <c r="CI259" s="134">
        <f>CH259*H259</f>
        <v>0</v>
      </c>
      <c r="CJ259" s="134">
        <v>0</v>
      </c>
      <c r="CK259" s="134">
        <f>CJ259*H259</f>
        <v>0</v>
      </c>
      <c r="CL259" s="134">
        <v>0</v>
      </c>
      <c r="CM259" s="135">
        <f>CL259*H259</f>
        <v>0</v>
      </c>
      <c r="DK259" s="136" t="s">
        <v>95</v>
      </c>
      <c r="DM259" s="136" t="s">
        <v>284</v>
      </c>
      <c r="DN259" s="136" t="s">
        <v>83</v>
      </c>
      <c r="DR259" s="16" t="s">
        <v>282</v>
      </c>
      <c r="DX259" s="137">
        <f>IF(CG259="základní",J259,0)</f>
        <v>32531.61</v>
      </c>
      <c r="DY259" s="137">
        <f>IF(CG259="snížená",J259,0)</f>
        <v>0</v>
      </c>
      <c r="DZ259" s="137">
        <f>IF(CG259="zákl. přenesená",J259,0)</f>
        <v>0</v>
      </c>
      <c r="EA259" s="137">
        <f>IF(CG259="sníž. přenesená",J259,0)</f>
        <v>0</v>
      </c>
      <c r="EB259" s="137">
        <f>IF(CG259="nulová",J259,0)</f>
        <v>0</v>
      </c>
      <c r="EC259" s="16" t="s">
        <v>81</v>
      </c>
      <c r="ED259" s="137">
        <f>ROUND(I259*H259,2)</f>
        <v>32531.61</v>
      </c>
      <c r="EE259" s="16" t="s">
        <v>95</v>
      </c>
      <c r="EF259" s="136" t="s">
        <v>459</v>
      </c>
    </row>
    <row r="260" spans="2:136" s="1" customFormat="1" ht="29.25" x14ac:dyDescent="0.2">
      <c r="B260" s="31"/>
      <c r="D260" s="138" t="s">
        <v>289</v>
      </c>
      <c r="F260" s="139" t="s">
        <v>460</v>
      </c>
      <c r="I260" s="140"/>
      <c r="L260" s="31"/>
      <c r="N260" s="213"/>
      <c r="O260" s="214"/>
      <c r="Q260" s="229"/>
      <c r="CF260" s="141"/>
      <c r="CM260" s="50"/>
      <c r="DM260" s="16" t="s">
        <v>289</v>
      </c>
      <c r="DN260" s="16" t="s">
        <v>83</v>
      </c>
    </row>
    <row r="261" spans="2:136" s="12" customFormat="1" x14ac:dyDescent="0.2">
      <c r="B261" s="149"/>
      <c r="D261" s="138" t="s">
        <v>301</v>
      </c>
      <c r="E261" s="150" t="s">
        <v>1</v>
      </c>
      <c r="F261" s="151" t="s">
        <v>1119</v>
      </c>
      <c r="H261" s="152">
        <v>526.93799999999999</v>
      </c>
      <c r="I261" s="153"/>
      <c r="L261" s="149"/>
      <c r="N261" s="217">
        <f>24.455+10.574</f>
        <v>35.028999999999996</v>
      </c>
      <c r="O261" s="218" t="s">
        <v>3653</v>
      </c>
      <c r="Q261" s="231"/>
      <c r="CF261" s="154"/>
      <c r="CM261" s="155"/>
      <c r="DM261" s="150" t="s">
        <v>301</v>
      </c>
      <c r="DN261" s="150" t="s">
        <v>83</v>
      </c>
      <c r="DO261" s="12" t="s">
        <v>83</v>
      </c>
      <c r="DP261" s="12" t="s">
        <v>32</v>
      </c>
      <c r="DQ261" s="12" t="s">
        <v>81</v>
      </c>
      <c r="DR261" s="150" t="s">
        <v>282</v>
      </c>
    </row>
    <row r="262" spans="2:136" s="10" customFormat="1" ht="22.9" customHeight="1" x14ac:dyDescent="0.2">
      <c r="B262" s="112"/>
      <c r="D262" s="113" t="s">
        <v>73</v>
      </c>
      <c r="E262" s="122" t="s">
        <v>83</v>
      </c>
      <c r="F262" s="122" t="s">
        <v>462</v>
      </c>
      <c r="I262" s="115"/>
      <c r="J262" s="123">
        <f>ED262</f>
        <v>38316.31</v>
      </c>
      <c r="L262" s="112"/>
      <c r="M262" s="320">
        <f>M263</f>
        <v>0</v>
      </c>
      <c r="N262" s="323"/>
      <c r="O262" s="324">
        <f t="shared" ref="O262:V262" si="3">O263</f>
        <v>3102.8</v>
      </c>
      <c r="P262" s="320"/>
      <c r="Q262" s="326">
        <f t="shared" si="3"/>
        <v>35213.51</v>
      </c>
      <c r="R262" s="320"/>
      <c r="S262" s="320"/>
      <c r="T262" s="320">
        <f t="shared" si="3"/>
        <v>0</v>
      </c>
      <c r="U262" s="320"/>
      <c r="V262" s="320">
        <f t="shared" si="3"/>
        <v>38316.31</v>
      </c>
      <c r="CF262" s="117"/>
      <c r="CI262" s="118">
        <f>SUM(CI263:CI266)</f>
        <v>0</v>
      </c>
      <c r="CK262" s="118">
        <f>SUM(CK263:CK266)</f>
        <v>29.700519</v>
      </c>
      <c r="CM262" s="119">
        <f>SUM(CM263:CM266)</f>
        <v>0</v>
      </c>
      <c r="DK262" s="113" t="s">
        <v>81</v>
      </c>
      <c r="DM262" s="120" t="s">
        <v>73</v>
      </c>
      <c r="DN262" s="120" t="s">
        <v>81</v>
      </c>
      <c r="DR262" s="113" t="s">
        <v>282</v>
      </c>
      <c r="ED262" s="121">
        <f>SUM(ED263:ED266)</f>
        <v>38316.31</v>
      </c>
    </row>
    <row r="263" spans="2:136" s="1" customFormat="1" ht="37.9" customHeight="1" x14ac:dyDescent="0.2">
      <c r="B263" s="124"/>
      <c r="C263" s="125" t="s">
        <v>438</v>
      </c>
      <c r="D263" s="125" t="s">
        <v>284</v>
      </c>
      <c r="E263" s="126" t="s">
        <v>464</v>
      </c>
      <c r="F263" s="127" t="s">
        <v>465</v>
      </c>
      <c r="G263" s="128" t="s">
        <v>344</v>
      </c>
      <c r="H263" s="129">
        <v>145.1</v>
      </c>
      <c r="I263" s="130">
        <v>264.06831423630393</v>
      </c>
      <c r="J263" s="131">
        <f>ROUND(I263*H263,2)</f>
        <v>38316.31</v>
      </c>
      <c r="K263" s="127" t="s">
        <v>293</v>
      </c>
      <c r="L263" s="198">
        <f>S263</f>
        <v>0</v>
      </c>
      <c r="M263" s="206">
        <f>ROUND(L263*I263,2)</f>
        <v>0</v>
      </c>
      <c r="N263" s="211">
        <f>N266</f>
        <v>11.75</v>
      </c>
      <c r="O263" s="212">
        <f>ROUND(N263*I263,2)</f>
        <v>3102.8</v>
      </c>
      <c r="P263" s="207">
        <f>H263-L263-N263</f>
        <v>133.35</v>
      </c>
      <c r="Q263" s="228">
        <f>ROUND(P263*I263,2)</f>
        <v>35213.51</v>
      </c>
      <c r="R263" s="199"/>
      <c r="S263" s="200">
        <f>W263+Y263+AA263+AC263+AE263+AG263+AI263+AK263</f>
        <v>0</v>
      </c>
      <c r="T263" s="200">
        <f>ROUND(S263*I263,2)</f>
        <v>0</v>
      </c>
      <c r="U263" s="200">
        <f>H263-S263</f>
        <v>145.1</v>
      </c>
      <c r="V263" s="200">
        <f>ROUND(U263*I263,2)</f>
        <v>38316.31</v>
      </c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CF263" s="132" t="s">
        <v>1</v>
      </c>
      <c r="CG263" s="133" t="s">
        <v>40</v>
      </c>
      <c r="CI263" s="134">
        <f>CH263*H263</f>
        <v>0</v>
      </c>
      <c r="CJ263" s="134">
        <v>0.20469000000000001</v>
      </c>
      <c r="CK263" s="134">
        <f>CJ263*H263</f>
        <v>29.700519</v>
      </c>
      <c r="CL263" s="134">
        <v>0</v>
      </c>
      <c r="CM263" s="135">
        <f>CL263*H263</f>
        <v>0</v>
      </c>
      <c r="DK263" s="136" t="s">
        <v>95</v>
      </c>
      <c r="DM263" s="136" t="s">
        <v>284</v>
      </c>
      <c r="DN263" s="136" t="s">
        <v>83</v>
      </c>
      <c r="DR263" s="16" t="s">
        <v>282</v>
      </c>
      <c r="DX263" s="137">
        <f>IF(CG263="základní",J263,0)</f>
        <v>38316.31</v>
      </c>
      <c r="DY263" s="137">
        <f>IF(CG263="snížená",J263,0)</f>
        <v>0</v>
      </c>
      <c r="DZ263" s="137">
        <f>IF(CG263="zákl. přenesená",J263,0)</f>
        <v>0</v>
      </c>
      <c r="EA263" s="137">
        <f>IF(CG263="sníž. přenesená",J263,0)</f>
        <v>0</v>
      </c>
      <c r="EB263" s="137">
        <f>IF(CG263="nulová",J263,0)</f>
        <v>0</v>
      </c>
      <c r="EC263" s="16" t="s">
        <v>81</v>
      </c>
      <c r="ED263" s="137">
        <f>ROUND(I263*H263,2)</f>
        <v>38316.31</v>
      </c>
      <c r="EE263" s="16" t="s">
        <v>95</v>
      </c>
      <c r="EF263" s="136" t="s">
        <v>466</v>
      </c>
    </row>
    <row r="264" spans="2:136" s="1" customFormat="1" ht="39" x14ac:dyDescent="0.2">
      <c r="B264" s="31"/>
      <c r="D264" s="138" t="s">
        <v>289</v>
      </c>
      <c r="F264" s="139" t="s">
        <v>467</v>
      </c>
      <c r="I264" s="140"/>
      <c r="L264" s="31"/>
      <c r="N264" s="213"/>
      <c r="O264" s="214"/>
      <c r="Q264" s="229"/>
      <c r="CF264" s="141"/>
      <c r="CM264" s="50"/>
      <c r="DM264" s="16" t="s">
        <v>289</v>
      </c>
      <c r="DN264" s="16" t="s">
        <v>83</v>
      </c>
    </row>
    <row r="265" spans="2:136" s="1" customFormat="1" ht="29.25" x14ac:dyDescent="0.2">
      <c r="B265" s="31"/>
      <c r="D265" s="138" t="s">
        <v>299</v>
      </c>
      <c r="F265" s="142" t="s">
        <v>1083</v>
      </c>
      <c r="I265" s="140"/>
      <c r="L265" s="31"/>
      <c r="N265" s="213"/>
      <c r="O265" s="214"/>
      <c r="Q265" s="229"/>
      <c r="CF265" s="141"/>
      <c r="CM265" s="50"/>
      <c r="DM265" s="16" t="s">
        <v>299</v>
      </c>
      <c r="DN265" s="16" t="s">
        <v>83</v>
      </c>
    </row>
    <row r="266" spans="2:136" s="12" customFormat="1" x14ac:dyDescent="0.2">
      <c r="B266" s="149"/>
      <c r="D266" s="138" t="s">
        <v>301</v>
      </c>
      <c r="E266" s="150" t="s">
        <v>1</v>
      </c>
      <c r="F266" s="151" t="s">
        <v>1120</v>
      </c>
      <c r="H266" s="152">
        <v>145.1</v>
      </c>
      <c r="I266" s="153"/>
      <c r="L266" s="149"/>
      <c r="N266" s="217">
        <f>156.85-145.1</f>
        <v>11.75</v>
      </c>
      <c r="O266" s="218" t="s">
        <v>3645</v>
      </c>
      <c r="Q266" s="231"/>
      <c r="CF266" s="154"/>
      <c r="CM266" s="155"/>
      <c r="DM266" s="150" t="s">
        <v>301</v>
      </c>
      <c r="DN266" s="150" t="s">
        <v>83</v>
      </c>
      <c r="DO266" s="12" t="s">
        <v>83</v>
      </c>
      <c r="DP266" s="12" t="s">
        <v>32</v>
      </c>
      <c r="DQ266" s="12" t="s">
        <v>81</v>
      </c>
      <c r="DR266" s="150" t="s">
        <v>282</v>
      </c>
    </row>
    <row r="267" spans="2:136" s="10" customFormat="1" ht="22.9" customHeight="1" x14ac:dyDescent="0.2">
      <c r="B267" s="112"/>
      <c r="D267" s="113" t="s">
        <v>73</v>
      </c>
      <c r="E267" s="122" t="s">
        <v>95</v>
      </c>
      <c r="F267" s="122" t="s">
        <v>469</v>
      </c>
      <c r="I267" s="115"/>
      <c r="J267" s="123">
        <f>ED267</f>
        <v>36150.770000000004</v>
      </c>
      <c r="L267" s="112"/>
      <c r="M267" s="320">
        <f>M268+M273+M282</f>
        <v>0</v>
      </c>
      <c r="N267" s="323"/>
      <c r="O267" s="324">
        <f t="shared" ref="O267:V267" si="4">O268+O273+O282</f>
        <v>-77.640000000000043</v>
      </c>
      <c r="P267" s="320"/>
      <c r="Q267" s="326">
        <f t="shared" si="4"/>
        <v>36228.410000000003</v>
      </c>
      <c r="R267" s="320"/>
      <c r="S267" s="320"/>
      <c r="T267" s="320">
        <f t="shared" si="4"/>
        <v>0</v>
      </c>
      <c r="U267" s="320"/>
      <c r="V267" s="320">
        <f t="shared" si="4"/>
        <v>36150.770000000004</v>
      </c>
      <c r="CF267" s="117"/>
      <c r="CI267" s="118">
        <f>SUM(CI268:CI289)</f>
        <v>0</v>
      </c>
      <c r="CK267" s="118">
        <f>SUM(CK268:CK289)</f>
        <v>0</v>
      </c>
      <c r="CM267" s="119">
        <f>SUM(CM268:CM289)</f>
        <v>0</v>
      </c>
      <c r="DK267" s="113" t="s">
        <v>81</v>
      </c>
      <c r="DM267" s="120" t="s">
        <v>73</v>
      </c>
      <c r="DN267" s="120" t="s">
        <v>81</v>
      </c>
      <c r="DR267" s="113" t="s">
        <v>282</v>
      </c>
      <c r="ED267" s="121">
        <f>SUM(ED268:ED289)</f>
        <v>36150.770000000004</v>
      </c>
    </row>
    <row r="268" spans="2:136" s="1" customFormat="1" ht="14.45" customHeight="1" x14ac:dyDescent="0.2">
      <c r="B268" s="124"/>
      <c r="C268" s="125" t="s">
        <v>445</v>
      </c>
      <c r="D268" s="125" t="s">
        <v>284</v>
      </c>
      <c r="E268" s="126" t="s">
        <v>471</v>
      </c>
      <c r="F268" s="127" t="s">
        <v>472</v>
      </c>
      <c r="G268" s="128" t="s">
        <v>366</v>
      </c>
      <c r="H268" s="129">
        <v>14.51</v>
      </c>
      <c r="I268" s="130">
        <v>1200.17173250368</v>
      </c>
      <c r="J268" s="131">
        <f>ROUND(I268*H268,2)</f>
        <v>17414.490000000002</v>
      </c>
      <c r="K268" s="127" t="s">
        <v>293</v>
      </c>
      <c r="L268" s="198">
        <f>S268</f>
        <v>0</v>
      </c>
      <c r="M268" s="206">
        <f>ROUND(L268*I268,2)</f>
        <v>0</v>
      </c>
      <c r="N268" s="211">
        <f>N272</f>
        <v>1.1750000000000007</v>
      </c>
      <c r="O268" s="212">
        <f>ROUND(N268*I268,2)</f>
        <v>1410.2</v>
      </c>
      <c r="P268" s="207">
        <f>H268-L268-N268</f>
        <v>13.334999999999999</v>
      </c>
      <c r="Q268" s="228">
        <f>ROUND(P268*I268,2)</f>
        <v>16004.29</v>
      </c>
      <c r="R268" s="199"/>
      <c r="S268" s="200">
        <f>W268+Y268+AA268+AC268+AE268+AG268+AI268+AK268</f>
        <v>0</v>
      </c>
      <c r="T268" s="200">
        <f>ROUND(S268*I268,2)</f>
        <v>0</v>
      </c>
      <c r="U268" s="200">
        <f>H268-S268</f>
        <v>14.51</v>
      </c>
      <c r="V268" s="200">
        <f>ROUND(U268*I268,2)</f>
        <v>17414.490000000002</v>
      </c>
      <c r="W268" s="200"/>
      <c r="X268" s="200"/>
      <c r="Y268" s="200"/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CF268" s="132" t="s">
        <v>1</v>
      </c>
      <c r="CG268" s="133" t="s">
        <v>40</v>
      </c>
      <c r="CI268" s="134">
        <f>CH268*H268</f>
        <v>0</v>
      </c>
      <c r="CJ268" s="134">
        <v>0</v>
      </c>
      <c r="CK268" s="134">
        <f>CJ268*H268</f>
        <v>0</v>
      </c>
      <c r="CL268" s="134">
        <v>0</v>
      </c>
      <c r="CM268" s="135">
        <f>CL268*H268</f>
        <v>0</v>
      </c>
      <c r="DK268" s="136" t="s">
        <v>95</v>
      </c>
      <c r="DM268" s="136" t="s">
        <v>284</v>
      </c>
      <c r="DN268" s="136" t="s">
        <v>83</v>
      </c>
      <c r="DR268" s="16" t="s">
        <v>282</v>
      </c>
      <c r="DX268" s="137">
        <f>IF(CG268="základní",J268,0)</f>
        <v>17414.490000000002</v>
      </c>
      <c r="DY268" s="137">
        <f>IF(CG268="snížená",J268,0)</f>
        <v>0</v>
      </c>
      <c r="DZ268" s="137">
        <f>IF(CG268="zákl. přenesená",J268,0)</f>
        <v>0</v>
      </c>
      <c r="EA268" s="137">
        <f>IF(CG268="sníž. přenesená",J268,0)</f>
        <v>0</v>
      </c>
      <c r="EB268" s="137">
        <f>IF(CG268="nulová",J268,0)</f>
        <v>0</v>
      </c>
      <c r="EC268" s="16" t="s">
        <v>81</v>
      </c>
      <c r="ED268" s="137">
        <f>ROUND(I268*H268,2)</f>
        <v>17414.490000000002</v>
      </c>
      <c r="EE268" s="16" t="s">
        <v>95</v>
      </c>
      <c r="EF268" s="136" t="s">
        <v>473</v>
      </c>
    </row>
    <row r="269" spans="2:136" s="1" customFormat="1" ht="19.5" x14ac:dyDescent="0.2">
      <c r="B269" s="31"/>
      <c r="D269" s="138" t="s">
        <v>289</v>
      </c>
      <c r="F269" s="139" t="s">
        <v>474</v>
      </c>
      <c r="I269" s="140"/>
      <c r="L269" s="31"/>
      <c r="N269" s="213"/>
      <c r="O269" s="214"/>
      <c r="Q269" s="229"/>
      <c r="CF269" s="141"/>
      <c r="CM269" s="50"/>
      <c r="DM269" s="16" t="s">
        <v>289</v>
      </c>
      <c r="DN269" s="16" t="s">
        <v>83</v>
      </c>
    </row>
    <row r="270" spans="2:136" s="1" customFormat="1" ht="29.25" x14ac:dyDescent="0.2">
      <c r="B270" s="31"/>
      <c r="D270" s="138" t="s">
        <v>299</v>
      </c>
      <c r="F270" s="142" t="s">
        <v>1083</v>
      </c>
      <c r="I270" s="140"/>
      <c r="L270" s="31"/>
      <c r="N270" s="213"/>
      <c r="O270" s="214"/>
      <c r="Q270" s="229"/>
      <c r="CF270" s="141"/>
      <c r="CM270" s="50"/>
      <c r="DM270" s="16" t="s">
        <v>299</v>
      </c>
      <c r="DN270" s="16" t="s">
        <v>83</v>
      </c>
    </row>
    <row r="271" spans="2:136" s="12" customFormat="1" x14ac:dyDescent="0.2">
      <c r="B271" s="149"/>
      <c r="D271" s="138" t="s">
        <v>301</v>
      </c>
      <c r="E271" s="150" t="s">
        <v>1</v>
      </c>
      <c r="F271" s="151" t="s">
        <v>1121</v>
      </c>
      <c r="H271" s="152">
        <v>14.51</v>
      </c>
      <c r="I271" s="153"/>
      <c r="L271" s="149"/>
      <c r="N271" s="217">
        <f>156.85*1*0.1</f>
        <v>15.685</v>
      </c>
      <c r="O271" s="218" t="s">
        <v>3646</v>
      </c>
      <c r="Q271" s="231"/>
      <c r="CF271" s="154"/>
      <c r="CM271" s="155"/>
      <c r="DM271" s="150" t="s">
        <v>301</v>
      </c>
      <c r="DN271" s="150" t="s">
        <v>83</v>
      </c>
      <c r="DO271" s="12" t="s">
        <v>83</v>
      </c>
      <c r="DP271" s="12" t="s">
        <v>32</v>
      </c>
      <c r="DQ271" s="12" t="s">
        <v>81</v>
      </c>
      <c r="DR271" s="150" t="s">
        <v>282</v>
      </c>
    </row>
    <row r="272" spans="2:136" s="12" customFormat="1" x14ac:dyDescent="0.2">
      <c r="B272" s="149"/>
      <c r="D272" s="138"/>
      <c r="E272" s="150"/>
      <c r="F272" s="151"/>
      <c r="H272" s="152"/>
      <c r="I272" s="153"/>
      <c r="L272" s="149"/>
      <c r="N272" s="310">
        <f>N271-H271</f>
        <v>1.1750000000000007</v>
      </c>
      <c r="O272" s="218"/>
      <c r="Q272" s="231"/>
      <c r="CF272" s="154"/>
      <c r="CM272" s="155"/>
      <c r="DM272" s="150"/>
      <c r="DN272" s="150"/>
      <c r="DR272" s="150"/>
    </row>
    <row r="273" spans="2:136" s="1" customFormat="1" ht="14.45" customHeight="1" x14ac:dyDescent="0.2">
      <c r="B273" s="124"/>
      <c r="C273" s="125" t="s">
        <v>451</v>
      </c>
      <c r="D273" s="125" t="s">
        <v>284</v>
      </c>
      <c r="E273" s="126" t="s">
        <v>477</v>
      </c>
      <c r="F273" s="127" t="s">
        <v>478</v>
      </c>
      <c r="G273" s="128" t="s">
        <v>366</v>
      </c>
      <c r="H273" s="129">
        <v>5.8250000000000002</v>
      </c>
      <c r="I273" s="130">
        <v>1200.17173250368</v>
      </c>
      <c r="J273" s="131">
        <f>ROUND(I273*H273,2)</f>
        <v>6991</v>
      </c>
      <c r="K273" s="127" t="s">
        <v>1</v>
      </c>
      <c r="L273" s="198">
        <f>S273</f>
        <v>0</v>
      </c>
      <c r="M273" s="206">
        <f>ROUND(L273*I273,2)</f>
        <v>0</v>
      </c>
      <c r="N273" s="211">
        <f>N281</f>
        <v>-1.0250000000000004</v>
      </c>
      <c r="O273" s="212">
        <f>ROUND(N273*I273,2)</f>
        <v>-1230.18</v>
      </c>
      <c r="P273" s="207">
        <f>H273-L273-N273</f>
        <v>6.8500000000000005</v>
      </c>
      <c r="Q273" s="228">
        <f>ROUND(P273*I273,2)</f>
        <v>8221.18</v>
      </c>
      <c r="R273" s="199"/>
      <c r="S273" s="200">
        <f>W273+Y273+AA273+AC273+AE273+AG273+AI273+AK273</f>
        <v>0</v>
      </c>
      <c r="T273" s="200">
        <f>ROUND(S273*I273,2)</f>
        <v>0</v>
      </c>
      <c r="U273" s="200">
        <f>H273-S273</f>
        <v>5.8250000000000002</v>
      </c>
      <c r="V273" s="200">
        <f>ROUND(U273*I273,2)</f>
        <v>6991</v>
      </c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CF273" s="132" t="s">
        <v>1</v>
      </c>
      <c r="CG273" s="133" t="s">
        <v>40</v>
      </c>
      <c r="CI273" s="134">
        <f>CH273*H273</f>
        <v>0</v>
      </c>
      <c r="CJ273" s="134">
        <v>0</v>
      </c>
      <c r="CK273" s="134">
        <f>CJ273*H273</f>
        <v>0</v>
      </c>
      <c r="CL273" s="134">
        <v>0</v>
      </c>
      <c r="CM273" s="135">
        <f>CL273*H273</f>
        <v>0</v>
      </c>
      <c r="DK273" s="136" t="s">
        <v>95</v>
      </c>
      <c r="DM273" s="136" t="s">
        <v>284</v>
      </c>
      <c r="DN273" s="136" t="s">
        <v>83</v>
      </c>
      <c r="DR273" s="16" t="s">
        <v>282</v>
      </c>
      <c r="DX273" s="137">
        <f>IF(CG273="základní",J273,0)</f>
        <v>6991</v>
      </c>
      <c r="DY273" s="137">
        <f>IF(CG273="snížená",J273,0)</f>
        <v>0</v>
      </c>
      <c r="DZ273" s="137">
        <f>IF(CG273="zákl. přenesená",J273,0)</f>
        <v>0</v>
      </c>
      <c r="EA273" s="137">
        <f>IF(CG273="sníž. přenesená",J273,0)</f>
        <v>0</v>
      </c>
      <c r="EB273" s="137">
        <f>IF(CG273="nulová",J273,0)</f>
        <v>0</v>
      </c>
      <c r="EC273" s="16" t="s">
        <v>81</v>
      </c>
      <c r="ED273" s="137">
        <f>ROUND(I273*H273,2)</f>
        <v>6991</v>
      </c>
      <c r="EE273" s="16" t="s">
        <v>95</v>
      </c>
      <c r="EF273" s="136" t="s">
        <v>479</v>
      </c>
    </row>
    <row r="274" spans="2:136" s="1" customFormat="1" ht="19.5" x14ac:dyDescent="0.2">
      <c r="B274" s="31"/>
      <c r="D274" s="138" t="s">
        <v>289</v>
      </c>
      <c r="F274" s="139" t="s">
        <v>474</v>
      </c>
      <c r="I274" s="140"/>
      <c r="L274" s="31"/>
      <c r="N274" s="213"/>
      <c r="O274" s="214"/>
      <c r="Q274" s="229"/>
      <c r="CF274" s="141"/>
      <c r="CM274" s="50"/>
      <c r="DM274" s="16" t="s">
        <v>289</v>
      </c>
      <c r="DN274" s="16" t="s">
        <v>83</v>
      </c>
    </row>
    <row r="275" spans="2:136" s="1" customFormat="1" ht="29.25" x14ac:dyDescent="0.2">
      <c r="B275" s="31"/>
      <c r="D275" s="138" t="s">
        <v>299</v>
      </c>
      <c r="F275" s="142" t="s">
        <v>1083</v>
      </c>
      <c r="I275" s="140"/>
      <c r="L275" s="31"/>
      <c r="N275" s="213"/>
      <c r="O275" s="214"/>
      <c r="Q275" s="229"/>
      <c r="CF275" s="141"/>
      <c r="CM275" s="50"/>
      <c r="DM275" s="16" t="s">
        <v>299</v>
      </c>
      <c r="DN275" s="16" t="s">
        <v>83</v>
      </c>
    </row>
    <row r="276" spans="2:136" s="11" customFormat="1" x14ac:dyDescent="0.2">
      <c r="B276" s="143"/>
      <c r="D276" s="138" t="s">
        <v>301</v>
      </c>
      <c r="E276" s="144" t="s">
        <v>1</v>
      </c>
      <c r="F276" s="145" t="s">
        <v>1122</v>
      </c>
      <c r="H276" s="144" t="s">
        <v>1</v>
      </c>
      <c r="I276" s="146"/>
      <c r="L276" s="143"/>
      <c r="N276" s="215"/>
      <c r="O276" s="216"/>
      <c r="Q276" s="230"/>
      <c r="CF276" s="147"/>
      <c r="CM276" s="148"/>
      <c r="DM276" s="144" t="s">
        <v>301</v>
      </c>
      <c r="DN276" s="144" t="s">
        <v>83</v>
      </c>
      <c r="DO276" s="11" t="s">
        <v>81</v>
      </c>
      <c r="DP276" s="11" t="s">
        <v>32</v>
      </c>
      <c r="DQ276" s="11" t="s">
        <v>74</v>
      </c>
      <c r="DR276" s="144" t="s">
        <v>282</v>
      </c>
    </row>
    <row r="277" spans="2:136" s="12" customFormat="1" x14ac:dyDescent="0.2">
      <c r="B277" s="149"/>
      <c r="D277" s="138" t="s">
        <v>301</v>
      </c>
      <c r="E277" s="150" t="s">
        <v>1</v>
      </c>
      <c r="F277" s="151" t="s">
        <v>1123</v>
      </c>
      <c r="H277" s="152">
        <v>2</v>
      </c>
      <c r="I277" s="153"/>
      <c r="L277" s="149"/>
      <c r="N277" s="217">
        <f>1*1*0.1*30</f>
        <v>3</v>
      </c>
      <c r="O277" s="218" t="s">
        <v>1694</v>
      </c>
      <c r="Q277" s="231"/>
      <c r="CF277" s="154"/>
      <c r="CM277" s="155"/>
      <c r="DM277" s="150" t="s">
        <v>301</v>
      </c>
      <c r="DN277" s="150" t="s">
        <v>83</v>
      </c>
      <c r="DO277" s="12" t="s">
        <v>83</v>
      </c>
      <c r="DP277" s="12" t="s">
        <v>32</v>
      </c>
      <c r="DQ277" s="12" t="s">
        <v>74</v>
      </c>
      <c r="DR277" s="150" t="s">
        <v>282</v>
      </c>
    </row>
    <row r="278" spans="2:136" s="11" customFormat="1" x14ac:dyDescent="0.2">
      <c r="B278" s="143"/>
      <c r="D278" s="138" t="s">
        <v>301</v>
      </c>
      <c r="E278" s="144" t="s">
        <v>1</v>
      </c>
      <c r="F278" s="145" t="s">
        <v>916</v>
      </c>
      <c r="H278" s="144" t="s">
        <v>1</v>
      </c>
      <c r="I278" s="146"/>
      <c r="L278" s="143"/>
      <c r="N278" s="215"/>
      <c r="O278" s="216"/>
      <c r="Q278" s="230"/>
      <c r="CF278" s="147"/>
      <c r="CM278" s="148"/>
      <c r="DM278" s="144" t="s">
        <v>301</v>
      </c>
      <c r="DN278" s="144" t="s">
        <v>83</v>
      </c>
      <c r="DO278" s="11" t="s">
        <v>81</v>
      </c>
      <c r="DP278" s="11" t="s">
        <v>32</v>
      </c>
      <c r="DQ278" s="11" t="s">
        <v>74</v>
      </c>
      <c r="DR278" s="144" t="s">
        <v>282</v>
      </c>
    </row>
    <row r="279" spans="2:136" s="12" customFormat="1" x14ac:dyDescent="0.2">
      <c r="B279" s="149"/>
      <c r="D279" s="138" t="s">
        <v>301</v>
      </c>
      <c r="E279" s="150" t="s">
        <v>1</v>
      </c>
      <c r="F279" s="151" t="s">
        <v>1124</v>
      </c>
      <c r="H279" s="152">
        <v>3.8250000000000002</v>
      </c>
      <c r="I279" s="153"/>
      <c r="L279" s="149"/>
      <c r="N279" s="217">
        <f>1.5*1.5*0.1*8</f>
        <v>1.8</v>
      </c>
      <c r="O279" s="218" t="s">
        <v>3647</v>
      </c>
      <c r="Q279" s="231"/>
      <c r="CF279" s="154"/>
      <c r="CM279" s="155"/>
      <c r="DM279" s="150" t="s">
        <v>301</v>
      </c>
      <c r="DN279" s="150" t="s">
        <v>83</v>
      </c>
      <c r="DO279" s="12" t="s">
        <v>83</v>
      </c>
      <c r="DP279" s="12" t="s">
        <v>32</v>
      </c>
      <c r="DQ279" s="12" t="s">
        <v>74</v>
      </c>
      <c r="DR279" s="150" t="s">
        <v>282</v>
      </c>
    </row>
    <row r="280" spans="2:136" s="13" customFormat="1" x14ac:dyDescent="0.2">
      <c r="B280" s="156"/>
      <c r="D280" s="138" t="s">
        <v>301</v>
      </c>
      <c r="E280" s="157" t="s">
        <v>1</v>
      </c>
      <c r="F280" s="158" t="s">
        <v>305</v>
      </c>
      <c r="H280" s="159">
        <v>5.8250000000000002</v>
      </c>
      <c r="I280" s="160"/>
      <c r="L280" s="156"/>
      <c r="N280" s="219">
        <f>N277+N279</f>
        <v>4.8</v>
      </c>
      <c r="O280" s="220"/>
      <c r="Q280" s="232"/>
      <c r="CF280" s="161"/>
      <c r="CM280" s="162"/>
      <c r="DM280" s="157" t="s">
        <v>301</v>
      </c>
      <c r="DN280" s="157" t="s">
        <v>83</v>
      </c>
      <c r="DO280" s="13" t="s">
        <v>95</v>
      </c>
      <c r="DP280" s="13" t="s">
        <v>32</v>
      </c>
      <c r="DQ280" s="13" t="s">
        <v>81</v>
      </c>
      <c r="DR280" s="157" t="s">
        <v>282</v>
      </c>
    </row>
    <row r="281" spans="2:136" s="13" customFormat="1" x14ac:dyDescent="0.2">
      <c r="B281" s="156"/>
      <c r="D281" s="138"/>
      <c r="E281" s="157"/>
      <c r="F281" s="158"/>
      <c r="H281" s="159"/>
      <c r="I281" s="160"/>
      <c r="L281" s="156"/>
      <c r="N281" s="311">
        <f>N280-H280</f>
        <v>-1.0250000000000004</v>
      </c>
      <c r="O281" s="220"/>
      <c r="Q281" s="232"/>
      <c r="CF281" s="161"/>
      <c r="CM281" s="162"/>
      <c r="DM281" s="157"/>
      <c r="DN281" s="157"/>
      <c r="DR281" s="157"/>
    </row>
    <row r="282" spans="2:136" s="1" customFormat="1" ht="24.2" customHeight="1" x14ac:dyDescent="0.2">
      <c r="B282" s="124"/>
      <c r="C282" s="125" t="s">
        <v>456</v>
      </c>
      <c r="D282" s="125" t="s">
        <v>284</v>
      </c>
      <c r="E282" s="126" t="s">
        <v>515</v>
      </c>
      <c r="F282" s="127" t="s">
        <v>516</v>
      </c>
      <c r="G282" s="128" t="s">
        <v>366</v>
      </c>
      <c r="H282" s="129">
        <v>4.0570000000000004</v>
      </c>
      <c r="I282" s="130">
        <v>2895.0660868876225</v>
      </c>
      <c r="J282" s="131">
        <f>ROUND(I282*H282,2)</f>
        <v>11745.28</v>
      </c>
      <c r="K282" s="127" t="s">
        <v>293</v>
      </c>
      <c r="L282" s="198">
        <f>S282</f>
        <v>0</v>
      </c>
      <c r="M282" s="206">
        <f>ROUND(L282*I282,2)</f>
        <v>0</v>
      </c>
      <c r="N282" s="211">
        <f>N290</f>
        <v>-8.9000000000000412E-2</v>
      </c>
      <c r="O282" s="212">
        <f>ROUND(N282*I282,2)</f>
        <v>-257.66000000000003</v>
      </c>
      <c r="P282" s="207">
        <f>H282-L282-N282</f>
        <v>4.1460000000000008</v>
      </c>
      <c r="Q282" s="228">
        <f>ROUND(P282*I282,2)</f>
        <v>12002.94</v>
      </c>
      <c r="R282" s="199"/>
      <c r="S282" s="200">
        <f>W282+Y282+AA282+AC282+AE282+AG282+AI282+AK282</f>
        <v>0</v>
      </c>
      <c r="T282" s="200">
        <f>ROUND(S282*I282,2)</f>
        <v>0</v>
      </c>
      <c r="U282" s="200">
        <f>H282-S282</f>
        <v>4.0570000000000004</v>
      </c>
      <c r="V282" s="200">
        <f>ROUND(U282*I282,2)</f>
        <v>11745.28</v>
      </c>
      <c r="W282" s="200"/>
      <c r="X282" s="200"/>
      <c r="Y282" s="200"/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CF282" s="132" t="s">
        <v>1</v>
      </c>
      <c r="CG282" s="133" t="s">
        <v>40</v>
      </c>
      <c r="CI282" s="134">
        <f>CH282*H282</f>
        <v>0</v>
      </c>
      <c r="CJ282" s="134">
        <v>0</v>
      </c>
      <c r="CK282" s="134">
        <f>CJ282*H282</f>
        <v>0</v>
      </c>
      <c r="CL282" s="134">
        <v>0</v>
      </c>
      <c r="CM282" s="135">
        <f>CL282*H282</f>
        <v>0</v>
      </c>
      <c r="DK282" s="136" t="s">
        <v>95</v>
      </c>
      <c r="DM282" s="136" t="s">
        <v>284</v>
      </c>
      <c r="DN282" s="136" t="s">
        <v>83</v>
      </c>
      <c r="DR282" s="16" t="s">
        <v>282</v>
      </c>
      <c r="DX282" s="137">
        <f>IF(CG282="základní",J282,0)</f>
        <v>11745.28</v>
      </c>
      <c r="DY282" s="137">
        <f>IF(CG282="snížená",J282,0)</f>
        <v>0</v>
      </c>
      <c r="DZ282" s="137">
        <f>IF(CG282="zákl. přenesená",J282,0)</f>
        <v>0</v>
      </c>
      <c r="EA282" s="137">
        <f>IF(CG282="sníž. přenesená",J282,0)</f>
        <v>0</v>
      </c>
      <c r="EB282" s="137">
        <f>IF(CG282="nulová",J282,0)</f>
        <v>0</v>
      </c>
      <c r="EC282" s="16" t="s">
        <v>81</v>
      </c>
      <c r="ED282" s="137">
        <f>ROUND(I282*H282,2)</f>
        <v>11745.28</v>
      </c>
      <c r="EE282" s="16" t="s">
        <v>95</v>
      </c>
      <c r="EF282" s="136" t="s">
        <v>517</v>
      </c>
    </row>
    <row r="283" spans="2:136" s="1" customFormat="1" ht="29.25" x14ac:dyDescent="0.2">
      <c r="B283" s="31"/>
      <c r="D283" s="138" t="s">
        <v>289</v>
      </c>
      <c r="F283" s="139" t="s">
        <v>518</v>
      </c>
      <c r="I283" s="140"/>
      <c r="L283" s="31"/>
      <c r="N283" s="213"/>
      <c r="O283" s="214"/>
      <c r="Q283" s="229"/>
      <c r="CF283" s="141"/>
      <c r="CM283" s="50"/>
      <c r="DM283" s="16" t="s">
        <v>289</v>
      </c>
      <c r="DN283" s="16" t="s">
        <v>83</v>
      </c>
    </row>
    <row r="284" spans="2:136" s="1" customFormat="1" ht="29.25" x14ac:dyDescent="0.2">
      <c r="B284" s="31"/>
      <c r="D284" s="138" t="s">
        <v>299</v>
      </c>
      <c r="F284" s="142" t="s">
        <v>1083</v>
      </c>
      <c r="I284" s="140"/>
      <c r="L284" s="31"/>
      <c r="N284" s="213"/>
      <c r="O284" s="214"/>
      <c r="Q284" s="229"/>
      <c r="CF284" s="141"/>
      <c r="CM284" s="50"/>
      <c r="DM284" s="16" t="s">
        <v>299</v>
      </c>
      <c r="DN284" s="16" t="s">
        <v>83</v>
      </c>
    </row>
    <row r="285" spans="2:136" s="11" customFormat="1" x14ac:dyDescent="0.2">
      <c r="B285" s="143"/>
      <c r="D285" s="138" t="s">
        <v>301</v>
      </c>
      <c r="E285" s="144" t="s">
        <v>1</v>
      </c>
      <c r="F285" s="145" t="s">
        <v>1122</v>
      </c>
      <c r="H285" s="144" t="s">
        <v>1</v>
      </c>
      <c r="I285" s="146"/>
      <c r="L285" s="143"/>
      <c r="N285" s="215"/>
      <c r="O285" s="216"/>
      <c r="Q285" s="230"/>
      <c r="CF285" s="147"/>
      <c r="CM285" s="148"/>
      <c r="DM285" s="144" t="s">
        <v>301</v>
      </c>
      <c r="DN285" s="144" t="s">
        <v>83</v>
      </c>
      <c r="DO285" s="11" t="s">
        <v>81</v>
      </c>
      <c r="DP285" s="11" t="s">
        <v>32</v>
      </c>
      <c r="DQ285" s="11" t="s">
        <v>74</v>
      </c>
      <c r="DR285" s="144" t="s">
        <v>282</v>
      </c>
    </row>
    <row r="286" spans="2:136" s="12" customFormat="1" x14ac:dyDescent="0.2">
      <c r="B286" s="149"/>
      <c r="D286" s="138" t="s">
        <v>301</v>
      </c>
      <c r="E286" s="150" t="s">
        <v>1</v>
      </c>
      <c r="F286" s="151" t="s">
        <v>1123</v>
      </c>
      <c r="H286" s="152">
        <v>2</v>
      </c>
      <c r="I286" s="153"/>
      <c r="L286" s="149"/>
      <c r="N286" s="217">
        <f>1*1*0.1*30</f>
        <v>3</v>
      </c>
      <c r="O286" s="218" t="s">
        <v>1694</v>
      </c>
      <c r="Q286" s="231"/>
      <c r="CF286" s="154"/>
      <c r="CM286" s="155"/>
      <c r="DM286" s="150" t="s">
        <v>301</v>
      </c>
      <c r="DN286" s="150" t="s">
        <v>83</v>
      </c>
      <c r="DO286" s="12" t="s">
        <v>83</v>
      </c>
      <c r="DP286" s="12" t="s">
        <v>32</v>
      </c>
      <c r="DQ286" s="12" t="s">
        <v>74</v>
      </c>
      <c r="DR286" s="150" t="s">
        <v>282</v>
      </c>
    </row>
    <row r="287" spans="2:136" s="11" customFormat="1" x14ac:dyDescent="0.2">
      <c r="B287" s="143"/>
      <c r="D287" s="138" t="s">
        <v>301</v>
      </c>
      <c r="E287" s="144" t="s">
        <v>1</v>
      </c>
      <c r="F287" s="145" t="s">
        <v>916</v>
      </c>
      <c r="H287" s="144" t="s">
        <v>1</v>
      </c>
      <c r="I287" s="146"/>
      <c r="L287" s="143"/>
      <c r="N287" s="215"/>
      <c r="O287" s="216"/>
      <c r="Q287" s="230"/>
      <c r="CF287" s="147"/>
      <c r="CM287" s="148"/>
      <c r="DM287" s="144" t="s">
        <v>301</v>
      </c>
      <c r="DN287" s="144" t="s">
        <v>83</v>
      </c>
      <c r="DO287" s="11" t="s">
        <v>81</v>
      </c>
      <c r="DP287" s="11" t="s">
        <v>32</v>
      </c>
      <c r="DQ287" s="11" t="s">
        <v>74</v>
      </c>
      <c r="DR287" s="144" t="s">
        <v>282</v>
      </c>
    </row>
    <row r="288" spans="2:136" s="12" customFormat="1" x14ac:dyDescent="0.2">
      <c r="B288" s="149"/>
      <c r="D288" s="138" t="s">
        <v>301</v>
      </c>
      <c r="E288" s="150" t="s">
        <v>1</v>
      </c>
      <c r="F288" s="151" t="s">
        <v>1125</v>
      </c>
      <c r="H288" s="152">
        <v>2.0569999999999999</v>
      </c>
      <c r="I288" s="153"/>
      <c r="L288" s="149"/>
      <c r="N288" s="217">
        <f>1.1*1.1*0.1*8</f>
        <v>0.96800000000000019</v>
      </c>
      <c r="O288" s="218" t="s">
        <v>3650</v>
      </c>
      <c r="Q288" s="231"/>
      <c r="CF288" s="154"/>
      <c r="CM288" s="155"/>
      <c r="DM288" s="150" t="s">
        <v>301</v>
      </c>
      <c r="DN288" s="150" t="s">
        <v>83</v>
      </c>
      <c r="DO288" s="12" t="s">
        <v>83</v>
      </c>
      <c r="DP288" s="12" t="s">
        <v>32</v>
      </c>
      <c r="DQ288" s="12" t="s">
        <v>74</v>
      </c>
      <c r="DR288" s="150" t="s">
        <v>282</v>
      </c>
    </row>
    <row r="289" spans="2:136" s="13" customFormat="1" x14ac:dyDescent="0.2">
      <c r="B289" s="156"/>
      <c r="D289" s="138" t="s">
        <v>301</v>
      </c>
      <c r="E289" s="157" t="s">
        <v>1</v>
      </c>
      <c r="F289" s="158" t="s">
        <v>305</v>
      </c>
      <c r="H289" s="159">
        <v>4.0570000000000004</v>
      </c>
      <c r="I289" s="160"/>
      <c r="L289" s="156"/>
      <c r="N289" s="219">
        <f>N286+N288</f>
        <v>3.968</v>
      </c>
      <c r="O289" s="220"/>
      <c r="Q289" s="232"/>
      <c r="CF289" s="161"/>
      <c r="CM289" s="162"/>
      <c r="DM289" s="157" t="s">
        <v>301</v>
      </c>
      <c r="DN289" s="157" t="s">
        <v>83</v>
      </c>
      <c r="DO289" s="13" t="s">
        <v>95</v>
      </c>
      <c r="DP289" s="13" t="s">
        <v>32</v>
      </c>
      <c r="DQ289" s="13" t="s">
        <v>81</v>
      </c>
      <c r="DR289" s="157" t="s">
        <v>282</v>
      </c>
    </row>
    <row r="290" spans="2:136" s="13" customFormat="1" x14ac:dyDescent="0.2">
      <c r="B290" s="156"/>
      <c r="D290" s="138"/>
      <c r="E290" s="157"/>
      <c r="F290" s="158"/>
      <c r="H290" s="159"/>
      <c r="I290" s="160"/>
      <c r="L290" s="156"/>
      <c r="N290" s="311">
        <f>N289-H289</f>
        <v>-8.9000000000000412E-2</v>
      </c>
      <c r="O290" s="220"/>
      <c r="Q290" s="232"/>
      <c r="CF290" s="161"/>
      <c r="CM290" s="162"/>
      <c r="DM290" s="157"/>
      <c r="DN290" s="157"/>
      <c r="DR290" s="157"/>
    </row>
    <row r="291" spans="2:136" s="10" customFormat="1" ht="22.9" customHeight="1" x14ac:dyDescent="0.2">
      <c r="B291" s="112"/>
      <c r="D291" s="113" t="s">
        <v>73</v>
      </c>
      <c r="E291" s="122" t="s">
        <v>312</v>
      </c>
      <c r="F291" s="122" t="s">
        <v>520</v>
      </c>
      <c r="I291" s="115"/>
      <c r="J291" s="123">
        <f>ED291</f>
        <v>104378.24000000001</v>
      </c>
      <c r="L291" s="112"/>
      <c r="M291" s="320">
        <f>M292+M294+M296+M298</f>
        <v>0</v>
      </c>
      <c r="N291" s="323"/>
      <c r="O291" s="324">
        <f t="shared" ref="O291:V291" si="5">O292+O294+O296+O298</f>
        <v>3306.24</v>
      </c>
      <c r="P291" s="320"/>
      <c r="Q291" s="326">
        <f t="shared" si="5"/>
        <v>101072</v>
      </c>
      <c r="R291" s="320"/>
      <c r="S291" s="320"/>
      <c r="T291" s="320">
        <f t="shared" si="5"/>
        <v>0</v>
      </c>
      <c r="U291" s="320"/>
      <c r="V291" s="320">
        <f t="shared" si="5"/>
        <v>104378.24000000001</v>
      </c>
      <c r="CF291" s="117"/>
      <c r="CI291" s="118">
        <f>SUM(CI292:CI302)</f>
        <v>0</v>
      </c>
      <c r="CK291" s="118">
        <f>SUM(CK292:CK302)</f>
        <v>0</v>
      </c>
      <c r="CM291" s="119">
        <f>SUM(CM292:CM302)</f>
        <v>0</v>
      </c>
      <c r="DK291" s="113" t="s">
        <v>81</v>
      </c>
      <c r="DM291" s="120" t="s">
        <v>73</v>
      </c>
      <c r="DN291" s="120" t="s">
        <v>81</v>
      </c>
      <c r="DR291" s="113" t="s">
        <v>282</v>
      </c>
      <c r="ED291" s="121">
        <f>SUM(ED292:ED302)</f>
        <v>104378.24000000001</v>
      </c>
    </row>
    <row r="292" spans="2:136" s="1" customFormat="1" ht="24.2" customHeight="1" x14ac:dyDescent="0.2">
      <c r="B292" s="124"/>
      <c r="C292" s="125" t="s">
        <v>463</v>
      </c>
      <c r="D292" s="125" t="s">
        <v>284</v>
      </c>
      <c r="E292" s="126" t="s">
        <v>522</v>
      </c>
      <c r="F292" s="127" t="s">
        <v>523</v>
      </c>
      <c r="G292" s="128" t="s">
        <v>287</v>
      </c>
      <c r="H292" s="129">
        <v>142.065</v>
      </c>
      <c r="I292" s="130">
        <v>130.95617506780872</v>
      </c>
      <c r="J292" s="131">
        <f>ROUND(I292*H292,2)</f>
        <v>18604.29</v>
      </c>
      <c r="K292" s="127" t="s">
        <v>293</v>
      </c>
      <c r="L292" s="198">
        <f>S292</f>
        <v>0</v>
      </c>
      <c r="M292" s="206">
        <f>ROUND(L292*I292,2)</f>
        <v>0</v>
      </c>
      <c r="N292" s="211">
        <f>N126</f>
        <v>4.5</v>
      </c>
      <c r="O292" s="212">
        <f>ROUND(N292*I292,2)</f>
        <v>589.29999999999995</v>
      </c>
      <c r="P292" s="207">
        <f>H292-L292-N292</f>
        <v>137.565</v>
      </c>
      <c r="Q292" s="228">
        <f>ROUND(P292*I292,2)</f>
        <v>18014.990000000002</v>
      </c>
      <c r="R292" s="199"/>
      <c r="S292" s="200">
        <f>W292+Y292+AA292+AC292+AE292+AG292+AI292+AK292</f>
        <v>0</v>
      </c>
      <c r="T292" s="200">
        <f>ROUND(S292*I292,2)</f>
        <v>0</v>
      </c>
      <c r="U292" s="200">
        <f>H292-S292</f>
        <v>142.065</v>
      </c>
      <c r="V292" s="200">
        <f>ROUND(U292*I292,2)</f>
        <v>18604.29</v>
      </c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CF292" s="132" t="s">
        <v>1</v>
      </c>
      <c r="CG292" s="133" t="s">
        <v>40</v>
      </c>
      <c r="CI292" s="134">
        <f>CH292*H292</f>
        <v>0</v>
      </c>
      <c r="CJ292" s="134">
        <v>0</v>
      </c>
      <c r="CK292" s="134">
        <f>CJ292*H292</f>
        <v>0</v>
      </c>
      <c r="CL292" s="134">
        <v>0</v>
      </c>
      <c r="CM292" s="135">
        <f>CL292*H292</f>
        <v>0</v>
      </c>
      <c r="DK292" s="136" t="s">
        <v>95</v>
      </c>
      <c r="DM292" s="136" t="s">
        <v>284</v>
      </c>
      <c r="DN292" s="136" t="s">
        <v>83</v>
      </c>
      <c r="DR292" s="16" t="s">
        <v>282</v>
      </c>
      <c r="DX292" s="137">
        <f>IF(CG292="základní",J292,0)</f>
        <v>18604.29</v>
      </c>
      <c r="DY292" s="137">
        <f>IF(CG292="snížená",J292,0)</f>
        <v>0</v>
      </c>
      <c r="DZ292" s="137">
        <f>IF(CG292="zákl. přenesená",J292,0)</f>
        <v>0</v>
      </c>
      <c r="EA292" s="137">
        <f>IF(CG292="sníž. přenesená",J292,0)</f>
        <v>0</v>
      </c>
      <c r="EB292" s="137">
        <f>IF(CG292="nulová",J292,0)</f>
        <v>0</v>
      </c>
      <c r="EC292" s="16" t="s">
        <v>81</v>
      </c>
      <c r="ED292" s="137">
        <f>ROUND(I292*H292,2)</f>
        <v>18604.29</v>
      </c>
      <c r="EE292" s="16" t="s">
        <v>95</v>
      </c>
      <c r="EF292" s="136" t="s">
        <v>524</v>
      </c>
    </row>
    <row r="293" spans="2:136" s="1" customFormat="1" ht="19.5" x14ac:dyDescent="0.2">
      <c r="B293" s="31"/>
      <c r="D293" s="138" t="s">
        <v>289</v>
      </c>
      <c r="F293" s="139" t="s">
        <v>525</v>
      </c>
      <c r="I293" s="140"/>
      <c r="L293" s="31"/>
      <c r="N293" s="213"/>
      <c r="O293" s="214"/>
      <c r="Q293" s="229"/>
      <c r="CF293" s="141"/>
      <c r="CM293" s="50"/>
      <c r="DM293" s="16" t="s">
        <v>289</v>
      </c>
      <c r="DN293" s="16" t="s">
        <v>83</v>
      </c>
    </row>
    <row r="294" spans="2:136" s="1" customFormat="1" ht="14.45" customHeight="1" x14ac:dyDescent="0.2">
      <c r="B294" s="124"/>
      <c r="C294" s="125" t="s">
        <v>470</v>
      </c>
      <c r="D294" s="125" t="s">
        <v>284</v>
      </c>
      <c r="E294" s="126" t="s">
        <v>527</v>
      </c>
      <c r="F294" s="127" t="s">
        <v>528</v>
      </c>
      <c r="G294" s="128" t="s">
        <v>287</v>
      </c>
      <c r="H294" s="129">
        <v>142.065</v>
      </c>
      <c r="I294" s="130">
        <v>200.20823792465458</v>
      </c>
      <c r="J294" s="131">
        <f>ROUND(I294*H294,2)</f>
        <v>28442.58</v>
      </c>
      <c r="K294" s="127" t="s">
        <v>293</v>
      </c>
      <c r="L294" s="198">
        <f>S294</f>
        <v>0</v>
      </c>
      <c r="M294" s="206">
        <f>ROUND(L294*I294,2)</f>
        <v>0</v>
      </c>
      <c r="N294" s="211">
        <f>N292</f>
        <v>4.5</v>
      </c>
      <c r="O294" s="212">
        <f>ROUND(N294*I294,2)</f>
        <v>900.94</v>
      </c>
      <c r="P294" s="207">
        <f>H294-L294-N294</f>
        <v>137.565</v>
      </c>
      <c r="Q294" s="228">
        <f>ROUND(P294*I294,2)</f>
        <v>27541.65</v>
      </c>
      <c r="R294" s="199"/>
      <c r="S294" s="200">
        <f>W294+Y294+AA294+AC294+AE294+AG294+AI294+AK294</f>
        <v>0</v>
      </c>
      <c r="T294" s="200">
        <f>ROUND(S294*I294,2)</f>
        <v>0</v>
      </c>
      <c r="U294" s="200">
        <f>H294-S294</f>
        <v>142.065</v>
      </c>
      <c r="V294" s="200">
        <f>ROUND(U294*I294,2)</f>
        <v>28442.58</v>
      </c>
      <c r="W294" s="200"/>
      <c r="X294" s="200"/>
      <c r="Y294" s="200"/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CF294" s="132" t="s">
        <v>1</v>
      </c>
      <c r="CG294" s="133" t="s">
        <v>40</v>
      </c>
      <c r="CI294" s="134">
        <f>CH294*H294</f>
        <v>0</v>
      </c>
      <c r="CJ294" s="134">
        <v>0</v>
      </c>
      <c r="CK294" s="134">
        <f>CJ294*H294</f>
        <v>0</v>
      </c>
      <c r="CL294" s="134">
        <v>0</v>
      </c>
      <c r="CM294" s="135">
        <f>CL294*H294</f>
        <v>0</v>
      </c>
      <c r="DK294" s="136" t="s">
        <v>95</v>
      </c>
      <c r="DM294" s="136" t="s">
        <v>284</v>
      </c>
      <c r="DN294" s="136" t="s">
        <v>83</v>
      </c>
      <c r="DR294" s="16" t="s">
        <v>282</v>
      </c>
      <c r="DX294" s="137">
        <f>IF(CG294="základní",J294,0)</f>
        <v>28442.58</v>
      </c>
      <c r="DY294" s="137">
        <f>IF(CG294="snížená",J294,0)</f>
        <v>0</v>
      </c>
      <c r="DZ294" s="137">
        <f>IF(CG294="zákl. přenesená",J294,0)</f>
        <v>0</v>
      </c>
      <c r="EA294" s="137">
        <f>IF(CG294="sníž. přenesená",J294,0)</f>
        <v>0</v>
      </c>
      <c r="EB294" s="137">
        <f>IF(CG294="nulová",J294,0)</f>
        <v>0</v>
      </c>
      <c r="EC294" s="16" t="s">
        <v>81</v>
      </c>
      <c r="ED294" s="137">
        <f>ROUND(I294*H294,2)</f>
        <v>28442.58</v>
      </c>
      <c r="EE294" s="16" t="s">
        <v>95</v>
      </c>
      <c r="EF294" s="136" t="s">
        <v>529</v>
      </c>
    </row>
    <row r="295" spans="2:136" s="1" customFormat="1" ht="19.5" x14ac:dyDescent="0.2">
      <c r="B295" s="31"/>
      <c r="D295" s="138" t="s">
        <v>289</v>
      </c>
      <c r="F295" s="139" t="s">
        <v>530</v>
      </c>
      <c r="I295" s="140"/>
      <c r="L295" s="31"/>
      <c r="N295" s="213"/>
      <c r="O295" s="214"/>
      <c r="Q295" s="229"/>
      <c r="CF295" s="141"/>
      <c r="CM295" s="50"/>
      <c r="DM295" s="16" t="s">
        <v>289</v>
      </c>
      <c r="DN295" s="16" t="s">
        <v>83</v>
      </c>
    </row>
    <row r="296" spans="2:136" s="1" customFormat="1" ht="24.2" customHeight="1" x14ac:dyDescent="0.2">
      <c r="B296" s="124"/>
      <c r="C296" s="125" t="s">
        <v>476</v>
      </c>
      <c r="D296" s="125" t="s">
        <v>284</v>
      </c>
      <c r="E296" s="126" t="s">
        <v>532</v>
      </c>
      <c r="F296" s="127" t="s">
        <v>533</v>
      </c>
      <c r="G296" s="128" t="s">
        <v>287</v>
      </c>
      <c r="H296" s="129">
        <v>142.065</v>
      </c>
      <c r="I296" s="130">
        <v>40.878739778868102</v>
      </c>
      <c r="J296" s="131">
        <f>ROUND(I296*H296,2)</f>
        <v>5807.44</v>
      </c>
      <c r="K296" s="127" t="s">
        <v>293</v>
      </c>
      <c r="L296" s="198">
        <f>S296</f>
        <v>0</v>
      </c>
      <c r="M296" s="206">
        <f>ROUND(L296*I296,2)</f>
        <v>0</v>
      </c>
      <c r="N296" s="211">
        <f>N292</f>
        <v>4.5</v>
      </c>
      <c r="O296" s="212">
        <f>ROUND(N296*I296,2)</f>
        <v>183.95</v>
      </c>
      <c r="P296" s="207">
        <f>H296-L296-N296</f>
        <v>137.565</v>
      </c>
      <c r="Q296" s="228">
        <f>ROUND(P296*I296,2)</f>
        <v>5623.48</v>
      </c>
      <c r="R296" s="199"/>
      <c r="S296" s="200">
        <f>W296+Y296+AA296+AC296+AE296+AG296+AI296+AK296</f>
        <v>0</v>
      </c>
      <c r="T296" s="200">
        <f>ROUND(S296*I296,2)</f>
        <v>0</v>
      </c>
      <c r="U296" s="200">
        <f>H296-S296</f>
        <v>142.065</v>
      </c>
      <c r="V296" s="200">
        <f>ROUND(U296*I296,2)</f>
        <v>5807.44</v>
      </c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CF296" s="132" t="s">
        <v>1</v>
      </c>
      <c r="CG296" s="133" t="s">
        <v>40</v>
      </c>
      <c r="CI296" s="134">
        <f>CH296*H296</f>
        <v>0</v>
      </c>
      <c r="CJ296" s="134">
        <v>0</v>
      </c>
      <c r="CK296" s="134">
        <f>CJ296*H296</f>
        <v>0</v>
      </c>
      <c r="CL296" s="134">
        <v>0</v>
      </c>
      <c r="CM296" s="135">
        <f>CL296*H296</f>
        <v>0</v>
      </c>
      <c r="DK296" s="136" t="s">
        <v>95</v>
      </c>
      <c r="DM296" s="136" t="s">
        <v>284</v>
      </c>
      <c r="DN296" s="136" t="s">
        <v>83</v>
      </c>
      <c r="DR296" s="16" t="s">
        <v>282</v>
      </c>
      <c r="DX296" s="137">
        <f>IF(CG296="základní",J296,0)</f>
        <v>5807.44</v>
      </c>
      <c r="DY296" s="137">
        <f>IF(CG296="snížená",J296,0)</f>
        <v>0</v>
      </c>
      <c r="DZ296" s="137">
        <f>IF(CG296="zákl. přenesená",J296,0)</f>
        <v>0</v>
      </c>
      <c r="EA296" s="137">
        <f>IF(CG296="sníž. přenesená",J296,0)</f>
        <v>0</v>
      </c>
      <c r="EB296" s="137">
        <f>IF(CG296="nulová",J296,0)</f>
        <v>0</v>
      </c>
      <c r="EC296" s="16" t="s">
        <v>81</v>
      </c>
      <c r="ED296" s="137">
        <f>ROUND(I296*H296,2)</f>
        <v>5807.44</v>
      </c>
      <c r="EE296" s="16" t="s">
        <v>95</v>
      </c>
      <c r="EF296" s="136" t="s">
        <v>534</v>
      </c>
    </row>
    <row r="297" spans="2:136" s="1" customFormat="1" ht="19.5" x14ac:dyDescent="0.2">
      <c r="B297" s="31"/>
      <c r="D297" s="138" t="s">
        <v>289</v>
      </c>
      <c r="F297" s="139" t="s">
        <v>535</v>
      </c>
      <c r="I297" s="140"/>
      <c r="L297" s="31"/>
      <c r="N297" s="213"/>
      <c r="O297" s="214"/>
      <c r="Q297" s="229"/>
      <c r="CF297" s="141"/>
      <c r="CM297" s="50"/>
      <c r="DM297" s="16" t="s">
        <v>289</v>
      </c>
      <c r="DN297" s="16" t="s">
        <v>83</v>
      </c>
    </row>
    <row r="298" spans="2:136" s="1" customFormat="1" ht="24.2" customHeight="1" x14ac:dyDescent="0.2">
      <c r="B298" s="124"/>
      <c r="C298" s="125" t="s">
        <v>482</v>
      </c>
      <c r="D298" s="125" t="s">
        <v>284</v>
      </c>
      <c r="E298" s="126" t="s">
        <v>537</v>
      </c>
      <c r="F298" s="127" t="s">
        <v>538</v>
      </c>
      <c r="G298" s="128" t="s">
        <v>287</v>
      </c>
      <c r="H298" s="129">
        <v>142.065</v>
      </c>
      <c r="I298" s="130">
        <v>362.67856108310502</v>
      </c>
      <c r="J298" s="131">
        <f>ROUND(I298*H298,2)</f>
        <v>51523.93</v>
      </c>
      <c r="K298" s="127" t="s">
        <v>293</v>
      </c>
      <c r="L298" s="198">
        <f>S298</f>
        <v>0</v>
      </c>
      <c r="M298" s="206">
        <f>ROUND(L298*I298,2)</f>
        <v>0</v>
      </c>
      <c r="N298" s="211">
        <f>N292</f>
        <v>4.5</v>
      </c>
      <c r="O298" s="212">
        <f>ROUND(N298*I298,2)</f>
        <v>1632.05</v>
      </c>
      <c r="P298" s="207">
        <f>H298-L298-N298</f>
        <v>137.565</v>
      </c>
      <c r="Q298" s="228">
        <f>ROUND(P298*I298,2)</f>
        <v>49891.88</v>
      </c>
      <c r="R298" s="199"/>
      <c r="S298" s="200">
        <f>W298+Y298+AA298+AC298+AE298+AG298+AI298+AK298</f>
        <v>0</v>
      </c>
      <c r="T298" s="200">
        <f>ROUND(S298*I298,2)</f>
        <v>0</v>
      </c>
      <c r="U298" s="200">
        <f>H298-S298</f>
        <v>142.065</v>
      </c>
      <c r="V298" s="200">
        <f>ROUND(U298*I298,2)</f>
        <v>51523.93</v>
      </c>
      <c r="W298" s="200"/>
      <c r="X298" s="200"/>
      <c r="Y298" s="200"/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CF298" s="132" t="s">
        <v>1</v>
      </c>
      <c r="CG298" s="133" t="s">
        <v>40</v>
      </c>
      <c r="CI298" s="134">
        <f>CH298*H298</f>
        <v>0</v>
      </c>
      <c r="CJ298" s="134">
        <v>0</v>
      </c>
      <c r="CK298" s="134">
        <f>CJ298*H298</f>
        <v>0</v>
      </c>
      <c r="CL298" s="134">
        <v>0</v>
      </c>
      <c r="CM298" s="135">
        <f>CL298*H298</f>
        <v>0</v>
      </c>
      <c r="DK298" s="136" t="s">
        <v>95</v>
      </c>
      <c r="DM298" s="136" t="s">
        <v>284</v>
      </c>
      <c r="DN298" s="136" t="s">
        <v>83</v>
      </c>
      <c r="DR298" s="16" t="s">
        <v>282</v>
      </c>
      <c r="DX298" s="137">
        <f>IF(CG298="základní",J298,0)</f>
        <v>51523.93</v>
      </c>
      <c r="DY298" s="137">
        <f>IF(CG298="snížená",J298,0)</f>
        <v>0</v>
      </c>
      <c r="DZ298" s="137">
        <f>IF(CG298="zákl. přenesená",J298,0)</f>
        <v>0</v>
      </c>
      <c r="EA298" s="137">
        <f>IF(CG298="sníž. přenesená",J298,0)</f>
        <v>0</v>
      </c>
      <c r="EB298" s="137">
        <f>IF(CG298="nulová",J298,0)</f>
        <v>0</v>
      </c>
      <c r="EC298" s="16" t="s">
        <v>81</v>
      </c>
      <c r="ED298" s="137">
        <f>ROUND(I298*H298,2)</f>
        <v>51523.93</v>
      </c>
      <c r="EE298" s="16" t="s">
        <v>95</v>
      </c>
      <c r="EF298" s="136" t="s">
        <v>539</v>
      </c>
    </row>
    <row r="299" spans="2:136" s="1" customFormat="1" ht="29.25" x14ac:dyDescent="0.2">
      <c r="B299" s="31"/>
      <c r="D299" s="138" t="s">
        <v>289</v>
      </c>
      <c r="F299" s="139" t="s">
        <v>540</v>
      </c>
      <c r="I299" s="140"/>
      <c r="L299" s="31"/>
      <c r="N299" s="213"/>
      <c r="O299" s="214"/>
      <c r="Q299" s="229"/>
      <c r="CF299" s="141"/>
      <c r="CM299" s="50"/>
      <c r="DM299" s="16" t="s">
        <v>289</v>
      </c>
      <c r="DN299" s="16" t="s">
        <v>83</v>
      </c>
    </row>
    <row r="300" spans="2:136" s="1" customFormat="1" ht="29.25" x14ac:dyDescent="0.2">
      <c r="B300" s="31"/>
      <c r="D300" s="138" t="s">
        <v>299</v>
      </c>
      <c r="F300" s="142" t="s">
        <v>1083</v>
      </c>
      <c r="I300" s="140"/>
      <c r="L300" s="31"/>
      <c r="N300" s="213"/>
      <c r="O300" s="214"/>
      <c r="Q300" s="229"/>
      <c r="CF300" s="141"/>
      <c r="CM300" s="50"/>
      <c r="DM300" s="16" t="s">
        <v>299</v>
      </c>
      <c r="DN300" s="16" t="s">
        <v>83</v>
      </c>
    </row>
    <row r="301" spans="2:136" s="11" customFormat="1" ht="22.5" x14ac:dyDescent="0.2">
      <c r="B301" s="143"/>
      <c r="D301" s="138" t="s">
        <v>301</v>
      </c>
      <c r="E301" s="144" t="s">
        <v>1</v>
      </c>
      <c r="F301" s="145" t="s">
        <v>1126</v>
      </c>
      <c r="H301" s="144" t="s">
        <v>1</v>
      </c>
      <c r="I301" s="146"/>
      <c r="L301" s="143"/>
      <c r="N301" s="215"/>
      <c r="O301" s="216"/>
      <c r="Q301" s="230"/>
      <c r="CF301" s="147"/>
      <c r="CM301" s="148"/>
      <c r="DM301" s="144" t="s">
        <v>301</v>
      </c>
      <c r="DN301" s="144" t="s">
        <v>83</v>
      </c>
      <c r="DO301" s="11" t="s">
        <v>81</v>
      </c>
      <c r="DP301" s="11" t="s">
        <v>32</v>
      </c>
      <c r="DQ301" s="11" t="s">
        <v>74</v>
      </c>
      <c r="DR301" s="144" t="s">
        <v>282</v>
      </c>
    </row>
    <row r="302" spans="2:136" s="12" customFormat="1" x14ac:dyDescent="0.2">
      <c r="B302" s="149"/>
      <c r="D302" s="138" t="s">
        <v>301</v>
      </c>
      <c r="E302" s="150" t="s">
        <v>1</v>
      </c>
      <c r="F302" s="151" t="s">
        <v>1127</v>
      </c>
      <c r="H302" s="152">
        <v>142.065</v>
      </c>
      <c r="I302" s="153"/>
      <c r="L302" s="149"/>
      <c r="N302" s="217"/>
      <c r="O302" s="218"/>
      <c r="Q302" s="231"/>
      <c r="CF302" s="154"/>
      <c r="CM302" s="155"/>
      <c r="DM302" s="150" t="s">
        <v>301</v>
      </c>
      <c r="DN302" s="150" t="s">
        <v>83</v>
      </c>
      <c r="DO302" s="12" t="s">
        <v>83</v>
      </c>
      <c r="DP302" s="12" t="s">
        <v>32</v>
      </c>
      <c r="DQ302" s="12" t="s">
        <v>81</v>
      </c>
      <c r="DR302" s="150" t="s">
        <v>282</v>
      </c>
    </row>
    <row r="303" spans="2:136" s="10" customFormat="1" ht="22.9" customHeight="1" x14ac:dyDescent="0.2">
      <c r="B303" s="112"/>
      <c r="D303" s="113" t="s">
        <v>73</v>
      </c>
      <c r="E303" s="122" t="s">
        <v>328</v>
      </c>
      <c r="F303" s="122" t="s">
        <v>555</v>
      </c>
      <c r="I303" s="115"/>
      <c r="J303" s="123">
        <f>ED303</f>
        <v>660411.81000000006</v>
      </c>
      <c r="L303" s="112"/>
      <c r="M303" s="320">
        <f>SUM(M304:M353)</f>
        <v>0</v>
      </c>
      <c r="N303" s="323"/>
      <c r="O303" s="324">
        <f t="shared" ref="O303:V303" si="6">SUM(O304:O353)</f>
        <v>-61199.999999999993</v>
      </c>
      <c r="P303" s="320"/>
      <c r="Q303" s="326">
        <f t="shared" si="6"/>
        <v>721611.78</v>
      </c>
      <c r="R303" s="320"/>
      <c r="S303" s="320"/>
      <c r="T303" s="320">
        <f t="shared" si="6"/>
        <v>0</v>
      </c>
      <c r="U303" s="320"/>
      <c r="V303" s="320">
        <f t="shared" si="6"/>
        <v>660411.81000000006</v>
      </c>
      <c r="CF303" s="117"/>
      <c r="CI303" s="118">
        <f>SUM(CI304:CI354)</f>
        <v>0</v>
      </c>
      <c r="CK303" s="118">
        <f>SUM(CK304:CK354)</f>
        <v>9.0803820000000002</v>
      </c>
      <c r="CM303" s="119">
        <f>SUM(CM304:CM354)</f>
        <v>0</v>
      </c>
      <c r="DK303" s="113" t="s">
        <v>81</v>
      </c>
      <c r="DM303" s="120" t="s">
        <v>73</v>
      </c>
      <c r="DN303" s="120" t="s">
        <v>81</v>
      </c>
      <c r="DR303" s="113" t="s">
        <v>282</v>
      </c>
      <c r="ED303" s="121">
        <f>SUM(ED304:ED354)</f>
        <v>660411.81000000006</v>
      </c>
    </row>
    <row r="304" spans="2:136" s="1" customFormat="1" ht="24.2" customHeight="1" x14ac:dyDescent="0.2">
      <c r="B304" s="124"/>
      <c r="C304" s="125" t="s">
        <v>489</v>
      </c>
      <c r="D304" s="125" t="s">
        <v>284</v>
      </c>
      <c r="E304" s="126" t="s">
        <v>1128</v>
      </c>
      <c r="F304" s="127" t="s">
        <v>1129</v>
      </c>
      <c r="G304" s="128" t="s">
        <v>344</v>
      </c>
      <c r="H304" s="129">
        <v>145.1</v>
      </c>
      <c r="I304" s="130">
        <v>617.16852473597498</v>
      </c>
      <c r="J304" s="131">
        <f>ROUND(I304*H304,2)</f>
        <v>89551.15</v>
      </c>
      <c r="K304" s="127" t="s">
        <v>293</v>
      </c>
      <c r="L304" s="198">
        <f>S304</f>
        <v>0</v>
      </c>
      <c r="M304" s="206">
        <f>ROUND(L304*I304,2)</f>
        <v>0</v>
      </c>
      <c r="N304" s="211">
        <f>N307</f>
        <v>11.75</v>
      </c>
      <c r="O304" s="212">
        <f>ROUND(N304*I304,2)</f>
        <v>7251.73</v>
      </c>
      <c r="P304" s="207">
        <f>H304-L304-N304</f>
        <v>133.35</v>
      </c>
      <c r="Q304" s="228">
        <f>ROUND(P304*I304,2)</f>
        <v>82299.42</v>
      </c>
      <c r="R304" s="199"/>
      <c r="S304" s="200">
        <f>W304+Y304+AA304+AC304+AE304+AG304+AI304+AK304</f>
        <v>0</v>
      </c>
      <c r="T304" s="200">
        <f>ROUND(S304*I304,2)</f>
        <v>0</v>
      </c>
      <c r="U304" s="200">
        <f>H304-S304</f>
        <v>145.1</v>
      </c>
      <c r="V304" s="200">
        <f>ROUND(U304*I304,2)</f>
        <v>89551.15</v>
      </c>
      <c r="W304" s="200"/>
      <c r="X304" s="200"/>
      <c r="Y304" s="200"/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CF304" s="132" t="s">
        <v>1</v>
      </c>
      <c r="CG304" s="133" t="s">
        <v>40</v>
      </c>
      <c r="CI304" s="134">
        <f>CH304*H304</f>
        <v>0</v>
      </c>
      <c r="CJ304" s="134">
        <v>4.2199999999999998E-3</v>
      </c>
      <c r="CK304" s="134">
        <f>CJ304*H304</f>
        <v>0.61232199999999992</v>
      </c>
      <c r="CL304" s="134">
        <v>0</v>
      </c>
      <c r="CM304" s="135">
        <f>CL304*H304</f>
        <v>0</v>
      </c>
      <c r="DK304" s="136" t="s">
        <v>95</v>
      </c>
      <c r="DM304" s="136" t="s">
        <v>284</v>
      </c>
      <c r="DN304" s="136" t="s">
        <v>83</v>
      </c>
      <c r="DR304" s="16" t="s">
        <v>282</v>
      </c>
      <c r="DX304" s="137">
        <f>IF(CG304="základní",J304,0)</f>
        <v>89551.15</v>
      </c>
      <c r="DY304" s="137">
        <f>IF(CG304="snížená",J304,0)</f>
        <v>0</v>
      </c>
      <c r="DZ304" s="137">
        <f>IF(CG304="zákl. přenesená",J304,0)</f>
        <v>0</v>
      </c>
      <c r="EA304" s="137">
        <f>IF(CG304="sníž. přenesená",J304,0)</f>
        <v>0</v>
      </c>
      <c r="EB304" s="137">
        <f>IF(CG304="nulová",J304,0)</f>
        <v>0</v>
      </c>
      <c r="EC304" s="16" t="s">
        <v>81</v>
      </c>
      <c r="ED304" s="137">
        <f>ROUND(I304*H304,2)</f>
        <v>89551.15</v>
      </c>
      <c r="EE304" s="16" t="s">
        <v>95</v>
      </c>
      <c r="EF304" s="136" t="s">
        <v>1130</v>
      </c>
    </row>
    <row r="305" spans="2:136" s="1" customFormat="1" ht="29.25" x14ac:dyDescent="0.2">
      <c r="B305" s="31"/>
      <c r="D305" s="138" t="s">
        <v>289</v>
      </c>
      <c r="F305" s="139" t="s">
        <v>1131</v>
      </c>
      <c r="I305" s="140"/>
      <c r="L305" s="31"/>
      <c r="N305" s="213"/>
      <c r="O305" s="214"/>
      <c r="Q305" s="229"/>
      <c r="CF305" s="141"/>
      <c r="CM305" s="50"/>
      <c r="DM305" s="16" t="s">
        <v>289</v>
      </c>
      <c r="DN305" s="16" t="s">
        <v>83</v>
      </c>
    </row>
    <row r="306" spans="2:136" s="1" customFormat="1" ht="29.25" x14ac:dyDescent="0.2">
      <c r="B306" s="31"/>
      <c r="D306" s="138" t="s">
        <v>299</v>
      </c>
      <c r="F306" s="142" t="s">
        <v>1083</v>
      </c>
      <c r="I306" s="140"/>
      <c r="L306" s="31"/>
      <c r="N306" s="213"/>
      <c r="O306" s="214"/>
      <c r="Q306" s="229"/>
      <c r="CF306" s="141"/>
      <c r="CM306" s="50"/>
      <c r="DM306" s="16" t="s">
        <v>299</v>
      </c>
      <c r="DN306" s="16" t="s">
        <v>83</v>
      </c>
    </row>
    <row r="307" spans="2:136" s="12" customFormat="1" x14ac:dyDescent="0.2">
      <c r="B307" s="149"/>
      <c r="D307" s="138" t="s">
        <v>301</v>
      </c>
      <c r="E307" s="150" t="s">
        <v>1</v>
      </c>
      <c r="F307" s="151" t="s">
        <v>1120</v>
      </c>
      <c r="H307" s="152">
        <v>145.1</v>
      </c>
      <c r="I307" s="153"/>
      <c r="L307" s="149"/>
      <c r="N307" s="217">
        <f>156.85-145.1</f>
        <v>11.75</v>
      </c>
      <c r="O307" s="218" t="s">
        <v>3645</v>
      </c>
      <c r="Q307" s="231"/>
      <c r="CF307" s="154"/>
      <c r="CM307" s="155"/>
      <c r="DM307" s="150" t="s">
        <v>301</v>
      </c>
      <c r="DN307" s="150" t="s">
        <v>83</v>
      </c>
      <c r="DO307" s="12" t="s">
        <v>83</v>
      </c>
      <c r="DP307" s="12" t="s">
        <v>32</v>
      </c>
      <c r="DQ307" s="12" t="s">
        <v>81</v>
      </c>
      <c r="DR307" s="150" t="s">
        <v>282</v>
      </c>
    </row>
    <row r="308" spans="2:136" s="1" customFormat="1" ht="24.2" customHeight="1" x14ac:dyDescent="0.2">
      <c r="B308" s="124"/>
      <c r="C308" s="125" t="s">
        <v>493</v>
      </c>
      <c r="D308" s="125" t="s">
        <v>284</v>
      </c>
      <c r="E308" s="126" t="s">
        <v>1132</v>
      </c>
      <c r="F308" s="127" t="s">
        <v>1133</v>
      </c>
      <c r="G308" s="128" t="s">
        <v>485</v>
      </c>
      <c r="H308" s="129">
        <v>116</v>
      </c>
      <c r="I308" s="130">
        <v>214.24530512569368</v>
      </c>
      <c r="J308" s="131">
        <f>ROUND(I308*H308,2)</f>
        <v>24852.46</v>
      </c>
      <c r="K308" s="127" t="s">
        <v>293</v>
      </c>
      <c r="L308" s="198">
        <f>S308</f>
        <v>0</v>
      </c>
      <c r="M308" s="206">
        <f>ROUND(L308*I308,2)</f>
        <v>0</v>
      </c>
      <c r="N308" s="211"/>
      <c r="O308" s="212">
        <f>ROUND(N308*I308,2)</f>
        <v>0</v>
      </c>
      <c r="P308" s="207">
        <f>H308-L308-N308</f>
        <v>116</v>
      </c>
      <c r="Q308" s="228">
        <f>ROUND(P308*I308,2)</f>
        <v>24852.46</v>
      </c>
      <c r="R308" s="199"/>
      <c r="S308" s="200">
        <f>W308+Y308+AA308+AC308+AE308+AG308+AI308+AK308</f>
        <v>0</v>
      </c>
      <c r="T308" s="200">
        <f>ROUND(S308*I308,2)</f>
        <v>0</v>
      </c>
      <c r="U308" s="200">
        <f>H308-S308</f>
        <v>116</v>
      </c>
      <c r="V308" s="200">
        <f>ROUND(U308*I308,2)</f>
        <v>24852.46</v>
      </c>
      <c r="W308" s="200"/>
      <c r="X308" s="200"/>
      <c r="Y308" s="200"/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CF308" s="132" t="s">
        <v>1</v>
      </c>
      <c r="CG308" s="133" t="s">
        <v>40</v>
      </c>
      <c r="CI308" s="134">
        <f>CH308*H308</f>
        <v>0</v>
      </c>
      <c r="CJ308" s="134">
        <v>0</v>
      </c>
      <c r="CK308" s="134">
        <f>CJ308*H308</f>
        <v>0</v>
      </c>
      <c r="CL308" s="134">
        <v>0</v>
      </c>
      <c r="CM308" s="135">
        <f>CL308*H308</f>
        <v>0</v>
      </c>
      <c r="DK308" s="136" t="s">
        <v>95</v>
      </c>
      <c r="DM308" s="136" t="s">
        <v>284</v>
      </c>
      <c r="DN308" s="136" t="s">
        <v>83</v>
      </c>
      <c r="DR308" s="16" t="s">
        <v>282</v>
      </c>
      <c r="DX308" s="137">
        <f>IF(CG308="základní",J308,0)</f>
        <v>24852.46</v>
      </c>
      <c r="DY308" s="137">
        <f>IF(CG308="snížená",J308,0)</f>
        <v>0</v>
      </c>
      <c r="DZ308" s="137">
        <f>IF(CG308="zákl. přenesená",J308,0)</f>
        <v>0</v>
      </c>
      <c r="EA308" s="137">
        <f>IF(CG308="sníž. přenesená",J308,0)</f>
        <v>0</v>
      </c>
      <c r="EB308" s="137">
        <f>IF(CG308="nulová",J308,0)</f>
        <v>0</v>
      </c>
      <c r="EC308" s="16" t="s">
        <v>81</v>
      </c>
      <c r="ED308" s="137">
        <f>ROUND(I308*H308,2)</f>
        <v>24852.46</v>
      </c>
      <c r="EE308" s="16" t="s">
        <v>95</v>
      </c>
      <c r="EF308" s="136" t="s">
        <v>1134</v>
      </c>
    </row>
    <row r="309" spans="2:136" s="1" customFormat="1" ht="19.5" x14ac:dyDescent="0.2">
      <c r="B309" s="31"/>
      <c r="D309" s="138" t="s">
        <v>289</v>
      </c>
      <c r="F309" s="139" t="s">
        <v>1135</v>
      </c>
      <c r="I309" s="140"/>
      <c r="L309" s="31"/>
      <c r="N309" s="213"/>
      <c r="O309" s="214"/>
      <c r="Q309" s="229"/>
      <c r="CF309" s="141"/>
      <c r="CM309" s="50"/>
      <c r="DM309" s="16" t="s">
        <v>289</v>
      </c>
      <c r="DN309" s="16" t="s">
        <v>83</v>
      </c>
    </row>
    <row r="310" spans="2:136" s="1" customFormat="1" ht="29.25" x14ac:dyDescent="0.2">
      <c r="B310" s="31"/>
      <c r="D310" s="138" t="s">
        <v>299</v>
      </c>
      <c r="F310" s="142" t="s">
        <v>1083</v>
      </c>
      <c r="I310" s="140"/>
      <c r="L310" s="31"/>
      <c r="N310" s="213"/>
      <c r="O310" s="214"/>
      <c r="Q310" s="229"/>
      <c r="CF310" s="141"/>
      <c r="CM310" s="50"/>
      <c r="DM310" s="16" t="s">
        <v>299</v>
      </c>
      <c r="DN310" s="16" t="s">
        <v>83</v>
      </c>
    </row>
    <row r="311" spans="2:136" s="11" customFormat="1" x14ac:dyDescent="0.2">
      <c r="B311" s="143"/>
      <c r="D311" s="138" t="s">
        <v>301</v>
      </c>
      <c r="E311" s="144" t="s">
        <v>1</v>
      </c>
      <c r="F311" s="145" t="s">
        <v>1136</v>
      </c>
      <c r="H311" s="144" t="s">
        <v>1</v>
      </c>
      <c r="I311" s="146"/>
      <c r="L311" s="143"/>
      <c r="N311" s="215"/>
      <c r="O311" s="216"/>
      <c r="Q311" s="230"/>
      <c r="CF311" s="147"/>
      <c r="CM311" s="148"/>
      <c r="DM311" s="144" t="s">
        <v>301</v>
      </c>
      <c r="DN311" s="144" t="s">
        <v>83</v>
      </c>
      <c r="DO311" s="11" t="s">
        <v>81</v>
      </c>
      <c r="DP311" s="11" t="s">
        <v>32</v>
      </c>
      <c r="DQ311" s="11" t="s">
        <v>74</v>
      </c>
      <c r="DR311" s="144" t="s">
        <v>282</v>
      </c>
    </row>
    <row r="312" spans="2:136" s="12" customFormat="1" x14ac:dyDescent="0.2">
      <c r="B312" s="149"/>
      <c r="D312" s="138" t="s">
        <v>301</v>
      </c>
      <c r="E312" s="150" t="s">
        <v>1</v>
      </c>
      <c r="F312" s="151" t="s">
        <v>1137</v>
      </c>
      <c r="H312" s="152">
        <v>36</v>
      </c>
      <c r="I312" s="153"/>
      <c r="L312" s="149"/>
      <c r="N312" s="217"/>
      <c r="O312" s="218"/>
      <c r="Q312" s="231"/>
      <c r="CF312" s="154"/>
      <c r="CM312" s="155"/>
      <c r="DM312" s="150" t="s">
        <v>301</v>
      </c>
      <c r="DN312" s="150" t="s">
        <v>83</v>
      </c>
      <c r="DO312" s="12" t="s">
        <v>83</v>
      </c>
      <c r="DP312" s="12" t="s">
        <v>32</v>
      </c>
      <c r="DQ312" s="12" t="s">
        <v>74</v>
      </c>
      <c r="DR312" s="150" t="s">
        <v>282</v>
      </c>
    </row>
    <row r="313" spans="2:136" s="11" customFormat="1" x14ac:dyDescent="0.2">
      <c r="B313" s="143"/>
      <c r="D313" s="138" t="s">
        <v>301</v>
      </c>
      <c r="E313" s="144" t="s">
        <v>1</v>
      </c>
      <c r="F313" s="145" t="s">
        <v>1138</v>
      </c>
      <c r="H313" s="144" t="s">
        <v>1</v>
      </c>
      <c r="I313" s="146"/>
      <c r="L313" s="143"/>
      <c r="N313" s="215"/>
      <c r="O313" s="216"/>
      <c r="Q313" s="230"/>
      <c r="CF313" s="147"/>
      <c r="CM313" s="148"/>
      <c r="DM313" s="144" t="s">
        <v>301</v>
      </c>
      <c r="DN313" s="144" t="s">
        <v>83</v>
      </c>
      <c r="DO313" s="11" t="s">
        <v>81</v>
      </c>
      <c r="DP313" s="11" t="s">
        <v>32</v>
      </c>
      <c r="DQ313" s="11" t="s">
        <v>74</v>
      </c>
      <c r="DR313" s="144" t="s">
        <v>282</v>
      </c>
    </row>
    <row r="314" spans="2:136" s="12" customFormat="1" x14ac:dyDescent="0.2">
      <c r="B314" s="149"/>
      <c r="D314" s="138" t="s">
        <v>301</v>
      </c>
      <c r="E314" s="150" t="s">
        <v>1</v>
      </c>
      <c r="F314" s="151" t="s">
        <v>1139</v>
      </c>
      <c r="H314" s="152">
        <v>4</v>
      </c>
      <c r="I314" s="153"/>
      <c r="L314" s="149"/>
      <c r="N314" s="217"/>
      <c r="O314" s="218"/>
      <c r="Q314" s="231"/>
      <c r="CF314" s="154"/>
      <c r="CM314" s="155"/>
      <c r="DM314" s="150" t="s">
        <v>301</v>
      </c>
      <c r="DN314" s="150" t="s">
        <v>83</v>
      </c>
      <c r="DO314" s="12" t="s">
        <v>83</v>
      </c>
      <c r="DP314" s="12" t="s">
        <v>32</v>
      </c>
      <c r="DQ314" s="12" t="s">
        <v>74</v>
      </c>
      <c r="DR314" s="150" t="s">
        <v>282</v>
      </c>
    </row>
    <row r="315" spans="2:136" s="14" customFormat="1" x14ac:dyDescent="0.2">
      <c r="B315" s="163"/>
      <c r="D315" s="138" t="s">
        <v>301</v>
      </c>
      <c r="E315" s="164" t="s">
        <v>1</v>
      </c>
      <c r="F315" s="165" t="s">
        <v>373</v>
      </c>
      <c r="H315" s="166">
        <v>40</v>
      </c>
      <c r="I315" s="167"/>
      <c r="L315" s="163"/>
      <c r="N315" s="221"/>
      <c r="O315" s="222"/>
      <c r="Q315" s="233"/>
      <c r="CF315" s="168"/>
      <c r="CM315" s="169"/>
      <c r="DM315" s="164" t="s">
        <v>301</v>
      </c>
      <c r="DN315" s="164" t="s">
        <v>83</v>
      </c>
      <c r="DO315" s="14" t="s">
        <v>90</v>
      </c>
      <c r="DP315" s="14" t="s">
        <v>32</v>
      </c>
      <c r="DQ315" s="14" t="s">
        <v>74</v>
      </c>
      <c r="DR315" s="164" t="s">
        <v>282</v>
      </c>
    </row>
    <row r="316" spans="2:136" s="11" customFormat="1" x14ac:dyDescent="0.2">
      <c r="B316" s="143"/>
      <c r="D316" s="138" t="s">
        <v>301</v>
      </c>
      <c r="E316" s="144" t="s">
        <v>1</v>
      </c>
      <c r="F316" s="145" t="s">
        <v>1140</v>
      </c>
      <c r="H316" s="144" t="s">
        <v>1</v>
      </c>
      <c r="I316" s="146"/>
      <c r="L316" s="143"/>
      <c r="N316" s="215"/>
      <c r="O316" s="216"/>
      <c r="Q316" s="230"/>
      <c r="CF316" s="147"/>
      <c r="CM316" s="148"/>
      <c r="DM316" s="144" t="s">
        <v>301</v>
      </c>
      <c r="DN316" s="144" t="s">
        <v>83</v>
      </c>
      <c r="DO316" s="11" t="s">
        <v>81</v>
      </c>
      <c r="DP316" s="11" t="s">
        <v>32</v>
      </c>
      <c r="DQ316" s="11" t="s">
        <v>74</v>
      </c>
      <c r="DR316" s="144" t="s">
        <v>282</v>
      </c>
    </row>
    <row r="317" spans="2:136" s="12" customFormat="1" x14ac:dyDescent="0.2">
      <c r="B317" s="149"/>
      <c r="D317" s="138" t="s">
        <v>301</v>
      </c>
      <c r="E317" s="150" t="s">
        <v>1</v>
      </c>
      <c r="F317" s="151" t="s">
        <v>1141</v>
      </c>
      <c r="H317" s="152">
        <v>76</v>
      </c>
      <c r="I317" s="153"/>
      <c r="L317" s="149"/>
      <c r="N317" s="217"/>
      <c r="O317" s="218"/>
      <c r="Q317" s="231"/>
      <c r="CF317" s="154"/>
      <c r="CM317" s="155"/>
      <c r="DM317" s="150" t="s">
        <v>301</v>
      </c>
      <c r="DN317" s="150" t="s">
        <v>83</v>
      </c>
      <c r="DO317" s="12" t="s">
        <v>83</v>
      </c>
      <c r="DP317" s="12" t="s">
        <v>32</v>
      </c>
      <c r="DQ317" s="12" t="s">
        <v>74</v>
      </c>
      <c r="DR317" s="150" t="s">
        <v>282</v>
      </c>
    </row>
    <row r="318" spans="2:136" s="13" customFormat="1" x14ac:dyDescent="0.2">
      <c r="B318" s="156"/>
      <c r="D318" s="138" t="s">
        <v>301</v>
      </c>
      <c r="E318" s="157" t="s">
        <v>1</v>
      </c>
      <c r="F318" s="158" t="s">
        <v>305</v>
      </c>
      <c r="H318" s="159">
        <v>116</v>
      </c>
      <c r="I318" s="160"/>
      <c r="L318" s="156"/>
      <c r="N318" s="219"/>
      <c r="O318" s="220"/>
      <c r="Q318" s="232"/>
      <c r="CF318" s="161"/>
      <c r="CM318" s="162"/>
      <c r="DM318" s="157" t="s">
        <v>301</v>
      </c>
      <c r="DN318" s="157" t="s">
        <v>83</v>
      </c>
      <c r="DO318" s="13" t="s">
        <v>95</v>
      </c>
      <c r="DP318" s="13" t="s">
        <v>32</v>
      </c>
      <c r="DQ318" s="13" t="s">
        <v>81</v>
      </c>
      <c r="DR318" s="157" t="s">
        <v>282</v>
      </c>
    </row>
    <row r="319" spans="2:136" s="1" customFormat="1" ht="14.45" customHeight="1" x14ac:dyDescent="0.2">
      <c r="B319" s="124"/>
      <c r="C319" s="170" t="s">
        <v>497</v>
      </c>
      <c r="D319" s="170" t="s">
        <v>439</v>
      </c>
      <c r="E319" s="171" t="s">
        <v>1142</v>
      </c>
      <c r="F319" s="172" t="s">
        <v>1143</v>
      </c>
      <c r="G319" s="173" t="s">
        <v>485</v>
      </c>
      <c r="H319" s="174">
        <v>40</v>
      </c>
      <c r="I319" s="175">
        <v>100.40486420000001</v>
      </c>
      <c r="J319" s="176">
        <f>ROUND(I319*H319,2)</f>
        <v>4016.19</v>
      </c>
      <c r="K319" s="172" t="s">
        <v>293</v>
      </c>
      <c r="L319" s="198">
        <f>S319</f>
        <v>0</v>
      </c>
      <c r="M319" s="206">
        <f>ROUND(L319*I319,2)</f>
        <v>0</v>
      </c>
      <c r="N319" s="211"/>
      <c r="O319" s="212">
        <f>ROUND(N319*I319,2)</f>
        <v>0</v>
      </c>
      <c r="P319" s="207">
        <f>H319-L319-N319</f>
        <v>40</v>
      </c>
      <c r="Q319" s="228">
        <f>ROUND(P319*I319,2)</f>
        <v>4016.19</v>
      </c>
      <c r="R319" s="199"/>
      <c r="S319" s="200">
        <f>W319+Y319+AA319+AC319+AE319+AG319+AI319+AK319</f>
        <v>0</v>
      </c>
      <c r="T319" s="200">
        <f>ROUND(S319*I319,2)</f>
        <v>0</v>
      </c>
      <c r="U319" s="200">
        <f>H319-S319</f>
        <v>40</v>
      </c>
      <c r="V319" s="200">
        <f>ROUND(U319*I319,2)</f>
        <v>4016.19</v>
      </c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77" t="s">
        <v>1</v>
      </c>
      <c r="CG319" s="178" t="s">
        <v>40</v>
      </c>
      <c r="CI319" s="134">
        <f>CH319*H319</f>
        <v>0</v>
      </c>
      <c r="CJ319" s="134">
        <v>6.4999999999999997E-4</v>
      </c>
      <c r="CK319" s="134">
        <f>CJ319*H319</f>
        <v>2.5999999999999999E-2</v>
      </c>
      <c r="CL319" s="134">
        <v>0</v>
      </c>
      <c r="CM319" s="135">
        <f>CL319*H319</f>
        <v>0</v>
      </c>
      <c r="DK319" s="136" t="s">
        <v>328</v>
      </c>
      <c r="DM319" s="136" t="s">
        <v>439</v>
      </c>
      <c r="DN319" s="136" t="s">
        <v>83</v>
      </c>
      <c r="DR319" s="16" t="s">
        <v>282</v>
      </c>
      <c r="DX319" s="137">
        <f>IF(CG319="základní",J319,0)</f>
        <v>4016.19</v>
      </c>
      <c r="DY319" s="137">
        <f>IF(CG319="snížená",J319,0)</f>
        <v>0</v>
      </c>
      <c r="DZ319" s="137">
        <f>IF(CG319="zákl. přenesená",J319,0)</f>
        <v>0</v>
      </c>
      <c r="EA319" s="137">
        <f>IF(CG319="sníž. přenesená",J319,0)</f>
        <v>0</v>
      </c>
      <c r="EB319" s="137">
        <f>IF(CG319="nulová",J319,0)</f>
        <v>0</v>
      </c>
      <c r="EC319" s="16" t="s">
        <v>81</v>
      </c>
      <c r="ED319" s="137">
        <f>ROUND(I319*H319,2)</f>
        <v>4016.19</v>
      </c>
      <c r="EE319" s="16" t="s">
        <v>95</v>
      </c>
      <c r="EF319" s="136" t="s">
        <v>1144</v>
      </c>
    </row>
    <row r="320" spans="2:136" s="1" customFormat="1" x14ac:dyDescent="0.2">
      <c r="B320" s="31"/>
      <c r="D320" s="138" t="s">
        <v>289</v>
      </c>
      <c r="F320" s="139" t="s">
        <v>1145</v>
      </c>
      <c r="I320" s="140"/>
      <c r="L320" s="31"/>
      <c r="N320" s="213"/>
      <c r="O320" s="214"/>
      <c r="Q320" s="229"/>
      <c r="CF320" s="141"/>
      <c r="CM320" s="50"/>
      <c r="DM320" s="16" t="s">
        <v>289</v>
      </c>
      <c r="DN320" s="16" t="s">
        <v>83</v>
      </c>
    </row>
    <row r="321" spans="2:136" s="1" customFormat="1" ht="14.45" customHeight="1" x14ac:dyDescent="0.2">
      <c r="B321" s="124"/>
      <c r="C321" s="170" t="s">
        <v>501</v>
      </c>
      <c r="D321" s="170" t="s">
        <v>439</v>
      </c>
      <c r="E321" s="171" t="s">
        <v>1146</v>
      </c>
      <c r="F321" s="172" t="s">
        <v>1147</v>
      </c>
      <c r="G321" s="173" t="s">
        <v>485</v>
      </c>
      <c r="H321" s="174">
        <v>76</v>
      </c>
      <c r="I321" s="175">
        <v>236.80392499999999</v>
      </c>
      <c r="J321" s="176">
        <f>ROUND(I321*H321,2)</f>
        <v>17997.099999999999</v>
      </c>
      <c r="K321" s="172" t="s">
        <v>1</v>
      </c>
      <c r="L321" s="198">
        <f>S321</f>
        <v>0</v>
      </c>
      <c r="M321" s="206">
        <f>ROUND(L321*I321,2)</f>
        <v>0</v>
      </c>
      <c r="N321" s="211"/>
      <c r="O321" s="212">
        <f>ROUND(N321*I321,2)</f>
        <v>0</v>
      </c>
      <c r="P321" s="207">
        <f>H321-L321-N321</f>
        <v>76</v>
      </c>
      <c r="Q321" s="228">
        <f>ROUND(P321*I321,2)</f>
        <v>17997.099999999999</v>
      </c>
      <c r="R321" s="199"/>
      <c r="S321" s="200">
        <f>W321+Y321+AA321+AC321+AE321+AG321+AI321+AK321</f>
        <v>0</v>
      </c>
      <c r="T321" s="200">
        <f>ROUND(S321*I321,2)</f>
        <v>0</v>
      </c>
      <c r="U321" s="200">
        <f>H321-S321</f>
        <v>76</v>
      </c>
      <c r="V321" s="200">
        <f>ROUND(U321*I321,2)</f>
        <v>17997.099999999999</v>
      </c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77" t="s">
        <v>1</v>
      </c>
      <c r="CG321" s="178" t="s">
        <v>40</v>
      </c>
      <c r="CI321" s="134">
        <f>CH321*H321</f>
        <v>0</v>
      </c>
      <c r="CJ321" s="134">
        <v>6.4999999999999997E-4</v>
      </c>
      <c r="CK321" s="134">
        <f>CJ321*H321</f>
        <v>4.9399999999999999E-2</v>
      </c>
      <c r="CL321" s="134">
        <v>0</v>
      </c>
      <c r="CM321" s="135">
        <f>CL321*H321</f>
        <v>0</v>
      </c>
      <c r="DK321" s="136" t="s">
        <v>328</v>
      </c>
      <c r="DM321" s="136" t="s">
        <v>439</v>
      </c>
      <c r="DN321" s="136" t="s">
        <v>83</v>
      </c>
      <c r="DR321" s="16" t="s">
        <v>282</v>
      </c>
      <c r="DX321" s="137">
        <f>IF(CG321="základní",J321,0)</f>
        <v>17997.099999999999</v>
      </c>
      <c r="DY321" s="137">
        <f>IF(CG321="snížená",J321,0)</f>
        <v>0</v>
      </c>
      <c r="DZ321" s="137">
        <f>IF(CG321="zákl. přenesená",J321,0)</f>
        <v>0</v>
      </c>
      <c r="EA321" s="137">
        <f>IF(CG321="sníž. přenesená",J321,0)</f>
        <v>0</v>
      </c>
      <c r="EB321" s="137">
        <f>IF(CG321="nulová",J321,0)</f>
        <v>0</v>
      </c>
      <c r="EC321" s="16" t="s">
        <v>81</v>
      </c>
      <c r="ED321" s="137">
        <f>ROUND(I321*H321,2)</f>
        <v>17997.099999999999</v>
      </c>
      <c r="EE321" s="16" t="s">
        <v>95</v>
      </c>
      <c r="EF321" s="136" t="s">
        <v>1148</v>
      </c>
    </row>
    <row r="322" spans="2:136" s="1" customFormat="1" x14ac:dyDescent="0.2">
      <c r="B322" s="31"/>
      <c r="D322" s="138" t="s">
        <v>289</v>
      </c>
      <c r="F322" s="139" t="s">
        <v>1147</v>
      </c>
      <c r="I322" s="140"/>
      <c r="L322" s="31"/>
      <c r="N322" s="213"/>
      <c r="O322" s="214"/>
      <c r="Q322" s="229"/>
      <c r="CF322" s="141"/>
      <c r="CM322" s="50"/>
      <c r="DM322" s="16" t="s">
        <v>289</v>
      </c>
      <c r="DN322" s="16" t="s">
        <v>83</v>
      </c>
    </row>
    <row r="323" spans="2:136" s="1" customFormat="1" ht="14.45" customHeight="1" x14ac:dyDescent="0.2">
      <c r="B323" s="124"/>
      <c r="C323" s="125" t="s">
        <v>505</v>
      </c>
      <c r="D323" s="125" t="s">
        <v>284</v>
      </c>
      <c r="E323" s="126" t="s">
        <v>1149</v>
      </c>
      <c r="F323" s="127" t="s">
        <v>1150</v>
      </c>
      <c r="G323" s="128" t="s">
        <v>485</v>
      </c>
      <c r="H323" s="129">
        <v>38</v>
      </c>
      <c r="I323" s="130">
        <v>214.24530512569368</v>
      </c>
      <c r="J323" s="131">
        <f>ROUND(I323*H323,2)</f>
        <v>8141.32</v>
      </c>
      <c r="K323" s="127" t="s">
        <v>293</v>
      </c>
      <c r="L323" s="198">
        <f>S323</f>
        <v>0</v>
      </c>
      <c r="M323" s="206">
        <f>ROUND(L323*I323,2)</f>
        <v>0</v>
      </c>
      <c r="N323" s="211"/>
      <c r="O323" s="212">
        <f>ROUND(N323*I323,2)</f>
        <v>0</v>
      </c>
      <c r="P323" s="207">
        <f>H323-L323-N323</f>
        <v>38</v>
      </c>
      <c r="Q323" s="228">
        <f>ROUND(P323*I323,2)</f>
        <v>8141.32</v>
      </c>
      <c r="R323" s="199"/>
      <c r="S323" s="200">
        <f>W323+Y323+AA323+AC323+AE323+AG323+AI323+AK323</f>
        <v>0</v>
      </c>
      <c r="T323" s="200">
        <f>ROUND(S323*I323,2)</f>
        <v>0</v>
      </c>
      <c r="U323" s="200">
        <f>H323-S323</f>
        <v>38</v>
      </c>
      <c r="V323" s="200">
        <f>ROUND(U323*I323,2)</f>
        <v>8141.32</v>
      </c>
      <c r="W323" s="200"/>
      <c r="X323" s="200"/>
      <c r="Y323" s="200"/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CF323" s="132" t="s">
        <v>1</v>
      </c>
      <c r="CG323" s="133" t="s">
        <v>40</v>
      </c>
      <c r="CI323" s="134">
        <f>CH323*H323</f>
        <v>0</v>
      </c>
      <c r="CJ323" s="134">
        <v>0</v>
      </c>
      <c r="CK323" s="134">
        <f>CJ323*H323</f>
        <v>0</v>
      </c>
      <c r="CL323" s="134">
        <v>0</v>
      </c>
      <c r="CM323" s="135">
        <f>CL323*H323</f>
        <v>0</v>
      </c>
      <c r="DK323" s="136" t="s">
        <v>95</v>
      </c>
      <c r="DM323" s="136" t="s">
        <v>284</v>
      </c>
      <c r="DN323" s="136" t="s">
        <v>83</v>
      </c>
      <c r="DR323" s="16" t="s">
        <v>282</v>
      </c>
      <c r="DX323" s="137">
        <f>IF(CG323="základní",J323,0)</f>
        <v>8141.32</v>
      </c>
      <c r="DY323" s="137">
        <f>IF(CG323="snížená",J323,0)</f>
        <v>0</v>
      </c>
      <c r="DZ323" s="137">
        <f>IF(CG323="zákl. přenesená",J323,0)</f>
        <v>0</v>
      </c>
      <c r="EA323" s="137">
        <f>IF(CG323="sníž. přenesená",J323,0)</f>
        <v>0</v>
      </c>
      <c r="EB323" s="137">
        <f>IF(CG323="nulová",J323,0)</f>
        <v>0</v>
      </c>
      <c r="EC323" s="16" t="s">
        <v>81</v>
      </c>
      <c r="ED323" s="137">
        <f>ROUND(I323*H323,2)</f>
        <v>8141.32</v>
      </c>
      <c r="EE323" s="16" t="s">
        <v>95</v>
      </c>
      <c r="EF323" s="136" t="s">
        <v>1151</v>
      </c>
    </row>
    <row r="324" spans="2:136" s="1" customFormat="1" ht="19.5" x14ac:dyDescent="0.2">
      <c r="B324" s="31"/>
      <c r="D324" s="138" t="s">
        <v>289</v>
      </c>
      <c r="F324" s="139" t="s">
        <v>1152</v>
      </c>
      <c r="I324" s="140"/>
      <c r="L324" s="31"/>
      <c r="N324" s="213"/>
      <c r="O324" s="214"/>
      <c r="Q324" s="229"/>
      <c r="CF324" s="141"/>
      <c r="CM324" s="50"/>
      <c r="DM324" s="16" t="s">
        <v>289</v>
      </c>
      <c r="DN324" s="16" t="s">
        <v>83</v>
      </c>
    </row>
    <row r="325" spans="2:136" s="1" customFormat="1" ht="29.25" x14ac:dyDescent="0.2">
      <c r="B325" s="31"/>
      <c r="D325" s="138" t="s">
        <v>299</v>
      </c>
      <c r="F325" s="142" t="s">
        <v>1083</v>
      </c>
      <c r="I325" s="140"/>
      <c r="L325" s="31"/>
      <c r="N325" s="213"/>
      <c r="O325" s="214"/>
      <c r="Q325" s="229"/>
      <c r="CF325" s="141"/>
      <c r="CM325" s="50"/>
      <c r="DM325" s="16" t="s">
        <v>299</v>
      </c>
      <c r="DN325" s="16" t="s">
        <v>83</v>
      </c>
    </row>
    <row r="326" spans="2:136" s="11" customFormat="1" x14ac:dyDescent="0.2">
      <c r="B326" s="143"/>
      <c r="D326" s="138" t="s">
        <v>301</v>
      </c>
      <c r="E326" s="144" t="s">
        <v>1</v>
      </c>
      <c r="F326" s="145" t="s">
        <v>1153</v>
      </c>
      <c r="H326" s="144" t="s">
        <v>1</v>
      </c>
      <c r="I326" s="146"/>
      <c r="L326" s="143"/>
      <c r="N326" s="215"/>
      <c r="O326" s="216"/>
      <c r="Q326" s="230"/>
      <c r="CF326" s="147"/>
      <c r="CM326" s="148"/>
      <c r="DM326" s="144" t="s">
        <v>301</v>
      </c>
      <c r="DN326" s="144" t="s">
        <v>83</v>
      </c>
      <c r="DO326" s="11" t="s">
        <v>81</v>
      </c>
      <c r="DP326" s="11" t="s">
        <v>32</v>
      </c>
      <c r="DQ326" s="11" t="s">
        <v>74</v>
      </c>
      <c r="DR326" s="144" t="s">
        <v>282</v>
      </c>
    </row>
    <row r="327" spans="2:136" s="12" customFormat="1" x14ac:dyDescent="0.2">
      <c r="B327" s="149"/>
      <c r="D327" s="138" t="s">
        <v>301</v>
      </c>
      <c r="E327" s="150" t="s">
        <v>1</v>
      </c>
      <c r="F327" s="151" t="s">
        <v>514</v>
      </c>
      <c r="H327" s="152">
        <v>38</v>
      </c>
      <c r="I327" s="153"/>
      <c r="L327" s="149"/>
      <c r="N327" s="217"/>
      <c r="O327" s="218"/>
      <c r="Q327" s="231"/>
      <c r="CF327" s="154"/>
      <c r="CM327" s="155"/>
      <c r="DM327" s="150" t="s">
        <v>301</v>
      </c>
      <c r="DN327" s="150" t="s">
        <v>83</v>
      </c>
      <c r="DO327" s="12" t="s">
        <v>83</v>
      </c>
      <c r="DP327" s="12" t="s">
        <v>32</v>
      </c>
      <c r="DQ327" s="12" t="s">
        <v>81</v>
      </c>
      <c r="DR327" s="150" t="s">
        <v>282</v>
      </c>
    </row>
    <row r="328" spans="2:136" s="1" customFormat="1" ht="14.45" customHeight="1" x14ac:dyDescent="0.2">
      <c r="B328" s="124"/>
      <c r="C328" s="170" t="s">
        <v>510</v>
      </c>
      <c r="D328" s="170" t="s">
        <v>439</v>
      </c>
      <c r="E328" s="171" t="s">
        <v>1154</v>
      </c>
      <c r="F328" s="172" t="s">
        <v>1155</v>
      </c>
      <c r="G328" s="173" t="s">
        <v>485</v>
      </c>
      <c r="H328" s="174">
        <v>38</v>
      </c>
      <c r="I328" s="175">
        <v>59.200981249999998</v>
      </c>
      <c r="J328" s="176">
        <f>ROUND(I328*H328,2)</f>
        <v>2249.64</v>
      </c>
      <c r="K328" s="172" t="s">
        <v>293</v>
      </c>
      <c r="L328" s="198">
        <f>S328</f>
        <v>0</v>
      </c>
      <c r="M328" s="206">
        <f>ROUND(L328*I328,2)</f>
        <v>0</v>
      </c>
      <c r="N328" s="211"/>
      <c r="O328" s="212">
        <f>ROUND(N328*I328,2)</f>
        <v>0</v>
      </c>
      <c r="P328" s="207">
        <f>H328-L328-N328</f>
        <v>38</v>
      </c>
      <c r="Q328" s="228">
        <f>ROUND(P328*I328,2)</f>
        <v>2249.64</v>
      </c>
      <c r="R328" s="199"/>
      <c r="S328" s="200">
        <f>W328+Y328+AA328+AC328+AE328+AG328+AI328+AK328</f>
        <v>0</v>
      </c>
      <c r="T328" s="200">
        <f>ROUND(S328*I328,2)</f>
        <v>0</v>
      </c>
      <c r="U328" s="200">
        <f>H328-S328</f>
        <v>38</v>
      </c>
      <c r="V328" s="200">
        <f>ROUND(U328*I328,2)</f>
        <v>2249.64</v>
      </c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77" t="s">
        <v>1</v>
      </c>
      <c r="CG328" s="178" t="s">
        <v>40</v>
      </c>
      <c r="CI328" s="134">
        <f>CH328*H328</f>
        <v>0</v>
      </c>
      <c r="CJ328" s="134">
        <v>2.9E-4</v>
      </c>
      <c r="CK328" s="134">
        <f>CJ328*H328</f>
        <v>1.102E-2</v>
      </c>
      <c r="CL328" s="134">
        <v>0</v>
      </c>
      <c r="CM328" s="135">
        <f>CL328*H328</f>
        <v>0</v>
      </c>
      <c r="DK328" s="136" t="s">
        <v>328</v>
      </c>
      <c r="DM328" s="136" t="s">
        <v>439</v>
      </c>
      <c r="DN328" s="136" t="s">
        <v>83</v>
      </c>
      <c r="DR328" s="16" t="s">
        <v>282</v>
      </c>
      <c r="DX328" s="137">
        <f>IF(CG328="základní",J328,0)</f>
        <v>2249.64</v>
      </c>
      <c r="DY328" s="137">
        <f>IF(CG328="snížená",J328,0)</f>
        <v>0</v>
      </c>
      <c r="DZ328" s="137">
        <f>IF(CG328="zákl. přenesená",J328,0)</f>
        <v>0</v>
      </c>
      <c r="EA328" s="137">
        <f>IF(CG328="sníž. přenesená",J328,0)</f>
        <v>0</v>
      </c>
      <c r="EB328" s="137">
        <f>IF(CG328="nulová",J328,0)</f>
        <v>0</v>
      </c>
      <c r="EC328" s="16" t="s">
        <v>81</v>
      </c>
      <c r="ED328" s="137">
        <f>ROUND(I328*H328,2)</f>
        <v>2249.64</v>
      </c>
      <c r="EE328" s="16" t="s">
        <v>95</v>
      </c>
      <c r="EF328" s="136" t="s">
        <v>1156</v>
      </c>
    </row>
    <row r="329" spans="2:136" s="1" customFormat="1" x14ac:dyDescent="0.2">
      <c r="B329" s="31"/>
      <c r="D329" s="138" t="s">
        <v>289</v>
      </c>
      <c r="F329" s="139" t="s">
        <v>1155</v>
      </c>
      <c r="I329" s="140"/>
      <c r="L329" s="31"/>
      <c r="N329" s="213"/>
      <c r="O329" s="214"/>
      <c r="Q329" s="229"/>
      <c r="CF329" s="141"/>
      <c r="CM329" s="50"/>
      <c r="DM329" s="16" t="s">
        <v>289</v>
      </c>
      <c r="DN329" s="16" t="s">
        <v>83</v>
      </c>
    </row>
    <row r="330" spans="2:136" s="1" customFormat="1" ht="14.45" customHeight="1" x14ac:dyDescent="0.2">
      <c r="B330" s="124"/>
      <c r="C330" s="125" t="s">
        <v>514</v>
      </c>
      <c r="D330" s="125" t="s">
        <v>284</v>
      </c>
      <c r="E330" s="126" t="s">
        <v>776</v>
      </c>
      <c r="F330" s="127" t="s">
        <v>1157</v>
      </c>
      <c r="G330" s="128" t="s">
        <v>344</v>
      </c>
      <c r="H330" s="129">
        <v>145.1</v>
      </c>
      <c r="I330" s="130">
        <v>21.984104604889872</v>
      </c>
      <c r="J330" s="131">
        <f>ROUND(I330*H330,2)</f>
        <v>3189.89</v>
      </c>
      <c r="K330" s="127" t="s">
        <v>293</v>
      </c>
      <c r="L330" s="198">
        <f>S330</f>
        <v>0</v>
      </c>
      <c r="M330" s="206">
        <f>ROUND(L330*I330,2)</f>
        <v>0</v>
      </c>
      <c r="N330" s="211">
        <f>N304</f>
        <v>11.75</v>
      </c>
      <c r="O330" s="212">
        <f>ROUND(N330*I330,2)</f>
        <v>258.31</v>
      </c>
      <c r="P330" s="207">
        <f>H330-L330-N330</f>
        <v>133.35</v>
      </c>
      <c r="Q330" s="228">
        <f>ROUND(P330*I330,2)</f>
        <v>2931.58</v>
      </c>
      <c r="R330" s="199"/>
      <c r="S330" s="200">
        <f>W330+Y330+AA330+AC330+AE330+AG330+AI330+AK330</f>
        <v>0</v>
      </c>
      <c r="T330" s="200">
        <f>ROUND(S330*I330,2)</f>
        <v>0</v>
      </c>
      <c r="U330" s="200">
        <f>H330-S330</f>
        <v>145.1</v>
      </c>
      <c r="V330" s="200">
        <f>ROUND(U330*I330,2)</f>
        <v>3189.89</v>
      </c>
      <c r="W330" s="200"/>
      <c r="X330" s="200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CF330" s="132" t="s">
        <v>1</v>
      </c>
      <c r="CG330" s="133" t="s">
        <v>40</v>
      </c>
      <c r="CI330" s="134">
        <f>CH330*H330</f>
        <v>0</v>
      </c>
      <c r="CJ330" s="134">
        <v>0</v>
      </c>
      <c r="CK330" s="134">
        <f>CJ330*H330</f>
        <v>0</v>
      </c>
      <c r="CL330" s="134">
        <v>0</v>
      </c>
      <c r="CM330" s="135">
        <f>CL330*H330</f>
        <v>0</v>
      </c>
      <c r="DK330" s="136" t="s">
        <v>95</v>
      </c>
      <c r="DM330" s="136" t="s">
        <v>284</v>
      </c>
      <c r="DN330" s="136" t="s">
        <v>83</v>
      </c>
      <c r="DR330" s="16" t="s">
        <v>282</v>
      </c>
      <c r="DX330" s="137">
        <f>IF(CG330="základní",J330,0)</f>
        <v>3189.89</v>
      </c>
      <c r="DY330" s="137">
        <f>IF(CG330="snížená",J330,0)</f>
        <v>0</v>
      </c>
      <c r="DZ330" s="137">
        <f>IF(CG330="zákl. přenesená",J330,0)</f>
        <v>0</v>
      </c>
      <c r="EA330" s="137">
        <f>IF(CG330="sníž. přenesená",J330,0)</f>
        <v>0</v>
      </c>
      <c r="EB330" s="137">
        <f>IF(CG330="nulová",J330,0)</f>
        <v>0</v>
      </c>
      <c r="EC330" s="16" t="s">
        <v>81</v>
      </c>
      <c r="ED330" s="137">
        <f>ROUND(I330*H330,2)</f>
        <v>3189.89</v>
      </c>
      <c r="EE330" s="16" t="s">
        <v>95</v>
      </c>
      <c r="EF330" s="136" t="s">
        <v>1158</v>
      </c>
    </row>
    <row r="331" spans="2:136" s="1" customFormat="1" x14ac:dyDescent="0.2">
      <c r="B331" s="31"/>
      <c r="D331" s="138" t="s">
        <v>289</v>
      </c>
      <c r="F331" s="139" t="s">
        <v>779</v>
      </c>
      <c r="I331" s="140"/>
      <c r="L331" s="31"/>
      <c r="N331" s="213"/>
      <c r="O331" s="214"/>
      <c r="Q331" s="229"/>
      <c r="CF331" s="141"/>
      <c r="CM331" s="50"/>
      <c r="DM331" s="16" t="s">
        <v>289</v>
      </c>
      <c r="DN331" s="16" t="s">
        <v>83</v>
      </c>
    </row>
    <row r="332" spans="2:136" s="1" customFormat="1" ht="19.5" x14ac:dyDescent="0.2">
      <c r="B332" s="31"/>
      <c r="D332" s="138" t="s">
        <v>299</v>
      </c>
      <c r="F332" s="142" t="s">
        <v>587</v>
      </c>
      <c r="I332" s="140"/>
      <c r="L332" s="31"/>
      <c r="N332" s="213"/>
      <c r="O332" s="214"/>
      <c r="Q332" s="229"/>
      <c r="CF332" s="141"/>
      <c r="CM332" s="50"/>
      <c r="DM332" s="16" t="s">
        <v>299</v>
      </c>
      <c r="DN332" s="16" t="s">
        <v>83</v>
      </c>
    </row>
    <row r="333" spans="2:136" s="1" customFormat="1" ht="24.2" customHeight="1" x14ac:dyDescent="0.2">
      <c r="B333" s="124"/>
      <c r="C333" s="125" t="s">
        <v>521</v>
      </c>
      <c r="D333" s="125" t="s">
        <v>284</v>
      </c>
      <c r="E333" s="126" t="s">
        <v>1159</v>
      </c>
      <c r="F333" s="127" t="s">
        <v>1160</v>
      </c>
      <c r="G333" s="128" t="s">
        <v>485</v>
      </c>
      <c r="H333" s="129">
        <v>20</v>
      </c>
      <c r="I333" s="130">
        <v>3029.9958423936168</v>
      </c>
      <c r="J333" s="131">
        <f>ROUND(I333*H333,2)</f>
        <v>60599.92</v>
      </c>
      <c r="K333" s="127" t="s">
        <v>293</v>
      </c>
      <c r="L333" s="198">
        <f>S333</f>
        <v>0</v>
      </c>
      <c r="M333" s="206">
        <f>ROUND(L333*I333,2)</f>
        <v>0</v>
      </c>
      <c r="N333" s="211">
        <v>10</v>
      </c>
      <c r="O333" s="212">
        <f>ROUND(N333*I333,2)</f>
        <v>30299.96</v>
      </c>
      <c r="P333" s="207">
        <f>H333-L333-N333</f>
        <v>10</v>
      </c>
      <c r="Q333" s="228">
        <f>ROUND(P333*I333,2)</f>
        <v>30299.96</v>
      </c>
      <c r="R333" s="199"/>
      <c r="S333" s="200">
        <f>W333+Y333+AA333+AC333+AE333+AG333+AI333+AK333</f>
        <v>0</v>
      </c>
      <c r="T333" s="200">
        <f>ROUND(S333*I333,2)</f>
        <v>0</v>
      </c>
      <c r="U333" s="200">
        <f>H333-S333</f>
        <v>20</v>
      </c>
      <c r="V333" s="200">
        <f>ROUND(U333*I333,2)</f>
        <v>60599.92</v>
      </c>
      <c r="W333" s="200"/>
      <c r="X333" s="200"/>
      <c r="Y333" s="200"/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CF333" s="132" t="s">
        <v>1</v>
      </c>
      <c r="CG333" s="133" t="s">
        <v>40</v>
      </c>
      <c r="CI333" s="134">
        <f>CH333*H333</f>
        <v>0</v>
      </c>
      <c r="CJ333" s="134">
        <v>5.8029999999999998E-2</v>
      </c>
      <c r="CK333" s="134">
        <f>CJ333*H333</f>
        <v>1.1606000000000001</v>
      </c>
      <c r="CL333" s="134">
        <v>0</v>
      </c>
      <c r="CM333" s="135">
        <f>CL333*H333</f>
        <v>0</v>
      </c>
      <c r="DK333" s="136" t="s">
        <v>95</v>
      </c>
      <c r="DM333" s="136" t="s">
        <v>284</v>
      </c>
      <c r="DN333" s="136" t="s">
        <v>83</v>
      </c>
      <c r="DR333" s="16" t="s">
        <v>282</v>
      </c>
      <c r="DX333" s="137">
        <f>IF(CG333="základní",J333,0)</f>
        <v>60599.92</v>
      </c>
      <c r="DY333" s="137">
        <f>IF(CG333="snížená",J333,0)</f>
        <v>0</v>
      </c>
      <c r="DZ333" s="137">
        <f>IF(CG333="zákl. přenesená",J333,0)</f>
        <v>0</v>
      </c>
      <c r="EA333" s="137">
        <f>IF(CG333="sníž. přenesená",J333,0)</f>
        <v>0</v>
      </c>
      <c r="EB333" s="137">
        <f>IF(CG333="nulová",J333,0)</f>
        <v>0</v>
      </c>
      <c r="EC333" s="16" t="s">
        <v>81</v>
      </c>
      <c r="ED333" s="137">
        <f>ROUND(I333*H333,2)</f>
        <v>60599.92</v>
      </c>
      <c r="EE333" s="16" t="s">
        <v>95</v>
      </c>
      <c r="EF333" s="136" t="s">
        <v>1161</v>
      </c>
    </row>
    <row r="334" spans="2:136" s="1" customFormat="1" ht="29.25" x14ac:dyDescent="0.2">
      <c r="B334" s="31"/>
      <c r="D334" s="138" t="s">
        <v>289</v>
      </c>
      <c r="F334" s="139" t="s">
        <v>1162</v>
      </c>
      <c r="I334" s="140"/>
      <c r="L334" s="31"/>
      <c r="N334" s="213"/>
      <c r="O334" s="214"/>
      <c r="Q334" s="229"/>
      <c r="CF334" s="141"/>
      <c r="CM334" s="50"/>
      <c r="DM334" s="16" t="s">
        <v>289</v>
      </c>
      <c r="DN334" s="16" t="s">
        <v>83</v>
      </c>
    </row>
    <row r="335" spans="2:136" s="1" customFormat="1" ht="29.25" x14ac:dyDescent="0.2">
      <c r="B335" s="31"/>
      <c r="D335" s="138" t="s">
        <v>299</v>
      </c>
      <c r="F335" s="142" t="s">
        <v>1083</v>
      </c>
      <c r="I335" s="140"/>
      <c r="L335" s="31"/>
      <c r="N335" s="213"/>
      <c r="O335" s="214"/>
      <c r="Q335" s="229"/>
      <c r="CF335" s="141"/>
      <c r="CM335" s="50"/>
      <c r="DM335" s="16" t="s">
        <v>299</v>
      </c>
      <c r="DN335" s="16" t="s">
        <v>83</v>
      </c>
    </row>
    <row r="336" spans="2:136" s="12" customFormat="1" x14ac:dyDescent="0.2">
      <c r="B336" s="149"/>
      <c r="D336" s="138" t="s">
        <v>301</v>
      </c>
      <c r="E336" s="150" t="s">
        <v>1</v>
      </c>
      <c r="F336" s="151" t="s">
        <v>404</v>
      </c>
      <c r="H336" s="152">
        <v>20</v>
      </c>
      <c r="I336" s="153"/>
      <c r="L336" s="149"/>
      <c r="N336" s="217"/>
      <c r="O336" s="218"/>
      <c r="Q336" s="231"/>
      <c r="CF336" s="154"/>
      <c r="CM336" s="155"/>
      <c r="DM336" s="150" t="s">
        <v>301</v>
      </c>
      <c r="DN336" s="150" t="s">
        <v>83</v>
      </c>
      <c r="DO336" s="12" t="s">
        <v>83</v>
      </c>
      <c r="DP336" s="12" t="s">
        <v>32</v>
      </c>
      <c r="DQ336" s="12" t="s">
        <v>81</v>
      </c>
      <c r="DR336" s="150" t="s">
        <v>282</v>
      </c>
    </row>
    <row r="337" spans="2:136" s="1" customFormat="1" ht="24.2" customHeight="1" x14ac:dyDescent="0.2">
      <c r="B337" s="124"/>
      <c r="C337" s="125" t="s">
        <v>526</v>
      </c>
      <c r="D337" s="125" t="s">
        <v>284</v>
      </c>
      <c r="E337" s="126" t="s">
        <v>1163</v>
      </c>
      <c r="F337" s="127" t="s">
        <v>1164</v>
      </c>
      <c r="G337" s="128" t="s">
        <v>485</v>
      </c>
      <c r="H337" s="129">
        <v>20</v>
      </c>
      <c r="I337" s="130">
        <v>1731.8858985723084</v>
      </c>
      <c r="J337" s="131">
        <f>ROUND(I337*H337,2)</f>
        <v>34637.72</v>
      </c>
      <c r="K337" s="127" t="s">
        <v>293</v>
      </c>
      <c r="L337" s="198">
        <f>S337</f>
        <v>0</v>
      </c>
      <c r="M337" s="206">
        <f>ROUND(L337*I337,2)</f>
        <v>0</v>
      </c>
      <c r="N337" s="211">
        <v>10</v>
      </c>
      <c r="O337" s="212">
        <f>ROUND(N337*I337,2)</f>
        <v>17318.86</v>
      </c>
      <c r="P337" s="207">
        <f>H337-L337-N337</f>
        <v>10</v>
      </c>
      <c r="Q337" s="228">
        <f>ROUND(P337*I337,2)</f>
        <v>17318.86</v>
      </c>
      <c r="R337" s="199"/>
      <c r="S337" s="200">
        <f>W337+Y337+AA337+AC337+AE337+AG337+AI337+AK337</f>
        <v>0</v>
      </c>
      <c r="T337" s="200">
        <f>ROUND(S337*I337,2)</f>
        <v>0</v>
      </c>
      <c r="U337" s="200">
        <f>H337-S337</f>
        <v>20</v>
      </c>
      <c r="V337" s="200">
        <f>ROUND(U337*I337,2)</f>
        <v>34637.72</v>
      </c>
      <c r="W337" s="200"/>
      <c r="X337" s="200"/>
      <c r="Y337" s="200"/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CF337" s="132" t="s">
        <v>1</v>
      </c>
      <c r="CG337" s="133" t="s">
        <v>40</v>
      </c>
      <c r="CI337" s="134">
        <f>CH337*H337</f>
        <v>0</v>
      </c>
      <c r="CJ337" s="134">
        <v>1.136E-2</v>
      </c>
      <c r="CK337" s="134">
        <f>CJ337*H337</f>
        <v>0.22720000000000001</v>
      </c>
      <c r="CL337" s="134">
        <v>0</v>
      </c>
      <c r="CM337" s="135">
        <f>CL337*H337</f>
        <v>0</v>
      </c>
      <c r="DK337" s="136" t="s">
        <v>95</v>
      </c>
      <c r="DM337" s="136" t="s">
        <v>284</v>
      </c>
      <c r="DN337" s="136" t="s">
        <v>83</v>
      </c>
      <c r="DR337" s="16" t="s">
        <v>282</v>
      </c>
      <c r="DX337" s="137">
        <f>IF(CG337="základní",J337,0)</f>
        <v>34637.72</v>
      </c>
      <c r="DY337" s="137">
        <f>IF(CG337="snížená",J337,0)</f>
        <v>0</v>
      </c>
      <c r="DZ337" s="137">
        <f>IF(CG337="zákl. přenesená",J337,0)</f>
        <v>0</v>
      </c>
      <c r="EA337" s="137">
        <f>IF(CG337="sníž. přenesená",J337,0)</f>
        <v>0</v>
      </c>
      <c r="EB337" s="137">
        <f>IF(CG337="nulová",J337,0)</f>
        <v>0</v>
      </c>
      <c r="EC337" s="16" t="s">
        <v>81</v>
      </c>
      <c r="ED337" s="137">
        <f>ROUND(I337*H337,2)</f>
        <v>34637.72</v>
      </c>
      <c r="EE337" s="16" t="s">
        <v>95</v>
      </c>
      <c r="EF337" s="136" t="s">
        <v>1165</v>
      </c>
    </row>
    <row r="338" spans="2:136" s="1" customFormat="1" ht="19.5" x14ac:dyDescent="0.2">
      <c r="B338" s="31"/>
      <c r="D338" s="138" t="s">
        <v>289</v>
      </c>
      <c r="F338" s="139" t="s">
        <v>1166</v>
      </c>
      <c r="I338" s="140"/>
      <c r="L338" s="31"/>
      <c r="N338" s="213"/>
      <c r="O338" s="214"/>
      <c r="Q338" s="229"/>
      <c r="CF338" s="141"/>
      <c r="CM338" s="50"/>
      <c r="DM338" s="16" t="s">
        <v>289</v>
      </c>
      <c r="DN338" s="16" t="s">
        <v>83</v>
      </c>
    </row>
    <row r="339" spans="2:136" s="1" customFormat="1" ht="24.2" customHeight="1" x14ac:dyDescent="0.2">
      <c r="B339" s="124"/>
      <c r="C339" s="125" t="s">
        <v>531</v>
      </c>
      <c r="D339" s="125" t="s">
        <v>284</v>
      </c>
      <c r="E339" s="126" t="s">
        <v>1167</v>
      </c>
      <c r="F339" s="127" t="s">
        <v>1168</v>
      </c>
      <c r="G339" s="128" t="s">
        <v>485</v>
      </c>
      <c r="H339" s="129">
        <v>20</v>
      </c>
      <c r="I339" s="130">
        <v>769.70783374577138</v>
      </c>
      <c r="J339" s="131">
        <f>ROUND(I339*H339,2)</f>
        <v>15394.16</v>
      </c>
      <c r="K339" s="127" t="s">
        <v>293</v>
      </c>
      <c r="L339" s="198">
        <f>S339</f>
        <v>0</v>
      </c>
      <c r="M339" s="206">
        <f>ROUND(L339*I339,2)</f>
        <v>0</v>
      </c>
      <c r="N339" s="211">
        <v>10</v>
      </c>
      <c r="O339" s="212">
        <f>ROUND(N339*I339,2)</f>
        <v>7697.08</v>
      </c>
      <c r="P339" s="207">
        <f>H339-L339-N339</f>
        <v>10</v>
      </c>
      <c r="Q339" s="228">
        <f>ROUND(P339*I339,2)</f>
        <v>7697.08</v>
      </c>
      <c r="R339" s="199"/>
      <c r="S339" s="200">
        <f>W339+Y339+AA339+AC339+AE339+AG339+AI339+AK339</f>
        <v>0</v>
      </c>
      <c r="T339" s="200">
        <f>ROUND(S339*I339,2)</f>
        <v>0</v>
      </c>
      <c r="U339" s="200">
        <f>H339-S339</f>
        <v>20</v>
      </c>
      <c r="V339" s="200">
        <f>ROUND(U339*I339,2)</f>
        <v>15394.16</v>
      </c>
      <c r="W339" s="200"/>
      <c r="X339" s="200"/>
      <c r="Y339" s="200"/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CF339" s="132" t="s">
        <v>1</v>
      </c>
      <c r="CG339" s="133" t="s">
        <v>40</v>
      </c>
      <c r="CI339" s="134">
        <f>CH339*H339</f>
        <v>0</v>
      </c>
      <c r="CJ339" s="134">
        <v>6.2199999999999998E-3</v>
      </c>
      <c r="CK339" s="134">
        <f>CJ339*H339</f>
        <v>0.1244</v>
      </c>
      <c r="CL339" s="134">
        <v>0</v>
      </c>
      <c r="CM339" s="135">
        <f>CL339*H339</f>
        <v>0</v>
      </c>
      <c r="DK339" s="136" t="s">
        <v>95</v>
      </c>
      <c r="DM339" s="136" t="s">
        <v>284</v>
      </c>
      <c r="DN339" s="136" t="s">
        <v>83</v>
      </c>
      <c r="DR339" s="16" t="s">
        <v>282</v>
      </c>
      <c r="DX339" s="137">
        <f>IF(CG339="základní",J339,0)</f>
        <v>15394.16</v>
      </c>
      <c r="DY339" s="137">
        <f>IF(CG339="snížená",J339,0)</f>
        <v>0</v>
      </c>
      <c r="DZ339" s="137">
        <f>IF(CG339="zákl. přenesená",J339,0)</f>
        <v>0</v>
      </c>
      <c r="EA339" s="137">
        <f>IF(CG339="sníž. přenesená",J339,0)</f>
        <v>0</v>
      </c>
      <c r="EB339" s="137">
        <f>IF(CG339="nulová",J339,0)</f>
        <v>0</v>
      </c>
      <c r="EC339" s="16" t="s">
        <v>81</v>
      </c>
      <c r="ED339" s="137">
        <f>ROUND(I339*H339,2)</f>
        <v>15394.16</v>
      </c>
      <c r="EE339" s="16" t="s">
        <v>95</v>
      </c>
      <c r="EF339" s="136" t="s">
        <v>1169</v>
      </c>
    </row>
    <row r="340" spans="2:136" s="1" customFormat="1" ht="29.25" x14ac:dyDescent="0.2">
      <c r="B340" s="31"/>
      <c r="D340" s="138" t="s">
        <v>289</v>
      </c>
      <c r="F340" s="139" t="s">
        <v>1170</v>
      </c>
      <c r="I340" s="140"/>
      <c r="L340" s="31"/>
      <c r="N340" s="213"/>
      <c r="O340" s="214"/>
      <c r="Q340" s="229"/>
      <c r="CF340" s="141"/>
      <c r="CM340" s="50"/>
      <c r="DM340" s="16" t="s">
        <v>289</v>
      </c>
      <c r="DN340" s="16" t="s">
        <v>83</v>
      </c>
    </row>
    <row r="341" spans="2:136" s="1" customFormat="1" ht="24.2" customHeight="1" x14ac:dyDescent="0.2">
      <c r="B341" s="124"/>
      <c r="C341" s="125" t="s">
        <v>536</v>
      </c>
      <c r="D341" s="125" t="s">
        <v>284</v>
      </c>
      <c r="E341" s="126" t="s">
        <v>1171</v>
      </c>
      <c r="F341" s="127" t="s">
        <v>1172</v>
      </c>
      <c r="G341" s="128" t="s">
        <v>485</v>
      </c>
      <c r="H341" s="129">
        <v>20</v>
      </c>
      <c r="I341" s="130">
        <v>809.35201412271431</v>
      </c>
      <c r="J341" s="131">
        <f>ROUND(I341*H341,2)</f>
        <v>16187.04</v>
      </c>
      <c r="K341" s="127" t="s">
        <v>293</v>
      </c>
      <c r="L341" s="198">
        <f>S341</f>
        <v>0</v>
      </c>
      <c r="M341" s="206">
        <f>ROUND(L341*I341,2)</f>
        <v>0</v>
      </c>
      <c r="N341" s="211">
        <v>10</v>
      </c>
      <c r="O341" s="212">
        <f>ROUND(N341*I341,2)</f>
        <v>8093.52</v>
      </c>
      <c r="P341" s="207">
        <f>H341-L341-N341</f>
        <v>10</v>
      </c>
      <c r="Q341" s="228">
        <f>ROUND(P341*I341,2)</f>
        <v>8093.52</v>
      </c>
      <c r="R341" s="199"/>
      <c r="S341" s="200">
        <f>W341+Y341+AA341+AC341+AE341+AG341+AI341+AK341</f>
        <v>0</v>
      </c>
      <c r="T341" s="200">
        <f>ROUND(S341*I341,2)</f>
        <v>0</v>
      </c>
      <c r="U341" s="200">
        <f>H341-S341</f>
        <v>20</v>
      </c>
      <c r="V341" s="200">
        <f>ROUND(U341*I341,2)</f>
        <v>16187.04</v>
      </c>
      <c r="W341" s="200"/>
      <c r="X341" s="200"/>
      <c r="Y341" s="200"/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CF341" s="132" t="s">
        <v>1</v>
      </c>
      <c r="CG341" s="133" t="s">
        <v>40</v>
      </c>
      <c r="CI341" s="134">
        <f>CH341*H341</f>
        <v>0</v>
      </c>
      <c r="CJ341" s="134">
        <v>0</v>
      </c>
      <c r="CK341" s="134">
        <f>CJ341*H341</f>
        <v>0</v>
      </c>
      <c r="CL341" s="134">
        <v>0</v>
      </c>
      <c r="CM341" s="135">
        <f>CL341*H341</f>
        <v>0</v>
      </c>
      <c r="DK341" s="136" t="s">
        <v>95</v>
      </c>
      <c r="DM341" s="136" t="s">
        <v>284</v>
      </c>
      <c r="DN341" s="136" t="s">
        <v>83</v>
      </c>
      <c r="DR341" s="16" t="s">
        <v>282</v>
      </c>
      <c r="DX341" s="137">
        <f>IF(CG341="základní",J341,0)</f>
        <v>16187.04</v>
      </c>
      <c r="DY341" s="137">
        <f>IF(CG341="snížená",J341,0)</f>
        <v>0</v>
      </c>
      <c r="DZ341" s="137">
        <f>IF(CG341="zákl. přenesená",J341,0)</f>
        <v>0</v>
      </c>
      <c r="EA341" s="137">
        <f>IF(CG341="sníž. přenesená",J341,0)</f>
        <v>0</v>
      </c>
      <c r="EB341" s="137">
        <f>IF(CG341="nulová",J341,0)</f>
        <v>0</v>
      </c>
      <c r="EC341" s="16" t="s">
        <v>81</v>
      </c>
      <c r="ED341" s="137">
        <f>ROUND(I341*H341,2)</f>
        <v>16187.04</v>
      </c>
      <c r="EE341" s="16" t="s">
        <v>95</v>
      </c>
      <c r="EF341" s="136" t="s">
        <v>1173</v>
      </c>
    </row>
    <row r="342" spans="2:136" s="1" customFormat="1" ht="29.25" x14ac:dyDescent="0.2">
      <c r="B342" s="31"/>
      <c r="D342" s="138" t="s">
        <v>289</v>
      </c>
      <c r="F342" s="139" t="s">
        <v>1174</v>
      </c>
      <c r="I342" s="140"/>
      <c r="L342" s="31"/>
      <c r="N342" s="213"/>
      <c r="O342" s="214"/>
      <c r="Q342" s="229"/>
      <c r="CF342" s="141"/>
      <c r="CM342" s="50"/>
      <c r="DM342" s="16" t="s">
        <v>289</v>
      </c>
      <c r="DN342" s="16" t="s">
        <v>83</v>
      </c>
    </row>
    <row r="343" spans="2:136" s="1" customFormat="1" ht="24.2" customHeight="1" x14ac:dyDescent="0.2">
      <c r="B343" s="124"/>
      <c r="C343" s="125" t="s">
        <v>543</v>
      </c>
      <c r="D343" s="125" t="s">
        <v>284</v>
      </c>
      <c r="E343" s="126" t="s">
        <v>1175</v>
      </c>
      <c r="F343" s="127" t="s">
        <v>1176</v>
      </c>
      <c r="G343" s="128" t="s">
        <v>485</v>
      </c>
      <c r="H343" s="129">
        <v>20</v>
      </c>
      <c r="I343" s="130">
        <v>3446.6463092111458</v>
      </c>
      <c r="J343" s="131">
        <f>ROUND(I343*H343,2)</f>
        <v>68932.929999999993</v>
      </c>
      <c r="K343" s="127" t="s">
        <v>293</v>
      </c>
      <c r="L343" s="198">
        <f>S343</f>
        <v>0</v>
      </c>
      <c r="M343" s="206">
        <f>ROUND(L343*I343,2)</f>
        <v>0</v>
      </c>
      <c r="N343" s="211">
        <v>10</v>
      </c>
      <c r="O343" s="212">
        <f>ROUND(N343*I343,2)</f>
        <v>34466.46</v>
      </c>
      <c r="P343" s="207">
        <f>H343-L343-N343</f>
        <v>10</v>
      </c>
      <c r="Q343" s="228">
        <f>ROUND(P343*I343,2)</f>
        <v>34466.46</v>
      </c>
      <c r="R343" s="199"/>
      <c r="S343" s="200">
        <f>W343+Y343+AA343+AC343+AE343+AG343+AI343+AK343</f>
        <v>0</v>
      </c>
      <c r="T343" s="200">
        <f>ROUND(S343*I343,2)</f>
        <v>0</v>
      </c>
      <c r="U343" s="200">
        <f>H343-S343</f>
        <v>20</v>
      </c>
      <c r="V343" s="200">
        <f>ROUND(U343*I343,2)</f>
        <v>68932.929999999993</v>
      </c>
      <c r="W343" s="200"/>
      <c r="X343" s="200"/>
      <c r="Y343" s="200"/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CF343" s="132" t="s">
        <v>1</v>
      </c>
      <c r="CG343" s="133" t="s">
        <v>40</v>
      </c>
      <c r="CI343" s="134">
        <f>CH343*H343</f>
        <v>0</v>
      </c>
      <c r="CJ343" s="134">
        <v>5.4539999999999998E-2</v>
      </c>
      <c r="CK343" s="134">
        <f>CJ343*H343</f>
        <v>1.0908</v>
      </c>
      <c r="CL343" s="134">
        <v>0</v>
      </c>
      <c r="CM343" s="135">
        <f>CL343*H343</f>
        <v>0</v>
      </c>
      <c r="DK343" s="136" t="s">
        <v>95</v>
      </c>
      <c r="DM343" s="136" t="s">
        <v>284</v>
      </c>
      <c r="DN343" s="136" t="s">
        <v>83</v>
      </c>
      <c r="DR343" s="16" t="s">
        <v>282</v>
      </c>
      <c r="DX343" s="137">
        <f>IF(CG343="základní",J343,0)</f>
        <v>68932.929999999993</v>
      </c>
      <c r="DY343" s="137">
        <f>IF(CG343="snížená",J343,0)</f>
        <v>0</v>
      </c>
      <c r="DZ343" s="137">
        <f>IF(CG343="zákl. přenesená",J343,0)</f>
        <v>0</v>
      </c>
      <c r="EA343" s="137">
        <f>IF(CG343="sníž. přenesená",J343,0)</f>
        <v>0</v>
      </c>
      <c r="EB343" s="137">
        <f>IF(CG343="nulová",J343,0)</f>
        <v>0</v>
      </c>
      <c r="EC343" s="16" t="s">
        <v>81</v>
      </c>
      <c r="ED343" s="137">
        <f>ROUND(I343*H343,2)</f>
        <v>68932.929999999993</v>
      </c>
      <c r="EE343" s="16" t="s">
        <v>95</v>
      </c>
      <c r="EF343" s="136" t="s">
        <v>1177</v>
      </c>
    </row>
    <row r="344" spans="2:136" s="1" customFormat="1" ht="29.25" x14ac:dyDescent="0.2">
      <c r="B344" s="31"/>
      <c r="D344" s="138" t="s">
        <v>289</v>
      </c>
      <c r="F344" s="139" t="s">
        <v>1178</v>
      </c>
      <c r="I344" s="140"/>
      <c r="L344" s="31"/>
      <c r="N344" s="213"/>
      <c r="O344" s="214"/>
      <c r="Q344" s="229"/>
      <c r="CF344" s="141"/>
      <c r="CM344" s="50"/>
      <c r="DM344" s="16" t="s">
        <v>289</v>
      </c>
      <c r="DN344" s="16" t="s">
        <v>83</v>
      </c>
    </row>
    <row r="345" spans="2:136" s="1" customFormat="1" ht="24.2" customHeight="1" x14ac:dyDescent="0.2">
      <c r="B345" s="124"/>
      <c r="C345" s="125" t="s">
        <v>548</v>
      </c>
      <c r="D345" s="125" t="s">
        <v>284</v>
      </c>
      <c r="E345" s="126" t="s">
        <v>1179</v>
      </c>
      <c r="F345" s="127" t="s">
        <v>1180</v>
      </c>
      <c r="G345" s="128" t="s">
        <v>485</v>
      </c>
      <c r="H345" s="129">
        <v>17</v>
      </c>
      <c r="I345" s="130">
        <v>4973.6339388584802</v>
      </c>
      <c r="J345" s="131">
        <f>ROUND(I345*H345,2)</f>
        <v>84551.78</v>
      </c>
      <c r="K345" s="127" t="s">
        <v>293</v>
      </c>
      <c r="L345" s="198">
        <f>S345</f>
        <v>0</v>
      </c>
      <c r="M345" s="206">
        <f>ROUND(L345*I345,2)</f>
        <v>0</v>
      </c>
      <c r="N345" s="211">
        <v>-9</v>
      </c>
      <c r="O345" s="212">
        <f>ROUND(N345*I345,2)</f>
        <v>-44762.71</v>
      </c>
      <c r="P345" s="207">
        <f>H345-L345-N345</f>
        <v>26</v>
      </c>
      <c r="Q345" s="228">
        <f>ROUND(P345*I345,2)</f>
        <v>129314.48</v>
      </c>
      <c r="R345" s="199"/>
      <c r="S345" s="200">
        <f>W345+Y345+AA345+AC345+AE345+AG345+AI345+AK345</f>
        <v>0</v>
      </c>
      <c r="T345" s="200">
        <f>ROUND(S345*I345,2)</f>
        <v>0</v>
      </c>
      <c r="U345" s="200">
        <f>H345-S345</f>
        <v>17</v>
      </c>
      <c r="V345" s="200">
        <f>ROUND(U345*I345,2)</f>
        <v>84551.78</v>
      </c>
      <c r="W345" s="200"/>
      <c r="X345" s="200"/>
      <c r="Y345" s="200"/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CF345" s="132" t="s">
        <v>1</v>
      </c>
      <c r="CG345" s="133" t="s">
        <v>40</v>
      </c>
      <c r="CI345" s="134">
        <f>CH345*H345</f>
        <v>0</v>
      </c>
      <c r="CJ345" s="134">
        <v>0.1056</v>
      </c>
      <c r="CK345" s="134">
        <f>CJ345*H345</f>
        <v>1.7951999999999999</v>
      </c>
      <c r="CL345" s="134">
        <v>0</v>
      </c>
      <c r="CM345" s="135">
        <f>CL345*H345</f>
        <v>0</v>
      </c>
      <c r="DK345" s="136" t="s">
        <v>95</v>
      </c>
      <c r="DM345" s="136" t="s">
        <v>284</v>
      </c>
      <c r="DN345" s="136" t="s">
        <v>83</v>
      </c>
      <c r="DR345" s="16" t="s">
        <v>282</v>
      </c>
      <c r="DX345" s="137">
        <f>IF(CG345="základní",J345,0)</f>
        <v>84551.78</v>
      </c>
      <c r="DY345" s="137">
        <f>IF(CG345="snížená",J345,0)</f>
        <v>0</v>
      </c>
      <c r="DZ345" s="137">
        <f>IF(CG345="zákl. přenesená",J345,0)</f>
        <v>0</v>
      </c>
      <c r="EA345" s="137">
        <f>IF(CG345="sníž. přenesená",J345,0)</f>
        <v>0</v>
      </c>
      <c r="EB345" s="137">
        <f>IF(CG345="nulová",J345,0)</f>
        <v>0</v>
      </c>
      <c r="EC345" s="16" t="s">
        <v>81</v>
      </c>
      <c r="ED345" s="137">
        <f>ROUND(I345*H345,2)</f>
        <v>84551.78</v>
      </c>
      <c r="EE345" s="16" t="s">
        <v>95</v>
      </c>
      <c r="EF345" s="136" t="s">
        <v>1181</v>
      </c>
    </row>
    <row r="346" spans="2:136" s="1" customFormat="1" ht="29.25" x14ac:dyDescent="0.2">
      <c r="B346" s="31"/>
      <c r="D346" s="138" t="s">
        <v>289</v>
      </c>
      <c r="F346" s="139" t="s">
        <v>1182</v>
      </c>
      <c r="I346" s="140"/>
      <c r="L346" s="31"/>
      <c r="N346" s="213"/>
      <c r="O346" s="214"/>
      <c r="Q346" s="229"/>
      <c r="CF346" s="141"/>
      <c r="CM346" s="50"/>
      <c r="DM346" s="16" t="s">
        <v>289</v>
      </c>
      <c r="DN346" s="16" t="s">
        <v>83</v>
      </c>
    </row>
    <row r="347" spans="2:136" s="1" customFormat="1" ht="29.25" x14ac:dyDescent="0.2">
      <c r="B347" s="31"/>
      <c r="D347" s="138" t="s">
        <v>299</v>
      </c>
      <c r="F347" s="142" t="s">
        <v>1083</v>
      </c>
      <c r="I347" s="140"/>
      <c r="L347" s="31"/>
      <c r="N347" s="213"/>
      <c r="O347" s="214"/>
      <c r="Q347" s="229"/>
      <c r="CF347" s="141"/>
      <c r="CM347" s="50"/>
      <c r="DM347" s="16" t="s">
        <v>299</v>
      </c>
      <c r="DN347" s="16" t="s">
        <v>83</v>
      </c>
    </row>
    <row r="348" spans="2:136" s="12" customFormat="1" x14ac:dyDescent="0.2">
      <c r="B348" s="149"/>
      <c r="D348" s="138" t="s">
        <v>301</v>
      </c>
      <c r="E348" s="150" t="s">
        <v>1</v>
      </c>
      <c r="F348" s="151" t="s">
        <v>386</v>
      </c>
      <c r="H348" s="152">
        <v>17</v>
      </c>
      <c r="I348" s="153"/>
      <c r="L348" s="149"/>
      <c r="N348" s="217"/>
      <c r="O348" s="218"/>
      <c r="Q348" s="231"/>
      <c r="CF348" s="154"/>
      <c r="CM348" s="155"/>
      <c r="DM348" s="150" t="s">
        <v>301</v>
      </c>
      <c r="DN348" s="150" t="s">
        <v>83</v>
      </c>
      <c r="DO348" s="12" t="s">
        <v>83</v>
      </c>
      <c r="DP348" s="12" t="s">
        <v>32</v>
      </c>
      <c r="DQ348" s="12" t="s">
        <v>81</v>
      </c>
      <c r="DR348" s="150" t="s">
        <v>282</v>
      </c>
    </row>
    <row r="349" spans="2:136" s="1" customFormat="1" ht="24.2" customHeight="1" x14ac:dyDescent="0.2">
      <c r="B349" s="124"/>
      <c r="C349" s="125" t="s">
        <v>556</v>
      </c>
      <c r="D349" s="125" t="s">
        <v>284</v>
      </c>
      <c r="E349" s="126" t="s">
        <v>932</v>
      </c>
      <c r="F349" s="127" t="s">
        <v>933</v>
      </c>
      <c r="G349" s="128" t="s">
        <v>485</v>
      </c>
      <c r="H349" s="129">
        <v>17</v>
      </c>
      <c r="I349" s="130">
        <v>3593.8097854433977</v>
      </c>
      <c r="J349" s="131">
        <f>ROUND(I349*H349,2)</f>
        <v>61094.77</v>
      </c>
      <c r="K349" s="127" t="s">
        <v>293</v>
      </c>
      <c r="L349" s="198">
        <f>S349</f>
        <v>0</v>
      </c>
      <c r="M349" s="206">
        <f>ROUND(L349*I349,2)</f>
        <v>0</v>
      </c>
      <c r="N349" s="211">
        <v>-9</v>
      </c>
      <c r="O349" s="212">
        <f>ROUND(N349*I349,2)</f>
        <v>-32344.29</v>
      </c>
      <c r="P349" s="207">
        <f>H349-L349-N349</f>
        <v>26</v>
      </c>
      <c r="Q349" s="228">
        <f>ROUND(P349*I349,2)</f>
        <v>93439.05</v>
      </c>
      <c r="R349" s="199"/>
      <c r="S349" s="200">
        <f>W349+Y349+AA349+AC349+AE349+AG349+AI349+AK349</f>
        <v>0</v>
      </c>
      <c r="T349" s="200">
        <f>ROUND(S349*I349,2)</f>
        <v>0</v>
      </c>
      <c r="U349" s="200">
        <f>H349-S349</f>
        <v>17</v>
      </c>
      <c r="V349" s="200">
        <f>ROUND(U349*I349,2)</f>
        <v>61094.77</v>
      </c>
      <c r="W349" s="200"/>
      <c r="X349" s="200"/>
      <c r="Y349" s="200"/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CF349" s="132" t="s">
        <v>1</v>
      </c>
      <c r="CG349" s="133" t="s">
        <v>40</v>
      </c>
      <c r="CI349" s="134">
        <f>CH349*H349</f>
        <v>0</v>
      </c>
      <c r="CJ349" s="134">
        <v>2.4240000000000001E-2</v>
      </c>
      <c r="CK349" s="134">
        <f>CJ349*H349</f>
        <v>0.41208</v>
      </c>
      <c r="CL349" s="134">
        <v>0</v>
      </c>
      <c r="CM349" s="135">
        <f>CL349*H349</f>
        <v>0</v>
      </c>
      <c r="DK349" s="136" t="s">
        <v>95</v>
      </c>
      <c r="DM349" s="136" t="s">
        <v>284</v>
      </c>
      <c r="DN349" s="136" t="s">
        <v>83</v>
      </c>
      <c r="DR349" s="16" t="s">
        <v>282</v>
      </c>
      <c r="DX349" s="137">
        <f>IF(CG349="základní",J349,0)</f>
        <v>61094.77</v>
      </c>
      <c r="DY349" s="137">
        <f>IF(CG349="snížená",J349,0)</f>
        <v>0</v>
      </c>
      <c r="DZ349" s="137">
        <f>IF(CG349="zákl. přenesená",J349,0)</f>
        <v>0</v>
      </c>
      <c r="EA349" s="137">
        <f>IF(CG349="sníž. přenesená",J349,0)</f>
        <v>0</v>
      </c>
      <c r="EB349" s="137">
        <f>IF(CG349="nulová",J349,0)</f>
        <v>0</v>
      </c>
      <c r="EC349" s="16" t="s">
        <v>81</v>
      </c>
      <c r="ED349" s="137">
        <f>ROUND(I349*H349,2)</f>
        <v>61094.77</v>
      </c>
      <c r="EE349" s="16" t="s">
        <v>95</v>
      </c>
      <c r="EF349" s="136" t="s">
        <v>1033</v>
      </c>
    </row>
    <row r="350" spans="2:136" s="1" customFormat="1" ht="19.5" x14ac:dyDescent="0.2">
      <c r="B350" s="31"/>
      <c r="D350" s="138" t="s">
        <v>289</v>
      </c>
      <c r="F350" s="139" t="s">
        <v>935</v>
      </c>
      <c r="I350" s="140"/>
      <c r="L350" s="31"/>
      <c r="N350" s="213"/>
      <c r="O350" s="214"/>
      <c r="Q350" s="229"/>
      <c r="CF350" s="141"/>
      <c r="CM350" s="50"/>
      <c r="DM350" s="16" t="s">
        <v>289</v>
      </c>
      <c r="DN350" s="16" t="s">
        <v>83</v>
      </c>
    </row>
    <row r="351" spans="2:136" s="1" customFormat="1" ht="24.2" customHeight="1" x14ac:dyDescent="0.2">
      <c r="B351" s="124"/>
      <c r="C351" s="125" t="s">
        <v>562</v>
      </c>
      <c r="D351" s="125" t="s">
        <v>284</v>
      </c>
      <c r="E351" s="126" t="s">
        <v>936</v>
      </c>
      <c r="F351" s="127" t="s">
        <v>937</v>
      </c>
      <c r="G351" s="128" t="s">
        <v>485</v>
      </c>
      <c r="H351" s="129">
        <v>17</v>
      </c>
      <c r="I351" s="130">
        <v>1078.0568828114554</v>
      </c>
      <c r="J351" s="131">
        <f>ROUND(I351*H351,2)</f>
        <v>18326.97</v>
      </c>
      <c r="K351" s="127" t="s">
        <v>293</v>
      </c>
      <c r="L351" s="198">
        <f>S351</f>
        <v>0</v>
      </c>
      <c r="M351" s="206">
        <f>ROUND(L351*I351,2)</f>
        <v>0</v>
      </c>
      <c r="N351" s="211">
        <v>-9</v>
      </c>
      <c r="O351" s="212">
        <f>ROUND(N351*I351,2)</f>
        <v>-9702.51</v>
      </c>
      <c r="P351" s="207">
        <f>H351-L351-N351</f>
        <v>26</v>
      </c>
      <c r="Q351" s="228">
        <f>ROUND(P351*I351,2)</f>
        <v>28029.48</v>
      </c>
      <c r="R351" s="199"/>
      <c r="S351" s="200">
        <f>W351+Y351+AA351+AC351+AE351+AG351+AI351+AK351</f>
        <v>0</v>
      </c>
      <c r="T351" s="200">
        <f>ROUND(S351*I351,2)</f>
        <v>0</v>
      </c>
      <c r="U351" s="200">
        <f>H351-S351</f>
        <v>17</v>
      </c>
      <c r="V351" s="200">
        <f>ROUND(U351*I351,2)</f>
        <v>18326.97</v>
      </c>
      <c r="W351" s="200"/>
      <c r="X351" s="200"/>
      <c r="Y351" s="200"/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CF351" s="132" t="s">
        <v>1</v>
      </c>
      <c r="CG351" s="133" t="s">
        <v>40</v>
      </c>
      <c r="CI351" s="134">
        <f>CH351*H351</f>
        <v>0</v>
      </c>
      <c r="CJ351" s="134">
        <v>0</v>
      </c>
      <c r="CK351" s="134">
        <f>CJ351*H351</f>
        <v>0</v>
      </c>
      <c r="CL351" s="134">
        <v>0</v>
      </c>
      <c r="CM351" s="135">
        <f>CL351*H351</f>
        <v>0</v>
      </c>
      <c r="DK351" s="136" t="s">
        <v>95</v>
      </c>
      <c r="DM351" s="136" t="s">
        <v>284</v>
      </c>
      <c r="DN351" s="136" t="s">
        <v>83</v>
      </c>
      <c r="DR351" s="16" t="s">
        <v>282</v>
      </c>
      <c r="DX351" s="137">
        <f>IF(CG351="základní",J351,0)</f>
        <v>18326.97</v>
      </c>
      <c r="DY351" s="137">
        <f>IF(CG351="snížená",J351,0)</f>
        <v>0</v>
      </c>
      <c r="DZ351" s="137">
        <f>IF(CG351="zákl. přenesená",J351,0)</f>
        <v>0</v>
      </c>
      <c r="EA351" s="137">
        <f>IF(CG351="sníž. přenesená",J351,0)</f>
        <v>0</v>
      </c>
      <c r="EB351" s="137">
        <f>IF(CG351="nulová",J351,0)</f>
        <v>0</v>
      </c>
      <c r="EC351" s="16" t="s">
        <v>81</v>
      </c>
      <c r="ED351" s="137">
        <f>ROUND(I351*H351,2)</f>
        <v>18326.97</v>
      </c>
      <c r="EE351" s="16" t="s">
        <v>95</v>
      </c>
      <c r="EF351" s="136" t="s">
        <v>1038</v>
      </c>
    </row>
    <row r="352" spans="2:136" s="1" customFormat="1" ht="19.5" x14ac:dyDescent="0.2">
      <c r="B352" s="31"/>
      <c r="D352" s="138" t="s">
        <v>289</v>
      </c>
      <c r="F352" s="139" t="s">
        <v>939</v>
      </c>
      <c r="I352" s="140"/>
      <c r="L352" s="31"/>
      <c r="N352" s="213"/>
      <c r="O352" s="214"/>
      <c r="Q352" s="229"/>
      <c r="CF352" s="141"/>
      <c r="CM352" s="50"/>
      <c r="DM352" s="16" t="s">
        <v>289</v>
      </c>
      <c r="DN352" s="16" t="s">
        <v>83</v>
      </c>
    </row>
    <row r="353" spans="2:136" s="1" customFormat="1" ht="24.2" customHeight="1" x14ac:dyDescent="0.2">
      <c r="B353" s="124"/>
      <c r="C353" s="125" t="s">
        <v>568</v>
      </c>
      <c r="D353" s="125" t="s">
        <v>284</v>
      </c>
      <c r="E353" s="126" t="s">
        <v>940</v>
      </c>
      <c r="F353" s="127" t="s">
        <v>941</v>
      </c>
      <c r="G353" s="128" t="s">
        <v>485</v>
      </c>
      <c r="H353" s="129">
        <v>17</v>
      </c>
      <c r="I353" s="130">
        <v>8864.0454366400263</v>
      </c>
      <c r="J353" s="131">
        <f>ROUND(I353*H353,2)</f>
        <v>150688.76999999999</v>
      </c>
      <c r="K353" s="127" t="s">
        <v>293</v>
      </c>
      <c r="L353" s="198">
        <f>S353</f>
        <v>0</v>
      </c>
      <c r="M353" s="206">
        <f>ROUND(L353*I353,2)</f>
        <v>0</v>
      </c>
      <c r="N353" s="211">
        <v>-9</v>
      </c>
      <c r="O353" s="212">
        <f>ROUND(N353*I353,2)</f>
        <v>-79776.41</v>
      </c>
      <c r="P353" s="207">
        <f>H353-L353-N353</f>
        <v>26</v>
      </c>
      <c r="Q353" s="228">
        <f>ROUND(P353*I353,2)</f>
        <v>230465.18</v>
      </c>
      <c r="R353" s="199"/>
      <c r="S353" s="200">
        <f>W353+Y353+AA353+AC353+AE353+AG353+AI353+AK353</f>
        <v>0</v>
      </c>
      <c r="T353" s="200">
        <f>ROUND(S353*I353,2)</f>
        <v>0</v>
      </c>
      <c r="U353" s="200">
        <f>H353-S353</f>
        <v>17</v>
      </c>
      <c r="V353" s="200">
        <f>ROUND(U353*I353,2)</f>
        <v>150688.76999999999</v>
      </c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CF353" s="132" t="s">
        <v>1</v>
      </c>
      <c r="CG353" s="133" t="s">
        <v>40</v>
      </c>
      <c r="CI353" s="134">
        <f>CH353*H353</f>
        <v>0</v>
      </c>
      <c r="CJ353" s="134">
        <v>0.21007999999999999</v>
      </c>
      <c r="CK353" s="134">
        <f>CJ353*H353</f>
        <v>3.5713599999999999</v>
      </c>
      <c r="CL353" s="134">
        <v>0</v>
      </c>
      <c r="CM353" s="135">
        <f>CL353*H353</f>
        <v>0</v>
      </c>
      <c r="DK353" s="136" t="s">
        <v>95</v>
      </c>
      <c r="DM353" s="136" t="s">
        <v>284</v>
      </c>
      <c r="DN353" s="136" t="s">
        <v>83</v>
      </c>
      <c r="DR353" s="16" t="s">
        <v>282</v>
      </c>
      <c r="DX353" s="137">
        <f>IF(CG353="základní",J353,0)</f>
        <v>150688.76999999999</v>
      </c>
      <c r="DY353" s="137">
        <f>IF(CG353="snížená",J353,0)</f>
        <v>0</v>
      </c>
      <c r="DZ353" s="137">
        <f>IF(CG353="zákl. přenesená",J353,0)</f>
        <v>0</v>
      </c>
      <c r="EA353" s="137">
        <f>IF(CG353="sníž. přenesená",J353,0)</f>
        <v>0</v>
      </c>
      <c r="EB353" s="137">
        <f>IF(CG353="nulová",J353,0)</f>
        <v>0</v>
      </c>
      <c r="EC353" s="16" t="s">
        <v>81</v>
      </c>
      <c r="ED353" s="137">
        <f>ROUND(I353*H353,2)</f>
        <v>150688.76999999999</v>
      </c>
      <c r="EE353" s="16" t="s">
        <v>95</v>
      </c>
      <c r="EF353" s="136" t="s">
        <v>1039</v>
      </c>
    </row>
    <row r="354" spans="2:136" s="1" customFormat="1" ht="29.25" x14ac:dyDescent="0.2">
      <c r="B354" s="31"/>
      <c r="D354" s="138" t="s">
        <v>289</v>
      </c>
      <c r="F354" s="139" t="s">
        <v>943</v>
      </c>
      <c r="I354" s="140"/>
      <c r="L354" s="31"/>
      <c r="N354" s="213"/>
      <c r="O354" s="214"/>
      <c r="Q354" s="229"/>
      <c r="CF354" s="141"/>
      <c r="CM354" s="50"/>
      <c r="DM354" s="16" t="s">
        <v>289</v>
      </c>
      <c r="DN354" s="16" t="s">
        <v>83</v>
      </c>
    </row>
    <row r="355" spans="2:136" s="10" customFormat="1" ht="22.9" customHeight="1" x14ac:dyDescent="0.2">
      <c r="B355" s="112"/>
      <c r="D355" s="113" t="s">
        <v>73</v>
      </c>
      <c r="E355" s="122" t="s">
        <v>335</v>
      </c>
      <c r="F355" s="122" t="s">
        <v>674</v>
      </c>
      <c r="I355" s="115"/>
      <c r="J355" s="123">
        <f>ED355</f>
        <v>71798.95</v>
      </c>
      <c r="L355" s="112"/>
      <c r="M355" s="320">
        <f>M356+M360+M364</f>
        <v>0</v>
      </c>
      <c r="N355" s="323"/>
      <c r="O355" s="324">
        <f t="shared" ref="O355:V355" si="7">O356+O360+O364</f>
        <v>0</v>
      </c>
      <c r="P355" s="320"/>
      <c r="Q355" s="326">
        <f t="shared" si="7"/>
        <v>71798.95</v>
      </c>
      <c r="R355" s="320"/>
      <c r="S355" s="320"/>
      <c r="T355" s="320">
        <f t="shared" si="7"/>
        <v>0</v>
      </c>
      <c r="U355" s="320"/>
      <c r="V355" s="320">
        <f t="shared" si="7"/>
        <v>71798.95</v>
      </c>
      <c r="CF355" s="117"/>
      <c r="CI355" s="118">
        <f>SUM(CI356:CI367)</f>
        <v>0</v>
      </c>
      <c r="CK355" s="118">
        <f>SUM(CK356:CK367)</f>
        <v>0</v>
      </c>
      <c r="CM355" s="119">
        <f>SUM(CM356:CM367)</f>
        <v>0</v>
      </c>
      <c r="DK355" s="113" t="s">
        <v>81</v>
      </c>
      <c r="DM355" s="120" t="s">
        <v>73</v>
      </c>
      <c r="DN355" s="120" t="s">
        <v>81</v>
      </c>
      <c r="DR355" s="113" t="s">
        <v>282</v>
      </c>
      <c r="ED355" s="121">
        <f>SUM(ED356:ED367)</f>
        <v>71798.95</v>
      </c>
    </row>
    <row r="356" spans="2:136" s="1" customFormat="1" ht="45" customHeight="1" x14ac:dyDescent="0.2">
      <c r="B356" s="124"/>
      <c r="C356" s="125" t="s">
        <v>572</v>
      </c>
      <c r="D356" s="125" t="s">
        <v>284</v>
      </c>
      <c r="E356" s="126" t="s">
        <v>1183</v>
      </c>
      <c r="F356" s="127" t="s">
        <v>1184</v>
      </c>
      <c r="G356" s="128" t="s">
        <v>315</v>
      </c>
      <c r="H356" s="129">
        <v>13</v>
      </c>
      <c r="I356" s="130">
        <v>3220.5333799999999</v>
      </c>
      <c r="J356" s="131">
        <f>ROUND(I356*H356,2)</f>
        <v>41866.93</v>
      </c>
      <c r="K356" s="127" t="s">
        <v>1</v>
      </c>
      <c r="L356" s="198">
        <f>S356</f>
        <v>0</v>
      </c>
      <c r="M356" s="206">
        <f>ROUND(L356*I356,2)</f>
        <v>0</v>
      </c>
      <c r="N356" s="211"/>
      <c r="O356" s="212">
        <f>ROUND(N356*I356,2)</f>
        <v>0</v>
      </c>
      <c r="P356" s="207">
        <f>H356-L356-N356</f>
        <v>13</v>
      </c>
      <c r="Q356" s="228">
        <f>ROUND(P356*I356,2)</f>
        <v>41866.93</v>
      </c>
      <c r="R356" s="199"/>
      <c r="S356" s="200">
        <f>W356+Y356+AA356+AC356+AE356+AG356+AI356+AK356</f>
        <v>0</v>
      </c>
      <c r="T356" s="200">
        <f>ROUND(S356*I356,2)</f>
        <v>0</v>
      </c>
      <c r="U356" s="200">
        <f>H356-S356</f>
        <v>13</v>
      </c>
      <c r="V356" s="200">
        <f>ROUND(U356*I356,2)</f>
        <v>41866.93</v>
      </c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CF356" s="132" t="s">
        <v>1</v>
      </c>
      <c r="CG356" s="133" t="s">
        <v>40</v>
      </c>
      <c r="CI356" s="134">
        <f>CH356*H356</f>
        <v>0</v>
      </c>
      <c r="CJ356" s="134">
        <v>0</v>
      </c>
      <c r="CK356" s="134">
        <f>CJ356*H356</f>
        <v>0</v>
      </c>
      <c r="CL356" s="134">
        <v>0</v>
      </c>
      <c r="CM356" s="135">
        <f>CL356*H356</f>
        <v>0</v>
      </c>
      <c r="DK356" s="136" t="s">
        <v>95</v>
      </c>
      <c r="DM356" s="136" t="s">
        <v>284</v>
      </c>
      <c r="DN356" s="136" t="s">
        <v>83</v>
      </c>
      <c r="DR356" s="16" t="s">
        <v>282</v>
      </c>
      <c r="DX356" s="137">
        <f>IF(CG356="základní",J356,0)</f>
        <v>41866.93</v>
      </c>
      <c r="DY356" s="137">
        <f>IF(CG356="snížená",J356,0)</f>
        <v>0</v>
      </c>
      <c r="DZ356" s="137">
        <f>IF(CG356="zákl. přenesená",J356,0)</f>
        <v>0</v>
      </c>
      <c r="EA356" s="137">
        <f>IF(CG356="sníž. přenesená",J356,0)</f>
        <v>0</v>
      </c>
      <c r="EB356" s="137">
        <f>IF(CG356="nulová",J356,0)</f>
        <v>0</v>
      </c>
      <c r="EC356" s="16" t="s">
        <v>81</v>
      </c>
      <c r="ED356" s="137">
        <f>ROUND(I356*H356,2)</f>
        <v>41866.93</v>
      </c>
      <c r="EE356" s="16" t="s">
        <v>95</v>
      </c>
      <c r="EF356" s="136" t="s">
        <v>1185</v>
      </c>
    </row>
    <row r="357" spans="2:136" s="1" customFormat="1" ht="29.25" x14ac:dyDescent="0.2">
      <c r="B357" s="31"/>
      <c r="D357" s="138" t="s">
        <v>289</v>
      </c>
      <c r="F357" s="139" t="s">
        <v>1184</v>
      </c>
      <c r="I357" s="140"/>
      <c r="L357" s="31"/>
      <c r="N357" s="213"/>
      <c r="O357" s="214"/>
      <c r="Q357" s="229"/>
      <c r="CF357" s="141"/>
      <c r="CM357" s="50"/>
      <c r="DM357" s="16" t="s">
        <v>289</v>
      </c>
      <c r="DN357" s="16" t="s">
        <v>83</v>
      </c>
    </row>
    <row r="358" spans="2:136" s="1" customFormat="1" ht="29.25" x14ac:dyDescent="0.2">
      <c r="B358" s="31"/>
      <c r="D358" s="138" t="s">
        <v>299</v>
      </c>
      <c r="F358" s="142" t="s">
        <v>1186</v>
      </c>
      <c r="I358" s="140"/>
      <c r="L358" s="31"/>
      <c r="N358" s="213"/>
      <c r="O358" s="214"/>
      <c r="Q358" s="229"/>
      <c r="CF358" s="141"/>
      <c r="CM358" s="50"/>
      <c r="DM358" s="16" t="s">
        <v>299</v>
      </c>
      <c r="DN358" s="16" t="s">
        <v>83</v>
      </c>
    </row>
    <row r="359" spans="2:136" s="12" customFormat="1" x14ac:dyDescent="0.2">
      <c r="B359" s="149"/>
      <c r="D359" s="138" t="s">
        <v>301</v>
      </c>
      <c r="E359" s="150" t="s">
        <v>1</v>
      </c>
      <c r="F359" s="151" t="s">
        <v>359</v>
      </c>
      <c r="H359" s="152">
        <v>13</v>
      </c>
      <c r="I359" s="153"/>
      <c r="L359" s="149"/>
      <c r="N359" s="217"/>
      <c r="O359" s="218"/>
      <c r="Q359" s="231"/>
      <c r="CF359" s="154"/>
      <c r="CM359" s="155"/>
      <c r="DM359" s="150" t="s">
        <v>301</v>
      </c>
      <c r="DN359" s="150" t="s">
        <v>83</v>
      </c>
      <c r="DO359" s="12" t="s">
        <v>83</v>
      </c>
      <c r="DP359" s="12" t="s">
        <v>32</v>
      </c>
      <c r="DQ359" s="12" t="s">
        <v>81</v>
      </c>
      <c r="DR359" s="150" t="s">
        <v>282</v>
      </c>
    </row>
    <row r="360" spans="2:136" s="1" customFormat="1" ht="37.9" customHeight="1" x14ac:dyDescent="0.2">
      <c r="B360" s="124"/>
      <c r="C360" s="125" t="s">
        <v>576</v>
      </c>
      <c r="D360" s="125" t="s">
        <v>284</v>
      </c>
      <c r="E360" s="126" t="s">
        <v>1187</v>
      </c>
      <c r="F360" s="127" t="s">
        <v>1188</v>
      </c>
      <c r="G360" s="128" t="s">
        <v>315</v>
      </c>
      <c r="H360" s="129">
        <v>7</v>
      </c>
      <c r="I360" s="130">
        <v>2652.2039599999998</v>
      </c>
      <c r="J360" s="131">
        <f>ROUND(I360*H360,2)</f>
        <v>18565.43</v>
      </c>
      <c r="K360" s="127" t="s">
        <v>1</v>
      </c>
      <c r="L360" s="198">
        <f>S360</f>
        <v>0</v>
      </c>
      <c r="M360" s="206">
        <f>ROUND(L360*I360,2)</f>
        <v>0</v>
      </c>
      <c r="N360" s="211"/>
      <c r="O360" s="212">
        <f>ROUND(N360*I360,2)</f>
        <v>0</v>
      </c>
      <c r="P360" s="207">
        <f>H360-L360-N360</f>
        <v>7</v>
      </c>
      <c r="Q360" s="228">
        <f>ROUND(P360*I360,2)</f>
        <v>18565.43</v>
      </c>
      <c r="R360" s="199"/>
      <c r="S360" s="200">
        <f>W360+Y360+AA360+AC360+AE360+AG360+AI360+AK360</f>
        <v>0</v>
      </c>
      <c r="T360" s="200">
        <f>ROUND(S360*I360,2)</f>
        <v>0</v>
      </c>
      <c r="U360" s="200">
        <f>H360-S360</f>
        <v>7</v>
      </c>
      <c r="V360" s="200">
        <f>ROUND(U360*I360,2)</f>
        <v>18565.43</v>
      </c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CF360" s="132" t="s">
        <v>1</v>
      </c>
      <c r="CG360" s="133" t="s">
        <v>40</v>
      </c>
      <c r="CI360" s="134">
        <f>CH360*H360</f>
        <v>0</v>
      </c>
      <c r="CJ360" s="134">
        <v>0</v>
      </c>
      <c r="CK360" s="134">
        <f>CJ360*H360</f>
        <v>0</v>
      </c>
      <c r="CL360" s="134">
        <v>0</v>
      </c>
      <c r="CM360" s="135">
        <f>CL360*H360</f>
        <v>0</v>
      </c>
      <c r="DK360" s="136" t="s">
        <v>95</v>
      </c>
      <c r="DM360" s="136" t="s">
        <v>284</v>
      </c>
      <c r="DN360" s="136" t="s">
        <v>83</v>
      </c>
      <c r="DR360" s="16" t="s">
        <v>282</v>
      </c>
      <c r="DX360" s="137">
        <f>IF(CG360="základní",J360,0)</f>
        <v>18565.43</v>
      </c>
      <c r="DY360" s="137">
        <f>IF(CG360="snížená",J360,0)</f>
        <v>0</v>
      </c>
      <c r="DZ360" s="137">
        <f>IF(CG360="zákl. přenesená",J360,0)</f>
        <v>0</v>
      </c>
      <c r="EA360" s="137">
        <f>IF(CG360="sníž. přenesená",J360,0)</f>
        <v>0</v>
      </c>
      <c r="EB360" s="137">
        <f>IF(CG360="nulová",J360,0)</f>
        <v>0</v>
      </c>
      <c r="EC360" s="16" t="s">
        <v>81</v>
      </c>
      <c r="ED360" s="137">
        <f>ROUND(I360*H360,2)</f>
        <v>18565.43</v>
      </c>
      <c r="EE360" s="16" t="s">
        <v>95</v>
      </c>
      <c r="EF360" s="136" t="s">
        <v>1189</v>
      </c>
    </row>
    <row r="361" spans="2:136" s="1" customFormat="1" ht="29.25" x14ac:dyDescent="0.2">
      <c r="B361" s="31"/>
      <c r="D361" s="138" t="s">
        <v>289</v>
      </c>
      <c r="F361" s="139" t="s">
        <v>1188</v>
      </c>
      <c r="I361" s="140"/>
      <c r="L361" s="31"/>
      <c r="N361" s="213"/>
      <c r="O361" s="214"/>
      <c r="Q361" s="229"/>
      <c r="CF361" s="141"/>
      <c r="CM361" s="50"/>
      <c r="DM361" s="16" t="s">
        <v>289</v>
      </c>
      <c r="DN361" s="16" t="s">
        <v>83</v>
      </c>
    </row>
    <row r="362" spans="2:136" s="1" customFormat="1" ht="29.25" x14ac:dyDescent="0.2">
      <c r="B362" s="31"/>
      <c r="D362" s="138" t="s">
        <v>299</v>
      </c>
      <c r="F362" s="142" t="s">
        <v>1186</v>
      </c>
      <c r="I362" s="140"/>
      <c r="L362" s="31"/>
      <c r="N362" s="213"/>
      <c r="O362" s="214"/>
      <c r="Q362" s="229"/>
      <c r="CF362" s="141"/>
      <c r="CM362" s="50"/>
      <c r="DM362" s="16" t="s">
        <v>299</v>
      </c>
      <c r="DN362" s="16" t="s">
        <v>83</v>
      </c>
    </row>
    <row r="363" spans="2:136" s="12" customFormat="1" x14ac:dyDescent="0.2">
      <c r="B363" s="149"/>
      <c r="D363" s="138" t="s">
        <v>301</v>
      </c>
      <c r="E363" s="150" t="s">
        <v>1</v>
      </c>
      <c r="F363" s="151" t="s">
        <v>323</v>
      </c>
      <c r="H363" s="152">
        <v>7</v>
      </c>
      <c r="I363" s="153"/>
      <c r="L363" s="149"/>
      <c r="N363" s="217"/>
      <c r="O363" s="218"/>
      <c r="Q363" s="231"/>
      <c r="CF363" s="154"/>
      <c r="CM363" s="155"/>
      <c r="DM363" s="150" t="s">
        <v>301</v>
      </c>
      <c r="DN363" s="150" t="s">
        <v>83</v>
      </c>
      <c r="DO363" s="12" t="s">
        <v>83</v>
      </c>
      <c r="DP363" s="12" t="s">
        <v>32</v>
      </c>
      <c r="DQ363" s="12" t="s">
        <v>81</v>
      </c>
      <c r="DR363" s="150" t="s">
        <v>282</v>
      </c>
    </row>
    <row r="364" spans="2:136" s="1" customFormat="1" ht="24.2" customHeight="1" x14ac:dyDescent="0.2">
      <c r="B364" s="124"/>
      <c r="C364" s="125" t="s">
        <v>581</v>
      </c>
      <c r="D364" s="125" t="s">
        <v>284</v>
      </c>
      <c r="E364" s="126" t="s">
        <v>1190</v>
      </c>
      <c r="F364" s="127" t="s">
        <v>1191</v>
      </c>
      <c r="G364" s="128" t="s">
        <v>344</v>
      </c>
      <c r="H364" s="129">
        <v>20</v>
      </c>
      <c r="I364" s="130">
        <v>568.32942000000003</v>
      </c>
      <c r="J364" s="131">
        <f>ROUND(I364*H364,2)</f>
        <v>11366.59</v>
      </c>
      <c r="K364" s="127" t="s">
        <v>1</v>
      </c>
      <c r="L364" s="198">
        <f>S364</f>
        <v>0</v>
      </c>
      <c r="M364" s="206">
        <f>ROUND(L364*I364,2)</f>
        <v>0</v>
      </c>
      <c r="N364" s="211"/>
      <c r="O364" s="212">
        <f>ROUND(N364*I364,2)</f>
        <v>0</v>
      </c>
      <c r="P364" s="207">
        <f>H364-L364-N364</f>
        <v>20</v>
      </c>
      <c r="Q364" s="228">
        <f>ROUND(P364*I364,2)</f>
        <v>11366.59</v>
      </c>
      <c r="R364" s="199"/>
      <c r="S364" s="200">
        <f>W364+Y364+AA364+AC364+AE364+AG364+AI364+AK364</f>
        <v>0</v>
      </c>
      <c r="T364" s="200">
        <f>ROUND(S364*I364,2)</f>
        <v>0</v>
      </c>
      <c r="U364" s="200">
        <f>H364-S364</f>
        <v>20</v>
      </c>
      <c r="V364" s="200">
        <f>ROUND(U364*I364,2)</f>
        <v>11366.59</v>
      </c>
      <c r="W364" s="200"/>
      <c r="X364" s="200"/>
      <c r="Y364" s="200"/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CF364" s="132" t="s">
        <v>1</v>
      </c>
      <c r="CG364" s="133" t="s">
        <v>40</v>
      </c>
      <c r="CI364" s="134">
        <f>CH364*H364</f>
        <v>0</v>
      </c>
      <c r="CJ364" s="134">
        <v>0</v>
      </c>
      <c r="CK364" s="134">
        <f>CJ364*H364</f>
        <v>0</v>
      </c>
      <c r="CL364" s="134">
        <v>0</v>
      </c>
      <c r="CM364" s="135">
        <f>CL364*H364</f>
        <v>0</v>
      </c>
      <c r="DK364" s="136" t="s">
        <v>95</v>
      </c>
      <c r="DM364" s="136" t="s">
        <v>284</v>
      </c>
      <c r="DN364" s="136" t="s">
        <v>83</v>
      </c>
      <c r="DR364" s="16" t="s">
        <v>282</v>
      </c>
      <c r="DX364" s="137">
        <f>IF(CG364="základní",J364,0)</f>
        <v>11366.59</v>
      </c>
      <c r="DY364" s="137">
        <f>IF(CG364="snížená",J364,0)</f>
        <v>0</v>
      </c>
      <c r="DZ364" s="137">
        <f>IF(CG364="zákl. přenesená",J364,0)</f>
        <v>0</v>
      </c>
      <c r="EA364" s="137">
        <f>IF(CG364="sníž. přenesená",J364,0)</f>
        <v>0</v>
      </c>
      <c r="EB364" s="137">
        <f>IF(CG364="nulová",J364,0)</f>
        <v>0</v>
      </c>
      <c r="EC364" s="16" t="s">
        <v>81</v>
      </c>
      <c r="ED364" s="137">
        <f>ROUND(I364*H364,2)</f>
        <v>11366.59</v>
      </c>
      <c r="EE364" s="16" t="s">
        <v>95</v>
      </c>
      <c r="EF364" s="136" t="s">
        <v>1192</v>
      </c>
    </row>
    <row r="365" spans="2:136" s="1" customFormat="1" ht="19.5" x14ac:dyDescent="0.2">
      <c r="B365" s="31"/>
      <c r="D365" s="138" t="s">
        <v>289</v>
      </c>
      <c r="F365" s="139" t="s">
        <v>1191</v>
      </c>
      <c r="I365" s="140"/>
      <c r="L365" s="31"/>
      <c r="N365" s="213"/>
      <c r="O365" s="214"/>
      <c r="Q365" s="229"/>
      <c r="CF365" s="141"/>
      <c r="CM365" s="50"/>
      <c r="DM365" s="16" t="s">
        <v>289</v>
      </c>
      <c r="DN365" s="16" t="s">
        <v>83</v>
      </c>
    </row>
    <row r="366" spans="2:136" s="1" customFormat="1" ht="29.25" x14ac:dyDescent="0.2">
      <c r="B366" s="31"/>
      <c r="D366" s="138" t="s">
        <v>299</v>
      </c>
      <c r="F366" s="142" t="s">
        <v>1186</v>
      </c>
      <c r="I366" s="140"/>
      <c r="L366" s="31"/>
      <c r="N366" s="213"/>
      <c r="O366" s="214"/>
      <c r="Q366" s="229"/>
      <c r="CF366" s="141"/>
      <c r="CM366" s="50"/>
      <c r="DM366" s="16" t="s">
        <v>299</v>
      </c>
      <c r="DN366" s="16" t="s">
        <v>83</v>
      </c>
    </row>
    <row r="367" spans="2:136" s="12" customFormat="1" x14ac:dyDescent="0.2">
      <c r="B367" s="149"/>
      <c r="D367" s="138" t="s">
        <v>301</v>
      </c>
      <c r="E367" s="150" t="s">
        <v>1</v>
      </c>
      <c r="F367" s="151" t="s">
        <v>1193</v>
      </c>
      <c r="H367" s="152">
        <v>20</v>
      </c>
      <c r="I367" s="153"/>
      <c r="L367" s="149"/>
      <c r="N367" s="217"/>
      <c r="O367" s="218"/>
      <c r="Q367" s="231"/>
      <c r="CF367" s="154"/>
      <c r="CM367" s="155"/>
      <c r="DM367" s="150" t="s">
        <v>301</v>
      </c>
      <c r="DN367" s="150" t="s">
        <v>83</v>
      </c>
      <c r="DO367" s="12" t="s">
        <v>83</v>
      </c>
      <c r="DP367" s="12" t="s">
        <v>32</v>
      </c>
      <c r="DQ367" s="12" t="s">
        <v>81</v>
      </c>
      <c r="DR367" s="150" t="s">
        <v>282</v>
      </c>
    </row>
    <row r="368" spans="2:136" s="10" customFormat="1" ht="22.9" customHeight="1" x14ac:dyDescent="0.2">
      <c r="B368" s="112"/>
      <c r="D368" s="113" t="s">
        <v>73</v>
      </c>
      <c r="E368" s="122" t="s">
        <v>695</v>
      </c>
      <c r="F368" s="122" t="s">
        <v>696</v>
      </c>
      <c r="I368" s="115"/>
      <c r="J368" s="123">
        <f>ED368</f>
        <v>64634.779999999992</v>
      </c>
      <c r="L368" s="112"/>
      <c r="M368" s="320">
        <f>SUM(M369:M385)</f>
        <v>0</v>
      </c>
      <c r="N368" s="323"/>
      <c r="O368" s="324">
        <f t="shared" ref="O368:V368" si="8">SUM(O369:O385)</f>
        <v>2068.31</v>
      </c>
      <c r="P368" s="320"/>
      <c r="Q368" s="326">
        <f t="shared" si="8"/>
        <v>62566.460000000006</v>
      </c>
      <c r="R368" s="320"/>
      <c r="S368" s="320"/>
      <c r="T368" s="320">
        <f t="shared" si="8"/>
        <v>0</v>
      </c>
      <c r="U368" s="320"/>
      <c r="V368" s="320">
        <f t="shared" si="8"/>
        <v>64634.779999999992</v>
      </c>
      <c r="CF368" s="117"/>
      <c r="CI368" s="118">
        <f>SUM(CI369:CI387)</f>
        <v>0</v>
      </c>
      <c r="CK368" s="118">
        <f>SUM(CK369:CK387)</f>
        <v>0</v>
      </c>
      <c r="CM368" s="119">
        <f>SUM(CM369:CM387)</f>
        <v>0</v>
      </c>
      <c r="DK368" s="113" t="s">
        <v>81</v>
      </c>
      <c r="DM368" s="120" t="s">
        <v>73</v>
      </c>
      <c r="DN368" s="120" t="s">
        <v>81</v>
      </c>
      <c r="DR368" s="113" t="s">
        <v>282</v>
      </c>
      <c r="ED368" s="121">
        <f>SUM(ED369:ED387)</f>
        <v>64634.779999999992</v>
      </c>
    </row>
    <row r="369" spans="2:136" s="1" customFormat="1" ht="22.5" customHeight="1" x14ac:dyDescent="0.2">
      <c r="B369" s="124"/>
      <c r="C369" s="125" t="s">
        <v>589</v>
      </c>
      <c r="D369" s="125" t="s">
        <v>284</v>
      </c>
      <c r="E369" s="126" t="s">
        <v>698</v>
      </c>
      <c r="F369" s="127" t="s">
        <v>699</v>
      </c>
      <c r="G369" s="128" t="s">
        <v>418</v>
      </c>
      <c r="H369" s="129">
        <v>178.71799999999999</v>
      </c>
      <c r="I369" s="130">
        <v>40.477390926043419</v>
      </c>
      <c r="J369" s="131">
        <f>ROUND(I369*H369,2)</f>
        <v>7234.04</v>
      </c>
      <c r="K369" s="127" t="s">
        <v>293</v>
      </c>
      <c r="L369" s="198">
        <f>S369</f>
        <v>0</v>
      </c>
      <c r="M369" s="206">
        <f>ROUND(L369*I369,2)</f>
        <v>0</v>
      </c>
      <c r="N369" s="211">
        <f>N371</f>
        <v>5.7189759999999978</v>
      </c>
      <c r="O369" s="212">
        <f>ROUND(N369*I369,2)</f>
        <v>231.49</v>
      </c>
      <c r="P369" s="207">
        <f>H369-L369-N369</f>
        <v>172.99902399999999</v>
      </c>
      <c r="Q369" s="228">
        <f>ROUND(P369*I369,2)</f>
        <v>7002.55</v>
      </c>
      <c r="R369" s="199"/>
      <c r="S369" s="200">
        <f>W369+Y369+AA369+AC369+AE369+AG369+AI369+AK369</f>
        <v>0</v>
      </c>
      <c r="T369" s="200">
        <f>ROUND(S369*I369,2)</f>
        <v>0</v>
      </c>
      <c r="U369" s="200">
        <f>H369-S369</f>
        <v>178.71799999999999</v>
      </c>
      <c r="V369" s="200">
        <f>ROUND(U369*I369,2)</f>
        <v>7234.04</v>
      </c>
      <c r="W369" s="200"/>
      <c r="X369" s="200"/>
      <c r="Y369" s="200"/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CF369" s="132" t="s">
        <v>1</v>
      </c>
      <c r="CG369" s="133" t="s">
        <v>40</v>
      </c>
      <c r="CI369" s="134">
        <f>CH369*H369</f>
        <v>0</v>
      </c>
      <c r="CJ369" s="134">
        <v>0</v>
      </c>
      <c r="CK369" s="134">
        <f>CJ369*H369</f>
        <v>0</v>
      </c>
      <c r="CL369" s="134">
        <v>0</v>
      </c>
      <c r="CM369" s="135">
        <f>CL369*H369</f>
        <v>0</v>
      </c>
      <c r="DK369" s="136" t="s">
        <v>95</v>
      </c>
      <c r="DM369" s="136" t="s">
        <v>284</v>
      </c>
      <c r="DN369" s="136" t="s">
        <v>83</v>
      </c>
      <c r="DR369" s="16" t="s">
        <v>282</v>
      </c>
      <c r="DX369" s="137">
        <f>IF(CG369="základní",J369,0)</f>
        <v>7234.04</v>
      </c>
      <c r="DY369" s="137">
        <f>IF(CG369="snížená",J369,0)</f>
        <v>0</v>
      </c>
      <c r="DZ369" s="137">
        <f>IF(CG369="zákl. přenesená",J369,0)</f>
        <v>0</v>
      </c>
      <c r="EA369" s="137">
        <f>IF(CG369="sníž. přenesená",J369,0)</f>
        <v>0</v>
      </c>
      <c r="EB369" s="137">
        <f>IF(CG369="nulová",J369,0)</f>
        <v>0</v>
      </c>
      <c r="EC369" s="16" t="s">
        <v>81</v>
      </c>
      <c r="ED369" s="137">
        <f>ROUND(I369*H369,2)</f>
        <v>7234.04</v>
      </c>
      <c r="EE369" s="16" t="s">
        <v>95</v>
      </c>
      <c r="EF369" s="136" t="s">
        <v>700</v>
      </c>
    </row>
    <row r="370" spans="2:136" s="1" customFormat="1" ht="19.5" x14ac:dyDescent="0.2">
      <c r="B370" s="31"/>
      <c r="D370" s="138" t="s">
        <v>289</v>
      </c>
      <c r="F370" s="139" t="s">
        <v>701</v>
      </c>
      <c r="I370" s="140"/>
      <c r="L370" s="31"/>
      <c r="N370" s="213">
        <f>1.032*178.718</f>
        <v>184.43697599999999</v>
      </c>
      <c r="O370" s="214" t="s">
        <v>3883</v>
      </c>
      <c r="Q370" s="229"/>
      <c r="CF370" s="141"/>
      <c r="CM370" s="50"/>
      <c r="DM370" s="16" t="s">
        <v>289</v>
      </c>
      <c r="DN370" s="16" t="s">
        <v>83</v>
      </c>
    </row>
    <row r="371" spans="2:136" s="12" customFormat="1" x14ac:dyDescent="0.2">
      <c r="B371" s="149"/>
      <c r="D371" s="138" t="s">
        <v>301</v>
      </c>
      <c r="E371" s="150" t="s">
        <v>1</v>
      </c>
      <c r="F371" s="151" t="s">
        <v>1194</v>
      </c>
      <c r="H371" s="152">
        <v>164.79599999999999</v>
      </c>
      <c r="I371" s="153"/>
      <c r="L371" s="149"/>
      <c r="N371" s="310">
        <f>N370-H373</f>
        <v>5.7189759999999978</v>
      </c>
      <c r="O371" s="218"/>
      <c r="Q371" s="231"/>
      <c r="CF371" s="154"/>
      <c r="CM371" s="155"/>
      <c r="DM371" s="150" t="s">
        <v>301</v>
      </c>
      <c r="DN371" s="150" t="s">
        <v>83</v>
      </c>
      <c r="DO371" s="12" t="s">
        <v>83</v>
      </c>
      <c r="DP371" s="12" t="s">
        <v>32</v>
      </c>
      <c r="DQ371" s="12" t="s">
        <v>74</v>
      </c>
      <c r="DR371" s="150" t="s">
        <v>282</v>
      </c>
    </row>
    <row r="372" spans="2:136" s="12" customFormat="1" x14ac:dyDescent="0.2">
      <c r="B372" s="149"/>
      <c r="D372" s="138" t="s">
        <v>301</v>
      </c>
      <c r="E372" s="150" t="s">
        <v>1</v>
      </c>
      <c r="F372" s="151" t="s">
        <v>1195</v>
      </c>
      <c r="H372" s="152">
        <v>13.922000000000001</v>
      </c>
      <c r="I372" s="153"/>
      <c r="L372" s="149"/>
      <c r="N372" s="217"/>
      <c r="O372" s="218"/>
      <c r="Q372" s="231"/>
      <c r="CF372" s="154"/>
      <c r="CM372" s="155"/>
      <c r="DM372" s="150" t="s">
        <v>301</v>
      </c>
      <c r="DN372" s="150" t="s">
        <v>83</v>
      </c>
      <c r="DO372" s="12" t="s">
        <v>83</v>
      </c>
      <c r="DP372" s="12" t="s">
        <v>32</v>
      </c>
      <c r="DQ372" s="12" t="s">
        <v>74</v>
      </c>
      <c r="DR372" s="150" t="s">
        <v>282</v>
      </c>
    </row>
    <row r="373" spans="2:136" s="13" customFormat="1" x14ac:dyDescent="0.2">
      <c r="B373" s="156"/>
      <c r="D373" s="138" t="s">
        <v>301</v>
      </c>
      <c r="E373" s="157" t="s">
        <v>1</v>
      </c>
      <c r="F373" s="158" t="s">
        <v>305</v>
      </c>
      <c r="H373" s="159">
        <v>178.71799999999999</v>
      </c>
      <c r="I373" s="160"/>
      <c r="L373" s="156"/>
      <c r="N373" s="219"/>
      <c r="O373" s="220"/>
      <c r="Q373" s="232"/>
      <c r="CF373" s="161"/>
      <c r="CM373" s="162"/>
      <c r="DM373" s="157" t="s">
        <v>301</v>
      </c>
      <c r="DN373" s="157" t="s">
        <v>83</v>
      </c>
      <c r="DO373" s="13" t="s">
        <v>95</v>
      </c>
      <c r="DP373" s="13" t="s">
        <v>32</v>
      </c>
      <c r="DQ373" s="13" t="s">
        <v>81</v>
      </c>
      <c r="DR373" s="157" t="s">
        <v>282</v>
      </c>
    </row>
    <row r="374" spans="2:136" s="1" customFormat="1" ht="24.2" customHeight="1" x14ac:dyDescent="0.2">
      <c r="B374" s="124"/>
      <c r="C374" s="125" t="s">
        <v>594</v>
      </c>
      <c r="D374" s="125" t="s">
        <v>284</v>
      </c>
      <c r="E374" s="126" t="s">
        <v>705</v>
      </c>
      <c r="F374" s="127" t="s">
        <v>706</v>
      </c>
      <c r="G374" s="128" t="s">
        <v>418</v>
      </c>
      <c r="H374" s="129">
        <v>2502.0520000000001</v>
      </c>
      <c r="I374" s="130">
        <v>3.1192340975392101</v>
      </c>
      <c r="J374" s="131">
        <f>ROUND(I374*H374,2)</f>
        <v>7804.49</v>
      </c>
      <c r="K374" s="127" t="s">
        <v>293</v>
      </c>
      <c r="L374" s="198">
        <f>S374</f>
        <v>0</v>
      </c>
      <c r="M374" s="206">
        <f>ROUND(L374*I374,2)</f>
        <v>0</v>
      </c>
      <c r="N374" s="211">
        <f>N378</f>
        <v>80.065664000000197</v>
      </c>
      <c r="O374" s="212">
        <f>ROUND(N374*I374,2)</f>
        <v>249.74</v>
      </c>
      <c r="P374" s="207">
        <f>H374-L374-N374</f>
        <v>2421.9863359999999</v>
      </c>
      <c r="Q374" s="228">
        <f>ROUND(P374*I374,2)</f>
        <v>7554.74</v>
      </c>
      <c r="R374" s="199"/>
      <c r="S374" s="200">
        <f>W374+Y374+AA374+AC374+AE374+AG374+AI374+AK374</f>
        <v>0</v>
      </c>
      <c r="T374" s="200">
        <f>ROUND(S374*I374,2)</f>
        <v>0</v>
      </c>
      <c r="U374" s="200">
        <f>H374-S374</f>
        <v>2502.0520000000001</v>
      </c>
      <c r="V374" s="200">
        <f>ROUND(U374*I374,2)</f>
        <v>7804.49</v>
      </c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CF374" s="132" t="s">
        <v>1</v>
      </c>
      <c r="CG374" s="133" t="s">
        <v>40</v>
      </c>
      <c r="CI374" s="134">
        <f>CH374*H374</f>
        <v>0</v>
      </c>
      <c r="CJ374" s="134">
        <v>0</v>
      </c>
      <c r="CK374" s="134">
        <f>CJ374*H374</f>
        <v>0</v>
      </c>
      <c r="CL374" s="134">
        <v>0</v>
      </c>
      <c r="CM374" s="135">
        <f>CL374*H374</f>
        <v>0</v>
      </c>
      <c r="DK374" s="136" t="s">
        <v>95</v>
      </c>
      <c r="DM374" s="136" t="s">
        <v>284</v>
      </c>
      <c r="DN374" s="136" t="s">
        <v>83</v>
      </c>
      <c r="DR374" s="16" t="s">
        <v>282</v>
      </c>
      <c r="DX374" s="137">
        <f>IF(CG374="základní",J374,0)</f>
        <v>7804.49</v>
      </c>
      <c r="DY374" s="137">
        <f>IF(CG374="snížená",J374,0)</f>
        <v>0</v>
      </c>
      <c r="DZ374" s="137">
        <f>IF(CG374="zákl. přenesená",J374,0)</f>
        <v>0</v>
      </c>
      <c r="EA374" s="137">
        <f>IF(CG374="sníž. přenesená",J374,0)</f>
        <v>0</v>
      </c>
      <c r="EB374" s="137">
        <f>IF(CG374="nulová",J374,0)</f>
        <v>0</v>
      </c>
      <c r="EC374" s="16" t="s">
        <v>81</v>
      </c>
      <c r="ED374" s="137">
        <f>ROUND(I374*H374,2)</f>
        <v>7804.49</v>
      </c>
      <c r="EE374" s="16" t="s">
        <v>95</v>
      </c>
      <c r="EF374" s="136" t="s">
        <v>707</v>
      </c>
    </row>
    <row r="375" spans="2:136" s="1" customFormat="1" ht="29.25" x14ac:dyDescent="0.2">
      <c r="B375" s="31"/>
      <c r="D375" s="138" t="s">
        <v>289</v>
      </c>
      <c r="F375" s="139" t="s">
        <v>708</v>
      </c>
      <c r="I375" s="140"/>
      <c r="L375" s="31"/>
      <c r="N375" s="213"/>
      <c r="O375" s="214"/>
      <c r="Q375" s="229"/>
      <c r="CF375" s="141"/>
      <c r="CM375" s="50"/>
      <c r="DM375" s="16" t="s">
        <v>289</v>
      </c>
      <c r="DN375" s="16" t="s">
        <v>83</v>
      </c>
    </row>
    <row r="376" spans="2:136" s="12" customFormat="1" x14ac:dyDescent="0.2">
      <c r="B376" s="149"/>
      <c r="D376" s="138" t="s">
        <v>301</v>
      </c>
      <c r="E376" s="150" t="s">
        <v>1</v>
      </c>
      <c r="F376" s="151" t="s">
        <v>1194</v>
      </c>
      <c r="H376" s="152">
        <v>164.79599999999999</v>
      </c>
      <c r="I376" s="153"/>
      <c r="L376" s="149"/>
      <c r="N376" s="217"/>
      <c r="O376" s="218"/>
      <c r="Q376" s="231"/>
      <c r="CF376" s="154"/>
      <c r="CM376" s="155"/>
      <c r="DM376" s="150" t="s">
        <v>301</v>
      </c>
      <c r="DN376" s="150" t="s">
        <v>83</v>
      </c>
      <c r="DO376" s="12" t="s">
        <v>83</v>
      </c>
      <c r="DP376" s="12" t="s">
        <v>32</v>
      </c>
      <c r="DQ376" s="12" t="s">
        <v>74</v>
      </c>
      <c r="DR376" s="150" t="s">
        <v>282</v>
      </c>
    </row>
    <row r="377" spans="2:136" s="12" customFormat="1" x14ac:dyDescent="0.2">
      <c r="B377" s="149"/>
      <c r="D377" s="138" t="s">
        <v>301</v>
      </c>
      <c r="E377" s="150" t="s">
        <v>1</v>
      </c>
      <c r="F377" s="151" t="s">
        <v>1195</v>
      </c>
      <c r="H377" s="152">
        <v>13.922000000000001</v>
      </c>
      <c r="I377" s="153"/>
      <c r="L377" s="149"/>
      <c r="N377" s="217">
        <f>1.032*2502.052</f>
        <v>2582.1176640000003</v>
      </c>
      <c r="O377" s="218" t="s">
        <v>3884</v>
      </c>
      <c r="Q377" s="231"/>
      <c r="CF377" s="154"/>
      <c r="CM377" s="155"/>
      <c r="DM377" s="150" t="s">
        <v>301</v>
      </c>
      <c r="DN377" s="150" t="s">
        <v>83</v>
      </c>
      <c r="DO377" s="12" t="s">
        <v>83</v>
      </c>
      <c r="DP377" s="12" t="s">
        <v>32</v>
      </c>
      <c r="DQ377" s="12" t="s">
        <v>74</v>
      </c>
      <c r="DR377" s="150" t="s">
        <v>282</v>
      </c>
    </row>
    <row r="378" spans="2:136" s="13" customFormat="1" x14ac:dyDescent="0.2">
      <c r="B378" s="156"/>
      <c r="D378" s="138" t="s">
        <v>301</v>
      </c>
      <c r="E378" s="157" t="s">
        <v>1</v>
      </c>
      <c r="F378" s="158" t="s">
        <v>305</v>
      </c>
      <c r="H378" s="159">
        <v>178.71799999999999</v>
      </c>
      <c r="I378" s="160"/>
      <c r="L378" s="156"/>
      <c r="N378" s="311">
        <f>N377-H379</f>
        <v>80.065664000000197</v>
      </c>
      <c r="O378" s="220"/>
      <c r="Q378" s="232"/>
      <c r="CF378" s="161"/>
      <c r="CM378" s="162"/>
      <c r="DM378" s="157" t="s">
        <v>301</v>
      </c>
      <c r="DN378" s="157" t="s">
        <v>83</v>
      </c>
      <c r="DO378" s="13" t="s">
        <v>95</v>
      </c>
      <c r="DP378" s="13" t="s">
        <v>32</v>
      </c>
      <c r="DQ378" s="13" t="s">
        <v>81</v>
      </c>
      <c r="DR378" s="157" t="s">
        <v>282</v>
      </c>
    </row>
    <row r="379" spans="2:136" s="12" customFormat="1" x14ac:dyDescent="0.2">
      <c r="B379" s="149"/>
      <c r="D379" s="138" t="s">
        <v>301</v>
      </c>
      <c r="F379" s="151" t="s">
        <v>1196</v>
      </c>
      <c r="H379" s="152">
        <v>2502.0520000000001</v>
      </c>
      <c r="I379" s="153"/>
      <c r="L379" s="149"/>
      <c r="N379" s="217"/>
      <c r="O379" s="218"/>
      <c r="Q379" s="231"/>
      <c r="CF379" s="154"/>
      <c r="CM379" s="155"/>
      <c r="DM379" s="150" t="s">
        <v>301</v>
      </c>
      <c r="DN379" s="150" t="s">
        <v>83</v>
      </c>
      <c r="DO379" s="12" t="s">
        <v>83</v>
      </c>
      <c r="DP379" s="12" t="s">
        <v>3</v>
      </c>
      <c r="DQ379" s="12" t="s">
        <v>81</v>
      </c>
      <c r="DR379" s="150" t="s">
        <v>282</v>
      </c>
    </row>
    <row r="380" spans="2:136" s="1" customFormat="1" ht="24.2" customHeight="1" x14ac:dyDescent="0.2">
      <c r="B380" s="124"/>
      <c r="C380" s="125" t="s">
        <v>599</v>
      </c>
      <c r="D380" s="125" t="s">
        <v>284</v>
      </c>
      <c r="E380" s="126" t="s">
        <v>711</v>
      </c>
      <c r="F380" s="127" t="s">
        <v>712</v>
      </c>
      <c r="G380" s="128" t="s">
        <v>418</v>
      </c>
      <c r="H380" s="129">
        <v>178.71799999999999</v>
      </c>
      <c r="I380" s="130">
        <v>155.98322812074767</v>
      </c>
      <c r="J380" s="131">
        <f>ROUND(I380*H380,2)</f>
        <v>27877.01</v>
      </c>
      <c r="K380" s="127" t="s">
        <v>293</v>
      </c>
      <c r="L380" s="198">
        <f>S380</f>
        <v>0</v>
      </c>
      <c r="M380" s="206">
        <f>ROUND(L380*I380,2)</f>
        <v>0</v>
      </c>
      <c r="N380" s="211">
        <f>N369</f>
        <v>5.7189759999999978</v>
      </c>
      <c r="O380" s="212">
        <f>ROUND(N380*I380,2)</f>
        <v>892.06</v>
      </c>
      <c r="P380" s="207">
        <f>H380-L380-N380</f>
        <v>172.99902399999999</v>
      </c>
      <c r="Q380" s="228">
        <f>ROUND(P380*I380,2)</f>
        <v>26984.95</v>
      </c>
      <c r="R380" s="199"/>
      <c r="S380" s="200">
        <f>W380+Y380+AA380+AC380+AE380+AG380+AI380+AK380</f>
        <v>0</v>
      </c>
      <c r="T380" s="200">
        <f>ROUND(S380*I380,2)</f>
        <v>0</v>
      </c>
      <c r="U380" s="200">
        <f>H380-S380</f>
        <v>178.71799999999999</v>
      </c>
      <c r="V380" s="200">
        <f>ROUND(U380*I380,2)</f>
        <v>27877.01</v>
      </c>
      <c r="W380" s="200"/>
      <c r="X380" s="200"/>
      <c r="Y380" s="200"/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CF380" s="132" t="s">
        <v>1</v>
      </c>
      <c r="CG380" s="133" t="s">
        <v>40</v>
      </c>
      <c r="CI380" s="134">
        <f>CH380*H380</f>
        <v>0</v>
      </c>
      <c r="CJ380" s="134">
        <v>0</v>
      </c>
      <c r="CK380" s="134">
        <f>CJ380*H380</f>
        <v>0</v>
      </c>
      <c r="CL380" s="134">
        <v>0</v>
      </c>
      <c r="CM380" s="135">
        <f>CL380*H380</f>
        <v>0</v>
      </c>
      <c r="DK380" s="136" t="s">
        <v>95</v>
      </c>
      <c r="DM380" s="136" t="s">
        <v>284</v>
      </c>
      <c r="DN380" s="136" t="s">
        <v>83</v>
      </c>
      <c r="DR380" s="16" t="s">
        <v>282</v>
      </c>
      <c r="DX380" s="137">
        <f>IF(CG380="základní",J380,0)</f>
        <v>27877.01</v>
      </c>
      <c r="DY380" s="137">
        <f>IF(CG380="snížená",J380,0)</f>
        <v>0</v>
      </c>
      <c r="DZ380" s="137">
        <f>IF(CG380="zákl. přenesená",J380,0)</f>
        <v>0</v>
      </c>
      <c r="EA380" s="137">
        <f>IF(CG380="sníž. přenesená",J380,0)</f>
        <v>0</v>
      </c>
      <c r="EB380" s="137">
        <f>IF(CG380="nulová",J380,0)</f>
        <v>0</v>
      </c>
      <c r="EC380" s="16" t="s">
        <v>81</v>
      </c>
      <c r="ED380" s="137">
        <f>ROUND(I380*H380,2)</f>
        <v>27877.01</v>
      </c>
      <c r="EE380" s="16" t="s">
        <v>95</v>
      </c>
      <c r="EF380" s="136" t="s">
        <v>713</v>
      </c>
    </row>
    <row r="381" spans="2:136" s="1" customFormat="1" x14ac:dyDescent="0.2">
      <c r="B381" s="31"/>
      <c r="D381" s="138" t="s">
        <v>289</v>
      </c>
      <c r="F381" s="139" t="s">
        <v>714</v>
      </c>
      <c r="I381" s="140"/>
      <c r="L381" s="31"/>
      <c r="N381" s="213"/>
      <c r="O381" s="214"/>
      <c r="Q381" s="229"/>
      <c r="CF381" s="141"/>
      <c r="CM381" s="50"/>
      <c r="DM381" s="16" t="s">
        <v>289</v>
      </c>
      <c r="DN381" s="16" t="s">
        <v>83</v>
      </c>
    </row>
    <row r="382" spans="2:136" s="1" customFormat="1" ht="37.9" customHeight="1" x14ac:dyDescent="0.2">
      <c r="B382" s="124"/>
      <c r="C382" s="125" t="s">
        <v>604</v>
      </c>
      <c r="D382" s="125" t="s">
        <v>284</v>
      </c>
      <c r="E382" s="126" t="s">
        <v>716</v>
      </c>
      <c r="F382" s="127" t="s">
        <v>420</v>
      </c>
      <c r="G382" s="128" t="s">
        <v>418</v>
      </c>
      <c r="H382" s="129">
        <v>164.79599999999999</v>
      </c>
      <c r="I382" s="130">
        <v>110.6455721</v>
      </c>
      <c r="J382" s="131">
        <f>ROUND(I382*H382,2)</f>
        <v>18233.95</v>
      </c>
      <c r="K382" s="127" t="s">
        <v>293</v>
      </c>
      <c r="L382" s="198">
        <f>S382</f>
        <v>0</v>
      </c>
      <c r="M382" s="206">
        <f>ROUND(L382*I382,2)</f>
        <v>0</v>
      </c>
      <c r="N382" s="211">
        <f>N384</f>
        <v>5.2734719999999982</v>
      </c>
      <c r="O382" s="212">
        <f>ROUND(N382*I382,2)</f>
        <v>583.49</v>
      </c>
      <c r="P382" s="207">
        <f>H382-L382-N382</f>
        <v>159.52252799999999</v>
      </c>
      <c r="Q382" s="228">
        <f>ROUND(P382*I382,2)</f>
        <v>17650.46</v>
      </c>
      <c r="R382" s="199"/>
      <c r="S382" s="200">
        <f>W382+Y382+AA382+AC382+AE382+AG382+AI382+AK382</f>
        <v>0</v>
      </c>
      <c r="T382" s="200">
        <f>ROUND(S382*I382,2)</f>
        <v>0</v>
      </c>
      <c r="U382" s="200">
        <f>H382-S382</f>
        <v>164.79599999999999</v>
      </c>
      <c r="V382" s="200">
        <f>ROUND(U382*I382,2)</f>
        <v>18233.95</v>
      </c>
      <c r="W382" s="200"/>
      <c r="X382" s="200"/>
      <c r="Y382" s="200"/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CF382" s="132" t="s">
        <v>1</v>
      </c>
      <c r="CG382" s="133" t="s">
        <v>40</v>
      </c>
      <c r="CI382" s="134">
        <f>CH382*H382</f>
        <v>0</v>
      </c>
      <c r="CJ382" s="134">
        <v>0</v>
      </c>
      <c r="CK382" s="134">
        <f>CJ382*H382</f>
        <v>0</v>
      </c>
      <c r="CL382" s="134">
        <v>0</v>
      </c>
      <c r="CM382" s="135">
        <f>CL382*H382</f>
        <v>0</v>
      </c>
      <c r="DK382" s="136" t="s">
        <v>95</v>
      </c>
      <c r="DM382" s="136" t="s">
        <v>284</v>
      </c>
      <c r="DN382" s="136" t="s">
        <v>83</v>
      </c>
      <c r="DR382" s="16" t="s">
        <v>282</v>
      </c>
      <c r="DX382" s="137">
        <f>IF(CG382="základní",J382,0)</f>
        <v>18233.95</v>
      </c>
      <c r="DY382" s="137">
        <f>IF(CG382="snížená",J382,0)</f>
        <v>0</v>
      </c>
      <c r="DZ382" s="137">
        <f>IF(CG382="zákl. přenesená",J382,0)</f>
        <v>0</v>
      </c>
      <c r="EA382" s="137">
        <f>IF(CG382="sníž. přenesená",J382,0)</f>
        <v>0</v>
      </c>
      <c r="EB382" s="137">
        <f>IF(CG382="nulová",J382,0)</f>
        <v>0</v>
      </c>
      <c r="EC382" s="16" t="s">
        <v>81</v>
      </c>
      <c r="ED382" s="137">
        <f>ROUND(I382*H382,2)</f>
        <v>18233.95</v>
      </c>
      <c r="EE382" s="16" t="s">
        <v>95</v>
      </c>
      <c r="EF382" s="136" t="s">
        <v>717</v>
      </c>
    </row>
    <row r="383" spans="2:136" s="1" customFormat="1" ht="29.25" x14ac:dyDescent="0.2">
      <c r="B383" s="31"/>
      <c r="D383" s="138" t="s">
        <v>289</v>
      </c>
      <c r="F383" s="139" t="s">
        <v>420</v>
      </c>
      <c r="I383" s="140"/>
      <c r="L383" s="31"/>
      <c r="N383" s="213">
        <f>1.032*164.796</f>
        <v>170.06947199999999</v>
      </c>
      <c r="O383" s="214" t="s">
        <v>3885</v>
      </c>
      <c r="Q383" s="229"/>
      <c r="CF383" s="141"/>
      <c r="CM383" s="50"/>
      <c r="DM383" s="16" t="s">
        <v>289</v>
      </c>
      <c r="DN383" s="16" t="s">
        <v>83</v>
      </c>
    </row>
    <row r="384" spans="2:136" s="12" customFormat="1" x14ac:dyDescent="0.2">
      <c r="B384" s="149"/>
      <c r="D384" s="138" t="s">
        <v>301</v>
      </c>
      <c r="E384" s="150" t="s">
        <v>1</v>
      </c>
      <c r="F384" s="151" t="s">
        <v>1194</v>
      </c>
      <c r="H384" s="152">
        <v>164.79599999999999</v>
      </c>
      <c r="I384" s="153"/>
      <c r="L384" s="149"/>
      <c r="N384" s="310">
        <f>N383-H384</f>
        <v>5.2734719999999982</v>
      </c>
      <c r="O384" s="218"/>
      <c r="Q384" s="231"/>
      <c r="CF384" s="154"/>
      <c r="CM384" s="155"/>
      <c r="DM384" s="150" t="s">
        <v>301</v>
      </c>
      <c r="DN384" s="150" t="s">
        <v>83</v>
      </c>
      <c r="DO384" s="12" t="s">
        <v>83</v>
      </c>
      <c r="DP384" s="12" t="s">
        <v>32</v>
      </c>
      <c r="DQ384" s="12" t="s">
        <v>81</v>
      </c>
      <c r="DR384" s="150" t="s">
        <v>282</v>
      </c>
    </row>
    <row r="385" spans="2:136" s="1" customFormat="1" ht="37.9" customHeight="1" x14ac:dyDescent="0.2">
      <c r="B385" s="124"/>
      <c r="C385" s="125" t="s">
        <v>609</v>
      </c>
      <c r="D385" s="125" t="s">
        <v>284</v>
      </c>
      <c r="E385" s="126" t="s">
        <v>719</v>
      </c>
      <c r="F385" s="127" t="s">
        <v>720</v>
      </c>
      <c r="G385" s="128" t="s">
        <v>418</v>
      </c>
      <c r="H385" s="129">
        <v>13.922000000000001</v>
      </c>
      <c r="I385" s="130">
        <v>250.3439285</v>
      </c>
      <c r="J385" s="131">
        <f>ROUND(I385*H385,2)</f>
        <v>3485.29</v>
      </c>
      <c r="K385" s="127" t="s">
        <v>293</v>
      </c>
      <c r="L385" s="198">
        <f>S385</f>
        <v>0</v>
      </c>
      <c r="M385" s="206">
        <f>ROUND(L385*I385,2)</f>
        <v>0</v>
      </c>
      <c r="N385" s="211">
        <f>N387</f>
        <v>0.44550399999999968</v>
      </c>
      <c r="O385" s="212">
        <f>ROUND(N385*I385,2)</f>
        <v>111.53</v>
      </c>
      <c r="P385" s="207">
        <f>H385-L385-N385</f>
        <v>13.476496000000001</v>
      </c>
      <c r="Q385" s="228">
        <f>ROUND(P385*I385,2)</f>
        <v>3373.76</v>
      </c>
      <c r="R385" s="199"/>
      <c r="S385" s="200">
        <f>W385+Y385+AA385+AC385+AE385+AG385+AI385+AK385</f>
        <v>0</v>
      </c>
      <c r="T385" s="200">
        <f>ROUND(S385*I385,2)</f>
        <v>0</v>
      </c>
      <c r="U385" s="200">
        <f>H385-S385</f>
        <v>13.922000000000001</v>
      </c>
      <c r="V385" s="200">
        <f>ROUND(U385*I385,2)</f>
        <v>3485.29</v>
      </c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CF385" s="132" t="s">
        <v>1</v>
      </c>
      <c r="CG385" s="133" t="s">
        <v>40</v>
      </c>
      <c r="CI385" s="134">
        <f>CH385*H385</f>
        <v>0</v>
      </c>
      <c r="CJ385" s="134">
        <v>0</v>
      </c>
      <c r="CK385" s="134">
        <f>CJ385*H385</f>
        <v>0</v>
      </c>
      <c r="CL385" s="134">
        <v>0</v>
      </c>
      <c r="CM385" s="135">
        <f>CL385*H385</f>
        <v>0</v>
      </c>
      <c r="DK385" s="136" t="s">
        <v>95</v>
      </c>
      <c r="DM385" s="136" t="s">
        <v>284</v>
      </c>
      <c r="DN385" s="136" t="s">
        <v>83</v>
      </c>
      <c r="DR385" s="16" t="s">
        <v>282</v>
      </c>
      <c r="DX385" s="137">
        <f>IF(CG385="základní",J385,0)</f>
        <v>3485.29</v>
      </c>
      <c r="DY385" s="137">
        <f>IF(CG385="snížená",J385,0)</f>
        <v>0</v>
      </c>
      <c r="DZ385" s="137">
        <f>IF(CG385="zákl. přenesená",J385,0)</f>
        <v>0</v>
      </c>
      <c r="EA385" s="137">
        <f>IF(CG385="sníž. přenesená",J385,0)</f>
        <v>0</v>
      </c>
      <c r="EB385" s="137">
        <f>IF(CG385="nulová",J385,0)</f>
        <v>0</v>
      </c>
      <c r="EC385" s="16" t="s">
        <v>81</v>
      </c>
      <c r="ED385" s="137">
        <f>ROUND(I385*H385,2)</f>
        <v>3485.29</v>
      </c>
      <c r="EE385" s="16" t="s">
        <v>95</v>
      </c>
      <c r="EF385" s="136" t="s">
        <v>721</v>
      </c>
    </row>
    <row r="386" spans="2:136" s="1" customFormat="1" ht="29.25" x14ac:dyDescent="0.2">
      <c r="B386" s="31"/>
      <c r="D386" s="138" t="s">
        <v>289</v>
      </c>
      <c r="F386" s="139" t="s">
        <v>720</v>
      </c>
      <c r="I386" s="140"/>
      <c r="L386" s="31"/>
      <c r="N386" s="213">
        <f>1.032*13.922</f>
        <v>14.367504</v>
      </c>
      <c r="O386" s="214" t="s">
        <v>3886</v>
      </c>
      <c r="Q386" s="229"/>
      <c r="CF386" s="141"/>
      <c r="CM386" s="50"/>
      <c r="DM386" s="16" t="s">
        <v>289</v>
      </c>
      <c r="DN386" s="16" t="s">
        <v>83</v>
      </c>
    </row>
    <row r="387" spans="2:136" s="12" customFormat="1" x14ac:dyDescent="0.2">
      <c r="B387" s="149"/>
      <c r="D387" s="138" t="s">
        <v>301</v>
      </c>
      <c r="E387" s="150" t="s">
        <v>1</v>
      </c>
      <c r="F387" s="151" t="s">
        <v>1195</v>
      </c>
      <c r="H387" s="152">
        <v>13.922000000000001</v>
      </c>
      <c r="I387" s="153"/>
      <c r="L387" s="149"/>
      <c r="N387" s="310">
        <f>N386-H387</f>
        <v>0.44550399999999968</v>
      </c>
      <c r="O387" s="218"/>
      <c r="Q387" s="231"/>
      <c r="CF387" s="154"/>
      <c r="CM387" s="155"/>
      <c r="DM387" s="150" t="s">
        <v>301</v>
      </c>
      <c r="DN387" s="150" t="s">
        <v>83</v>
      </c>
      <c r="DO387" s="12" t="s">
        <v>83</v>
      </c>
      <c r="DP387" s="12" t="s">
        <v>32</v>
      </c>
      <c r="DQ387" s="12" t="s">
        <v>81</v>
      </c>
      <c r="DR387" s="150" t="s">
        <v>282</v>
      </c>
    </row>
    <row r="388" spans="2:136" s="10" customFormat="1" ht="22.9" customHeight="1" x14ac:dyDescent="0.2">
      <c r="B388" s="112"/>
      <c r="D388" s="113" t="s">
        <v>73</v>
      </c>
      <c r="E388" s="122" t="s">
        <v>722</v>
      </c>
      <c r="F388" s="122" t="s">
        <v>723</v>
      </c>
      <c r="I388" s="115"/>
      <c r="J388" s="123">
        <f>ED388</f>
        <v>35429.42</v>
      </c>
      <c r="L388" s="112"/>
      <c r="M388" s="320">
        <f>M389</f>
        <v>0</v>
      </c>
      <c r="N388" s="323"/>
      <c r="O388" s="324">
        <f t="shared" ref="O388:V388" si="9">O389</f>
        <v>1133.74</v>
      </c>
      <c r="P388" s="320"/>
      <c r="Q388" s="326">
        <f t="shared" si="9"/>
        <v>34295.68</v>
      </c>
      <c r="R388" s="320"/>
      <c r="S388" s="320"/>
      <c r="T388" s="320">
        <f t="shared" si="9"/>
        <v>0</v>
      </c>
      <c r="U388" s="320"/>
      <c r="V388" s="320">
        <f t="shared" si="9"/>
        <v>35429.42</v>
      </c>
      <c r="CF388" s="117"/>
      <c r="CI388" s="118">
        <f>SUM(CI389:CI392)</f>
        <v>0</v>
      </c>
      <c r="CK388" s="118">
        <f>SUM(CK389:CK392)</f>
        <v>0</v>
      </c>
      <c r="CM388" s="119">
        <f>SUM(CM389:CM392)</f>
        <v>0</v>
      </c>
      <c r="DK388" s="113" t="s">
        <v>81</v>
      </c>
      <c r="DM388" s="120" t="s">
        <v>73</v>
      </c>
      <c r="DN388" s="120" t="s">
        <v>81</v>
      </c>
      <c r="DR388" s="113" t="s">
        <v>282</v>
      </c>
      <c r="ED388" s="121">
        <f>SUM(ED389:ED392)</f>
        <v>35429.42</v>
      </c>
    </row>
    <row r="389" spans="2:136" s="1" customFormat="1" ht="24.2" customHeight="1" x14ac:dyDescent="0.2">
      <c r="B389" s="124"/>
      <c r="C389" s="125" t="s">
        <v>614</v>
      </c>
      <c r="D389" s="125" t="s">
        <v>284</v>
      </c>
      <c r="E389" s="126" t="s">
        <v>725</v>
      </c>
      <c r="F389" s="127" t="s">
        <v>726</v>
      </c>
      <c r="G389" s="128" t="s">
        <v>418</v>
      </c>
      <c r="H389" s="129">
        <v>39.158000000000001</v>
      </c>
      <c r="I389" s="130">
        <v>904.78117744148574</v>
      </c>
      <c r="J389" s="131">
        <f>ROUND(I389*H389,2)</f>
        <v>35429.42</v>
      </c>
      <c r="K389" s="127" t="s">
        <v>293</v>
      </c>
      <c r="L389" s="198">
        <f>S389</f>
        <v>0</v>
      </c>
      <c r="M389" s="206">
        <f>ROUND(L389*I389,2)</f>
        <v>0</v>
      </c>
      <c r="N389" s="211">
        <f>N391</f>
        <v>1.2530560000000008</v>
      </c>
      <c r="O389" s="212">
        <f>ROUND(N389*I389,2)</f>
        <v>1133.74</v>
      </c>
      <c r="P389" s="207">
        <f>H389-L389-N389</f>
        <v>37.904944</v>
      </c>
      <c r="Q389" s="228">
        <f>ROUND(P389*I389,2)</f>
        <v>34295.68</v>
      </c>
      <c r="R389" s="199"/>
      <c r="S389" s="200">
        <f>W389+Y389+AA389+AC389+AE389+AG389+AI389+AK389</f>
        <v>0</v>
      </c>
      <c r="T389" s="200">
        <f>ROUND(S389*I389,2)</f>
        <v>0</v>
      </c>
      <c r="U389" s="200">
        <f>H389-S389</f>
        <v>39.158000000000001</v>
      </c>
      <c r="V389" s="200">
        <f>ROUND(U389*I389,2)</f>
        <v>35429.42</v>
      </c>
      <c r="W389" s="200"/>
      <c r="X389" s="200"/>
      <c r="Y389" s="200"/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CF389" s="132" t="s">
        <v>1</v>
      </c>
      <c r="CG389" s="133" t="s">
        <v>40</v>
      </c>
      <c r="CI389" s="134">
        <f>CH389*H389</f>
        <v>0</v>
      </c>
      <c r="CJ389" s="134">
        <v>0</v>
      </c>
      <c r="CK389" s="134">
        <f>CJ389*H389</f>
        <v>0</v>
      </c>
      <c r="CL389" s="134">
        <v>0</v>
      </c>
      <c r="CM389" s="135">
        <f>CL389*H389</f>
        <v>0</v>
      </c>
      <c r="DK389" s="136" t="s">
        <v>95</v>
      </c>
      <c r="DM389" s="136" t="s">
        <v>284</v>
      </c>
      <c r="DN389" s="136" t="s">
        <v>83</v>
      </c>
      <c r="DR389" s="16" t="s">
        <v>282</v>
      </c>
      <c r="DX389" s="137">
        <f>IF(CG389="základní",J389,0)</f>
        <v>35429.42</v>
      </c>
      <c r="DY389" s="137">
        <f>IF(CG389="snížená",J389,0)</f>
        <v>0</v>
      </c>
      <c r="DZ389" s="137">
        <f>IF(CG389="zákl. přenesená",J389,0)</f>
        <v>0</v>
      </c>
      <c r="EA389" s="137">
        <f>IF(CG389="sníž. přenesená",J389,0)</f>
        <v>0</v>
      </c>
      <c r="EB389" s="137">
        <f>IF(CG389="nulová",J389,0)</f>
        <v>0</v>
      </c>
      <c r="EC389" s="16" t="s">
        <v>81</v>
      </c>
      <c r="ED389" s="137">
        <f>ROUND(I389*H389,2)</f>
        <v>35429.42</v>
      </c>
      <c r="EE389" s="16" t="s">
        <v>95</v>
      </c>
      <c r="EF389" s="136" t="s">
        <v>1044</v>
      </c>
    </row>
    <row r="390" spans="2:136" s="1" customFormat="1" ht="29.25" x14ac:dyDescent="0.2">
      <c r="B390" s="31"/>
      <c r="D390" s="138" t="s">
        <v>289</v>
      </c>
      <c r="F390" s="139" t="s">
        <v>728</v>
      </c>
      <c r="I390" s="140"/>
      <c r="L390" s="31"/>
      <c r="N390" s="213">
        <f>1.032*39.158</f>
        <v>40.411056000000002</v>
      </c>
      <c r="O390" s="214" t="s">
        <v>3887</v>
      </c>
      <c r="Q390" s="229"/>
      <c r="CF390" s="141"/>
      <c r="CM390" s="50"/>
      <c r="DM390" s="16" t="s">
        <v>289</v>
      </c>
      <c r="DN390" s="16" t="s">
        <v>83</v>
      </c>
    </row>
    <row r="391" spans="2:136" s="11" customFormat="1" x14ac:dyDescent="0.2">
      <c r="B391" s="143"/>
      <c r="D391" s="138" t="s">
        <v>301</v>
      </c>
      <c r="E391" s="144" t="s">
        <v>1</v>
      </c>
      <c r="F391" s="145" t="s">
        <v>729</v>
      </c>
      <c r="H391" s="144" t="s">
        <v>1</v>
      </c>
      <c r="I391" s="146"/>
      <c r="L391" s="143"/>
      <c r="N391" s="319">
        <f>N390-H392</f>
        <v>1.2530560000000008</v>
      </c>
      <c r="O391" s="216"/>
      <c r="Q391" s="230"/>
      <c r="CF391" s="147"/>
      <c r="CM391" s="148"/>
      <c r="DM391" s="144" t="s">
        <v>301</v>
      </c>
      <c r="DN391" s="144" t="s">
        <v>83</v>
      </c>
      <c r="DO391" s="11" t="s">
        <v>81</v>
      </c>
      <c r="DP391" s="11" t="s">
        <v>32</v>
      </c>
      <c r="DQ391" s="11" t="s">
        <v>74</v>
      </c>
      <c r="DR391" s="144" t="s">
        <v>282</v>
      </c>
    </row>
    <row r="392" spans="2:136" s="12" customFormat="1" x14ac:dyDescent="0.2">
      <c r="B392" s="149"/>
      <c r="D392" s="138" t="s">
        <v>301</v>
      </c>
      <c r="E392" s="150" t="s">
        <v>1</v>
      </c>
      <c r="F392" s="151" t="s">
        <v>1197</v>
      </c>
      <c r="H392" s="152">
        <v>39.158000000000001</v>
      </c>
      <c r="I392" s="153"/>
      <c r="L392" s="149"/>
      <c r="N392" s="217"/>
      <c r="O392" s="218"/>
      <c r="Q392" s="231"/>
      <c r="CF392" s="179"/>
      <c r="CG392" s="180"/>
      <c r="CH392" s="180"/>
      <c r="CI392" s="180"/>
      <c r="CJ392" s="180"/>
      <c r="CK392" s="180"/>
      <c r="CL392" s="180"/>
      <c r="CM392" s="181"/>
      <c r="DM392" s="150" t="s">
        <v>301</v>
      </c>
      <c r="DN392" s="150" t="s">
        <v>83</v>
      </c>
      <c r="DO392" s="12" t="s">
        <v>83</v>
      </c>
      <c r="DP392" s="12" t="s">
        <v>32</v>
      </c>
      <c r="DQ392" s="12" t="s">
        <v>81</v>
      </c>
      <c r="DR392" s="150" t="s">
        <v>282</v>
      </c>
    </row>
    <row r="393" spans="2:136" s="1" customFormat="1" ht="6.95" customHeight="1" thickBot="1" x14ac:dyDescent="0.25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235"/>
      <c r="M393" s="237"/>
      <c r="N393" s="239"/>
      <c r="O393" s="240"/>
      <c r="P393" s="238"/>
      <c r="Q393" s="241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  <c r="AG393" s="236"/>
      <c r="AH393" s="236"/>
      <c r="AI393" s="236"/>
      <c r="AJ393" s="236"/>
      <c r="AK393" s="236"/>
      <c r="AL393" s="236"/>
    </row>
  </sheetData>
  <autoFilter ref="C121:K392"/>
  <mergeCells count="26">
    <mergeCell ref="L2:CO2"/>
    <mergeCell ref="G120:K120"/>
    <mergeCell ref="L121:Q121"/>
    <mergeCell ref="L122:M122"/>
    <mergeCell ref="N122:O122"/>
    <mergeCell ref="P122:Q122"/>
    <mergeCell ref="S122:T122"/>
    <mergeCell ref="U122:V122"/>
    <mergeCell ref="W122:X122"/>
    <mergeCell ref="Y122:Z122"/>
    <mergeCell ref="AA122:AB122"/>
    <mergeCell ref="AC122:AD122"/>
    <mergeCell ref="AE122:AF122"/>
    <mergeCell ref="AG122:AH122"/>
    <mergeCell ref="AI122:AJ122"/>
    <mergeCell ref="AK122:AL122"/>
    <mergeCell ref="E22:H22"/>
    <mergeCell ref="E13:H13"/>
    <mergeCell ref="E11:H11"/>
    <mergeCell ref="E9:H9"/>
    <mergeCell ref="E7:H7"/>
    <mergeCell ref="E90:H90"/>
    <mergeCell ref="E88:H88"/>
    <mergeCell ref="E86:H86"/>
    <mergeCell ref="E84:H84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354"/>
  <sheetViews>
    <sheetView windowProtection="1" showGridLines="0" topLeftCell="A325" zoomScale="80" zoomScaleNormal="80" workbookViewId="0">
      <selection activeCell="P325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1.33203125" customWidth="1"/>
    <col min="13" max="13" width="13.6640625" customWidth="1"/>
    <col min="14" max="14" width="11.33203125" customWidth="1"/>
    <col min="15" max="15" width="15.5" customWidth="1"/>
    <col min="16" max="16" width="11.33203125" hidden="1" customWidth="1"/>
    <col min="17" max="17" width="15.1640625" hidden="1" customWidth="1"/>
    <col min="18" max="19" width="11.33203125" customWidth="1"/>
    <col min="20" max="20" width="14.5" customWidth="1"/>
    <col min="21" max="21" width="11.33203125" customWidth="1"/>
    <col min="22" max="22" width="14.5" customWidth="1"/>
    <col min="23" max="23" width="11.33203125" customWidth="1"/>
    <col min="24" max="24" width="15.33203125" customWidth="1"/>
    <col min="25" max="85" width="11.33203125" customWidth="1"/>
    <col min="86" max="86" width="16.33203125" customWidth="1"/>
    <col min="87" max="87" width="12.33203125" customWidth="1"/>
    <col min="88" max="88" width="15" customWidth="1"/>
    <col min="89" max="89" width="11" customWidth="1"/>
    <col min="90" max="90" width="15" customWidth="1"/>
    <col min="91" max="91" width="16.33203125" customWidth="1"/>
    <col min="92" max="92" width="11" customWidth="1"/>
    <col min="93" max="93" width="15" customWidth="1"/>
    <col min="94" max="94" width="16.33203125" customWidth="1"/>
    <col min="107" max="128" width="9.33203125" hidden="1"/>
  </cols>
  <sheetData>
    <row r="1" spans="2:109" hidden="1" x14ac:dyDescent="0.2"/>
    <row r="2" spans="2:109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DE2" s="16" t="s">
        <v>121</v>
      </c>
    </row>
    <row r="3" spans="2:109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E3" s="16" t="s">
        <v>83</v>
      </c>
    </row>
    <row r="4" spans="2:109" ht="24.95" hidden="1" customHeight="1" x14ac:dyDescent="0.2">
      <c r="B4" s="19"/>
      <c r="D4" s="20" t="s">
        <v>243</v>
      </c>
      <c r="L4" s="19"/>
      <c r="BX4" s="79" t="s">
        <v>10</v>
      </c>
      <c r="DE4" s="16" t="s">
        <v>3</v>
      </c>
    </row>
    <row r="5" spans="2:109" ht="6.95" hidden="1" customHeight="1" x14ac:dyDescent="0.2">
      <c r="B5" s="19"/>
      <c r="L5" s="19"/>
    </row>
    <row r="6" spans="2:109" ht="12" hidden="1" customHeight="1" x14ac:dyDescent="0.2">
      <c r="B6" s="19"/>
      <c r="D6" s="26" t="s">
        <v>16</v>
      </c>
      <c r="L6" s="19"/>
    </row>
    <row r="7" spans="2:109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09" ht="12.75" hidden="1" x14ac:dyDescent="0.2">
      <c r="B8" s="19"/>
      <c r="D8" s="26" t="s">
        <v>244</v>
      </c>
      <c r="L8" s="19"/>
    </row>
    <row r="9" spans="2:109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09" ht="12" hidden="1" customHeight="1" x14ac:dyDescent="0.2">
      <c r="B10" s="19"/>
      <c r="D10" s="26" t="s">
        <v>246</v>
      </c>
      <c r="L10" s="19"/>
    </row>
    <row r="11" spans="2:109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09" s="1" customFormat="1" ht="12" hidden="1" customHeight="1" x14ac:dyDescent="0.2">
      <c r="B12" s="31"/>
      <c r="D12" s="26" t="s">
        <v>248</v>
      </c>
      <c r="L12" s="31"/>
    </row>
    <row r="13" spans="2:109" s="1" customFormat="1" ht="16.5" hidden="1" customHeight="1" x14ac:dyDescent="0.2">
      <c r="B13" s="31"/>
      <c r="E13" s="432" t="s">
        <v>1198</v>
      </c>
      <c r="F13" s="433"/>
      <c r="G13" s="433"/>
      <c r="H13" s="433"/>
      <c r="L13" s="31"/>
    </row>
    <row r="14" spans="2:109" s="1" customFormat="1" hidden="1" x14ac:dyDescent="0.2">
      <c r="B14" s="31"/>
      <c r="L14" s="31"/>
    </row>
    <row r="15" spans="2:109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09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397793.66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ROUND((SUM(DP121:DP353)),  2)</f>
        <v>397793.66</v>
      </c>
      <c r="I37" s="84">
        <v>0.21</v>
      </c>
      <c r="J37" s="71">
        <f>ROUND(((SUM(DP121:DP353))*I37),  2)</f>
        <v>83536.67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ROUND((SUM(DQ121:DQ353)),  2)</f>
        <v>0</v>
      </c>
      <c r="I38" s="84">
        <v>0.15</v>
      </c>
      <c r="J38" s="71">
        <f>ROUND(((SUM(DQ121:DQ353))*I38),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ROUND((SUM(DR121:DR353)),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ROUND((SUM(DS121:DS353)),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ROUND((SUM(DT121:DT353)),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481330.32999999996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00002 - DSO 01.1.1b Kanalizační odbočení Stoky A1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0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0" s="1" customFormat="1" ht="10.35" hidden="1" customHeight="1" x14ac:dyDescent="0.2">
      <c r="B98" s="31"/>
      <c r="L98" s="31"/>
    </row>
    <row r="99" spans="2:110" s="1" customFormat="1" ht="22.9" hidden="1" customHeight="1" x14ac:dyDescent="0.2">
      <c r="B99" s="31"/>
      <c r="C99" s="95" t="s">
        <v>256</v>
      </c>
      <c r="J99" s="58">
        <f>J121</f>
        <v>397793.66000000003</v>
      </c>
      <c r="L99" s="31"/>
      <c r="DF99" s="16" t="s">
        <v>257</v>
      </c>
    </row>
    <row r="100" spans="2:110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397793.66000000003</v>
      </c>
      <c r="L100" s="96"/>
    </row>
    <row r="101" spans="2:110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215929.60000000001</v>
      </c>
      <c r="L101" s="100"/>
    </row>
    <row r="102" spans="2:110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J254</f>
        <v>11354.94</v>
      </c>
      <c r="L102" s="100"/>
    </row>
    <row r="103" spans="2:110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J259</f>
        <v>8027.41</v>
      </c>
      <c r="L103" s="100"/>
    </row>
    <row r="104" spans="2:110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J275</f>
        <v>28433.730000000003</v>
      </c>
      <c r="L104" s="100"/>
    </row>
    <row r="105" spans="2:110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J287</f>
        <v>107371.99000000002</v>
      </c>
      <c r="L105" s="100"/>
    </row>
    <row r="106" spans="2:110" s="8" customFormat="1" ht="19.899999999999999" hidden="1" customHeight="1" x14ac:dyDescent="0.2">
      <c r="B106" s="100"/>
      <c r="D106" s="101" t="s">
        <v>265</v>
      </c>
      <c r="E106" s="102"/>
      <c r="F106" s="102"/>
      <c r="G106" s="102"/>
      <c r="H106" s="102"/>
      <c r="I106" s="102"/>
      <c r="J106" s="103">
        <f>J329</f>
        <v>17607.37</v>
      </c>
      <c r="L106" s="100"/>
    </row>
    <row r="107" spans="2:110" s="8" customFormat="1" ht="19.899999999999999" hidden="1" customHeight="1" x14ac:dyDescent="0.2">
      <c r="B107" s="100"/>
      <c r="D107" s="101" t="s">
        <v>266</v>
      </c>
      <c r="E107" s="102"/>
      <c r="F107" s="102"/>
      <c r="G107" s="102"/>
      <c r="H107" s="102"/>
      <c r="I107" s="102"/>
      <c r="J107" s="103">
        <f>J349</f>
        <v>9068.6200000000008</v>
      </c>
      <c r="L107" s="100"/>
    </row>
    <row r="108" spans="2:110" s="1" customFormat="1" ht="21.75" hidden="1" customHeight="1" x14ac:dyDescent="0.2">
      <c r="B108" s="31"/>
      <c r="L108" s="31"/>
    </row>
    <row r="109" spans="2:110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0" spans="2:110" hidden="1" x14ac:dyDescent="0.2"/>
    <row r="111" spans="2:110" hidden="1" x14ac:dyDescent="0.2"/>
    <row r="113" spans="2:128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128" s="1" customFormat="1" ht="24.95" customHeight="1" x14ac:dyDescent="0.2">
      <c r="B114" s="31"/>
      <c r="C114" s="20" t="s">
        <v>3341</v>
      </c>
      <c r="L114" s="31"/>
    </row>
    <row r="115" spans="2:128" s="1" customFormat="1" ht="6.95" customHeight="1" x14ac:dyDescent="0.2">
      <c r="B115" s="31"/>
      <c r="L115" s="31"/>
    </row>
    <row r="116" spans="2:128" s="1" customFormat="1" ht="6.95" customHeight="1" x14ac:dyDescent="0.2">
      <c r="B116" s="31"/>
      <c r="L116" s="31"/>
    </row>
    <row r="117" spans="2:128" s="1" customFormat="1" ht="40.15" customHeight="1" x14ac:dyDescent="0.2">
      <c r="B117" s="31"/>
      <c r="C117" s="26"/>
      <c r="F117" s="24"/>
      <c r="I117" s="26"/>
      <c r="J117" s="29"/>
      <c r="L117" s="31"/>
    </row>
    <row r="118" spans="2:128" s="1" customFormat="1" ht="15.2" customHeight="1" x14ac:dyDescent="0.2">
      <c r="B118" s="31"/>
      <c r="C118" s="26"/>
      <c r="F118" s="24"/>
      <c r="I118" s="26"/>
      <c r="J118" s="29"/>
      <c r="L118" s="31"/>
    </row>
    <row r="119" spans="2:128" s="1" customFormat="1" ht="21.75" customHeight="1" x14ac:dyDescent="0.2">
      <c r="B119" s="31"/>
      <c r="G119" s="430" t="s">
        <v>3305</v>
      </c>
      <c r="H119" s="430"/>
      <c r="I119" s="430"/>
      <c r="J119" s="430"/>
      <c r="K119" s="431"/>
      <c r="L119" s="31"/>
    </row>
    <row r="120" spans="2:128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BX120" s="52" t="s">
        <v>1</v>
      </c>
      <c r="BY120" s="53" t="s">
        <v>39</v>
      </c>
      <c r="BZ120" s="53" t="s">
        <v>273</v>
      </c>
      <c r="CA120" s="53" t="s">
        <v>274</v>
      </c>
      <c r="CB120" s="53" t="s">
        <v>275</v>
      </c>
      <c r="CC120" s="53" t="s">
        <v>276</v>
      </c>
      <c r="CD120" s="53" t="s">
        <v>277</v>
      </c>
      <c r="CE120" s="54" t="s">
        <v>278</v>
      </c>
    </row>
    <row r="121" spans="2:128" s="1" customFormat="1" ht="22.9" customHeight="1" x14ac:dyDescent="0.25">
      <c r="B121" s="31"/>
      <c r="C121" s="57" t="s">
        <v>279</v>
      </c>
      <c r="G121" s="1" t="s">
        <v>3306</v>
      </c>
      <c r="J121" s="108">
        <f>DV121</f>
        <v>397793.66000000003</v>
      </c>
      <c r="L121" s="440" t="s">
        <v>3308</v>
      </c>
      <c r="M121" s="441"/>
      <c r="N121" s="440" t="s">
        <v>3347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3320</v>
      </c>
      <c r="X121" s="444"/>
      <c r="Y121" s="444" t="s">
        <v>3321</v>
      </c>
      <c r="Z121" s="444"/>
      <c r="AA121" s="444" t="s">
        <v>3322</v>
      </c>
      <c r="AB121" s="444"/>
      <c r="AC121" s="444" t="s">
        <v>3323</v>
      </c>
      <c r="AD121" s="444"/>
      <c r="AE121" s="444" t="s">
        <v>3324</v>
      </c>
      <c r="AF121" s="444"/>
      <c r="AG121" s="444" t="s">
        <v>3325</v>
      </c>
      <c r="AH121" s="444"/>
      <c r="AI121" s="444" t="s">
        <v>3326</v>
      </c>
      <c r="AJ121" s="444"/>
      <c r="AK121" s="444" t="s">
        <v>3327</v>
      </c>
      <c r="AL121" s="445"/>
      <c r="BX121" s="55"/>
      <c r="BY121" s="49"/>
      <c r="BZ121" s="49"/>
      <c r="CA121" s="109">
        <f>CA122</f>
        <v>0</v>
      </c>
      <c r="CB121" s="49"/>
      <c r="CC121" s="109">
        <f>CC122</f>
        <v>165.50143800000001</v>
      </c>
      <c r="CD121" s="49"/>
      <c r="CE121" s="110">
        <f>CE122</f>
        <v>48.684600000000003</v>
      </c>
      <c r="DE121" s="16" t="s">
        <v>73</v>
      </c>
      <c r="DF121" s="16" t="s">
        <v>257</v>
      </c>
      <c r="DV121" s="111">
        <f>DV122</f>
        <v>397793.66000000003</v>
      </c>
    </row>
    <row r="122" spans="2:128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DV122</f>
        <v>397793.66000000003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4" t="s">
        <v>3328</v>
      </c>
      <c r="AI122" s="194" t="s">
        <v>270</v>
      </c>
      <c r="AJ122" s="194" t="s">
        <v>3328</v>
      </c>
      <c r="AK122" s="194" t="s">
        <v>270</v>
      </c>
      <c r="AL122" s="195" t="s">
        <v>3328</v>
      </c>
      <c r="BX122" s="117"/>
      <c r="CA122" s="118">
        <f>CA124+CA254+CA259+CA275+CA287+CA329+CA349</f>
        <v>0</v>
      </c>
      <c r="CC122" s="118">
        <f>CC124+CC254+CC259+CC275+CC287+CC329+CC349</f>
        <v>165.50143800000001</v>
      </c>
      <c r="CE122" s="119">
        <f>CE124+CE254+CE259+CE275+CE287+CE329+CE349</f>
        <v>48.684600000000003</v>
      </c>
      <c r="DC122" s="113" t="s">
        <v>81</v>
      </c>
      <c r="DE122" s="120" t="s">
        <v>73</v>
      </c>
      <c r="DF122" s="120" t="s">
        <v>74</v>
      </c>
      <c r="DJ122" s="113" t="s">
        <v>282</v>
      </c>
      <c r="DV122" s="121">
        <f>DV124+DV254+DV259+DV275+DV287+DV329+DV349</f>
        <v>397793.66000000003</v>
      </c>
    </row>
    <row r="123" spans="2:128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M124+M254+M259+M275+M287+M329+M349</f>
        <v>0</v>
      </c>
      <c r="N123" s="208"/>
      <c r="O123" s="208">
        <f t="shared" ref="O123:Q123" si="0">O124+O254+O259+O275+O287+O329+O349</f>
        <v>-47992</v>
      </c>
      <c r="P123" s="192"/>
      <c r="Q123" s="192">
        <f t="shared" si="0"/>
        <v>445785.66000000009</v>
      </c>
      <c r="S123" s="196"/>
      <c r="T123" s="197">
        <f>T124+T254+T259+T275+T287+T329+T349</f>
        <v>0</v>
      </c>
      <c r="U123" s="197"/>
      <c r="V123" s="197">
        <f t="shared" ref="V123:AL123" si="1">V124+V254+V259+V275+V287+V329+V349</f>
        <v>397793.66000000003</v>
      </c>
      <c r="W123" s="197"/>
      <c r="X123" s="197">
        <f t="shared" si="1"/>
        <v>0</v>
      </c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AE123" s="197"/>
      <c r="AF123" s="197">
        <f t="shared" si="1"/>
        <v>0</v>
      </c>
      <c r="AG123" s="197"/>
      <c r="AH123" s="197">
        <f t="shared" si="1"/>
        <v>0</v>
      </c>
      <c r="AI123" s="197"/>
      <c r="AJ123" s="197">
        <f t="shared" si="1"/>
        <v>0</v>
      </c>
      <c r="AK123" s="197"/>
      <c r="AL123" s="197">
        <f t="shared" si="1"/>
        <v>0</v>
      </c>
      <c r="BX123" s="117"/>
      <c r="CA123" s="118"/>
      <c r="CC123" s="118"/>
      <c r="CE123" s="119"/>
      <c r="DC123" s="113"/>
      <c r="DE123" s="120"/>
      <c r="DF123" s="120"/>
      <c r="DJ123" s="113"/>
      <c r="DV123" s="121"/>
    </row>
    <row r="124" spans="2:128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DV124</f>
        <v>215929.60000000001</v>
      </c>
      <c r="L124" s="112"/>
      <c r="M124" s="320">
        <f>SUM(M125:M251)</f>
        <v>0</v>
      </c>
      <c r="N124" s="321"/>
      <c r="O124" s="322">
        <f t="shared" ref="O124:V124" si="2">SUM(O125:O251)</f>
        <v>-32975.420000000006</v>
      </c>
      <c r="P124" s="320"/>
      <c r="Q124" s="325">
        <f t="shared" si="2"/>
        <v>248905.03</v>
      </c>
      <c r="R124" s="320"/>
      <c r="S124" s="320"/>
      <c r="T124" s="320">
        <f t="shared" si="2"/>
        <v>0</v>
      </c>
      <c r="U124" s="320"/>
      <c r="V124" s="320">
        <f t="shared" si="2"/>
        <v>215929.60000000001</v>
      </c>
      <c r="BX124" s="117"/>
      <c r="CA124" s="118">
        <f>SUM(CA125:CA253)</f>
        <v>0</v>
      </c>
      <c r="CC124" s="118">
        <f>SUM(CC125:CC253)</f>
        <v>155.589628</v>
      </c>
      <c r="CE124" s="119">
        <f>SUM(CE125:CE253)</f>
        <v>48.684600000000003</v>
      </c>
      <c r="DC124" s="113" t="s">
        <v>81</v>
      </c>
      <c r="DE124" s="120" t="s">
        <v>73</v>
      </c>
      <c r="DF124" s="120" t="s">
        <v>81</v>
      </c>
      <c r="DJ124" s="113" t="s">
        <v>282</v>
      </c>
      <c r="DV124" s="121">
        <f>SUM(DV125:DV253)</f>
        <v>215929.60000000001</v>
      </c>
    </row>
    <row r="125" spans="2:128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38.700000000000003</v>
      </c>
      <c r="I125" s="130">
        <v>68.767172335543137</v>
      </c>
      <c r="J125" s="131">
        <f>ROUND(I125*H125,2)</f>
        <v>2661.29</v>
      </c>
      <c r="K125" s="127" t="s">
        <v>1</v>
      </c>
      <c r="L125" s="198">
        <f>S125</f>
        <v>0</v>
      </c>
      <c r="M125" s="206">
        <f>ROUND(L125*I125,2)</f>
        <v>0</v>
      </c>
      <c r="N125" s="211">
        <f>N127</f>
        <v>-5.8140000000000001</v>
      </c>
      <c r="O125" s="212">
        <f>ROUND(N125*I125,2)</f>
        <v>-399.81</v>
      </c>
      <c r="P125" s="207">
        <f>H125-L125-N125</f>
        <v>44.514000000000003</v>
      </c>
      <c r="Q125" s="228">
        <f>ROUND(P125*I125,2)</f>
        <v>3061.1</v>
      </c>
      <c r="R125" s="199"/>
      <c r="S125" s="200">
        <f>W125+Y125+AA125+AC125+AE125+AG125+AI125+AK125</f>
        <v>0</v>
      </c>
      <c r="T125" s="200">
        <f>ROUND(S125*I125,2)</f>
        <v>0</v>
      </c>
      <c r="U125" s="200">
        <f>H125-S125</f>
        <v>38.700000000000003</v>
      </c>
      <c r="V125" s="200">
        <f>ROUND(U125*I125,2)</f>
        <v>2661.29</v>
      </c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BX125" s="132" t="s">
        <v>1</v>
      </c>
      <c r="BY125" s="133" t="s">
        <v>40</v>
      </c>
      <c r="CA125" s="134">
        <f>BZ125*H125</f>
        <v>0</v>
      </c>
      <c r="CB125" s="134">
        <v>0</v>
      </c>
      <c r="CC125" s="134">
        <f>CB125*H125</f>
        <v>0</v>
      </c>
      <c r="CD125" s="134">
        <v>0.57999999999999996</v>
      </c>
      <c r="CE125" s="135">
        <f>CD125*H125</f>
        <v>22.446000000000002</v>
      </c>
      <c r="DC125" s="136" t="s">
        <v>95</v>
      </c>
      <c r="DE125" s="136" t="s">
        <v>284</v>
      </c>
      <c r="DF125" s="136" t="s">
        <v>83</v>
      </c>
      <c r="DJ125" s="16" t="s">
        <v>282</v>
      </c>
      <c r="DP125" s="137">
        <f>IF(BY125="základní",J125,0)</f>
        <v>2661.29</v>
      </c>
      <c r="DQ125" s="137">
        <f>IF(BY125="snížená",J125,0)</f>
        <v>0</v>
      </c>
      <c r="DR125" s="137">
        <f>IF(BY125="zákl. přenesená",J125,0)</f>
        <v>0</v>
      </c>
      <c r="DS125" s="137">
        <f>IF(BY125="sníž. přenesená",J125,0)</f>
        <v>0</v>
      </c>
      <c r="DT125" s="137">
        <f>IF(BY125="nulová",J125,0)</f>
        <v>0</v>
      </c>
      <c r="DU125" s="16" t="s">
        <v>81</v>
      </c>
      <c r="DV125" s="137">
        <f>ROUND(I125*H125,2)</f>
        <v>2661.29</v>
      </c>
      <c r="DW125" s="16" t="s">
        <v>95</v>
      </c>
      <c r="DX125" s="136" t="s">
        <v>288</v>
      </c>
    </row>
    <row r="126" spans="2:128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BX126" s="141"/>
      <c r="CE126" s="50"/>
      <c r="DE126" s="16" t="s">
        <v>289</v>
      </c>
      <c r="DF126" s="16" t="s">
        <v>83</v>
      </c>
    </row>
    <row r="127" spans="2:128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38.700000000000003</v>
      </c>
      <c r="I127" s="130">
        <v>68.767172335543137</v>
      </c>
      <c r="J127" s="131">
        <f>ROUND(I127*H127,2)</f>
        <v>2661.29</v>
      </c>
      <c r="K127" s="127" t="s">
        <v>293</v>
      </c>
      <c r="L127" s="198">
        <f>S127</f>
        <v>0</v>
      </c>
      <c r="M127" s="206">
        <f>ROUND(L127*I127,2)</f>
        <v>0</v>
      </c>
      <c r="N127" s="211">
        <f>N129</f>
        <v>-5.8140000000000001</v>
      </c>
      <c r="O127" s="212">
        <f>ROUND(N127*I127,2)</f>
        <v>-399.81</v>
      </c>
      <c r="P127" s="207">
        <f>H127-L127-N127</f>
        <v>44.514000000000003</v>
      </c>
      <c r="Q127" s="228">
        <f>ROUND(P127*I127,2)</f>
        <v>3061.1</v>
      </c>
      <c r="R127" s="199"/>
      <c r="S127" s="200">
        <f>W127+Y127+AA127+AC127+AE127+AG127+AI127+AK127</f>
        <v>0</v>
      </c>
      <c r="T127" s="200">
        <f>ROUND(S127*I127,2)</f>
        <v>0</v>
      </c>
      <c r="U127" s="200">
        <f>H127-S127</f>
        <v>38.700000000000003</v>
      </c>
      <c r="V127" s="200">
        <f>ROUND(U127*I127,2)</f>
        <v>2661.29</v>
      </c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BX127" s="132" t="s">
        <v>1</v>
      </c>
      <c r="BY127" s="133" t="s">
        <v>40</v>
      </c>
      <c r="CA127" s="134">
        <f>BZ127*H127</f>
        <v>0</v>
      </c>
      <c r="CB127" s="134">
        <v>0</v>
      </c>
      <c r="CC127" s="134">
        <f>CB127*H127</f>
        <v>0</v>
      </c>
      <c r="CD127" s="134">
        <v>0.57999999999999996</v>
      </c>
      <c r="CE127" s="135">
        <f>CD127*H127</f>
        <v>22.446000000000002</v>
      </c>
      <c r="DC127" s="136" t="s">
        <v>95</v>
      </c>
      <c r="DE127" s="136" t="s">
        <v>284</v>
      </c>
      <c r="DF127" s="136" t="s">
        <v>83</v>
      </c>
      <c r="DJ127" s="16" t="s">
        <v>282</v>
      </c>
      <c r="DP127" s="137">
        <f>IF(BY127="základní",J127,0)</f>
        <v>2661.29</v>
      </c>
      <c r="DQ127" s="137">
        <f>IF(BY127="snížená",J127,0)</f>
        <v>0</v>
      </c>
      <c r="DR127" s="137">
        <f>IF(BY127="zákl. přenesená",J127,0)</f>
        <v>0</v>
      </c>
      <c r="DS127" s="137">
        <f>IF(BY127="sníž. přenesená",J127,0)</f>
        <v>0</v>
      </c>
      <c r="DT127" s="137">
        <f>IF(BY127="nulová",J127,0)</f>
        <v>0</v>
      </c>
      <c r="DU127" s="16" t="s">
        <v>81</v>
      </c>
      <c r="DV127" s="137">
        <f>ROUND(I127*H127,2)</f>
        <v>2661.29</v>
      </c>
      <c r="DW127" s="16" t="s">
        <v>95</v>
      </c>
      <c r="DX127" s="136" t="s">
        <v>294</v>
      </c>
    </row>
    <row r="128" spans="2:128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BX128" s="141"/>
      <c r="CE128" s="50"/>
      <c r="DE128" s="16" t="s">
        <v>289</v>
      </c>
      <c r="DF128" s="16" t="s">
        <v>83</v>
      </c>
    </row>
    <row r="129" spans="2:128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732</v>
      </c>
      <c r="G129" s="128" t="s">
        <v>287</v>
      </c>
      <c r="H129" s="129">
        <v>38.700000000000003</v>
      </c>
      <c r="I129" s="130">
        <v>27.886826761540966</v>
      </c>
      <c r="J129" s="131">
        <f>ROUND(I129*H129,2)</f>
        <v>1079.22</v>
      </c>
      <c r="K129" s="127" t="s">
        <v>293</v>
      </c>
      <c r="L129" s="198">
        <f>S129</f>
        <v>0</v>
      </c>
      <c r="M129" s="206">
        <f>ROUND(L129*I129,2)</f>
        <v>0</v>
      </c>
      <c r="N129" s="211">
        <f>N135</f>
        <v>-5.8140000000000001</v>
      </c>
      <c r="O129" s="212">
        <f>ROUND(N129*I129,2)</f>
        <v>-162.13</v>
      </c>
      <c r="P129" s="207">
        <f>H129-L129-N129</f>
        <v>44.514000000000003</v>
      </c>
      <c r="Q129" s="228">
        <f>ROUND(P129*I129,2)</f>
        <v>1241.3499999999999</v>
      </c>
      <c r="R129" s="199"/>
      <c r="S129" s="200">
        <f>W129+Y129+AA129+AC129+AE129+AG129+AI129+AK129</f>
        <v>0</v>
      </c>
      <c r="T129" s="200">
        <f>ROUND(S129*I129,2)</f>
        <v>0</v>
      </c>
      <c r="U129" s="200">
        <f>H129-S129</f>
        <v>38.700000000000003</v>
      </c>
      <c r="V129" s="200">
        <f>ROUND(U129*I129,2)</f>
        <v>1079.22</v>
      </c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BX129" s="132" t="s">
        <v>1</v>
      </c>
      <c r="BY129" s="133" t="s">
        <v>40</v>
      </c>
      <c r="CA129" s="134">
        <f>BZ129*H129</f>
        <v>0</v>
      </c>
      <c r="CB129" s="134">
        <v>0</v>
      </c>
      <c r="CC129" s="134">
        <f>CB129*H129</f>
        <v>0</v>
      </c>
      <c r="CD129" s="134">
        <v>9.8000000000000004E-2</v>
      </c>
      <c r="CE129" s="135">
        <f>CD129*H129</f>
        <v>3.7926000000000006</v>
      </c>
      <c r="DC129" s="136" t="s">
        <v>95</v>
      </c>
      <c r="DE129" s="136" t="s">
        <v>284</v>
      </c>
      <c r="DF129" s="136" t="s">
        <v>83</v>
      </c>
      <c r="DJ129" s="16" t="s">
        <v>282</v>
      </c>
      <c r="DP129" s="137">
        <f>IF(BY129="základní",J129,0)</f>
        <v>1079.22</v>
      </c>
      <c r="DQ129" s="137">
        <f>IF(BY129="snížená",J129,0)</f>
        <v>0</v>
      </c>
      <c r="DR129" s="137">
        <f>IF(BY129="zákl. přenesená",J129,0)</f>
        <v>0</v>
      </c>
      <c r="DS129" s="137">
        <f>IF(BY129="sníž. přenesená",J129,0)</f>
        <v>0</v>
      </c>
      <c r="DT129" s="137">
        <f>IF(BY129="nulová",J129,0)</f>
        <v>0</v>
      </c>
      <c r="DU129" s="16" t="s">
        <v>81</v>
      </c>
      <c r="DV129" s="137">
        <f>ROUND(I129*H129,2)</f>
        <v>1079.22</v>
      </c>
      <c r="DW129" s="16" t="s">
        <v>95</v>
      </c>
      <c r="DX129" s="136" t="s">
        <v>297</v>
      </c>
    </row>
    <row r="130" spans="2:128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BX130" s="141"/>
      <c r="CE130" s="50"/>
      <c r="DE130" s="16" t="s">
        <v>289</v>
      </c>
      <c r="DF130" s="16" t="s">
        <v>83</v>
      </c>
    </row>
    <row r="131" spans="2:128" s="1" customFormat="1" ht="29.25" x14ac:dyDescent="0.2">
      <c r="B131" s="31"/>
      <c r="D131" s="138" t="s">
        <v>299</v>
      </c>
      <c r="F131" s="142" t="s">
        <v>1083</v>
      </c>
      <c r="I131" s="140"/>
      <c r="L131" s="31"/>
      <c r="N131" s="213"/>
      <c r="O131" s="214"/>
      <c r="Q131" s="229"/>
      <c r="BX131" s="141"/>
      <c r="CE131" s="50"/>
      <c r="DE131" s="16" t="s">
        <v>299</v>
      </c>
      <c r="DF131" s="16" t="s">
        <v>83</v>
      </c>
    </row>
    <row r="132" spans="2:128" s="11" customFormat="1" x14ac:dyDescent="0.2">
      <c r="B132" s="143"/>
      <c r="D132" s="138" t="s">
        <v>301</v>
      </c>
      <c r="E132" s="144" t="s">
        <v>1</v>
      </c>
      <c r="F132" s="145" t="s">
        <v>1084</v>
      </c>
      <c r="H132" s="144" t="s">
        <v>1</v>
      </c>
      <c r="I132" s="146"/>
      <c r="L132" s="143"/>
      <c r="N132" s="215"/>
      <c r="O132" s="216"/>
      <c r="Q132" s="230"/>
      <c r="BX132" s="147"/>
      <c r="CE132" s="148"/>
      <c r="DE132" s="144" t="s">
        <v>301</v>
      </c>
      <c r="DF132" s="144" t="s">
        <v>83</v>
      </c>
      <c r="DG132" s="11" t="s">
        <v>81</v>
      </c>
      <c r="DH132" s="11" t="s">
        <v>32</v>
      </c>
      <c r="DI132" s="11" t="s">
        <v>74</v>
      </c>
      <c r="DJ132" s="144" t="s">
        <v>282</v>
      </c>
    </row>
    <row r="133" spans="2:128" s="11" customFormat="1" x14ac:dyDescent="0.2">
      <c r="B133" s="143"/>
      <c r="D133" s="138" t="s">
        <v>301</v>
      </c>
      <c r="E133" s="144" t="s">
        <v>1</v>
      </c>
      <c r="F133" s="145" t="s">
        <v>302</v>
      </c>
      <c r="H133" s="144" t="s">
        <v>1</v>
      </c>
      <c r="I133" s="146"/>
      <c r="L133" s="143"/>
      <c r="N133" s="215"/>
      <c r="O133" s="216"/>
      <c r="Q133" s="230"/>
      <c r="BX133" s="147"/>
      <c r="CE133" s="148"/>
      <c r="DE133" s="144" t="s">
        <v>301</v>
      </c>
      <c r="DF133" s="144" t="s">
        <v>83</v>
      </c>
      <c r="DG133" s="11" t="s">
        <v>81</v>
      </c>
      <c r="DH133" s="11" t="s">
        <v>32</v>
      </c>
      <c r="DI133" s="11" t="s">
        <v>74</v>
      </c>
      <c r="DJ133" s="144" t="s">
        <v>282</v>
      </c>
    </row>
    <row r="134" spans="2:128" s="12" customFormat="1" x14ac:dyDescent="0.2">
      <c r="B134" s="149"/>
      <c r="D134" s="138" t="s">
        <v>301</v>
      </c>
      <c r="E134" s="150" t="s">
        <v>1</v>
      </c>
      <c r="F134" s="151" t="s">
        <v>1199</v>
      </c>
      <c r="H134" s="152">
        <v>38.700000000000003</v>
      </c>
      <c r="I134" s="153"/>
      <c r="L134" s="149"/>
      <c r="N134" s="217">
        <f>36.54*1*0.9</f>
        <v>32.886000000000003</v>
      </c>
      <c r="O134" s="218" t="s">
        <v>3654</v>
      </c>
      <c r="Q134" s="231"/>
      <c r="BX134" s="154"/>
      <c r="CE134" s="155"/>
      <c r="DE134" s="150" t="s">
        <v>301</v>
      </c>
      <c r="DF134" s="150" t="s">
        <v>83</v>
      </c>
      <c r="DG134" s="12" t="s">
        <v>83</v>
      </c>
      <c r="DH134" s="12" t="s">
        <v>32</v>
      </c>
      <c r="DI134" s="12" t="s">
        <v>81</v>
      </c>
      <c r="DJ134" s="150" t="s">
        <v>282</v>
      </c>
    </row>
    <row r="135" spans="2:128" s="12" customFormat="1" x14ac:dyDescent="0.2">
      <c r="B135" s="149"/>
      <c r="D135" s="138"/>
      <c r="E135" s="150"/>
      <c r="F135" s="151"/>
      <c r="H135" s="152"/>
      <c r="I135" s="153"/>
      <c r="L135" s="149"/>
      <c r="N135" s="310">
        <f>N134-H134</f>
        <v>-5.8140000000000001</v>
      </c>
      <c r="O135" s="218"/>
      <c r="Q135" s="231"/>
      <c r="BX135" s="154"/>
      <c r="CE135" s="155"/>
      <c r="DE135" s="150"/>
      <c r="DF135" s="150"/>
      <c r="DJ135" s="150"/>
    </row>
    <row r="136" spans="2:128" s="1" customFormat="1" ht="24.2" customHeight="1" x14ac:dyDescent="0.2">
      <c r="B136" s="124"/>
      <c r="C136" s="125" t="s">
        <v>95</v>
      </c>
      <c r="D136" s="125" t="s">
        <v>284</v>
      </c>
      <c r="E136" s="126" t="s">
        <v>958</v>
      </c>
      <c r="F136" s="127" t="s">
        <v>959</v>
      </c>
      <c r="G136" s="128" t="s">
        <v>287</v>
      </c>
      <c r="H136" s="129">
        <v>12.9</v>
      </c>
      <c r="I136" s="130">
        <v>23.091823190584471</v>
      </c>
      <c r="J136" s="131">
        <f>ROUND(I136*H136,2)</f>
        <v>297.88</v>
      </c>
      <c r="K136" s="127" t="s">
        <v>293</v>
      </c>
      <c r="L136" s="198">
        <f>S136</f>
        <v>0</v>
      </c>
      <c r="M136" s="206">
        <f>ROUND(L136*I136,2)</f>
        <v>0</v>
      </c>
      <c r="N136" s="211">
        <f>N141</f>
        <v>-1.9379999999999988</v>
      </c>
      <c r="O136" s="212">
        <f>ROUND(N136*I136,2)</f>
        <v>-44.75</v>
      </c>
      <c r="P136" s="207">
        <f>H136-L136-N136</f>
        <v>14.837999999999999</v>
      </c>
      <c r="Q136" s="228">
        <f>ROUND(P136*I136,2)</f>
        <v>342.64</v>
      </c>
      <c r="R136" s="199"/>
      <c r="S136" s="200">
        <f>W136+Y136+AA136+AC136+AE136+AG136+AI136+AK136</f>
        <v>0</v>
      </c>
      <c r="T136" s="200">
        <f>ROUND(S136*I136,2)</f>
        <v>0</v>
      </c>
      <c r="U136" s="200">
        <f>H136-S136</f>
        <v>12.9</v>
      </c>
      <c r="V136" s="200">
        <f>ROUND(U136*I136,2)</f>
        <v>297.88</v>
      </c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BX136" s="132" t="s">
        <v>1</v>
      </c>
      <c r="BY136" s="133" t="s">
        <v>40</v>
      </c>
      <c r="CA136" s="134">
        <f>BZ136*H136</f>
        <v>0</v>
      </c>
      <c r="CB136" s="134">
        <v>0</v>
      </c>
      <c r="CC136" s="134">
        <f>CB136*H136</f>
        <v>0</v>
      </c>
      <c r="CD136" s="134">
        <v>0</v>
      </c>
      <c r="CE136" s="135">
        <f>CD136*H136</f>
        <v>0</v>
      </c>
      <c r="DC136" s="136" t="s">
        <v>95</v>
      </c>
      <c r="DE136" s="136" t="s">
        <v>284</v>
      </c>
      <c r="DF136" s="136" t="s">
        <v>83</v>
      </c>
      <c r="DJ136" s="16" t="s">
        <v>282</v>
      </c>
      <c r="DP136" s="137">
        <f>IF(BY136="základní",J136,0)</f>
        <v>297.88</v>
      </c>
      <c r="DQ136" s="137">
        <f>IF(BY136="snížená",J136,0)</f>
        <v>0</v>
      </c>
      <c r="DR136" s="137">
        <f>IF(BY136="zákl. přenesená",J136,0)</f>
        <v>0</v>
      </c>
      <c r="DS136" s="137">
        <f>IF(BY136="sníž. přenesená",J136,0)</f>
        <v>0</v>
      </c>
      <c r="DT136" s="137">
        <f>IF(BY136="nulová",J136,0)</f>
        <v>0</v>
      </c>
      <c r="DU136" s="16" t="s">
        <v>81</v>
      </c>
      <c r="DV136" s="137">
        <f>ROUND(I136*H136,2)</f>
        <v>297.88</v>
      </c>
      <c r="DW136" s="16" t="s">
        <v>95</v>
      </c>
      <c r="DX136" s="136" t="s">
        <v>960</v>
      </c>
    </row>
    <row r="137" spans="2:128" s="1" customFormat="1" ht="19.5" x14ac:dyDescent="0.2">
      <c r="B137" s="31"/>
      <c r="D137" s="138" t="s">
        <v>289</v>
      </c>
      <c r="F137" s="139" t="s">
        <v>961</v>
      </c>
      <c r="I137" s="140"/>
      <c r="L137" s="31"/>
      <c r="N137" s="213"/>
      <c r="O137" s="214"/>
      <c r="Q137" s="229"/>
      <c r="BX137" s="141"/>
      <c r="CE137" s="50"/>
      <c r="DE137" s="16" t="s">
        <v>289</v>
      </c>
      <c r="DF137" s="16" t="s">
        <v>83</v>
      </c>
    </row>
    <row r="138" spans="2:128" s="1" customFormat="1" ht="29.25" x14ac:dyDescent="0.2">
      <c r="B138" s="31"/>
      <c r="D138" s="138" t="s">
        <v>299</v>
      </c>
      <c r="F138" s="142" t="s">
        <v>1083</v>
      </c>
      <c r="I138" s="140"/>
      <c r="L138" s="31"/>
      <c r="N138" s="213"/>
      <c r="O138" s="214"/>
      <c r="Q138" s="229"/>
      <c r="BX138" s="141"/>
      <c r="CE138" s="50"/>
      <c r="DE138" s="16" t="s">
        <v>299</v>
      </c>
      <c r="DF138" s="16" t="s">
        <v>83</v>
      </c>
    </row>
    <row r="139" spans="2:128" s="11" customFormat="1" x14ac:dyDescent="0.2">
      <c r="B139" s="143"/>
      <c r="D139" s="138" t="s">
        <v>301</v>
      </c>
      <c r="E139" s="144" t="s">
        <v>1</v>
      </c>
      <c r="F139" s="145" t="s">
        <v>1088</v>
      </c>
      <c r="H139" s="144" t="s">
        <v>1</v>
      </c>
      <c r="I139" s="146"/>
      <c r="L139" s="143"/>
      <c r="N139" s="215"/>
      <c r="O139" s="216"/>
      <c r="Q139" s="230"/>
      <c r="BX139" s="147"/>
      <c r="CE139" s="148"/>
      <c r="DE139" s="144" t="s">
        <v>301</v>
      </c>
      <c r="DF139" s="144" t="s">
        <v>83</v>
      </c>
      <c r="DG139" s="11" t="s">
        <v>81</v>
      </c>
      <c r="DH139" s="11" t="s">
        <v>32</v>
      </c>
      <c r="DI139" s="11" t="s">
        <v>74</v>
      </c>
      <c r="DJ139" s="144" t="s">
        <v>282</v>
      </c>
    </row>
    <row r="140" spans="2:128" s="12" customFormat="1" x14ac:dyDescent="0.2">
      <c r="B140" s="149"/>
      <c r="D140" s="138" t="s">
        <v>301</v>
      </c>
      <c r="E140" s="150" t="s">
        <v>1</v>
      </c>
      <c r="F140" s="151" t="s">
        <v>1200</v>
      </c>
      <c r="H140" s="152">
        <v>12.9</v>
      </c>
      <c r="I140" s="153"/>
      <c r="L140" s="149"/>
      <c r="N140" s="217">
        <f>36.54*3*0.1</f>
        <v>10.962000000000002</v>
      </c>
      <c r="O140" s="218" t="s">
        <v>3655</v>
      </c>
      <c r="Q140" s="231"/>
      <c r="BX140" s="154"/>
      <c r="CE140" s="155"/>
      <c r="DE140" s="150" t="s">
        <v>301</v>
      </c>
      <c r="DF140" s="150" t="s">
        <v>83</v>
      </c>
      <c r="DG140" s="12" t="s">
        <v>83</v>
      </c>
      <c r="DH140" s="12" t="s">
        <v>32</v>
      </c>
      <c r="DI140" s="12" t="s">
        <v>81</v>
      </c>
      <c r="DJ140" s="150" t="s">
        <v>282</v>
      </c>
    </row>
    <row r="141" spans="2:128" s="12" customFormat="1" x14ac:dyDescent="0.2">
      <c r="B141" s="149"/>
      <c r="D141" s="138"/>
      <c r="E141" s="150"/>
      <c r="F141" s="151"/>
      <c r="H141" s="152"/>
      <c r="I141" s="153"/>
      <c r="L141" s="149"/>
      <c r="N141" s="310">
        <f>N140-H140</f>
        <v>-1.9379999999999988</v>
      </c>
      <c r="O141" s="218"/>
      <c r="Q141" s="231"/>
      <c r="BX141" s="154"/>
      <c r="CE141" s="155"/>
      <c r="DE141" s="150"/>
      <c r="DF141" s="150"/>
      <c r="DJ141" s="150"/>
    </row>
    <row r="142" spans="2:128" s="1" customFormat="1" ht="24.2" customHeight="1" x14ac:dyDescent="0.2">
      <c r="B142" s="124"/>
      <c r="C142" s="125" t="s">
        <v>312</v>
      </c>
      <c r="D142" s="125" t="s">
        <v>284</v>
      </c>
      <c r="E142" s="126" t="s">
        <v>364</v>
      </c>
      <c r="F142" s="127" t="s">
        <v>365</v>
      </c>
      <c r="G142" s="128" t="s">
        <v>366</v>
      </c>
      <c r="H142" s="129">
        <v>38.378</v>
      </c>
      <c r="I142" s="130">
        <v>285.201942457955</v>
      </c>
      <c r="J142" s="131">
        <f>ROUND(I142*H142,2)</f>
        <v>10945.48</v>
      </c>
      <c r="K142" s="127" t="s">
        <v>293</v>
      </c>
      <c r="L142" s="198">
        <f>S142</f>
        <v>0</v>
      </c>
      <c r="M142" s="206">
        <f>ROUND(L142*I142,2)</f>
        <v>0</v>
      </c>
      <c r="N142" s="211">
        <f>N151</f>
        <v>-5.7660499999999999</v>
      </c>
      <c r="O142" s="212">
        <f>ROUND(N142*I142,2)</f>
        <v>-1644.49</v>
      </c>
      <c r="P142" s="207">
        <f>H142-L142-N142</f>
        <v>44.14405</v>
      </c>
      <c r="Q142" s="228">
        <f>ROUND(P142*I142,2)</f>
        <v>12589.97</v>
      </c>
      <c r="R142" s="199"/>
      <c r="S142" s="200">
        <f>W142+Y142+AA142+AC142+AE142+AG142+AI142+AK142</f>
        <v>0</v>
      </c>
      <c r="T142" s="200">
        <f>ROUND(S142*I142,2)</f>
        <v>0</v>
      </c>
      <c r="U142" s="200">
        <f>H142-S142</f>
        <v>38.378</v>
      </c>
      <c r="V142" s="200">
        <f>ROUND(U142*I142,2)</f>
        <v>10945.48</v>
      </c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BX142" s="132" t="s">
        <v>1</v>
      </c>
      <c r="BY142" s="133" t="s">
        <v>40</v>
      </c>
      <c r="CA142" s="134">
        <f>BZ142*H142</f>
        <v>0</v>
      </c>
      <c r="CB142" s="134">
        <v>0</v>
      </c>
      <c r="CC142" s="134">
        <f>CB142*H142</f>
        <v>0</v>
      </c>
      <c r="CD142" s="134">
        <v>0</v>
      </c>
      <c r="CE142" s="135">
        <f>CD142*H142</f>
        <v>0</v>
      </c>
      <c r="DC142" s="136" t="s">
        <v>95</v>
      </c>
      <c r="DE142" s="136" t="s">
        <v>284</v>
      </c>
      <c r="DF142" s="136" t="s">
        <v>83</v>
      </c>
      <c r="DJ142" s="16" t="s">
        <v>282</v>
      </c>
      <c r="DP142" s="137">
        <f>IF(BY142="základní",J142,0)</f>
        <v>10945.48</v>
      </c>
      <c r="DQ142" s="137">
        <f>IF(BY142="snížená",J142,0)</f>
        <v>0</v>
      </c>
      <c r="DR142" s="137">
        <f>IF(BY142="zákl. přenesená",J142,0)</f>
        <v>0</v>
      </c>
      <c r="DS142" s="137">
        <f>IF(BY142="sníž. přenesená",J142,0)</f>
        <v>0</v>
      </c>
      <c r="DT142" s="137">
        <f>IF(BY142="nulová",J142,0)</f>
        <v>0</v>
      </c>
      <c r="DU142" s="16" t="s">
        <v>81</v>
      </c>
      <c r="DV142" s="137">
        <f>ROUND(I142*H142,2)</f>
        <v>10945.48</v>
      </c>
      <c r="DW142" s="16" t="s">
        <v>95</v>
      </c>
      <c r="DX142" s="136" t="s">
        <v>367</v>
      </c>
    </row>
    <row r="143" spans="2:128" s="1" customFormat="1" ht="39" x14ac:dyDescent="0.2">
      <c r="B143" s="31"/>
      <c r="D143" s="138" t="s">
        <v>289</v>
      </c>
      <c r="F143" s="139" t="s">
        <v>368</v>
      </c>
      <c r="I143" s="140"/>
      <c r="L143" s="31"/>
      <c r="N143" s="213"/>
      <c r="O143" s="214"/>
      <c r="Q143" s="229"/>
      <c r="BX143" s="141"/>
      <c r="CE143" s="50"/>
      <c r="DE143" s="16" t="s">
        <v>289</v>
      </c>
      <c r="DF143" s="16" t="s">
        <v>83</v>
      </c>
    </row>
    <row r="144" spans="2:128" s="1" customFormat="1" ht="39" x14ac:dyDescent="0.2">
      <c r="B144" s="31"/>
      <c r="D144" s="138" t="s">
        <v>299</v>
      </c>
      <c r="F144" s="142" t="s">
        <v>1090</v>
      </c>
      <c r="I144" s="140"/>
      <c r="L144" s="31"/>
      <c r="N144" s="213"/>
      <c r="O144" s="214"/>
      <c r="Q144" s="229"/>
      <c r="BX144" s="141"/>
      <c r="CE144" s="50"/>
      <c r="DE144" s="16" t="s">
        <v>299</v>
      </c>
      <c r="DF144" s="16" t="s">
        <v>83</v>
      </c>
    </row>
    <row r="145" spans="2:128" s="11" customFormat="1" ht="22.5" x14ac:dyDescent="0.2">
      <c r="B145" s="143"/>
      <c r="D145" s="138" t="s">
        <v>301</v>
      </c>
      <c r="E145" s="144" t="s">
        <v>1</v>
      </c>
      <c r="F145" s="145" t="s">
        <v>1091</v>
      </c>
      <c r="H145" s="144" t="s">
        <v>1</v>
      </c>
      <c r="I145" s="146"/>
      <c r="L145" s="143"/>
      <c r="N145" s="215"/>
      <c r="O145" s="216"/>
      <c r="Q145" s="230"/>
      <c r="BX145" s="147"/>
      <c r="CE145" s="148"/>
      <c r="DE145" s="144" t="s">
        <v>301</v>
      </c>
      <c r="DF145" s="144" t="s">
        <v>83</v>
      </c>
      <c r="DG145" s="11" t="s">
        <v>81</v>
      </c>
      <c r="DH145" s="11" t="s">
        <v>32</v>
      </c>
      <c r="DI145" s="11" t="s">
        <v>74</v>
      </c>
      <c r="DJ145" s="144" t="s">
        <v>282</v>
      </c>
    </row>
    <row r="146" spans="2:128" s="12" customFormat="1" x14ac:dyDescent="0.2">
      <c r="B146" s="149"/>
      <c r="D146" s="138" t="s">
        <v>301</v>
      </c>
      <c r="E146" s="150" t="s">
        <v>1</v>
      </c>
      <c r="F146" s="151" t="s">
        <v>1201</v>
      </c>
      <c r="H146" s="152">
        <v>67.724999999999994</v>
      </c>
      <c r="I146" s="153"/>
      <c r="L146" s="149"/>
      <c r="N146" s="217">
        <f>36.54*1*(2.2-0.45)*0.9</f>
        <v>57.550500000000007</v>
      </c>
      <c r="O146" s="218" t="s">
        <v>3656</v>
      </c>
      <c r="Q146" s="231"/>
      <c r="BX146" s="154"/>
      <c r="CE146" s="155"/>
      <c r="DE146" s="150" t="s">
        <v>301</v>
      </c>
      <c r="DF146" s="150" t="s">
        <v>83</v>
      </c>
      <c r="DG146" s="12" t="s">
        <v>83</v>
      </c>
      <c r="DH146" s="12" t="s">
        <v>32</v>
      </c>
      <c r="DI146" s="12" t="s">
        <v>74</v>
      </c>
      <c r="DJ146" s="150" t="s">
        <v>282</v>
      </c>
    </row>
    <row r="147" spans="2:128" s="11" customFormat="1" x14ac:dyDescent="0.2">
      <c r="B147" s="143"/>
      <c r="D147" s="138" t="s">
        <v>301</v>
      </c>
      <c r="E147" s="144" t="s">
        <v>1</v>
      </c>
      <c r="F147" s="145" t="s">
        <v>968</v>
      </c>
      <c r="H147" s="144" t="s">
        <v>1</v>
      </c>
      <c r="I147" s="146"/>
      <c r="L147" s="143"/>
      <c r="N147" s="215"/>
      <c r="O147" s="216"/>
      <c r="Q147" s="230"/>
      <c r="BX147" s="147"/>
      <c r="CE147" s="148"/>
      <c r="DE147" s="144" t="s">
        <v>301</v>
      </c>
      <c r="DF147" s="144" t="s">
        <v>83</v>
      </c>
      <c r="DG147" s="11" t="s">
        <v>81</v>
      </c>
      <c r="DH147" s="11" t="s">
        <v>32</v>
      </c>
      <c r="DI147" s="11" t="s">
        <v>74</v>
      </c>
      <c r="DJ147" s="144" t="s">
        <v>282</v>
      </c>
    </row>
    <row r="148" spans="2:128" s="12" customFormat="1" x14ac:dyDescent="0.2">
      <c r="B148" s="149"/>
      <c r="D148" s="138" t="s">
        <v>301</v>
      </c>
      <c r="E148" s="150" t="s">
        <v>1</v>
      </c>
      <c r="F148" s="151" t="s">
        <v>1202</v>
      </c>
      <c r="H148" s="152">
        <v>9.0299999999999994</v>
      </c>
      <c r="I148" s="153"/>
      <c r="L148" s="149"/>
      <c r="N148" s="217">
        <f>36.54*1*(2.2-0.1)*0.1</f>
        <v>7.6734</v>
      </c>
      <c r="O148" s="218" t="s">
        <v>3657</v>
      </c>
      <c r="Q148" s="231"/>
      <c r="BX148" s="154"/>
      <c r="CE148" s="155"/>
      <c r="DE148" s="150" t="s">
        <v>301</v>
      </c>
      <c r="DF148" s="150" t="s">
        <v>83</v>
      </c>
      <c r="DG148" s="12" t="s">
        <v>83</v>
      </c>
      <c r="DH148" s="12" t="s">
        <v>32</v>
      </c>
      <c r="DI148" s="12" t="s">
        <v>74</v>
      </c>
      <c r="DJ148" s="150" t="s">
        <v>282</v>
      </c>
    </row>
    <row r="149" spans="2:128" s="14" customFormat="1" x14ac:dyDescent="0.2">
      <c r="B149" s="163"/>
      <c r="D149" s="138" t="s">
        <v>301</v>
      </c>
      <c r="E149" s="164" t="s">
        <v>1</v>
      </c>
      <c r="F149" s="165" t="s">
        <v>373</v>
      </c>
      <c r="H149" s="166">
        <v>76.754999999999995</v>
      </c>
      <c r="I149" s="167"/>
      <c r="L149" s="163"/>
      <c r="N149" s="221">
        <f>N146+N148</f>
        <v>65.2239</v>
      </c>
      <c r="O149" s="222"/>
      <c r="Q149" s="233"/>
      <c r="BX149" s="168"/>
      <c r="CE149" s="169"/>
      <c r="DE149" s="164" t="s">
        <v>301</v>
      </c>
      <c r="DF149" s="164" t="s">
        <v>83</v>
      </c>
      <c r="DG149" s="14" t="s">
        <v>90</v>
      </c>
      <c r="DH149" s="14" t="s">
        <v>32</v>
      </c>
      <c r="DI149" s="14" t="s">
        <v>74</v>
      </c>
      <c r="DJ149" s="164" t="s">
        <v>282</v>
      </c>
    </row>
    <row r="150" spans="2:128" s="12" customFormat="1" x14ac:dyDescent="0.2">
      <c r="B150" s="149"/>
      <c r="D150" s="138" t="s">
        <v>301</v>
      </c>
      <c r="E150" s="150" t="s">
        <v>1</v>
      </c>
      <c r="F150" s="151" t="s">
        <v>1203</v>
      </c>
      <c r="H150" s="152">
        <v>38.378</v>
      </c>
      <c r="I150" s="153"/>
      <c r="L150" s="149"/>
      <c r="N150" s="217">
        <f>N149*0.5</f>
        <v>32.61195</v>
      </c>
      <c r="O150" s="218"/>
      <c r="Q150" s="231"/>
      <c r="BX150" s="154"/>
      <c r="CE150" s="155"/>
      <c r="DE150" s="150" t="s">
        <v>301</v>
      </c>
      <c r="DF150" s="150" t="s">
        <v>83</v>
      </c>
      <c r="DG150" s="12" t="s">
        <v>83</v>
      </c>
      <c r="DH150" s="12" t="s">
        <v>32</v>
      </c>
      <c r="DI150" s="12" t="s">
        <v>81</v>
      </c>
      <c r="DJ150" s="150" t="s">
        <v>282</v>
      </c>
    </row>
    <row r="151" spans="2:128" s="12" customFormat="1" x14ac:dyDescent="0.2">
      <c r="B151" s="149"/>
      <c r="D151" s="138"/>
      <c r="E151" s="150"/>
      <c r="F151" s="151"/>
      <c r="H151" s="152"/>
      <c r="I151" s="153"/>
      <c r="L151" s="149"/>
      <c r="N151" s="310">
        <f>N150-H150</f>
        <v>-5.7660499999999999</v>
      </c>
      <c r="O151" s="218"/>
      <c r="Q151" s="231"/>
      <c r="BX151" s="154"/>
      <c r="CE151" s="155"/>
      <c r="DE151" s="150"/>
      <c r="DF151" s="150"/>
      <c r="DJ151" s="150"/>
    </row>
    <row r="152" spans="2:128" s="1" customFormat="1" ht="24.2" customHeight="1" x14ac:dyDescent="0.2">
      <c r="B152" s="124"/>
      <c r="C152" s="125" t="s">
        <v>318</v>
      </c>
      <c r="D152" s="125" t="s">
        <v>284</v>
      </c>
      <c r="E152" s="126" t="s">
        <v>375</v>
      </c>
      <c r="F152" s="127" t="s">
        <v>376</v>
      </c>
      <c r="G152" s="128" t="s">
        <v>366</v>
      </c>
      <c r="H152" s="129">
        <v>38.378</v>
      </c>
      <c r="I152" s="130">
        <v>390.55963566140201</v>
      </c>
      <c r="J152" s="131">
        <f>ROUND(I152*H152,2)</f>
        <v>14988.9</v>
      </c>
      <c r="K152" s="127" t="s">
        <v>293</v>
      </c>
      <c r="L152" s="198">
        <f>S152</f>
        <v>0</v>
      </c>
      <c r="M152" s="206">
        <f>ROUND(L152*I152,2)</f>
        <v>0</v>
      </c>
      <c r="N152" s="211">
        <f>N142</f>
        <v>-5.7660499999999999</v>
      </c>
      <c r="O152" s="212">
        <f>ROUND(N152*I152,2)</f>
        <v>-2251.9899999999998</v>
      </c>
      <c r="P152" s="207">
        <f>H152-L152-N152</f>
        <v>44.14405</v>
      </c>
      <c r="Q152" s="228">
        <f>ROUND(P152*I152,2)</f>
        <v>17240.88</v>
      </c>
      <c r="R152" s="199"/>
      <c r="S152" s="200">
        <f>W152+Y152+AA152+AC152+AE152+AG152+AI152+AK152</f>
        <v>0</v>
      </c>
      <c r="T152" s="200">
        <f>ROUND(S152*I152,2)</f>
        <v>0</v>
      </c>
      <c r="U152" s="200">
        <f>H152-S152</f>
        <v>38.378</v>
      </c>
      <c r="V152" s="200">
        <f>ROUND(U152*I152,2)</f>
        <v>14988.9</v>
      </c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BX152" s="132" t="s">
        <v>1</v>
      </c>
      <c r="BY152" s="133" t="s">
        <v>40</v>
      </c>
      <c r="CA152" s="134">
        <f>BZ152*H152</f>
        <v>0</v>
      </c>
      <c r="CB152" s="134">
        <v>0</v>
      </c>
      <c r="CC152" s="134">
        <f>CB152*H152</f>
        <v>0</v>
      </c>
      <c r="CD152" s="134">
        <v>0</v>
      </c>
      <c r="CE152" s="135">
        <f>CD152*H152</f>
        <v>0</v>
      </c>
      <c r="DC152" s="136" t="s">
        <v>95</v>
      </c>
      <c r="DE152" s="136" t="s">
        <v>284</v>
      </c>
      <c r="DF152" s="136" t="s">
        <v>83</v>
      </c>
      <c r="DJ152" s="16" t="s">
        <v>282</v>
      </c>
      <c r="DP152" s="137">
        <f>IF(BY152="základní",J152,0)</f>
        <v>14988.9</v>
      </c>
      <c r="DQ152" s="137">
        <f>IF(BY152="snížená",J152,0)</f>
        <v>0</v>
      </c>
      <c r="DR152" s="137">
        <f>IF(BY152="zákl. přenesená",J152,0)</f>
        <v>0</v>
      </c>
      <c r="DS152" s="137">
        <f>IF(BY152="sníž. přenesená",J152,0)</f>
        <v>0</v>
      </c>
      <c r="DT152" s="137">
        <f>IF(BY152="nulová",J152,0)</f>
        <v>0</v>
      </c>
      <c r="DU152" s="16" t="s">
        <v>81</v>
      </c>
      <c r="DV152" s="137">
        <f>ROUND(I152*H152,2)</f>
        <v>14988.9</v>
      </c>
      <c r="DW152" s="16" t="s">
        <v>95</v>
      </c>
      <c r="DX152" s="136" t="s">
        <v>377</v>
      </c>
    </row>
    <row r="153" spans="2:128" s="1" customFormat="1" ht="39" x14ac:dyDescent="0.2">
      <c r="B153" s="31"/>
      <c r="D153" s="138" t="s">
        <v>289</v>
      </c>
      <c r="F153" s="139" t="s">
        <v>378</v>
      </c>
      <c r="I153" s="140"/>
      <c r="L153" s="31"/>
      <c r="N153" s="213"/>
      <c r="O153" s="214"/>
      <c r="Q153" s="229"/>
      <c r="BX153" s="141"/>
      <c r="CE153" s="50"/>
      <c r="DE153" s="16" t="s">
        <v>289</v>
      </c>
      <c r="DF153" s="16" t="s">
        <v>83</v>
      </c>
    </row>
    <row r="154" spans="2:128" s="1" customFormat="1" ht="39" x14ac:dyDescent="0.2">
      <c r="B154" s="31"/>
      <c r="D154" s="138" t="s">
        <v>299</v>
      </c>
      <c r="F154" s="142" t="s">
        <v>1090</v>
      </c>
      <c r="I154" s="140"/>
      <c r="L154" s="31"/>
      <c r="N154" s="213"/>
      <c r="O154" s="214"/>
      <c r="Q154" s="229"/>
      <c r="BX154" s="141"/>
      <c r="CE154" s="50"/>
      <c r="DE154" s="16" t="s">
        <v>299</v>
      </c>
      <c r="DF154" s="16" t="s">
        <v>83</v>
      </c>
    </row>
    <row r="155" spans="2:128" s="1" customFormat="1" ht="24.2" customHeight="1" x14ac:dyDescent="0.2">
      <c r="B155" s="124"/>
      <c r="C155" s="125" t="s">
        <v>323</v>
      </c>
      <c r="D155" s="125" t="s">
        <v>284</v>
      </c>
      <c r="E155" s="126" t="s">
        <v>380</v>
      </c>
      <c r="F155" s="127" t="s">
        <v>381</v>
      </c>
      <c r="G155" s="128" t="s">
        <v>366</v>
      </c>
      <c r="H155" s="129">
        <v>7.6760000000000002</v>
      </c>
      <c r="I155" s="130">
        <v>650.27058629099099</v>
      </c>
      <c r="J155" s="131">
        <f>ROUND(I155*H155,2)</f>
        <v>4991.4799999999996</v>
      </c>
      <c r="K155" s="127" t="s">
        <v>293</v>
      </c>
      <c r="L155" s="198">
        <f>S155</f>
        <v>0</v>
      </c>
      <c r="M155" s="206">
        <f>ROUND(L155*I155,2)</f>
        <v>0</v>
      </c>
      <c r="N155" s="211">
        <f>N159</f>
        <v>-1.1535999999999991</v>
      </c>
      <c r="O155" s="212">
        <f>ROUND(N155*I155,2)</f>
        <v>-750.15</v>
      </c>
      <c r="P155" s="207">
        <f>H155-L155-N155</f>
        <v>8.8295999999999992</v>
      </c>
      <c r="Q155" s="228">
        <f>ROUND(P155*I155,2)</f>
        <v>5741.63</v>
      </c>
      <c r="R155" s="199"/>
      <c r="S155" s="200">
        <f>W155+Y155+AA155+AC155+AE155+AG155+AI155+AK155</f>
        <v>0</v>
      </c>
      <c r="T155" s="200">
        <f>ROUND(S155*I155,2)</f>
        <v>0</v>
      </c>
      <c r="U155" s="200">
        <f>H155-S155</f>
        <v>7.6760000000000002</v>
      </c>
      <c r="V155" s="200">
        <f>ROUND(U155*I155,2)</f>
        <v>4991.4799999999996</v>
      </c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BX155" s="132" t="s">
        <v>1</v>
      </c>
      <c r="BY155" s="133" t="s">
        <v>40</v>
      </c>
      <c r="CA155" s="134">
        <f>BZ155*H155</f>
        <v>0</v>
      </c>
      <c r="CB155" s="134">
        <v>0</v>
      </c>
      <c r="CC155" s="134">
        <f>CB155*H155</f>
        <v>0</v>
      </c>
      <c r="CD155" s="134">
        <v>0</v>
      </c>
      <c r="CE155" s="135">
        <f>CD155*H155</f>
        <v>0</v>
      </c>
      <c r="DC155" s="136" t="s">
        <v>95</v>
      </c>
      <c r="DE155" s="136" t="s">
        <v>284</v>
      </c>
      <c r="DF155" s="136" t="s">
        <v>83</v>
      </c>
      <c r="DJ155" s="16" t="s">
        <v>282</v>
      </c>
      <c r="DP155" s="137">
        <f>IF(BY155="základní",J155,0)</f>
        <v>4991.4799999999996</v>
      </c>
      <c r="DQ155" s="137">
        <f>IF(BY155="snížená",J155,0)</f>
        <v>0</v>
      </c>
      <c r="DR155" s="137">
        <f>IF(BY155="zákl. přenesená",J155,0)</f>
        <v>0</v>
      </c>
      <c r="DS155" s="137">
        <f>IF(BY155="sníž. přenesená",J155,0)</f>
        <v>0</v>
      </c>
      <c r="DT155" s="137">
        <f>IF(BY155="nulová",J155,0)</f>
        <v>0</v>
      </c>
      <c r="DU155" s="16" t="s">
        <v>81</v>
      </c>
      <c r="DV155" s="137">
        <f>ROUND(I155*H155,2)</f>
        <v>4991.4799999999996</v>
      </c>
      <c r="DW155" s="16" t="s">
        <v>95</v>
      </c>
      <c r="DX155" s="136" t="s">
        <v>382</v>
      </c>
    </row>
    <row r="156" spans="2:128" s="1" customFormat="1" ht="29.25" x14ac:dyDescent="0.2">
      <c r="B156" s="31"/>
      <c r="D156" s="138" t="s">
        <v>289</v>
      </c>
      <c r="F156" s="139" t="s">
        <v>383</v>
      </c>
      <c r="I156" s="140"/>
      <c r="L156" s="31"/>
      <c r="N156" s="213"/>
      <c r="O156" s="214"/>
      <c r="Q156" s="229"/>
      <c r="BX156" s="141"/>
      <c r="CE156" s="50"/>
      <c r="DE156" s="16" t="s">
        <v>289</v>
      </c>
      <c r="DF156" s="16" t="s">
        <v>83</v>
      </c>
    </row>
    <row r="157" spans="2:128" s="11" customFormat="1" x14ac:dyDescent="0.2">
      <c r="B157" s="143"/>
      <c r="D157" s="138" t="s">
        <v>301</v>
      </c>
      <c r="E157" s="144" t="s">
        <v>1</v>
      </c>
      <c r="F157" s="145" t="s">
        <v>384</v>
      </c>
      <c r="H157" s="144" t="s">
        <v>1</v>
      </c>
      <c r="I157" s="146"/>
      <c r="L157" s="143"/>
      <c r="N157" s="215"/>
      <c r="O157" s="216"/>
      <c r="Q157" s="230"/>
      <c r="BX157" s="147"/>
      <c r="CE157" s="148"/>
      <c r="DE157" s="144" t="s">
        <v>301</v>
      </c>
      <c r="DF157" s="144" t="s">
        <v>83</v>
      </c>
      <c r="DG157" s="11" t="s">
        <v>81</v>
      </c>
      <c r="DH157" s="11" t="s">
        <v>32</v>
      </c>
      <c r="DI157" s="11" t="s">
        <v>74</v>
      </c>
      <c r="DJ157" s="144" t="s">
        <v>282</v>
      </c>
    </row>
    <row r="158" spans="2:128" s="12" customFormat="1" x14ac:dyDescent="0.2">
      <c r="B158" s="149"/>
      <c r="D158" s="138" t="s">
        <v>301</v>
      </c>
      <c r="E158" s="150" t="s">
        <v>1</v>
      </c>
      <c r="F158" s="151" t="s">
        <v>1204</v>
      </c>
      <c r="H158" s="152">
        <v>7.6760000000000002</v>
      </c>
      <c r="I158" s="153"/>
      <c r="L158" s="149"/>
      <c r="N158" s="217">
        <f>32.612*0.2</f>
        <v>6.5224000000000011</v>
      </c>
      <c r="O158" s="218" t="s">
        <v>3658</v>
      </c>
      <c r="Q158" s="231"/>
      <c r="BX158" s="154"/>
      <c r="CE158" s="155"/>
      <c r="DE158" s="150" t="s">
        <v>301</v>
      </c>
      <c r="DF158" s="150" t="s">
        <v>83</v>
      </c>
      <c r="DG158" s="12" t="s">
        <v>83</v>
      </c>
      <c r="DH158" s="12" t="s">
        <v>32</v>
      </c>
      <c r="DI158" s="12" t="s">
        <v>81</v>
      </c>
      <c r="DJ158" s="150" t="s">
        <v>282</v>
      </c>
    </row>
    <row r="159" spans="2:128" s="12" customFormat="1" x14ac:dyDescent="0.2">
      <c r="B159" s="149"/>
      <c r="D159" s="138"/>
      <c r="E159" s="150"/>
      <c r="F159" s="151"/>
      <c r="H159" s="152"/>
      <c r="I159" s="153"/>
      <c r="L159" s="149"/>
      <c r="N159" s="310">
        <f>N158-H158</f>
        <v>-1.1535999999999991</v>
      </c>
      <c r="O159" s="218"/>
      <c r="Q159" s="231"/>
      <c r="BX159" s="154"/>
      <c r="CE159" s="155"/>
      <c r="DE159" s="150"/>
      <c r="DF159" s="150"/>
      <c r="DJ159" s="150"/>
    </row>
    <row r="160" spans="2:128" s="1" customFormat="1" ht="21.75" customHeight="1" x14ac:dyDescent="0.2">
      <c r="B160" s="124"/>
      <c r="C160" s="125" t="s">
        <v>328</v>
      </c>
      <c r="D160" s="125" t="s">
        <v>284</v>
      </c>
      <c r="E160" s="126" t="s">
        <v>387</v>
      </c>
      <c r="F160" s="127" t="s">
        <v>388</v>
      </c>
      <c r="G160" s="128" t="s">
        <v>287</v>
      </c>
      <c r="H160" s="129">
        <v>189.2</v>
      </c>
      <c r="I160" s="130">
        <v>156.6895922457376</v>
      </c>
      <c r="J160" s="131">
        <f>ROUND(I160*H160,2)</f>
        <v>29645.67</v>
      </c>
      <c r="K160" s="127" t="s">
        <v>293</v>
      </c>
      <c r="L160" s="198">
        <f>S160</f>
        <v>0</v>
      </c>
      <c r="M160" s="206">
        <f>ROUND(L160*I160,2)</f>
        <v>0</v>
      </c>
      <c r="N160" s="211">
        <f>N164</f>
        <v>-28.423999999999978</v>
      </c>
      <c r="O160" s="212">
        <f>ROUND(N160*I160,2)</f>
        <v>-4453.74</v>
      </c>
      <c r="P160" s="207">
        <f>H160-L160-N160</f>
        <v>217.62399999999997</v>
      </c>
      <c r="Q160" s="228">
        <f>ROUND(P160*I160,2)</f>
        <v>34099.42</v>
      </c>
      <c r="R160" s="199"/>
      <c r="S160" s="200">
        <f>W160+Y160+AA160+AC160+AE160+AG160+AI160+AK160</f>
        <v>0</v>
      </c>
      <c r="T160" s="200">
        <f>ROUND(S160*I160,2)</f>
        <v>0</v>
      </c>
      <c r="U160" s="200">
        <f>H160-S160</f>
        <v>189.2</v>
      </c>
      <c r="V160" s="200">
        <f>ROUND(U160*I160,2)</f>
        <v>29645.67</v>
      </c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BX160" s="132" t="s">
        <v>1</v>
      </c>
      <c r="BY160" s="133" t="s">
        <v>40</v>
      </c>
      <c r="CA160" s="134">
        <f>BZ160*H160</f>
        <v>0</v>
      </c>
      <c r="CB160" s="134">
        <v>5.9000000000000003E-4</v>
      </c>
      <c r="CC160" s="134">
        <f>CB160*H160</f>
        <v>0.111628</v>
      </c>
      <c r="CD160" s="134">
        <v>0</v>
      </c>
      <c r="CE160" s="135">
        <f>CD160*H160</f>
        <v>0</v>
      </c>
      <c r="DC160" s="136" t="s">
        <v>95</v>
      </c>
      <c r="DE160" s="136" t="s">
        <v>284</v>
      </c>
      <c r="DF160" s="136" t="s">
        <v>83</v>
      </c>
      <c r="DJ160" s="16" t="s">
        <v>282</v>
      </c>
      <c r="DP160" s="137">
        <f>IF(BY160="základní",J160,0)</f>
        <v>29645.67</v>
      </c>
      <c r="DQ160" s="137">
        <f>IF(BY160="snížená",J160,0)</f>
        <v>0</v>
      </c>
      <c r="DR160" s="137">
        <f>IF(BY160="zákl. přenesená",J160,0)</f>
        <v>0</v>
      </c>
      <c r="DS160" s="137">
        <f>IF(BY160="sníž. přenesená",J160,0)</f>
        <v>0</v>
      </c>
      <c r="DT160" s="137">
        <f>IF(BY160="nulová",J160,0)</f>
        <v>0</v>
      </c>
      <c r="DU160" s="16" t="s">
        <v>81</v>
      </c>
      <c r="DV160" s="137">
        <f>ROUND(I160*H160,2)</f>
        <v>29645.67</v>
      </c>
      <c r="DW160" s="16" t="s">
        <v>95</v>
      </c>
      <c r="DX160" s="136" t="s">
        <v>389</v>
      </c>
    </row>
    <row r="161" spans="2:128" s="1" customFormat="1" ht="19.5" x14ac:dyDescent="0.2">
      <c r="B161" s="31"/>
      <c r="D161" s="138" t="s">
        <v>289</v>
      </c>
      <c r="F161" s="139" t="s">
        <v>390</v>
      </c>
      <c r="I161" s="140"/>
      <c r="L161" s="31"/>
      <c r="N161" s="213"/>
      <c r="O161" s="214"/>
      <c r="Q161" s="229"/>
      <c r="BX161" s="141"/>
      <c r="CE161" s="50"/>
      <c r="DE161" s="16" t="s">
        <v>289</v>
      </c>
      <c r="DF161" s="16" t="s">
        <v>83</v>
      </c>
    </row>
    <row r="162" spans="2:128" s="1" customFormat="1" ht="29.25" x14ac:dyDescent="0.2">
      <c r="B162" s="31"/>
      <c r="D162" s="138" t="s">
        <v>299</v>
      </c>
      <c r="F162" s="142" t="s">
        <v>1083</v>
      </c>
      <c r="I162" s="140"/>
      <c r="L162" s="31"/>
      <c r="N162" s="213"/>
      <c r="O162" s="214"/>
      <c r="Q162" s="229"/>
      <c r="BX162" s="141"/>
      <c r="CE162" s="50"/>
      <c r="DE162" s="16" t="s">
        <v>299</v>
      </c>
      <c r="DF162" s="16" t="s">
        <v>83</v>
      </c>
    </row>
    <row r="163" spans="2:128" s="12" customFormat="1" x14ac:dyDescent="0.2">
      <c r="B163" s="149"/>
      <c r="D163" s="138" t="s">
        <v>301</v>
      </c>
      <c r="E163" s="150" t="s">
        <v>1</v>
      </c>
      <c r="F163" s="151" t="s">
        <v>1205</v>
      </c>
      <c r="H163" s="152">
        <v>189.2</v>
      </c>
      <c r="I163" s="153"/>
      <c r="L163" s="149"/>
      <c r="N163" s="217">
        <f>36.54*2.2*2</f>
        <v>160.77600000000001</v>
      </c>
      <c r="O163" s="218" t="s">
        <v>3659</v>
      </c>
      <c r="Q163" s="231"/>
      <c r="BX163" s="154"/>
      <c r="CE163" s="155"/>
      <c r="DE163" s="150" t="s">
        <v>301</v>
      </c>
      <c r="DF163" s="150" t="s">
        <v>83</v>
      </c>
      <c r="DG163" s="12" t="s">
        <v>83</v>
      </c>
      <c r="DH163" s="12" t="s">
        <v>32</v>
      </c>
      <c r="DI163" s="12" t="s">
        <v>81</v>
      </c>
      <c r="DJ163" s="150" t="s">
        <v>282</v>
      </c>
    </row>
    <row r="164" spans="2:128" s="12" customFormat="1" x14ac:dyDescent="0.2">
      <c r="B164" s="149"/>
      <c r="D164" s="138"/>
      <c r="E164" s="150"/>
      <c r="F164" s="151"/>
      <c r="H164" s="152"/>
      <c r="I164" s="153"/>
      <c r="L164" s="149"/>
      <c r="N164" s="310">
        <f>N163-H163</f>
        <v>-28.423999999999978</v>
      </c>
      <c r="O164" s="218"/>
      <c r="Q164" s="231"/>
      <c r="BX164" s="154"/>
      <c r="CE164" s="155"/>
      <c r="DE164" s="150"/>
      <c r="DF164" s="150"/>
      <c r="DJ164" s="150"/>
    </row>
    <row r="165" spans="2:128" s="1" customFormat="1" ht="14.45" customHeight="1" x14ac:dyDescent="0.2">
      <c r="B165" s="124"/>
      <c r="C165" s="125" t="s">
        <v>335</v>
      </c>
      <c r="D165" s="125" t="s">
        <v>284</v>
      </c>
      <c r="E165" s="126" t="s">
        <v>393</v>
      </c>
      <c r="F165" s="127" t="s">
        <v>394</v>
      </c>
      <c r="G165" s="128" t="s">
        <v>287</v>
      </c>
      <c r="H165" s="129">
        <v>189.2</v>
      </c>
      <c r="I165" s="130">
        <v>103.33666316345877</v>
      </c>
      <c r="J165" s="131">
        <f>ROUND(I165*H165,2)</f>
        <v>19551.3</v>
      </c>
      <c r="K165" s="127" t="s">
        <v>293</v>
      </c>
      <c r="L165" s="198">
        <f>S165</f>
        <v>0</v>
      </c>
      <c r="M165" s="206">
        <f>ROUND(L165*I165,2)</f>
        <v>0</v>
      </c>
      <c r="N165" s="211">
        <f>N160</f>
        <v>-28.423999999999978</v>
      </c>
      <c r="O165" s="212">
        <f>ROUND(N165*I165,2)</f>
        <v>-2937.24</v>
      </c>
      <c r="P165" s="207">
        <f>H165-L165-N165</f>
        <v>217.62399999999997</v>
      </c>
      <c r="Q165" s="228">
        <f>ROUND(P165*I165,2)</f>
        <v>22488.54</v>
      </c>
      <c r="R165" s="199"/>
      <c r="S165" s="200">
        <f>W165+Y165+AA165+AC165+AE165+AG165+AI165+AK165</f>
        <v>0</v>
      </c>
      <c r="T165" s="200">
        <f>ROUND(S165*I165,2)</f>
        <v>0</v>
      </c>
      <c r="U165" s="200">
        <f>H165-S165</f>
        <v>189.2</v>
      </c>
      <c r="V165" s="200">
        <f>ROUND(U165*I165,2)</f>
        <v>19551.3</v>
      </c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BX165" s="132" t="s">
        <v>1</v>
      </c>
      <c r="BY165" s="133" t="s">
        <v>40</v>
      </c>
      <c r="CA165" s="134">
        <f>BZ165*H165</f>
        <v>0</v>
      </c>
      <c r="CB165" s="134">
        <v>0</v>
      </c>
      <c r="CC165" s="134">
        <f>CB165*H165</f>
        <v>0</v>
      </c>
      <c r="CD165" s="134">
        <v>0</v>
      </c>
      <c r="CE165" s="135">
        <f>CD165*H165</f>
        <v>0</v>
      </c>
      <c r="DC165" s="136" t="s">
        <v>95</v>
      </c>
      <c r="DE165" s="136" t="s">
        <v>284</v>
      </c>
      <c r="DF165" s="136" t="s">
        <v>83</v>
      </c>
      <c r="DJ165" s="16" t="s">
        <v>282</v>
      </c>
      <c r="DP165" s="137">
        <f>IF(BY165="základní",J165,0)</f>
        <v>19551.3</v>
      </c>
      <c r="DQ165" s="137">
        <f>IF(BY165="snížená",J165,0)</f>
        <v>0</v>
      </c>
      <c r="DR165" s="137">
        <f>IF(BY165="zákl. přenesená",J165,0)</f>
        <v>0</v>
      </c>
      <c r="DS165" s="137">
        <f>IF(BY165="sníž. přenesená",J165,0)</f>
        <v>0</v>
      </c>
      <c r="DT165" s="137">
        <f>IF(BY165="nulová",J165,0)</f>
        <v>0</v>
      </c>
      <c r="DU165" s="16" t="s">
        <v>81</v>
      </c>
      <c r="DV165" s="137">
        <f>ROUND(I165*H165,2)</f>
        <v>19551.3</v>
      </c>
      <c r="DW165" s="16" t="s">
        <v>95</v>
      </c>
      <c r="DX165" s="136" t="s">
        <v>395</v>
      </c>
    </row>
    <row r="166" spans="2:128" s="1" customFormat="1" ht="19.5" x14ac:dyDescent="0.2">
      <c r="B166" s="31"/>
      <c r="D166" s="138" t="s">
        <v>289</v>
      </c>
      <c r="F166" s="139" t="s">
        <v>396</v>
      </c>
      <c r="I166" s="140"/>
      <c r="L166" s="31"/>
      <c r="N166" s="213"/>
      <c r="O166" s="214"/>
      <c r="Q166" s="229"/>
      <c r="BX166" s="141"/>
      <c r="CE166" s="50"/>
      <c r="DE166" s="16" t="s">
        <v>289</v>
      </c>
      <c r="DF166" s="16" t="s">
        <v>83</v>
      </c>
    </row>
    <row r="167" spans="2:128" s="1" customFormat="1" ht="37.9" customHeight="1" x14ac:dyDescent="0.2">
      <c r="B167" s="124"/>
      <c r="C167" s="125" t="s">
        <v>341</v>
      </c>
      <c r="D167" s="125" t="s">
        <v>284</v>
      </c>
      <c r="E167" s="126" t="s">
        <v>398</v>
      </c>
      <c r="F167" s="127" t="s">
        <v>399</v>
      </c>
      <c r="G167" s="128" t="s">
        <v>366</v>
      </c>
      <c r="H167" s="129">
        <v>78.046000000000006</v>
      </c>
      <c r="I167" s="130">
        <v>262.06861194786097</v>
      </c>
      <c r="J167" s="131">
        <f>ROUND(I167*H167,2)</f>
        <v>20453.41</v>
      </c>
      <c r="K167" s="127" t="s">
        <v>293</v>
      </c>
      <c r="L167" s="198">
        <f>S167</f>
        <v>0</v>
      </c>
      <c r="M167" s="206">
        <f>ROUND(L167*I167,2)</f>
        <v>0</v>
      </c>
      <c r="N167" s="211">
        <f>N174</f>
        <v>-11.725800000000007</v>
      </c>
      <c r="O167" s="212">
        <f>ROUND(N167*I167,2)</f>
        <v>-3072.96</v>
      </c>
      <c r="P167" s="207">
        <f>H167-L167-N167</f>
        <v>89.771800000000013</v>
      </c>
      <c r="Q167" s="228">
        <f>ROUND(P167*I167,2)</f>
        <v>23526.37</v>
      </c>
      <c r="R167" s="199"/>
      <c r="S167" s="200">
        <f>W167+Y167+AA167+AC167+AE167+AG167+AI167+AK167</f>
        <v>0</v>
      </c>
      <c r="T167" s="200">
        <f>ROUND(S167*I167,2)</f>
        <v>0</v>
      </c>
      <c r="U167" s="200">
        <f>H167-S167</f>
        <v>78.046000000000006</v>
      </c>
      <c r="V167" s="200">
        <f>ROUND(U167*I167,2)</f>
        <v>20453.41</v>
      </c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BX167" s="132" t="s">
        <v>1</v>
      </c>
      <c r="BY167" s="133" t="s">
        <v>40</v>
      </c>
      <c r="CA167" s="134">
        <f>BZ167*H167</f>
        <v>0</v>
      </c>
      <c r="CB167" s="134">
        <v>0</v>
      </c>
      <c r="CC167" s="134">
        <f>CB167*H167</f>
        <v>0</v>
      </c>
      <c r="CD167" s="134">
        <v>0</v>
      </c>
      <c r="CE167" s="135">
        <f>CD167*H167</f>
        <v>0</v>
      </c>
      <c r="DC167" s="136" t="s">
        <v>95</v>
      </c>
      <c r="DE167" s="136" t="s">
        <v>284</v>
      </c>
      <c r="DF167" s="136" t="s">
        <v>83</v>
      </c>
      <c r="DJ167" s="16" t="s">
        <v>282</v>
      </c>
      <c r="DP167" s="137">
        <f>IF(BY167="základní",J167,0)</f>
        <v>20453.41</v>
      </c>
      <c r="DQ167" s="137">
        <f>IF(BY167="snížená",J167,0)</f>
        <v>0</v>
      </c>
      <c r="DR167" s="137">
        <f>IF(BY167="zákl. přenesená",J167,0)</f>
        <v>0</v>
      </c>
      <c r="DS167" s="137">
        <f>IF(BY167="sníž. přenesená",J167,0)</f>
        <v>0</v>
      </c>
      <c r="DT167" s="137">
        <f>IF(BY167="nulová",J167,0)</f>
        <v>0</v>
      </c>
      <c r="DU167" s="16" t="s">
        <v>81</v>
      </c>
      <c r="DV167" s="137">
        <f>ROUND(I167*H167,2)</f>
        <v>20453.41</v>
      </c>
      <c r="DW167" s="16" t="s">
        <v>95</v>
      </c>
      <c r="DX167" s="136" t="s">
        <v>400</v>
      </c>
    </row>
    <row r="168" spans="2:128" s="1" customFormat="1" ht="39" x14ac:dyDescent="0.2">
      <c r="B168" s="31"/>
      <c r="D168" s="138" t="s">
        <v>289</v>
      </c>
      <c r="F168" s="139" t="s">
        <v>401</v>
      </c>
      <c r="I168" s="140"/>
      <c r="L168" s="31"/>
      <c r="N168" s="213"/>
      <c r="O168" s="214"/>
      <c r="Q168" s="229"/>
      <c r="BX168" s="141"/>
      <c r="CE168" s="50"/>
      <c r="DE168" s="16" t="s">
        <v>289</v>
      </c>
      <c r="DF168" s="16" t="s">
        <v>83</v>
      </c>
    </row>
    <row r="169" spans="2:128" s="11" customFormat="1" x14ac:dyDescent="0.2">
      <c r="B169" s="143"/>
      <c r="D169" s="138" t="s">
        <v>301</v>
      </c>
      <c r="E169" s="144" t="s">
        <v>1</v>
      </c>
      <c r="F169" s="145" t="s">
        <v>402</v>
      </c>
      <c r="H169" s="144" t="s">
        <v>1</v>
      </c>
      <c r="I169" s="146"/>
      <c r="L169" s="143"/>
      <c r="N169" s="215"/>
      <c r="O169" s="216"/>
      <c r="Q169" s="230"/>
      <c r="BX169" s="147"/>
      <c r="CE169" s="148"/>
      <c r="DE169" s="144" t="s">
        <v>301</v>
      </c>
      <c r="DF169" s="144" t="s">
        <v>83</v>
      </c>
      <c r="DG169" s="11" t="s">
        <v>81</v>
      </c>
      <c r="DH169" s="11" t="s">
        <v>32</v>
      </c>
      <c r="DI169" s="11" t="s">
        <v>74</v>
      </c>
      <c r="DJ169" s="144" t="s">
        <v>282</v>
      </c>
    </row>
    <row r="170" spans="2:128" s="12" customFormat="1" x14ac:dyDescent="0.2">
      <c r="B170" s="149"/>
      <c r="D170" s="138" t="s">
        <v>301</v>
      </c>
      <c r="E170" s="150" t="s">
        <v>1</v>
      </c>
      <c r="F170" s="151" t="s">
        <v>1206</v>
      </c>
      <c r="H170" s="152">
        <v>76.756</v>
      </c>
      <c r="I170" s="153"/>
      <c r="L170" s="149"/>
      <c r="N170" s="217">
        <f>32.612+32.612</f>
        <v>65.224000000000004</v>
      </c>
      <c r="O170" s="218" t="s">
        <v>3660</v>
      </c>
      <c r="Q170" s="231"/>
      <c r="BX170" s="154"/>
      <c r="CE170" s="155"/>
      <c r="DE170" s="150" t="s">
        <v>301</v>
      </c>
      <c r="DF170" s="150" t="s">
        <v>83</v>
      </c>
      <c r="DG170" s="12" t="s">
        <v>83</v>
      </c>
      <c r="DH170" s="12" t="s">
        <v>32</v>
      </c>
      <c r="DI170" s="12" t="s">
        <v>74</v>
      </c>
      <c r="DJ170" s="150" t="s">
        <v>282</v>
      </c>
    </row>
    <row r="171" spans="2:128" s="11" customFormat="1" x14ac:dyDescent="0.2">
      <c r="B171" s="143"/>
      <c r="D171" s="138" t="s">
        <v>301</v>
      </c>
      <c r="E171" s="144" t="s">
        <v>1</v>
      </c>
      <c r="F171" s="145" t="s">
        <v>976</v>
      </c>
      <c r="H171" s="144" t="s">
        <v>1</v>
      </c>
      <c r="I171" s="146"/>
      <c r="L171" s="143"/>
      <c r="N171" s="215"/>
      <c r="O171" s="216"/>
      <c r="Q171" s="230"/>
      <c r="BX171" s="147"/>
      <c r="CE171" s="148"/>
      <c r="DE171" s="144" t="s">
        <v>301</v>
      </c>
      <c r="DF171" s="144" t="s">
        <v>83</v>
      </c>
      <c r="DG171" s="11" t="s">
        <v>81</v>
      </c>
      <c r="DH171" s="11" t="s">
        <v>32</v>
      </c>
      <c r="DI171" s="11" t="s">
        <v>74</v>
      </c>
      <c r="DJ171" s="144" t="s">
        <v>282</v>
      </c>
    </row>
    <row r="172" spans="2:128" s="12" customFormat="1" x14ac:dyDescent="0.2">
      <c r="B172" s="149"/>
      <c r="D172" s="138" t="s">
        <v>301</v>
      </c>
      <c r="E172" s="150" t="s">
        <v>1</v>
      </c>
      <c r="F172" s="151" t="s">
        <v>1207</v>
      </c>
      <c r="H172" s="152">
        <v>1.29</v>
      </c>
      <c r="I172" s="153"/>
      <c r="L172" s="149"/>
      <c r="N172" s="217">
        <f>10.962*0.1</f>
        <v>1.0962000000000001</v>
      </c>
      <c r="O172" s="218" t="s">
        <v>3661</v>
      </c>
      <c r="Q172" s="231"/>
      <c r="BX172" s="154"/>
      <c r="CE172" s="155"/>
      <c r="DE172" s="150" t="s">
        <v>301</v>
      </c>
      <c r="DF172" s="150" t="s">
        <v>83</v>
      </c>
      <c r="DG172" s="12" t="s">
        <v>83</v>
      </c>
      <c r="DH172" s="12" t="s">
        <v>32</v>
      </c>
      <c r="DI172" s="12" t="s">
        <v>74</v>
      </c>
      <c r="DJ172" s="150" t="s">
        <v>282</v>
      </c>
    </row>
    <row r="173" spans="2:128" s="13" customFormat="1" x14ac:dyDescent="0.2">
      <c r="B173" s="156"/>
      <c r="D173" s="138" t="s">
        <v>301</v>
      </c>
      <c r="E173" s="157" t="s">
        <v>1</v>
      </c>
      <c r="F173" s="158" t="s">
        <v>305</v>
      </c>
      <c r="H173" s="159">
        <v>78.046000000000006</v>
      </c>
      <c r="I173" s="160"/>
      <c r="L173" s="156"/>
      <c r="N173" s="219">
        <f>N170+N172</f>
        <v>66.3202</v>
      </c>
      <c r="O173" s="220"/>
      <c r="Q173" s="232"/>
      <c r="BX173" s="161"/>
      <c r="CE173" s="162"/>
      <c r="DE173" s="157" t="s">
        <v>301</v>
      </c>
      <c r="DF173" s="157" t="s">
        <v>83</v>
      </c>
      <c r="DG173" s="13" t="s">
        <v>95</v>
      </c>
      <c r="DH173" s="13" t="s">
        <v>32</v>
      </c>
      <c r="DI173" s="13" t="s">
        <v>81</v>
      </c>
      <c r="DJ173" s="157" t="s">
        <v>282</v>
      </c>
    </row>
    <row r="174" spans="2:128" s="13" customFormat="1" x14ac:dyDescent="0.2">
      <c r="B174" s="156"/>
      <c r="D174" s="138"/>
      <c r="E174" s="157"/>
      <c r="F174" s="158"/>
      <c r="H174" s="159"/>
      <c r="I174" s="160"/>
      <c r="L174" s="156"/>
      <c r="N174" s="311">
        <f>N173-H173</f>
        <v>-11.725800000000007</v>
      </c>
      <c r="O174" s="220"/>
      <c r="Q174" s="232"/>
      <c r="BX174" s="161"/>
      <c r="CE174" s="162"/>
      <c r="DE174" s="157"/>
      <c r="DF174" s="157"/>
      <c r="DJ174" s="157"/>
    </row>
    <row r="175" spans="2:128" s="1" customFormat="1" ht="37.9" customHeight="1" x14ac:dyDescent="0.2">
      <c r="B175" s="124"/>
      <c r="C175" s="125" t="s">
        <v>348</v>
      </c>
      <c r="D175" s="125" t="s">
        <v>284</v>
      </c>
      <c r="E175" s="126" t="s">
        <v>978</v>
      </c>
      <c r="F175" s="127" t="s">
        <v>979</v>
      </c>
      <c r="G175" s="128" t="s">
        <v>366</v>
      </c>
      <c r="H175" s="129">
        <v>7.9550000000000001</v>
      </c>
      <c r="I175" s="130">
        <v>282.06861194786097</v>
      </c>
      <c r="J175" s="131">
        <f>ROUND(I175*H175,2)</f>
        <v>2243.86</v>
      </c>
      <c r="K175" s="127" t="s">
        <v>1</v>
      </c>
      <c r="L175" s="198">
        <f>S175</f>
        <v>0</v>
      </c>
      <c r="M175" s="206">
        <f>ROUND(L175*I175,2)</f>
        <v>0</v>
      </c>
      <c r="N175" s="211">
        <f>N193</f>
        <v>-1.1951000000000001</v>
      </c>
      <c r="O175" s="212">
        <f>ROUND(N175*I175,2)</f>
        <v>-337.1</v>
      </c>
      <c r="P175" s="207">
        <f>H175-L175-N175</f>
        <v>9.1501000000000001</v>
      </c>
      <c r="Q175" s="228">
        <f>ROUND(P175*I175,2)</f>
        <v>2580.96</v>
      </c>
      <c r="R175" s="199"/>
      <c r="S175" s="200">
        <f>W175+Y175+AA175+AC175+AE175+AG175+AI175+AK175</f>
        <v>0</v>
      </c>
      <c r="T175" s="200">
        <f>ROUND(S175*I175,2)</f>
        <v>0</v>
      </c>
      <c r="U175" s="200">
        <f>H175-S175</f>
        <v>7.9550000000000001</v>
      </c>
      <c r="V175" s="200">
        <f>ROUND(U175*I175,2)</f>
        <v>2243.86</v>
      </c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BX175" s="132" t="s">
        <v>1</v>
      </c>
      <c r="BY175" s="133" t="s">
        <v>40</v>
      </c>
      <c r="CA175" s="134">
        <f>BZ175*H175</f>
        <v>0</v>
      </c>
      <c r="CB175" s="134">
        <v>0</v>
      </c>
      <c r="CC175" s="134">
        <f>CB175*H175</f>
        <v>0</v>
      </c>
      <c r="CD175" s="134">
        <v>0</v>
      </c>
      <c r="CE175" s="135">
        <f>CD175*H175</f>
        <v>0</v>
      </c>
      <c r="DC175" s="136" t="s">
        <v>95</v>
      </c>
      <c r="DE175" s="136" t="s">
        <v>284</v>
      </c>
      <c r="DF175" s="136" t="s">
        <v>83</v>
      </c>
      <c r="DJ175" s="16" t="s">
        <v>282</v>
      </c>
      <c r="DP175" s="137">
        <f>IF(BY175="základní",J175,0)</f>
        <v>2243.86</v>
      </c>
      <c r="DQ175" s="137">
        <f>IF(BY175="snížená",J175,0)</f>
        <v>0</v>
      </c>
      <c r="DR175" s="137">
        <f>IF(BY175="zákl. přenesená",J175,0)</f>
        <v>0</v>
      </c>
      <c r="DS175" s="137">
        <f>IF(BY175="sníž. přenesená",J175,0)</f>
        <v>0</v>
      </c>
      <c r="DT175" s="137">
        <f>IF(BY175="nulová",J175,0)</f>
        <v>0</v>
      </c>
      <c r="DU175" s="16" t="s">
        <v>81</v>
      </c>
      <c r="DV175" s="137">
        <f>ROUND(I175*H175,2)</f>
        <v>2243.86</v>
      </c>
      <c r="DW175" s="16" t="s">
        <v>95</v>
      </c>
      <c r="DX175" s="136" t="s">
        <v>980</v>
      </c>
    </row>
    <row r="176" spans="2:128" s="1" customFormat="1" ht="39" x14ac:dyDescent="0.2">
      <c r="B176" s="31"/>
      <c r="D176" s="138" t="s">
        <v>289</v>
      </c>
      <c r="F176" s="139" t="s">
        <v>401</v>
      </c>
      <c r="I176" s="140"/>
      <c r="L176" s="31"/>
      <c r="N176" s="213"/>
      <c r="O176" s="214"/>
      <c r="Q176" s="229"/>
      <c r="BX176" s="141"/>
      <c r="CE176" s="50"/>
      <c r="DE176" s="16" t="s">
        <v>289</v>
      </c>
      <c r="DF176" s="16" t="s">
        <v>83</v>
      </c>
    </row>
    <row r="177" spans="2:128" s="1" customFormat="1" ht="37.9" customHeight="1" x14ac:dyDescent="0.2">
      <c r="B177" s="124"/>
      <c r="C177" s="125" t="s">
        <v>327</v>
      </c>
      <c r="D177" s="125" t="s">
        <v>284</v>
      </c>
      <c r="E177" s="126" t="s">
        <v>405</v>
      </c>
      <c r="F177" s="127" t="s">
        <v>406</v>
      </c>
      <c r="G177" s="128" t="s">
        <v>366</v>
      </c>
      <c r="H177" s="129">
        <v>390.23</v>
      </c>
      <c r="I177" s="130">
        <v>3.4208109177592001</v>
      </c>
      <c r="J177" s="131">
        <f>ROUND(I177*H177,2)</f>
        <v>1334.9</v>
      </c>
      <c r="K177" s="127" t="s">
        <v>293</v>
      </c>
      <c r="L177" s="198">
        <f>S177</f>
        <v>0</v>
      </c>
      <c r="M177" s="206">
        <f>ROUND(L177*I177,2)</f>
        <v>0</v>
      </c>
      <c r="N177" s="211">
        <f>N180</f>
        <v>-58.630000000000052</v>
      </c>
      <c r="O177" s="212">
        <f>ROUND(N177*I177,2)</f>
        <v>-200.56</v>
      </c>
      <c r="P177" s="207">
        <f>H177-L177-N177</f>
        <v>448.86000000000007</v>
      </c>
      <c r="Q177" s="228">
        <f>ROUND(P177*I177,2)</f>
        <v>1535.47</v>
      </c>
      <c r="R177" s="199"/>
      <c r="S177" s="200">
        <f>W177+Y177+AA177+AC177+AE177+AG177+AI177+AK177</f>
        <v>0</v>
      </c>
      <c r="T177" s="200">
        <f>ROUND(S177*I177,2)</f>
        <v>0</v>
      </c>
      <c r="U177" s="200">
        <f>H177-S177</f>
        <v>390.23</v>
      </c>
      <c r="V177" s="200">
        <f>ROUND(U177*I177,2)</f>
        <v>1334.9</v>
      </c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BX177" s="132" t="s">
        <v>1</v>
      </c>
      <c r="BY177" s="133" t="s">
        <v>40</v>
      </c>
      <c r="CA177" s="134">
        <f>BZ177*H177</f>
        <v>0</v>
      </c>
      <c r="CB177" s="134">
        <v>0</v>
      </c>
      <c r="CC177" s="134">
        <f>CB177*H177</f>
        <v>0</v>
      </c>
      <c r="CD177" s="134">
        <v>0</v>
      </c>
      <c r="CE177" s="135">
        <f>CD177*H177</f>
        <v>0</v>
      </c>
      <c r="DC177" s="136" t="s">
        <v>95</v>
      </c>
      <c r="DE177" s="136" t="s">
        <v>284</v>
      </c>
      <c r="DF177" s="136" t="s">
        <v>83</v>
      </c>
      <c r="DJ177" s="16" t="s">
        <v>282</v>
      </c>
      <c r="DP177" s="137">
        <f>IF(BY177="základní",J177,0)</f>
        <v>1334.9</v>
      </c>
      <c r="DQ177" s="137">
        <f>IF(BY177="snížená",J177,0)</f>
        <v>0</v>
      </c>
      <c r="DR177" s="137">
        <f>IF(BY177="zákl. přenesená",J177,0)</f>
        <v>0</v>
      </c>
      <c r="DS177" s="137">
        <f>IF(BY177="sníž. přenesená",J177,0)</f>
        <v>0</v>
      </c>
      <c r="DT177" s="137">
        <f>IF(BY177="nulová",J177,0)</f>
        <v>0</v>
      </c>
      <c r="DU177" s="16" t="s">
        <v>81</v>
      </c>
      <c r="DV177" s="137">
        <f>ROUND(I177*H177,2)</f>
        <v>1334.9</v>
      </c>
      <c r="DW177" s="16" t="s">
        <v>95</v>
      </c>
      <c r="DX177" s="136" t="s">
        <v>407</v>
      </c>
    </row>
    <row r="178" spans="2:128" s="1" customFormat="1" ht="48.75" x14ac:dyDescent="0.2">
      <c r="B178" s="31"/>
      <c r="D178" s="138" t="s">
        <v>289</v>
      </c>
      <c r="F178" s="139" t="s">
        <v>408</v>
      </c>
      <c r="I178" s="140"/>
      <c r="L178" s="31"/>
      <c r="N178" s="213"/>
      <c r="O178" s="214"/>
      <c r="Q178" s="229"/>
      <c r="BX178" s="141"/>
      <c r="CE178" s="50"/>
      <c r="DE178" s="16" t="s">
        <v>289</v>
      </c>
      <c r="DF178" s="16" t="s">
        <v>83</v>
      </c>
    </row>
    <row r="179" spans="2:128" s="12" customFormat="1" x14ac:dyDescent="0.2">
      <c r="B179" s="149"/>
      <c r="D179" s="138" t="s">
        <v>301</v>
      </c>
      <c r="F179" s="151" t="s">
        <v>1208</v>
      </c>
      <c r="H179" s="152">
        <v>390.23</v>
      </c>
      <c r="I179" s="153"/>
      <c r="L179" s="149"/>
      <c r="N179" s="217">
        <f>66.32*5</f>
        <v>331.59999999999997</v>
      </c>
      <c r="O179" s="218" t="s">
        <v>3662</v>
      </c>
      <c r="Q179" s="231"/>
      <c r="BX179" s="154"/>
      <c r="CE179" s="155"/>
      <c r="DE179" s="150" t="s">
        <v>301</v>
      </c>
      <c r="DF179" s="150" t="s">
        <v>83</v>
      </c>
      <c r="DG179" s="12" t="s">
        <v>83</v>
      </c>
      <c r="DH179" s="12" t="s">
        <v>3</v>
      </c>
      <c r="DI179" s="12" t="s">
        <v>81</v>
      </c>
      <c r="DJ179" s="150" t="s">
        <v>282</v>
      </c>
    </row>
    <row r="180" spans="2:128" s="12" customFormat="1" x14ac:dyDescent="0.2">
      <c r="B180" s="149"/>
      <c r="D180" s="138"/>
      <c r="F180" s="151"/>
      <c r="H180" s="152"/>
      <c r="I180" s="153"/>
      <c r="L180" s="149"/>
      <c r="N180" s="310">
        <f>N179-H179</f>
        <v>-58.630000000000052</v>
      </c>
      <c r="O180" s="218"/>
      <c r="Q180" s="231"/>
      <c r="BX180" s="154"/>
      <c r="CE180" s="155"/>
      <c r="DE180" s="150"/>
      <c r="DF180" s="150"/>
      <c r="DJ180" s="150"/>
    </row>
    <row r="181" spans="2:128" s="1" customFormat="1" ht="37.9" customHeight="1" x14ac:dyDescent="0.2">
      <c r="B181" s="124"/>
      <c r="C181" s="125" t="s">
        <v>359</v>
      </c>
      <c r="D181" s="125" t="s">
        <v>284</v>
      </c>
      <c r="E181" s="126" t="s">
        <v>982</v>
      </c>
      <c r="F181" s="127" t="s">
        <v>983</v>
      </c>
      <c r="G181" s="128" t="s">
        <v>366</v>
      </c>
      <c r="H181" s="129">
        <v>39.774999999999999</v>
      </c>
      <c r="I181" s="130">
        <v>3.4208109177592001</v>
      </c>
      <c r="J181" s="131">
        <f>ROUND(I181*H181,2)</f>
        <v>136.06</v>
      </c>
      <c r="K181" s="127" t="s">
        <v>1</v>
      </c>
      <c r="L181" s="198">
        <f>S181</f>
        <v>0</v>
      </c>
      <c r="M181" s="206">
        <f>ROUND(L181*I181,2)</f>
        <v>0</v>
      </c>
      <c r="N181" s="211"/>
      <c r="O181" s="212">
        <f>ROUND(N181*I181,2)</f>
        <v>0</v>
      </c>
      <c r="P181" s="207">
        <f>H181-L181-N181</f>
        <v>39.774999999999999</v>
      </c>
      <c r="Q181" s="228">
        <f>ROUND(P181*I181,2)</f>
        <v>136.06</v>
      </c>
      <c r="R181" s="199"/>
      <c r="S181" s="200">
        <f>W181+Y181+AA181+AC181+AE181+AG181+AI181+AK181</f>
        <v>0</v>
      </c>
      <c r="T181" s="200">
        <f>ROUND(S181*I181,2)</f>
        <v>0</v>
      </c>
      <c r="U181" s="200">
        <f>H181-S181</f>
        <v>39.774999999999999</v>
      </c>
      <c r="V181" s="200">
        <f>ROUND(U181*I181,2)</f>
        <v>136.06</v>
      </c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BX181" s="132" t="s">
        <v>1</v>
      </c>
      <c r="BY181" s="133" t="s">
        <v>40</v>
      </c>
      <c r="CA181" s="134">
        <f>BZ181*H181</f>
        <v>0</v>
      </c>
      <c r="CB181" s="134">
        <v>0</v>
      </c>
      <c r="CC181" s="134">
        <f>CB181*H181</f>
        <v>0</v>
      </c>
      <c r="CD181" s="134">
        <v>0</v>
      </c>
      <c r="CE181" s="135">
        <f>CD181*H181</f>
        <v>0</v>
      </c>
      <c r="DC181" s="136" t="s">
        <v>95</v>
      </c>
      <c r="DE181" s="136" t="s">
        <v>284</v>
      </c>
      <c r="DF181" s="136" t="s">
        <v>83</v>
      </c>
      <c r="DJ181" s="16" t="s">
        <v>282</v>
      </c>
      <c r="DP181" s="137">
        <f>IF(BY181="základní",J181,0)</f>
        <v>136.06</v>
      </c>
      <c r="DQ181" s="137">
        <f>IF(BY181="snížená",J181,0)</f>
        <v>0</v>
      </c>
      <c r="DR181" s="137">
        <f>IF(BY181="zákl. přenesená",J181,0)</f>
        <v>0</v>
      </c>
      <c r="DS181" s="137">
        <f>IF(BY181="sníž. přenesená",J181,0)</f>
        <v>0</v>
      </c>
      <c r="DT181" s="137">
        <f>IF(BY181="nulová",J181,0)</f>
        <v>0</v>
      </c>
      <c r="DU181" s="16" t="s">
        <v>81</v>
      </c>
      <c r="DV181" s="137">
        <f>ROUND(I181*H181,2)</f>
        <v>136.06</v>
      </c>
      <c r="DW181" s="16" t="s">
        <v>95</v>
      </c>
      <c r="DX181" s="136" t="s">
        <v>984</v>
      </c>
    </row>
    <row r="182" spans="2:128" s="1" customFormat="1" ht="48.75" x14ac:dyDescent="0.2">
      <c r="B182" s="31"/>
      <c r="D182" s="138" t="s">
        <v>289</v>
      </c>
      <c r="F182" s="139" t="s">
        <v>408</v>
      </c>
      <c r="I182" s="140"/>
      <c r="L182" s="31"/>
      <c r="N182" s="213"/>
      <c r="O182" s="214"/>
      <c r="Q182" s="229"/>
      <c r="BX182" s="141"/>
      <c r="CE182" s="50"/>
      <c r="DE182" s="16" t="s">
        <v>289</v>
      </c>
      <c r="DF182" s="16" t="s">
        <v>83</v>
      </c>
    </row>
    <row r="183" spans="2:128" s="12" customFormat="1" x14ac:dyDescent="0.2">
      <c r="B183" s="149"/>
      <c r="D183" s="138" t="s">
        <v>301</v>
      </c>
      <c r="F183" s="151" t="s">
        <v>1209</v>
      </c>
      <c r="H183" s="152">
        <v>39.774999999999999</v>
      </c>
      <c r="I183" s="153"/>
      <c r="L183" s="149"/>
      <c r="N183" s="217"/>
      <c r="O183" s="218"/>
      <c r="Q183" s="231"/>
      <c r="BX183" s="154"/>
      <c r="CE183" s="155"/>
      <c r="DE183" s="150" t="s">
        <v>301</v>
      </c>
      <c r="DF183" s="150" t="s">
        <v>83</v>
      </c>
      <c r="DG183" s="12" t="s">
        <v>83</v>
      </c>
      <c r="DH183" s="12" t="s">
        <v>3</v>
      </c>
      <c r="DI183" s="12" t="s">
        <v>81</v>
      </c>
      <c r="DJ183" s="150" t="s">
        <v>282</v>
      </c>
    </row>
    <row r="184" spans="2:128" s="1" customFormat="1" ht="24.2" customHeight="1" x14ac:dyDescent="0.2">
      <c r="B184" s="124"/>
      <c r="C184" s="125" t="s">
        <v>363</v>
      </c>
      <c r="D184" s="125" t="s">
        <v>284</v>
      </c>
      <c r="E184" s="126" t="s">
        <v>986</v>
      </c>
      <c r="F184" s="127" t="s">
        <v>987</v>
      </c>
      <c r="G184" s="128" t="s">
        <v>366</v>
      </c>
      <c r="H184" s="129">
        <v>7.9550000000000001</v>
      </c>
      <c r="I184" s="130">
        <v>43.080493951075745</v>
      </c>
      <c r="J184" s="131">
        <f>ROUND(I184*H184,2)</f>
        <v>342.71</v>
      </c>
      <c r="K184" s="127" t="s">
        <v>293</v>
      </c>
      <c r="L184" s="198">
        <f>S184</f>
        <v>0</v>
      </c>
      <c r="M184" s="206">
        <f>ROUND(L184*I184,2)</f>
        <v>0</v>
      </c>
      <c r="N184" s="211">
        <f>N193</f>
        <v>-1.1951000000000001</v>
      </c>
      <c r="O184" s="212">
        <f>ROUND(N184*I184,2)</f>
        <v>-51.49</v>
      </c>
      <c r="P184" s="207">
        <f>H184-L184-N184</f>
        <v>9.1501000000000001</v>
      </c>
      <c r="Q184" s="228">
        <f>ROUND(P184*I184,2)</f>
        <v>394.19</v>
      </c>
      <c r="R184" s="199"/>
      <c r="S184" s="200">
        <f>W184+Y184+AA184+AC184+AE184+AG184+AI184+AK184</f>
        <v>0</v>
      </c>
      <c r="T184" s="200">
        <f>ROUND(S184*I184,2)</f>
        <v>0</v>
      </c>
      <c r="U184" s="200">
        <f>H184-S184</f>
        <v>7.9550000000000001</v>
      </c>
      <c r="V184" s="200">
        <f>ROUND(U184*I184,2)</f>
        <v>342.71</v>
      </c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BX184" s="132" t="s">
        <v>1</v>
      </c>
      <c r="BY184" s="133" t="s">
        <v>40</v>
      </c>
      <c r="CA184" s="134">
        <f>BZ184*H184</f>
        <v>0</v>
      </c>
      <c r="CB184" s="134">
        <v>0</v>
      </c>
      <c r="CC184" s="134">
        <f>CB184*H184</f>
        <v>0</v>
      </c>
      <c r="CD184" s="134">
        <v>0</v>
      </c>
      <c r="CE184" s="135">
        <f>CD184*H184</f>
        <v>0</v>
      </c>
      <c r="DC184" s="136" t="s">
        <v>95</v>
      </c>
      <c r="DE184" s="136" t="s">
        <v>284</v>
      </c>
      <c r="DF184" s="136" t="s">
        <v>83</v>
      </c>
      <c r="DJ184" s="16" t="s">
        <v>282</v>
      </c>
      <c r="DP184" s="137">
        <f>IF(BY184="základní",J184,0)</f>
        <v>342.71</v>
      </c>
      <c r="DQ184" s="137">
        <f>IF(BY184="snížená",J184,0)</f>
        <v>0</v>
      </c>
      <c r="DR184" s="137">
        <f>IF(BY184="zákl. přenesená",J184,0)</f>
        <v>0</v>
      </c>
      <c r="DS184" s="137">
        <f>IF(BY184="sníž. přenesená",J184,0)</f>
        <v>0</v>
      </c>
      <c r="DT184" s="137">
        <f>IF(BY184="nulová",J184,0)</f>
        <v>0</v>
      </c>
      <c r="DU184" s="16" t="s">
        <v>81</v>
      </c>
      <c r="DV184" s="137">
        <f>ROUND(I184*H184,2)</f>
        <v>342.71</v>
      </c>
      <c r="DW184" s="16" t="s">
        <v>95</v>
      </c>
      <c r="DX184" s="136" t="s">
        <v>988</v>
      </c>
    </row>
    <row r="185" spans="2:128" s="1" customFormat="1" ht="29.25" x14ac:dyDescent="0.2">
      <c r="B185" s="31"/>
      <c r="D185" s="138" t="s">
        <v>289</v>
      </c>
      <c r="F185" s="139" t="s">
        <v>989</v>
      </c>
      <c r="I185" s="140"/>
      <c r="L185" s="31"/>
      <c r="N185" s="213"/>
      <c r="O185" s="214"/>
      <c r="Q185" s="229"/>
      <c r="BX185" s="141"/>
      <c r="CE185" s="50"/>
      <c r="DE185" s="16" t="s">
        <v>289</v>
      </c>
      <c r="DF185" s="16" t="s">
        <v>83</v>
      </c>
    </row>
    <row r="186" spans="2:128" s="11" customFormat="1" x14ac:dyDescent="0.2">
      <c r="B186" s="143"/>
      <c r="D186" s="138" t="s">
        <v>301</v>
      </c>
      <c r="E186" s="144" t="s">
        <v>1</v>
      </c>
      <c r="F186" s="145" t="s">
        <v>976</v>
      </c>
      <c r="H186" s="144" t="s">
        <v>1</v>
      </c>
      <c r="I186" s="146"/>
      <c r="L186" s="143"/>
      <c r="N186" s="215"/>
      <c r="O186" s="216"/>
      <c r="Q186" s="230"/>
      <c r="BX186" s="147"/>
      <c r="CE186" s="148"/>
      <c r="DE186" s="144" t="s">
        <v>301</v>
      </c>
      <c r="DF186" s="144" t="s">
        <v>83</v>
      </c>
      <c r="DG186" s="11" t="s">
        <v>81</v>
      </c>
      <c r="DH186" s="11" t="s">
        <v>32</v>
      </c>
      <c r="DI186" s="11" t="s">
        <v>74</v>
      </c>
      <c r="DJ186" s="144" t="s">
        <v>282</v>
      </c>
    </row>
    <row r="187" spans="2:128" s="12" customFormat="1" x14ac:dyDescent="0.2">
      <c r="B187" s="149"/>
      <c r="D187" s="138" t="s">
        <v>301</v>
      </c>
      <c r="E187" s="150" t="s">
        <v>1</v>
      </c>
      <c r="F187" s="151" t="s">
        <v>1207</v>
      </c>
      <c r="H187" s="152">
        <v>1.29</v>
      </c>
      <c r="I187" s="153"/>
      <c r="L187" s="149"/>
      <c r="N187" s="217">
        <f>10.962*0.1</f>
        <v>1.0962000000000001</v>
      </c>
      <c r="O187" s="218" t="s">
        <v>3661</v>
      </c>
      <c r="Q187" s="231"/>
      <c r="BX187" s="154"/>
      <c r="CE187" s="155"/>
      <c r="DE187" s="150" t="s">
        <v>301</v>
      </c>
      <c r="DF187" s="150" t="s">
        <v>83</v>
      </c>
      <c r="DG187" s="12" t="s">
        <v>83</v>
      </c>
      <c r="DH187" s="12" t="s">
        <v>32</v>
      </c>
      <c r="DI187" s="12" t="s">
        <v>74</v>
      </c>
      <c r="DJ187" s="150" t="s">
        <v>282</v>
      </c>
    </row>
    <row r="188" spans="2:128" s="14" customFormat="1" x14ac:dyDescent="0.2">
      <c r="B188" s="163"/>
      <c r="D188" s="138" t="s">
        <v>301</v>
      </c>
      <c r="E188" s="164" t="s">
        <v>1</v>
      </c>
      <c r="F188" s="165" t="s">
        <v>373</v>
      </c>
      <c r="H188" s="166">
        <v>1.29</v>
      </c>
      <c r="I188" s="167"/>
      <c r="L188" s="163"/>
      <c r="N188" s="221">
        <f>N187</f>
        <v>1.0962000000000001</v>
      </c>
      <c r="O188" s="222"/>
      <c r="Q188" s="233"/>
      <c r="BX188" s="168"/>
      <c r="CE188" s="169"/>
      <c r="DE188" s="164" t="s">
        <v>301</v>
      </c>
      <c r="DF188" s="164" t="s">
        <v>83</v>
      </c>
      <c r="DG188" s="14" t="s">
        <v>90</v>
      </c>
      <c r="DH188" s="14" t="s">
        <v>32</v>
      </c>
      <c r="DI188" s="14" t="s">
        <v>74</v>
      </c>
      <c r="DJ188" s="164" t="s">
        <v>282</v>
      </c>
    </row>
    <row r="189" spans="2:128" s="11" customFormat="1" x14ac:dyDescent="0.2">
      <c r="B189" s="143"/>
      <c r="D189" s="138" t="s">
        <v>301</v>
      </c>
      <c r="E189" s="144" t="s">
        <v>1</v>
      </c>
      <c r="F189" s="145" t="s">
        <v>1102</v>
      </c>
      <c r="H189" s="144" t="s">
        <v>1</v>
      </c>
      <c r="I189" s="146"/>
      <c r="L189" s="143"/>
      <c r="N189" s="215"/>
      <c r="O189" s="216"/>
      <c r="Q189" s="230"/>
      <c r="BX189" s="147"/>
      <c r="CE189" s="148"/>
      <c r="DE189" s="144" t="s">
        <v>301</v>
      </c>
      <c r="DF189" s="144" t="s">
        <v>83</v>
      </c>
      <c r="DG189" s="11" t="s">
        <v>81</v>
      </c>
      <c r="DH189" s="11" t="s">
        <v>32</v>
      </c>
      <c r="DI189" s="11" t="s">
        <v>74</v>
      </c>
      <c r="DJ189" s="144" t="s">
        <v>282</v>
      </c>
    </row>
    <row r="190" spans="2:128" s="12" customFormat="1" x14ac:dyDescent="0.2">
      <c r="B190" s="149"/>
      <c r="D190" s="138" t="s">
        <v>301</v>
      </c>
      <c r="E190" s="150" t="s">
        <v>1</v>
      </c>
      <c r="F190" s="151" t="s">
        <v>1210</v>
      </c>
      <c r="H190" s="152">
        <v>6.665</v>
      </c>
      <c r="I190" s="153"/>
      <c r="L190" s="149"/>
      <c r="N190" s="217">
        <f>36.54*1*(2.2-0.1-0.45-0.1)*0.1</f>
        <v>5.6637000000000004</v>
      </c>
      <c r="O190" s="218" t="s">
        <v>3663</v>
      </c>
      <c r="Q190" s="231"/>
      <c r="BX190" s="154"/>
      <c r="CE190" s="155"/>
      <c r="DE190" s="150" t="s">
        <v>301</v>
      </c>
      <c r="DF190" s="150" t="s">
        <v>83</v>
      </c>
      <c r="DG190" s="12" t="s">
        <v>83</v>
      </c>
      <c r="DH190" s="12" t="s">
        <v>32</v>
      </c>
      <c r="DI190" s="12" t="s">
        <v>74</v>
      </c>
      <c r="DJ190" s="150" t="s">
        <v>282</v>
      </c>
    </row>
    <row r="191" spans="2:128" s="14" customFormat="1" x14ac:dyDescent="0.2">
      <c r="B191" s="163"/>
      <c r="D191" s="138" t="s">
        <v>301</v>
      </c>
      <c r="E191" s="164" t="s">
        <v>1</v>
      </c>
      <c r="F191" s="165" t="s">
        <v>373</v>
      </c>
      <c r="H191" s="166">
        <v>6.665</v>
      </c>
      <c r="I191" s="167"/>
      <c r="L191" s="163"/>
      <c r="N191" s="221">
        <f>N190</f>
        <v>5.6637000000000004</v>
      </c>
      <c r="O191" s="222"/>
      <c r="Q191" s="233"/>
      <c r="BX191" s="168"/>
      <c r="CE191" s="169"/>
      <c r="DE191" s="164" t="s">
        <v>301</v>
      </c>
      <c r="DF191" s="164" t="s">
        <v>83</v>
      </c>
      <c r="DG191" s="14" t="s">
        <v>90</v>
      </c>
      <c r="DH191" s="14" t="s">
        <v>32</v>
      </c>
      <c r="DI191" s="14" t="s">
        <v>74</v>
      </c>
      <c r="DJ191" s="164" t="s">
        <v>282</v>
      </c>
    </row>
    <row r="192" spans="2:128" s="13" customFormat="1" x14ac:dyDescent="0.2">
      <c r="B192" s="156"/>
      <c r="D192" s="138" t="s">
        <v>301</v>
      </c>
      <c r="E192" s="157" t="s">
        <v>1</v>
      </c>
      <c r="F192" s="158" t="s">
        <v>305</v>
      </c>
      <c r="H192" s="159">
        <v>7.9550000000000001</v>
      </c>
      <c r="I192" s="160"/>
      <c r="L192" s="156"/>
      <c r="N192" s="219">
        <f>N188+N191</f>
        <v>6.7599</v>
      </c>
      <c r="O192" s="220"/>
      <c r="Q192" s="232"/>
      <c r="BX192" s="161"/>
      <c r="CE192" s="162"/>
      <c r="DE192" s="157" t="s">
        <v>301</v>
      </c>
      <c r="DF192" s="157" t="s">
        <v>83</v>
      </c>
      <c r="DG192" s="13" t="s">
        <v>95</v>
      </c>
      <c r="DH192" s="13" t="s">
        <v>32</v>
      </c>
      <c r="DI192" s="13" t="s">
        <v>81</v>
      </c>
      <c r="DJ192" s="157" t="s">
        <v>282</v>
      </c>
    </row>
    <row r="193" spans="2:128" s="13" customFormat="1" x14ac:dyDescent="0.2">
      <c r="B193" s="156"/>
      <c r="D193" s="138"/>
      <c r="E193" s="157"/>
      <c r="F193" s="158"/>
      <c r="H193" s="159"/>
      <c r="I193" s="160"/>
      <c r="L193" s="156"/>
      <c r="N193" s="311">
        <f>N192-H192</f>
        <v>-1.1951000000000001</v>
      </c>
      <c r="O193" s="220"/>
      <c r="Q193" s="232"/>
      <c r="BX193" s="161"/>
      <c r="CE193" s="162"/>
      <c r="DE193" s="157"/>
      <c r="DF193" s="157"/>
      <c r="DJ193" s="157"/>
    </row>
    <row r="194" spans="2:128" s="1" customFormat="1" ht="24.2" customHeight="1" x14ac:dyDescent="0.2">
      <c r="B194" s="124"/>
      <c r="C194" s="125" t="s">
        <v>8</v>
      </c>
      <c r="D194" s="125" t="s">
        <v>284</v>
      </c>
      <c r="E194" s="126" t="s">
        <v>410</v>
      </c>
      <c r="F194" s="127" t="s">
        <v>411</v>
      </c>
      <c r="G194" s="128" t="s">
        <v>287</v>
      </c>
      <c r="H194" s="129">
        <v>43</v>
      </c>
      <c r="I194" s="130">
        <v>6.3644601414457247</v>
      </c>
      <c r="J194" s="131">
        <f>ROUND(I194*H194,2)</f>
        <v>273.67</v>
      </c>
      <c r="K194" s="127" t="s">
        <v>293</v>
      </c>
      <c r="L194" s="198">
        <f>S194</f>
        <v>0</v>
      </c>
      <c r="M194" s="206">
        <f>ROUND(L194*I194,2)</f>
        <v>0</v>
      </c>
      <c r="N194" s="211">
        <f>N198</f>
        <v>-6.4600000000000009</v>
      </c>
      <c r="O194" s="212">
        <f>ROUND(N194*I194,2)</f>
        <v>-41.11</v>
      </c>
      <c r="P194" s="207">
        <f>H194-L194-N194</f>
        <v>49.46</v>
      </c>
      <c r="Q194" s="228">
        <f>ROUND(P194*I194,2)</f>
        <v>314.79000000000002</v>
      </c>
      <c r="R194" s="199"/>
      <c r="S194" s="200">
        <f>W194+Y194+AA194+AC194+AE194+AG194+AI194+AK194</f>
        <v>0</v>
      </c>
      <c r="T194" s="200">
        <f>ROUND(S194*I194,2)</f>
        <v>0</v>
      </c>
      <c r="U194" s="200">
        <f>H194-S194</f>
        <v>43</v>
      </c>
      <c r="V194" s="200">
        <f>ROUND(U194*I194,2)</f>
        <v>273.67</v>
      </c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BX194" s="132" t="s">
        <v>1</v>
      </c>
      <c r="BY194" s="133" t="s">
        <v>40</v>
      </c>
      <c r="CA194" s="134">
        <f>BZ194*H194</f>
        <v>0</v>
      </c>
      <c r="CB194" s="134">
        <v>0</v>
      </c>
      <c r="CC194" s="134">
        <f>CB194*H194</f>
        <v>0</v>
      </c>
      <c r="CD194" s="134">
        <v>0</v>
      </c>
      <c r="CE194" s="135">
        <f>CD194*H194</f>
        <v>0</v>
      </c>
      <c r="DC194" s="136" t="s">
        <v>95</v>
      </c>
      <c r="DE194" s="136" t="s">
        <v>284</v>
      </c>
      <c r="DF194" s="136" t="s">
        <v>83</v>
      </c>
      <c r="DJ194" s="16" t="s">
        <v>282</v>
      </c>
      <c r="DP194" s="137">
        <f>IF(BY194="základní",J194,0)</f>
        <v>273.67</v>
      </c>
      <c r="DQ194" s="137">
        <f>IF(BY194="snížená",J194,0)</f>
        <v>0</v>
      </c>
      <c r="DR194" s="137">
        <f>IF(BY194="zákl. přenesená",J194,0)</f>
        <v>0</v>
      </c>
      <c r="DS194" s="137">
        <f>IF(BY194="sníž. přenesená",J194,0)</f>
        <v>0</v>
      </c>
      <c r="DT194" s="137">
        <f>IF(BY194="nulová",J194,0)</f>
        <v>0</v>
      </c>
      <c r="DU194" s="16" t="s">
        <v>81</v>
      </c>
      <c r="DV194" s="137">
        <f>ROUND(I194*H194,2)</f>
        <v>273.67</v>
      </c>
      <c r="DW194" s="16" t="s">
        <v>95</v>
      </c>
      <c r="DX194" s="136" t="s">
        <v>412</v>
      </c>
    </row>
    <row r="195" spans="2:128" s="1" customFormat="1" ht="19.5" x14ac:dyDescent="0.2">
      <c r="B195" s="31"/>
      <c r="D195" s="138" t="s">
        <v>289</v>
      </c>
      <c r="F195" s="139" t="s">
        <v>413</v>
      </c>
      <c r="I195" s="140"/>
      <c r="L195" s="31"/>
      <c r="N195" s="213"/>
      <c r="O195" s="214"/>
      <c r="Q195" s="229"/>
      <c r="BX195" s="141"/>
      <c r="CE195" s="50"/>
      <c r="DE195" s="16" t="s">
        <v>289</v>
      </c>
      <c r="DF195" s="16" t="s">
        <v>83</v>
      </c>
    </row>
    <row r="196" spans="2:128" s="1" customFormat="1" ht="19.5" x14ac:dyDescent="0.2">
      <c r="B196" s="31"/>
      <c r="D196" s="138" t="s">
        <v>299</v>
      </c>
      <c r="F196" s="142" t="s">
        <v>317</v>
      </c>
      <c r="I196" s="140"/>
      <c r="L196" s="31"/>
      <c r="N196" s="213"/>
      <c r="O196" s="214"/>
      <c r="Q196" s="229"/>
      <c r="BX196" s="141"/>
      <c r="CE196" s="50"/>
      <c r="DE196" s="16" t="s">
        <v>299</v>
      </c>
      <c r="DF196" s="16" t="s">
        <v>83</v>
      </c>
    </row>
    <row r="197" spans="2:128" s="12" customFormat="1" x14ac:dyDescent="0.2">
      <c r="B197" s="149"/>
      <c r="D197" s="138" t="s">
        <v>301</v>
      </c>
      <c r="E197" s="150" t="s">
        <v>1</v>
      </c>
      <c r="F197" s="151" t="s">
        <v>1211</v>
      </c>
      <c r="H197" s="152">
        <v>43</v>
      </c>
      <c r="I197" s="153"/>
      <c r="L197" s="149"/>
      <c r="N197" s="217">
        <f>36.54*1</f>
        <v>36.54</v>
      </c>
      <c r="O197" s="218" t="s">
        <v>3664</v>
      </c>
      <c r="Q197" s="231"/>
      <c r="BX197" s="154"/>
      <c r="CE197" s="155"/>
      <c r="DE197" s="150" t="s">
        <v>301</v>
      </c>
      <c r="DF197" s="150" t="s">
        <v>83</v>
      </c>
      <c r="DG197" s="12" t="s">
        <v>83</v>
      </c>
      <c r="DH197" s="12" t="s">
        <v>32</v>
      </c>
      <c r="DI197" s="12" t="s">
        <v>81</v>
      </c>
      <c r="DJ197" s="150" t="s">
        <v>282</v>
      </c>
    </row>
    <row r="198" spans="2:128" s="12" customFormat="1" x14ac:dyDescent="0.2">
      <c r="B198" s="149"/>
      <c r="D198" s="138"/>
      <c r="E198" s="150"/>
      <c r="F198" s="151"/>
      <c r="H198" s="152"/>
      <c r="I198" s="153"/>
      <c r="L198" s="149"/>
      <c r="N198" s="310">
        <f>N197-H197</f>
        <v>-6.4600000000000009</v>
      </c>
      <c r="O198" s="218"/>
      <c r="Q198" s="231"/>
      <c r="BX198" s="154"/>
      <c r="CE198" s="155"/>
      <c r="DE198" s="150"/>
      <c r="DF198" s="150"/>
      <c r="DJ198" s="150"/>
    </row>
    <row r="199" spans="2:128" s="1" customFormat="1" ht="24.2" customHeight="1" x14ac:dyDescent="0.2">
      <c r="B199" s="124"/>
      <c r="C199" s="125" t="s">
        <v>379</v>
      </c>
      <c r="D199" s="125" t="s">
        <v>284</v>
      </c>
      <c r="E199" s="126" t="s">
        <v>416</v>
      </c>
      <c r="F199" s="127" t="s">
        <v>417</v>
      </c>
      <c r="G199" s="128" t="s">
        <v>418</v>
      </c>
      <c r="H199" s="129">
        <v>126.164</v>
      </c>
      <c r="I199" s="130">
        <v>110.6455721</v>
      </c>
      <c r="J199" s="131">
        <f>ROUND(I199*H199,2)</f>
        <v>13959.49</v>
      </c>
      <c r="K199" s="127" t="s">
        <v>293</v>
      </c>
      <c r="L199" s="198">
        <f>S199</f>
        <v>0</v>
      </c>
      <c r="M199" s="206">
        <f>ROUND(L199*I199,2)</f>
        <v>0</v>
      </c>
      <c r="N199" s="211">
        <f>N207</f>
        <v>-18.955820000000017</v>
      </c>
      <c r="O199" s="212">
        <f>ROUND(N199*I199,2)</f>
        <v>-2097.38</v>
      </c>
      <c r="P199" s="207">
        <f>H199-L199-N199</f>
        <v>145.11982</v>
      </c>
      <c r="Q199" s="228">
        <f>ROUND(P199*I199,2)</f>
        <v>16056.87</v>
      </c>
      <c r="R199" s="199"/>
      <c r="S199" s="200">
        <f>W199+Y199+AA199+AC199+AE199+AG199+AI199+AK199</f>
        <v>0</v>
      </c>
      <c r="T199" s="200">
        <f>ROUND(S199*I199,2)</f>
        <v>0</v>
      </c>
      <c r="U199" s="200">
        <f>H199-S199</f>
        <v>126.164</v>
      </c>
      <c r="V199" s="200">
        <f>ROUND(U199*I199,2)</f>
        <v>13959.49</v>
      </c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BX199" s="132" t="s">
        <v>1</v>
      </c>
      <c r="BY199" s="133" t="s">
        <v>40</v>
      </c>
      <c r="CA199" s="134">
        <f>BZ199*H199</f>
        <v>0</v>
      </c>
      <c r="CB199" s="134">
        <v>0</v>
      </c>
      <c r="CC199" s="134">
        <f>CB199*H199</f>
        <v>0</v>
      </c>
      <c r="CD199" s="134">
        <v>0</v>
      </c>
      <c r="CE199" s="135">
        <f>CD199*H199</f>
        <v>0</v>
      </c>
      <c r="DC199" s="136" t="s">
        <v>95</v>
      </c>
      <c r="DE199" s="136" t="s">
        <v>284</v>
      </c>
      <c r="DF199" s="136" t="s">
        <v>83</v>
      </c>
      <c r="DJ199" s="16" t="s">
        <v>282</v>
      </c>
      <c r="DP199" s="137">
        <f>IF(BY199="základní",J199,0)</f>
        <v>13959.49</v>
      </c>
      <c r="DQ199" s="137">
        <f>IF(BY199="snížená",J199,0)</f>
        <v>0</v>
      </c>
      <c r="DR199" s="137">
        <f>IF(BY199="zákl. přenesená",J199,0)</f>
        <v>0</v>
      </c>
      <c r="DS199" s="137">
        <f>IF(BY199="sníž. přenesená",J199,0)</f>
        <v>0</v>
      </c>
      <c r="DT199" s="137">
        <f>IF(BY199="nulová",J199,0)</f>
        <v>0</v>
      </c>
      <c r="DU199" s="16" t="s">
        <v>81</v>
      </c>
      <c r="DV199" s="137">
        <f>ROUND(I199*H199,2)</f>
        <v>13959.49</v>
      </c>
      <c r="DW199" s="16" t="s">
        <v>95</v>
      </c>
      <c r="DX199" s="136" t="s">
        <v>419</v>
      </c>
    </row>
    <row r="200" spans="2:128" s="1" customFormat="1" ht="29.25" x14ac:dyDescent="0.2">
      <c r="B200" s="31"/>
      <c r="D200" s="138" t="s">
        <v>289</v>
      </c>
      <c r="F200" s="139" t="s">
        <v>420</v>
      </c>
      <c r="I200" s="140"/>
      <c r="L200" s="31"/>
      <c r="N200" s="213"/>
      <c r="O200" s="214"/>
      <c r="Q200" s="229"/>
      <c r="BX200" s="141"/>
      <c r="CE200" s="50"/>
      <c r="DE200" s="16" t="s">
        <v>289</v>
      </c>
      <c r="DF200" s="16" t="s">
        <v>83</v>
      </c>
    </row>
    <row r="201" spans="2:128" s="11" customFormat="1" x14ac:dyDescent="0.2">
      <c r="B201" s="143"/>
      <c r="D201" s="138" t="s">
        <v>301</v>
      </c>
      <c r="E201" s="144" t="s">
        <v>1</v>
      </c>
      <c r="F201" s="145" t="s">
        <v>996</v>
      </c>
      <c r="H201" s="144" t="s">
        <v>1</v>
      </c>
      <c r="I201" s="146"/>
      <c r="L201" s="143"/>
      <c r="N201" s="215"/>
      <c r="O201" s="216"/>
      <c r="Q201" s="230"/>
      <c r="BX201" s="147"/>
      <c r="CE201" s="148"/>
      <c r="DE201" s="144" t="s">
        <v>301</v>
      </c>
      <c r="DF201" s="144" t="s">
        <v>83</v>
      </c>
      <c r="DG201" s="11" t="s">
        <v>81</v>
      </c>
      <c r="DH201" s="11" t="s">
        <v>32</v>
      </c>
      <c r="DI201" s="11" t="s">
        <v>74</v>
      </c>
      <c r="DJ201" s="144" t="s">
        <v>282</v>
      </c>
    </row>
    <row r="202" spans="2:128" s="12" customFormat="1" x14ac:dyDescent="0.2">
      <c r="B202" s="149"/>
      <c r="D202" s="138" t="s">
        <v>301</v>
      </c>
      <c r="E202" s="150" t="s">
        <v>1</v>
      </c>
      <c r="F202" s="151" t="s">
        <v>1212</v>
      </c>
      <c r="H202" s="152">
        <v>78.046000000000006</v>
      </c>
      <c r="I202" s="153"/>
      <c r="L202" s="149"/>
      <c r="N202" s="217">
        <v>66.319999999999993</v>
      </c>
      <c r="O202" s="218"/>
      <c r="Q202" s="231"/>
      <c r="BX202" s="154"/>
      <c r="CE202" s="155"/>
      <c r="DE202" s="150" t="s">
        <v>301</v>
      </c>
      <c r="DF202" s="150" t="s">
        <v>83</v>
      </c>
      <c r="DG202" s="12" t="s">
        <v>83</v>
      </c>
      <c r="DH202" s="12" t="s">
        <v>32</v>
      </c>
      <c r="DI202" s="12" t="s">
        <v>74</v>
      </c>
      <c r="DJ202" s="150" t="s">
        <v>282</v>
      </c>
    </row>
    <row r="203" spans="2:128" s="11" customFormat="1" x14ac:dyDescent="0.2">
      <c r="B203" s="143"/>
      <c r="D203" s="138" t="s">
        <v>301</v>
      </c>
      <c r="E203" s="144" t="s">
        <v>1</v>
      </c>
      <c r="F203" s="145" t="s">
        <v>998</v>
      </c>
      <c r="H203" s="144" t="s">
        <v>1</v>
      </c>
      <c r="I203" s="146"/>
      <c r="L203" s="143"/>
      <c r="N203" s="215"/>
      <c r="O203" s="216"/>
      <c r="Q203" s="230"/>
      <c r="BX203" s="147"/>
      <c r="CE203" s="148"/>
      <c r="DE203" s="144" t="s">
        <v>301</v>
      </c>
      <c r="DF203" s="144" t="s">
        <v>83</v>
      </c>
      <c r="DG203" s="11" t="s">
        <v>81</v>
      </c>
      <c r="DH203" s="11" t="s">
        <v>32</v>
      </c>
      <c r="DI203" s="11" t="s">
        <v>74</v>
      </c>
      <c r="DJ203" s="144" t="s">
        <v>282</v>
      </c>
    </row>
    <row r="204" spans="2:128" s="12" customFormat="1" x14ac:dyDescent="0.2">
      <c r="B204" s="149"/>
      <c r="D204" s="138" t="s">
        <v>301</v>
      </c>
      <c r="E204" s="150" t="s">
        <v>1</v>
      </c>
      <c r="F204" s="151" t="s">
        <v>1213</v>
      </c>
      <c r="H204" s="152">
        <v>-7.9550000000000001</v>
      </c>
      <c r="I204" s="153"/>
      <c r="L204" s="149"/>
      <c r="N204" s="217">
        <v>-6.7599</v>
      </c>
      <c r="O204" s="218"/>
      <c r="Q204" s="231"/>
      <c r="BX204" s="154"/>
      <c r="CE204" s="155"/>
      <c r="DE204" s="150" t="s">
        <v>301</v>
      </c>
      <c r="DF204" s="150" t="s">
        <v>83</v>
      </c>
      <c r="DG204" s="12" t="s">
        <v>83</v>
      </c>
      <c r="DH204" s="12" t="s">
        <v>32</v>
      </c>
      <c r="DI204" s="12" t="s">
        <v>74</v>
      </c>
      <c r="DJ204" s="150" t="s">
        <v>282</v>
      </c>
    </row>
    <row r="205" spans="2:128" s="13" customFormat="1" x14ac:dyDescent="0.2">
      <c r="B205" s="156"/>
      <c r="D205" s="138" t="s">
        <v>301</v>
      </c>
      <c r="E205" s="157" t="s">
        <v>1</v>
      </c>
      <c r="F205" s="158" t="s">
        <v>305</v>
      </c>
      <c r="H205" s="159">
        <v>70.091000000000008</v>
      </c>
      <c r="I205" s="160"/>
      <c r="L205" s="156"/>
      <c r="N205" s="219">
        <f>N202+N204</f>
        <v>59.560099999999991</v>
      </c>
      <c r="O205" s="220"/>
      <c r="Q205" s="232"/>
      <c r="BX205" s="161"/>
      <c r="CE205" s="162"/>
      <c r="DE205" s="157" t="s">
        <v>301</v>
      </c>
      <c r="DF205" s="157" t="s">
        <v>83</v>
      </c>
      <c r="DG205" s="13" t="s">
        <v>95</v>
      </c>
      <c r="DH205" s="13" t="s">
        <v>32</v>
      </c>
      <c r="DI205" s="13" t="s">
        <v>81</v>
      </c>
      <c r="DJ205" s="157" t="s">
        <v>282</v>
      </c>
    </row>
    <row r="206" spans="2:128" s="12" customFormat="1" x14ac:dyDescent="0.2">
      <c r="B206" s="149"/>
      <c r="D206" s="138" t="s">
        <v>301</v>
      </c>
      <c r="F206" s="151" t="s">
        <v>1214</v>
      </c>
      <c r="H206" s="152">
        <v>126.164</v>
      </c>
      <c r="I206" s="153"/>
      <c r="L206" s="149"/>
      <c r="N206" s="217">
        <f>N205*1.8</f>
        <v>107.20817999999998</v>
      </c>
      <c r="O206" s="218"/>
      <c r="Q206" s="231"/>
      <c r="BX206" s="154"/>
      <c r="CE206" s="155"/>
      <c r="DE206" s="150" t="s">
        <v>301</v>
      </c>
      <c r="DF206" s="150" t="s">
        <v>83</v>
      </c>
      <c r="DG206" s="12" t="s">
        <v>83</v>
      </c>
      <c r="DH206" s="12" t="s">
        <v>3</v>
      </c>
      <c r="DI206" s="12" t="s">
        <v>81</v>
      </c>
      <c r="DJ206" s="150" t="s">
        <v>282</v>
      </c>
    </row>
    <row r="207" spans="2:128" s="12" customFormat="1" x14ac:dyDescent="0.2">
      <c r="B207" s="149"/>
      <c r="D207" s="138"/>
      <c r="F207" s="151"/>
      <c r="H207" s="152"/>
      <c r="I207" s="153"/>
      <c r="L207" s="149"/>
      <c r="N207" s="310">
        <f>N206-H206</f>
        <v>-18.955820000000017</v>
      </c>
      <c r="O207" s="218"/>
      <c r="Q207" s="231"/>
      <c r="BX207" s="154"/>
      <c r="CE207" s="155"/>
      <c r="DE207" s="150"/>
      <c r="DF207" s="150"/>
      <c r="DJ207" s="150"/>
    </row>
    <row r="208" spans="2:128" s="1" customFormat="1" ht="24.2" customHeight="1" x14ac:dyDescent="0.2">
      <c r="B208" s="124"/>
      <c r="C208" s="125" t="s">
        <v>386</v>
      </c>
      <c r="D208" s="125" t="s">
        <v>284</v>
      </c>
      <c r="E208" s="126" t="s">
        <v>423</v>
      </c>
      <c r="F208" s="127" t="s">
        <v>424</v>
      </c>
      <c r="G208" s="128" t="s">
        <v>366</v>
      </c>
      <c r="H208" s="129">
        <v>65.054000000000002</v>
      </c>
      <c r="I208" s="130">
        <v>140.64048227116101</v>
      </c>
      <c r="J208" s="131">
        <f>ROUND(I208*H208,2)</f>
        <v>9149.23</v>
      </c>
      <c r="K208" s="127" t="s">
        <v>293</v>
      </c>
      <c r="L208" s="198">
        <f>S208</f>
        <v>0</v>
      </c>
      <c r="M208" s="206">
        <f>ROUND(L208*I208,2)</f>
        <v>0</v>
      </c>
      <c r="N208" s="211">
        <f>N222</f>
        <v>-10.304599999999994</v>
      </c>
      <c r="O208" s="212">
        <f>ROUND(N208*I208,2)</f>
        <v>-1449.24</v>
      </c>
      <c r="P208" s="207">
        <f>H208-L208-N208</f>
        <v>75.358599999999996</v>
      </c>
      <c r="Q208" s="228">
        <f>ROUND(P208*I208,2)</f>
        <v>10598.47</v>
      </c>
      <c r="R208" s="199"/>
      <c r="S208" s="200">
        <f>W208+Y208+AA208+AC208+AE208+AG208+AI208+AK208</f>
        <v>0</v>
      </c>
      <c r="T208" s="200">
        <f>ROUND(S208*I208,2)</f>
        <v>0</v>
      </c>
      <c r="U208" s="200">
        <f>H208-S208</f>
        <v>65.054000000000002</v>
      </c>
      <c r="V208" s="200">
        <f>ROUND(U208*I208,2)</f>
        <v>9149.23</v>
      </c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BX208" s="132" t="s">
        <v>1</v>
      </c>
      <c r="BY208" s="133" t="s">
        <v>40</v>
      </c>
      <c r="CA208" s="134">
        <f>BZ208*H208</f>
        <v>0</v>
      </c>
      <c r="CB208" s="134">
        <v>0</v>
      </c>
      <c r="CC208" s="134">
        <f>CB208*H208</f>
        <v>0</v>
      </c>
      <c r="CD208" s="134">
        <v>0</v>
      </c>
      <c r="CE208" s="135">
        <f>CD208*H208</f>
        <v>0</v>
      </c>
      <c r="DC208" s="136" t="s">
        <v>95</v>
      </c>
      <c r="DE208" s="136" t="s">
        <v>284</v>
      </c>
      <c r="DF208" s="136" t="s">
        <v>83</v>
      </c>
      <c r="DJ208" s="16" t="s">
        <v>282</v>
      </c>
      <c r="DP208" s="137">
        <f>IF(BY208="základní",J208,0)</f>
        <v>9149.23</v>
      </c>
      <c r="DQ208" s="137">
        <f>IF(BY208="snížená",J208,0)</f>
        <v>0</v>
      </c>
      <c r="DR208" s="137">
        <f>IF(BY208="zákl. přenesená",J208,0)</f>
        <v>0</v>
      </c>
      <c r="DS208" s="137">
        <f>IF(BY208="sníž. přenesená",J208,0)</f>
        <v>0</v>
      </c>
      <c r="DT208" s="137">
        <f>IF(BY208="nulová",J208,0)</f>
        <v>0</v>
      </c>
      <c r="DU208" s="16" t="s">
        <v>81</v>
      </c>
      <c r="DV208" s="137">
        <f>ROUND(I208*H208,2)</f>
        <v>9149.23</v>
      </c>
      <c r="DW208" s="16" t="s">
        <v>95</v>
      </c>
      <c r="DX208" s="136" t="s">
        <v>425</v>
      </c>
    </row>
    <row r="209" spans="2:128" s="1" customFormat="1" ht="29.25" x14ac:dyDescent="0.2">
      <c r="B209" s="31"/>
      <c r="D209" s="138" t="s">
        <v>289</v>
      </c>
      <c r="F209" s="139" t="s">
        <v>426</v>
      </c>
      <c r="I209" s="140"/>
      <c r="L209" s="31"/>
      <c r="N209" s="213"/>
      <c r="O209" s="214"/>
      <c r="Q209" s="229"/>
      <c r="BX209" s="141"/>
      <c r="CE209" s="50"/>
      <c r="DE209" s="16" t="s">
        <v>289</v>
      </c>
      <c r="DF209" s="16" t="s">
        <v>83</v>
      </c>
    </row>
    <row r="210" spans="2:128" s="11" customFormat="1" x14ac:dyDescent="0.2">
      <c r="B210" s="143"/>
      <c r="D210" s="138" t="s">
        <v>301</v>
      </c>
      <c r="E210" s="144" t="s">
        <v>1</v>
      </c>
      <c r="F210" s="145" t="s">
        <v>427</v>
      </c>
      <c r="H210" s="144" t="s">
        <v>1</v>
      </c>
      <c r="I210" s="146"/>
      <c r="L210" s="143"/>
      <c r="N210" s="215"/>
      <c r="O210" s="216"/>
      <c r="Q210" s="230"/>
      <c r="BX210" s="147"/>
      <c r="CE210" s="148"/>
      <c r="DE210" s="144" t="s">
        <v>301</v>
      </c>
      <c r="DF210" s="144" t="s">
        <v>83</v>
      </c>
      <c r="DG210" s="11" t="s">
        <v>81</v>
      </c>
      <c r="DH210" s="11" t="s">
        <v>32</v>
      </c>
      <c r="DI210" s="11" t="s">
        <v>74</v>
      </c>
      <c r="DJ210" s="144" t="s">
        <v>282</v>
      </c>
    </row>
    <row r="211" spans="2:128" s="12" customFormat="1" x14ac:dyDescent="0.2">
      <c r="B211" s="149"/>
      <c r="D211" s="138" t="s">
        <v>301</v>
      </c>
      <c r="E211" s="150" t="s">
        <v>1</v>
      </c>
      <c r="F211" s="151" t="s">
        <v>1206</v>
      </c>
      <c r="H211" s="152">
        <v>76.756</v>
      </c>
      <c r="I211" s="153"/>
      <c r="L211" s="149"/>
      <c r="N211" s="217">
        <f>32.612+32.612</f>
        <v>65.224000000000004</v>
      </c>
      <c r="O211" s="218" t="s">
        <v>3660</v>
      </c>
      <c r="Q211" s="231"/>
      <c r="BX211" s="154"/>
      <c r="CE211" s="155"/>
      <c r="DE211" s="150" t="s">
        <v>301</v>
      </c>
      <c r="DF211" s="150" t="s">
        <v>83</v>
      </c>
      <c r="DG211" s="12" t="s">
        <v>83</v>
      </c>
      <c r="DH211" s="12" t="s">
        <v>32</v>
      </c>
      <c r="DI211" s="12" t="s">
        <v>74</v>
      </c>
      <c r="DJ211" s="150" t="s">
        <v>282</v>
      </c>
    </row>
    <row r="212" spans="2:128" s="11" customFormat="1" x14ac:dyDescent="0.2">
      <c r="B212" s="143"/>
      <c r="D212" s="138" t="s">
        <v>301</v>
      </c>
      <c r="E212" s="144" t="s">
        <v>1</v>
      </c>
      <c r="F212" s="145" t="s">
        <v>428</v>
      </c>
      <c r="H212" s="144" t="s">
        <v>1</v>
      </c>
      <c r="I212" s="146"/>
      <c r="L212" s="143"/>
      <c r="N212" s="215"/>
      <c r="O212" s="216"/>
      <c r="Q212" s="230"/>
      <c r="BX212" s="147"/>
      <c r="CE212" s="148"/>
      <c r="DE212" s="144" t="s">
        <v>301</v>
      </c>
      <c r="DF212" s="144" t="s">
        <v>83</v>
      </c>
      <c r="DG212" s="11" t="s">
        <v>81</v>
      </c>
      <c r="DH212" s="11" t="s">
        <v>32</v>
      </c>
      <c r="DI212" s="11" t="s">
        <v>74</v>
      </c>
      <c r="DJ212" s="144" t="s">
        <v>282</v>
      </c>
    </row>
    <row r="213" spans="2:128" s="12" customFormat="1" x14ac:dyDescent="0.2">
      <c r="B213" s="149"/>
      <c r="D213" s="138" t="s">
        <v>301</v>
      </c>
      <c r="E213" s="150" t="s">
        <v>1</v>
      </c>
      <c r="F213" s="151" t="s">
        <v>1215</v>
      </c>
      <c r="H213" s="152">
        <v>-19.350000000000001</v>
      </c>
      <c r="I213" s="153"/>
      <c r="L213" s="149"/>
      <c r="N213" s="217">
        <f>-N238</f>
        <v>-16.443000000000001</v>
      </c>
      <c r="O213" s="218"/>
      <c r="Q213" s="231"/>
      <c r="BX213" s="154"/>
      <c r="CE213" s="155"/>
      <c r="DE213" s="150" t="s">
        <v>301</v>
      </c>
      <c r="DF213" s="150" t="s">
        <v>83</v>
      </c>
      <c r="DG213" s="12" t="s">
        <v>83</v>
      </c>
      <c r="DH213" s="12" t="s">
        <v>32</v>
      </c>
      <c r="DI213" s="12" t="s">
        <v>74</v>
      </c>
      <c r="DJ213" s="150" t="s">
        <v>282</v>
      </c>
    </row>
    <row r="214" spans="2:128" s="11" customFormat="1" x14ac:dyDescent="0.2">
      <c r="B214" s="143"/>
      <c r="D214" s="138" t="s">
        <v>301</v>
      </c>
      <c r="E214" s="144" t="s">
        <v>1</v>
      </c>
      <c r="F214" s="145" t="s">
        <v>430</v>
      </c>
      <c r="H214" s="144" t="s">
        <v>1</v>
      </c>
      <c r="I214" s="146"/>
      <c r="L214" s="143"/>
      <c r="N214" s="215"/>
      <c r="O214" s="216"/>
      <c r="Q214" s="230"/>
      <c r="BX214" s="147"/>
      <c r="CE214" s="148"/>
      <c r="DE214" s="144" t="s">
        <v>301</v>
      </c>
      <c r="DF214" s="144" t="s">
        <v>83</v>
      </c>
      <c r="DG214" s="11" t="s">
        <v>81</v>
      </c>
      <c r="DH214" s="11" t="s">
        <v>32</v>
      </c>
      <c r="DI214" s="11" t="s">
        <v>74</v>
      </c>
      <c r="DJ214" s="144" t="s">
        <v>282</v>
      </c>
    </row>
    <row r="215" spans="2:128" s="12" customFormat="1" x14ac:dyDescent="0.2">
      <c r="B215" s="149"/>
      <c r="D215" s="138" t="s">
        <v>301</v>
      </c>
      <c r="E215" s="150" t="s">
        <v>1</v>
      </c>
      <c r="F215" s="151" t="s">
        <v>1216</v>
      </c>
      <c r="H215" s="152">
        <v>-5</v>
      </c>
      <c r="I215" s="153"/>
      <c r="L215" s="149"/>
      <c r="N215" s="310">
        <f>-N263-H265</f>
        <v>-4.3540000000000001</v>
      </c>
      <c r="O215" s="218"/>
      <c r="Q215" s="231"/>
      <c r="BX215" s="154"/>
      <c r="CE215" s="155"/>
      <c r="DE215" s="150" t="s">
        <v>301</v>
      </c>
      <c r="DF215" s="150" t="s">
        <v>83</v>
      </c>
      <c r="DG215" s="12" t="s">
        <v>83</v>
      </c>
      <c r="DH215" s="12" t="s">
        <v>32</v>
      </c>
      <c r="DI215" s="12" t="s">
        <v>74</v>
      </c>
      <c r="DJ215" s="150" t="s">
        <v>282</v>
      </c>
    </row>
    <row r="216" spans="2:128" s="11" customFormat="1" x14ac:dyDescent="0.2">
      <c r="B216" s="143"/>
      <c r="D216" s="138" t="s">
        <v>301</v>
      </c>
      <c r="E216" s="144" t="s">
        <v>1</v>
      </c>
      <c r="F216" s="145" t="s">
        <v>432</v>
      </c>
      <c r="H216" s="144" t="s">
        <v>1</v>
      </c>
      <c r="I216" s="146"/>
      <c r="L216" s="143"/>
      <c r="N216" s="215"/>
      <c r="O216" s="216"/>
      <c r="Q216" s="230"/>
      <c r="BX216" s="147"/>
      <c r="CE216" s="148"/>
      <c r="DE216" s="144" t="s">
        <v>301</v>
      </c>
      <c r="DF216" s="144" t="s">
        <v>83</v>
      </c>
      <c r="DG216" s="11" t="s">
        <v>81</v>
      </c>
      <c r="DH216" s="11" t="s">
        <v>32</v>
      </c>
      <c r="DI216" s="11" t="s">
        <v>74</v>
      </c>
      <c r="DJ216" s="144" t="s">
        <v>282</v>
      </c>
    </row>
    <row r="217" spans="2:128" s="12" customFormat="1" x14ac:dyDescent="0.2">
      <c r="B217" s="149"/>
      <c r="D217" s="138" t="s">
        <v>301</v>
      </c>
      <c r="E217" s="150" t="s">
        <v>1</v>
      </c>
      <c r="F217" s="151" t="s">
        <v>1217</v>
      </c>
      <c r="H217" s="152">
        <v>-0.7</v>
      </c>
      <c r="I217" s="153"/>
      <c r="L217" s="149"/>
      <c r="N217" s="310">
        <f>H217</f>
        <v>-0.7</v>
      </c>
      <c r="O217" s="218"/>
      <c r="Q217" s="231"/>
      <c r="BX217" s="154"/>
      <c r="CE217" s="155"/>
      <c r="DE217" s="150" t="s">
        <v>301</v>
      </c>
      <c r="DF217" s="150" t="s">
        <v>83</v>
      </c>
      <c r="DG217" s="12" t="s">
        <v>83</v>
      </c>
      <c r="DH217" s="12" t="s">
        <v>32</v>
      </c>
      <c r="DI217" s="12" t="s">
        <v>74</v>
      </c>
      <c r="DJ217" s="150" t="s">
        <v>282</v>
      </c>
    </row>
    <row r="218" spans="2:128" s="12" customFormat="1" x14ac:dyDescent="0.2">
      <c r="B218" s="149"/>
      <c r="D218" s="138" t="s">
        <v>301</v>
      </c>
      <c r="E218" s="150" t="s">
        <v>1</v>
      </c>
      <c r="F218" s="151" t="s">
        <v>1218</v>
      </c>
      <c r="H218" s="152">
        <v>-2.1320000000000001</v>
      </c>
      <c r="I218" s="153"/>
      <c r="L218" s="149"/>
      <c r="N218" s="310">
        <f>H218</f>
        <v>-2.1320000000000001</v>
      </c>
      <c r="O218" s="218"/>
      <c r="Q218" s="231"/>
      <c r="BX218" s="154"/>
      <c r="CE218" s="155"/>
      <c r="DE218" s="150" t="s">
        <v>301</v>
      </c>
      <c r="DF218" s="150" t="s">
        <v>83</v>
      </c>
      <c r="DG218" s="12" t="s">
        <v>83</v>
      </c>
      <c r="DH218" s="12" t="s">
        <v>32</v>
      </c>
      <c r="DI218" s="12" t="s">
        <v>74</v>
      </c>
      <c r="DJ218" s="150" t="s">
        <v>282</v>
      </c>
    </row>
    <row r="219" spans="2:128" s="11" customFormat="1" x14ac:dyDescent="0.2">
      <c r="B219" s="143"/>
      <c r="D219" s="138" t="s">
        <v>301</v>
      </c>
      <c r="E219" s="144" t="s">
        <v>1</v>
      </c>
      <c r="F219" s="145" t="s">
        <v>436</v>
      </c>
      <c r="H219" s="144" t="s">
        <v>1</v>
      </c>
      <c r="I219" s="146"/>
      <c r="L219" s="143"/>
      <c r="N219" s="215"/>
      <c r="O219" s="216"/>
      <c r="Q219" s="230"/>
      <c r="BX219" s="147"/>
      <c r="CE219" s="148"/>
      <c r="DE219" s="144" t="s">
        <v>301</v>
      </c>
      <c r="DF219" s="144" t="s">
        <v>83</v>
      </c>
      <c r="DG219" s="11" t="s">
        <v>81</v>
      </c>
      <c r="DH219" s="11" t="s">
        <v>32</v>
      </c>
      <c r="DI219" s="11" t="s">
        <v>74</v>
      </c>
      <c r="DJ219" s="144" t="s">
        <v>282</v>
      </c>
    </row>
    <row r="220" spans="2:128" s="12" customFormat="1" x14ac:dyDescent="0.2">
      <c r="B220" s="149"/>
      <c r="D220" s="138" t="s">
        <v>301</v>
      </c>
      <c r="E220" s="150" t="s">
        <v>1</v>
      </c>
      <c r="F220" s="151" t="s">
        <v>1219</v>
      </c>
      <c r="H220" s="152">
        <v>15.48</v>
      </c>
      <c r="I220" s="153"/>
      <c r="L220" s="149"/>
      <c r="N220" s="217">
        <f>32.886*(0.45-0.05)</f>
        <v>13.154400000000003</v>
      </c>
      <c r="O220" s="218" t="s">
        <v>3669</v>
      </c>
      <c r="Q220" s="231"/>
      <c r="BX220" s="154"/>
      <c r="CE220" s="155"/>
      <c r="DE220" s="150" t="s">
        <v>301</v>
      </c>
      <c r="DF220" s="150" t="s">
        <v>83</v>
      </c>
      <c r="DG220" s="12" t="s">
        <v>83</v>
      </c>
      <c r="DH220" s="12" t="s">
        <v>32</v>
      </c>
      <c r="DI220" s="12" t="s">
        <v>74</v>
      </c>
      <c r="DJ220" s="150" t="s">
        <v>282</v>
      </c>
    </row>
    <row r="221" spans="2:128" s="13" customFormat="1" x14ac:dyDescent="0.2">
      <c r="B221" s="156"/>
      <c r="D221" s="138" t="s">
        <v>301</v>
      </c>
      <c r="E221" s="157" t="s">
        <v>1</v>
      </c>
      <c r="F221" s="158" t="s">
        <v>305</v>
      </c>
      <c r="H221" s="159">
        <v>65.054000000000002</v>
      </c>
      <c r="I221" s="160"/>
      <c r="L221" s="156"/>
      <c r="N221" s="311">
        <f>N211+N213+N215+N217+N218+N220</f>
        <v>54.749400000000009</v>
      </c>
      <c r="O221" s="220"/>
      <c r="Q221" s="232"/>
      <c r="BX221" s="161"/>
      <c r="CE221" s="162"/>
      <c r="DE221" s="157" t="s">
        <v>301</v>
      </c>
      <c r="DF221" s="157" t="s">
        <v>83</v>
      </c>
      <c r="DG221" s="13" t="s">
        <v>95</v>
      </c>
      <c r="DH221" s="13" t="s">
        <v>32</v>
      </c>
      <c r="DI221" s="13" t="s">
        <v>81</v>
      </c>
      <c r="DJ221" s="157" t="s">
        <v>282</v>
      </c>
    </row>
    <row r="222" spans="2:128" s="13" customFormat="1" x14ac:dyDescent="0.2">
      <c r="B222" s="156"/>
      <c r="D222" s="138"/>
      <c r="E222" s="157"/>
      <c r="F222" s="158"/>
      <c r="H222" s="159"/>
      <c r="I222" s="160"/>
      <c r="L222" s="156"/>
      <c r="N222" s="311">
        <f>N221-H221</f>
        <v>-10.304599999999994</v>
      </c>
      <c r="O222" s="220"/>
      <c r="Q222" s="232"/>
      <c r="BX222" s="161"/>
      <c r="CE222" s="162"/>
      <c r="DE222" s="157"/>
      <c r="DF222" s="157"/>
      <c r="DJ222" s="157"/>
    </row>
    <row r="223" spans="2:128" s="1" customFormat="1" ht="14.45" customHeight="1" x14ac:dyDescent="0.2">
      <c r="B223" s="124"/>
      <c r="C223" s="170" t="s">
        <v>392</v>
      </c>
      <c r="D223" s="170" t="s">
        <v>439</v>
      </c>
      <c r="E223" s="171" t="s">
        <v>440</v>
      </c>
      <c r="F223" s="172" t="s">
        <v>441</v>
      </c>
      <c r="G223" s="173" t="s">
        <v>418</v>
      </c>
      <c r="H223" s="174">
        <v>116.77800000000001</v>
      </c>
      <c r="I223" s="175">
        <v>390.0974172</v>
      </c>
      <c r="J223" s="176">
        <f>ROUND(I223*H223,2)</f>
        <v>45554.8</v>
      </c>
      <c r="K223" s="172" t="s">
        <v>293</v>
      </c>
      <c r="L223" s="198">
        <f>S223</f>
        <v>0</v>
      </c>
      <c r="M223" s="206">
        <f>ROUND(L223*I223,2)</f>
        <v>0</v>
      </c>
      <c r="N223" s="211">
        <f>N234</f>
        <v>-18.607399999999998</v>
      </c>
      <c r="O223" s="212">
        <f>ROUND(N223*I223,2)</f>
        <v>-7258.7</v>
      </c>
      <c r="P223" s="207">
        <f>H223-L223-N223</f>
        <v>135.3854</v>
      </c>
      <c r="Q223" s="228">
        <f>ROUND(P223*I223,2)</f>
        <v>52813.49</v>
      </c>
      <c r="R223" s="199"/>
      <c r="S223" s="200">
        <f>W223+Y223+AA223+AC223+AE223+AG223+AI223+AK223</f>
        <v>0</v>
      </c>
      <c r="T223" s="200">
        <f>ROUND(S223*I223,2)</f>
        <v>0</v>
      </c>
      <c r="U223" s="200">
        <f>H223-S223</f>
        <v>116.77800000000001</v>
      </c>
      <c r="V223" s="200">
        <f>ROUND(U223*I223,2)</f>
        <v>45554.8</v>
      </c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77" t="s">
        <v>1</v>
      </c>
      <c r="BY223" s="178" t="s">
        <v>40</v>
      </c>
      <c r="CA223" s="134">
        <f>BZ223*H223</f>
        <v>0</v>
      </c>
      <c r="CB223" s="134">
        <v>1</v>
      </c>
      <c r="CC223" s="134">
        <f>CB223*H223</f>
        <v>116.77800000000001</v>
      </c>
      <c r="CD223" s="134">
        <v>0</v>
      </c>
      <c r="CE223" s="135">
        <f>CD223*H223</f>
        <v>0</v>
      </c>
      <c r="DC223" s="136" t="s">
        <v>328</v>
      </c>
      <c r="DE223" s="136" t="s">
        <v>439</v>
      </c>
      <c r="DF223" s="136" t="s">
        <v>83</v>
      </c>
      <c r="DJ223" s="16" t="s">
        <v>282</v>
      </c>
      <c r="DP223" s="137">
        <f>IF(BY223="základní",J223,0)</f>
        <v>45554.8</v>
      </c>
      <c r="DQ223" s="137">
        <f>IF(BY223="snížená",J223,0)</f>
        <v>0</v>
      </c>
      <c r="DR223" s="137">
        <f>IF(BY223="zákl. přenesená",J223,0)</f>
        <v>0</v>
      </c>
      <c r="DS223" s="137">
        <f>IF(BY223="sníž. přenesená",J223,0)</f>
        <v>0</v>
      </c>
      <c r="DT223" s="137">
        <f>IF(BY223="nulová",J223,0)</f>
        <v>0</v>
      </c>
      <c r="DU223" s="16" t="s">
        <v>81</v>
      </c>
      <c r="DV223" s="137">
        <f>ROUND(I223*H223,2)</f>
        <v>45554.8</v>
      </c>
      <c r="DW223" s="16" t="s">
        <v>95</v>
      </c>
      <c r="DX223" s="136" t="s">
        <v>442</v>
      </c>
    </row>
    <row r="224" spans="2:128" s="1" customFormat="1" x14ac:dyDescent="0.2">
      <c r="B224" s="31"/>
      <c r="D224" s="138" t="s">
        <v>289</v>
      </c>
      <c r="F224" s="139" t="s">
        <v>441</v>
      </c>
      <c r="I224" s="140"/>
      <c r="L224" s="31"/>
      <c r="N224" s="213"/>
      <c r="O224" s="214"/>
      <c r="Q224" s="229"/>
      <c r="BX224" s="141"/>
      <c r="CE224" s="50"/>
      <c r="DE224" s="16" t="s">
        <v>289</v>
      </c>
      <c r="DF224" s="16" t="s">
        <v>83</v>
      </c>
    </row>
    <row r="225" spans="2:128" s="1" customFormat="1" ht="19.5" x14ac:dyDescent="0.2">
      <c r="B225" s="31"/>
      <c r="D225" s="138" t="s">
        <v>299</v>
      </c>
      <c r="F225" s="142" t="s">
        <v>443</v>
      </c>
      <c r="I225" s="140"/>
      <c r="L225" s="31"/>
      <c r="N225" s="213"/>
      <c r="O225" s="214"/>
      <c r="Q225" s="229"/>
      <c r="BX225" s="141"/>
      <c r="CE225" s="50"/>
      <c r="DE225" s="16" t="s">
        <v>299</v>
      </c>
      <c r="DF225" s="16" t="s">
        <v>83</v>
      </c>
    </row>
    <row r="226" spans="2:128" s="11" customFormat="1" x14ac:dyDescent="0.2">
      <c r="B226" s="143"/>
      <c r="D226" s="138" t="s">
        <v>301</v>
      </c>
      <c r="E226" s="144" t="s">
        <v>1</v>
      </c>
      <c r="F226" s="145" t="s">
        <v>1006</v>
      </c>
      <c r="H226" s="144" t="s">
        <v>1</v>
      </c>
      <c r="I226" s="146"/>
      <c r="L226" s="143"/>
      <c r="N226" s="215"/>
      <c r="O226" s="216"/>
      <c r="Q226" s="230"/>
      <c r="BX226" s="147"/>
      <c r="CE226" s="148"/>
      <c r="DE226" s="144" t="s">
        <v>301</v>
      </c>
      <c r="DF226" s="144" t="s">
        <v>83</v>
      </c>
      <c r="DG226" s="11" t="s">
        <v>81</v>
      </c>
      <c r="DH226" s="11" t="s">
        <v>32</v>
      </c>
      <c r="DI226" s="11" t="s">
        <v>74</v>
      </c>
      <c r="DJ226" s="144" t="s">
        <v>282</v>
      </c>
    </row>
    <row r="227" spans="2:128" s="12" customFormat="1" x14ac:dyDescent="0.2">
      <c r="B227" s="149"/>
      <c r="D227" s="138" t="s">
        <v>301</v>
      </c>
      <c r="E227" s="150" t="s">
        <v>1</v>
      </c>
      <c r="F227" s="151" t="s">
        <v>1220</v>
      </c>
      <c r="H227" s="152">
        <v>65.054000000000002</v>
      </c>
      <c r="I227" s="153"/>
      <c r="L227" s="149"/>
      <c r="N227" s="217">
        <v>54.749000000000002</v>
      </c>
      <c r="O227" s="218"/>
      <c r="Q227" s="231"/>
      <c r="BX227" s="154"/>
      <c r="CE227" s="155"/>
      <c r="DE227" s="150" t="s">
        <v>301</v>
      </c>
      <c r="DF227" s="150" t="s">
        <v>83</v>
      </c>
      <c r="DG227" s="12" t="s">
        <v>83</v>
      </c>
      <c r="DH227" s="12" t="s">
        <v>32</v>
      </c>
      <c r="DI227" s="12" t="s">
        <v>74</v>
      </c>
      <c r="DJ227" s="150" t="s">
        <v>282</v>
      </c>
    </row>
    <row r="228" spans="2:128" s="14" customFormat="1" x14ac:dyDescent="0.2">
      <c r="B228" s="163"/>
      <c r="D228" s="138" t="s">
        <v>301</v>
      </c>
      <c r="E228" s="164" t="s">
        <v>1</v>
      </c>
      <c r="F228" s="165" t="s">
        <v>373</v>
      </c>
      <c r="H228" s="166">
        <v>65.054000000000002</v>
      </c>
      <c r="I228" s="167"/>
      <c r="L228" s="163"/>
      <c r="N228" s="221">
        <f>N227</f>
        <v>54.749000000000002</v>
      </c>
      <c r="O228" s="222"/>
      <c r="Q228" s="233"/>
      <c r="BX228" s="168"/>
      <c r="CE228" s="169"/>
      <c r="DE228" s="164" t="s">
        <v>301</v>
      </c>
      <c r="DF228" s="164" t="s">
        <v>83</v>
      </c>
      <c r="DG228" s="14" t="s">
        <v>90</v>
      </c>
      <c r="DH228" s="14" t="s">
        <v>32</v>
      </c>
      <c r="DI228" s="14" t="s">
        <v>74</v>
      </c>
      <c r="DJ228" s="164" t="s">
        <v>282</v>
      </c>
    </row>
    <row r="229" spans="2:128" s="11" customFormat="1" x14ac:dyDescent="0.2">
      <c r="B229" s="143"/>
      <c r="D229" s="138" t="s">
        <v>301</v>
      </c>
      <c r="E229" s="144" t="s">
        <v>1</v>
      </c>
      <c r="F229" s="145" t="s">
        <v>1102</v>
      </c>
      <c r="H229" s="144" t="s">
        <v>1</v>
      </c>
      <c r="I229" s="146"/>
      <c r="L229" s="143"/>
      <c r="N229" s="215"/>
      <c r="O229" s="216"/>
      <c r="Q229" s="230"/>
      <c r="BX229" s="147"/>
      <c r="CE229" s="148"/>
      <c r="DE229" s="144" t="s">
        <v>301</v>
      </c>
      <c r="DF229" s="144" t="s">
        <v>83</v>
      </c>
      <c r="DG229" s="11" t="s">
        <v>81</v>
      </c>
      <c r="DH229" s="11" t="s">
        <v>32</v>
      </c>
      <c r="DI229" s="11" t="s">
        <v>74</v>
      </c>
      <c r="DJ229" s="144" t="s">
        <v>282</v>
      </c>
    </row>
    <row r="230" spans="2:128" s="12" customFormat="1" x14ac:dyDescent="0.2">
      <c r="B230" s="149"/>
      <c r="D230" s="138" t="s">
        <v>301</v>
      </c>
      <c r="E230" s="150" t="s">
        <v>1</v>
      </c>
      <c r="F230" s="151" t="s">
        <v>1210</v>
      </c>
      <c r="H230" s="152">
        <v>6.665</v>
      </c>
      <c r="I230" s="153"/>
      <c r="L230" s="149"/>
      <c r="N230" s="217">
        <f>36.54*1*(2.2-0.1-0.45-0.1)*0.1</f>
        <v>5.6637000000000004</v>
      </c>
      <c r="O230" s="218" t="s">
        <v>3663</v>
      </c>
      <c r="Q230" s="231"/>
      <c r="BX230" s="154"/>
      <c r="CE230" s="155"/>
      <c r="DE230" s="150" t="s">
        <v>301</v>
      </c>
      <c r="DF230" s="150" t="s">
        <v>83</v>
      </c>
      <c r="DG230" s="12" t="s">
        <v>83</v>
      </c>
      <c r="DH230" s="12" t="s">
        <v>32</v>
      </c>
      <c r="DI230" s="12" t="s">
        <v>74</v>
      </c>
      <c r="DJ230" s="150" t="s">
        <v>282</v>
      </c>
    </row>
    <row r="231" spans="2:128" s="14" customFormat="1" x14ac:dyDescent="0.2">
      <c r="B231" s="163"/>
      <c r="D231" s="138" t="s">
        <v>301</v>
      </c>
      <c r="E231" s="164" t="s">
        <v>1</v>
      </c>
      <c r="F231" s="165" t="s">
        <v>373</v>
      </c>
      <c r="H231" s="166">
        <v>6.665</v>
      </c>
      <c r="I231" s="167"/>
      <c r="L231" s="163"/>
      <c r="N231" s="221">
        <f>N230</f>
        <v>5.6637000000000004</v>
      </c>
      <c r="O231" s="222"/>
      <c r="Q231" s="233"/>
      <c r="BX231" s="168"/>
      <c r="CE231" s="169"/>
      <c r="DE231" s="164" t="s">
        <v>301</v>
      </c>
      <c r="DF231" s="164" t="s">
        <v>83</v>
      </c>
      <c r="DG231" s="14" t="s">
        <v>90</v>
      </c>
      <c r="DH231" s="14" t="s">
        <v>32</v>
      </c>
      <c r="DI231" s="14" t="s">
        <v>74</v>
      </c>
      <c r="DJ231" s="164" t="s">
        <v>282</v>
      </c>
    </row>
    <row r="232" spans="2:128" s="12" customFormat="1" x14ac:dyDescent="0.2">
      <c r="B232" s="149"/>
      <c r="D232" s="138" t="s">
        <v>301</v>
      </c>
      <c r="E232" s="150" t="s">
        <v>1</v>
      </c>
      <c r="F232" s="151" t="s">
        <v>1221</v>
      </c>
      <c r="H232" s="152">
        <v>58.389000000000003</v>
      </c>
      <c r="I232" s="153"/>
      <c r="L232" s="149"/>
      <c r="N232" s="217">
        <f>N228-N231</f>
        <v>49.085300000000004</v>
      </c>
      <c r="O232" s="218"/>
      <c r="Q232" s="231"/>
      <c r="BX232" s="154"/>
      <c r="CE232" s="155"/>
      <c r="DE232" s="150" t="s">
        <v>301</v>
      </c>
      <c r="DF232" s="150" t="s">
        <v>83</v>
      </c>
      <c r="DG232" s="12" t="s">
        <v>83</v>
      </c>
      <c r="DH232" s="12" t="s">
        <v>32</v>
      </c>
      <c r="DI232" s="12" t="s">
        <v>81</v>
      </c>
      <c r="DJ232" s="150" t="s">
        <v>282</v>
      </c>
    </row>
    <row r="233" spans="2:128" s="12" customFormat="1" x14ac:dyDescent="0.2">
      <c r="B233" s="149"/>
      <c r="D233" s="138" t="s">
        <v>301</v>
      </c>
      <c r="F233" s="151" t="s">
        <v>1222</v>
      </c>
      <c r="H233" s="152">
        <v>116.77800000000001</v>
      </c>
      <c r="I233" s="153"/>
      <c r="L233" s="149"/>
      <c r="N233" s="217">
        <f>N232*2</f>
        <v>98.170600000000007</v>
      </c>
      <c r="O233" s="218"/>
      <c r="Q233" s="231"/>
      <c r="BX233" s="154"/>
      <c r="CE233" s="155"/>
      <c r="DE233" s="150" t="s">
        <v>301</v>
      </c>
      <c r="DF233" s="150" t="s">
        <v>83</v>
      </c>
      <c r="DG233" s="12" t="s">
        <v>83</v>
      </c>
      <c r="DH233" s="12" t="s">
        <v>3</v>
      </c>
      <c r="DI233" s="12" t="s">
        <v>81</v>
      </c>
      <c r="DJ233" s="150" t="s">
        <v>282</v>
      </c>
    </row>
    <row r="234" spans="2:128" s="12" customFormat="1" x14ac:dyDescent="0.2">
      <c r="B234" s="149"/>
      <c r="D234" s="138"/>
      <c r="F234" s="151"/>
      <c r="H234" s="152"/>
      <c r="I234" s="153"/>
      <c r="L234" s="149"/>
      <c r="N234" s="310">
        <f>N233-H233</f>
        <v>-18.607399999999998</v>
      </c>
      <c r="O234" s="218"/>
      <c r="Q234" s="231"/>
      <c r="BX234" s="154"/>
      <c r="CE234" s="155"/>
      <c r="DE234" s="150"/>
      <c r="DF234" s="150"/>
      <c r="DJ234" s="150"/>
    </row>
    <row r="235" spans="2:128" s="1" customFormat="1" ht="24.2" customHeight="1" x14ac:dyDescent="0.2">
      <c r="B235" s="124"/>
      <c r="C235" s="125" t="s">
        <v>397</v>
      </c>
      <c r="D235" s="125" t="s">
        <v>284</v>
      </c>
      <c r="E235" s="126" t="s">
        <v>446</v>
      </c>
      <c r="F235" s="127" t="s">
        <v>447</v>
      </c>
      <c r="G235" s="128" t="s">
        <v>366</v>
      </c>
      <c r="H235" s="129">
        <v>19.350000000000001</v>
      </c>
      <c r="I235" s="130">
        <v>510.38291484661499</v>
      </c>
      <c r="J235" s="131">
        <f>ROUND(I235*H235,2)</f>
        <v>9875.91</v>
      </c>
      <c r="K235" s="127" t="s">
        <v>293</v>
      </c>
      <c r="L235" s="198">
        <f>S235</f>
        <v>0</v>
      </c>
      <c r="M235" s="206">
        <f>ROUND(L235*I235,2)</f>
        <v>0</v>
      </c>
      <c r="N235" s="211">
        <f>N239</f>
        <v>-2.907</v>
      </c>
      <c r="O235" s="212">
        <f>ROUND(N235*I235,2)</f>
        <v>-1483.68</v>
      </c>
      <c r="P235" s="207">
        <f>H235-L235-N235</f>
        <v>22.257000000000001</v>
      </c>
      <c r="Q235" s="228">
        <f>ROUND(P235*I235,2)</f>
        <v>11359.59</v>
      </c>
      <c r="R235" s="199"/>
      <c r="S235" s="200">
        <f>W235+Y235+AA235+AC235+AE235+AG235+AI235+AK235</f>
        <v>0</v>
      </c>
      <c r="T235" s="200">
        <f>ROUND(S235*I235,2)</f>
        <v>0</v>
      </c>
      <c r="U235" s="200">
        <f>H235-S235</f>
        <v>19.350000000000001</v>
      </c>
      <c r="V235" s="200">
        <f>ROUND(U235*I235,2)</f>
        <v>9875.91</v>
      </c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200"/>
      <c r="AK235" s="200"/>
      <c r="AL235" s="200"/>
      <c r="BX235" s="132" t="s">
        <v>1</v>
      </c>
      <c r="BY235" s="133" t="s">
        <v>40</v>
      </c>
      <c r="CA235" s="134">
        <f>BZ235*H235</f>
        <v>0</v>
      </c>
      <c r="CB235" s="134">
        <v>0</v>
      </c>
      <c r="CC235" s="134">
        <f>CB235*H235</f>
        <v>0</v>
      </c>
      <c r="CD235" s="134">
        <v>0</v>
      </c>
      <c r="CE235" s="135">
        <f>CD235*H235</f>
        <v>0</v>
      </c>
      <c r="DC235" s="136" t="s">
        <v>95</v>
      </c>
      <c r="DE235" s="136" t="s">
        <v>284</v>
      </c>
      <c r="DF235" s="136" t="s">
        <v>83</v>
      </c>
      <c r="DJ235" s="16" t="s">
        <v>282</v>
      </c>
      <c r="DP235" s="137">
        <f>IF(BY235="základní",J235,0)</f>
        <v>9875.91</v>
      </c>
      <c r="DQ235" s="137">
        <f>IF(BY235="snížená",J235,0)</f>
        <v>0</v>
      </c>
      <c r="DR235" s="137">
        <f>IF(BY235="zákl. přenesená",J235,0)</f>
        <v>0</v>
      </c>
      <c r="DS235" s="137">
        <f>IF(BY235="sníž. přenesená",J235,0)</f>
        <v>0</v>
      </c>
      <c r="DT235" s="137">
        <f>IF(BY235="nulová",J235,0)</f>
        <v>0</v>
      </c>
      <c r="DU235" s="16" t="s">
        <v>81</v>
      </c>
      <c r="DV235" s="137">
        <f>ROUND(I235*H235,2)</f>
        <v>9875.91</v>
      </c>
      <c r="DW235" s="16" t="s">
        <v>95</v>
      </c>
      <c r="DX235" s="136" t="s">
        <v>448</v>
      </c>
    </row>
    <row r="236" spans="2:128" s="1" customFormat="1" ht="39" x14ac:dyDescent="0.2">
      <c r="B236" s="31"/>
      <c r="D236" s="138" t="s">
        <v>289</v>
      </c>
      <c r="F236" s="139" t="s">
        <v>449</v>
      </c>
      <c r="I236" s="140"/>
      <c r="L236" s="31"/>
      <c r="N236" s="213"/>
      <c r="O236" s="214"/>
      <c r="Q236" s="229"/>
      <c r="BX236" s="141"/>
      <c r="CE236" s="50"/>
      <c r="DE236" s="16" t="s">
        <v>289</v>
      </c>
      <c r="DF236" s="16" t="s">
        <v>83</v>
      </c>
    </row>
    <row r="237" spans="2:128" s="1" customFormat="1" ht="29.25" x14ac:dyDescent="0.2">
      <c r="B237" s="31"/>
      <c r="D237" s="138" t="s">
        <v>299</v>
      </c>
      <c r="F237" s="142" t="s">
        <v>1083</v>
      </c>
      <c r="I237" s="140"/>
      <c r="L237" s="31"/>
      <c r="N237" s="213"/>
      <c r="O237" s="214"/>
      <c r="Q237" s="229"/>
      <c r="BX237" s="141"/>
      <c r="CE237" s="50"/>
      <c r="DE237" s="16" t="s">
        <v>299</v>
      </c>
      <c r="DF237" s="16" t="s">
        <v>83</v>
      </c>
    </row>
    <row r="238" spans="2:128" s="12" customFormat="1" x14ac:dyDescent="0.2">
      <c r="B238" s="149"/>
      <c r="D238" s="138" t="s">
        <v>301</v>
      </c>
      <c r="E238" s="150" t="s">
        <v>1</v>
      </c>
      <c r="F238" s="151" t="s">
        <v>1223</v>
      </c>
      <c r="H238" s="152">
        <v>19.350000000000001</v>
      </c>
      <c r="I238" s="153"/>
      <c r="L238" s="149"/>
      <c r="N238" s="217">
        <f>36.54*1*0.45</f>
        <v>16.443000000000001</v>
      </c>
      <c r="O238" s="218" t="s">
        <v>3665</v>
      </c>
      <c r="Q238" s="231"/>
      <c r="BX238" s="154"/>
      <c r="CE238" s="155"/>
      <c r="DE238" s="150" t="s">
        <v>301</v>
      </c>
      <c r="DF238" s="150" t="s">
        <v>83</v>
      </c>
      <c r="DG238" s="12" t="s">
        <v>83</v>
      </c>
      <c r="DH238" s="12" t="s">
        <v>32</v>
      </c>
      <c r="DI238" s="12" t="s">
        <v>81</v>
      </c>
      <c r="DJ238" s="150" t="s">
        <v>282</v>
      </c>
    </row>
    <row r="239" spans="2:128" s="12" customFormat="1" x14ac:dyDescent="0.2">
      <c r="B239" s="149"/>
      <c r="D239" s="138"/>
      <c r="E239" s="150"/>
      <c r="F239" s="151"/>
      <c r="H239" s="152"/>
      <c r="I239" s="153"/>
      <c r="L239" s="149"/>
      <c r="N239" s="310">
        <f>N238-H238</f>
        <v>-2.907</v>
      </c>
      <c r="O239" s="218"/>
      <c r="Q239" s="231"/>
      <c r="BX239" s="154"/>
      <c r="CE239" s="155"/>
      <c r="DE239" s="150"/>
      <c r="DF239" s="150"/>
      <c r="DJ239" s="150"/>
    </row>
    <row r="240" spans="2:128" s="1" customFormat="1" ht="14.45" customHeight="1" x14ac:dyDescent="0.2">
      <c r="B240" s="124"/>
      <c r="C240" s="170" t="s">
        <v>404</v>
      </c>
      <c r="D240" s="170" t="s">
        <v>439</v>
      </c>
      <c r="E240" s="171" t="s">
        <v>452</v>
      </c>
      <c r="F240" s="172" t="s">
        <v>453</v>
      </c>
      <c r="G240" s="173" t="s">
        <v>418</v>
      </c>
      <c r="H240" s="174">
        <v>38.700000000000003</v>
      </c>
      <c r="I240" s="175">
        <v>380.62816190000001</v>
      </c>
      <c r="J240" s="176">
        <f>ROUND(I240*H240,2)</f>
        <v>14730.31</v>
      </c>
      <c r="K240" s="172" t="s">
        <v>293</v>
      </c>
      <c r="L240" s="198">
        <f>S240</f>
        <v>0</v>
      </c>
      <c r="M240" s="206">
        <f>ROUND(L240*I240,2)</f>
        <v>0</v>
      </c>
      <c r="N240" s="211">
        <f>N242</f>
        <v>-5.8140000000000001</v>
      </c>
      <c r="O240" s="212">
        <f>ROUND(N240*I240,2)</f>
        <v>-2212.9699999999998</v>
      </c>
      <c r="P240" s="207">
        <f>H240-L240-N240</f>
        <v>44.514000000000003</v>
      </c>
      <c r="Q240" s="228">
        <f>ROUND(P240*I240,2)</f>
        <v>16943.28</v>
      </c>
      <c r="R240" s="199"/>
      <c r="S240" s="200">
        <f>W240+Y240+AA240+AC240+AE240+AG240+AI240+AK240</f>
        <v>0</v>
      </c>
      <c r="T240" s="200">
        <f>ROUND(S240*I240,2)</f>
        <v>0</v>
      </c>
      <c r="U240" s="200">
        <f>H240-S240</f>
        <v>38.700000000000003</v>
      </c>
      <c r="V240" s="200">
        <f>ROUND(U240*I240,2)</f>
        <v>14730.31</v>
      </c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77" t="s">
        <v>1</v>
      </c>
      <c r="BY240" s="178" t="s">
        <v>40</v>
      </c>
      <c r="CA240" s="134">
        <f>BZ240*H240</f>
        <v>0</v>
      </c>
      <c r="CB240" s="134">
        <v>1</v>
      </c>
      <c r="CC240" s="134">
        <f>CB240*H240</f>
        <v>38.700000000000003</v>
      </c>
      <c r="CD240" s="134">
        <v>0</v>
      </c>
      <c r="CE240" s="135">
        <f>CD240*H240</f>
        <v>0</v>
      </c>
      <c r="DC240" s="136" t="s">
        <v>328</v>
      </c>
      <c r="DE240" s="136" t="s">
        <v>439</v>
      </c>
      <c r="DF240" s="136" t="s">
        <v>83</v>
      </c>
      <c r="DJ240" s="16" t="s">
        <v>282</v>
      </c>
      <c r="DP240" s="137">
        <f>IF(BY240="základní",J240,0)</f>
        <v>14730.31</v>
      </c>
      <c r="DQ240" s="137">
        <f>IF(BY240="snížená",J240,0)</f>
        <v>0</v>
      </c>
      <c r="DR240" s="137">
        <f>IF(BY240="zákl. přenesená",J240,0)</f>
        <v>0</v>
      </c>
      <c r="DS240" s="137">
        <f>IF(BY240="sníž. přenesená",J240,0)</f>
        <v>0</v>
      </c>
      <c r="DT240" s="137">
        <f>IF(BY240="nulová",J240,0)</f>
        <v>0</v>
      </c>
      <c r="DU240" s="16" t="s">
        <v>81</v>
      </c>
      <c r="DV240" s="137">
        <f>ROUND(I240*H240,2)</f>
        <v>14730.31</v>
      </c>
      <c r="DW240" s="16" t="s">
        <v>95</v>
      </c>
      <c r="DX240" s="136" t="s">
        <v>454</v>
      </c>
    </row>
    <row r="241" spans="2:128" s="1" customFormat="1" x14ac:dyDescent="0.2">
      <c r="B241" s="31"/>
      <c r="D241" s="138" t="s">
        <v>289</v>
      </c>
      <c r="F241" s="139" t="s">
        <v>453</v>
      </c>
      <c r="I241" s="140"/>
      <c r="L241" s="31"/>
      <c r="N241" s="213"/>
      <c r="O241" s="214"/>
      <c r="Q241" s="229"/>
      <c r="BX241" s="141"/>
      <c r="CE241" s="50"/>
      <c r="DE241" s="16" t="s">
        <v>289</v>
      </c>
      <c r="DF241" s="16" t="s">
        <v>83</v>
      </c>
    </row>
    <row r="242" spans="2:128" s="12" customFormat="1" x14ac:dyDescent="0.2">
      <c r="B242" s="149"/>
      <c r="D242" s="138" t="s">
        <v>301</v>
      </c>
      <c r="F242" s="151" t="s">
        <v>1224</v>
      </c>
      <c r="H242" s="152">
        <v>38.700000000000003</v>
      </c>
      <c r="I242" s="153"/>
      <c r="L242" s="149"/>
      <c r="N242" s="217">
        <f>-2.907*2</f>
        <v>-5.8140000000000001</v>
      </c>
      <c r="O242" s="218" t="s">
        <v>3666</v>
      </c>
      <c r="Q242" s="231"/>
      <c r="BX242" s="154"/>
      <c r="CE242" s="155"/>
      <c r="DE242" s="150" t="s">
        <v>301</v>
      </c>
      <c r="DF242" s="150" t="s">
        <v>83</v>
      </c>
      <c r="DG242" s="12" t="s">
        <v>83</v>
      </c>
      <c r="DH242" s="12" t="s">
        <v>3</v>
      </c>
      <c r="DI242" s="12" t="s">
        <v>81</v>
      </c>
      <c r="DJ242" s="150" t="s">
        <v>282</v>
      </c>
    </row>
    <row r="243" spans="2:128" s="1" customFormat="1" ht="24.2" customHeight="1" x14ac:dyDescent="0.2">
      <c r="B243" s="124"/>
      <c r="C243" s="125" t="s">
        <v>7</v>
      </c>
      <c r="D243" s="125" t="s">
        <v>284</v>
      </c>
      <c r="E243" s="126" t="s">
        <v>1012</v>
      </c>
      <c r="F243" s="127" t="s">
        <v>1013</v>
      </c>
      <c r="G243" s="128" t="s">
        <v>287</v>
      </c>
      <c r="H243" s="129">
        <v>12.9</v>
      </c>
      <c r="I243" s="130">
        <v>64.410667599999996</v>
      </c>
      <c r="J243" s="131">
        <f>ROUND(I243*H243,2)</f>
        <v>830.9</v>
      </c>
      <c r="K243" s="127" t="s">
        <v>1</v>
      </c>
      <c r="L243" s="198">
        <f>S243</f>
        <v>0</v>
      </c>
      <c r="M243" s="206">
        <f>ROUND(L243*I243,2)</f>
        <v>0</v>
      </c>
      <c r="N243" s="211">
        <f>N245</f>
        <v>-1.9379999999999988</v>
      </c>
      <c r="O243" s="212">
        <f>ROUND(N243*I243,2)</f>
        <v>-124.83</v>
      </c>
      <c r="P243" s="207">
        <f>H243-L243-N243</f>
        <v>14.837999999999999</v>
      </c>
      <c r="Q243" s="228">
        <f>ROUND(P243*I243,2)</f>
        <v>955.73</v>
      </c>
      <c r="R243" s="199"/>
      <c r="S243" s="200">
        <f>W243+Y243+AA243+AC243+AE243+AG243+AI243+AK243</f>
        <v>0</v>
      </c>
      <c r="T243" s="200">
        <f>ROUND(S243*I243,2)</f>
        <v>0</v>
      </c>
      <c r="U243" s="200">
        <f>H243-S243</f>
        <v>12.9</v>
      </c>
      <c r="V243" s="200">
        <f>ROUND(U243*I243,2)</f>
        <v>830.9</v>
      </c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BX243" s="132" t="s">
        <v>1</v>
      </c>
      <c r="BY243" s="133" t="s">
        <v>40</v>
      </c>
      <c r="CA243" s="134">
        <f>BZ243*H243</f>
        <v>0</v>
      </c>
      <c r="CB243" s="134">
        <v>0</v>
      </c>
      <c r="CC243" s="134">
        <f>CB243*H243</f>
        <v>0</v>
      </c>
      <c r="CD243" s="134">
        <v>0</v>
      </c>
      <c r="CE243" s="135">
        <f>CD243*H243</f>
        <v>0</v>
      </c>
      <c r="DC243" s="136" t="s">
        <v>95</v>
      </c>
      <c r="DE243" s="136" t="s">
        <v>284</v>
      </c>
      <c r="DF243" s="136" t="s">
        <v>83</v>
      </c>
      <c r="DJ243" s="16" t="s">
        <v>282</v>
      </c>
      <c r="DP243" s="137">
        <f>IF(BY243="základní",J243,0)</f>
        <v>830.9</v>
      </c>
      <c r="DQ243" s="137">
        <f>IF(BY243="snížená",J243,0)</f>
        <v>0</v>
      </c>
      <c r="DR243" s="137">
        <f>IF(BY243="zákl. přenesená",J243,0)</f>
        <v>0</v>
      </c>
      <c r="DS243" s="137">
        <f>IF(BY243="sníž. přenesená",J243,0)</f>
        <v>0</v>
      </c>
      <c r="DT243" s="137">
        <f>IF(BY243="nulová",J243,0)</f>
        <v>0</v>
      </c>
      <c r="DU243" s="16" t="s">
        <v>81</v>
      </c>
      <c r="DV243" s="137">
        <f>ROUND(I243*H243,2)</f>
        <v>830.9</v>
      </c>
      <c r="DW243" s="16" t="s">
        <v>95</v>
      </c>
      <c r="DX243" s="136" t="s">
        <v>1014</v>
      </c>
    </row>
    <row r="244" spans="2:128" s="1" customFormat="1" x14ac:dyDescent="0.2">
      <c r="B244" s="31"/>
      <c r="D244" s="138" t="s">
        <v>289</v>
      </c>
      <c r="F244" s="139" t="s">
        <v>1013</v>
      </c>
      <c r="I244" s="140"/>
      <c r="L244" s="31"/>
      <c r="N244" s="213"/>
      <c r="O244" s="214"/>
      <c r="Q244" s="229"/>
      <c r="BX244" s="141"/>
      <c r="CE244" s="50"/>
      <c r="DE244" s="16" t="s">
        <v>289</v>
      </c>
      <c r="DF244" s="16" t="s">
        <v>83</v>
      </c>
    </row>
    <row r="245" spans="2:128" s="1" customFormat="1" ht="24.2" customHeight="1" x14ac:dyDescent="0.2">
      <c r="B245" s="124"/>
      <c r="C245" s="125" t="s">
        <v>415</v>
      </c>
      <c r="D245" s="125" t="s">
        <v>284</v>
      </c>
      <c r="E245" s="126" t="s">
        <v>1015</v>
      </c>
      <c r="F245" s="127" t="s">
        <v>1016</v>
      </c>
      <c r="G245" s="128" t="s">
        <v>287</v>
      </c>
      <c r="H245" s="129">
        <v>12.9</v>
      </c>
      <c r="I245" s="130">
        <v>48.300657632010001</v>
      </c>
      <c r="J245" s="131">
        <f>ROUND(I245*H245,2)</f>
        <v>623.08000000000004</v>
      </c>
      <c r="K245" s="127" t="s">
        <v>293</v>
      </c>
      <c r="L245" s="198">
        <f>S245</f>
        <v>0</v>
      </c>
      <c r="M245" s="206">
        <f>ROUND(L245*I245,2)</f>
        <v>0</v>
      </c>
      <c r="N245" s="211">
        <f>N250</f>
        <v>-1.9379999999999988</v>
      </c>
      <c r="O245" s="212">
        <f>ROUND(N245*I245,2)</f>
        <v>-93.61</v>
      </c>
      <c r="P245" s="207">
        <f>H245-L245-N245</f>
        <v>14.837999999999999</v>
      </c>
      <c r="Q245" s="228">
        <f>ROUND(P245*I245,2)</f>
        <v>716.69</v>
      </c>
      <c r="R245" s="199"/>
      <c r="S245" s="200">
        <f>W245+Y245+AA245+AC245+AE245+AG245+AI245+AK245</f>
        <v>0</v>
      </c>
      <c r="T245" s="200">
        <f>ROUND(S245*I245,2)</f>
        <v>0</v>
      </c>
      <c r="U245" s="200">
        <f>H245-S245</f>
        <v>12.9</v>
      </c>
      <c r="V245" s="200">
        <f>ROUND(U245*I245,2)</f>
        <v>623.08000000000004</v>
      </c>
      <c r="W245" s="200"/>
      <c r="X245" s="200"/>
      <c r="Y245" s="200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BX245" s="132" t="s">
        <v>1</v>
      </c>
      <c r="BY245" s="133" t="s">
        <v>40</v>
      </c>
      <c r="CA245" s="134">
        <f>BZ245*H245</f>
        <v>0</v>
      </c>
      <c r="CB245" s="134">
        <v>0</v>
      </c>
      <c r="CC245" s="134">
        <f>CB245*H245</f>
        <v>0</v>
      </c>
      <c r="CD245" s="134">
        <v>0</v>
      </c>
      <c r="CE245" s="135">
        <f>CD245*H245</f>
        <v>0</v>
      </c>
      <c r="DC245" s="136" t="s">
        <v>95</v>
      </c>
      <c r="DE245" s="136" t="s">
        <v>284</v>
      </c>
      <c r="DF245" s="136" t="s">
        <v>83</v>
      </c>
      <c r="DJ245" s="16" t="s">
        <v>282</v>
      </c>
      <c r="DP245" s="137">
        <f>IF(BY245="základní",J245,0)</f>
        <v>623.08000000000004</v>
      </c>
      <c r="DQ245" s="137">
        <f>IF(BY245="snížená",J245,0)</f>
        <v>0</v>
      </c>
      <c r="DR245" s="137">
        <f>IF(BY245="zákl. přenesená",J245,0)</f>
        <v>0</v>
      </c>
      <c r="DS245" s="137">
        <f>IF(BY245="sníž. přenesená",J245,0)</f>
        <v>0</v>
      </c>
      <c r="DT245" s="137">
        <f>IF(BY245="nulová",J245,0)</f>
        <v>0</v>
      </c>
      <c r="DU245" s="16" t="s">
        <v>81</v>
      </c>
      <c r="DV245" s="137">
        <f>ROUND(I245*H245,2)</f>
        <v>623.08000000000004</v>
      </c>
      <c r="DW245" s="16" t="s">
        <v>95</v>
      </c>
      <c r="DX245" s="136" t="s">
        <v>1017</v>
      </c>
    </row>
    <row r="246" spans="2:128" s="1" customFormat="1" ht="29.25" x14ac:dyDescent="0.2">
      <c r="B246" s="31"/>
      <c r="D246" s="138" t="s">
        <v>289</v>
      </c>
      <c r="F246" s="139" t="s">
        <v>1018</v>
      </c>
      <c r="I246" s="140"/>
      <c r="L246" s="31"/>
      <c r="N246" s="213"/>
      <c r="O246" s="214"/>
      <c r="Q246" s="229"/>
      <c r="BX246" s="141"/>
      <c r="CE246" s="50"/>
      <c r="DE246" s="16" t="s">
        <v>289</v>
      </c>
      <c r="DF246" s="16" t="s">
        <v>83</v>
      </c>
    </row>
    <row r="247" spans="2:128" s="1" customFormat="1" ht="29.25" x14ac:dyDescent="0.2">
      <c r="B247" s="31"/>
      <c r="D247" s="138" t="s">
        <v>299</v>
      </c>
      <c r="F247" s="142" t="s">
        <v>1083</v>
      </c>
      <c r="I247" s="140"/>
      <c r="L247" s="31"/>
      <c r="N247" s="213"/>
      <c r="O247" s="214"/>
      <c r="Q247" s="229"/>
      <c r="BX247" s="141"/>
      <c r="CE247" s="50"/>
      <c r="DE247" s="16" t="s">
        <v>299</v>
      </c>
      <c r="DF247" s="16" t="s">
        <v>83</v>
      </c>
    </row>
    <row r="248" spans="2:128" s="11" customFormat="1" x14ac:dyDescent="0.2">
      <c r="B248" s="143"/>
      <c r="D248" s="138" t="s">
        <v>301</v>
      </c>
      <c r="E248" s="144" t="s">
        <v>1</v>
      </c>
      <c r="F248" s="145" t="s">
        <v>1088</v>
      </c>
      <c r="H248" s="144" t="s">
        <v>1</v>
      </c>
      <c r="I248" s="146"/>
      <c r="L248" s="143"/>
      <c r="N248" s="215"/>
      <c r="O248" s="216"/>
      <c r="Q248" s="230"/>
      <c r="BX248" s="147"/>
      <c r="CE248" s="148"/>
      <c r="DE248" s="144" t="s">
        <v>301</v>
      </c>
      <c r="DF248" s="144" t="s">
        <v>83</v>
      </c>
      <c r="DG248" s="11" t="s">
        <v>81</v>
      </c>
      <c r="DH248" s="11" t="s">
        <v>32</v>
      </c>
      <c r="DI248" s="11" t="s">
        <v>74</v>
      </c>
      <c r="DJ248" s="144" t="s">
        <v>282</v>
      </c>
    </row>
    <row r="249" spans="2:128" s="12" customFormat="1" x14ac:dyDescent="0.2">
      <c r="B249" s="149"/>
      <c r="D249" s="138" t="s">
        <v>301</v>
      </c>
      <c r="E249" s="150" t="s">
        <v>1</v>
      </c>
      <c r="F249" s="151" t="s">
        <v>1200</v>
      </c>
      <c r="H249" s="152">
        <v>12.9</v>
      </c>
      <c r="I249" s="153"/>
      <c r="L249" s="149"/>
      <c r="N249" s="217">
        <f>36.54*3*0.1</f>
        <v>10.962000000000002</v>
      </c>
      <c r="O249" s="218" t="s">
        <v>3655</v>
      </c>
      <c r="Q249" s="231"/>
      <c r="BX249" s="154"/>
      <c r="CE249" s="155"/>
      <c r="DE249" s="150" t="s">
        <v>301</v>
      </c>
      <c r="DF249" s="150" t="s">
        <v>83</v>
      </c>
      <c r="DG249" s="12" t="s">
        <v>83</v>
      </c>
      <c r="DH249" s="12" t="s">
        <v>32</v>
      </c>
      <c r="DI249" s="12" t="s">
        <v>81</v>
      </c>
      <c r="DJ249" s="150" t="s">
        <v>282</v>
      </c>
    </row>
    <row r="250" spans="2:128" s="12" customFormat="1" x14ac:dyDescent="0.2">
      <c r="B250" s="149"/>
      <c r="D250" s="138"/>
      <c r="E250" s="150"/>
      <c r="F250" s="151"/>
      <c r="H250" s="152"/>
      <c r="I250" s="153"/>
      <c r="L250" s="149"/>
      <c r="N250" s="310">
        <f>N249-H249</f>
        <v>-1.9379999999999988</v>
      </c>
      <c r="O250" s="218"/>
      <c r="Q250" s="231"/>
      <c r="BX250" s="154"/>
      <c r="CE250" s="155"/>
      <c r="DE250" s="150"/>
      <c r="DF250" s="150"/>
      <c r="DJ250" s="150"/>
    </row>
    <row r="251" spans="2:128" s="1" customFormat="1" ht="24.2" customHeight="1" x14ac:dyDescent="0.2">
      <c r="B251" s="124"/>
      <c r="C251" s="125" t="s">
        <v>422</v>
      </c>
      <c r="D251" s="125" t="s">
        <v>284</v>
      </c>
      <c r="E251" s="126" t="s">
        <v>457</v>
      </c>
      <c r="F251" s="127" t="s">
        <v>458</v>
      </c>
      <c r="G251" s="128" t="s">
        <v>418</v>
      </c>
      <c r="H251" s="129">
        <v>155.47800000000001</v>
      </c>
      <c r="I251" s="130">
        <v>61.737071122597108</v>
      </c>
      <c r="J251" s="131">
        <f>ROUND(I251*H251,2)</f>
        <v>9598.76</v>
      </c>
      <c r="K251" s="127" t="s">
        <v>293</v>
      </c>
      <c r="L251" s="198">
        <f>S251</f>
        <v>0</v>
      </c>
      <c r="M251" s="206">
        <f>ROUND(L251*I251,2)</f>
        <v>0</v>
      </c>
      <c r="N251" s="211">
        <f>N253</f>
        <v>-24.420999999999999</v>
      </c>
      <c r="O251" s="212">
        <f>ROUND(N251*I251,2)</f>
        <v>-1507.68</v>
      </c>
      <c r="P251" s="207">
        <f>H251-L251-N251</f>
        <v>179.899</v>
      </c>
      <c r="Q251" s="228">
        <f>ROUND(P251*I251,2)</f>
        <v>11106.44</v>
      </c>
      <c r="R251" s="199"/>
      <c r="S251" s="200">
        <f>W251+Y251+AA251+AC251+AE251+AG251+AI251+AK251</f>
        <v>0</v>
      </c>
      <c r="T251" s="200">
        <f>ROUND(S251*I251,2)</f>
        <v>0</v>
      </c>
      <c r="U251" s="200">
        <f>H251-S251</f>
        <v>155.47800000000001</v>
      </c>
      <c r="V251" s="200">
        <f>ROUND(U251*I251,2)</f>
        <v>9598.76</v>
      </c>
      <c r="W251" s="200"/>
      <c r="X251" s="200"/>
      <c r="Y251" s="200"/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BX251" s="132" t="s">
        <v>1</v>
      </c>
      <c r="BY251" s="133" t="s">
        <v>40</v>
      </c>
      <c r="CA251" s="134">
        <f>BZ251*H251</f>
        <v>0</v>
      </c>
      <c r="CB251" s="134">
        <v>0</v>
      </c>
      <c r="CC251" s="134">
        <f>CB251*H251</f>
        <v>0</v>
      </c>
      <c r="CD251" s="134">
        <v>0</v>
      </c>
      <c r="CE251" s="135">
        <f>CD251*H251</f>
        <v>0</v>
      </c>
      <c r="DC251" s="136" t="s">
        <v>95</v>
      </c>
      <c r="DE251" s="136" t="s">
        <v>284</v>
      </c>
      <c r="DF251" s="136" t="s">
        <v>83</v>
      </c>
      <c r="DJ251" s="16" t="s">
        <v>282</v>
      </c>
      <c r="DP251" s="137">
        <f>IF(BY251="základní",J251,0)</f>
        <v>9598.76</v>
      </c>
      <c r="DQ251" s="137">
        <f>IF(BY251="snížená",J251,0)</f>
        <v>0</v>
      </c>
      <c r="DR251" s="137">
        <f>IF(BY251="zákl. přenesená",J251,0)</f>
        <v>0</v>
      </c>
      <c r="DS251" s="137">
        <f>IF(BY251="sníž. přenesená",J251,0)</f>
        <v>0</v>
      </c>
      <c r="DT251" s="137">
        <f>IF(BY251="nulová",J251,0)</f>
        <v>0</v>
      </c>
      <c r="DU251" s="16" t="s">
        <v>81</v>
      </c>
      <c r="DV251" s="137">
        <f>ROUND(I251*H251,2)</f>
        <v>9598.76</v>
      </c>
      <c r="DW251" s="16" t="s">
        <v>95</v>
      </c>
      <c r="DX251" s="136" t="s">
        <v>459</v>
      </c>
    </row>
    <row r="252" spans="2:128" s="1" customFormat="1" ht="29.25" x14ac:dyDescent="0.2">
      <c r="B252" s="31"/>
      <c r="D252" s="138" t="s">
        <v>289</v>
      </c>
      <c r="F252" s="139" t="s">
        <v>460</v>
      </c>
      <c r="I252" s="140"/>
      <c r="L252" s="31"/>
      <c r="N252" s="213"/>
      <c r="O252" s="214"/>
      <c r="Q252" s="229"/>
      <c r="BX252" s="141"/>
      <c r="CE252" s="50"/>
      <c r="DE252" s="16" t="s">
        <v>289</v>
      </c>
      <c r="DF252" s="16" t="s">
        <v>83</v>
      </c>
    </row>
    <row r="253" spans="2:128" s="12" customFormat="1" x14ac:dyDescent="0.2">
      <c r="B253" s="149"/>
      <c r="D253" s="138" t="s">
        <v>301</v>
      </c>
      <c r="E253" s="150" t="s">
        <v>1</v>
      </c>
      <c r="F253" s="151" t="s">
        <v>1225</v>
      </c>
      <c r="H253" s="152">
        <v>155.47800000000001</v>
      </c>
      <c r="I253" s="153"/>
      <c r="L253" s="149"/>
      <c r="N253" s="217">
        <f>-18.607-5.814</f>
        <v>-24.420999999999999</v>
      </c>
      <c r="O253" s="218" t="s">
        <v>3670</v>
      </c>
      <c r="Q253" s="231"/>
      <c r="BX253" s="154"/>
      <c r="CE253" s="155"/>
      <c r="DE253" s="150" t="s">
        <v>301</v>
      </c>
      <c r="DF253" s="150" t="s">
        <v>83</v>
      </c>
      <c r="DG253" s="12" t="s">
        <v>83</v>
      </c>
      <c r="DH253" s="12" t="s">
        <v>32</v>
      </c>
      <c r="DI253" s="12" t="s">
        <v>81</v>
      </c>
      <c r="DJ253" s="150" t="s">
        <v>282</v>
      </c>
    </row>
    <row r="254" spans="2:128" s="10" customFormat="1" ht="22.9" customHeight="1" x14ac:dyDescent="0.2">
      <c r="B254" s="112"/>
      <c r="D254" s="113" t="s">
        <v>73</v>
      </c>
      <c r="E254" s="122" t="s">
        <v>83</v>
      </c>
      <c r="F254" s="122" t="s">
        <v>462</v>
      </c>
      <c r="I254" s="115"/>
      <c r="J254" s="123">
        <f>DV254</f>
        <v>11354.94</v>
      </c>
      <c r="L254" s="112"/>
      <c r="M254" s="320">
        <f>M255</f>
        <v>0</v>
      </c>
      <c r="N254" s="323"/>
      <c r="O254" s="324">
        <f t="shared" ref="O254:V254" si="3">O255</f>
        <v>-1705.88</v>
      </c>
      <c r="P254" s="320"/>
      <c r="Q254" s="326">
        <f t="shared" si="3"/>
        <v>13060.82</v>
      </c>
      <c r="R254" s="320"/>
      <c r="S254" s="320"/>
      <c r="T254" s="320">
        <f t="shared" si="3"/>
        <v>0</v>
      </c>
      <c r="U254" s="320"/>
      <c r="V254" s="320">
        <f t="shared" si="3"/>
        <v>11354.94</v>
      </c>
      <c r="BX254" s="117"/>
      <c r="CA254" s="118">
        <f>SUM(CA255:CA258)</f>
        <v>0</v>
      </c>
      <c r="CC254" s="118">
        <f>SUM(CC255:CC258)</f>
        <v>8.8016699999999997</v>
      </c>
      <c r="CE254" s="119">
        <f>SUM(CE255:CE258)</f>
        <v>0</v>
      </c>
      <c r="DC254" s="113" t="s">
        <v>81</v>
      </c>
      <c r="DE254" s="120" t="s">
        <v>73</v>
      </c>
      <c r="DF254" s="120" t="s">
        <v>81</v>
      </c>
      <c r="DJ254" s="113" t="s">
        <v>282</v>
      </c>
      <c r="DV254" s="121">
        <f>SUM(DV255:DV258)</f>
        <v>11354.94</v>
      </c>
    </row>
    <row r="255" spans="2:128" s="1" customFormat="1" ht="37.9" customHeight="1" x14ac:dyDescent="0.2">
      <c r="B255" s="124"/>
      <c r="C255" s="125" t="s">
        <v>438</v>
      </c>
      <c r="D255" s="125" t="s">
        <v>284</v>
      </c>
      <c r="E255" s="126" t="s">
        <v>464</v>
      </c>
      <c r="F255" s="127" t="s">
        <v>465</v>
      </c>
      <c r="G255" s="128" t="s">
        <v>344</v>
      </c>
      <c r="H255" s="129">
        <v>43</v>
      </c>
      <c r="I255" s="130">
        <v>264.06831423630393</v>
      </c>
      <c r="J255" s="131">
        <f>ROUND(I255*H255,2)</f>
        <v>11354.94</v>
      </c>
      <c r="K255" s="127" t="s">
        <v>293</v>
      </c>
      <c r="L255" s="198">
        <f>S255</f>
        <v>0</v>
      </c>
      <c r="M255" s="206">
        <f>ROUND(L255*I255,2)</f>
        <v>0</v>
      </c>
      <c r="N255" s="211">
        <f>N258</f>
        <v>-6.4600000000000009</v>
      </c>
      <c r="O255" s="212">
        <f>ROUND(N255*I255,2)</f>
        <v>-1705.88</v>
      </c>
      <c r="P255" s="207">
        <f>H255-L255-N255</f>
        <v>49.46</v>
      </c>
      <c r="Q255" s="228">
        <f>ROUND(P255*I255,2)</f>
        <v>13060.82</v>
      </c>
      <c r="R255" s="199"/>
      <c r="S255" s="200">
        <f>W255+Y255+AA255+AC255+AE255+AG255+AI255+AK255</f>
        <v>0</v>
      </c>
      <c r="T255" s="200">
        <f>ROUND(S255*I255,2)</f>
        <v>0</v>
      </c>
      <c r="U255" s="200">
        <f>H255-S255</f>
        <v>43</v>
      </c>
      <c r="V255" s="200">
        <f>ROUND(U255*I255,2)</f>
        <v>11354.94</v>
      </c>
      <c r="W255" s="20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BX255" s="132" t="s">
        <v>1</v>
      </c>
      <c r="BY255" s="133" t="s">
        <v>40</v>
      </c>
      <c r="CA255" s="134">
        <f>BZ255*H255</f>
        <v>0</v>
      </c>
      <c r="CB255" s="134">
        <v>0.20469000000000001</v>
      </c>
      <c r="CC255" s="134">
        <f>CB255*H255</f>
        <v>8.8016699999999997</v>
      </c>
      <c r="CD255" s="134">
        <v>0</v>
      </c>
      <c r="CE255" s="135">
        <f>CD255*H255</f>
        <v>0</v>
      </c>
      <c r="DC255" s="136" t="s">
        <v>95</v>
      </c>
      <c r="DE255" s="136" t="s">
        <v>284</v>
      </c>
      <c r="DF255" s="136" t="s">
        <v>83</v>
      </c>
      <c r="DJ255" s="16" t="s">
        <v>282</v>
      </c>
      <c r="DP255" s="137">
        <f>IF(BY255="základní",J255,0)</f>
        <v>11354.94</v>
      </c>
      <c r="DQ255" s="137">
        <f>IF(BY255="snížená",J255,0)</f>
        <v>0</v>
      </c>
      <c r="DR255" s="137">
        <f>IF(BY255="zákl. přenesená",J255,0)</f>
        <v>0</v>
      </c>
      <c r="DS255" s="137">
        <f>IF(BY255="sníž. přenesená",J255,0)</f>
        <v>0</v>
      </c>
      <c r="DT255" s="137">
        <f>IF(BY255="nulová",J255,0)</f>
        <v>0</v>
      </c>
      <c r="DU255" s="16" t="s">
        <v>81</v>
      </c>
      <c r="DV255" s="137">
        <f>ROUND(I255*H255,2)</f>
        <v>11354.94</v>
      </c>
      <c r="DW255" s="16" t="s">
        <v>95</v>
      </c>
      <c r="DX255" s="136" t="s">
        <v>466</v>
      </c>
    </row>
    <row r="256" spans="2:128" s="1" customFormat="1" ht="39" x14ac:dyDescent="0.2">
      <c r="B256" s="31"/>
      <c r="D256" s="138" t="s">
        <v>289</v>
      </c>
      <c r="F256" s="139" t="s">
        <v>467</v>
      </c>
      <c r="I256" s="140"/>
      <c r="L256" s="31"/>
      <c r="N256" s="213"/>
      <c r="O256" s="214"/>
      <c r="Q256" s="229"/>
      <c r="BX256" s="141"/>
      <c r="CE256" s="50"/>
      <c r="DE256" s="16" t="s">
        <v>289</v>
      </c>
      <c r="DF256" s="16" t="s">
        <v>83</v>
      </c>
    </row>
    <row r="257" spans="2:128" s="1" customFormat="1" ht="29.25" x14ac:dyDescent="0.2">
      <c r="B257" s="31"/>
      <c r="D257" s="138" t="s">
        <v>299</v>
      </c>
      <c r="F257" s="142" t="s">
        <v>1083</v>
      </c>
      <c r="I257" s="140"/>
      <c r="L257" s="31"/>
      <c r="N257" s="213"/>
      <c r="O257" s="214"/>
      <c r="Q257" s="229"/>
      <c r="BX257" s="141"/>
      <c r="CE257" s="50"/>
      <c r="DE257" s="16" t="s">
        <v>299</v>
      </c>
      <c r="DF257" s="16" t="s">
        <v>83</v>
      </c>
    </row>
    <row r="258" spans="2:128" s="12" customFormat="1" x14ac:dyDescent="0.2">
      <c r="B258" s="149"/>
      <c r="D258" s="138" t="s">
        <v>301</v>
      </c>
      <c r="E258" s="150" t="s">
        <v>1</v>
      </c>
      <c r="F258" s="151" t="s">
        <v>543</v>
      </c>
      <c r="H258" s="152">
        <v>43</v>
      </c>
      <c r="I258" s="153"/>
      <c r="L258" s="149"/>
      <c r="N258" s="217">
        <f>36.54-43</f>
        <v>-6.4600000000000009</v>
      </c>
      <c r="O258" s="218" t="s">
        <v>3667</v>
      </c>
      <c r="Q258" s="231"/>
      <c r="BX258" s="154"/>
      <c r="CE258" s="155"/>
      <c r="DE258" s="150" t="s">
        <v>301</v>
      </c>
      <c r="DF258" s="150" t="s">
        <v>83</v>
      </c>
      <c r="DG258" s="12" t="s">
        <v>83</v>
      </c>
      <c r="DH258" s="12" t="s">
        <v>32</v>
      </c>
      <c r="DI258" s="12" t="s">
        <v>81</v>
      </c>
      <c r="DJ258" s="150" t="s">
        <v>282</v>
      </c>
    </row>
    <row r="259" spans="2:128" s="10" customFormat="1" ht="22.9" customHeight="1" x14ac:dyDescent="0.2">
      <c r="B259" s="112"/>
      <c r="D259" s="113" t="s">
        <v>73</v>
      </c>
      <c r="E259" s="122" t="s">
        <v>95</v>
      </c>
      <c r="F259" s="122" t="s">
        <v>469</v>
      </c>
      <c r="I259" s="115"/>
      <c r="J259" s="123">
        <f>DV259</f>
        <v>8027.41</v>
      </c>
      <c r="L259" s="112"/>
      <c r="M259" s="320">
        <f>M260+M265+M270</f>
        <v>0</v>
      </c>
      <c r="N259" s="323"/>
      <c r="O259" s="324">
        <f t="shared" ref="O259:V259" si="4">O260+O265+O270</f>
        <v>-775.31</v>
      </c>
      <c r="P259" s="320"/>
      <c r="Q259" s="326">
        <f t="shared" si="4"/>
        <v>8802.7199999999993</v>
      </c>
      <c r="R259" s="320"/>
      <c r="S259" s="320"/>
      <c r="T259" s="320">
        <f t="shared" si="4"/>
        <v>0</v>
      </c>
      <c r="U259" s="320"/>
      <c r="V259" s="320">
        <f t="shared" si="4"/>
        <v>8027.41</v>
      </c>
      <c r="BX259" s="117"/>
      <c r="CA259" s="118">
        <f>SUM(CA260:CA274)</f>
        <v>0</v>
      </c>
      <c r="CC259" s="118">
        <f>SUM(CC260:CC274)</f>
        <v>0</v>
      </c>
      <c r="CE259" s="119">
        <f>SUM(CE260:CE274)</f>
        <v>0</v>
      </c>
      <c r="DC259" s="113" t="s">
        <v>81</v>
      </c>
      <c r="DE259" s="120" t="s">
        <v>73</v>
      </c>
      <c r="DF259" s="120" t="s">
        <v>81</v>
      </c>
      <c r="DJ259" s="113" t="s">
        <v>282</v>
      </c>
      <c r="DV259" s="121">
        <f>SUM(DV260:DV274)</f>
        <v>8027.41</v>
      </c>
    </row>
    <row r="260" spans="2:128" s="1" customFormat="1" ht="14.45" customHeight="1" x14ac:dyDescent="0.2">
      <c r="B260" s="124"/>
      <c r="C260" s="125" t="s">
        <v>445</v>
      </c>
      <c r="D260" s="125" t="s">
        <v>284</v>
      </c>
      <c r="E260" s="126" t="s">
        <v>471</v>
      </c>
      <c r="F260" s="127" t="s">
        <v>472</v>
      </c>
      <c r="G260" s="128" t="s">
        <v>366</v>
      </c>
      <c r="H260" s="129">
        <v>4.3</v>
      </c>
      <c r="I260" s="130">
        <v>1200.17173250368</v>
      </c>
      <c r="J260" s="131">
        <f>ROUND(I260*H260,2)</f>
        <v>5160.74</v>
      </c>
      <c r="K260" s="127" t="s">
        <v>293</v>
      </c>
      <c r="L260" s="198">
        <f>S260</f>
        <v>0</v>
      </c>
      <c r="M260" s="206">
        <f>ROUND(L260*I260,2)</f>
        <v>0</v>
      </c>
      <c r="N260" s="211">
        <f>N264</f>
        <v>-0.64599999999999991</v>
      </c>
      <c r="O260" s="212">
        <f>ROUND(N260*I260,2)</f>
        <v>-775.31</v>
      </c>
      <c r="P260" s="207">
        <f>H260-L260-N260</f>
        <v>4.9459999999999997</v>
      </c>
      <c r="Q260" s="228">
        <f>ROUND(P260*I260,2)</f>
        <v>5936.05</v>
      </c>
      <c r="R260" s="199"/>
      <c r="S260" s="200">
        <f>W260+Y260+AA260+AC260+AE260+AG260+AI260+AK260</f>
        <v>0</v>
      </c>
      <c r="T260" s="200">
        <f>ROUND(S260*I260,2)</f>
        <v>0</v>
      </c>
      <c r="U260" s="200">
        <f>H260-S260</f>
        <v>4.3</v>
      </c>
      <c r="V260" s="200">
        <f>ROUND(U260*I260,2)</f>
        <v>5160.74</v>
      </c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BX260" s="132" t="s">
        <v>1</v>
      </c>
      <c r="BY260" s="133" t="s">
        <v>40</v>
      </c>
      <c r="CA260" s="134">
        <f>BZ260*H260</f>
        <v>0</v>
      </c>
      <c r="CB260" s="134">
        <v>0</v>
      </c>
      <c r="CC260" s="134">
        <f>CB260*H260</f>
        <v>0</v>
      </c>
      <c r="CD260" s="134">
        <v>0</v>
      </c>
      <c r="CE260" s="135">
        <f>CD260*H260</f>
        <v>0</v>
      </c>
      <c r="DC260" s="136" t="s">
        <v>95</v>
      </c>
      <c r="DE260" s="136" t="s">
        <v>284</v>
      </c>
      <c r="DF260" s="136" t="s">
        <v>83</v>
      </c>
      <c r="DJ260" s="16" t="s">
        <v>282</v>
      </c>
      <c r="DP260" s="137">
        <f>IF(BY260="základní",J260,0)</f>
        <v>5160.74</v>
      </c>
      <c r="DQ260" s="137">
        <f>IF(BY260="snížená",J260,0)</f>
        <v>0</v>
      </c>
      <c r="DR260" s="137">
        <f>IF(BY260="zákl. přenesená",J260,0)</f>
        <v>0</v>
      </c>
      <c r="DS260" s="137">
        <f>IF(BY260="sníž. přenesená",J260,0)</f>
        <v>0</v>
      </c>
      <c r="DT260" s="137">
        <f>IF(BY260="nulová",J260,0)</f>
        <v>0</v>
      </c>
      <c r="DU260" s="16" t="s">
        <v>81</v>
      </c>
      <c r="DV260" s="137">
        <f>ROUND(I260*H260,2)</f>
        <v>5160.74</v>
      </c>
      <c r="DW260" s="16" t="s">
        <v>95</v>
      </c>
      <c r="DX260" s="136" t="s">
        <v>473</v>
      </c>
    </row>
    <row r="261" spans="2:128" s="1" customFormat="1" ht="19.5" x14ac:dyDescent="0.2">
      <c r="B261" s="31"/>
      <c r="D261" s="138" t="s">
        <v>289</v>
      </c>
      <c r="F261" s="139" t="s">
        <v>474</v>
      </c>
      <c r="I261" s="140"/>
      <c r="L261" s="31"/>
      <c r="N261" s="213"/>
      <c r="O261" s="214"/>
      <c r="Q261" s="229"/>
      <c r="BX261" s="141"/>
      <c r="CE261" s="50"/>
      <c r="DE261" s="16" t="s">
        <v>289</v>
      </c>
      <c r="DF261" s="16" t="s">
        <v>83</v>
      </c>
    </row>
    <row r="262" spans="2:128" s="1" customFormat="1" ht="29.25" x14ac:dyDescent="0.2">
      <c r="B262" s="31"/>
      <c r="D262" s="138" t="s">
        <v>299</v>
      </c>
      <c r="F262" s="142" t="s">
        <v>1083</v>
      </c>
      <c r="I262" s="140"/>
      <c r="L262" s="31"/>
      <c r="N262" s="213"/>
      <c r="O262" s="214"/>
      <c r="Q262" s="229"/>
      <c r="BX262" s="141"/>
      <c r="CE262" s="50"/>
      <c r="DE262" s="16" t="s">
        <v>299</v>
      </c>
      <c r="DF262" s="16" t="s">
        <v>83</v>
      </c>
    </row>
    <row r="263" spans="2:128" s="12" customFormat="1" x14ac:dyDescent="0.2">
      <c r="B263" s="149"/>
      <c r="D263" s="138" t="s">
        <v>301</v>
      </c>
      <c r="E263" s="150" t="s">
        <v>1</v>
      </c>
      <c r="F263" s="151" t="s">
        <v>1226</v>
      </c>
      <c r="H263" s="152">
        <v>4.3</v>
      </c>
      <c r="I263" s="153"/>
      <c r="L263" s="149"/>
      <c r="N263" s="217">
        <f>36.54*1*0.1</f>
        <v>3.6539999999999999</v>
      </c>
      <c r="O263" s="218" t="s">
        <v>3668</v>
      </c>
      <c r="Q263" s="231"/>
      <c r="BX263" s="154"/>
      <c r="CE263" s="155"/>
      <c r="DE263" s="150" t="s">
        <v>301</v>
      </c>
      <c r="DF263" s="150" t="s">
        <v>83</v>
      </c>
      <c r="DG263" s="12" t="s">
        <v>83</v>
      </c>
      <c r="DH263" s="12" t="s">
        <v>32</v>
      </c>
      <c r="DI263" s="12" t="s">
        <v>81</v>
      </c>
      <c r="DJ263" s="150" t="s">
        <v>282</v>
      </c>
    </row>
    <row r="264" spans="2:128" s="12" customFormat="1" x14ac:dyDescent="0.2">
      <c r="B264" s="149"/>
      <c r="D264" s="138"/>
      <c r="E264" s="150"/>
      <c r="F264" s="151"/>
      <c r="H264" s="152"/>
      <c r="I264" s="153"/>
      <c r="L264" s="149"/>
      <c r="N264" s="310">
        <f>N263-H263</f>
        <v>-0.64599999999999991</v>
      </c>
      <c r="O264" s="218"/>
      <c r="Q264" s="231"/>
      <c r="BX264" s="154"/>
      <c r="CE264" s="155"/>
      <c r="DE264" s="150"/>
      <c r="DF264" s="150"/>
      <c r="DJ264" s="150"/>
    </row>
    <row r="265" spans="2:128" s="1" customFormat="1" ht="14.45" customHeight="1" x14ac:dyDescent="0.2">
      <c r="B265" s="124"/>
      <c r="C265" s="125" t="s">
        <v>451</v>
      </c>
      <c r="D265" s="125" t="s">
        <v>284</v>
      </c>
      <c r="E265" s="126" t="s">
        <v>477</v>
      </c>
      <c r="F265" s="127" t="s">
        <v>478</v>
      </c>
      <c r="G265" s="128" t="s">
        <v>366</v>
      </c>
      <c r="H265" s="129">
        <v>0.7</v>
      </c>
      <c r="I265" s="130">
        <v>1200.17173250368</v>
      </c>
      <c r="J265" s="131">
        <f>ROUND(I265*H265,2)</f>
        <v>840.12</v>
      </c>
      <c r="K265" s="127" t="s">
        <v>1</v>
      </c>
      <c r="L265" s="198">
        <f>S265</f>
        <v>0</v>
      </c>
      <c r="M265" s="206">
        <f>ROUND(L265*I265,2)</f>
        <v>0</v>
      </c>
      <c r="N265" s="211"/>
      <c r="O265" s="212">
        <f>ROUND(N265*I265,2)</f>
        <v>0</v>
      </c>
      <c r="P265" s="207">
        <f>H265-L265-N265</f>
        <v>0.7</v>
      </c>
      <c r="Q265" s="228">
        <f>ROUND(P265*I265,2)</f>
        <v>840.12</v>
      </c>
      <c r="R265" s="199"/>
      <c r="S265" s="200">
        <f>W265+Y265+AA265+AC265+AE265+AG265+AI265+AK265</f>
        <v>0</v>
      </c>
      <c r="T265" s="200">
        <f>ROUND(S265*I265,2)</f>
        <v>0</v>
      </c>
      <c r="U265" s="200">
        <f>H265-S265</f>
        <v>0.7</v>
      </c>
      <c r="V265" s="200">
        <f>ROUND(U265*I265,2)</f>
        <v>840.12</v>
      </c>
      <c r="W265" s="200"/>
      <c r="X265" s="200"/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BX265" s="132" t="s">
        <v>1</v>
      </c>
      <c r="BY265" s="133" t="s">
        <v>40</v>
      </c>
      <c r="CA265" s="134">
        <f>BZ265*H265</f>
        <v>0</v>
      </c>
      <c r="CB265" s="134">
        <v>0</v>
      </c>
      <c r="CC265" s="134">
        <f>CB265*H265</f>
        <v>0</v>
      </c>
      <c r="CD265" s="134">
        <v>0</v>
      </c>
      <c r="CE265" s="135">
        <f>CD265*H265</f>
        <v>0</v>
      </c>
      <c r="DC265" s="136" t="s">
        <v>95</v>
      </c>
      <c r="DE265" s="136" t="s">
        <v>284</v>
      </c>
      <c r="DF265" s="136" t="s">
        <v>83</v>
      </c>
      <c r="DJ265" s="16" t="s">
        <v>282</v>
      </c>
      <c r="DP265" s="137">
        <f>IF(BY265="základní",J265,0)</f>
        <v>840.12</v>
      </c>
      <c r="DQ265" s="137">
        <f>IF(BY265="snížená",J265,0)</f>
        <v>0</v>
      </c>
      <c r="DR265" s="137">
        <f>IF(BY265="zákl. přenesená",J265,0)</f>
        <v>0</v>
      </c>
      <c r="DS265" s="137">
        <f>IF(BY265="sníž. přenesená",J265,0)</f>
        <v>0</v>
      </c>
      <c r="DT265" s="137">
        <f>IF(BY265="nulová",J265,0)</f>
        <v>0</v>
      </c>
      <c r="DU265" s="16" t="s">
        <v>81</v>
      </c>
      <c r="DV265" s="137">
        <f>ROUND(I265*H265,2)</f>
        <v>840.12</v>
      </c>
      <c r="DW265" s="16" t="s">
        <v>95</v>
      </c>
      <c r="DX265" s="136" t="s">
        <v>479</v>
      </c>
    </row>
    <row r="266" spans="2:128" s="1" customFormat="1" ht="19.5" x14ac:dyDescent="0.2">
      <c r="B266" s="31"/>
      <c r="D266" s="138" t="s">
        <v>289</v>
      </c>
      <c r="F266" s="139" t="s">
        <v>474</v>
      </c>
      <c r="I266" s="140"/>
      <c r="L266" s="31"/>
      <c r="N266" s="213"/>
      <c r="O266" s="214"/>
      <c r="Q266" s="229"/>
      <c r="BX266" s="141"/>
      <c r="CE266" s="50"/>
      <c r="DE266" s="16" t="s">
        <v>289</v>
      </c>
      <c r="DF266" s="16" t="s">
        <v>83</v>
      </c>
    </row>
    <row r="267" spans="2:128" s="1" customFormat="1" ht="29.25" x14ac:dyDescent="0.2">
      <c r="B267" s="31"/>
      <c r="D267" s="138" t="s">
        <v>299</v>
      </c>
      <c r="F267" s="142" t="s">
        <v>1083</v>
      </c>
      <c r="I267" s="140"/>
      <c r="L267" s="31"/>
      <c r="N267" s="213"/>
      <c r="O267" s="214"/>
      <c r="Q267" s="229"/>
      <c r="BX267" s="141"/>
      <c r="CE267" s="50"/>
      <c r="DE267" s="16" t="s">
        <v>299</v>
      </c>
      <c r="DF267" s="16" t="s">
        <v>83</v>
      </c>
    </row>
    <row r="268" spans="2:128" s="11" customFormat="1" x14ac:dyDescent="0.2">
      <c r="B268" s="143"/>
      <c r="D268" s="138" t="s">
        <v>301</v>
      </c>
      <c r="E268" s="144" t="s">
        <v>1</v>
      </c>
      <c r="F268" s="145" t="s">
        <v>1122</v>
      </c>
      <c r="H268" s="144" t="s">
        <v>1</v>
      </c>
      <c r="I268" s="146"/>
      <c r="L268" s="143"/>
      <c r="N268" s="215"/>
      <c r="O268" s="216"/>
      <c r="Q268" s="230"/>
      <c r="BX268" s="147"/>
      <c r="CE268" s="148"/>
      <c r="DE268" s="144" t="s">
        <v>301</v>
      </c>
      <c r="DF268" s="144" t="s">
        <v>83</v>
      </c>
      <c r="DG268" s="11" t="s">
        <v>81</v>
      </c>
      <c r="DH268" s="11" t="s">
        <v>32</v>
      </c>
      <c r="DI268" s="11" t="s">
        <v>74</v>
      </c>
      <c r="DJ268" s="144" t="s">
        <v>282</v>
      </c>
    </row>
    <row r="269" spans="2:128" s="12" customFormat="1" x14ac:dyDescent="0.2">
      <c r="B269" s="149"/>
      <c r="D269" s="138" t="s">
        <v>301</v>
      </c>
      <c r="E269" s="150" t="s">
        <v>1</v>
      </c>
      <c r="F269" s="151" t="s">
        <v>1227</v>
      </c>
      <c r="H269" s="152">
        <v>0.7</v>
      </c>
      <c r="I269" s="153"/>
      <c r="L269" s="149"/>
      <c r="N269" s="217"/>
      <c r="O269" s="218"/>
      <c r="Q269" s="231"/>
      <c r="BX269" s="154"/>
      <c r="CE269" s="155"/>
      <c r="DE269" s="150" t="s">
        <v>301</v>
      </c>
      <c r="DF269" s="150" t="s">
        <v>83</v>
      </c>
      <c r="DG269" s="12" t="s">
        <v>83</v>
      </c>
      <c r="DH269" s="12" t="s">
        <v>32</v>
      </c>
      <c r="DI269" s="12" t="s">
        <v>81</v>
      </c>
      <c r="DJ269" s="150" t="s">
        <v>282</v>
      </c>
    </row>
    <row r="270" spans="2:128" s="1" customFormat="1" ht="24.2" customHeight="1" x14ac:dyDescent="0.2">
      <c r="B270" s="124"/>
      <c r="C270" s="125" t="s">
        <v>456</v>
      </c>
      <c r="D270" s="125" t="s">
        <v>284</v>
      </c>
      <c r="E270" s="126" t="s">
        <v>515</v>
      </c>
      <c r="F270" s="127" t="s">
        <v>516</v>
      </c>
      <c r="G270" s="128" t="s">
        <v>366</v>
      </c>
      <c r="H270" s="129">
        <v>0.7</v>
      </c>
      <c r="I270" s="130">
        <v>2895.0660868876225</v>
      </c>
      <c r="J270" s="131">
        <f>ROUND(I270*H270,2)</f>
        <v>2026.55</v>
      </c>
      <c r="K270" s="127" t="s">
        <v>293</v>
      </c>
      <c r="L270" s="198">
        <f>S270</f>
        <v>0</v>
      </c>
      <c r="M270" s="206">
        <f>ROUND(L270*I270,2)</f>
        <v>0</v>
      </c>
      <c r="N270" s="211"/>
      <c r="O270" s="212">
        <f>ROUND(N270*I270,2)</f>
        <v>0</v>
      </c>
      <c r="P270" s="207">
        <f>H270-L270-N270</f>
        <v>0.7</v>
      </c>
      <c r="Q270" s="228">
        <f>ROUND(P270*I270,2)</f>
        <v>2026.55</v>
      </c>
      <c r="R270" s="199"/>
      <c r="S270" s="200">
        <f>W270+Y270+AA270+AC270+AE270+AG270+AI270+AK270</f>
        <v>0</v>
      </c>
      <c r="T270" s="200">
        <f>ROUND(S270*I270,2)</f>
        <v>0</v>
      </c>
      <c r="U270" s="200">
        <f>H270-S270</f>
        <v>0.7</v>
      </c>
      <c r="V270" s="200">
        <f>ROUND(U270*I270,2)</f>
        <v>2026.55</v>
      </c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BX270" s="132" t="s">
        <v>1</v>
      </c>
      <c r="BY270" s="133" t="s">
        <v>40</v>
      </c>
      <c r="CA270" s="134">
        <f>BZ270*H270</f>
        <v>0</v>
      </c>
      <c r="CB270" s="134">
        <v>0</v>
      </c>
      <c r="CC270" s="134">
        <f>CB270*H270</f>
        <v>0</v>
      </c>
      <c r="CD270" s="134">
        <v>0</v>
      </c>
      <c r="CE270" s="135">
        <f>CD270*H270</f>
        <v>0</v>
      </c>
      <c r="DC270" s="136" t="s">
        <v>95</v>
      </c>
      <c r="DE270" s="136" t="s">
        <v>284</v>
      </c>
      <c r="DF270" s="136" t="s">
        <v>83</v>
      </c>
      <c r="DJ270" s="16" t="s">
        <v>282</v>
      </c>
      <c r="DP270" s="137">
        <f>IF(BY270="základní",J270,0)</f>
        <v>2026.55</v>
      </c>
      <c r="DQ270" s="137">
        <f>IF(BY270="snížená",J270,0)</f>
        <v>0</v>
      </c>
      <c r="DR270" s="137">
        <f>IF(BY270="zákl. přenesená",J270,0)</f>
        <v>0</v>
      </c>
      <c r="DS270" s="137">
        <f>IF(BY270="sníž. přenesená",J270,0)</f>
        <v>0</v>
      </c>
      <c r="DT270" s="137">
        <f>IF(BY270="nulová",J270,0)</f>
        <v>0</v>
      </c>
      <c r="DU270" s="16" t="s">
        <v>81</v>
      </c>
      <c r="DV270" s="137">
        <f>ROUND(I270*H270,2)</f>
        <v>2026.55</v>
      </c>
      <c r="DW270" s="16" t="s">
        <v>95</v>
      </c>
      <c r="DX270" s="136" t="s">
        <v>517</v>
      </c>
    </row>
    <row r="271" spans="2:128" s="1" customFormat="1" ht="29.25" x14ac:dyDescent="0.2">
      <c r="B271" s="31"/>
      <c r="D271" s="138" t="s">
        <v>289</v>
      </c>
      <c r="F271" s="139" t="s">
        <v>518</v>
      </c>
      <c r="I271" s="140"/>
      <c r="L271" s="31"/>
      <c r="N271" s="213"/>
      <c r="O271" s="214"/>
      <c r="Q271" s="229"/>
      <c r="BX271" s="141"/>
      <c r="CE271" s="50"/>
      <c r="DE271" s="16" t="s">
        <v>289</v>
      </c>
      <c r="DF271" s="16" t="s">
        <v>83</v>
      </c>
    </row>
    <row r="272" spans="2:128" s="1" customFormat="1" ht="29.25" x14ac:dyDescent="0.2">
      <c r="B272" s="31"/>
      <c r="D272" s="138" t="s">
        <v>299</v>
      </c>
      <c r="F272" s="142" t="s">
        <v>1083</v>
      </c>
      <c r="I272" s="140"/>
      <c r="L272" s="31"/>
      <c r="N272" s="213"/>
      <c r="O272" s="214"/>
      <c r="Q272" s="229"/>
      <c r="BX272" s="141"/>
      <c r="CE272" s="50"/>
      <c r="DE272" s="16" t="s">
        <v>299</v>
      </c>
      <c r="DF272" s="16" t="s">
        <v>83</v>
      </c>
    </row>
    <row r="273" spans="2:128" s="11" customFormat="1" x14ac:dyDescent="0.2">
      <c r="B273" s="143"/>
      <c r="D273" s="138" t="s">
        <v>301</v>
      </c>
      <c r="E273" s="144" t="s">
        <v>1</v>
      </c>
      <c r="F273" s="145" t="s">
        <v>1122</v>
      </c>
      <c r="H273" s="144" t="s">
        <v>1</v>
      </c>
      <c r="I273" s="146"/>
      <c r="L273" s="143"/>
      <c r="N273" s="215"/>
      <c r="O273" s="216"/>
      <c r="Q273" s="230"/>
      <c r="BX273" s="147"/>
      <c r="CE273" s="148"/>
      <c r="DE273" s="144" t="s">
        <v>301</v>
      </c>
      <c r="DF273" s="144" t="s">
        <v>83</v>
      </c>
      <c r="DG273" s="11" t="s">
        <v>81</v>
      </c>
      <c r="DH273" s="11" t="s">
        <v>32</v>
      </c>
      <c r="DI273" s="11" t="s">
        <v>74</v>
      </c>
      <c r="DJ273" s="144" t="s">
        <v>282</v>
      </c>
    </row>
    <row r="274" spans="2:128" s="12" customFormat="1" x14ac:dyDescent="0.2">
      <c r="B274" s="149"/>
      <c r="D274" s="138" t="s">
        <v>301</v>
      </c>
      <c r="E274" s="150" t="s">
        <v>1</v>
      </c>
      <c r="F274" s="151" t="s">
        <v>1227</v>
      </c>
      <c r="H274" s="152">
        <v>0.7</v>
      </c>
      <c r="I274" s="153"/>
      <c r="L274" s="149"/>
      <c r="N274" s="217"/>
      <c r="O274" s="218"/>
      <c r="Q274" s="231"/>
      <c r="BX274" s="154"/>
      <c r="CE274" s="155"/>
      <c r="DE274" s="150" t="s">
        <v>301</v>
      </c>
      <c r="DF274" s="150" t="s">
        <v>83</v>
      </c>
      <c r="DG274" s="12" t="s">
        <v>83</v>
      </c>
      <c r="DH274" s="12" t="s">
        <v>32</v>
      </c>
      <c r="DI274" s="12" t="s">
        <v>81</v>
      </c>
      <c r="DJ274" s="150" t="s">
        <v>282</v>
      </c>
    </row>
    <row r="275" spans="2:128" s="10" customFormat="1" ht="22.9" customHeight="1" x14ac:dyDescent="0.2">
      <c r="B275" s="112"/>
      <c r="D275" s="113" t="s">
        <v>73</v>
      </c>
      <c r="E275" s="122" t="s">
        <v>312</v>
      </c>
      <c r="F275" s="122" t="s">
        <v>520</v>
      </c>
      <c r="I275" s="115"/>
      <c r="J275" s="123">
        <f>DV275</f>
        <v>28433.730000000003</v>
      </c>
      <c r="L275" s="112"/>
      <c r="M275" s="320">
        <f>M276+M278+M280+M282</f>
        <v>0</v>
      </c>
      <c r="N275" s="323"/>
      <c r="O275" s="324">
        <f t="shared" ref="O275:V275" si="5">O276+O278+O280+O282</f>
        <v>-4271.67</v>
      </c>
      <c r="P275" s="320"/>
      <c r="Q275" s="326">
        <f t="shared" si="5"/>
        <v>32705.4</v>
      </c>
      <c r="R275" s="320"/>
      <c r="S275" s="320"/>
      <c r="T275" s="320">
        <f t="shared" si="5"/>
        <v>0</v>
      </c>
      <c r="U275" s="320"/>
      <c r="V275" s="320">
        <f t="shared" si="5"/>
        <v>28433.730000000003</v>
      </c>
      <c r="BX275" s="117"/>
      <c r="CA275" s="118">
        <f>SUM(CA276:CA286)</f>
        <v>0</v>
      </c>
      <c r="CC275" s="118">
        <f>SUM(CC276:CC286)</f>
        <v>0</v>
      </c>
      <c r="CE275" s="119">
        <f>SUM(CE276:CE286)</f>
        <v>0</v>
      </c>
      <c r="DC275" s="113" t="s">
        <v>81</v>
      </c>
      <c r="DE275" s="120" t="s">
        <v>73</v>
      </c>
      <c r="DF275" s="120" t="s">
        <v>81</v>
      </c>
      <c r="DJ275" s="113" t="s">
        <v>282</v>
      </c>
      <c r="DV275" s="121">
        <f>SUM(DV276:DV286)</f>
        <v>28433.730000000003</v>
      </c>
    </row>
    <row r="276" spans="2:128" s="1" customFormat="1" ht="24.2" customHeight="1" x14ac:dyDescent="0.2">
      <c r="B276" s="124"/>
      <c r="C276" s="125" t="s">
        <v>463</v>
      </c>
      <c r="D276" s="125" t="s">
        <v>284</v>
      </c>
      <c r="E276" s="126" t="s">
        <v>522</v>
      </c>
      <c r="F276" s="127" t="s">
        <v>523</v>
      </c>
      <c r="G276" s="128" t="s">
        <v>287</v>
      </c>
      <c r="H276" s="129">
        <v>38.700000000000003</v>
      </c>
      <c r="I276" s="130">
        <v>130.95617506780872</v>
      </c>
      <c r="J276" s="131">
        <f>ROUND(I276*H276,2)</f>
        <v>5068</v>
      </c>
      <c r="K276" s="127" t="s">
        <v>293</v>
      </c>
      <c r="L276" s="198">
        <f>S276</f>
        <v>0</v>
      </c>
      <c r="M276" s="206">
        <f>ROUND(L276*I276,2)</f>
        <v>0</v>
      </c>
      <c r="N276" s="211">
        <f>N125</f>
        <v>-5.8140000000000001</v>
      </c>
      <c r="O276" s="212">
        <f>ROUND(N276*I276,2)</f>
        <v>-761.38</v>
      </c>
      <c r="P276" s="207">
        <f>H276-L276-N276</f>
        <v>44.514000000000003</v>
      </c>
      <c r="Q276" s="228">
        <f>ROUND(P276*I276,2)</f>
        <v>5829.38</v>
      </c>
      <c r="R276" s="199"/>
      <c r="S276" s="200">
        <f>W276+Y276+AA276+AC276+AE276+AG276+AI276+AK276</f>
        <v>0</v>
      </c>
      <c r="T276" s="200">
        <f>ROUND(S276*I276,2)</f>
        <v>0</v>
      </c>
      <c r="U276" s="200">
        <f>H276-S276</f>
        <v>38.700000000000003</v>
      </c>
      <c r="V276" s="200">
        <f>ROUND(U276*I276,2)</f>
        <v>5068</v>
      </c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BX276" s="132" t="s">
        <v>1</v>
      </c>
      <c r="BY276" s="133" t="s">
        <v>40</v>
      </c>
      <c r="CA276" s="134">
        <f>BZ276*H276</f>
        <v>0</v>
      </c>
      <c r="CB276" s="134">
        <v>0</v>
      </c>
      <c r="CC276" s="134">
        <f>CB276*H276</f>
        <v>0</v>
      </c>
      <c r="CD276" s="134">
        <v>0</v>
      </c>
      <c r="CE276" s="135">
        <f>CD276*H276</f>
        <v>0</v>
      </c>
      <c r="DC276" s="136" t="s">
        <v>95</v>
      </c>
      <c r="DE276" s="136" t="s">
        <v>284</v>
      </c>
      <c r="DF276" s="136" t="s">
        <v>83</v>
      </c>
      <c r="DJ276" s="16" t="s">
        <v>282</v>
      </c>
      <c r="DP276" s="137">
        <f>IF(BY276="základní",J276,0)</f>
        <v>5068</v>
      </c>
      <c r="DQ276" s="137">
        <f>IF(BY276="snížená",J276,0)</f>
        <v>0</v>
      </c>
      <c r="DR276" s="137">
        <f>IF(BY276="zákl. přenesená",J276,0)</f>
        <v>0</v>
      </c>
      <c r="DS276" s="137">
        <f>IF(BY276="sníž. přenesená",J276,0)</f>
        <v>0</v>
      </c>
      <c r="DT276" s="137">
        <f>IF(BY276="nulová",J276,0)</f>
        <v>0</v>
      </c>
      <c r="DU276" s="16" t="s">
        <v>81</v>
      </c>
      <c r="DV276" s="137">
        <f>ROUND(I276*H276,2)</f>
        <v>5068</v>
      </c>
      <c r="DW276" s="16" t="s">
        <v>95</v>
      </c>
      <c r="DX276" s="136" t="s">
        <v>524</v>
      </c>
    </row>
    <row r="277" spans="2:128" s="1" customFormat="1" ht="19.5" x14ac:dyDescent="0.2">
      <c r="B277" s="31"/>
      <c r="D277" s="138" t="s">
        <v>289</v>
      </c>
      <c r="F277" s="139" t="s">
        <v>525</v>
      </c>
      <c r="I277" s="140"/>
      <c r="L277" s="31"/>
      <c r="N277" s="213"/>
      <c r="O277" s="214"/>
      <c r="Q277" s="229"/>
      <c r="BX277" s="141"/>
      <c r="CE277" s="50"/>
      <c r="DE277" s="16" t="s">
        <v>289</v>
      </c>
      <c r="DF277" s="16" t="s">
        <v>83</v>
      </c>
    </row>
    <row r="278" spans="2:128" s="1" customFormat="1" ht="14.45" customHeight="1" x14ac:dyDescent="0.2">
      <c r="B278" s="124"/>
      <c r="C278" s="125" t="s">
        <v>470</v>
      </c>
      <c r="D278" s="125" t="s">
        <v>284</v>
      </c>
      <c r="E278" s="126" t="s">
        <v>527</v>
      </c>
      <c r="F278" s="127" t="s">
        <v>528</v>
      </c>
      <c r="G278" s="128" t="s">
        <v>287</v>
      </c>
      <c r="H278" s="129">
        <v>38.700000000000003</v>
      </c>
      <c r="I278" s="130">
        <v>200.20823792465458</v>
      </c>
      <c r="J278" s="131">
        <f>ROUND(I278*H278,2)</f>
        <v>7748.06</v>
      </c>
      <c r="K278" s="127" t="s">
        <v>293</v>
      </c>
      <c r="L278" s="198">
        <f>S278</f>
        <v>0</v>
      </c>
      <c r="M278" s="206">
        <f>ROUND(L278*I278,2)</f>
        <v>0</v>
      </c>
      <c r="N278" s="211">
        <f>N276</f>
        <v>-5.8140000000000001</v>
      </c>
      <c r="O278" s="212">
        <f>ROUND(N278*I278,2)</f>
        <v>-1164.01</v>
      </c>
      <c r="P278" s="207">
        <f>H278-L278-N278</f>
        <v>44.514000000000003</v>
      </c>
      <c r="Q278" s="228">
        <f>ROUND(P278*I278,2)</f>
        <v>8912.07</v>
      </c>
      <c r="R278" s="199"/>
      <c r="S278" s="200">
        <f>W278+Y278+AA278+AC278+AE278+AG278+AI278+AK278</f>
        <v>0</v>
      </c>
      <c r="T278" s="200">
        <f>ROUND(S278*I278,2)</f>
        <v>0</v>
      </c>
      <c r="U278" s="200">
        <f>H278-S278</f>
        <v>38.700000000000003</v>
      </c>
      <c r="V278" s="200">
        <f>ROUND(U278*I278,2)</f>
        <v>7748.06</v>
      </c>
      <c r="W278" s="20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BX278" s="132" t="s">
        <v>1</v>
      </c>
      <c r="BY278" s="133" t="s">
        <v>40</v>
      </c>
      <c r="CA278" s="134">
        <f>BZ278*H278</f>
        <v>0</v>
      </c>
      <c r="CB278" s="134">
        <v>0</v>
      </c>
      <c r="CC278" s="134">
        <f>CB278*H278</f>
        <v>0</v>
      </c>
      <c r="CD278" s="134">
        <v>0</v>
      </c>
      <c r="CE278" s="135">
        <f>CD278*H278</f>
        <v>0</v>
      </c>
      <c r="DC278" s="136" t="s">
        <v>95</v>
      </c>
      <c r="DE278" s="136" t="s">
        <v>284</v>
      </c>
      <c r="DF278" s="136" t="s">
        <v>83</v>
      </c>
      <c r="DJ278" s="16" t="s">
        <v>282</v>
      </c>
      <c r="DP278" s="137">
        <f>IF(BY278="základní",J278,0)</f>
        <v>7748.06</v>
      </c>
      <c r="DQ278" s="137">
        <f>IF(BY278="snížená",J278,0)</f>
        <v>0</v>
      </c>
      <c r="DR278" s="137">
        <f>IF(BY278="zákl. přenesená",J278,0)</f>
        <v>0</v>
      </c>
      <c r="DS278" s="137">
        <f>IF(BY278="sníž. přenesená",J278,0)</f>
        <v>0</v>
      </c>
      <c r="DT278" s="137">
        <f>IF(BY278="nulová",J278,0)</f>
        <v>0</v>
      </c>
      <c r="DU278" s="16" t="s">
        <v>81</v>
      </c>
      <c r="DV278" s="137">
        <f>ROUND(I278*H278,2)</f>
        <v>7748.06</v>
      </c>
      <c r="DW278" s="16" t="s">
        <v>95</v>
      </c>
      <c r="DX278" s="136" t="s">
        <v>529</v>
      </c>
    </row>
    <row r="279" spans="2:128" s="1" customFormat="1" ht="19.5" x14ac:dyDescent="0.2">
      <c r="B279" s="31"/>
      <c r="D279" s="138" t="s">
        <v>289</v>
      </c>
      <c r="F279" s="139" t="s">
        <v>530</v>
      </c>
      <c r="I279" s="140"/>
      <c r="L279" s="31"/>
      <c r="N279" s="213"/>
      <c r="O279" s="214"/>
      <c r="Q279" s="229"/>
      <c r="BX279" s="141"/>
      <c r="CE279" s="50"/>
      <c r="DE279" s="16" t="s">
        <v>289</v>
      </c>
      <c r="DF279" s="16" t="s">
        <v>83</v>
      </c>
    </row>
    <row r="280" spans="2:128" s="1" customFormat="1" ht="24.2" customHeight="1" x14ac:dyDescent="0.2">
      <c r="B280" s="124"/>
      <c r="C280" s="125" t="s">
        <v>476</v>
      </c>
      <c r="D280" s="125" t="s">
        <v>284</v>
      </c>
      <c r="E280" s="126" t="s">
        <v>532</v>
      </c>
      <c r="F280" s="127" t="s">
        <v>533</v>
      </c>
      <c r="G280" s="128" t="s">
        <v>287</v>
      </c>
      <c r="H280" s="129">
        <v>38.700000000000003</v>
      </c>
      <c r="I280" s="130">
        <v>40.878739778868102</v>
      </c>
      <c r="J280" s="131">
        <f>ROUND(I280*H280,2)</f>
        <v>1582.01</v>
      </c>
      <c r="K280" s="127" t="s">
        <v>293</v>
      </c>
      <c r="L280" s="198">
        <f>S280</f>
        <v>0</v>
      </c>
      <c r="M280" s="206">
        <f>ROUND(L280*I280,2)</f>
        <v>0</v>
      </c>
      <c r="N280" s="211">
        <f>N276</f>
        <v>-5.8140000000000001</v>
      </c>
      <c r="O280" s="212">
        <f>ROUND(N280*I280,2)</f>
        <v>-237.67</v>
      </c>
      <c r="P280" s="207">
        <f>H280-L280-N280</f>
        <v>44.514000000000003</v>
      </c>
      <c r="Q280" s="228">
        <f>ROUND(P280*I280,2)</f>
        <v>1819.68</v>
      </c>
      <c r="R280" s="199"/>
      <c r="S280" s="200">
        <f>W280+Y280+AA280+AC280+AE280+AG280+AI280+AK280</f>
        <v>0</v>
      </c>
      <c r="T280" s="200">
        <f>ROUND(S280*I280,2)</f>
        <v>0</v>
      </c>
      <c r="U280" s="200">
        <f>H280-S280</f>
        <v>38.700000000000003</v>
      </c>
      <c r="V280" s="200">
        <f>ROUND(U280*I280,2)</f>
        <v>1582.01</v>
      </c>
      <c r="W280" s="200"/>
      <c r="X280" s="200"/>
      <c r="Y280" s="200"/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BX280" s="132" t="s">
        <v>1</v>
      </c>
      <c r="BY280" s="133" t="s">
        <v>40</v>
      </c>
      <c r="CA280" s="134">
        <f>BZ280*H280</f>
        <v>0</v>
      </c>
      <c r="CB280" s="134">
        <v>0</v>
      </c>
      <c r="CC280" s="134">
        <f>CB280*H280</f>
        <v>0</v>
      </c>
      <c r="CD280" s="134">
        <v>0</v>
      </c>
      <c r="CE280" s="135">
        <f>CD280*H280</f>
        <v>0</v>
      </c>
      <c r="DC280" s="136" t="s">
        <v>95</v>
      </c>
      <c r="DE280" s="136" t="s">
        <v>284</v>
      </c>
      <c r="DF280" s="136" t="s">
        <v>83</v>
      </c>
      <c r="DJ280" s="16" t="s">
        <v>282</v>
      </c>
      <c r="DP280" s="137">
        <f>IF(BY280="základní",J280,0)</f>
        <v>1582.01</v>
      </c>
      <c r="DQ280" s="137">
        <f>IF(BY280="snížená",J280,0)</f>
        <v>0</v>
      </c>
      <c r="DR280" s="137">
        <f>IF(BY280="zákl. přenesená",J280,0)</f>
        <v>0</v>
      </c>
      <c r="DS280" s="137">
        <f>IF(BY280="sníž. přenesená",J280,0)</f>
        <v>0</v>
      </c>
      <c r="DT280" s="137">
        <f>IF(BY280="nulová",J280,0)</f>
        <v>0</v>
      </c>
      <c r="DU280" s="16" t="s">
        <v>81</v>
      </c>
      <c r="DV280" s="137">
        <f>ROUND(I280*H280,2)</f>
        <v>1582.01</v>
      </c>
      <c r="DW280" s="16" t="s">
        <v>95</v>
      </c>
      <c r="DX280" s="136" t="s">
        <v>534</v>
      </c>
    </row>
    <row r="281" spans="2:128" s="1" customFormat="1" ht="19.5" x14ac:dyDescent="0.2">
      <c r="B281" s="31"/>
      <c r="D281" s="138" t="s">
        <v>289</v>
      </c>
      <c r="F281" s="139" t="s">
        <v>535</v>
      </c>
      <c r="I281" s="140"/>
      <c r="L281" s="31"/>
      <c r="N281" s="213"/>
      <c r="O281" s="214"/>
      <c r="Q281" s="229"/>
      <c r="BX281" s="141"/>
      <c r="CE281" s="50"/>
      <c r="DE281" s="16" t="s">
        <v>289</v>
      </c>
      <c r="DF281" s="16" t="s">
        <v>83</v>
      </c>
    </row>
    <row r="282" spans="2:128" s="1" customFormat="1" ht="24.2" customHeight="1" x14ac:dyDescent="0.2">
      <c r="B282" s="124"/>
      <c r="C282" s="125" t="s">
        <v>482</v>
      </c>
      <c r="D282" s="125" t="s">
        <v>284</v>
      </c>
      <c r="E282" s="126" t="s">
        <v>537</v>
      </c>
      <c r="F282" s="127" t="s">
        <v>538</v>
      </c>
      <c r="G282" s="128" t="s">
        <v>287</v>
      </c>
      <c r="H282" s="129">
        <v>38.700000000000003</v>
      </c>
      <c r="I282" s="130">
        <v>362.67856108310502</v>
      </c>
      <c r="J282" s="131">
        <f>ROUND(I282*H282,2)</f>
        <v>14035.66</v>
      </c>
      <c r="K282" s="127" t="s">
        <v>293</v>
      </c>
      <c r="L282" s="198">
        <f>S282</f>
        <v>0</v>
      </c>
      <c r="M282" s="206">
        <f>ROUND(L282*I282,2)</f>
        <v>0</v>
      </c>
      <c r="N282" s="211">
        <f>N276</f>
        <v>-5.8140000000000001</v>
      </c>
      <c r="O282" s="212">
        <f>ROUND(N282*I282,2)</f>
        <v>-2108.61</v>
      </c>
      <c r="P282" s="207">
        <f>H282-L282-N282</f>
        <v>44.514000000000003</v>
      </c>
      <c r="Q282" s="228">
        <f>ROUND(P282*I282,2)</f>
        <v>16144.27</v>
      </c>
      <c r="R282" s="199"/>
      <c r="S282" s="200">
        <f>W282+Y282+AA282+AC282+AE282+AG282+AI282+AK282</f>
        <v>0</v>
      </c>
      <c r="T282" s="200">
        <f>ROUND(S282*I282,2)</f>
        <v>0</v>
      </c>
      <c r="U282" s="200">
        <f>H282-S282</f>
        <v>38.700000000000003</v>
      </c>
      <c r="V282" s="200">
        <f>ROUND(U282*I282,2)</f>
        <v>14035.66</v>
      </c>
      <c r="W282" s="200"/>
      <c r="X282" s="200"/>
      <c r="Y282" s="200"/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BX282" s="132" t="s">
        <v>1</v>
      </c>
      <c r="BY282" s="133" t="s">
        <v>40</v>
      </c>
      <c r="CA282" s="134">
        <f>BZ282*H282</f>
        <v>0</v>
      </c>
      <c r="CB282" s="134">
        <v>0</v>
      </c>
      <c r="CC282" s="134">
        <f>CB282*H282</f>
        <v>0</v>
      </c>
      <c r="CD282" s="134">
        <v>0</v>
      </c>
      <c r="CE282" s="135">
        <f>CD282*H282</f>
        <v>0</v>
      </c>
      <c r="DC282" s="136" t="s">
        <v>95</v>
      </c>
      <c r="DE282" s="136" t="s">
        <v>284</v>
      </c>
      <c r="DF282" s="136" t="s">
        <v>83</v>
      </c>
      <c r="DJ282" s="16" t="s">
        <v>282</v>
      </c>
      <c r="DP282" s="137">
        <f>IF(BY282="základní",J282,0)</f>
        <v>14035.66</v>
      </c>
      <c r="DQ282" s="137">
        <f>IF(BY282="snížená",J282,0)</f>
        <v>0</v>
      </c>
      <c r="DR282" s="137">
        <f>IF(BY282="zákl. přenesená",J282,0)</f>
        <v>0</v>
      </c>
      <c r="DS282" s="137">
        <f>IF(BY282="sníž. přenesená",J282,0)</f>
        <v>0</v>
      </c>
      <c r="DT282" s="137">
        <f>IF(BY282="nulová",J282,0)</f>
        <v>0</v>
      </c>
      <c r="DU282" s="16" t="s">
        <v>81</v>
      </c>
      <c r="DV282" s="137">
        <f>ROUND(I282*H282,2)</f>
        <v>14035.66</v>
      </c>
      <c r="DW282" s="16" t="s">
        <v>95</v>
      </c>
      <c r="DX282" s="136" t="s">
        <v>539</v>
      </c>
    </row>
    <row r="283" spans="2:128" s="1" customFormat="1" ht="29.25" x14ac:dyDescent="0.2">
      <c r="B283" s="31"/>
      <c r="D283" s="138" t="s">
        <v>289</v>
      </c>
      <c r="F283" s="139" t="s">
        <v>540</v>
      </c>
      <c r="I283" s="140"/>
      <c r="L283" s="31"/>
      <c r="N283" s="213"/>
      <c r="O283" s="214"/>
      <c r="Q283" s="229"/>
      <c r="BX283" s="141"/>
      <c r="CE283" s="50"/>
      <c r="DE283" s="16" t="s">
        <v>289</v>
      </c>
      <c r="DF283" s="16" t="s">
        <v>83</v>
      </c>
    </row>
    <row r="284" spans="2:128" s="1" customFormat="1" ht="29.25" x14ac:dyDescent="0.2">
      <c r="B284" s="31"/>
      <c r="D284" s="138" t="s">
        <v>299</v>
      </c>
      <c r="F284" s="142" t="s">
        <v>1083</v>
      </c>
      <c r="I284" s="140"/>
      <c r="L284" s="31"/>
      <c r="N284" s="213"/>
      <c r="O284" s="214"/>
      <c r="Q284" s="229"/>
      <c r="BX284" s="141"/>
      <c r="CE284" s="50"/>
      <c r="DE284" s="16" t="s">
        <v>299</v>
      </c>
      <c r="DF284" s="16" t="s">
        <v>83</v>
      </c>
    </row>
    <row r="285" spans="2:128" s="11" customFormat="1" ht="22.5" x14ac:dyDescent="0.2">
      <c r="B285" s="143"/>
      <c r="D285" s="138" t="s">
        <v>301</v>
      </c>
      <c r="E285" s="144" t="s">
        <v>1</v>
      </c>
      <c r="F285" s="145" t="s">
        <v>1126</v>
      </c>
      <c r="H285" s="144" t="s">
        <v>1</v>
      </c>
      <c r="I285" s="146"/>
      <c r="L285" s="143"/>
      <c r="N285" s="215"/>
      <c r="O285" s="216"/>
      <c r="Q285" s="230"/>
      <c r="BX285" s="147"/>
      <c r="CE285" s="148"/>
      <c r="DE285" s="144" t="s">
        <v>301</v>
      </c>
      <c r="DF285" s="144" t="s">
        <v>83</v>
      </c>
      <c r="DG285" s="11" t="s">
        <v>81</v>
      </c>
      <c r="DH285" s="11" t="s">
        <v>32</v>
      </c>
      <c r="DI285" s="11" t="s">
        <v>74</v>
      </c>
      <c r="DJ285" s="144" t="s">
        <v>282</v>
      </c>
    </row>
    <row r="286" spans="2:128" s="12" customFormat="1" x14ac:dyDescent="0.2">
      <c r="B286" s="149"/>
      <c r="D286" s="138" t="s">
        <v>301</v>
      </c>
      <c r="E286" s="150" t="s">
        <v>1</v>
      </c>
      <c r="F286" s="151" t="s">
        <v>1228</v>
      </c>
      <c r="H286" s="152">
        <v>38.700000000000003</v>
      </c>
      <c r="I286" s="153"/>
      <c r="L286" s="149"/>
      <c r="N286" s="217"/>
      <c r="O286" s="218"/>
      <c r="Q286" s="231"/>
      <c r="BX286" s="154"/>
      <c r="CE286" s="155"/>
      <c r="DE286" s="150" t="s">
        <v>301</v>
      </c>
      <c r="DF286" s="150" t="s">
        <v>83</v>
      </c>
      <c r="DG286" s="12" t="s">
        <v>83</v>
      </c>
      <c r="DH286" s="12" t="s">
        <v>32</v>
      </c>
      <c r="DI286" s="12" t="s">
        <v>81</v>
      </c>
      <c r="DJ286" s="150" t="s">
        <v>282</v>
      </c>
    </row>
    <row r="287" spans="2:128" s="10" customFormat="1" ht="22.9" customHeight="1" x14ac:dyDescent="0.2">
      <c r="B287" s="112"/>
      <c r="D287" s="113" t="s">
        <v>73</v>
      </c>
      <c r="E287" s="122" t="s">
        <v>328</v>
      </c>
      <c r="F287" s="122" t="s">
        <v>555</v>
      </c>
      <c r="I287" s="115"/>
      <c r="J287" s="123">
        <f>DV287</f>
        <v>107371.99000000002</v>
      </c>
      <c r="L287" s="112"/>
      <c r="M287" s="320">
        <f>SUM(M288:M327)</f>
        <v>0</v>
      </c>
      <c r="N287" s="323"/>
      <c r="O287" s="324">
        <f t="shared" ref="O287:V287" si="6">SUM(O288:O327)</f>
        <v>-4128.93</v>
      </c>
      <c r="P287" s="320"/>
      <c r="Q287" s="326">
        <f t="shared" si="6"/>
        <v>111500.91000000002</v>
      </c>
      <c r="R287" s="320"/>
      <c r="S287" s="320"/>
      <c r="T287" s="320">
        <f t="shared" si="6"/>
        <v>0</v>
      </c>
      <c r="U287" s="320"/>
      <c r="V287" s="320">
        <f t="shared" si="6"/>
        <v>107371.99000000002</v>
      </c>
      <c r="BX287" s="117"/>
      <c r="CA287" s="118">
        <f>SUM(CA288:CA328)</f>
        <v>0</v>
      </c>
      <c r="CC287" s="118">
        <f>SUM(CC288:CC328)</f>
        <v>1.1101399999999999</v>
      </c>
      <c r="CE287" s="119">
        <f>SUM(CE288:CE328)</f>
        <v>0</v>
      </c>
      <c r="DC287" s="113" t="s">
        <v>81</v>
      </c>
      <c r="DE287" s="120" t="s">
        <v>73</v>
      </c>
      <c r="DF287" s="120" t="s">
        <v>81</v>
      </c>
      <c r="DJ287" s="113" t="s">
        <v>282</v>
      </c>
      <c r="DV287" s="121">
        <f>SUM(DV288:DV328)</f>
        <v>107371.99000000002</v>
      </c>
    </row>
    <row r="288" spans="2:128" s="1" customFormat="1" ht="24.2" customHeight="1" x14ac:dyDescent="0.2">
      <c r="B288" s="124"/>
      <c r="C288" s="125" t="s">
        <v>489</v>
      </c>
      <c r="D288" s="125" t="s">
        <v>284</v>
      </c>
      <c r="E288" s="126" t="s">
        <v>1128</v>
      </c>
      <c r="F288" s="127" t="s">
        <v>1129</v>
      </c>
      <c r="G288" s="128" t="s">
        <v>344</v>
      </c>
      <c r="H288" s="129">
        <v>43</v>
      </c>
      <c r="I288" s="130">
        <v>617.16852473597498</v>
      </c>
      <c r="J288" s="131">
        <f>ROUND(I288*H288,2)</f>
        <v>26538.25</v>
      </c>
      <c r="K288" s="127" t="s">
        <v>293</v>
      </c>
      <c r="L288" s="198">
        <f>S288</f>
        <v>0</v>
      </c>
      <c r="M288" s="206">
        <f>ROUND(L288*I288,2)</f>
        <v>0</v>
      </c>
      <c r="N288" s="211">
        <f>N291</f>
        <v>-6.4600000000000009</v>
      </c>
      <c r="O288" s="212">
        <f>ROUND(N288*I288,2)</f>
        <v>-3986.91</v>
      </c>
      <c r="P288" s="207">
        <f>H288-L288-N288</f>
        <v>49.46</v>
      </c>
      <c r="Q288" s="228">
        <f>ROUND(P288*I288,2)</f>
        <v>30525.16</v>
      </c>
      <c r="R288" s="199"/>
      <c r="S288" s="200">
        <f>W288+Y288+AA288+AC288+AE288+AG288+AI288+AK288</f>
        <v>0</v>
      </c>
      <c r="T288" s="200">
        <f>ROUND(S288*I288,2)</f>
        <v>0</v>
      </c>
      <c r="U288" s="200">
        <f>H288-S288</f>
        <v>43</v>
      </c>
      <c r="V288" s="200">
        <f>ROUND(U288*I288,2)</f>
        <v>26538.25</v>
      </c>
      <c r="W288" s="200"/>
      <c r="X288" s="200"/>
      <c r="Y288" s="200"/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BX288" s="132" t="s">
        <v>1</v>
      </c>
      <c r="BY288" s="133" t="s">
        <v>40</v>
      </c>
      <c r="CA288" s="134">
        <f>BZ288*H288</f>
        <v>0</v>
      </c>
      <c r="CB288" s="134">
        <v>4.2199999999999998E-3</v>
      </c>
      <c r="CC288" s="134">
        <f>CB288*H288</f>
        <v>0.18145999999999998</v>
      </c>
      <c r="CD288" s="134">
        <v>0</v>
      </c>
      <c r="CE288" s="135">
        <f>CD288*H288</f>
        <v>0</v>
      </c>
      <c r="DC288" s="136" t="s">
        <v>95</v>
      </c>
      <c r="DE288" s="136" t="s">
        <v>284</v>
      </c>
      <c r="DF288" s="136" t="s">
        <v>83</v>
      </c>
      <c r="DJ288" s="16" t="s">
        <v>282</v>
      </c>
      <c r="DP288" s="137">
        <f>IF(BY288="základní",J288,0)</f>
        <v>26538.25</v>
      </c>
      <c r="DQ288" s="137">
        <f>IF(BY288="snížená",J288,0)</f>
        <v>0</v>
      </c>
      <c r="DR288" s="137">
        <f>IF(BY288="zákl. přenesená",J288,0)</f>
        <v>0</v>
      </c>
      <c r="DS288" s="137">
        <f>IF(BY288="sníž. přenesená",J288,0)</f>
        <v>0</v>
      </c>
      <c r="DT288" s="137">
        <f>IF(BY288="nulová",J288,0)</f>
        <v>0</v>
      </c>
      <c r="DU288" s="16" t="s">
        <v>81</v>
      </c>
      <c r="DV288" s="137">
        <f>ROUND(I288*H288,2)</f>
        <v>26538.25</v>
      </c>
      <c r="DW288" s="16" t="s">
        <v>95</v>
      </c>
      <c r="DX288" s="136" t="s">
        <v>1130</v>
      </c>
    </row>
    <row r="289" spans="2:128" s="1" customFormat="1" ht="29.25" x14ac:dyDescent="0.2">
      <c r="B289" s="31"/>
      <c r="D289" s="138" t="s">
        <v>289</v>
      </c>
      <c r="F289" s="139" t="s">
        <v>1131</v>
      </c>
      <c r="I289" s="140"/>
      <c r="L289" s="31"/>
      <c r="N289" s="213"/>
      <c r="O289" s="214"/>
      <c r="Q289" s="229"/>
      <c r="BX289" s="141"/>
      <c r="CE289" s="50"/>
      <c r="DE289" s="16" t="s">
        <v>289</v>
      </c>
      <c r="DF289" s="16" t="s">
        <v>83</v>
      </c>
    </row>
    <row r="290" spans="2:128" s="1" customFormat="1" ht="29.25" x14ac:dyDescent="0.2">
      <c r="B290" s="31"/>
      <c r="D290" s="138" t="s">
        <v>299</v>
      </c>
      <c r="F290" s="142" t="s">
        <v>1083</v>
      </c>
      <c r="I290" s="140"/>
      <c r="L290" s="31"/>
      <c r="N290" s="213"/>
      <c r="O290" s="214"/>
      <c r="Q290" s="229"/>
      <c r="BX290" s="141"/>
      <c r="CE290" s="50"/>
      <c r="DE290" s="16" t="s">
        <v>299</v>
      </c>
      <c r="DF290" s="16" t="s">
        <v>83</v>
      </c>
    </row>
    <row r="291" spans="2:128" s="12" customFormat="1" x14ac:dyDescent="0.2">
      <c r="B291" s="149"/>
      <c r="D291" s="138" t="s">
        <v>301</v>
      </c>
      <c r="E291" s="150" t="s">
        <v>1</v>
      </c>
      <c r="F291" s="151" t="s">
        <v>543</v>
      </c>
      <c r="H291" s="152">
        <v>43</v>
      </c>
      <c r="I291" s="153"/>
      <c r="L291" s="149"/>
      <c r="N291" s="217">
        <f>36.54-43</f>
        <v>-6.4600000000000009</v>
      </c>
      <c r="O291" s="218" t="s">
        <v>3667</v>
      </c>
      <c r="Q291" s="231"/>
      <c r="BX291" s="154"/>
      <c r="CE291" s="155"/>
      <c r="DE291" s="150" t="s">
        <v>301</v>
      </c>
      <c r="DF291" s="150" t="s">
        <v>83</v>
      </c>
      <c r="DG291" s="12" t="s">
        <v>83</v>
      </c>
      <c r="DH291" s="12" t="s">
        <v>32</v>
      </c>
      <c r="DI291" s="12" t="s">
        <v>81</v>
      </c>
      <c r="DJ291" s="150" t="s">
        <v>282</v>
      </c>
    </row>
    <row r="292" spans="2:128" s="1" customFormat="1" ht="24.2" customHeight="1" x14ac:dyDescent="0.2">
      <c r="B292" s="124"/>
      <c r="C292" s="125" t="s">
        <v>493</v>
      </c>
      <c r="D292" s="125" t="s">
        <v>284</v>
      </c>
      <c r="E292" s="126" t="s">
        <v>1132</v>
      </c>
      <c r="F292" s="127" t="s">
        <v>1133</v>
      </c>
      <c r="G292" s="128" t="s">
        <v>485</v>
      </c>
      <c r="H292" s="129">
        <v>24</v>
      </c>
      <c r="I292" s="130">
        <v>214.24530512569368</v>
      </c>
      <c r="J292" s="131">
        <f>ROUND(I292*H292,2)</f>
        <v>5141.8900000000003</v>
      </c>
      <c r="K292" s="127" t="s">
        <v>293</v>
      </c>
      <c r="L292" s="198">
        <f>S292</f>
        <v>0</v>
      </c>
      <c r="M292" s="206">
        <f>ROUND(L292*I292,2)</f>
        <v>0</v>
      </c>
      <c r="N292" s="211"/>
      <c r="O292" s="212">
        <f>ROUND(N292*I292,2)</f>
        <v>0</v>
      </c>
      <c r="P292" s="207">
        <f>H292-L292-N292</f>
        <v>24</v>
      </c>
      <c r="Q292" s="228">
        <f>ROUND(P292*I292,2)</f>
        <v>5141.8900000000003</v>
      </c>
      <c r="R292" s="199"/>
      <c r="S292" s="200">
        <f>W292+Y292+AA292+AC292+AE292+AG292+AI292+AK292</f>
        <v>0</v>
      </c>
      <c r="T292" s="200">
        <f>ROUND(S292*I292,2)</f>
        <v>0</v>
      </c>
      <c r="U292" s="200">
        <f>H292-S292</f>
        <v>24</v>
      </c>
      <c r="V292" s="200">
        <f>ROUND(U292*I292,2)</f>
        <v>5141.8900000000003</v>
      </c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BX292" s="132" t="s">
        <v>1</v>
      </c>
      <c r="BY292" s="133" t="s">
        <v>40</v>
      </c>
      <c r="CA292" s="134">
        <f>BZ292*H292</f>
        <v>0</v>
      </c>
      <c r="CB292" s="134">
        <v>0</v>
      </c>
      <c r="CC292" s="134">
        <f>CB292*H292</f>
        <v>0</v>
      </c>
      <c r="CD292" s="134">
        <v>0</v>
      </c>
      <c r="CE292" s="135">
        <f>CD292*H292</f>
        <v>0</v>
      </c>
      <c r="DC292" s="136" t="s">
        <v>95</v>
      </c>
      <c r="DE292" s="136" t="s">
        <v>284</v>
      </c>
      <c r="DF292" s="136" t="s">
        <v>83</v>
      </c>
      <c r="DJ292" s="16" t="s">
        <v>282</v>
      </c>
      <c r="DP292" s="137">
        <f>IF(BY292="základní",J292,0)</f>
        <v>5141.8900000000003</v>
      </c>
      <c r="DQ292" s="137">
        <f>IF(BY292="snížená",J292,0)</f>
        <v>0</v>
      </c>
      <c r="DR292" s="137">
        <f>IF(BY292="zákl. přenesená",J292,0)</f>
        <v>0</v>
      </c>
      <c r="DS292" s="137">
        <f>IF(BY292="sníž. přenesená",J292,0)</f>
        <v>0</v>
      </c>
      <c r="DT292" s="137">
        <f>IF(BY292="nulová",J292,0)</f>
        <v>0</v>
      </c>
      <c r="DU292" s="16" t="s">
        <v>81</v>
      </c>
      <c r="DV292" s="137">
        <f>ROUND(I292*H292,2)</f>
        <v>5141.8900000000003</v>
      </c>
      <c r="DW292" s="16" t="s">
        <v>95</v>
      </c>
      <c r="DX292" s="136" t="s">
        <v>1134</v>
      </c>
    </row>
    <row r="293" spans="2:128" s="1" customFormat="1" ht="19.5" x14ac:dyDescent="0.2">
      <c r="B293" s="31"/>
      <c r="D293" s="138" t="s">
        <v>289</v>
      </c>
      <c r="F293" s="139" t="s">
        <v>1135</v>
      </c>
      <c r="I293" s="140"/>
      <c r="L293" s="31"/>
      <c r="N293" s="213"/>
      <c r="O293" s="214"/>
      <c r="Q293" s="229"/>
      <c r="BX293" s="141"/>
      <c r="CE293" s="50"/>
      <c r="DE293" s="16" t="s">
        <v>289</v>
      </c>
      <c r="DF293" s="16" t="s">
        <v>83</v>
      </c>
    </row>
    <row r="294" spans="2:128" s="1" customFormat="1" ht="29.25" x14ac:dyDescent="0.2">
      <c r="B294" s="31"/>
      <c r="D294" s="138" t="s">
        <v>299</v>
      </c>
      <c r="F294" s="142" t="s">
        <v>1083</v>
      </c>
      <c r="I294" s="140"/>
      <c r="L294" s="31"/>
      <c r="N294" s="213"/>
      <c r="O294" s="214"/>
      <c r="Q294" s="229"/>
      <c r="BX294" s="141"/>
      <c r="CE294" s="50"/>
      <c r="DE294" s="16" t="s">
        <v>299</v>
      </c>
      <c r="DF294" s="16" t="s">
        <v>83</v>
      </c>
    </row>
    <row r="295" spans="2:128" s="11" customFormat="1" x14ac:dyDescent="0.2">
      <c r="B295" s="143"/>
      <c r="D295" s="138" t="s">
        <v>301</v>
      </c>
      <c r="E295" s="144" t="s">
        <v>1</v>
      </c>
      <c r="F295" s="145" t="s">
        <v>1136</v>
      </c>
      <c r="H295" s="144" t="s">
        <v>1</v>
      </c>
      <c r="I295" s="146"/>
      <c r="L295" s="143"/>
      <c r="N295" s="215"/>
      <c r="O295" s="216"/>
      <c r="Q295" s="230"/>
      <c r="BX295" s="147"/>
      <c r="CE295" s="148"/>
      <c r="DE295" s="144" t="s">
        <v>301</v>
      </c>
      <c r="DF295" s="144" t="s">
        <v>83</v>
      </c>
      <c r="DG295" s="11" t="s">
        <v>81</v>
      </c>
      <c r="DH295" s="11" t="s">
        <v>32</v>
      </c>
      <c r="DI295" s="11" t="s">
        <v>74</v>
      </c>
      <c r="DJ295" s="144" t="s">
        <v>282</v>
      </c>
    </row>
    <row r="296" spans="2:128" s="12" customFormat="1" x14ac:dyDescent="0.2">
      <c r="B296" s="149"/>
      <c r="D296" s="138" t="s">
        <v>301</v>
      </c>
      <c r="E296" s="150" t="s">
        <v>1</v>
      </c>
      <c r="F296" s="151" t="s">
        <v>1229</v>
      </c>
      <c r="H296" s="152">
        <v>4</v>
      </c>
      <c r="I296" s="153"/>
      <c r="L296" s="149"/>
      <c r="N296" s="217"/>
      <c r="O296" s="218"/>
      <c r="Q296" s="231"/>
      <c r="BX296" s="154"/>
      <c r="CE296" s="155"/>
      <c r="DE296" s="150" t="s">
        <v>301</v>
      </c>
      <c r="DF296" s="150" t="s">
        <v>83</v>
      </c>
      <c r="DG296" s="12" t="s">
        <v>83</v>
      </c>
      <c r="DH296" s="12" t="s">
        <v>32</v>
      </c>
      <c r="DI296" s="12" t="s">
        <v>74</v>
      </c>
      <c r="DJ296" s="150" t="s">
        <v>282</v>
      </c>
    </row>
    <row r="297" spans="2:128" s="11" customFormat="1" x14ac:dyDescent="0.2">
      <c r="B297" s="143"/>
      <c r="D297" s="138" t="s">
        <v>301</v>
      </c>
      <c r="E297" s="144" t="s">
        <v>1</v>
      </c>
      <c r="F297" s="145" t="s">
        <v>1138</v>
      </c>
      <c r="H297" s="144" t="s">
        <v>1</v>
      </c>
      <c r="I297" s="146"/>
      <c r="L297" s="143"/>
      <c r="N297" s="215"/>
      <c r="O297" s="216"/>
      <c r="Q297" s="230"/>
      <c r="BX297" s="147"/>
      <c r="CE297" s="148"/>
      <c r="DE297" s="144" t="s">
        <v>301</v>
      </c>
      <c r="DF297" s="144" t="s">
        <v>83</v>
      </c>
      <c r="DG297" s="11" t="s">
        <v>81</v>
      </c>
      <c r="DH297" s="11" t="s">
        <v>32</v>
      </c>
      <c r="DI297" s="11" t="s">
        <v>74</v>
      </c>
      <c r="DJ297" s="144" t="s">
        <v>282</v>
      </c>
    </row>
    <row r="298" spans="2:128" s="12" customFormat="1" x14ac:dyDescent="0.2">
      <c r="B298" s="149"/>
      <c r="D298" s="138" t="s">
        <v>301</v>
      </c>
      <c r="E298" s="150" t="s">
        <v>1</v>
      </c>
      <c r="F298" s="151" t="s">
        <v>837</v>
      </c>
      <c r="H298" s="152">
        <v>6</v>
      </c>
      <c r="I298" s="153"/>
      <c r="L298" s="149"/>
      <c r="N298" s="217"/>
      <c r="O298" s="218"/>
      <c r="Q298" s="231"/>
      <c r="BX298" s="154"/>
      <c r="CE298" s="155"/>
      <c r="DE298" s="150" t="s">
        <v>301</v>
      </c>
      <c r="DF298" s="150" t="s">
        <v>83</v>
      </c>
      <c r="DG298" s="12" t="s">
        <v>83</v>
      </c>
      <c r="DH298" s="12" t="s">
        <v>32</v>
      </c>
      <c r="DI298" s="12" t="s">
        <v>74</v>
      </c>
      <c r="DJ298" s="150" t="s">
        <v>282</v>
      </c>
    </row>
    <row r="299" spans="2:128" s="14" customFormat="1" x14ac:dyDescent="0.2">
      <c r="B299" s="163"/>
      <c r="D299" s="138" t="s">
        <v>301</v>
      </c>
      <c r="E299" s="164" t="s">
        <v>1</v>
      </c>
      <c r="F299" s="165" t="s">
        <v>373</v>
      </c>
      <c r="H299" s="166">
        <v>10</v>
      </c>
      <c r="I299" s="167"/>
      <c r="L299" s="163"/>
      <c r="N299" s="221"/>
      <c r="O299" s="222"/>
      <c r="Q299" s="233"/>
      <c r="BX299" s="168"/>
      <c r="CE299" s="169"/>
      <c r="DE299" s="164" t="s">
        <v>301</v>
      </c>
      <c r="DF299" s="164" t="s">
        <v>83</v>
      </c>
      <c r="DG299" s="14" t="s">
        <v>90</v>
      </c>
      <c r="DH299" s="14" t="s">
        <v>32</v>
      </c>
      <c r="DI299" s="14" t="s">
        <v>74</v>
      </c>
      <c r="DJ299" s="164" t="s">
        <v>282</v>
      </c>
    </row>
    <row r="300" spans="2:128" s="11" customFormat="1" x14ac:dyDescent="0.2">
      <c r="B300" s="143"/>
      <c r="D300" s="138" t="s">
        <v>301</v>
      </c>
      <c r="E300" s="144" t="s">
        <v>1</v>
      </c>
      <c r="F300" s="145" t="s">
        <v>1140</v>
      </c>
      <c r="H300" s="144" t="s">
        <v>1</v>
      </c>
      <c r="I300" s="146"/>
      <c r="L300" s="143"/>
      <c r="N300" s="215"/>
      <c r="O300" s="216"/>
      <c r="Q300" s="230"/>
      <c r="BX300" s="147"/>
      <c r="CE300" s="148"/>
      <c r="DE300" s="144" t="s">
        <v>301</v>
      </c>
      <c r="DF300" s="144" t="s">
        <v>83</v>
      </c>
      <c r="DG300" s="11" t="s">
        <v>81</v>
      </c>
      <c r="DH300" s="11" t="s">
        <v>32</v>
      </c>
      <c r="DI300" s="11" t="s">
        <v>74</v>
      </c>
      <c r="DJ300" s="144" t="s">
        <v>282</v>
      </c>
    </row>
    <row r="301" spans="2:128" s="12" customFormat="1" x14ac:dyDescent="0.2">
      <c r="B301" s="149"/>
      <c r="D301" s="138" t="s">
        <v>301</v>
      </c>
      <c r="E301" s="150" t="s">
        <v>1</v>
      </c>
      <c r="F301" s="151" t="s">
        <v>1230</v>
      </c>
      <c r="H301" s="152">
        <v>14</v>
      </c>
      <c r="I301" s="153"/>
      <c r="L301" s="149"/>
      <c r="N301" s="217"/>
      <c r="O301" s="218"/>
      <c r="Q301" s="231"/>
      <c r="BX301" s="154"/>
      <c r="CE301" s="155"/>
      <c r="DE301" s="150" t="s">
        <v>301</v>
      </c>
      <c r="DF301" s="150" t="s">
        <v>83</v>
      </c>
      <c r="DG301" s="12" t="s">
        <v>83</v>
      </c>
      <c r="DH301" s="12" t="s">
        <v>32</v>
      </c>
      <c r="DI301" s="12" t="s">
        <v>74</v>
      </c>
      <c r="DJ301" s="150" t="s">
        <v>282</v>
      </c>
    </row>
    <row r="302" spans="2:128" s="13" customFormat="1" x14ac:dyDescent="0.2">
      <c r="B302" s="156"/>
      <c r="D302" s="138" t="s">
        <v>301</v>
      </c>
      <c r="E302" s="157" t="s">
        <v>1</v>
      </c>
      <c r="F302" s="158" t="s">
        <v>305</v>
      </c>
      <c r="H302" s="159">
        <v>24</v>
      </c>
      <c r="I302" s="160"/>
      <c r="L302" s="156"/>
      <c r="N302" s="219"/>
      <c r="O302" s="220"/>
      <c r="Q302" s="232"/>
      <c r="BX302" s="161"/>
      <c r="CE302" s="162"/>
      <c r="DE302" s="157" t="s">
        <v>301</v>
      </c>
      <c r="DF302" s="157" t="s">
        <v>83</v>
      </c>
      <c r="DG302" s="13" t="s">
        <v>95</v>
      </c>
      <c r="DH302" s="13" t="s">
        <v>32</v>
      </c>
      <c r="DI302" s="13" t="s">
        <v>81</v>
      </c>
      <c r="DJ302" s="157" t="s">
        <v>282</v>
      </c>
    </row>
    <row r="303" spans="2:128" s="1" customFormat="1" ht="14.45" customHeight="1" x14ac:dyDescent="0.2">
      <c r="B303" s="124"/>
      <c r="C303" s="170" t="s">
        <v>497</v>
      </c>
      <c r="D303" s="170" t="s">
        <v>439</v>
      </c>
      <c r="E303" s="171" t="s">
        <v>1142</v>
      </c>
      <c r="F303" s="172" t="s">
        <v>1143</v>
      </c>
      <c r="G303" s="173" t="s">
        <v>485</v>
      </c>
      <c r="H303" s="174">
        <v>10</v>
      </c>
      <c r="I303" s="175">
        <v>100.40486420000001</v>
      </c>
      <c r="J303" s="176">
        <f>ROUND(I303*H303,2)</f>
        <v>1004.05</v>
      </c>
      <c r="K303" s="172" t="s">
        <v>293</v>
      </c>
      <c r="L303" s="198">
        <f>S303</f>
        <v>0</v>
      </c>
      <c r="M303" s="206">
        <f>ROUND(L303*I303,2)</f>
        <v>0</v>
      </c>
      <c r="N303" s="211"/>
      <c r="O303" s="212">
        <f>ROUND(N303*I303,2)</f>
        <v>0</v>
      </c>
      <c r="P303" s="207">
        <f>H303-L303-N303</f>
        <v>10</v>
      </c>
      <c r="Q303" s="228">
        <f>ROUND(P303*I303,2)</f>
        <v>1004.05</v>
      </c>
      <c r="R303" s="199"/>
      <c r="S303" s="200">
        <f>W303+Y303+AA303+AC303+AE303+AG303+AI303+AK303</f>
        <v>0</v>
      </c>
      <c r="T303" s="200">
        <f>ROUND(S303*I303,2)</f>
        <v>0</v>
      </c>
      <c r="U303" s="200">
        <f>H303-S303</f>
        <v>10</v>
      </c>
      <c r="V303" s="200">
        <f>ROUND(U303*I303,2)</f>
        <v>1004.05</v>
      </c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77" t="s">
        <v>1</v>
      </c>
      <c r="BY303" s="178" t="s">
        <v>40</v>
      </c>
      <c r="CA303" s="134">
        <f>BZ303*H303</f>
        <v>0</v>
      </c>
      <c r="CB303" s="134">
        <v>6.4999999999999997E-4</v>
      </c>
      <c r="CC303" s="134">
        <f>CB303*H303</f>
        <v>6.4999999999999997E-3</v>
      </c>
      <c r="CD303" s="134">
        <v>0</v>
      </c>
      <c r="CE303" s="135">
        <f>CD303*H303</f>
        <v>0</v>
      </c>
      <c r="DC303" s="136" t="s">
        <v>328</v>
      </c>
      <c r="DE303" s="136" t="s">
        <v>439</v>
      </c>
      <c r="DF303" s="136" t="s">
        <v>83</v>
      </c>
      <c r="DJ303" s="16" t="s">
        <v>282</v>
      </c>
      <c r="DP303" s="137">
        <f>IF(BY303="základní",J303,0)</f>
        <v>1004.05</v>
      </c>
      <c r="DQ303" s="137">
        <f>IF(BY303="snížená",J303,0)</f>
        <v>0</v>
      </c>
      <c r="DR303" s="137">
        <f>IF(BY303="zákl. přenesená",J303,0)</f>
        <v>0</v>
      </c>
      <c r="DS303" s="137">
        <f>IF(BY303="sníž. přenesená",J303,0)</f>
        <v>0</v>
      </c>
      <c r="DT303" s="137">
        <f>IF(BY303="nulová",J303,0)</f>
        <v>0</v>
      </c>
      <c r="DU303" s="16" t="s">
        <v>81</v>
      </c>
      <c r="DV303" s="137">
        <f>ROUND(I303*H303,2)</f>
        <v>1004.05</v>
      </c>
      <c r="DW303" s="16" t="s">
        <v>95</v>
      </c>
      <c r="DX303" s="136" t="s">
        <v>1144</v>
      </c>
    </row>
    <row r="304" spans="2:128" s="1" customFormat="1" x14ac:dyDescent="0.2">
      <c r="B304" s="31"/>
      <c r="D304" s="138" t="s">
        <v>289</v>
      </c>
      <c r="F304" s="139" t="s">
        <v>1145</v>
      </c>
      <c r="I304" s="140"/>
      <c r="L304" s="31"/>
      <c r="N304" s="213"/>
      <c r="O304" s="214"/>
      <c r="Q304" s="229"/>
      <c r="BX304" s="141"/>
      <c r="CE304" s="50"/>
      <c r="DE304" s="16" t="s">
        <v>289</v>
      </c>
      <c r="DF304" s="16" t="s">
        <v>83</v>
      </c>
    </row>
    <row r="305" spans="2:128" s="1" customFormat="1" ht="14.45" customHeight="1" x14ac:dyDescent="0.2">
      <c r="B305" s="124"/>
      <c r="C305" s="170" t="s">
        <v>501</v>
      </c>
      <c r="D305" s="170" t="s">
        <v>439</v>
      </c>
      <c r="E305" s="171" t="s">
        <v>1146</v>
      </c>
      <c r="F305" s="172" t="s">
        <v>1147</v>
      </c>
      <c r="G305" s="173" t="s">
        <v>485</v>
      </c>
      <c r="H305" s="174">
        <v>14</v>
      </c>
      <c r="I305" s="175">
        <v>236.80392499999999</v>
      </c>
      <c r="J305" s="176">
        <f>ROUND(I305*H305,2)</f>
        <v>3315.25</v>
      </c>
      <c r="K305" s="172" t="s">
        <v>1</v>
      </c>
      <c r="L305" s="198">
        <f>S305</f>
        <v>0</v>
      </c>
      <c r="M305" s="206">
        <f>ROUND(L305*I305,2)</f>
        <v>0</v>
      </c>
      <c r="N305" s="211"/>
      <c r="O305" s="212">
        <f>ROUND(N305*I305,2)</f>
        <v>0</v>
      </c>
      <c r="P305" s="207">
        <f>H305-L305-N305</f>
        <v>14</v>
      </c>
      <c r="Q305" s="228">
        <f>ROUND(P305*I305,2)</f>
        <v>3315.25</v>
      </c>
      <c r="R305" s="199"/>
      <c r="S305" s="200">
        <f>W305+Y305+AA305+AC305+AE305+AG305+AI305+AK305</f>
        <v>0</v>
      </c>
      <c r="T305" s="200">
        <f>ROUND(S305*I305,2)</f>
        <v>0</v>
      </c>
      <c r="U305" s="200">
        <f>H305-S305</f>
        <v>14</v>
      </c>
      <c r="V305" s="200">
        <f>ROUND(U305*I305,2)</f>
        <v>3315.25</v>
      </c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77" t="s">
        <v>1</v>
      </c>
      <c r="BY305" s="178" t="s">
        <v>40</v>
      </c>
      <c r="CA305" s="134">
        <f>BZ305*H305</f>
        <v>0</v>
      </c>
      <c r="CB305" s="134">
        <v>6.4999999999999997E-4</v>
      </c>
      <c r="CC305" s="134">
        <f>CB305*H305</f>
        <v>9.1000000000000004E-3</v>
      </c>
      <c r="CD305" s="134">
        <v>0</v>
      </c>
      <c r="CE305" s="135">
        <f>CD305*H305</f>
        <v>0</v>
      </c>
      <c r="DC305" s="136" t="s">
        <v>328</v>
      </c>
      <c r="DE305" s="136" t="s">
        <v>439</v>
      </c>
      <c r="DF305" s="136" t="s">
        <v>83</v>
      </c>
      <c r="DJ305" s="16" t="s">
        <v>282</v>
      </c>
      <c r="DP305" s="137">
        <f>IF(BY305="základní",J305,0)</f>
        <v>3315.25</v>
      </c>
      <c r="DQ305" s="137">
        <f>IF(BY305="snížená",J305,0)</f>
        <v>0</v>
      </c>
      <c r="DR305" s="137">
        <f>IF(BY305="zákl. přenesená",J305,0)</f>
        <v>0</v>
      </c>
      <c r="DS305" s="137">
        <f>IF(BY305="sníž. přenesená",J305,0)</f>
        <v>0</v>
      </c>
      <c r="DT305" s="137">
        <f>IF(BY305="nulová",J305,0)</f>
        <v>0</v>
      </c>
      <c r="DU305" s="16" t="s">
        <v>81</v>
      </c>
      <c r="DV305" s="137">
        <f>ROUND(I305*H305,2)</f>
        <v>3315.25</v>
      </c>
      <c r="DW305" s="16" t="s">
        <v>95</v>
      </c>
      <c r="DX305" s="136" t="s">
        <v>1148</v>
      </c>
    </row>
    <row r="306" spans="2:128" s="1" customFormat="1" x14ac:dyDescent="0.2">
      <c r="B306" s="31"/>
      <c r="D306" s="138" t="s">
        <v>289</v>
      </c>
      <c r="F306" s="139" t="s">
        <v>1147</v>
      </c>
      <c r="I306" s="140"/>
      <c r="L306" s="31"/>
      <c r="N306" s="213"/>
      <c r="O306" s="214"/>
      <c r="Q306" s="229"/>
      <c r="BX306" s="141"/>
      <c r="CE306" s="50"/>
      <c r="DE306" s="16" t="s">
        <v>289</v>
      </c>
      <c r="DF306" s="16" t="s">
        <v>83</v>
      </c>
    </row>
    <row r="307" spans="2:128" s="1" customFormat="1" ht="14.45" customHeight="1" x14ac:dyDescent="0.2">
      <c r="B307" s="124"/>
      <c r="C307" s="125" t="s">
        <v>505</v>
      </c>
      <c r="D307" s="125" t="s">
        <v>284</v>
      </c>
      <c r="E307" s="126" t="s">
        <v>1149</v>
      </c>
      <c r="F307" s="127" t="s">
        <v>1150</v>
      </c>
      <c r="G307" s="128" t="s">
        <v>485</v>
      </c>
      <c r="H307" s="129">
        <v>7</v>
      </c>
      <c r="I307" s="130">
        <v>214.24530512569368</v>
      </c>
      <c r="J307" s="131">
        <f>ROUND(I307*H307,2)</f>
        <v>1499.72</v>
      </c>
      <c r="K307" s="127" t="s">
        <v>293</v>
      </c>
      <c r="L307" s="198">
        <f>S307</f>
        <v>0</v>
      </c>
      <c r="M307" s="206">
        <f>ROUND(L307*I307,2)</f>
        <v>0</v>
      </c>
      <c r="N307" s="211"/>
      <c r="O307" s="212">
        <f>ROUND(N307*I307,2)</f>
        <v>0</v>
      </c>
      <c r="P307" s="207">
        <f>H307-L307-N307</f>
        <v>7</v>
      </c>
      <c r="Q307" s="228">
        <f>ROUND(P307*I307,2)</f>
        <v>1499.72</v>
      </c>
      <c r="R307" s="199"/>
      <c r="S307" s="200">
        <f>W307+Y307+AA307+AC307+AE307+AG307+AI307+AK307</f>
        <v>0</v>
      </c>
      <c r="T307" s="200">
        <f>ROUND(S307*I307,2)</f>
        <v>0</v>
      </c>
      <c r="U307" s="200">
        <f>H307-S307</f>
        <v>7</v>
      </c>
      <c r="V307" s="200">
        <f>ROUND(U307*I307,2)</f>
        <v>1499.72</v>
      </c>
      <c r="W307" s="200"/>
      <c r="X307" s="200"/>
      <c r="Y307" s="200"/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BX307" s="132" t="s">
        <v>1</v>
      </c>
      <c r="BY307" s="133" t="s">
        <v>40</v>
      </c>
      <c r="CA307" s="134">
        <f>BZ307*H307</f>
        <v>0</v>
      </c>
      <c r="CB307" s="134">
        <v>0</v>
      </c>
      <c r="CC307" s="134">
        <f>CB307*H307</f>
        <v>0</v>
      </c>
      <c r="CD307" s="134">
        <v>0</v>
      </c>
      <c r="CE307" s="135">
        <f>CD307*H307</f>
        <v>0</v>
      </c>
      <c r="DC307" s="136" t="s">
        <v>95</v>
      </c>
      <c r="DE307" s="136" t="s">
        <v>284</v>
      </c>
      <c r="DF307" s="136" t="s">
        <v>83</v>
      </c>
      <c r="DJ307" s="16" t="s">
        <v>282</v>
      </c>
      <c r="DP307" s="137">
        <f>IF(BY307="základní",J307,0)</f>
        <v>1499.72</v>
      </c>
      <c r="DQ307" s="137">
        <f>IF(BY307="snížená",J307,0)</f>
        <v>0</v>
      </c>
      <c r="DR307" s="137">
        <f>IF(BY307="zákl. přenesená",J307,0)</f>
        <v>0</v>
      </c>
      <c r="DS307" s="137">
        <f>IF(BY307="sníž. přenesená",J307,0)</f>
        <v>0</v>
      </c>
      <c r="DT307" s="137">
        <f>IF(BY307="nulová",J307,0)</f>
        <v>0</v>
      </c>
      <c r="DU307" s="16" t="s">
        <v>81</v>
      </c>
      <c r="DV307" s="137">
        <f>ROUND(I307*H307,2)</f>
        <v>1499.72</v>
      </c>
      <c r="DW307" s="16" t="s">
        <v>95</v>
      </c>
      <c r="DX307" s="136" t="s">
        <v>1151</v>
      </c>
    </row>
    <row r="308" spans="2:128" s="1" customFormat="1" ht="19.5" x14ac:dyDescent="0.2">
      <c r="B308" s="31"/>
      <c r="D308" s="138" t="s">
        <v>289</v>
      </c>
      <c r="F308" s="139" t="s">
        <v>1152</v>
      </c>
      <c r="I308" s="140"/>
      <c r="L308" s="31"/>
      <c r="N308" s="213"/>
      <c r="O308" s="214"/>
      <c r="Q308" s="229"/>
      <c r="BX308" s="141"/>
      <c r="CE308" s="50"/>
      <c r="DE308" s="16" t="s">
        <v>289</v>
      </c>
      <c r="DF308" s="16" t="s">
        <v>83</v>
      </c>
    </row>
    <row r="309" spans="2:128" s="1" customFormat="1" ht="29.25" x14ac:dyDescent="0.2">
      <c r="B309" s="31"/>
      <c r="D309" s="138" t="s">
        <v>299</v>
      </c>
      <c r="F309" s="142" t="s">
        <v>1083</v>
      </c>
      <c r="I309" s="140"/>
      <c r="L309" s="31"/>
      <c r="N309" s="213"/>
      <c r="O309" s="214"/>
      <c r="Q309" s="229"/>
      <c r="BX309" s="141"/>
      <c r="CE309" s="50"/>
      <c r="DE309" s="16" t="s">
        <v>299</v>
      </c>
      <c r="DF309" s="16" t="s">
        <v>83</v>
      </c>
    </row>
    <row r="310" spans="2:128" s="11" customFormat="1" x14ac:dyDescent="0.2">
      <c r="B310" s="143"/>
      <c r="D310" s="138" t="s">
        <v>301</v>
      </c>
      <c r="E310" s="144" t="s">
        <v>1</v>
      </c>
      <c r="F310" s="145" t="s">
        <v>1153</v>
      </c>
      <c r="H310" s="144" t="s">
        <v>1</v>
      </c>
      <c r="I310" s="146"/>
      <c r="L310" s="143"/>
      <c r="N310" s="215"/>
      <c r="O310" s="216"/>
      <c r="Q310" s="230"/>
      <c r="BX310" s="147"/>
      <c r="CE310" s="148"/>
      <c r="DE310" s="144" t="s">
        <v>301</v>
      </c>
      <c r="DF310" s="144" t="s">
        <v>83</v>
      </c>
      <c r="DG310" s="11" t="s">
        <v>81</v>
      </c>
      <c r="DH310" s="11" t="s">
        <v>32</v>
      </c>
      <c r="DI310" s="11" t="s">
        <v>74</v>
      </c>
      <c r="DJ310" s="144" t="s">
        <v>282</v>
      </c>
    </row>
    <row r="311" spans="2:128" s="12" customFormat="1" x14ac:dyDescent="0.2">
      <c r="B311" s="149"/>
      <c r="D311" s="138" t="s">
        <v>301</v>
      </c>
      <c r="E311" s="150" t="s">
        <v>1</v>
      </c>
      <c r="F311" s="151" t="s">
        <v>323</v>
      </c>
      <c r="H311" s="152">
        <v>7</v>
      </c>
      <c r="I311" s="153"/>
      <c r="L311" s="149"/>
      <c r="N311" s="217"/>
      <c r="O311" s="218"/>
      <c r="Q311" s="231"/>
      <c r="BX311" s="154"/>
      <c r="CE311" s="155"/>
      <c r="DE311" s="150" t="s">
        <v>301</v>
      </c>
      <c r="DF311" s="150" t="s">
        <v>83</v>
      </c>
      <c r="DG311" s="12" t="s">
        <v>83</v>
      </c>
      <c r="DH311" s="12" t="s">
        <v>32</v>
      </c>
      <c r="DI311" s="12" t="s">
        <v>81</v>
      </c>
      <c r="DJ311" s="150" t="s">
        <v>282</v>
      </c>
    </row>
    <row r="312" spans="2:128" s="1" customFormat="1" ht="14.45" customHeight="1" x14ac:dyDescent="0.2">
      <c r="B312" s="124"/>
      <c r="C312" s="170" t="s">
        <v>510</v>
      </c>
      <c r="D312" s="170" t="s">
        <v>439</v>
      </c>
      <c r="E312" s="171" t="s">
        <v>1154</v>
      </c>
      <c r="F312" s="172" t="s">
        <v>1155</v>
      </c>
      <c r="G312" s="173" t="s">
        <v>485</v>
      </c>
      <c r="H312" s="174">
        <v>7</v>
      </c>
      <c r="I312" s="175">
        <v>59.200981249999998</v>
      </c>
      <c r="J312" s="176">
        <f>ROUND(I312*H312,2)</f>
        <v>414.41</v>
      </c>
      <c r="K312" s="172" t="s">
        <v>293</v>
      </c>
      <c r="L312" s="198">
        <f>S312</f>
        <v>0</v>
      </c>
      <c r="M312" s="206">
        <f>ROUND(L312*I312,2)</f>
        <v>0</v>
      </c>
      <c r="N312" s="211"/>
      <c r="O312" s="212">
        <f>ROUND(N312*I312,2)</f>
        <v>0</v>
      </c>
      <c r="P312" s="207">
        <f>H312-L312-N312</f>
        <v>7</v>
      </c>
      <c r="Q312" s="228">
        <f>ROUND(P312*I312,2)</f>
        <v>414.41</v>
      </c>
      <c r="R312" s="199"/>
      <c r="S312" s="200">
        <f>W312+Y312+AA312+AC312+AE312+AG312+AI312+AK312</f>
        <v>0</v>
      </c>
      <c r="T312" s="200">
        <f>ROUND(S312*I312,2)</f>
        <v>0</v>
      </c>
      <c r="U312" s="200">
        <f>H312-S312</f>
        <v>7</v>
      </c>
      <c r="V312" s="200">
        <f>ROUND(U312*I312,2)</f>
        <v>414.41</v>
      </c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77" t="s">
        <v>1</v>
      </c>
      <c r="BY312" s="178" t="s">
        <v>40</v>
      </c>
      <c r="CA312" s="134">
        <f>BZ312*H312</f>
        <v>0</v>
      </c>
      <c r="CB312" s="134">
        <v>2.9E-4</v>
      </c>
      <c r="CC312" s="134">
        <f>CB312*H312</f>
        <v>2.0300000000000001E-3</v>
      </c>
      <c r="CD312" s="134">
        <v>0</v>
      </c>
      <c r="CE312" s="135">
        <f>CD312*H312</f>
        <v>0</v>
      </c>
      <c r="DC312" s="136" t="s">
        <v>328</v>
      </c>
      <c r="DE312" s="136" t="s">
        <v>439</v>
      </c>
      <c r="DF312" s="136" t="s">
        <v>83</v>
      </c>
      <c r="DJ312" s="16" t="s">
        <v>282</v>
      </c>
      <c r="DP312" s="137">
        <f>IF(BY312="základní",J312,0)</f>
        <v>414.41</v>
      </c>
      <c r="DQ312" s="137">
        <f>IF(BY312="snížená",J312,0)</f>
        <v>0</v>
      </c>
      <c r="DR312" s="137">
        <f>IF(BY312="zákl. přenesená",J312,0)</f>
        <v>0</v>
      </c>
      <c r="DS312" s="137">
        <f>IF(BY312="sníž. přenesená",J312,0)</f>
        <v>0</v>
      </c>
      <c r="DT312" s="137">
        <f>IF(BY312="nulová",J312,0)</f>
        <v>0</v>
      </c>
      <c r="DU312" s="16" t="s">
        <v>81</v>
      </c>
      <c r="DV312" s="137">
        <f>ROUND(I312*H312,2)</f>
        <v>414.41</v>
      </c>
      <c r="DW312" s="16" t="s">
        <v>95</v>
      </c>
      <c r="DX312" s="136" t="s">
        <v>1156</v>
      </c>
    </row>
    <row r="313" spans="2:128" s="1" customFormat="1" x14ac:dyDescent="0.2">
      <c r="B313" s="31"/>
      <c r="D313" s="138" t="s">
        <v>289</v>
      </c>
      <c r="F313" s="139" t="s">
        <v>1155</v>
      </c>
      <c r="I313" s="140"/>
      <c r="L313" s="31"/>
      <c r="N313" s="213"/>
      <c r="O313" s="214"/>
      <c r="Q313" s="229"/>
      <c r="BX313" s="141"/>
      <c r="CE313" s="50"/>
      <c r="DE313" s="16" t="s">
        <v>289</v>
      </c>
      <c r="DF313" s="16" t="s">
        <v>83</v>
      </c>
    </row>
    <row r="314" spans="2:128" s="1" customFormat="1" ht="14.45" customHeight="1" x14ac:dyDescent="0.2">
      <c r="B314" s="124"/>
      <c r="C314" s="125" t="s">
        <v>514</v>
      </c>
      <c r="D314" s="125" t="s">
        <v>284</v>
      </c>
      <c r="E314" s="126" t="s">
        <v>776</v>
      </c>
      <c r="F314" s="127" t="s">
        <v>1157</v>
      </c>
      <c r="G314" s="128" t="s">
        <v>344</v>
      </c>
      <c r="H314" s="129">
        <v>43</v>
      </c>
      <c r="I314" s="130">
        <v>21.984104604889872</v>
      </c>
      <c r="J314" s="131">
        <f>ROUND(I314*H314,2)</f>
        <v>945.32</v>
      </c>
      <c r="K314" s="127" t="s">
        <v>293</v>
      </c>
      <c r="L314" s="198">
        <f>S314</f>
        <v>0</v>
      </c>
      <c r="M314" s="206">
        <f>ROUND(L314*I314,2)</f>
        <v>0</v>
      </c>
      <c r="N314" s="211">
        <f>N316</f>
        <v>-6.4600000000000009</v>
      </c>
      <c r="O314" s="212">
        <f>ROUND(N314*I314,2)</f>
        <v>-142.02000000000001</v>
      </c>
      <c r="P314" s="207">
        <f>H314-L314-N314</f>
        <v>49.46</v>
      </c>
      <c r="Q314" s="228">
        <f>ROUND(P314*I314,2)</f>
        <v>1087.33</v>
      </c>
      <c r="R314" s="199"/>
      <c r="S314" s="200">
        <f>W314+Y314+AA314+AC314+AE314+AG314+AI314+AK314</f>
        <v>0</v>
      </c>
      <c r="T314" s="200">
        <f>ROUND(S314*I314,2)</f>
        <v>0</v>
      </c>
      <c r="U314" s="200">
        <f>H314-S314</f>
        <v>43</v>
      </c>
      <c r="V314" s="200">
        <f>ROUND(U314*I314,2)</f>
        <v>945.32</v>
      </c>
      <c r="W314" s="200"/>
      <c r="X314" s="200"/>
      <c r="Y314" s="200"/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BX314" s="132" t="s">
        <v>1</v>
      </c>
      <c r="BY314" s="133" t="s">
        <v>40</v>
      </c>
      <c r="CA314" s="134">
        <f>BZ314*H314</f>
        <v>0</v>
      </c>
      <c r="CB314" s="134">
        <v>0</v>
      </c>
      <c r="CC314" s="134">
        <f>CB314*H314</f>
        <v>0</v>
      </c>
      <c r="CD314" s="134">
        <v>0</v>
      </c>
      <c r="CE314" s="135">
        <f>CD314*H314</f>
        <v>0</v>
      </c>
      <c r="DC314" s="136" t="s">
        <v>95</v>
      </c>
      <c r="DE314" s="136" t="s">
        <v>284</v>
      </c>
      <c r="DF314" s="136" t="s">
        <v>83</v>
      </c>
      <c r="DJ314" s="16" t="s">
        <v>282</v>
      </c>
      <c r="DP314" s="137">
        <f>IF(BY314="základní",J314,0)</f>
        <v>945.32</v>
      </c>
      <c r="DQ314" s="137">
        <f>IF(BY314="snížená",J314,0)</f>
        <v>0</v>
      </c>
      <c r="DR314" s="137">
        <f>IF(BY314="zákl. přenesená",J314,0)</f>
        <v>0</v>
      </c>
      <c r="DS314" s="137">
        <f>IF(BY314="sníž. přenesená",J314,0)</f>
        <v>0</v>
      </c>
      <c r="DT314" s="137">
        <f>IF(BY314="nulová",J314,0)</f>
        <v>0</v>
      </c>
      <c r="DU314" s="16" t="s">
        <v>81</v>
      </c>
      <c r="DV314" s="137">
        <f>ROUND(I314*H314,2)</f>
        <v>945.32</v>
      </c>
      <c r="DW314" s="16" t="s">
        <v>95</v>
      </c>
      <c r="DX314" s="136" t="s">
        <v>1158</v>
      </c>
    </row>
    <row r="315" spans="2:128" s="1" customFormat="1" x14ac:dyDescent="0.2">
      <c r="B315" s="31"/>
      <c r="D315" s="138" t="s">
        <v>289</v>
      </c>
      <c r="F315" s="139" t="s">
        <v>779</v>
      </c>
      <c r="I315" s="140"/>
      <c r="L315" s="31"/>
      <c r="N315" s="213"/>
      <c r="O315" s="214"/>
      <c r="Q315" s="229"/>
      <c r="BX315" s="141"/>
      <c r="CE315" s="50"/>
      <c r="DE315" s="16" t="s">
        <v>289</v>
      </c>
      <c r="DF315" s="16" t="s">
        <v>83</v>
      </c>
    </row>
    <row r="316" spans="2:128" s="1" customFormat="1" ht="19.5" x14ac:dyDescent="0.2">
      <c r="B316" s="31"/>
      <c r="D316" s="138" t="s">
        <v>299</v>
      </c>
      <c r="F316" s="142" t="s">
        <v>587</v>
      </c>
      <c r="I316" s="140"/>
      <c r="L316" s="31"/>
      <c r="N316" s="213">
        <f>36.54-43</f>
        <v>-6.4600000000000009</v>
      </c>
      <c r="O316" s="214" t="s">
        <v>3667</v>
      </c>
      <c r="Q316" s="229"/>
      <c r="BX316" s="141"/>
      <c r="CE316" s="50"/>
      <c r="DE316" s="16" t="s">
        <v>299</v>
      </c>
      <c r="DF316" s="16" t="s">
        <v>83</v>
      </c>
    </row>
    <row r="317" spans="2:128" s="1" customFormat="1" ht="24.2" customHeight="1" x14ac:dyDescent="0.2">
      <c r="B317" s="124"/>
      <c r="C317" s="125" t="s">
        <v>521</v>
      </c>
      <c r="D317" s="125" t="s">
        <v>284</v>
      </c>
      <c r="E317" s="126" t="s">
        <v>1159</v>
      </c>
      <c r="F317" s="127" t="s">
        <v>1160</v>
      </c>
      <c r="G317" s="128" t="s">
        <v>485</v>
      </c>
      <c r="H317" s="129">
        <v>7</v>
      </c>
      <c r="I317" s="130">
        <v>3029.9958423936168</v>
      </c>
      <c r="J317" s="131">
        <f>ROUND(I317*H317,2)</f>
        <v>21209.97</v>
      </c>
      <c r="K317" s="127" t="s">
        <v>293</v>
      </c>
      <c r="L317" s="198">
        <f>S317</f>
        <v>0</v>
      </c>
      <c r="M317" s="206">
        <f>ROUND(L317*I317,2)</f>
        <v>0</v>
      </c>
      <c r="N317" s="211"/>
      <c r="O317" s="212">
        <f>ROUND(N317*I317,2)</f>
        <v>0</v>
      </c>
      <c r="P317" s="207">
        <f>H317-L317-N317</f>
        <v>7</v>
      </c>
      <c r="Q317" s="228">
        <f>ROUND(P317*I317,2)</f>
        <v>21209.97</v>
      </c>
      <c r="R317" s="199"/>
      <c r="S317" s="200">
        <f>W317+Y317+AA317+AC317+AE317+AG317+AI317+AK317</f>
        <v>0</v>
      </c>
      <c r="T317" s="200">
        <f>ROUND(S317*I317,2)</f>
        <v>0</v>
      </c>
      <c r="U317" s="200">
        <f>H317-S317</f>
        <v>7</v>
      </c>
      <c r="V317" s="200">
        <f>ROUND(U317*I317,2)</f>
        <v>21209.97</v>
      </c>
      <c r="W317" s="200"/>
      <c r="X317" s="200"/>
      <c r="Y317" s="200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BX317" s="132" t="s">
        <v>1</v>
      </c>
      <c r="BY317" s="133" t="s">
        <v>40</v>
      </c>
      <c r="CA317" s="134">
        <f>BZ317*H317</f>
        <v>0</v>
      </c>
      <c r="CB317" s="134">
        <v>5.8029999999999998E-2</v>
      </c>
      <c r="CC317" s="134">
        <f>CB317*H317</f>
        <v>0.40620999999999996</v>
      </c>
      <c r="CD317" s="134">
        <v>0</v>
      </c>
      <c r="CE317" s="135">
        <f>CD317*H317</f>
        <v>0</v>
      </c>
      <c r="DC317" s="136" t="s">
        <v>95</v>
      </c>
      <c r="DE317" s="136" t="s">
        <v>284</v>
      </c>
      <c r="DF317" s="136" t="s">
        <v>83</v>
      </c>
      <c r="DJ317" s="16" t="s">
        <v>282</v>
      </c>
      <c r="DP317" s="137">
        <f>IF(BY317="základní",J317,0)</f>
        <v>21209.97</v>
      </c>
      <c r="DQ317" s="137">
        <f>IF(BY317="snížená",J317,0)</f>
        <v>0</v>
      </c>
      <c r="DR317" s="137">
        <f>IF(BY317="zákl. přenesená",J317,0)</f>
        <v>0</v>
      </c>
      <c r="DS317" s="137">
        <f>IF(BY317="sníž. přenesená",J317,0)</f>
        <v>0</v>
      </c>
      <c r="DT317" s="137">
        <f>IF(BY317="nulová",J317,0)</f>
        <v>0</v>
      </c>
      <c r="DU317" s="16" t="s">
        <v>81</v>
      </c>
      <c r="DV317" s="137">
        <f>ROUND(I317*H317,2)</f>
        <v>21209.97</v>
      </c>
      <c r="DW317" s="16" t="s">
        <v>95</v>
      </c>
      <c r="DX317" s="136" t="s">
        <v>1161</v>
      </c>
    </row>
    <row r="318" spans="2:128" s="1" customFormat="1" ht="29.25" x14ac:dyDescent="0.2">
      <c r="B318" s="31"/>
      <c r="D318" s="138" t="s">
        <v>289</v>
      </c>
      <c r="F318" s="139" t="s">
        <v>1162</v>
      </c>
      <c r="I318" s="140"/>
      <c r="L318" s="31"/>
      <c r="N318" s="213"/>
      <c r="O318" s="214"/>
      <c r="Q318" s="229"/>
      <c r="BX318" s="141"/>
      <c r="CE318" s="50"/>
      <c r="DE318" s="16" t="s">
        <v>289</v>
      </c>
      <c r="DF318" s="16" t="s">
        <v>83</v>
      </c>
    </row>
    <row r="319" spans="2:128" s="1" customFormat="1" ht="29.25" x14ac:dyDescent="0.2">
      <c r="B319" s="31"/>
      <c r="D319" s="138" t="s">
        <v>299</v>
      </c>
      <c r="F319" s="142" t="s">
        <v>1083</v>
      </c>
      <c r="I319" s="140"/>
      <c r="L319" s="31"/>
      <c r="N319" s="213"/>
      <c r="O319" s="214"/>
      <c r="Q319" s="229"/>
      <c r="BX319" s="141"/>
      <c r="CE319" s="50"/>
      <c r="DE319" s="16" t="s">
        <v>299</v>
      </c>
      <c r="DF319" s="16" t="s">
        <v>83</v>
      </c>
    </row>
    <row r="320" spans="2:128" s="12" customFormat="1" x14ac:dyDescent="0.2">
      <c r="B320" s="149"/>
      <c r="D320" s="138" t="s">
        <v>301</v>
      </c>
      <c r="E320" s="150" t="s">
        <v>1</v>
      </c>
      <c r="F320" s="151" t="s">
        <v>323</v>
      </c>
      <c r="H320" s="152">
        <v>7</v>
      </c>
      <c r="I320" s="153"/>
      <c r="L320" s="149"/>
      <c r="N320" s="217"/>
      <c r="O320" s="218"/>
      <c r="Q320" s="231"/>
      <c r="BX320" s="154"/>
      <c r="CE320" s="155"/>
      <c r="DE320" s="150" t="s">
        <v>301</v>
      </c>
      <c r="DF320" s="150" t="s">
        <v>83</v>
      </c>
      <c r="DG320" s="12" t="s">
        <v>83</v>
      </c>
      <c r="DH320" s="12" t="s">
        <v>32</v>
      </c>
      <c r="DI320" s="12" t="s">
        <v>81</v>
      </c>
      <c r="DJ320" s="150" t="s">
        <v>282</v>
      </c>
    </row>
    <row r="321" spans="2:128" s="1" customFormat="1" ht="24.2" customHeight="1" x14ac:dyDescent="0.2">
      <c r="B321" s="124"/>
      <c r="C321" s="125" t="s">
        <v>526</v>
      </c>
      <c r="D321" s="125" t="s">
        <v>284</v>
      </c>
      <c r="E321" s="126" t="s">
        <v>1163</v>
      </c>
      <c r="F321" s="127" t="s">
        <v>1164</v>
      </c>
      <c r="G321" s="128" t="s">
        <v>485</v>
      </c>
      <c r="H321" s="129">
        <v>7</v>
      </c>
      <c r="I321" s="130">
        <v>1731.8858985723084</v>
      </c>
      <c r="J321" s="131">
        <f>ROUND(I321*H321,2)</f>
        <v>12123.2</v>
      </c>
      <c r="K321" s="127" t="s">
        <v>293</v>
      </c>
      <c r="L321" s="198">
        <f>S321</f>
        <v>0</v>
      </c>
      <c r="M321" s="206">
        <f>ROUND(L321*I321,2)</f>
        <v>0</v>
      </c>
      <c r="N321" s="211"/>
      <c r="O321" s="212">
        <f>ROUND(N321*I321,2)</f>
        <v>0</v>
      </c>
      <c r="P321" s="207">
        <f>H321-L321-N321</f>
        <v>7</v>
      </c>
      <c r="Q321" s="228">
        <f>ROUND(P321*I321,2)</f>
        <v>12123.2</v>
      </c>
      <c r="R321" s="199"/>
      <c r="S321" s="200">
        <f>W321+Y321+AA321+AC321+AE321+AG321+AI321+AK321</f>
        <v>0</v>
      </c>
      <c r="T321" s="200">
        <f>ROUND(S321*I321,2)</f>
        <v>0</v>
      </c>
      <c r="U321" s="200">
        <f>H321-S321</f>
        <v>7</v>
      </c>
      <c r="V321" s="200">
        <f>ROUND(U321*I321,2)</f>
        <v>12123.2</v>
      </c>
      <c r="W321" s="200"/>
      <c r="X321" s="200"/>
      <c r="Y321" s="200"/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BX321" s="132" t="s">
        <v>1</v>
      </c>
      <c r="BY321" s="133" t="s">
        <v>40</v>
      </c>
      <c r="CA321" s="134">
        <f>BZ321*H321</f>
        <v>0</v>
      </c>
      <c r="CB321" s="134">
        <v>1.136E-2</v>
      </c>
      <c r="CC321" s="134">
        <f>CB321*H321</f>
        <v>7.9520000000000007E-2</v>
      </c>
      <c r="CD321" s="134">
        <v>0</v>
      </c>
      <c r="CE321" s="135">
        <f>CD321*H321</f>
        <v>0</v>
      </c>
      <c r="DC321" s="136" t="s">
        <v>95</v>
      </c>
      <c r="DE321" s="136" t="s">
        <v>284</v>
      </c>
      <c r="DF321" s="136" t="s">
        <v>83</v>
      </c>
      <c r="DJ321" s="16" t="s">
        <v>282</v>
      </c>
      <c r="DP321" s="137">
        <f>IF(BY321="základní",J321,0)</f>
        <v>12123.2</v>
      </c>
      <c r="DQ321" s="137">
        <f>IF(BY321="snížená",J321,0)</f>
        <v>0</v>
      </c>
      <c r="DR321" s="137">
        <f>IF(BY321="zákl. přenesená",J321,0)</f>
        <v>0</v>
      </c>
      <c r="DS321" s="137">
        <f>IF(BY321="sníž. přenesená",J321,0)</f>
        <v>0</v>
      </c>
      <c r="DT321" s="137">
        <f>IF(BY321="nulová",J321,0)</f>
        <v>0</v>
      </c>
      <c r="DU321" s="16" t="s">
        <v>81</v>
      </c>
      <c r="DV321" s="137">
        <f>ROUND(I321*H321,2)</f>
        <v>12123.2</v>
      </c>
      <c r="DW321" s="16" t="s">
        <v>95</v>
      </c>
      <c r="DX321" s="136" t="s">
        <v>1165</v>
      </c>
    </row>
    <row r="322" spans="2:128" s="1" customFormat="1" ht="19.5" x14ac:dyDescent="0.2">
      <c r="B322" s="31"/>
      <c r="D322" s="138" t="s">
        <v>289</v>
      </c>
      <c r="F322" s="139" t="s">
        <v>1166</v>
      </c>
      <c r="I322" s="140"/>
      <c r="L322" s="31"/>
      <c r="N322" s="213"/>
      <c r="O322" s="214"/>
      <c r="Q322" s="229"/>
      <c r="BX322" s="141"/>
      <c r="CE322" s="50"/>
      <c r="DE322" s="16" t="s">
        <v>289</v>
      </c>
      <c r="DF322" s="16" t="s">
        <v>83</v>
      </c>
    </row>
    <row r="323" spans="2:128" s="1" customFormat="1" ht="24.2" customHeight="1" x14ac:dyDescent="0.2">
      <c r="B323" s="124"/>
      <c r="C323" s="125" t="s">
        <v>531</v>
      </c>
      <c r="D323" s="125" t="s">
        <v>284</v>
      </c>
      <c r="E323" s="126" t="s">
        <v>1167</v>
      </c>
      <c r="F323" s="127" t="s">
        <v>1168</v>
      </c>
      <c r="G323" s="128" t="s">
        <v>485</v>
      </c>
      <c r="H323" s="129">
        <v>7</v>
      </c>
      <c r="I323" s="130">
        <v>769.70783374577138</v>
      </c>
      <c r="J323" s="131">
        <f>ROUND(I323*H323,2)</f>
        <v>5387.95</v>
      </c>
      <c r="K323" s="127" t="s">
        <v>293</v>
      </c>
      <c r="L323" s="198">
        <f>S323</f>
        <v>0</v>
      </c>
      <c r="M323" s="206">
        <f>ROUND(L323*I323,2)</f>
        <v>0</v>
      </c>
      <c r="N323" s="211"/>
      <c r="O323" s="212">
        <f>ROUND(N323*I323,2)</f>
        <v>0</v>
      </c>
      <c r="P323" s="207">
        <f>H323-L323-N323</f>
        <v>7</v>
      </c>
      <c r="Q323" s="228">
        <f>ROUND(P323*I323,2)</f>
        <v>5387.95</v>
      </c>
      <c r="R323" s="199"/>
      <c r="S323" s="200">
        <f>W323+Y323+AA323+AC323+AE323+AG323+AI323+AK323</f>
        <v>0</v>
      </c>
      <c r="T323" s="200">
        <f>ROUND(S323*I323,2)</f>
        <v>0</v>
      </c>
      <c r="U323" s="200">
        <f>H323-S323</f>
        <v>7</v>
      </c>
      <c r="V323" s="200">
        <f>ROUND(U323*I323,2)</f>
        <v>5387.95</v>
      </c>
      <c r="W323" s="200"/>
      <c r="X323" s="200"/>
      <c r="Y323" s="200"/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BX323" s="132" t="s">
        <v>1</v>
      </c>
      <c r="BY323" s="133" t="s">
        <v>40</v>
      </c>
      <c r="CA323" s="134">
        <f>BZ323*H323</f>
        <v>0</v>
      </c>
      <c r="CB323" s="134">
        <v>6.2199999999999998E-3</v>
      </c>
      <c r="CC323" s="134">
        <f>CB323*H323</f>
        <v>4.3539999999999995E-2</v>
      </c>
      <c r="CD323" s="134">
        <v>0</v>
      </c>
      <c r="CE323" s="135">
        <f>CD323*H323</f>
        <v>0</v>
      </c>
      <c r="DC323" s="136" t="s">
        <v>95</v>
      </c>
      <c r="DE323" s="136" t="s">
        <v>284</v>
      </c>
      <c r="DF323" s="136" t="s">
        <v>83</v>
      </c>
      <c r="DJ323" s="16" t="s">
        <v>282</v>
      </c>
      <c r="DP323" s="137">
        <f>IF(BY323="základní",J323,0)</f>
        <v>5387.95</v>
      </c>
      <c r="DQ323" s="137">
        <f>IF(BY323="snížená",J323,0)</f>
        <v>0</v>
      </c>
      <c r="DR323" s="137">
        <f>IF(BY323="zákl. přenesená",J323,0)</f>
        <v>0</v>
      </c>
      <c r="DS323" s="137">
        <f>IF(BY323="sníž. přenesená",J323,0)</f>
        <v>0</v>
      </c>
      <c r="DT323" s="137">
        <f>IF(BY323="nulová",J323,0)</f>
        <v>0</v>
      </c>
      <c r="DU323" s="16" t="s">
        <v>81</v>
      </c>
      <c r="DV323" s="137">
        <f>ROUND(I323*H323,2)</f>
        <v>5387.95</v>
      </c>
      <c r="DW323" s="16" t="s">
        <v>95</v>
      </c>
      <c r="DX323" s="136" t="s">
        <v>1169</v>
      </c>
    </row>
    <row r="324" spans="2:128" s="1" customFormat="1" ht="29.25" x14ac:dyDescent="0.2">
      <c r="B324" s="31"/>
      <c r="D324" s="138" t="s">
        <v>289</v>
      </c>
      <c r="F324" s="139" t="s">
        <v>1170</v>
      </c>
      <c r="I324" s="140"/>
      <c r="L324" s="31"/>
      <c r="N324" s="213"/>
      <c r="O324" s="214"/>
      <c r="Q324" s="229"/>
      <c r="BX324" s="141"/>
      <c r="CE324" s="50"/>
      <c r="DE324" s="16" t="s">
        <v>289</v>
      </c>
      <c r="DF324" s="16" t="s">
        <v>83</v>
      </c>
    </row>
    <row r="325" spans="2:128" s="1" customFormat="1" ht="24.2" customHeight="1" x14ac:dyDescent="0.2">
      <c r="B325" s="124"/>
      <c r="C325" s="125" t="s">
        <v>536</v>
      </c>
      <c r="D325" s="125" t="s">
        <v>284</v>
      </c>
      <c r="E325" s="126" t="s">
        <v>1171</v>
      </c>
      <c r="F325" s="127" t="s">
        <v>1172</v>
      </c>
      <c r="G325" s="128" t="s">
        <v>485</v>
      </c>
      <c r="H325" s="129">
        <v>7</v>
      </c>
      <c r="I325" s="130">
        <v>809.35201412271431</v>
      </c>
      <c r="J325" s="131">
        <f>ROUND(I325*H325,2)</f>
        <v>5665.46</v>
      </c>
      <c r="K325" s="127" t="s">
        <v>293</v>
      </c>
      <c r="L325" s="198">
        <f>S325</f>
        <v>0</v>
      </c>
      <c r="M325" s="206">
        <f>ROUND(L325*I325,2)</f>
        <v>0</v>
      </c>
      <c r="N325" s="211"/>
      <c r="O325" s="212">
        <f>ROUND(N325*I325,2)</f>
        <v>0</v>
      </c>
      <c r="P325" s="207">
        <f>H325-L325-N325</f>
        <v>7</v>
      </c>
      <c r="Q325" s="228">
        <f>ROUND(P325*I325,2)</f>
        <v>5665.46</v>
      </c>
      <c r="R325" s="199"/>
      <c r="S325" s="200">
        <f>W325+Y325+AA325+AC325+AE325+AG325+AI325+AK325</f>
        <v>0</v>
      </c>
      <c r="T325" s="200">
        <f>ROUND(S325*I325,2)</f>
        <v>0</v>
      </c>
      <c r="U325" s="200">
        <f>H325-S325</f>
        <v>7</v>
      </c>
      <c r="V325" s="200">
        <f>ROUND(U325*I325,2)</f>
        <v>5665.46</v>
      </c>
      <c r="W325" s="200"/>
      <c r="X325" s="200"/>
      <c r="Y325" s="200"/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BX325" s="132" t="s">
        <v>1</v>
      </c>
      <c r="BY325" s="133" t="s">
        <v>40</v>
      </c>
      <c r="CA325" s="134">
        <f>BZ325*H325</f>
        <v>0</v>
      </c>
      <c r="CB325" s="134">
        <v>0</v>
      </c>
      <c r="CC325" s="134">
        <f>CB325*H325</f>
        <v>0</v>
      </c>
      <c r="CD325" s="134">
        <v>0</v>
      </c>
      <c r="CE325" s="135">
        <f>CD325*H325</f>
        <v>0</v>
      </c>
      <c r="DC325" s="136" t="s">
        <v>95</v>
      </c>
      <c r="DE325" s="136" t="s">
        <v>284</v>
      </c>
      <c r="DF325" s="136" t="s">
        <v>83</v>
      </c>
      <c r="DJ325" s="16" t="s">
        <v>282</v>
      </c>
      <c r="DP325" s="137">
        <f>IF(BY325="základní",J325,0)</f>
        <v>5665.46</v>
      </c>
      <c r="DQ325" s="137">
        <f>IF(BY325="snížená",J325,0)</f>
        <v>0</v>
      </c>
      <c r="DR325" s="137">
        <f>IF(BY325="zákl. přenesená",J325,0)</f>
        <v>0</v>
      </c>
      <c r="DS325" s="137">
        <f>IF(BY325="sníž. přenesená",J325,0)</f>
        <v>0</v>
      </c>
      <c r="DT325" s="137">
        <f>IF(BY325="nulová",J325,0)</f>
        <v>0</v>
      </c>
      <c r="DU325" s="16" t="s">
        <v>81</v>
      </c>
      <c r="DV325" s="137">
        <f>ROUND(I325*H325,2)</f>
        <v>5665.46</v>
      </c>
      <c r="DW325" s="16" t="s">
        <v>95</v>
      </c>
      <c r="DX325" s="136" t="s">
        <v>1173</v>
      </c>
    </row>
    <row r="326" spans="2:128" s="1" customFormat="1" ht="29.25" x14ac:dyDescent="0.2">
      <c r="B326" s="31"/>
      <c r="D326" s="138" t="s">
        <v>289</v>
      </c>
      <c r="F326" s="139" t="s">
        <v>1174</v>
      </c>
      <c r="I326" s="140"/>
      <c r="L326" s="31"/>
      <c r="N326" s="213"/>
      <c r="O326" s="214"/>
      <c r="Q326" s="229"/>
      <c r="BX326" s="141"/>
      <c r="CE326" s="50"/>
      <c r="DE326" s="16" t="s">
        <v>289</v>
      </c>
      <c r="DF326" s="16" t="s">
        <v>83</v>
      </c>
    </row>
    <row r="327" spans="2:128" s="1" customFormat="1" ht="24.2" customHeight="1" x14ac:dyDescent="0.2">
      <c r="B327" s="124"/>
      <c r="C327" s="125" t="s">
        <v>543</v>
      </c>
      <c r="D327" s="125" t="s">
        <v>284</v>
      </c>
      <c r="E327" s="126" t="s">
        <v>1175</v>
      </c>
      <c r="F327" s="127" t="s">
        <v>1176</v>
      </c>
      <c r="G327" s="128" t="s">
        <v>485</v>
      </c>
      <c r="H327" s="129">
        <v>7</v>
      </c>
      <c r="I327" s="130">
        <v>3446.6463092111458</v>
      </c>
      <c r="J327" s="131">
        <f>ROUND(I327*H327,2)</f>
        <v>24126.52</v>
      </c>
      <c r="K327" s="127" t="s">
        <v>293</v>
      </c>
      <c r="L327" s="198">
        <f>S327</f>
        <v>0</v>
      </c>
      <c r="M327" s="206">
        <f>ROUND(L327*I327,2)</f>
        <v>0</v>
      </c>
      <c r="N327" s="211"/>
      <c r="O327" s="212">
        <f>ROUND(N327*I327,2)</f>
        <v>0</v>
      </c>
      <c r="P327" s="207">
        <f>H327-L327-N327</f>
        <v>7</v>
      </c>
      <c r="Q327" s="228">
        <f>ROUND(P327*I327,2)</f>
        <v>24126.52</v>
      </c>
      <c r="R327" s="199"/>
      <c r="S327" s="200">
        <f>W327+Y327+AA327+AC327+AE327+AG327+AI327+AK327</f>
        <v>0</v>
      </c>
      <c r="T327" s="200">
        <f>ROUND(S327*I327,2)</f>
        <v>0</v>
      </c>
      <c r="U327" s="200">
        <f>H327-S327</f>
        <v>7</v>
      </c>
      <c r="V327" s="200">
        <f>ROUND(U327*I327,2)</f>
        <v>24126.52</v>
      </c>
      <c r="W327" s="200"/>
      <c r="X327" s="200"/>
      <c r="Y327" s="200"/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BX327" s="132" t="s">
        <v>1</v>
      </c>
      <c r="BY327" s="133" t="s">
        <v>40</v>
      </c>
      <c r="CA327" s="134">
        <f>BZ327*H327</f>
        <v>0</v>
      </c>
      <c r="CB327" s="134">
        <v>5.4539999999999998E-2</v>
      </c>
      <c r="CC327" s="134">
        <f>CB327*H327</f>
        <v>0.38178000000000001</v>
      </c>
      <c r="CD327" s="134">
        <v>0</v>
      </c>
      <c r="CE327" s="135">
        <f>CD327*H327</f>
        <v>0</v>
      </c>
      <c r="DC327" s="136" t="s">
        <v>95</v>
      </c>
      <c r="DE327" s="136" t="s">
        <v>284</v>
      </c>
      <c r="DF327" s="136" t="s">
        <v>83</v>
      </c>
      <c r="DJ327" s="16" t="s">
        <v>282</v>
      </c>
      <c r="DP327" s="137">
        <f>IF(BY327="základní",J327,0)</f>
        <v>24126.52</v>
      </c>
      <c r="DQ327" s="137">
        <f>IF(BY327="snížená",J327,0)</f>
        <v>0</v>
      </c>
      <c r="DR327" s="137">
        <f>IF(BY327="zákl. přenesená",J327,0)</f>
        <v>0</v>
      </c>
      <c r="DS327" s="137">
        <f>IF(BY327="sníž. přenesená",J327,0)</f>
        <v>0</v>
      </c>
      <c r="DT327" s="137">
        <f>IF(BY327="nulová",J327,0)</f>
        <v>0</v>
      </c>
      <c r="DU327" s="16" t="s">
        <v>81</v>
      </c>
      <c r="DV327" s="137">
        <f>ROUND(I327*H327,2)</f>
        <v>24126.52</v>
      </c>
      <c r="DW327" s="16" t="s">
        <v>95</v>
      </c>
      <c r="DX327" s="136" t="s">
        <v>1177</v>
      </c>
    </row>
    <row r="328" spans="2:128" s="1" customFormat="1" ht="29.25" x14ac:dyDescent="0.2">
      <c r="B328" s="31"/>
      <c r="D328" s="138" t="s">
        <v>289</v>
      </c>
      <c r="F328" s="139" t="s">
        <v>1178</v>
      </c>
      <c r="I328" s="140"/>
      <c r="L328" s="31"/>
      <c r="N328" s="213"/>
      <c r="O328" s="214"/>
      <c r="Q328" s="229"/>
      <c r="BX328" s="141"/>
      <c r="CE328" s="50"/>
      <c r="DE328" s="16" t="s">
        <v>289</v>
      </c>
      <c r="DF328" s="16" t="s">
        <v>83</v>
      </c>
    </row>
    <row r="329" spans="2:128" s="10" customFormat="1" ht="22.9" customHeight="1" x14ac:dyDescent="0.2">
      <c r="B329" s="112"/>
      <c r="D329" s="113" t="s">
        <v>73</v>
      </c>
      <c r="E329" s="122" t="s">
        <v>695</v>
      </c>
      <c r="F329" s="122" t="s">
        <v>696</v>
      </c>
      <c r="I329" s="115"/>
      <c r="J329" s="123">
        <f>DV329</f>
        <v>17607.37</v>
      </c>
      <c r="L329" s="112"/>
      <c r="M329" s="320">
        <f>SUM(M330:M346)</f>
        <v>0</v>
      </c>
      <c r="N329" s="323"/>
      <c r="O329" s="324">
        <f t="shared" ref="O329:V329" si="7">SUM(O330:O346)</f>
        <v>-2729.1499999999996</v>
      </c>
      <c r="P329" s="320"/>
      <c r="Q329" s="326">
        <f t="shared" si="7"/>
        <v>20336.52</v>
      </c>
      <c r="R329" s="320"/>
      <c r="S329" s="320"/>
      <c r="T329" s="320">
        <f t="shared" si="7"/>
        <v>0</v>
      </c>
      <c r="U329" s="320"/>
      <c r="V329" s="320">
        <f t="shared" si="7"/>
        <v>17607.37</v>
      </c>
      <c r="BX329" s="117"/>
      <c r="CA329" s="118">
        <f>SUM(CA330:CA348)</f>
        <v>0</v>
      </c>
      <c r="CC329" s="118">
        <f>SUM(CC330:CC348)</f>
        <v>0</v>
      </c>
      <c r="CE329" s="119">
        <f>SUM(CE330:CE348)</f>
        <v>0</v>
      </c>
      <c r="DC329" s="113" t="s">
        <v>81</v>
      </c>
      <c r="DE329" s="120" t="s">
        <v>73</v>
      </c>
      <c r="DF329" s="120" t="s">
        <v>81</v>
      </c>
      <c r="DJ329" s="113" t="s">
        <v>282</v>
      </c>
      <c r="DV329" s="121">
        <f>SUM(DV330:DV348)</f>
        <v>17607.37</v>
      </c>
    </row>
    <row r="330" spans="2:128" s="1" customFormat="1" ht="14.45" customHeight="1" x14ac:dyDescent="0.2">
      <c r="B330" s="124"/>
      <c r="C330" s="125" t="s">
        <v>548</v>
      </c>
      <c r="D330" s="125" t="s">
        <v>284</v>
      </c>
      <c r="E330" s="126" t="s">
        <v>698</v>
      </c>
      <c r="F330" s="127" t="s">
        <v>699</v>
      </c>
      <c r="G330" s="128" t="s">
        <v>418</v>
      </c>
      <c r="H330" s="129">
        <v>48.685000000000002</v>
      </c>
      <c r="I330" s="130">
        <v>40.477390926043419</v>
      </c>
      <c r="J330" s="131">
        <f>ROUND(I330*H330,2)</f>
        <v>1970.64</v>
      </c>
      <c r="K330" s="127" t="s">
        <v>293</v>
      </c>
      <c r="L330" s="198">
        <f>S330</f>
        <v>0</v>
      </c>
      <c r="M330" s="206">
        <f>ROUND(L330*I330,2)</f>
        <v>0</v>
      </c>
      <c r="N330" s="211">
        <f>N332</f>
        <v>-7.5461750000000052</v>
      </c>
      <c r="O330" s="212">
        <f>ROUND(N330*I330,2)</f>
        <v>-305.45</v>
      </c>
      <c r="P330" s="207">
        <f>H330-L330-N330</f>
        <v>56.231175000000007</v>
      </c>
      <c r="Q330" s="228">
        <f>ROUND(P330*I330,2)</f>
        <v>2276.09</v>
      </c>
      <c r="R330" s="199"/>
      <c r="S330" s="200">
        <f>W330+Y330+AA330+AC330+AE330+AG330+AI330+AK330</f>
        <v>0</v>
      </c>
      <c r="T330" s="200">
        <f>ROUND(S330*I330,2)</f>
        <v>0</v>
      </c>
      <c r="U330" s="200">
        <f>H330-S330</f>
        <v>48.685000000000002</v>
      </c>
      <c r="V330" s="200">
        <f>ROUND(U330*I330,2)</f>
        <v>1970.64</v>
      </c>
      <c r="W330" s="200"/>
      <c r="X330" s="200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BX330" s="132" t="s">
        <v>1</v>
      </c>
      <c r="BY330" s="133" t="s">
        <v>40</v>
      </c>
      <c r="CA330" s="134">
        <f>BZ330*H330</f>
        <v>0</v>
      </c>
      <c r="CB330" s="134">
        <v>0</v>
      </c>
      <c r="CC330" s="134">
        <f>CB330*H330</f>
        <v>0</v>
      </c>
      <c r="CD330" s="134">
        <v>0</v>
      </c>
      <c r="CE330" s="135">
        <f>CD330*H330</f>
        <v>0</v>
      </c>
      <c r="DC330" s="136" t="s">
        <v>95</v>
      </c>
      <c r="DE330" s="136" t="s">
        <v>284</v>
      </c>
      <c r="DF330" s="136" t="s">
        <v>83</v>
      </c>
      <c r="DJ330" s="16" t="s">
        <v>282</v>
      </c>
      <c r="DP330" s="137">
        <f>IF(BY330="základní",J330,0)</f>
        <v>1970.64</v>
      </c>
      <c r="DQ330" s="137">
        <f>IF(BY330="snížená",J330,0)</f>
        <v>0</v>
      </c>
      <c r="DR330" s="137">
        <f>IF(BY330="zákl. přenesená",J330,0)</f>
        <v>0</v>
      </c>
      <c r="DS330" s="137">
        <f>IF(BY330="sníž. přenesená",J330,0)</f>
        <v>0</v>
      </c>
      <c r="DT330" s="137">
        <f>IF(BY330="nulová",J330,0)</f>
        <v>0</v>
      </c>
      <c r="DU330" s="16" t="s">
        <v>81</v>
      </c>
      <c r="DV330" s="137">
        <f>ROUND(I330*H330,2)</f>
        <v>1970.64</v>
      </c>
      <c r="DW330" s="16" t="s">
        <v>95</v>
      </c>
      <c r="DX330" s="136" t="s">
        <v>700</v>
      </c>
    </row>
    <row r="331" spans="2:128" s="1" customFormat="1" ht="19.5" x14ac:dyDescent="0.2">
      <c r="B331" s="31"/>
      <c r="D331" s="138" t="s">
        <v>289</v>
      </c>
      <c r="F331" s="139" t="s">
        <v>701</v>
      </c>
      <c r="I331" s="140"/>
      <c r="L331" s="31"/>
      <c r="N331" s="213">
        <f>0.845*48.685</f>
        <v>41.138824999999997</v>
      </c>
      <c r="O331" s="214" t="s">
        <v>3888</v>
      </c>
      <c r="Q331" s="229"/>
      <c r="BX331" s="141"/>
      <c r="CE331" s="50"/>
      <c r="DE331" s="16" t="s">
        <v>289</v>
      </c>
      <c r="DF331" s="16" t="s">
        <v>83</v>
      </c>
    </row>
    <row r="332" spans="2:128" s="12" customFormat="1" x14ac:dyDescent="0.2">
      <c r="B332" s="149"/>
      <c r="D332" s="138" t="s">
        <v>301</v>
      </c>
      <c r="E332" s="150" t="s">
        <v>1</v>
      </c>
      <c r="F332" s="151" t="s">
        <v>1231</v>
      </c>
      <c r="H332" s="152">
        <v>44.892000000000003</v>
      </c>
      <c r="I332" s="153"/>
      <c r="L332" s="149"/>
      <c r="N332" s="310">
        <f>N331-H334</f>
        <v>-7.5461750000000052</v>
      </c>
      <c r="O332" s="218"/>
      <c r="Q332" s="231"/>
      <c r="BX332" s="154"/>
      <c r="CE332" s="155"/>
      <c r="DE332" s="150" t="s">
        <v>301</v>
      </c>
      <c r="DF332" s="150" t="s">
        <v>83</v>
      </c>
      <c r="DG332" s="12" t="s">
        <v>83</v>
      </c>
      <c r="DH332" s="12" t="s">
        <v>32</v>
      </c>
      <c r="DI332" s="12" t="s">
        <v>74</v>
      </c>
      <c r="DJ332" s="150" t="s">
        <v>282</v>
      </c>
    </row>
    <row r="333" spans="2:128" s="12" customFormat="1" x14ac:dyDescent="0.2">
      <c r="B333" s="149"/>
      <c r="D333" s="138" t="s">
        <v>301</v>
      </c>
      <c r="E333" s="150" t="s">
        <v>1</v>
      </c>
      <c r="F333" s="151" t="s">
        <v>1232</v>
      </c>
      <c r="H333" s="152">
        <v>3.7930000000000001</v>
      </c>
      <c r="I333" s="153"/>
      <c r="L333" s="149"/>
      <c r="N333" s="217"/>
      <c r="O333" s="218"/>
      <c r="Q333" s="231"/>
      <c r="BX333" s="154"/>
      <c r="CE333" s="155"/>
      <c r="DE333" s="150" t="s">
        <v>301</v>
      </c>
      <c r="DF333" s="150" t="s">
        <v>83</v>
      </c>
      <c r="DG333" s="12" t="s">
        <v>83</v>
      </c>
      <c r="DH333" s="12" t="s">
        <v>32</v>
      </c>
      <c r="DI333" s="12" t="s">
        <v>74</v>
      </c>
      <c r="DJ333" s="150" t="s">
        <v>282</v>
      </c>
    </row>
    <row r="334" spans="2:128" s="13" customFormat="1" x14ac:dyDescent="0.2">
      <c r="B334" s="156"/>
      <c r="D334" s="138" t="s">
        <v>301</v>
      </c>
      <c r="E334" s="157" t="s">
        <v>1</v>
      </c>
      <c r="F334" s="158" t="s">
        <v>305</v>
      </c>
      <c r="H334" s="159">
        <v>48.685000000000002</v>
      </c>
      <c r="I334" s="160"/>
      <c r="L334" s="156"/>
      <c r="N334" s="219"/>
      <c r="O334" s="220"/>
      <c r="Q334" s="232"/>
      <c r="BX334" s="161"/>
      <c r="CE334" s="162"/>
      <c r="DE334" s="157" t="s">
        <v>301</v>
      </c>
      <c r="DF334" s="157" t="s">
        <v>83</v>
      </c>
      <c r="DG334" s="13" t="s">
        <v>95</v>
      </c>
      <c r="DH334" s="13" t="s">
        <v>32</v>
      </c>
      <c r="DI334" s="13" t="s">
        <v>81</v>
      </c>
      <c r="DJ334" s="157" t="s">
        <v>282</v>
      </c>
    </row>
    <row r="335" spans="2:128" s="1" customFormat="1" ht="24.2" customHeight="1" x14ac:dyDescent="0.2">
      <c r="B335" s="124"/>
      <c r="C335" s="125" t="s">
        <v>556</v>
      </c>
      <c r="D335" s="125" t="s">
        <v>284</v>
      </c>
      <c r="E335" s="126" t="s">
        <v>705</v>
      </c>
      <c r="F335" s="127" t="s">
        <v>706</v>
      </c>
      <c r="G335" s="128" t="s">
        <v>418</v>
      </c>
      <c r="H335" s="129">
        <v>681.59</v>
      </c>
      <c r="I335" s="130">
        <v>3.1192340975392101</v>
      </c>
      <c r="J335" s="131">
        <f>ROUND(I335*H335,2)</f>
        <v>2126.04</v>
      </c>
      <c r="K335" s="127" t="s">
        <v>293</v>
      </c>
      <c r="L335" s="198">
        <f>S335</f>
        <v>0</v>
      </c>
      <c r="M335" s="206">
        <f>ROUND(L335*I335,2)</f>
        <v>0</v>
      </c>
      <c r="N335" s="211">
        <f>N337</f>
        <v>-105.64645000000007</v>
      </c>
      <c r="O335" s="212">
        <f>ROUND(N335*I335,2)</f>
        <v>-329.54</v>
      </c>
      <c r="P335" s="207">
        <f>H335-L335-N335</f>
        <v>787.2364500000001</v>
      </c>
      <c r="Q335" s="228">
        <f>ROUND(P335*I335,2)</f>
        <v>2455.5700000000002</v>
      </c>
      <c r="R335" s="199"/>
      <c r="S335" s="200">
        <f>W335+Y335+AA335+AC335+AE335+AG335+AI335+AK335</f>
        <v>0</v>
      </c>
      <c r="T335" s="200">
        <f>ROUND(S335*I335,2)</f>
        <v>0</v>
      </c>
      <c r="U335" s="200">
        <f>H335-S335</f>
        <v>681.59</v>
      </c>
      <c r="V335" s="200">
        <f>ROUND(U335*I335,2)</f>
        <v>2126.04</v>
      </c>
      <c r="W335" s="200"/>
      <c r="X335" s="200"/>
      <c r="Y335" s="200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BX335" s="132" t="s">
        <v>1</v>
      </c>
      <c r="BY335" s="133" t="s">
        <v>40</v>
      </c>
      <c r="CA335" s="134">
        <f>BZ335*H335</f>
        <v>0</v>
      </c>
      <c r="CB335" s="134">
        <v>0</v>
      </c>
      <c r="CC335" s="134">
        <f>CB335*H335</f>
        <v>0</v>
      </c>
      <c r="CD335" s="134">
        <v>0</v>
      </c>
      <c r="CE335" s="135">
        <f>CD335*H335</f>
        <v>0</v>
      </c>
      <c r="DC335" s="136" t="s">
        <v>95</v>
      </c>
      <c r="DE335" s="136" t="s">
        <v>284</v>
      </c>
      <c r="DF335" s="136" t="s">
        <v>83</v>
      </c>
      <c r="DJ335" s="16" t="s">
        <v>282</v>
      </c>
      <c r="DP335" s="137">
        <f>IF(BY335="základní",J335,0)</f>
        <v>2126.04</v>
      </c>
      <c r="DQ335" s="137">
        <f>IF(BY335="snížená",J335,0)</f>
        <v>0</v>
      </c>
      <c r="DR335" s="137">
        <f>IF(BY335="zákl. přenesená",J335,0)</f>
        <v>0</v>
      </c>
      <c r="DS335" s="137">
        <f>IF(BY335="sníž. přenesená",J335,0)</f>
        <v>0</v>
      </c>
      <c r="DT335" s="137">
        <f>IF(BY335="nulová",J335,0)</f>
        <v>0</v>
      </c>
      <c r="DU335" s="16" t="s">
        <v>81</v>
      </c>
      <c r="DV335" s="137">
        <f>ROUND(I335*H335,2)</f>
        <v>2126.04</v>
      </c>
      <c r="DW335" s="16" t="s">
        <v>95</v>
      </c>
      <c r="DX335" s="136" t="s">
        <v>707</v>
      </c>
    </row>
    <row r="336" spans="2:128" s="1" customFormat="1" ht="29.25" x14ac:dyDescent="0.2">
      <c r="B336" s="31"/>
      <c r="D336" s="138" t="s">
        <v>289</v>
      </c>
      <c r="F336" s="139" t="s">
        <v>708</v>
      </c>
      <c r="I336" s="140"/>
      <c r="L336" s="31"/>
      <c r="N336" s="213">
        <f>0.845*681.59</f>
        <v>575.94354999999996</v>
      </c>
      <c r="O336" s="214" t="s">
        <v>3889</v>
      </c>
      <c r="Q336" s="229"/>
      <c r="BX336" s="141"/>
      <c r="CE336" s="50"/>
      <c r="DE336" s="16" t="s">
        <v>289</v>
      </c>
      <c r="DF336" s="16" t="s">
        <v>83</v>
      </c>
    </row>
    <row r="337" spans="2:128" s="12" customFormat="1" x14ac:dyDescent="0.2">
      <c r="B337" s="149"/>
      <c r="D337" s="138" t="s">
        <v>301</v>
      </c>
      <c r="E337" s="150" t="s">
        <v>1</v>
      </c>
      <c r="F337" s="151" t="s">
        <v>1231</v>
      </c>
      <c r="H337" s="152">
        <v>44.892000000000003</v>
      </c>
      <c r="I337" s="153"/>
      <c r="L337" s="149"/>
      <c r="N337" s="310">
        <f>N336-H340</f>
        <v>-105.64645000000007</v>
      </c>
      <c r="O337" s="218"/>
      <c r="Q337" s="231"/>
      <c r="BX337" s="154"/>
      <c r="CE337" s="155"/>
      <c r="DE337" s="150" t="s">
        <v>301</v>
      </c>
      <c r="DF337" s="150" t="s">
        <v>83</v>
      </c>
      <c r="DG337" s="12" t="s">
        <v>83</v>
      </c>
      <c r="DH337" s="12" t="s">
        <v>32</v>
      </c>
      <c r="DI337" s="12" t="s">
        <v>74</v>
      </c>
      <c r="DJ337" s="150" t="s">
        <v>282</v>
      </c>
    </row>
    <row r="338" spans="2:128" s="12" customFormat="1" x14ac:dyDescent="0.2">
      <c r="B338" s="149"/>
      <c r="D338" s="138" t="s">
        <v>301</v>
      </c>
      <c r="E338" s="150" t="s">
        <v>1</v>
      </c>
      <c r="F338" s="151" t="s">
        <v>1232</v>
      </c>
      <c r="H338" s="152">
        <v>3.7930000000000001</v>
      </c>
      <c r="I338" s="153"/>
      <c r="L338" s="149"/>
      <c r="N338" s="217"/>
      <c r="O338" s="218"/>
      <c r="Q338" s="231"/>
      <c r="BX338" s="154"/>
      <c r="CE338" s="155"/>
      <c r="DE338" s="150" t="s">
        <v>301</v>
      </c>
      <c r="DF338" s="150" t="s">
        <v>83</v>
      </c>
      <c r="DG338" s="12" t="s">
        <v>83</v>
      </c>
      <c r="DH338" s="12" t="s">
        <v>32</v>
      </c>
      <c r="DI338" s="12" t="s">
        <v>74</v>
      </c>
      <c r="DJ338" s="150" t="s">
        <v>282</v>
      </c>
    </row>
    <row r="339" spans="2:128" s="13" customFormat="1" x14ac:dyDescent="0.2">
      <c r="B339" s="156"/>
      <c r="D339" s="138" t="s">
        <v>301</v>
      </c>
      <c r="E339" s="157" t="s">
        <v>1</v>
      </c>
      <c r="F339" s="158" t="s">
        <v>305</v>
      </c>
      <c r="H339" s="159">
        <v>48.685000000000002</v>
      </c>
      <c r="I339" s="160"/>
      <c r="L339" s="156"/>
      <c r="N339" s="219"/>
      <c r="O339" s="220"/>
      <c r="Q339" s="232"/>
      <c r="BX339" s="161"/>
      <c r="CE339" s="162"/>
      <c r="DE339" s="157" t="s">
        <v>301</v>
      </c>
      <c r="DF339" s="157" t="s">
        <v>83</v>
      </c>
      <c r="DG339" s="13" t="s">
        <v>95</v>
      </c>
      <c r="DH339" s="13" t="s">
        <v>32</v>
      </c>
      <c r="DI339" s="13" t="s">
        <v>81</v>
      </c>
      <c r="DJ339" s="157" t="s">
        <v>282</v>
      </c>
    </row>
    <row r="340" spans="2:128" s="12" customFormat="1" x14ac:dyDescent="0.2">
      <c r="B340" s="149"/>
      <c r="D340" s="138" t="s">
        <v>301</v>
      </c>
      <c r="F340" s="151" t="s">
        <v>1233</v>
      </c>
      <c r="H340" s="152">
        <v>681.59</v>
      </c>
      <c r="I340" s="153"/>
      <c r="L340" s="149"/>
      <c r="N340" s="217"/>
      <c r="O340" s="218"/>
      <c r="Q340" s="231"/>
      <c r="BX340" s="154"/>
      <c r="CE340" s="155"/>
      <c r="DE340" s="150" t="s">
        <v>301</v>
      </c>
      <c r="DF340" s="150" t="s">
        <v>83</v>
      </c>
      <c r="DG340" s="12" t="s">
        <v>83</v>
      </c>
      <c r="DH340" s="12" t="s">
        <v>3</v>
      </c>
      <c r="DI340" s="12" t="s">
        <v>81</v>
      </c>
      <c r="DJ340" s="150" t="s">
        <v>282</v>
      </c>
    </row>
    <row r="341" spans="2:128" s="1" customFormat="1" ht="24.2" customHeight="1" x14ac:dyDescent="0.2">
      <c r="B341" s="124"/>
      <c r="C341" s="125" t="s">
        <v>562</v>
      </c>
      <c r="D341" s="125" t="s">
        <v>284</v>
      </c>
      <c r="E341" s="126" t="s">
        <v>711</v>
      </c>
      <c r="F341" s="127" t="s">
        <v>712</v>
      </c>
      <c r="G341" s="128" t="s">
        <v>418</v>
      </c>
      <c r="H341" s="129">
        <v>48.685000000000002</v>
      </c>
      <c r="I341" s="130">
        <v>155.98322812074767</v>
      </c>
      <c r="J341" s="131">
        <f>ROUND(I341*H341,2)</f>
        <v>7594.04</v>
      </c>
      <c r="K341" s="127" t="s">
        <v>293</v>
      </c>
      <c r="L341" s="198">
        <f>S341</f>
        <v>0</v>
      </c>
      <c r="M341" s="206">
        <f>ROUND(L341*I341,2)</f>
        <v>0</v>
      </c>
      <c r="N341" s="211">
        <f>N330</f>
        <v>-7.5461750000000052</v>
      </c>
      <c r="O341" s="212">
        <f>ROUND(N341*I341,2)</f>
        <v>-1177.08</v>
      </c>
      <c r="P341" s="207">
        <f>H341-L341-N341</f>
        <v>56.231175000000007</v>
      </c>
      <c r="Q341" s="228">
        <f>ROUND(P341*I341,2)</f>
        <v>8771.1200000000008</v>
      </c>
      <c r="R341" s="199"/>
      <c r="S341" s="200">
        <f>W341+Y341+AA341+AC341+AE341+AG341+AI341+AK341</f>
        <v>0</v>
      </c>
      <c r="T341" s="200">
        <f>ROUND(S341*I341,2)</f>
        <v>0</v>
      </c>
      <c r="U341" s="200">
        <f>H341-S341</f>
        <v>48.685000000000002</v>
      </c>
      <c r="V341" s="200">
        <f>ROUND(U341*I341,2)</f>
        <v>7594.04</v>
      </c>
      <c r="W341" s="200"/>
      <c r="X341" s="200"/>
      <c r="Y341" s="200"/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BX341" s="132" t="s">
        <v>1</v>
      </c>
      <c r="BY341" s="133" t="s">
        <v>40</v>
      </c>
      <c r="CA341" s="134">
        <f>BZ341*H341</f>
        <v>0</v>
      </c>
      <c r="CB341" s="134">
        <v>0</v>
      </c>
      <c r="CC341" s="134">
        <f>CB341*H341</f>
        <v>0</v>
      </c>
      <c r="CD341" s="134">
        <v>0</v>
      </c>
      <c r="CE341" s="135">
        <f>CD341*H341</f>
        <v>0</v>
      </c>
      <c r="DC341" s="136" t="s">
        <v>95</v>
      </c>
      <c r="DE341" s="136" t="s">
        <v>284</v>
      </c>
      <c r="DF341" s="136" t="s">
        <v>83</v>
      </c>
      <c r="DJ341" s="16" t="s">
        <v>282</v>
      </c>
      <c r="DP341" s="137">
        <f>IF(BY341="základní",J341,0)</f>
        <v>7594.04</v>
      </c>
      <c r="DQ341" s="137">
        <f>IF(BY341="snížená",J341,0)</f>
        <v>0</v>
      </c>
      <c r="DR341" s="137">
        <f>IF(BY341="zákl. přenesená",J341,0)</f>
        <v>0</v>
      </c>
      <c r="DS341" s="137">
        <f>IF(BY341="sníž. přenesená",J341,0)</f>
        <v>0</v>
      </c>
      <c r="DT341" s="137">
        <f>IF(BY341="nulová",J341,0)</f>
        <v>0</v>
      </c>
      <c r="DU341" s="16" t="s">
        <v>81</v>
      </c>
      <c r="DV341" s="137">
        <f>ROUND(I341*H341,2)</f>
        <v>7594.04</v>
      </c>
      <c r="DW341" s="16" t="s">
        <v>95</v>
      </c>
      <c r="DX341" s="136" t="s">
        <v>713</v>
      </c>
    </row>
    <row r="342" spans="2:128" s="1" customFormat="1" x14ac:dyDescent="0.2">
      <c r="B342" s="31"/>
      <c r="D342" s="138" t="s">
        <v>289</v>
      </c>
      <c r="F342" s="139" t="s">
        <v>714</v>
      </c>
      <c r="I342" s="140"/>
      <c r="L342" s="31"/>
      <c r="N342" s="213"/>
      <c r="O342" s="214"/>
      <c r="Q342" s="229"/>
      <c r="BX342" s="141"/>
      <c r="CE342" s="50"/>
      <c r="DE342" s="16" t="s">
        <v>289</v>
      </c>
      <c r="DF342" s="16" t="s">
        <v>83</v>
      </c>
    </row>
    <row r="343" spans="2:128" s="1" customFormat="1" ht="37.9" customHeight="1" x14ac:dyDescent="0.2">
      <c r="B343" s="124"/>
      <c r="C343" s="125" t="s">
        <v>568</v>
      </c>
      <c r="D343" s="125" t="s">
        <v>284</v>
      </c>
      <c r="E343" s="126" t="s">
        <v>716</v>
      </c>
      <c r="F343" s="127" t="s">
        <v>420</v>
      </c>
      <c r="G343" s="128" t="s">
        <v>418</v>
      </c>
      <c r="H343" s="129">
        <v>44.892000000000003</v>
      </c>
      <c r="I343" s="130">
        <v>110.6455721</v>
      </c>
      <c r="J343" s="131">
        <f>ROUND(I343*H343,2)</f>
        <v>4967.1000000000004</v>
      </c>
      <c r="K343" s="127" t="s">
        <v>293</v>
      </c>
      <c r="L343" s="198">
        <f>S343</f>
        <v>0</v>
      </c>
      <c r="M343" s="206">
        <f>ROUND(L343*I343,2)</f>
        <v>0</v>
      </c>
      <c r="N343" s="211">
        <f>N345</f>
        <v>-6.9582600000000028</v>
      </c>
      <c r="O343" s="212">
        <f>ROUND(N343*I343,2)</f>
        <v>-769.9</v>
      </c>
      <c r="P343" s="207">
        <f>H343-L343-N343</f>
        <v>51.850260000000006</v>
      </c>
      <c r="Q343" s="228">
        <f>ROUND(P343*I343,2)</f>
        <v>5737</v>
      </c>
      <c r="R343" s="199"/>
      <c r="S343" s="200">
        <f>W343+Y343+AA343+AC343+AE343+AG343+AI343+AK343</f>
        <v>0</v>
      </c>
      <c r="T343" s="200">
        <f>ROUND(S343*I343,2)</f>
        <v>0</v>
      </c>
      <c r="U343" s="200">
        <f>H343-S343</f>
        <v>44.892000000000003</v>
      </c>
      <c r="V343" s="200">
        <f>ROUND(U343*I343,2)</f>
        <v>4967.1000000000004</v>
      </c>
      <c r="W343" s="200"/>
      <c r="X343" s="200"/>
      <c r="Y343" s="200"/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BX343" s="132" t="s">
        <v>1</v>
      </c>
      <c r="BY343" s="133" t="s">
        <v>40</v>
      </c>
      <c r="CA343" s="134">
        <f>BZ343*H343</f>
        <v>0</v>
      </c>
      <c r="CB343" s="134">
        <v>0</v>
      </c>
      <c r="CC343" s="134">
        <f>CB343*H343</f>
        <v>0</v>
      </c>
      <c r="CD343" s="134">
        <v>0</v>
      </c>
      <c r="CE343" s="135">
        <f>CD343*H343</f>
        <v>0</v>
      </c>
      <c r="DC343" s="136" t="s">
        <v>95</v>
      </c>
      <c r="DE343" s="136" t="s">
        <v>284</v>
      </c>
      <c r="DF343" s="136" t="s">
        <v>83</v>
      </c>
      <c r="DJ343" s="16" t="s">
        <v>282</v>
      </c>
      <c r="DP343" s="137">
        <f>IF(BY343="základní",J343,0)</f>
        <v>4967.1000000000004</v>
      </c>
      <c r="DQ343" s="137">
        <f>IF(BY343="snížená",J343,0)</f>
        <v>0</v>
      </c>
      <c r="DR343" s="137">
        <f>IF(BY343="zákl. přenesená",J343,0)</f>
        <v>0</v>
      </c>
      <c r="DS343" s="137">
        <f>IF(BY343="sníž. přenesená",J343,0)</f>
        <v>0</v>
      </c>
      <c r="DT343" s="137">
        <f>IF(BY343="nulová",J343,0)</f>
        <v>0</v>
      </c>
      <c r="DU343" s="16" t="s">
        <v>81</v>
      </c>
      <c r="DV343" s="137">
        <f>ROUND(I343*H343,2)</f>
        <v>4967.1000000000004</v>
      </c>
      <c r="DW343" s="16" t="s">
        <v>95</v>
      </c>
      <c r="DX343" s="136" t="s">
        <v>717</v>
      </c>
    </row>
    <row r="344" spans="2:128" s="1" customFormat="1" ht="29.25" x14ac:dyDescent="0.2">
      <c r="B344" s="31"/>
      <c r="D344" s="138" t="s">
        <v>289</v>
      </c>
      <c r="F344" s="139" t="s">
        <v>420</v>
      </c>
      <c r="I344" s="140"/>
      <c r="L344" s="31"/>
      <c r="N344" s="213">
        <f>0.845*44.892</f>
        <v>37.93374</v>
      </c>
      <c r="O344" s="214" t="s">
        <v>3890</v>
      </c>
      <c r="Q344" s="229"/>
      <c r="BX344" s="141"/>
      <c r="CE344" s="50"/>
      <c r="DE344" s="16" t="s">
        <v>289</v>
      </c>
      <c r="DF344" s="16" t="s">
        <v>83</v>
      </c>
    </row>
    <row r="345" spans="2:128" s="12" customFormat="1" x14ac:dyDescent="0.2">
      <c r="B345" s="149"/>
      <c r="D345" s="138" t="s">
        <v>301</v>
      </c>
      <c r="E345" s="150" t="s">
        <v>1</v>
      </c>
      <c r="F345" s="151" t="s">
        <v>1231</v>
      </c>
      <c r="H345" s="152">
        <v>44.892000000000003</v>
      </c>
      <c r="I345" s="153"/>
      <c r="L345" s="149"/>
      <c r="N345" s="310">
        <f>N344-H345</f>
        <v>-6.9582600000000028</v>
      </c>
      <c r="O345" s="218"/>
      <c r="Q345" s="231"/>
      <c r="BX345" s="154"/>
      <c r="CE345" s="155"/>
      <c r="DE345" s="150" t="s">
        <v>301</v>
      </c>
      <c r="DF345" s="150" t="s">
        <v>83</v>
      </c>
      <c r="DG345" s="12" t="s">
        <v>83</v>
      </c>
      <c r="DH345" s="12" t="s">
        <v>32</v>
      </c>
      <c r="DI345" s="12" t="s">
        <v>81</v>
      </c>
      <c r="DJ345" s="150" t="s">
        <v>282</v>
      </c>
    </row>
    <row r="346" spans="2:128" s="1" customFormat="1" ht="37.9" customHeight="1" x14ac:dyDescent="0.2">
      <c r="B346" s="124"/>
      <c r="C346" s="125" t="s">
        <v>572</v>
      </c>
      <c r="D346" s="125" t="s">
        <v>284</v>
      </c>
      <c r="E346" s="126" t="s">
        <v>719</v>
      </c>
      <c r="F346" s="127" t="s">
        <v>720</v>
      </c>
      <c r="G346" s="128" t="s">
        <v>418</v>
      </c>
      <c r="H346" s="129">
        <v>3.7930000000000001</v>
      </c>
      <c r="I346" s="130">
        <v>250.3439285</v>
      </c>
      <c r="J346" s="131">
        <f>ROUND(I346*H346,2)</f>
        <v>949.55</v>
      </c>
      <c r="K346" s="127" t="s">
        <v>293</v>
      </c>
      <c r="L346" s="198">
        <f>S346</f>
        <v>0</v>
      </c>
      <c r="M346" s="206">
        <f>ROUND(L346*I346,2)</f>
        <v>0</v>
      </c>
      <c r="N346" s="211">
        <f>N348</f>
        <v>-0.58791500000000019</v>
      </c>
      <c r="O346" s="212">
        <f>ROUND(N346*I346,2)</f>
        <v>-147.18</v>
      </c>
      <c r="P346" s="207">
        <f>H346-L346-N346</f>
        <v>4.3809149999999999</v>
      </c>
      <c r="Q346" s="228">
        <f>ROUND(P346*I346,2)</f>
        <v>1096.74</v>
      </c>
      <c r="R346" s="199"/>
      <c r="S346" s="200">
        <f>W346+Y346+AA346+AC346+AE346+AG346+AI346+AK346</f>
        <v>0</v>
      </c>
      <c r="T346" s="200">
        <f>ROUND(S346*I346,2)</f>
        <v>0</v>
      </c>
      <c r="U346" s="200">
        <f>H346-S346</f>
        <v>3.7930000000000001</v>
      </c>
      <c r="V346" s="200">
        <f>ROUND(U346*I346,2)</f>
        <v>949.55</v>
      </c>
      <c r="W346" s="200"/>
      <c r="X346" s="200"/>
      <c r="Y346" s="200"/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BX346" s="132" t="s">
        <v>1</v>
      </c>
      <c r="BY346" s="133" t="s">
        <v>40</v>
      </c>
      <c r="CA346" s="134">
        <f>BZ346*H346</f>
        <v>0</v>
      </c>
      <c r="CB346" s="134">
        <v>0</v>
      </c>
      <c r="CC346" s="134">
        <f>CB346*H346</f>
        <v>0</v>
      </c>
      <c r="CD346" s="134">
        <v>0</v>
      </c>
      <c r="CE346" s="135">
        <f>CD346*H346</f>
        <v>0</v>
      </c>
      <c r="DC346" s="136" t="s">
        <v>95</v>
      </c>
      <c r="DE346" s="136" t="s">
        <v>284</v>
      </c>
      <c r="DF346" s="136" t="s">
        <v>83</v>
      </c>
      <c r="DJ346" s="16" t="s">
        <v>282</v>
      </c>
      <c r="DP346" s="137">
        <f>IF(BY346="základní",J346,0)</f>
        <v>949.55</v>
      </c>
      <c r="DQ346" s="137">
        <f>IF(BY346="snížená",J346,0)</f>
        <v>0</v>
      </c>
      <c r="DR346" s="137">
        <f>IF(BY346="zákl. přenesená",J346,0)</f>
        <v>0</v>
      </c>
      <c r="DS346" s="137">
        <f>IF(BY346="sníž. přenesená",J346,0)</f>
        <v>0</v>
      </c>
      <c r="DT346" s="137">
        <f>IF(BY346="nulová",J346,0)</f>
        <v>0</v>
      </c>
      <c r="DU346" s="16" t="s">
        <v>81</v>
      </c>
      <c r="DV346" s="137">
        <f>ROUND(I346*H346,2)</f>
        <v>949.55</v>
      </c>
      <c r="DW346" s="16" t="s">
        <v>95</v>
      </c>
      <c r="DX346" s="136" t="s">
        <v>721</v>
      </c>
    </row>
    <row r="347" spans="2:128" s="1" customFormat="1" ht="29.25" x14ac:dyDescent="0.2">
      <c r="B347" s="31"/>
      <c r="D347" s="138" t="s">
        <v>289</v>
      </c>
      <c r="F347" s="139" t="s">
        <v>720</v>
      </c>
      <c r="I347" s="140"/>
      <c r="L347" s="31"/>
      <c r="N347" s="213">
        <f>0.845*3.793</f>
        <v>3.205085</v>
      </c>
      <c r="O347" s="214" t="s">
        <v>3891</v>
      </c>
      <c r="Q347" s="229"/>
      <c r="BX347" s="141"/>
      <c r="CE347" s="50"/>
      <c r="DE347" s="16" t="s">
        <v>289</v>
      </c>
      <c r="DF347" s="16" t="s">
        <v>83</v>
      </c>
    </row>
    <row r="348" spans="2:128" s="12" customFormat="1" x14ac:dyDescent="0.2">
      <c r="B348" s="149"/>
      <c r="D348" s="138" t="s">
        <v>301</v>
      </c>
      <c r="E348" s="150" t="s">
        <v>1</v>
      </c>
      <c r="F348" s="151" t="s">
        <v>1232</v>
      </c>
      <c r="H348" s="152">
        <v>3.7930000000000001</v>
      </c>
      <c r="I348" s="153"/>
      <c r="L348" s="149"/>
      <c r="N348" s="310">
        <f>N347-H348</f>
        <v>-0.58791500000000019</v>
      </c>
      <c r="O348" s="218"/>
      <c r="Q348" s="231"/>
      <c r="BX348" s="154"/>
      <c r="CE348" s="155"/>
      <c r="DE348" s="150" t="s">
        <v>301</v>
      </c>
      <c r="DF348" s="150" t="s">
        <v>83</v>
      </c>
      <c r="DG348" s="12" t="s">
        <v>83</v>
      </c>
      <c r="DH348" s="12" t="s">
        <v>32</v>
      </c>
      <c r="DI348" s="12" t="s">
        <v>81</v>
      </c>
      <c r="DJ348" s="150" t="s">
        <v>282</v>
      </c>
    </row>
    <row r="349" spans="2:128" s="10" customFormat="1" ht="22.9" customHeight="1" x14ac:dyDescent="0.2">
      <c r="B349" s="112"/>
      <c r="D349" s="113" t="s">
        <v>73</v>
      </c>
      <c r="E349" s="122" t="s">
        <v>722</v>
      </c>
      <c r="F349" s="122" t="s">
        <v>723</v>
      </c>
      <c r="I349" s="115"/>
      <c r="J349" s="123">
        <f>DV349</f>
        <v>9068.6200000000008</v>
      </c>
      <c r="L349" s="112"/>
      <c r="M349" s="320">
        <f>M350</f>
        <v>0</v>
      </c>
      <c r="N349" s="323"/>
      <c r="O349" s="324">
        <f t="shared" ref="O349:V349" si="8">O350</f>
        <v>-1405.64</v>
      </c>
      <c r="P349" s="320"/>
      <c r="Q349" s="326">
        <f t="shared" si="8"/>
        <v>10474.26</v>
      </c>
      <c r="R349" s="320"/>
      <c r="S349" s="320"/>
      <c r="T349" s="320">
        <f t="shared" si="8"/>
        <v>0</v>
      </c>
      <c r="U349" s="320"/>
      <c r="V349" s="320">
        <f t="shared" si="8"/>
        <v>9068.6200000000008</v>
      </c>
      <c r="BX349" s="117"/>
      <c r="CA349" s="118">
        <f>SUM(CA350:CA353)</f>
        <v>0</v>
      </c>
      <c r="CC349" s="118">
        <f>SUM(CC350:CC353)</f>
        <v>0</v>
      </c>
      <c r="CE349" s="119">
        <f>SUM(CE350:CE353)</f>
        <v>0</v>
      </c>
      <c r="DC349" s="113" t="s">
        <v>81</v>
      </c>
      <c r="DE349" s="120" t="s">
        <v>73</v>
      </c>
      <c r="DF349" s="120" t="s">
        <v>81</v>
      </c>
      <c r="DJ349" s="113" t="s">
        <v>282</v>
      </c>
      <c r="DV349" s="121">
        <f>SUM(DV350:DV353)</f>
        <v>9068.6200000000008</v>
      </c>
    </row>
    <row r="350" spans="2:128" s="1" customFormat="1" ht="24.2" customHeight="1" x14ac:dyDescent="0.2">
      <c r="B350" s="124"/>
      <c r="C350" s="125" t="s">
        <v>576</v>
      </c>
      <c r="D350" s="125" t="s">
        <v>284</v>
      </c>
      <c r="E350" s="126" t="s">
        <v>725</v>
      </c>
      <c r="F350" s="127" t="s">
        <v>726</v>
      </c>
      <c r="G350" s="128" t="s">
        <v>418</v>
      </c>
      <c r="H350" s="129">
        <v>10.023</v>
      </c>
      <c r="I350" s="130">
        <v>904.78117744148574</v>
      </c>
      <c r="J350" s="131">
        <f>ROUND(I350*H350,2)</f>
        <v>9068.6200000000008</v>
      </c>
      <c r="K350" s="127" t="s">
        <v>293</v>
      </c>
      <c r="L350" s="198">
        <f>S350</f>
        <v>0</v>
      </c>
      <c r="M350" s="206">
        <f>ROUND(L350*I350,2)</f>
        <v>0</v>
      </c>
      <c r="N350" s="211">
        <f>N352</f>
        <v>-1.5535650000000008</v>
      </c>
      <c r="O350" s="212">
        <f>ROUND(N350*I350,2)</f>
        <v>-1405.64</v>
      </c>
      <c r="P350" s="207">
        <f>H350-L350-N350</f>
        <v>11.576565</v>
      </c>
      <c r="Q350" s="228">
        <f>ROUND(P350*I350,2)</f>
        <v>10474.26</v>
      </c>
      <c r="R350" s="199"/>
      <c r="S350" s="200">
        <f>W350+Y350+AA350+AC350+AE350+AG350+AI350+AK350</f>
        <v>0</v>
      </c>
      <c r="T350" s="200">
        <f>ROUND(S350*I350,2)</f>
        <v>0</v>
      </c>
      <c r="U350" s="200">
        <f>H350-S350</f>
        <v>10.023</v>
      </c>
      <c r="V350" s="200">
        <f>ROUND(U350*I350,2)</f>
        <v>9068.6200000000008</v>
      </c>
      <c r="W350" s="200"/>
      <c r="X350" s="200"/>
      <c r="Y350" s="200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BX350" s="132" t="s">
        <v>1</v>
      </c>
      <c r="BY350" s="133" t="s">
        <v>40</v>
      </c>
      <c r="CA350" s="134">
        <f>BZ350*H350</f>
        <v>0</v>
      </c>
      <c r="CB350" s="134">
        <v>0</v>
      </c>
      <c r="CC350" s="134">
        <f>CB350*H350</f>
        <v>0</v>
      </c>
      <c r="CD350" s="134">
        <v>0</v>
      </c>
      <c r="CE350" s="135">
        <f>CD350*H350</f>
        <v>0</v>
      </c>
      <c r="DC350" s="136" t="s">
        <v>95</v>
      </c>
      <c r="DE350" s="136" t="s">
        <v>284</v>
      </c>
      <c r="DF350" s="136" t="s">
        <v>83</v>
      </c>
      <c r="DJ350" s="16" t="s">
        <v>282</v>
      </c>
      <c r="DP350" s="137">
        <f>IF(BY350="základní",J350,0)</f>
        <v>9068.6200000000008</v>
      </c>
      <c r="DQ350" s="137">
        <f>IF(BY350="snížená",J350,0)</f>
        <v>0</v>
      </c>
      <c r="DR350" s="137">
        <f>IF(BY350="zákl. přenesená",J350,0)</f>
        <v>0</v>
      </c>
      <c r="DS350" s="137">
        <f>IF(BY350="sníž. přenesená",J350,0)</f>
        <v>0</v>
      </c>
      <c r="DT350" s="137">
        <f>IF(BY350="nulová",J350,0)</f>
        <v>0</v>
      </c>
      <c r="DU350" s="16" t="s">
        <v>81</v>
      </c>
      <c r="DV350" s="137">
        <f>ROUND(I350*H350,2)</f>
        <v>9068.6200000000008</v>
      </c>
      <c r="DW350" s="16" t="s">
        <v>95</v>
      </c>
      <c r="DX350" s="136" t="s">
        <v>1044</v>
      </c>
    </row>
    <row r="351" spans="2:128" s="1" customFormat="1" ht="29.25" x14ac:dyDescent="0.2">
      <c r="B351" s="31"/>
      <c r="D351" s="138" t="s">
        <v>289</v>
      </c>
      <c r="F351" s="139" t="s">
        <v>728</v>
      </c>
      <c r="I351" s="140"/>
      <c r="L351" s="31"/>
      <c r="N351" s="213">
        <f>0.845*10.023</f>
        <v>8.4694349999999989</v>
      </c>
      <c r="O351" s="214" t="s">
        <v>3892</v>
      </c>
      <c r="Q351" s="229"/>
      <c r="BX351" s="141"/>
      <c r="CE351" s="50"/>
      <c r="DE351" s="16" t="s">
        <v>289</v>
      </c>
      <c r="DF351" s="16" t="s">
        <v>83</v>
      </c>
    </row>
    <row r="352" spans="2:128" s="11" customFormat="1" x14ac:dyDescent="0.2">
      <c r="B352" s="143"/>
      <c r="D352" s="138" t="s">
        <v>301</v>
      </c>
      <c r="E352" s="144" t="s">
        <v>1</v>
      </c>
      <c r="F352" s="145" t="s">
        <v>729</v>
      </c>
      <c r="H352" s="144" t="s">
        <v>1</v>
      </c>
      <c r="I352" s="146"/>
      <c r="L352" s="143"/>
      <c r="N352" s="319">
        <f>N351-H353</f>
        <v>-1.5535650000000008</v>
      </c>
      <c r="O352" s="216"/>
      <c r="Q352" s="230"/>
      <c r="BX352" s="147"/>
      <c r="CE352" s="148"/>
      <c r="DE352" s="144" t="s">
        <v>301</v>
      </c>
      <c r="DF352" s="144" t="s">
        <v>83</v>
      </c>
      <c r="DG352" s="11" t="s">
        <v>81</v>
      </c>
      <c r="DH352" s="11" t="s">
        <v>32</v>
      </c>
      <c r="DI352" s="11" t="s">
        <v>74</v>
      </c>
      <c r="DJ352" s="144" t="s">
        <v>282</v>
      </c>
    </row>
    <row r="353" spans="2:114" s="12" customFormat="1" x14ac:dyDescent="0.2">
      <c r="B353" s="149"/>
      <c r="D353" s="138" t="s">
        <v>301</v>
      </c>
      <c r="E353" s="150" t="s">
        <v>1</v>
      </c>
      <c r="F353" s="151" t="s">
        <v>1234</v>
      </c>
      <c r="H353" s="152">
        <v>10.023</v>
      </c>
      <c r="I353" s="153"/>
      <c r="L353" s="149"/>
      <c r="N353" s="217"/>
      <c r="O353" s="218"/>
      <c r="Q353" s="231"/>
      <c r="BX353" s="179"/>
      <c r="BY353" s="180"/>
      <c r="BZ353" s="180"/>
      <c r="CA353" s="180"/>
      <c r="CB353" s="180"/>
      <c r="CC353" s="180"/>
      <c r="CD353" s="180"/>
      <c r="CE353" s="181"/>
      <c r="DE353" s="150" t="s">
        <v>301</v>
      </c>
      <c r="DF353" s="150" t="s">
        <v>83</v>
      </c>
      <c r="DG353" s="12" t="s">
        <v>83</v>
      </c>
      <c r="DH353" s="12" t="s">
        <v>32</v>
      </c>
      <c r="DI353" s="12" t="s">
        <v>81</v>
      </c>
      <c r="DJ353" s="150" t="s">
        <v>282</v>
      </c>
    </row>
    <row r="354" spans="2:114" s="1" customFormat="1" ht="6.95" customHeight="1" thickBot="1" x14ac:dyDescent="0.25">
      <c r="B354" s="43"/>
      <c r="C354" s="44"/>
      <c r="D354" s="44"/>
      <c r="E354" s="44"/>
      <c r="F354" s="44"/>
      <c r="G354" s="44"/>
      <c r="H354" s="44"/>
      <c r="I354" s="44"/>
      <c r="J354" s="44"/>
      <c r="K354" s="44"/>
      <c r="L354" s="235"/>
      <c r="M354" s="237"/>
      <c r="N354" s="239"/>
      <c r="O354" s="240"/>
      <c r="P354" s="238"/>
      <c r="Q354" s="241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</row>
  </sheetData>
  <autoFilter ref="C120:K353"/>
  <mergeCells count="26">
    <mergeCell ref="AE121:AF121"/>
    <mergeCell ref="AG121:AH121"/>
    <mergeCell ref="AI121:AJ121"/>
    <mergeCell ref="AK121:AL121"/>
    <mergeCell ref="U121:V121"/>
    <mergeCell ref="W121:X121"/>
    <mergeCell ref="Y121:Z121"/>
    <mergeCell ref="AA121:AB121"/>
    <mergeCell ref="AC121:AD121"/>
    <mergeCell ref="L120:Q120"/>
    <mergeCell ref="L121:M121"/>
    <mergeCell ref="N121:O121"/>
    <mergeCell ref="P121:Q121"/>
    <mergeCell ref="S121:T121"/>
    <mergeCell ref="L2:CG2"/>
    <mergeCell ref="E31:H31"/>
    <mergeCell ref="E84:H84"/>
    <mergeCell ref="E88:H88"/>
    <mergeCell ref="E86:H86"/>
    <mergeCell ref="G119:K119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D353"/>
  <sheetViews>
    <sheetView windowProtection="1" showGridLines="0" topLeftCell="A319" zoomScale="80" zoomScaleNormal="80" workbookViewId="0">
      <selection activeCell="P319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" customWidth="1"/>
    <col min="13" max="13" width="14.33203125" customWidth="1"/>
    <col min="14" max="14" width="12" customWidth="1"/>
    <col min="15" max="15" width="16.1640625" customWidth="1"/>
    <col min="16" max="16" width="12" hidden="1" customWidth="1"/>
    <col min="17" max="17" width="15.5" hidden="1" customWidth="1"/>
    <col min="18" max="117" width="12" customWidth="1"/>
    <col min="118" max="118" width="16.33203125" customWidth="1"/>
    <col min="119" max="119" width="12.33203125" customWidth="1"/>
    <col min="120" max="120" width="15" customWidth="1"/>
    <col min="121" max="121" width="11" customWidth="1"/>
    <col min="122" max="122" width="15" customWidth="1"/>
    <col min="123" max="123" width="16.33203125" customWidth="1"/>
    <col min="124" max="124" width="11" customWidth="1"/>
    <col min="125" max="125" width="15" customWidth="1"/>
    <col min="126" max="126" width="16.33203125" customWidth="1"/>
    <col min="139" max="160" width="9.33203125" hidden="1"/>
  </cols>
  <sheetData>
    <row r="1" spans="2:141" hidden="1" x14ac:dyDescent="0.2"/>
    <row r="2" spans="2:141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9"/>
      <c r="DE2" s="399"/>
      <c r="DF2" s="399"/>
      <c r="DG2" s="399"/>
      <c r="DH2" s="399"/>
      <c r="DI2" s="399"/>
      <c r="DJ2" s="399"/>
      <c r="DK2" s="399"/>
      <c r="DL2" s="399"/>
      <c r="DM2" s="399"/>
      <c r="EK2" s="16" t="s">
        <v>123</v>
      </c>
    </row>
    <row r="3" spans="2:141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K3" s="16" t="s">
        <v>83</v>
      </c>
    </row>
    <row r="4" spans="2:141" ht="24.95" hidden="1" customHeight="1" x14ac:dyDescent="0.2">
      <c r="B4" s="19"/>
      <c r="D4" s="20" t="s">
        <v>243</v>
      </c>
      <c r="L4" s="19"/>
      <c r="DD4" s="79" t="s">
        <v>10</v>
      </c>
      <c r="EK4" s="16" t="s">
        <v>3</v>
      </c>
    </row>
    <row r="5" spans="2:141" ht="6.95" hidden="1" customHeight="1" x14ac:dyDescent="0.2">
      <c r="B5" s="19"/>
      <c r="L5" s="19"/>
    </row>
    <row r="6" spans="2:141" ht="12" hidden="1" customHeight="1" x14ac:dyDescent="0.2">
      <c r="B6" s="19"/>
      <c r="D6" s="26" t="s">
        <v>16</v>
      </c>
      <c r="L6" s="19"/>
    </row>
    <row r="7" spans="2:141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41" ht="12.75" hidden="1" x14ac:dyDescent="0.2">
      <c r="B8" s="19"/>
      <c r="D8" s="26" t="s">
        <v>244</v>
      </c>
      <c r="L8" s="19"/>
    </row>
    <row r="9" spans="2:141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41" ht="12" hidden="1" customHeight="1" x14ac:dyDescent="0.2">
      <c r="B10" s="19"/>
      <c r="D10" s="26" t="s">
        <v>246</v>
      </c>
      <c r="L10" s="19"/>
    </row>
    <row r="11" spans="2:141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41" s="1" customFormat="1" ht="12" hidden="1" customHeight="1" x14ac:dyDescent="0.2">
      <c r="B12" s="31"/>
      <c r="D12" s="26" t="s">
        <v>248</v>
      </c>
      <c r="L12" s="31"/>
    </row>
    <row r="13" spans="2:141" s="1" customFormat="1" ht="16.5" hidden="1" customHeight="1" x14ac:dyDescent="0.2">
      <c r="B13" s="31"/>
      <c r="E13" s="432" t="s">
        <v>1235</v>
      </c>
      <c r="F13" s="433"/>
      <c r="G13" s="433"/>
      <c r="H13" s="433"/>
      <c r="L13" s="31"/>
    </row>
    <row r="14" spans="2:141" s="1" customFormat="1" hidden="1" x14ac:dyDescent="0.2">
      <c r="B14" s="31"/>
      <c r="L14" s="31"/>
    </row>
    <row r="15" spans="2:141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41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ROUND(J120, 2)</f>
        <v>331234.83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ROUND((SUM(EV120:EV352)),  2)</f>
        <v>331234.83</v>
      </c>
      <c r="I37" s="84">
        <v>0.21</v>
      </c>
      <c r="J37" s="71">
        <f>ROUND(((SUM(EV120:EV352))*I37),  2)</f>
        <v>69559.31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ROUND((SUM(EW120:EW352)),  2)</f>
        <v>0</v>
      </c>
      <c r="I38" s="84">
        <v>0.15</v>
      </c>
      <c r="J38" s="71">
        <f>ROUND(((SUM(EW120:EW352))*I38),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ROUND((SUM(EX120:EX352)),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ROUND((SUM(EY120:EY352)),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ROUND((SUM(EZ120:EZ352)),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400794.14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00003 - DSO 01.1.1c Kanalizační odbočení Stoky A2a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42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42" s="1" customFormat="1" ht="10.35" hidden="1" customHeight="1" x14ac:dyDescent="0.2">
      <c r="B98" s="31"/>
      <c r="L98" s="31"/>
    </row>
    <row r="99" spans="2:142" s="1" customFormat="1" ht="22.9" hidden="1" customHeight="1" x14ac:dyDescent="0.2">
      <c r="B99" s="31"/>
      <c r="C99" s="95" t="s">
        <v>256</v>
      </c>
      <c r="J99" s="58">
        <f>J120</f>
        <v>331234.82999999996</v>
      </c>
      <c r="L99" s="31"/>
      <c r="EL99" s="16" t="s">
        <v>257</v>
      </c>
    </row>
    <row r="100" spans="2:142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J121</f>
        <v>331234.82999999996</v>
      </c>
      <c r="L100" s="96"/>
    </row>
    <row r="101" spans="2:142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J123</f>
        <v>179460.24</v>
      </c>
      <c r="L101" s="100"/>
    </row>
    <row r="102" spans="2:142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J253</f>
        <v>9242.39</v>
      </c>
      <c r="L102" s="100"/>
    </row>
    <row r="103" spans="2:142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J258</f>
        <v>6657.7400000000007</v>
      </c>
      <c r="L103" s="100"/>
    </row>
    <row r="104" spans="2:142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J274</f>
        <v>23143.730000000003</v>
      </c>
      <c r="L104" s="100"/>
    </row>
    <row r="105" spans="2:142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J286</f>
        <v>90981</v>
      </c>
      <c r="L105" s="100"/>
    </row>
    <row r="106" spans="2:142" s="8" customFormat="1" ht="19.899999999999999" hidden="1" customHeight="1" x14ac:dyDescent="0.2">
      <c r="B106" s="100"/>
      <c r="D106" s="101" t="s">
        <v>265</v>
      </c>
      <c r="E106" s="102"/>
      <c r="F106" s="102"/>
      <c r="G106" s="102"/>
      <c r="H106" s="102"/>
      <c r="I106" s="102"/>
      <c r="J106" s="103">
        <f>J328</f>
        <v>14331.429999999998</v>
      </c>
      <c r="L106" s="100"/>
    </row>
    <row r="107" spans="2:142" s="8" customFormat="1" ht="19.899999999999999" hidden="1" customHeight="1" x14ac:dyDescent="0.2">
      <c r="B107" s="100"/>
      <c r="D107" s="101" t="s">
        <v>266</v>
      </c>
      <c r="E107" s="102"/>
      <c r="F107" s="102"/>
      <c r="G107" s="102"/>
      <c r="H107" s="102"/>
      <c r="I107" s="102"/>
      <c r="J107" s="103">
        <f>J348</f>
        <v>7418.3</v>
      </c>
      <c r="L107" s="100"/>
    </row>
    <row r="108" spans="2:142" s="1" customFormat="1" ht="21.75" hidden="1" customHeight="1" x14ac:dyDescent="0.2">
      <c r="B108" s="31"/>
      <c r="L108" s="31"/>
    </row>
    <row r="109" spans="2:142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0" spans="2:142" hidden="1" x14ac:dyDescent="0.2"/>
    <row r="111" spans="2:142" hidden="1" x14ac:dyDescent="0.2"/>
    <row r="113" spans="2:160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160" s="1" customFormat="1" ht="24.95" customHeight="1" x14ac:dyDescent="0.2">
      <c r="B114" s="31"/>
      <c r="C114" s="20" t="s">
        <v>3342</v>
      </c>
      <c r="L114" s="31"/>
    </row>
    <row r="115" spans="2:160" s="1" customFormat="1" ht="6.95" customHeight="1" x14ac:dyDescent="0.2">
      <c r="B115" s="31"/>
      <c r="L115" s="31"/>
    </row>
    <row r="116" spans="2:160" s="1" customFormat="1" ht="40.15" customHeight="1" x14ac:dyDescent="0.2">
      <c r="B116" s="31"/>
      <c r="C116" s="26"/>
      <c r="F116" s="24"/>
      <c r="I116" s="26"/>
      <c r="J116" s="29"/>
      <c r="L116" s="31"/>
    </row>
    <row r="117" spans="2:160" s="1" customFormat="1" ht="15.2" customHeight="1" x14ac:dyDescent="0.2">
      <c r="B117" s="31"/>
      <c r="C117" s="26"/>
      <c r="F117" s="24"/>
      <c r="I117" s="26"/>
      <c r="J117" s="29"/>
      <c r="L117" s="31"/>
    </row>
    <row r="118" spans="2:160" s="1" customFormat="1" ht="18.75" customHeight="1" x14ac:dyDescent="0.2">
      <c r="B118" s="31"/>
      <c r="G118" s="430" t="s">
        <v>3305</v>
      </c>
      <c r="H118" s="430"/>
      <c r="I118" s="430"/>
      <c r="J118" s="430"/>
      <c r="K118" s="431"/>
      <c r="L118" s="31"/>
    </row>
    <row r="119" spans="2:160" s="9" customFormat="1" ht="29.25" customHeight="1" thickBot="1" x14ac:dyDescent="0.25">
      <c r="B119" s="104"/>
      <c r="C119" s="105" t="s">
        <v>268</v>
      </c>
      <c r="D119" s="106" t="s">
        <v>59</v>
      </c>
      <c r="E119" s="106" t="s">
        <v>55</v>
      </c>
      <c r="F119" s="106" t="s">
        <v>56</v>
      </c>
      <c r="G119" s="106" t="s">
        <v>269</v>
      </c>
      <c r="H119" s="106" t="s">
        <v>270</v>
      </c>
      <c r="I119" s="106" t="s">
        <v>271</v>
      </c>
      <c r="J119" s="106" t="s">
        <v>255</v>
      </c>
      <c r="K119" s="107" t="s">
        <v>272</v>
      </c>
      <c r="L119" s="437" t="s">
        <v>3307</v>
      </c>
      <c r="M119" s="438"/>
      <c r="N119" s="438"/>
      <c r="O119" s="438"/>
      <c r="P119" s="438"/>
      <c r="Q119" s="439"/>
      <c r="DD119" s="52" t="s">
        <v>1</v>
      </c>
      <c r="DE119" s="53" t="s">
        <v>39</v>
      </c>
      <c r="DF119" s="53" t="s">
        <v>273</v>
      </c>
      <c r="DG119" s="53" t="s">
        <v>274</v>
      </c>
      <c r="DH119" s="53" t="s">
        <v>275</v>
      </c>
      <c r="DI119" s="53" t="s">
        <v>276</v>
      </c>
      <c r="DJ119" s="53" t="s">
        <v>277</v>
      </c>
      <c r="DK119" s="54" t="s">
        <v>278</v>
      </c>
    </row>
    <row r="120" spans="2:160" s="1" customFormat="1" ht="22.9" customHeight="1" x14ac:dyDescent="0.25">
      <c r="B120" s="31"/>
      <c r="C120" s="57" t="s">
        <v>279</v>
      </c>
      <c r="G120" s="1" t="s">
        <v>3306</v>
      </c>
      <c r="J120" s="108">
        <f>FB120</f>
        <v>331234.82999999996</v>
      </c>
      <c r="L120" s="440" t="s">
        <v>3308</v>
      </c>
      <c r="M120" s="441"/>
      <c r="N120" s="440" t="s">
        <v>3377</v>
      </c>
      <c r="O120" s="441"/>
      <c r="P120" s="440" t="s">
        <v>3309</v>
      </c>
      <c r="Q120" s="441"/>
      <c r="S120" s="442" t="s">
        <v>3312</v>
      </c>
      <c r="T120" s="443"/>
      <c r="U120" s="443" t="s">
        <v>3313</v>
      </c>
      <c r="V120" s="443"/>
      <c r="W120" s="444" t="s">
        <v>3320</v>
      </c>
      <c r="X120" s="444"/>
      <c r="Y120" s="444" t="s">
        <v>3321</v>
      </c>
      <c r="Z120" s="444"/>
      <c r="AA120" s="444" t="s">
        <v>3322</v>
      </c>
      <c r="AB120" s="444"/>
      <c r="AC120" s="444" t="s">
        <v>3323</v>
      </c>
      <c r="AD120" s="444"/>
      <c r="AE120" s="444" t="s">
        <v>3324</v>
      </c>
      <c r="AF120" s="444"/>
      <c r="AG120" s="444" t="s">
        <v>3325</v>
      </c>
      <c r="AH120" s="444"/>
      <c r="AI120" s="444" t="s">
        <v>3326</v>
      </c>
      <c r="AJ120" s="444"/>
      <c r="AK120" s="444" t="s">
        <v>3327</v>
      </c>
      <c r="AL120" s="445"/>
      <c r="DD120" s="55"/>
      <c r="DE120" s="49"/>
      <c r="DF120" s="49"/>
      <c r="DG120" s="109">
        <f>DG121</f>
        <v>0</v>
      </c>
      <c r="DH120" s="49"/>
      <c r="DI120" s="109">
        <f>DI121</f>
        <v>134.44500000000002</v>
      </c>
      <c r="DJ120" s="49"/>
      <c r="DK120" s="110">
        <f>DK121</f>
        <v>39.627000000000002</v>
      </c>
      <c r="EK120" s="16" t="s">
        <v>73</v>
      </c>
      <c r="EL120" s="16" t="s">
        <v>257</v>
      </c>
      <c r="FB120" s="111">
        <f>FB121</f>
        <v>331234.82999999996</v>
      </c>
    </row>
    <row r="121" spans="2:160" s="10" customFormat="1" ht="25.9" customHeight="1" thickBot="1" x14ac:dyDescent="0.25">
      <c r="B121" s="112"/>
      <c r="D121" s="113" t="s">
        <v>73</v>
      </c>
      <c r="E121" s="114" t="s">
        <v>280</v>
      </c>
      <c r="F121" s="114" t="s">
        <v>281</v>
      </c>
      <c r="G121" s="10" t="s">
        <v>3306</v>
      </c>
      <c r="I121" s="115"/>
      <c r="J121" s="116">
        <f>FB121</f>
        <v>331234.82999999996</v>
      </c>
      <c r="L121" s="190" t="s">
        <v>270</v>
      </c>
      <c r="M121" s="190" t="s">
        <v>3310</v>
      </c>
      <c r="N121" s="190" t="s">
        <v>270</v>
      </c>
      <c r="O121" s="190" t="s">
        <v>3310</v>
      </c>
      <c r="P121" s="190" t="s">
        <v>3311</v>
      </c>
      <c r="Q121" s="190" t="s">
        <v>3310</v>
      </c>
      <c r="S121" s="193" t="s">
        <v>270</v>
      </c>
      <c r="T121" s="194" t="s">
        <v>3310</v>
      </c>
      <c r="U121" s="194" t="s">
        <v>270</v>
      </c>
      <c r="V121" s="194" t="s">
        <v>3310</v>
      </c>
      <c r="W121" s="194" t="s">
        <v>270</v>
      </c>
      <c r="X121" s="194" t="s">
        <v>3328</v>
      </c>
      <c r="Y121" s="194" t="s">
        <v>270</v>
      </c>
      <c r="Z121" s="194" t="s">
        <v>3328</v>
      </c>
      <c r="AA121" s="194" t="s">
        <v>270</v>
      </c>
      <c r="AB121" s="194" t="s">
        <v>3328</v>
      </c>
      <c r="AC121" s="194" t="s">
        <v>270</v>
      </c>
      <c r="AD121" s="194" t="s">
        <v>3328</v>
      </c>
      <c r="AE121" s="194" t="s">
        <v>270</v>
      </c>
      <c r="AF121" s="194" t="s">
        <v>3328</v>
      </c>
      <c r="AG121" s="194" t="s">
        <v>270</v>
      </c>
      <c r="AH121" s="194" t="s">
        <v>3328</v>
      </c>
      <c r="AI121" s="194" t="s">
        <v>270</v>
      </c>
      <c r="AJ121" s="194" t="s">
        <v>3328</v>
      </c>
      <c r="AK121" s="194" t="s">
        <v>270</v>
      </c>
      <c r="AL121" s="195" t="s">
        <v>3328</v>
      </c>
      <c r="DD121" s="117"/>
      <c r="DG121" s="118">
        <f>DG123+DG253+DG258+DG274+DG286+DG328+DG348</f>
        <v>0</v>
      </c>
      <c r="DI121" s="118">
        <f>DI123+DI253+DI258+DI274+DI286+DI328+DI348</f>
        <v>134.44500000000002</v>
      </c>
      <c r="DK121" s="119">
        <f>DK123+DK253+DK258+DK274+DK286+DK328+DK348</f>
        <v>39.627000000000002</v>
      </c>
      <c r="EI121" s="113" t="s">
        <v>81</v>
      </c>
      <c r="EK121" s="120" t="s">
        <v>73</v>
      </c>
      <c r="EL121" s="120" t="s">
        <v>74</v>
      </c>
      <c r="EP121" s="113" t="s">
        <v>282</v>
      </c>
      <c r="FB121" s="121">
        <f>FB123+FB253+FB258+FB274+FB286+FB328+FB348</f>
        <v>331234.82999999996</v>
      </c>
    </row>
    <row r="122" spans="2:160" s="10" customFormat="1" ht="25.9" customHeight="1" thickBot="1" x14ac:dyDescent="0.25">
      <c r="B122" s="112"/>
      <c r="D122" s="113"/>
      <c r="E122" s="114"/>
      <c r="F122" s="114"/>
      <c r="G122" s="10" t="s">
        <v>3306</v>
      </c>
      <c r="I122" s="115"/>
      <c r="J122" s="116" t="s">
        <v>3306</v>
      </c>
      <c r="L122" s="191"/>
      <c r="M122" s="192">
        <f>M123+M253+M258+M274+M286+M328+M348</f>
        <v>0</v>
      </c>
      <c r="N122" s="208"/>
      <c r="O122" s="208">
        <f t="shared" ref="O122:Q122" si="0">O123+O253+O258+O274+O286+O328+O348</f>
        <v>-42425.16</v>
      </c>
      <c r="P122" s="192"/>
      <c r="Q122" s="192">
        <f t="shared" si="0"/>
        <v>373659.97000000003</v>
      </c>
      <c r="S122" s="196"/>
      <c r="T122" s="197">
        <f>T123+T253+T258+T274+T286+T328+T348</f>
        <v>0</v>
      </c>
      <c r="U122" s="197"/>
      <c r="V122" s="197">
        <f t="shared" ref="V122:AL122" si="1">V123+V253+V258+V274+V286+V328+V348</f>
        <v>331234.82999999996</v>
      </c>
      <c r="W122" s="197"/>
      <c r="X122" s="197">
        <f t="shared" si="1"/>
        <v>0</v>
      </c>
      <c r="Y122" s="197"/>
      <c r="Z122" s="197">
        <f t="shared" si="1"/>
        <v>0</v>
      </c>
      <c r="AA122" s="197"/>
      <c r="AB122" s="197">
        <f t="shared" si="1"/>
        <v>0</v>
      </c>
      <c r="AC122" s="197"/>
      <c r="AD122" s="197">
        <f t="shared" si="1"/>
        <v>0</v>
      </c>
      <c r="AE122" s="197"/>
      <c r="AF122" s="197">
        <f t="shared" si="1"/>
        <v>0</v>
      </c>
      <c r="AG122" s="197"/>
      <c r="AH122" s="197">
        <f t="shared" si="1"/>
        <v>0</v>
      </c>
      <c r="AI122" s="197"/>
      <c r="AJ122" s="197">
        <f t="shared" si="1"/>
        <v>0</v>
      </c>
      <c r="AK122" s="197"/>
      <c r="AL122" s="197">
        <f t="shared" si="1"/>
        <v>0</v>
      </c>
      <c r="DD122" s="117"/>
      <c r="DG122" s="118"/>
      <c r="DI122" s="118"/>
      <c r="DK122" s="119"/>
      <c r="EI122" s="113"/>
      <c r="EK122" s="120"/>
      <c r="EL122" s="120"/>
      <c r="EP122" s="113"/>
      <c r="FB122" s="121"/>
    </row>
    <row r="123" spans="2:160" s="10" customFormat="1" ht="22.9" customHeight="1" x14ac:dyDescent="0.2">
      <c r="B123" s="112"/>
      <c r="D123" s="113" t="s">
        <v>73</v>
      </c>
      <c r="E123" s="122" t="s">
        <v>81</v>
      </c>
      <c r="F123" s="122" t="s">
        <v>283</v>
      </c>
      <c r="G123" s="10" t="s">
        <v>3306</v>
      </c>
      <c r="I123" s="115"/>
      <c r="J123" s="123">
        <f>FB123</f>
        <v>179460.24</v>
      </c>
      <c r="L123" s="112"/>
      <c r="M123" s="320">
        <f>SUM(M124:M250)</f>
        <v>0</v>
      </c>
      <c r="N123" s="321"/>
      <c r="O123" s="322">
        <f t="shared" ref="O123:V123" si="2">SUM(O124:O250)</f>
        <v>-29367.500000000004</v>
      </c>
      <c r="P123" s="320"/>
      <c r="Q123" s="325">
        <f t="shared" si="2"/>
        <v>208827.71</v>
      </c>
      <c r="R123" s="320"/>
      <c r="S123" s="320"/>
      <c r="T123" s="320">
        <f t="shared" si="2"/>
        <v>0</v>
      </c>
      <c r="U123" s="320"/>
      <c r="V123" s="320">
        <f t="shared" si="2"/>
        <v>179460.24</v>
      </c>
      <c r="DD123" s="117"/>
      <c r="DG123" s="118">
        <f>SUM(DG124:DG252)</f>
        <v>0</v>
      </c>
      <c r="DI123" s="118">
        <f>SUM(DI124:DI252)</f>
        <v>126.33686</v>
      </c>
      <c r="DK123" s="119">
        <f>SUM(DK124:DK252)</f>
        <v>39.627000000000002</v>
      </c>
      <c r="EI123" s="113" t="s">
        <v>81</v>
      </c>
      <c r="EK123" s="120" t="s">
        <v>73</v>
      </c>
      <c r="EL123" s="120" t="s">
        <v>81</v>
      </c>
      <c r="EP123" s="113" t="s">
        <v>282</v>
      </c>
      <c r="FB123" s="121">
        <f>SUM(FB124:FB252)</f>
        <v>179460.24</v>
      </c>
    </row>
    <row r="124" spans="2:160" s="1" customFormat="1" ht="24.2" customHeight="1" x14ac:dyDescent="0.2">
      <c r="B124" s="124"/>
      <c r="C124" s="125" t="s">
        <v>81</v>
      </c>
      <c r="D124" s="125" t="s">
        <v>284</v>
      </c>
      <c r="E124" s="126" t="s">
        <v>285</v>
      </c>
      <c r="F124" s="127" t="s">
        <v>286</v>
      </c>
      <c r="G124" s="128" t="s">
        <v>287</v>
      </c>
      <c r="H124" s="129">
        <v>31.5</v>
      </c>
      <c r="I124" s="130">
        <v>68.767172335543137</v>
      </c>
      <c r="J124" s="131">
        <f>ROUND(I124*H124,2)</f>
        <v>2166.17</v>
      </c>
      <c r="K124" s="127" t="s">
        <v>1</v>
      </c>
      <c r="L124" s="198">
        <f>S124</f>
        <v>0</v>
      </c>
      <c r="M124" s="206">
        <f>ROUND(L124*I124,2)</f>
        <v>0</v>
      </c>
      <c r="N124" s="211">
        <f>N126</f>
        <v>-5.0940000000000012</v>
      </c>
      <c r="O124" s="212">
        <f>ROUND(N124*I124,2)</f>
        <v>-350.3</v>
      </c>
      <c r="P124" s="207">
        <f>H124-L124-N124</f>
        <v>36.594000000000001</v>
      </c>
      <c r="Q124" s="228">
        <f>ROUND(P124*I124,2)</f>
        <v>2516.4699999999998</v>
      </c>
      <c r="R124" s="199"/>
      <c r="S124" s="200">
        <f>W124+Y124+AA124+AC124+AE124+AG124+AI124+AK124</f>
        <v>0</v>
      </c>
      <c r="T124" s="200">
        <f>ROUND(S124*I124,2)</f>
        <v>0</v>
      </c>
      <c r="U124" s="200">
        <f>H124-S124</f>
        <v>31.5</v>
      </c>
      <c r="V124" s="200">
        <f>ROUND(U124*I124,2)</f>
        <v>2166.17</v>
      </c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DD124" s="132" t="s">
        <v>1</v>
      </c>
      <c r="DE124" s="133" t="s">
        <v>40</v>
      </c>
      <c r="DG124" s="134">
        <f>DF124*H124</f>
        <v>0</v>
      </c>
      <c r="DH124" s="134">
        <v>0</v>
      </c>
      <c r="DI124" s="134">
        <f>DH124*H124</f>
        <v>0</v>
      </c>
      <c r="DJ124" s="134">
        <v>0.57999999999999996</v>
      </c>
      <c r="DK124" s="135">
        <f>DJ124*H124</f>
        <v>18.27</v>
      </c>
      <c r="EI124" s="136" t="s">
        <v>95</v>
      </c>
      <c r="EK124" s="136" t="s">
        <v>284</v>
      </c>
      <c r="EL124" s="136" t="s">
        <v>83</v>
      </c>
      <c r="EP124" s="16" t="s">
        <v>282</v>
      </c>
      <c r="EV124" s="137">
        <f>IF(DE124="základní",J124,0)</f>
        <v>2166.17</v>
      </c>
      <c r="EW124" s="137">
        <f>IF(DE124="snížená",J124,0)</f>
        <v>0</v>
      </c>
      <c r="EX124" s="137">
        <f>IF(DE124="zákl. přenesená",J124,0)</f>
        <v>0</v>
      </c>
      <c r="EY124" s="137">
        <f>IF(DE124="sníž. přenesená",J124,0)</f>
        <v>0</v>
      </c>
      <c r="EZ124" s="137">
        <f>IF(DE124="nulová",J124,0)</f>
        <v>0</v>
      </c>
      <c r="FA124" s="16" t="s">
        <v>81</v>
      </c>
      <c r="FB124" s="137">
        <f>ROUND(I124*H124,2)</f>
        <v>2166.17</v>
      </c>
      <c r="FC124" s="16" t="s">
        <v>95</v>
      </c>
      <c r="FD124" s="136" t="s">
        <v>288</v>
      </c>
    </row>
    <row r="125" spans="2:160" s="1" customFormat="1" ht="39" x14ac:dyDescent="0.2">
      <c r="B125" s="31"/>
      <c r="D125" s="138" t="s">
        <v>289</v>
      </c>
      <c r="F125" s="139" t="s">
        <v>290</v>
      </c>
      <c r="I125" s="140"/>
      <c r="L125" s="31"/>
      <c r="N125" s="213"/>
      <c r="O125" s="214"/>
      <c r="Q125" s="229"/>
      <c r="DD125" s="141"/>
      <c r="DK125" s="50"/>
      <c r="EK125" s="16" t="s">
        <v>289</v>
      </c>
      <c r="EL125" s="16" t="s">
        <v>83</v>
      </c>
    </row>
    <row r="126" spans="2:160" s="1" customFormat="1" ht="24.2" customHeight="1" x14ac:dyDescent="0.2">
      <c r="B126" s="124"/>
      <c r="C126" s="125" t="s">
        <v>83</v>
      </c>
      <c r="D126" s="125" t="s">
        <v>284</v>
      </c>
      <c r="E126" s="126" t="s">
        <v>291</v>
      </c>
      <c r="F126" s="127" t="s">
        <v>292</v>
      </c>
      <c r="G126" s="128" t="s">
        <v>287</v>
      </c>
      <c r="H126" s="129">
        <v>31.5</v>
      </c>
      <c r="I126" s="130">
        <v>68.767172335543137</v>
      </c>
      <c r="J126" s="131">
        <f>ROUND(I126*H126,2)</f>
        <v>2166.17</v>
      </c>
      <c r="K126" s="127" t="s">
        <v>293</v>
      </c>
      <c r="L126" s="198">
        <f>S126</f>
        <v>0</v>
      </c>
      <c r="M126" s="206">
        <f>ROUND(L126*I126,2)</f>
        <v>0</v>
      </c>
      <c r="N126" s="211">
        <f>N128</f>
        <v>-5.0940000000000012</v>
      </c>
      <c r="O126" s="212">
        <f>ROUND(N126*I126,2)</f>
        <v>-350.3</v>
      </c>
      <c r="P126" s="207">
        <f>H126-L126-N126</f>
        <v>36.594000000000001</v>
      </c>
      <c r="Q126" s="228">
        <f>ROUND(P126*I126,2)</f>
        <v>2516.4699999999998</v>
      </c>
      <c r="R126" s="199"/>
      <c r="S126" s="200">
        <f>W126+Y126+AA126+AC126+AE126+AG126+AI126+AK126</f>
        <v>0</v>
      </c>
      <c r="T126" s="200">
        <f>ROUND(S126*I126,2)</f>
        <v>0</v>
      </c>
      <c r="U126" s="200">
        <f>H126-S126</f>
        <v>31.5</v>
      </c>
      <c r="V126" s="200">
        <f>ROUND(U126*I126,2)</f>
        <v>2166.17</v>
      </c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DD126" s="132" t="s">
        <v>1</v>
      </c>
      <c r="DE126" s="133" t="s">
        <v>40</v>
      </c>
      <c r="DG126" s="134">
        <f>DF126*H126</f>
        <v>0</v>
      </c>
      <c r="DH126" s="134">
        <v>0</v>
      </c>
      <c r="DI126" s="134">
        <f>DH126*H126</f>
        <v>0</v>
      </c>
      <c r="DJ126" s="134">
        <v>0.57999999999999996</v>
      </c>
      <c r="DK126" s="135">
        <f>DJ126*H126</f>
        <v>18.27</v>
      </c>
      <c r="EI126" s="136" t="s">
        <v>95</v>
      </c>
      <c r="EK126" s="136" t="s">
        <v>284</v>
      </c>
      <c r="EL126" s="136" t="s">
        <v>83</v>
      </c>
      <c r="EP126" s="16" t="s">
        <v>282</v>
      </c>
      <c r="EV126" s="137">
        <f>IF(DE126="základní",J126,0)</f>
        <v>2166.17</v>
      </c>
      <c r="EW126" s="137">
        <f>IF(DE126="snížená",J126,0)</f>
        <v>0</v>
      </c>
      <c r="EX126" s="137">
        <f>IF(DE126="zákl. přenesená",J126,0)</f>
        <v>0</v>
      </c>
      <c r="EY126" s="137">
        <f>IF(DE126="sníž. přenesená",J126,0)</f>
        <v>0</v>
      </c>
      <c r="EZ126" s="137">
        <f>IF(DE126="nulová",J126,0)</f>
        <v>0</v>
      </c>
      <c r="FA126" s="16" t="s">
        <v>81</v>
      </c>
      <c r="FB126" s="137">
        <f>ROUND(I126*H126,2)</f>
        <v>2166.17</v>
      </c>
      <c r="FC126" s="16" t="s">
        <v>95</v>
      </c>
      <c r="FD126" s="136" t="s">
        <v>294</v>
      </c>
    </row>
    <row r="127" spans="2:160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DD127" s="141"/>
      <c r="DK127" s="50"/>
      <c r="EK127" s="16" t="s">
        <v>289</v>
      </c>
      <c r="EL127" s="16" t="s">
        <v>83</v>
      </c>
    </row>
    <row r="128" spans="2:160" s="1" customFormat="1" ht="24.2" customHeight="1" x14ac:dyDescent="0.2">
      <c r="B128" s="124"/>
      <c r="C128" s="125" t="s">
        <v>90</v>
      </c>
      <c r="D128" s="125" t="s">
        <v>284</v>
      </c>
      <c r="E128" s="126" t="s">
        <v>295</v>
      </c>
      <c r="F128" s="127" t="s">
        <v>732</v>
      </c>
      <c r="G128" s="128" t="s">
        <v>287</v>
      </c>
      <c r="H128" s="129">
        <v>31.5</v>
      </c>
      <c r="I128" s="130">
        <v>27.886826761540966</v>
      </c>
      <c r="J128" s="131">
        <f>ROUND(I128*H128,2)</f>
        <v>878.44</v>
      </c>
      <c r="K128" s="127" t="s">
        <v>293</v>
      </c>
      <c r="L128" s="198">
        <f>S128</f>
        <v>0</v>
      </c>
      <c r="M128" s="206">
        <f>ROUND(L128*I128,2)</f>
        <v>0</v>
      </c>
      <c r="N128" s="211">
        <f>N134</f>
        <v>-5.0940000000000012</v>
      </c>
      <c r="O128" s="212">
        <f>ROUND(N128*I128,2)</f>
        <v>-142.06</v>
      </c>
      <c r="P128" s="207">
        <f>H128-L128-N128</f>
        <v>36.594000000000001</v>
      </c>
      <c r="Q128" s="228">
        <f>ROUND(P128*I128,2)</f>
        <v>1020.49</v>
      </c>
      <c r="R128" s="199"/>
      <c r="S128" s="200">
        <f>W128+Y128+AA128+AC128+AE128+AG128+AI128+AK128</f>
        <v>0</v>
      </c>
      <c r="T128" s="200">
        <f>ROUND(S128*I128,2)</f>
        <v>0</v>
      </c>
      <c r="U128" s="200">
        <f>H128-S128</f>
        <v>31.5</v>
      </c>
      <c r="V128" s="200">
        <f>ROUND(U128*I128,2)</f>
        <v>878.44</v>
      </c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DD128" s="132" t="s">
        <v>1</v>
      </c>
      <c r="DE128" s="133" t="s">
        <v>40</v>
      </c>
      <c r="DG128" s="134">
        <f>DF128*H128</f>
        <v>0</v>
      </c>
      <c r="DH128" s="134">
        <v>0</v>
      </c>
      <c r="DI128" s="134">
        <f>DH128*H128</f>
        <v>0</v>
      </c>
      <c r="DJ128" s="134">
        <v>9.8000000000000004E-2</v>
      </c>
      <c r="DK128" s="135">
        <f>DJ128*H128</f>
        <v>3.0870000000000002</v>
      </c>
      <c r="EI128" s="136" t="s">
        <v>95</v>
      </c>
      <c r="EK128" s="136" t="s">
        <v>284</v>
      </c>
      <c r="EL128" s="136" t="s">
        <v>83</v>
      </c>
      <c r="EP128" s="16" t="s">
        <v>282</v>
      </c>
      <c r="EV128" s="137">
        <f>IF(DE128="základní",J128,0)</f>
        <v>878.44</v>
      </c>
      <c r="EW128" s="137">
        <f>IF(DE128="snížená",J128,0)</f>
        <v>0</v>
      </c>
      <c r="EX128" s="137">
        <f>IF(DE128="zákl. přenesená",J128,0)</f>
        <v>0</v>
      </c>
      <c r="EY128" s="137">
        <f>IF(DE128="sníž. přenesená",J128,0)</f>
        <v>0</v>
      </c>
      <c r="EZ128" s="137">
        <f>IF(DE128="nulová",J128,0)</f>
        <v>0</v>
      </c>
      <c r="FA128" s="16" t="s">
        <v>81</v>
      </c>
      <c r="FB128" s="137">
        <f>ROUND(I128*H128,2)</f>
        <v>878.44</v>
      </c>
      <c r="FC128" s="16" t="s">
        <v>95</v>
      </c>
      <c r="FD128" s="136" t="s">
        <v>297</v>
      </c>
    </row>
    <row r="129" spans="2:160" s="1" customFormat="1" ht="29.25" x14ac:dyDescent="0.2">
      <c r="B129" s="31"/>
      <c r="D129" s="138" t="s">
        <v>289</v>
      </c>
      <c r="F129" s="139" t="s">
        <v>298</v>
      </c>
      <c r="I129" s="140"/>
      <c r="L129" s="31"/>
      <c r="N129" s="213"/>
      <c r="O129" s="214"/>
      <c r="Q129" s="229"/>
      <c r="DD129" s="141"/>
      <c r="DK129" s="50"/>
      <c r="EK129" s="16" t="s">
        <v>289</v>
      </c>
      <c r="EL129" s="16" t="s">
        <v>83</v>
      </c>
    </row>
    <row r="130" spans="2:160" s="1" customFormat="1" ht="29.25" x14ac:dyDescent="0.2">
      <c r="B130" s="31"/>
      <c r="D130" s="138" t="s">
        <v>299</v>
      </c>
      <c r="F130" s="142" t="s">
        <v>1083</v>
      </c>
      <c r="I130" s="140"/>
      <c r="L130" s="31"/>
      <c r="N130" s="213"/>
      <c r="O130" s="214"/>
      <c r="Q130" s="229"/>
      <c r="DD130" s="141"/>
      <c r="DK130" s="50"/>
      <c r="EK130" s="16" t="s">
        <v>299</v>
      </c>
      <c r="EL130" s="16" t="s">
        <v>83</v>
      </c>
    </row>
    <row r="131" spans="2:160" s="11" customFormat="1" x14ac:dyDescent="0.2">
      <c r="B131" s="143"/>
      <c r="D131" s="138" t="s">
        <v>301</v>
      </c>
      <c r="E131" s="144" t="s">
        <v>1</v>
      </c>
      <c r="F131" s="145" t="s">
        <v>1084</v>
      </c>
      <c r="H131" s="144" t="s">
        <v>1</v>
      </c>
      <c r="I131" s="146"/>
      <c r="L131" s="143"/>
      <c r="N131" s="215"/>
      <c r="O131" s="216"/>
      <c r="Q131" s="230"/>
      <c r="DD131" s="147"/>
      <c r="DK131" s="148"/>
      <c r="EK131" s="144" t="s">
        <v>301</v>
      </c>
      <c r="EL131" s="144" t="s">
        <v>83</v>
      </c>
      <c r="EM131" s="11" t="s">
        <v>81</v>
      </c>
      <c r="EN131" s="11" t="s">
        <v>32</v>
      </c>
      <c r="EO131" s="11" t="s">
        <v>74</v>
      </c>
      <c r="EP131" s="144" t="s">
        <v>282</v>
      </c>
    </row>
    <row r="132" spans="2:160" s="11" customFormat="1" x14ac:dyDescent="0.2">
      <c r="B132" s="143"/>
      <c r="D132" s="138" t="s">
        <v>301</v>
      </c>
      <c r="E132" s="144" t="s">
        <v>1</v>
      </c>
      <c r="F132" s="145" t="s">
        <v>302</v>
      </c>
      <c r="H132" s="144" t="s">
        <v>1</v>
      </c>
      <c r="I132" s="146"/>
      <c r="L132" s="143"/>
      <c r="N132" s="215"/>
      <c r="O132" s="216"/>
      <c r="Q132" s="230"/>
      <c r="DD132" s="147"/>
      <c r="DK132" s="148"/>
      <c r="EK132" s="144" t="s">
        <v>301</v>
      </c>
      <c r="EL132" s="144" t="s">
        <v>83</v>
      </c>
      <c r="EM132" s="11" t="s">
        <v>81</v>
      </c>
      <c r="EN132" s="11" t="s">
        <v>32</v>
      </c>
      <c r="EO132" s="11" t="s">
        <v>74</v>
      </c>
      <c r="EP132" s="144" t="s">
        <v>282</v>
      </c>
    </row>
    <row r="133" spans="2:160" s="12" customFormat="1" x14ac:dyDescent="0.2">
      <c r="B133" s="149"/>
      <c r="D133" s="138" t="s">
        <v>301</v>
      </c>
      <c r="E133" s="150" t="s">
        <v>1</v>
      </c>
      <c r="F133" s="151" t="s">
        <v>1236</v>
      </c>
      <c r="H133" s="152">
        <v>31.5</v>
      </c>
      <c r="I133" s="153"/>
      <c r="L133" s="149"/>
      <c r="N133" s="217">
        <f>29.34*1*0.9</f>
        <v>26.405999999999999</v>
      </c>
      <c r="O133" s="218" t="s">
        <v>3671</v>
      </c>
      <c r="Q133" s="231"/>
      <c r="DD133" s="154"/>
      <c r="DK133" s="155"/>
      <c r="EK133" s="150" t="s">
        <v>301</v>
      </c>
      <c r="EL133" s="150" t="s">
        <v>83</v>
      </c>
      <c r="EM133" s="12" t="s">
        <v>83</v>
      </c>
      <c r="EN133" s="12" t="s">
        <v>32</v>
      </c>
      <c r="EO133" s="12" t="s">
        <v>81</v>
      </c>
      <c r="EP133" s="150" t="s">
        <v>282</v>
      </c>
    </row>
    <row r="134" spans="2:160" s="12" customFormat="1" x14ac:dyDescent="0.2">
      <c r="B134" s="149"/>
      <c r="D134" s="138"/>
      <c r="E134" s="150"/>
      <c r="F134" s="151"/>
      <c r="H134" s="152"/>
      <c r="I134" s="153"/>
      <c r="L134" s="149"/>
      <c r="N134" s="310">
        <f>N133-H133</f>
        <v>-5.0940000000000012</v>
      </c>
      <c r="O134" s="218"/>
      <c r="Q134" s="231"/>
      <c r="DD134" s="154"/>
      <c r="DK134" s="155"/>
      <c r="EK134" s="150"/>
      <c r="EL134" s="150"/>
      <c r="EP134" s="150"/>
    </row>
    <row r="135" spans="2:160" s="1" customFormat="1" ht="24.2" customHeight="1" x14ac:dyDescent="0.2">
      <c r="B135" s="124"/>
      <c r="C135" s="125" t="s">
        <v>95</v>
      </c>
      <c r="D135" s="125" t="s">
        <v>284</v>
      </c>
      <c r="E135" s="126" t="s">
        <v>958</v>
      </c>
      <c r="F135" s="127" t="s">
        <v>959</v>
      </c>
      <c r="G135" s="128" t="s">
        <v>287</v>
      </c>
      <c r="H135" s="129">
        <v>10.5</v>
      </c>
      <c r="I135" s="130">
        <v>23.091823190584471</v>
      </c>
      <c r="J135" s="131">
        <f>ROUND(I135*H135,2)</f>
        <v>242.46</v>
      </c>
      <c r="K135" s="127" t="s">
        <v>293</v>
      </c>
      <c r="L135" s="198">
        <f>S135</f>
        <v>0</v>
      </c>
      <c r="M135" s="206">
        <f>ROUND(L135*I135,2)</f>
        <v>0</v>
      </c>
      <c r="N135" s="211">
        <f>N140</f>
        <v>-1.6980000000000004</v>
      </c>
      <c r="O135" s="212">
        <f>ROUND(N135*I135,2)</f>
        <v>-39.21</v>
      </c>
      <c r="P135" s="207">
        <f>H135-L135-N135</f>
        <v>12.198</v>
      </c>
      <c r="Q135" s="228">
        <f>ROUND(P135*I135,2)</f>
        <v>281.67</v>
      </c>
      <c r="R135" s="199"/>
      <c r="S135" s="200">
        <f>W135+Y135+AA135+AC135+AE135+AG135+AI135+AK135</f>
        <v>0</v>
      </c>
      <c r="T135" s="200">
        <f>ROUND(S135*I135,2)</f>
        <v>0</v>
      </c>
      <c r="U135" s="200">
        <f>H135-S135</f>
        <v>10.5</v>
      </c>
      <c r="V135" s="200">
        <f>ROUND(U135*I135,2)</f>
        <v>242.46</v>
      </c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DD135" s="132" t="s">
        <v>1</v>
      </c>
      <c r="DE135" s="133" t="s">
        <v>40</v>
      </c>
      <c r="DG135" s="134">
        <f>DF135*H135</f>
        <v>0</v>
      </c>
      <c r="DH135" s="134">
        <v>0</v>
      </c>
      <c r="DI135" s="134">
        <f>DH135*H135</f>
        <v>0</v>
      </c>
      <c r="DJ135" s="134">
        <v>0</v>
      </c>
      <c r="DK135" s="135">
        <f>DJ135*H135</f>
        <v>0</v>
      </c>
      <c r="EI135" s="136" t="s">
        <v>95</v>
      </c>
      <c r="EK135" s="136" t="s">
        <v>284</v>
      </c>
      <c r="EL135" s="136" t="s">
        <v>83</v>
      </c>
      <c r="EP135" s="16" t="s">
        <v>282</v>
      </c>
      <c r="EV135" s="137">
        <f>IF(DE135="základní",J135,0)</f>
        <v>242.46</v>
      </c>
      <c r="EW135" s="137">
        <f>IF(DE135="snížená",J135,0)</f>
        <v>0</v>
      </c>
      <c r="EX135" s="137">
        <f>IF(DE135="zákl. přenesená",J135,0)</f>
        <v>0</v>
      </c>
      <c r="EY135" s="137">
        <f>IF(DE135="sníž. přenesená",J135,0)</f>
        <v>0</v>
      </c>
      <c r="EZ135" s="137">
        <f>IF(DE135="nulová",J135,0)</f>
        <v>0</v>
      </c>
      <c r="FA135" s="16" t="s">
        <v>81</v>
      </c>
      <c r="FB135" s="137">
        <f>ROUND(I135*H135,2)</f>
        <v>242.46</v>
      </c>
      <c r="FC135" s="16" t="s">
        <v>95</v>
      </c>
      <c r="FD135" s="136" t="s">
        <v>960</v>
      </c>
    </row>
    <row r="136" spans="2:160" s="1" customFormat="1" ht="19.5" x14ac:dyDescent="0.2">
      <c r="B136" s="31"/>
      <c r="D136" s="138" t="s">
        <v>289</v>
      </c>
      <c r="F136" s="139" t="s">
        <v>961</v>
      </c>
      <c r="I136" s="140"/>
      <c r="L136" s="31"/>
      <c r="N136" s="213"/>
      <c r="O136" s="214"/>
      <c r="Q136" s="229"/>
      <c r="DD136" s="141"/>
      <c r="DK136" s="50"/>
      <c r="EK136" s="16" t="s">
        <v>289</v>
      </c>
      <c r="EL136" s="16" t="s">
        <v>83</v>
      </c>
    </row>
    <row r="137" spans="2:160" s="1" customFormat="1" ht="29.25" x14ac:dyDescent="0.2">
      <c r="B137" s="31"/>
      <c r="D137" s="138" t="s">
        <v>299</v>
      </c>
      <c r="F137" s="142" t="s">
        <v>1083</v>
      </c>
      <c r="I137" s="140"/>
      <c r="L137" s="31"/>
      <c r="N137" s="213"/>
      <c r="O137" s="214"/>
      <c r="Q137" s="229"/>
      <c r="DD137" s="141"/>
      <c r="DK137" s="50"/>
      <c r="EK137" s="16" t="s">
        <v>299</v>
      </c>
      <c r="EL137" s="16" t="s">
        <v>83</v>
      </c>
    </row>
    <row r="138" spans="2:160" s="11" customFormat="1" x14ac:dyDescent="0.2">
      <c r="B138" s="143"/>
      <c r="D138" s="138" t="s">
        <v>301</v>
      </c>
      <c r="E138" s="144" t="s">
        <v>1</v>
      </c>
      <c r="F138" s="145" t="s">
        <v>1088</v>
      </c>
      <c r="H138" s="144" t="s">
        <v>1</v>
      </c>
      <c r="I138" s="146"/>
      <c r="L138" s="143"/>
      <c r="N138" s="215"/>
      <c r="O138" s="216"/>
      <c r="Q138" s="230"/>
      <c r="DD138" s="147"/>
      <c r="DK138" s="148"/>
      <c r="EK138" s="144" t="s">
        <v>301</v>
      </c>
      <c r="EL138" s="144" t="s">
        <v>83</v>
      </c>
      <c r="EM138" s="11" t="s">
        <v>81</v>
      </c>
      <c r="EN138" s="11" t="s">
        <v>32</v>
      </c>
      <c r="EO138" s="11" t="s">
        <v>74</v>
      </c>
      <c r="EP138" s="144" t="s">
        <v>282</v>
      </c>
    </row>
    <row r="139" spans="2:160" s="12" customFormat="1" x14ac:dyDescent="0.2">
      <c r="B139" s="149"/>
      <c r="D139" s="138" t="s">
        <v>301</v>
      </c>
      <c r="E139" s="150" t="s">
        <v>1</v>
      </c>
      <c r="F139" s="151" t="s">
        <v>1237</v>
      </c>
      <c r="H139" s="152">
        <v>10.5</v>
      </c>
      <c r="I139" s="153"/>
      <c r="L139" s="149"/>
      <c r="N139" s="217">
        <f>29.34*3*0.1</f>
        <v>8.8019999999999996</v>
      </c>
      <c r="O139" s="218" t="s">
        <v>3672</v>
      </c>
      <c r="Q139" s="231"/>
      <c r="DD139" s="154"/>
      <c r="DK139" s="155"/>
      <c r="EK139" s="150" t="s">
        <v>301</v>
      </c>
      <c r="EL139" s="150" t="s">
        <v>83</v>
      </c>
      <c r="EM139" s="12" t="s">
        <v>83</v>
      </c>
      <c r="EN139" s="12" t="s">
        <v>32</v>
      </c>
      <c r="EO139" s="12" t="s">
        <v>81</v>
      </c>
      <c r="EP139" s="150" t="s">
        <v>282</v>
      </c>
    </row>
    <row r="140" spans="2:160" s="12" customFormat="1" x14ac:dyDescent="0.2">
      <c r="B140" s="149"/>
      <c r="D140" s="138"/>
      <c r="E140" s="150"/>
      <c r="F140" s="151"/>
      <c r="H140" s="152"/>
      <c r="I140" s="153"/>
      <c r="L140" s="149"/>
      <c r="N140" s="310">
        <f>N139-H139</f>
        <v>-1.6980000000000004</v>
      </c>
      <c r="O140" s="218"/>
      <c r="Q140" s="231"/>
      <c r="DD140" s="154"/>
      <c r="DK140" s="155"/>
      <c r="EK140" s="150"/>
      <c r="EL140" s="150"/>
      <c r="EP140" s="150"/>
    </row>
    <row r="141" spans="2:160" s="1" customFormat="1" ht="24.2" customHeight="1" x14ac:dyDescent="0.2">
      <c r="B141" s="124"/>
      <c r="C141" s="125" t="s">
        <v>312</v>
      </c>
      <c r="D141" s="125" t="s">
        <v>284</v>
      </c>
      <c r="E141" s="126" t="s">
        <v>364</v>
      </c>
      <c r="F141" s="127" t="s">
        <v>365</v>
      </c>
      <c r="G141" s="128" t="s">
        <v>366</v>
      </c>
      <c r="H141" s="129">
        <v>31.238</v>
      </c>
      <c r="I141" s="130">
        <v>285.201942457955</v>
      </c>
      <c r="J141" s="131">
        <f>ROUND(I141*H141,2)</f>
        <v>8909.14</v>
      </c>
      <c r="K141" s="127" t="s">
        <v>293</v>
      </c>
      <c r="L141" s="198">
        <f>S141</f>
        <v>0</v>
      </c>
      <c r="M141" s="206">
        <f>ROUND(L141*I141,2)</f>
        <v>0</v>
      </c>
      <c r="N141" s="211">
        <f>N150</f>
        <v>-5.0520499999999977</v>
      </c>
      <c r="O141" s="212">
        <f>ROUND(N141*I141,2)</f>
        <v>-1440.85</v>
      </c>
      <c r="P141" s="207">
        <f>H141-L141-N141</f>
        <v>36.290049999999994</v>
      </c>
      <c r="Q141" s="228">
        <f>ROUND(P141*I141,2)</f>
        <v>10349.99</v>
      </c>
      <c r="R141" s="199"/>
      <c r="S141" s="200">
        <f>W141+Y141+AA141+AC141+AE141+AG141+AI141+AK141</f>
        <v>0</v>
      </c>
      <c r="T141" s="200">
        <f>ROUND(S141*I141,2)</f>
        <v>0</v>
      </c>
      <c r="U141" s="200">
        <f>H141-S141</f>
        <v>31.238</v>
      </c>
      <c r="V141" s="200">
        <f>ROUND(U141*I141,2)</f>
        <v>8909.14</v>
      </c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DD141" s="132" t="s">
        <v>1</v>
      </c>
      <c r="DE141" s="133" t="s">
        <v>40</v>
      </c>
      <c r="DG141" s="134">
        <f>DF141*H141</f>
        <v>0</v>
      </c>
      <c r="DH141" s="134">
        <v>0</v>
      </c>
      <c r="DI141" s="134">
        <f>DH141*H141</f>
        <v>0</v>
      </c>
      <c r="DJ141" s="134">
        <v>0</v>
      </c>
      <c r="DK141" s="135">
        <f>DJ141*H141</f>
        <v>0</v>
      </c>
      <c r="EI141" s="136" t="s">
        <v>95</v>
      </c>
      <c r="EK141" s="136" t="s">
        <v>284</v>
      </c>
      <c r="EL141" s="136" t="s">
        <v>83</v>
      </c>
      <c r="EP141" s="16" t="s">
        <v>282</v>
      </c>
      <c r="EV141" s="137">
        <f>IF(DE141="základní",J141,0)</f>
        <v>8909.14</v>
      </c>
      <c r="EW141" s="137">
        <f>IF(DE141="snížená",J141,0)</f>
        <v>0</v>
      </c>
      <c r="EX141" s="137">
        <f>IF(DE141="zákl. přenesená",J141,0)</f>
        <v>0</v>
      </c>
      <c r="EY141" s="137">
        <f>IF(DE141="sníž. přenesená",J141,0)</f>
        <v>0</v>
      </c>
      <c r="EZ141" s="137">
        <f>IF(DE141="nulová",J141,0)</f>
        <v>0</v>
      </c>
      <c r="FA141" s="16" t="s">
        <v>81</v>
      </c>
      <c r="FB141" s="137">
        <f>ROUND(I141*H141,2)</f>
        <v>8909.14</v>
      </c>
      <c r="FC141" s="16" t="s">
        <v>95</v>
      </c>
      <c r="FD141" s="136" t="s">
        <v>367</v>
      </c>
    </row>
    <row r="142" spans="2:160" s="1" customFormat="1" ht="39" x14ac:dyDescent="0.2">
      <c r="B142" s="31"/>
      <c r="D142" s="138" t="s">
        <v>289</v>
      </c>
      <c r="F142" s="139" t="s">
        <v>368</v>
      </c>
      <c r="I142" s="140"/>
      <c r="L142" s="31"/>
      <c r="N142" s="213"/>
      <c r="O142" s="214"/>
      <c r="Q142" s="229"/>
      <c r="DD142" s="141"/>
      <c r="DK142" s="50"/>
      <c r="EK142" s="16" t="s">
        <v>289</v>
      </c>
      <c r="EL142" s="16" t="s">
        <v>83</v>
      </c>
    </row>
    <row r="143" spans="2:160" s="1" customFormat="1" ht="39" x14ac:dyDescent="0.2">
      <c r="B143" s="31"/>
      <c r="D143" s="138" t="s">
        <v>299</v>
      </c>
      <c r="F143" s="142" t="s">
        <v>1090</v>
      </c>
      <c r="I143" s="140"/>
      <c r="L143" s="31"/>
      <c r="N143" s="213"/>
      <c r="O143" s="214"/>
      <c r="Q143" s="229"/>
      <c r="DD143" s="141"/>
      <c r="DK143" s="50"/>
      <c r="EK143" s="16" t="s">
        <v>299</v>
      </c>
      <c r="EL143" s="16" t="s">
        <v>83</v>
      </c>
    </row>
    <row r="144" spans="2:160" s="11" customFormat="1" ht="22.5" x14ac:dyDescent="0.2">
      <c r="B144" s="143"/>
      <c r="D144" s="138" t="s">
        <v>301</v>
      </c>
      <c r="E144" s="144" t="s">
        <v>1</v>
      </c>
      <c r="F144" s="145" t="s">
        <v>1091</v>
      </c>
      <c r="H144" s="144" t="s">
        <v>1</v>
      </c>
      <c r="I144" s="146"/>
      <c r="L144" s="143"/>
      <c r="N144" s="215"/>
      <c r="O144" s="216"/>
      <c r="Q144" s="230"/>
      <c r="DD144" s="147"/>
      <c r="DK144" s="148"/>
      <c r="EK144" s="144" t="s">
        <v>301</v>
      </c>
      <c r="EL144" s="144" t="s">
        <v>83</v>
      </c>
      <c r="EM144" s="11" t="s">
        <v>81</v>
      </c>
      <c r="EN144" s="11" t="s">
        <v>32</v>
      </c>
      <c r="EO144" s="11" t="s">
        <v>74</v>
      </c>
      <c r="EP144" s="144" t="s">
        <v>282</v>
      </c>
    </row>
    <row r="145" spans="2:160" s="12" customFormat="1" x14ac:dyDescent="0.2">
      <c r="B145" s="149"/>
      <c r="D145" s="138" t="s">
        <v>301</v>
      </c>
      <c r="E145" s="150" t="s">
        <v>1</v>
      </c>
      <c r="F145" s="151" t="s">
        <v>1238</v>
      </c>
      <c r="H145" s="152">
        <v>55.125</v>
      </c>
      <c r="I145" s="153"/>
      <c r="L145" s="149"/>
      <c r="N145" s="217">
        <f>29.34*1*(2.2-0.45)*0.9</f>
        <v>46.210500000000003</v>
      </c>
      <c r="O145" s="218" t="s">
        <v>3673</v>
      </c>
      <c r="Q145" s="231"/>
      <c r="DD145" s="154"/>
      <c r="DK145" s="155"/>
      <c r="EK145" s="150" t="s">
        <v>301</v>
      </c>
      <c r="EL145" s="150" t="s">
        <v>83</v>
      </c>
      <c r="EM145" s="12" t="s">
        <v>83</v>
      </c>
      <c r="EN145" s="12" t="s">
        <v>32</v>
      </c>
      <c r="EO145" s="12" t="s">
        <v>74</v>
      </c>
      <c r="EP145" s="150" t="s">
        <v>282</v>
      </c>
    </row>
    <row r="146" spans="2:160" s="11" customFormat="1" x14ac:dyDescent="0.2">
      <c r="B146" s="143"/>
      <c r="D146" s="138" t="s">
        <v>301</v>
      </c>
      <c r="E146" s="144" t="s">
        <v>1</v>
      </c>
      <c r="F146" s="145" t="s">
        <v>968</v>
      </c>
      <c r="H146" s="144" t="s">
        <v>1</v>
      </c>
      <c r="I146" s="146"/>
      <c r="L146" s="143"/>
      <c r="N146" s="215"/>
      <c r="O146" s="216"/>
      <c r="Q146" s="230"/>
      <c r="DD146" s="147"/>
      <c r="DK146" s="148"/>
      <c r="EK146" s="144" t="s">
        <v>301</v>
      </c>
      <c r="EL146" s="144" t="s">
        <v>83</v>
      </c>
      <c r="EM146" s="11" t="s">
        <v>81</v>
      </c>
      <c r="EN146" s="11" t="s">
        <v>32</v>
      </c>
      <c r="EO146" s="11" t="s">
        <v>74</v>
      </c>
      <c r="EP146" s="144" t="s">
        <v>282</v>
      </c>
    </row>
    <row r="147" spans="2:160" s="12" customFormat="1" x14ac:dyDescent="0.2">
      <c r="B147" s="149"/>
      <c r="D147" s="138" t="s">
        <v>301</v>
      </c>
      <c r="E147" s="150" t="s">
        <v>1</v>
      </c>
      <c r="F147" s="151" t="s">
        <v>1239</v>
      </c>
      <c r="H147" s="152">
        <v>7.35</v>
      </c>
      <c r="I147" s="153"/>
      <c r="L147" s="149"/>
      <c r="N147" s="217">
        <f>29.34*1*(2.2-0.1)*0.1</f>
        <v>6.1614000000000004</v>
      </c>
      <c r="O147" s="218" t="s">
        <v>3674</v>
      </c>
      <c r="Q147" s="231"/>
      <c r="DD147" s="154"/>
      <c r="DK147" s="155"/>
      <c r="EK147" s="150" t="s">
        <v>301</v>
      </c>
      <c r="EL147" s="150" t="s">
        <v>83</v>
      </c>
      <c r="EM147" s="12" t="s">
        <v>83</v>
      </c>
      <c r="EN147" s="12" t="s">
        <v>32</v>
      </c>
      <c r="EO147" s="12" t="s">
        <v>74</v>
      </c>
      <c r="EP147" s="150" t="s">
        <v>282</v>
      </c>
    </row>
    <row r="148" spans="2:160" s="14" customFormat="1" x14ac:dyDescent="0.2">
      <c r="B148" s="163"/>
      <c r="D148" s="138" t="s">
        <v>301</v>
      </c>
      <c r="E148" s="164" t="s">
        <v>1</v>
      </c>
      <c r="F148" s="165" t="s">
        <v>373</v>
      </c>
      <c r="H148" s="166">
        <v>62.475000000000001</v>
      </c>
      <c r="I148" s="167"/>
      <c r="L148" s="163"/>
      <c r="N148" s="221">
        <f>N145+N147</f>
        <v>52.371900000000004</v>
      </c>
      <c r="O148" s="222"/>
      <c r="Q148" s="233"/>
      <c r="DD148" s="168"/>
      <c r="DK148" s="169"/>
      <c r="EK148" s="164" t="s">
        <v>301</v>
      </c>
      <c r="EL148" s="164" t="s">
        <v>83</v>
      </c>
      <c r="EM148" s="14" t="s">
        <v>90</v>
      </c>
      <c r="EN148" s="14" t="s">
        <v>32</v>
      </c>
      <c r="EO148" s="14" t="s">
        <v>74</v>
      </c>
      <c r="EP148" s="164" t="s">
        <v>282</v>
      </c>
    </row>
    <row r="149" spans="2:160" s="12" customFormat="1" x14ac:dyDescent="0.2">
      <c r="B149" s="149"/>
      <c r="D149" s="138" t="s">
        <v>301</v>
      </c>
      <c r="E149" s="150" t="s">
        <v>1</v>
      </c>
      <c r="F149" s="151" t="s">
        <v>1240</v>
      </c>
      <c r="H149" s="152">
        <v>31.238</v>
      </c>
      <c r="I149" s="153"/>
      <c r="L149" s="149"/>
      <c r="N149" s="217">
        <f>N148*0.5</f>
        <v>26.185950000000002</v>
      </c>
      <c r="O149" s="218"/>
      <c r="Q149" s="231"/>
      <c r="DD149" s="154"/>
      <c r="DK149" s="155"/>
      <c r="EK149" s="150" t="s">
        <v>301</v>
      </c>
      <c r="EL149" s="150" t="s">
        <v>83</v>
      </c>
      <c r="EM149" s="12" t="s">
        <v>83</v>
      </c>
      <c r="EN149" s="12" t="s">
        <v>32</v>
      </c>
      <c r="EO149" s="12" t="s">
        <v>81</v>
      </c>
      <c r="EP149" s="150" t="s">
        <v>282</v>
      </c>
    </row>
    <row r="150" spans="2:160" s="12" customFormat="1" x14ac:dyDescent="0.2">
      <c r="B150" s="149"/>
      <c r="D150" s="138"/>
      <c r="E150" s="150"/>
      <c r="F150" s="151"/>
      <c r="H150" s="152"/>
      <c r="I150" s="153"/>
      <c r="L150" s="149"/>
      <c r="N150" s="310">
        <f>N149-H149</f>
        <v>-5.0520499999999977</v>
      </c>
      <c r="O150" s="218"/>
      <c r="Q150" s="231"/>
      <c r="DD150" s="154"/>
      <c r="DK150" s="155"/>
      <c r="EK150" s="150"/>
      <c r="EL150" s="150"/>
      <c r="EP150" s="150"/>
    </row>
    <row r="151" spans="2:160" s="1" customFormat="1" ht="24.2" customHeight="1" x14ac:dyDescent="0.2">
      <c r="B151" s="124"/>
      <c r="C151" s="125" t="s">
        <v>318</v>
      </c>
      <c r="D151" s="125" t="s">
        <v>284</v>
      </c>
      <c r="E151" s="126" t="s">
        <v>375</v>
      </c>
      <c r="F151" s="127" t="s">
        <v>376</v>
      </c>
      <c r="G151" s="128" t="s">
        <v>366</v>
      </c>
      <c r="H151" s="129">
        <v>31.238</v>
      </c>
      <c r="I151" s="130">
        <v>390.55963566140201</v>
      </c>
      <c r="J151" s="131">
        <f>ROUND(I151*H151,2)</f>
        <v>12200.3</v>
      </c>
      <c r="K151" s="127" t="s">
        <v>293</v>
      </c>
      <c r="L151" s="198">
        <f>S151</f>
        <v>0</v>
      </c>
      <c r="M151" s="206">
        <f>ROUND(L151*I151,2)</f>
        <v>0</v>
      </c>
      <c r="N151" s="211">
        <f>N141</f>
        <v>-5.0520499999999977</v>
      </c>
      <c r="O151" s="212">
        <f>ROUND(N151*I151,2)</f>
        <v>-1973.13</v>
      </c>
      <c r="P151" s="207">
        <f>H151-L151-N151</f>
        <v>36.290049999999994</v>
      </c>
      <c r="Q151" s="228">
        <f>ROUND(P151*I151,2)</f>
        <v>14173.43</v>
      </c>
      <c r="R151" s="199"/>
      <c r="S151" s="200">
        <f>W151+Y151+AA151+AC151+AE151+AG151+AI151+AK151</f>
        <v>0</v>
      </c>
      <c r="T151" s="200">
        <f>ROUND(S151*I151,2)</f>
        <v>0</v>
      </c>
      <c r="U151" s="200">
        <f>H151-S151</f>
        <v>31.238</v>
      </c>
      <c r="V151" s="200">
        <f>ROUND(U151*I151,2)</f>
        <v>12200.3</v>
      </c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DD151" s="132" t="s">
        <v>1</v>
      </c>
      <c r="DE151" s="133" t="s">
        <v>40</v>
      </c>
      <c r="DG151" s="134">
        <f>DF151*H151</f>
        <v>0</v>
      </c>
      <c r="DH151" s="134">
        <v>0</v>
      </c>
      <c r="DI151" s="134">
        <f>DH151*H151</f>
        <v>0</v>
      </c>
      <c r="DJ151" s="134">
        <v>0</v>
      </c>
      <c r="DK151" s="135">
        <f>DJ151*H151</f>
        <v>0</v>
      </c>
      <c r="EI151" s="136" t="s">
        <v>95</v>
      </c>
      <c r="EK151" s="136" t="s">
        <v>284</v>
      </c>
      <c r="EL151" s="136" t="s">
        <v>83</v>
      </c>
      <c r="EP151" s="16" t="s">
        <v>282</v>
      </c>
      <c r="EV151" s="137">
        <f>IF(DE151="základní",J151,0)</f>
        <v>12200.3</v>
      </c>
      <c r="EW151" s="137">
        <f>IF(DE151="snížená",J151,0)</f>
        <v>0</v>
      </c>
      <c r="EX151" s="137">
        <f>IF(DE151="zákl. přenesená",J151,0)</f>
        <v>0</v>
      </c>
      <c r="EY151" s="137">
        <f>IF(DE151="sníž. přenesená",J151,0)</f>
        <v>0</v>
      </c>
      <c r="EZ151" s="137">
        <f>IF(DE151="nulová",J151,0)</f>
        <v>0</v>
      </c>
      <c r="FA151" s="16" t="s">
        <v>81</v>
      </c>
      <c r="FB151" s="137">
        <f>ROUND(I151*H151,2)</f>
        <v>12200.3</v>
      </c>
      <c r="FC151" s="16" t="s">
        <v>95</v>
      </c>
      <c r="FD151" s="136" t="s">
        <v>377</v>
      </c>
    </row>
    <row r="152" spans="2:160" s="1" customFormat="1" ht="39" x14ac:dyDescent="0.2">
      <c r="B152" s="31"/>
      <c r="D152" s="138" t="s">
        <v>289</v>
      </c>
      <c r="F152" s="139" t="s">
        <v>378</v>
      </c>
      <c r="I152" s="140"/>
      <c r="L152" s="31"/>
      <c r="N152" s="213"/>
      <c r="O152" s="214"/>
      <c r="Q152" s="229"/>
      <c r="DD152" s="141"/>
      <c r="DK152" s="50"/>
      <c r="EK152" s="16" t="s">
        <v>289</v>
      </c>
      <c r="EL152" s="16" t="s">
        <v>83</v>
      </c>
    </row>
    <row r="153" spans="2:160" s="1" customFormat="1" ht="39" x14ac:dyDescent="0.2">
      <c r="B153" s="31"/>
      <c r="D153" s="138" t="s">
        <v>299</v>
      </c>
      <c r="F153" s="142" t="s">
        <v>1090</v>
      </c>
      <c r="I153" s="140"/>
      <c r="L153" s="31"/>
      <c r="N153" s="213"/>
      <c r="O153" s="214"/>
      <c r="Q153" s="229"/>
      <c r="DD153" s="141"/>
      <c r="DK153" s="50"/>
      <c r="EK153" s="16" t="s">
        <v>299</v>
      </c>
      <c r="EL153" s="16" t="s">
        <v>83</v>
      </c>
    </row>
    <row r="154" spans="2:160" s="1" customFormat="1" ht="24.2" customHeight="1" x14ac:dyDescent="0.2">
      <c r="B154" s="124"/>
      <c r="C154" s="125" t="s">
        <v>323</v>
      </c>
      <c r="D154" s="125" t="s">
        <v>284</v>
      </c>
      <c r="E154" s="126" t="s">
        <v>380</v>
      </c>
      <c r="F154" s="127" t="s">
        <v>381</v>
      </c>
      <c r="G154" s="128" t="s">
        <v>366</v>
      </c>
      <c r="H154" s="129">
        <v>12.494999999999999</v>
      </c>
      <c r="I154" s="130">
        <v>650.27058629099099</v>
      </c>
      <c r="J154" s="131">
        <f>ROUND(I154*H154,2)</f>
        <v>8125.13</v>
      </c>
      <c r="K154" s="127" t="s">
        <v>293</v>
      </c>
      <c r="L154" s="198">
        <f>S154</f>
        <v>0</v>
      </c>
      <c r="M154" s="206">
        <f>ROUND(L154*I154,2)</f>
        <v>0</v>
      </c>
      <c r="N154" s="211">
        <f>N158</f>
        <v>-2.0205999999999982</v>
      </c>
      <c r="O154" s="212">
        <f>ROUND(N154*I154,2)</f>
        <v>-1313.94</v>
      </c>
      <c r="P154" s="207">
        <f>H154-L154-N154</f>
        <v>14.515599999999997</v>
      </c>
      <c r="Q154" s="228">
        <f>ROUND(P154*I154,2)</f>
        <v>9439.07</v>
      </c>
      <c r="R154" s="199"/>
      <c r="S154" s="200">
        <f>W154+Y154+AA154+AC154+AE154+AG154+AI154+AK154</f>
        <v>0</v>
      </c>
      <c r="T154" s="200">
        <f>ROUND(S154*I154,2)</f>
        <v>0</v>
      </c>
      <c r="U154" s="200">
        <f>H154-S154</f>
        <v>12.494999999999999</v>
      </c>
      <c r="V154" s="200">
        <f>ROUND(U154*I154,2)</f>
        <v>8125.13</v>
      </c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DD154" s="132" t="s">
        <v>1</v>
      </c>
      <c r="DE154" s="133" t="s">
        <v>40</v>
      </c>
      <c r="DG154" s="134">
        <f>DF154*H154</f>
        <v>0</v>
      </c>
      <c r="DH154" s="134">
        <v>0</v>
      </c>
      <c r="DI154" s="134">
        <f>DH154*H154</f>
        <v>0</v>
      </c>
      <c r="DJ154" s="134">
        <v>0</v>
      </c>
      <c r="DK154" s="135">
        <f>DJ154*H154</f>
        <v>0</v>
      </c>
      <c r="EI154" s="136" t="s">
        <v>95</v>
      </c>
      <c r="EK154" s="136" t="s">
        <v>284</v>
      </c>
      <c r="EL154" s="136" t="s">
        <v>83</v>
      </c>
      <c r="EP154" s="16" t="s">
        <v>282</v>
      </c>
      <c r="EV154" s="137">
        <f>IF(DE154="základní",J154,0)</f>
        <v>8125.13</v>
      </c>
      <c r="EW154" s="137">
        <f>IF(DE154="snížená",J154,0)</f>
        <v>0</v>
      </c>
      <c r="EX154" s="137">
        <f>IF(DE154="zákl. přenesená",J154,0)</f>
        <v>0</v>
      </c>
      <c r="EY154" s="137">
        <f>IF(DE154="sníž. přenesená",J154,0)</f>
        <v>0</v>
      </c>
      <c r="EZ154" s="137">
        <f>IF(DE154="nulová",J154,0)</f>
        <v>0</v>
      </c>
      <c r="FA154" s="16" t="s">
        <v>81</v>
      </c>
      <c r="FB154" s="137">
        <f>ROUND(I154*H154,2)</f>
        <v>8125.13</v>
      </c>
      <c r="FC154" s="16" t="s">
        <v>95</v>
      </c>
      <c r="FD154" s="136" t="s">
        <v>382</v>
      </c>
    </row>
    <row r="155" spans="2:160" s="1" customFormat="1" ht="29.25" x14ac:dyDescent="0.2">
      <c r="B155" s="31"/>
      <c r="D155" s="138" t="s">
        <v>289</v>
      </c>
      <c r="F155" s="139" t="s">
        <v>383</v>
      </c>
      <c r="I155" s="140"/>
      <c r="L155" s="31"/>
      <c r="N155" s="213"/>
      <c r="O155" s="214"/>
      <c r="Q155" s="229"/>
      <c r="DD155" s="141"/>
      <c r="DK155" s="50"/>
      <c r="EK155" s="16" t="s">
        <v>289</v>
      </c>
      <c r="EL155" s="16" t="s">
        <v>83</v>
      </c>
    </row>
    <row r="156" spans="2:160" s="11" customFormat="1" x14ac:dyDescent="0.2">
      <c r="B156" s="143"/>
      <c r="D156" s="138" t="s">
        <v>301</v>
      </c>
      <c r="E156" s="144" t="s">
        <v>1</v>
      </c>
      <c r="F156" s="145" t="s">
        <v>384</v>
      </c>
      <c r="H156" s="144" t="s">
        <v>1</v>
      </c>
      <c r="I156" s="146"/>
      <c r="L156" s="143"/>
      <c r="N156" s="215"/>
      <c r="O156" s="216"/>
      <c r="Q156" s="230"/>
      <c r="DD156" s="147"/>
      <c r="DK156" s="148"/>
      <c r="EK156" s="144" t="s">
        <v>301</v>
      </c>
      <c r="EL156" s="144" t="s">
        <v>83</v>
      </c>
      <c r="EM156" s="11" t="s">
        <v>81</v>
      </c>
      <c r="EN156" s="11" t="s">
        <v>32</v>
      </c>
      <c r="EO156" s="11" t="s">
        <v>74</v>
      </c>
      <c r="EP156" s="144" t="s">
        <v>282</v>
      </c>
    </row>
    <row r="157" spans="2:160" s="12" customFormat="1" x14ac:dyDescent="0.2">
      <c r="B157" s="149"/>
      <c r="D157" s="138" t="s">
        <v>301</v>
      </c>
      <c r="E157" s="150" t="s">
        <v>1</v>
      </c>
      <c r="F157" s="151" t="s">
        <v>1241</v>
      </c>
      <c r="H157" s="152">
        <v>12.494999999999999</v>
      </c>
      <c r="I157" s="153"/>
      <c r="L157" s="149"/>
      <c r="N157" s="217">
        <f>(26.186+26.186)*0.2</f>
        <v>10.474400000000001</v>
      </c>
      <c r="O157" s="218" t="s">
        <v>3675</v>
      </c>
      <c r="Q157" s="231"/>
      <c r="DD157" s="154"/>
      <c r="DK157" s="155"/>
      <c r="EK157" s="150" t="s">
        <v>301</v>
      </c>
      <c r="EL157" s="150" t="s">
        <v>83</v>
      </c>
      <c r="EM157" s="12" t="s">
        <v>83</v>
      </c>
      <c r="EN157" s="12" t="s">
        <v>32</v>
      </c>
      <c r="EO157" s="12" t="s">
        <v>81</v>
      </c>
      <c r="EP157" s="150" t="s">
        <v>282</v>
      </c>
    </row>
    <row r="158" spans="2:160" s="12" customFormat="1" x14ac:dyDescent="0.2">
      <c r="B158" s="149"/>
      <c r="D158" s="138"/>
      <c r="E158" s="150"/>
      <c r="F158" s="151"/>
      <c r="H158" s="152"/>
      <c r="I158" s="153"/>
      <c r="L158" s="149"/>
      <c r="N158" s="310">
        <f>N157-H157</f>
        <v>-2.0205999999999982</v>
      </c>
      <c r="O158" s="218"/>
      <c r="Q158" s="231"/>
      <c r="DD158" s="154"/>
      <c r="DK158" s="155"/>
      <c r="EK158" s="150"/>
      <c r="EL158" s="150"/>
      <c r="EP158" s="150"/>
    </row>
    <row r="159" spans="2:160" s="1" customFormat="1" ht="14.45" customHeight="1" x14ac:dyDescent="0.2">
      <c r="B159" s="124"/>
      <c r="C159" s="125" t="s">
        <v>328</v>
      </c>
      <c r="D159" s="125" t="s">
        <v>284</v>
      </c>
      <c r="E159" s="126" t="s">
        <v>387</v>
      </c>
      <c r="F159" s="127" t="s">
        <v>388</v>
      </c>
      <c r="G159" s="128" t="s">
        <v>287</v>
      </c>
      <c r="H159" s="129">
        <v>154</v>
      </c>
      <c r="I159" s="130">
        <v>156.6895922457376</v>
      </c>
      <c r="J159" s="131">
        <f>ROUND(I159*H159,2)</f>
        <v>24130.2</v>
      </c>
      <c r="K159" s="127" t="s">
        <v>293</v>
      </c>
      <c r="L159" s="198">
        <f>S159</f>
        <v>0</v>
      </c>
      <c r="M159" s="206">
        <f>ROUND(L159*I159,2)</f>
        <v>0</v>
      </c>
      <c r="N159" s="211">
        <f>N163</f>
        <v>-24.903999999999996</v>
      </c>
      <c r="O159" s="212">
        <f>ROUND(N159*I159,2)</f>
        <v>-3902.2</v>
      </c>
      <c r="P159" s="207">
        <f>H159-L159-N159</f>
        <v>178.904</v>
      </c>
      <c r="Q159" s="228">
        <f>ROUND(P159*I159,2)</f>
        <v>28032.39</v>
      </c>
      <c r="R159" s="199"/>
      <c r="S159" s="200">
        <f>W159+Y159+AA159+AC159+AE159+AG159+AI159+AK159</f>
        <v>0</v>
      </c>
      <c r="T159" s="200">
        <f>ROUND(S159*I159,2)</f>
        <v>0</v>
      </c>
      <c r="U159" s="200">
        <f>H159-S159</f>
        <v>154</v>
      </c>
      <c r="V159" s="200">
        <f>ROUND(U159*I159,2)</f>
        <v>24130.2</v>
      </c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DD159" s="132" t="s">
        <v>1</v>
      </c>
      <c r="DE159" s="133" t="s">
        <v>40</v>
      </c>
      <c r="DG159" s="134">
        <f>DF159*H159</f>
        <v>0</v>
      </c>
      <c r="DH159" s="134">
        <v>5.9000000000000003E-4</v>
      </c>
      <c r="DI159" s="134">
        <f>DH159*H159</f>
        <v>9.086000000000001E-2</v>
      </c>
      <c r="DJ159" s="134">
        <v>0</v>
      </c>
      <c r="DK159" s="135">
        <f>DJ159*H159</f>
        <v>0</v>
      </c>
      <c r="EI159" s="136" t="s">
        <v>95</v>
      </c>
      <c r="EK159" s="136" t="s">
        <v>284</v>
      </c>
      <c r="EL159" s="136" t="s">
        <v>83</v>
      </c>
      <c r="EP159" s="16" t="s">
        <v>282</v>
      </c>
      <c r="EV159" s="137">
        <f>IF(DE159="základní",J159,0)</f>
        <v>24130.2</v>
      </c>
      <c r="EW159" s="137">
        <f>IF(DE159="snížená",J159,0)</f>
        <v>0</v>
      </c>
      <c r="EX159" s="137">
        <f>IF(DE159="zákl. přenesená",J159,0)</f>
        <v>0</v>
      </c>
      <c r="EY159" s="137">
        <f>IF(DE159="sníž. přenesená",J159,0)</f>
        <v>0</v>
      </c>
      <c r="EZ159" s="137">
        <f>IF(DE159="nulová",J159,0)</f>
        <v>0</v>
      </c>
      <c r="FA159" s="16" t="s">
        <v>81</v>
      </c>
      <c r="FB159" s="137">
        <f>ROUND(I159*H159,2)</f>
        <v>24130.2</v>
      </c>
      <c r="FC159" s="16" t="s">
        <v>95</v>
      </c>
      <c r="FD159" s="136" t="s">
        <v>389</v>
      </c>
    </row>
    <row r="160" spans="2:160" s="1" customFormat="1" ht="19.5" x14ac:dyDescent="0.2">
      <c r="B160" s="31"/>
      <c r="D160" s="138" t="s">
        <v>289</v>
      </c>
      <c r="F160" s="139" t="s">
        <v>390</v>
      </c>
      <c r="I160" s="140"/>
      <c r="L160" s="31"/>
      <c r="N160" s="213"/>
      <c r="O160" s="214"/>
      <c r="Q160" s="229"/>
      <c r="DD160" s="141"/>
      <c r="DK160" s="50"/>
      <c r="EK160" s="16" t="s">
        <v>289</v>
      </c>
      <c r="EL160" s="16" t="s">
        <v>83</v>
      </c>
    </row>
    <row r="161" spans="2:160" s="1" customFormat="1" ht="29.25" x14ac:dyDescent="0.2">
      <c r="B161" s="31"/>
      <c r="D161" s="138" t="s">
        <v>299</v>
      </c>
      <c r="F161" s="142" t="s">
        <v>1083</v>
      </c>
      <c r="I161" s="140"/>
      <c r="L161" s="31"/>
      <c r="N161" s="213"/>
      <c r="O161" s="214"/>
      <c r="Q161" s="229"/>
      <c r="DD161" s="141"/>
      <c r="DK161" s="50"/>
      <c r="EK161" s="16" t="s">
        <v>299</v>
      </c>
      <c r="EL161" s="16" t="s">
        <v>83</v>
      </c>
    </row>
    <row r="162" spans="2:160" s="12" customFormat="1" x14ac:dyDescent="0.2">
      <c r="B162" s="149"/>
      <c r="D162" s="138" t="s">
        <v>301</v>
      </c>
      <c r="E162" s="150" t="s">
        <v>1</v>
      </c>
      <c r="F162" s="151" t="s">
        <v>1242</v>
      </c>
      <c r="H162" s="152">
        <v>154</v>
      </c>
      <c r="I162" s="153"/>
      <c r="L162" s="149"/>
      <c r="N162" s="217">
        <f>29.34*2.2*2</f>
        <v>129.096</v>
      </c>
      <c r="O162" s="218" t="s">
        <v>3676</v>
      </c>
      <c r="Q162" s="231"/>
      <c r="DD162" s="154"/>
      <c r="DK162" s="155"/>
      <c r="EK162" s="150" t="s">
        <v>301</v>
      </c>
      <c r="EL162" s="150" t="s">
        <v>83</v>
      </c>
      <c r="EM162" s="12" t="s">
        <v>83</v>
      </c>
      <c r="EN162" s="12" t="s">
        <v>32</v>
      </c>
      <c r="EO162" s="12" t="s">
        <v>81</v>
      </c>
      <c r="EP162" s="150" t="s">
        <v>282</v>
      </c>
    </row>
    <row r="163" spans="2:160" s="12" customFormat="1" x14ac:dyDescent="0.2">
      <c r="B163" s="149"/>
      <c r="D163" s="138"/>
      <c r="E163" s="150"/>
      <c r="F163" s="151"/>
      <c r="H163" s="152"/>
      <c r="I163" s="153"/>
      <c r="L163" s="149"/>
      <c r="N163" s="310">
        <f>N162-H162</f>
        <v>-24.903999999999996</v>
      </c>
      <c r="O163" s="218"/>
      <c r="Q163" s="231"/>
      <c r="DD163" s="154"/>
      <c r="DK163" s="155"/>
      <c r="EK163" s="150"/>
      <c r="EL163" s="150"/>
      <c r="EP163" s="150"/>
    </row>
    <row r="164" spans="2:160" s="1" customFormat="1" ht="14.45" customHeight="1" x14ac:dyDescent="0.2">
      <c r="B164" s="124"/>
      <c r="C164" s="125" t="s">
        <v>335</v>
      </c>
      <c r="D164" s="125" t="s">
        <v>284</v>
      </c>
      <c r="E164" s="126" t="s">
        <v>393</v>
      </c>
      <c r="F164" s="127" t="s">
        <v>394</v>
      </c>
      <c r="G164" s="128" t="s">
        <v>287</v>
      </c>
      <c r="H164" s="129">
        <v>154</v>
      </c>
      <c r="I164" s="130">
        <v>103.33666316345877</v>
      </c>
      <c r="J164" s="131">
        <f>ROUND(I164*H164,2)</f>
        <v>15913.85</v>
      </c>
      <c r="K164" s="127" t="s">
        <v>293</v>
      </c>
      <c r="L164" s="198">
        <f>S164</f>
        <v>0</v>
      </c>
      <c r="M164" s="206">
        <f>ROUND(L164*I164,2)</f>
        <v>0</v>
      </c>
      <c r="N164" s="211">
        <f>N159</f>
        <v>-24.903999999999996</v>
      </c>
      <c r="O164" s="212">
        <f>ROUND(N164*I164,2)</f>
        <v>-2573.5</v>
      </c>
      <c r="P164" s="207">
        <f>H164-L164-N164</f>
        <v>178.904</v>
      </c>
      <c r="Q164" s="228">
        <f>ROUND(P164*I164,2)</f>
        <v>18487.34</v>
      </c>
      <c r="R164" s="199"/>
      <c r="S164" s="200">
        <f>W164+Y164+AA164+AC164+AE164+AG164+AI164+AK164</f>
        <v>0</v>
      </c>
      <c r="T164" s="200">
        <f>ROUND(S164*I164,2)</f>
        <v>0</v>
      </c>
      <c r="U164" s="200">
        <f>H164-S164</f>
        <v>154</v>
      </c>
      <c r="V164" s="200">
        <f>ROUND(U164*I164,2)</f>
        <v>15913.85</v>
      </c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DD164" s="132" t="s">
        <v>1</v>
      </c>
      <c r="DE164" s="133" t="s">
        <v>40</v>
      </c>
      <c r="DG164" s="134">
        <f>DF164*H164</f>
        <v>0</v>
      </c>
      <c r="DH164" s="134">
        <v>0</v>
      </c>
      <c r="DI164" s="134">
        <f>DH164*H164</f>
        <v>0</v>
      </c>
      <c r="DJ164" s="134">
        <v>0</v>
      </c>
      <c r="DK164" s="135">
        <f>DJ164*H164</f>
        <v>0</v>
      </c>
      <c r="EI164" s="136" t="s">
        <v>95</v>
      </c>
      <c r="EK164" s="136" t="s">
        <v>284</v>
      </c>
      <c r="EL164" s="136" t="s">
        <v>83</v>
      </c>
      <c r="EP164" s="16" t="s">
        <v>282</v>
      </c>
      <c r="EV164" s="137">
        <f>IF(DE164="základní",J164,0)</f>
        <v>15913.85</v>
      </c>
      <c r="EW164" s="137">
        <f>IF(DE164="snížená",J164,0)</f>
        <v>0</v>
      </c>
      <c r="EX164" s="137">
        <f>IF(DE164="zákl. přenesená",J164,0)</f>
        <v>0</v>
      </c>
      <c r="EY164" s="137">
        <f>IF(DE164="sníž. přenesená",J164,0)</f>
        <v>0</v>
      </c>
      <c r="EZ164" s="137">
        <f>IF(DE164="nulová",J164,0)</f>
        <v>0</v>
      </c>
      <c r="FA164" s="16" t="s">
        <v>81</v>
      </c>
      <c r="FB164" s="137">
        <f>ROUND(I164*H164,2)</f>
        <v>15913.85</v>
      </c>
      <c r="FC164" s="16" t="s">
        <v>95</v>
      </c>
      <c r="FD164" s="136" t="s">
        <v>395</v>
      </c>
    </row>
    <row r="165" spans="2:160" s="1" customFormat="1" ht="19.5" x14ac:dyDescent="0.2">
      <c r="B165" s="31"/>
      <c r="D165" s="138" t="s">
        <v>289</v>
      </c>
      <c r="F165" s="139" t="s">
        <v>396</v>
      </c>
      <c r="I165" s="140"/>
      <c r="L165" s="31"/>
      <c r="N165" s="213"/>
      <c r="O165" s="214"/>
      <c r="Q165" s="229"/>
      <c r="DD165" s="141"/>
      <c r="DK165" s="50"/>
      <c r="EK165" s="16" t="s">
        <v>289</v>
      </c>
      <c r="EL165" s="16" t="s">
        <v>83</v>
      </c>
    </row>
    <row r="166" spans="2:160" s="1" customFormat="1" ht="37.9" customHeight="1" x14ac:dyDescent="0.2">
      <c r="B166" s="124"/>
      <c r="C166" s="125" t="s">
        <v>341</v>
      </c>
      <c r="D166" s="125" t="s">
        <v>284</v>
      </c>
      <c r="E166" s="126" t="s">
        <v>398</v>
      </c>
      <c r="F166" s="127" t="s">
        <v>399</v>
      </c>
      <c r="G166" s="128" t="s">
        <v>366</v>
      </c>
      <c r="H166" s="129">
        <v>63.526000000000003</v>
      </c>
      <c r="I166" s="130">
        <v>262.06861194786097</v>
      </c>
      <c r="J166" s="131">
        <f>ROUND(I166*H166,2)</f>
        <v>16648.169999999998</v>
      </c>
      <c r="K166" s="127" t="s">
        <v>293</v>
      </c>
      <c r="L166" s="198">
        <f>S166</f>
        <v>0</v>
      </c>
      <c r="M166" s="206">
        <f>ROUND(L166*I166,2)</f>
        <v>0</v>
      </c>
      <c r="N166" s="211">
        <f>N173</f>
        <v>-10.273799999999994</v>
      </c>
      <c r="O166" s="212">
        <f>ROUND(N166*I166,2)</f>
        <v>-2692.44</v>
      </c>
      <c r="P166" s="207">
        <f>H166-L166-N166</f>
        <v>73.799800000000005</v>
      </c>
      <c r="Q166" s="228">
        <f>ROUND(P166*I166,2)</f>
        <v>19340.61</v>
      </c>
      <c r="R166" s="199"/>
      <c r="S166" s="200">
        <f>W166+Y166+AA166+AC166+AE166+AG166+AI166+AK166</f>
        <v>0</v>
      </c>
      <c r="T166" s="200">
        <f>ROUND(S166*I166,2)</f>
        <v>0</v>
      </c>
      <c r="U166" s="200">
        <f>H166-S166</f>
        <v>63.526000000000003</v>
      </c>
      <c r="V166" s="200">
        <f>ROUND(U166*I166,2)</f>
        <v>16648.169999999998</v>
      </c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DD166" s="132" t="s">
        <v>1</v>
      </c>
      <c r="DE166" s="133" t="s">
        <v>40</v>
      </c>
      <c r="DG166" s="134">
        <f>DF166*H166</f>
        <v>0</v>
      </c>
      <c r="DH166" s="134">
        <v>0</v>
      </c>
      <c r="DI166" s="134">
        <f>DH166*H166</f>
        <v>0</v>
      </c>
      <c r="DJ166" s="134">
        <v>0</v>
      </c>
      <c r="DK166" s="135">
        <f>DJ166*H166</f>
        <v>0</v>
      </c>
      <c r="EI166" s="136" t="s">
        <v>95</v>
      </c>
      <c r="EK166" s="136" t="s">
        <v>284</v>
      </c>
      <c r="EL166" s="136" t="s">
        <v>83</v>
      </c>
      <c r="EP166" s="16" t="s">
        <v>282</v>
      </c>
      <c r="EV166" s="137">
        <f>IF(DE166="základní",J166,0)</f>
        <v>16648.169999999998</v>
      </c>
      <c r="EW166" s="137">
        <f>IF(DE166="snížená",J166,0)</f>
        <v>0</v>
      </c>
      <c r="EX166" s="137">
        <f>IF(DE166="zákl. přenesená",J166,0)</f>
        <v>0</v>
      </c>
      <c r="EY166" s="137">
        <f>IF(DE166="sníž. přenesená",J166,0)</f>
        <v>0</v>
      </c>
      <c r="EZ166" s="137">
        <f>IF(DE166="nulová",J166,0)</f>
        <v>0</v>
      </c>
      <c r="FA166" s="16" t="s">
        <v>81</v>
      </c>
      <c r="FB166" s="137">
        <f>ROUND(I166*H166,2)</f>
        <v>16648.169999999998</v>
      </c>
      <c r="FC166" s="16" t="s">
        <v>95</v>
      </c>
      <c r="FD166" s="136" t="s">
        <v>400</v>
      </c>
    </row>
    <row r="167" spans="2:160" s="1" customFormat="1" ht="39" x14ac:dyDescent="0.2">
      <c r="B167" s="31"/>
      <c r="D167" s="138" t="s">
        <v>289</v>
      </c>
      <c r="F167" s="139" t="s">
        <v>401</v>
      </c>
      <c r="I167" s="140"/>
      <c r="L167" s="31"/>
      <c r="N167" s="213"/>
      <c r="O167" s="214"/>
      <c r="Q167" s="229"/>
      <c r="DD167" s="141"/>
      <c r="DK167" s="50"/>
      <c r="EK167" s="16" t="s">
        <v>289</v>
      </c>
      <c r="EL167" s="16" t="s">
        <v>83</v>
      </c>
    </row>
    <row r="168" spans="2:160" s="11" customFormat="1" x14ac:dyDescent="0.2">
      <c r="B168" s="143"/>
      <c r="D168" s="138" t="s">
        <v>301</v>
      </c>
      <c r="E168" s="144" t="s">
        <v>1</v>
      </c>
      <c r="F168" s="145" t="s">
        <v>402</v>
      </c>
      <c r="H168" s="144" t="s">
        <v>1</v>
      </c>
      <c r="I168" s="146"/>
      <c r="L168" s="143"/>
      <c r="N168" s="215"/>
      <c r="O168" s="216"/>
      <c r="Q168" s="230"/>
      <c r="DD168" s="147"/>
      <c r="DK168" s="148"/>
      <c r="EK168" s="144" t="s">
        <v>301</v>
      </c>
      <c r="EL168" s="144" t="s">
        <v>83</v>
      </c>
      <c r="EM168" s="11" t="s">
        <v>81</v>
      </c>
      <c r="EN168" s="11" t="s">
        <v>32</v>
      </c>
      <c r="EO168" s="11" t="s">
        <v>74</v>
      </c>
      <c r="EP168" s="144" t="s">
        <v>282</v>
      </c>
    </row>
    <row r="169" spans="2:160" s="12" customFormat="1" x14ac:dyDescent="0.2">
      <c r="B169" s="149"/>
      <c r="D169" s="138" t="s">
        <v>301</v>
      </c>
      <c r="E169" s="150" t="s">
        <v>1</v>
      </c>
      <c r="F169" s="151" t="s">
        <v>1243</v>
      </c>
      <c r="H169" s="152">
        <v>62.475999999999999</v>
      </c>
      <c r="I169" s="153"/>
      <c r="L169" s="149"/>
      <c r="N169" s="217">
        <f>26.186+26.186</f>
        <v>52.372</v>
      </c>
      <c r="O169" s="218" t="s">
        <v>3677</v>
      </c>
      <c r="Q169" s="231"/>
      <c r="DD169" s="154"/>
      <c r="DK169" s="155"/>
      <c r="EK169" s="150" t="s">
        <v>301</v>
      </c>
      <c r="EL169" s="150" t="s">
        <v>83</v>
      </c>
      <c r="EM169" s="12" t="s">
        <v>83</v>
      </c>
      <c r="EN169" s="12" t="s">
        <v>32</v>
      </c>
      <c r="EO169" s="12" t="s">
        <v>74</v>
      </c>
      <c r="EP169" s="150" t="s">
        <v>282</v>
      </c>
    </row>
    <row r="170" spans="2:160" s="11" customFormat="1" x14ac:dyDescent="0.2">
      <c r="B170" s="143"/>
      <c r="D170" s="138" t="s">
        <v>301</v>
      </c>
      <c r="E170" s="144" t="s">
        <v>1</v>
      </c>
      <c r="F170" s="145" t="s">
        <v>976</v>
      </c>
      <c r="H170" s="144" t="s">
        <v>1</v>
      </c>
      <c r="I170" s="146"/>
      <c r="L170" s="143"/>
      <c r="N170" s="215"/>
      <c r="O170" s="216"/>
      <c r="Q170" s="230"/>
      <c r="DD170" s="147"/>
      <c r="DK170" s="148"/>
      <c r="EK170" s="144" t="s">
        <v>301</v>
      </c>
      <c r="EL170" s="144" t="s">
        <v>83</v>
      </c>
      <c r="EM170" s="11" t="s">
        <v>81</v>
      </c>
      <c r="EN170" s="11" t="s">
        <v>32</v>
      </c>
      <c r="EO170" s="11" t="s">
        <v>74</v>
      </c>
      <c r="EP170" s="144" t="s">
        <v>282</v>
      </c>
    </row>
    <row r="171" spans="2:160" s="12" customFormat="1" x14ac:dyDescent="0.2">
      <c r="B171" s="149"/>
      <c r="D171" s="138" t="s">
        <v>301</v>
      </c>
      <c r="E171" s="150" t="s">
        <v>1</v>
      </c>
      <c r="F171" s="151" t="s">
        <v>1244</v>
      </c>
      <c r="H171" s="152">
        <v>1.05</v>
      </c>
      <c r="I171" s="153"/>
      <c r="L171" s="149"/>
      <c r="N171" s="217">
        <f>8.802*0.1</f>
        <v>0.88019999999999998</v>
      </c>
      <c r="O171" s="218" t="s">
        <v>3678</v>
      </c>
      <c r="Q171" s="231"/>
      <c r="DD171" s="154"/>
      <c r="DK171" s="155"/>
      <c r="EK171" s="150" t="s">
        <v>301</v>
      </c>
      <c r="EL171" s="150" t="s">
        <v>83</v>
      </c>
      <c r="EM171" s="12" t="s">
        <v>83</v>
      </c>
      <c r="EN171" s="12" t="s">
        <v>32</v>
      </c>
      <c r="EO171" s="12" t="s">
        <v>74</v>
      </c>
      <c r="EP171" s="150" t="s">
        <v>282</v>
      </c>
    </row>
    <row r="172" spans="2:160" s="13" customFormat="1" x14ac:dyDescent="0.2">
      <c r="B172" s="156"/>
      <c r="D172" s="138" t="s">
        <v>301</v>
      </c>
      <c r="E172" s="157" t="s">
        <v>1</v>
      </c>
      <c r="F172" s="158" t="s">
        <v>305</v>
      </c>
      <c r="H172" s="159">
        <v>63.525999999999996</v>
      </c>
      <c r="I172" s="160"/>
      <c r="L172" s="156"/>
      <c r="N172" s="219">
        <f>N169+N171</f>
        <v>53.252200000000002</v>
      </c>
      <c r="O172" s="220"/>
      <c r="Q172" s="232"/>
      <c r="DD172" s="161"/>
      <c r="DK172" s="162"/>
      <c r="EK172" s="157" t="s">
        <v>301</v>
      </c>
      <c r="EL172" s="157" t="s">
        <v>83</v>
      </c>
      <c r="EM172" s="13" t="s">
        <v>95</v>
      </c>
      <c r="EN172" s="13" t="s">
        <v>32</v>
      </c>
      <c r="EO172" s="13" t="s">
        <v>81</v>
      </c>
      <c r="EP172" s="157" t="s">
        <v>282</v>
      </c>
    </row>
    <row r="173" spans="2:160" s="13" customFormat="1" x14ac:dyDescent="0.2">
      <c r="B173" s="156"/>
      <c r="D173" s="138"/>
      <c r="E173" s="157"/>
      <c r="F173" s="158"/>
      <c r="H173" s="159"/>
      <c r="I173" s="160"/>
      <c r="L173" s="156"/>
      <c r="N173" s="311">
        <f>N172-H172</f>
        <v>-10.273799999999994</v>
      </c>
      <c r="O173" s="220"/>
      <c r="Q173" s="232"/>
      <c r="DD173" s="161"/>
      <c r="DK173" s="162"/>
      <c r="EK173" s="157"/>
      <c r="EL173" s="157"/>
      <c r="EP173" s="157"/>
    </row>
    <row r="174" spans="2:160" s="1" customFormat="1" ht="37.9" customHeight="1" x14ac:dyDescent="0.2">
      <c r="B174" s="124"/>
      <c r="C174" s="125" t="s">
        <v>348</v>
      </c>
      <c r="D174" s="125" t="s">
        <v>284</v>
      </c>
      <c r="E174" s="126" t="s">
        <v>978</v>
      </c>
      <c r="F174" s="127" t="s">
        <v>979</v>
      </c>
      <c r="G174" s="128" t="s">
        <v>366</v>
      </c>
      <c r="H174" s="129">
        <v>6.4749999999999996</v>
      </c>
      <c r="I174" s="130">
        <v>282.06861194786097</v>
      </c>
      <c r="J174" s="131">
        <f>ROUND(I174*H174,2)</f>
        <v>1826.39</v>
      </c>
      <c r="K174" s="127" t="s">
        <v>1</v>
      </c>
      <c r="L174" s="198">
        <f>S174</f>
        <v>0</v>
      </c>
      <c r="M174" s="206">
        <f>ROUND(L174*I174,2)</f>
        <v>0</v>
      </c>
      <c r="N174" s="211">
        <f>N183</f>
        <v>-1.0470999999999986</v>
      </c>
      <c r="O174" s="212">
        <f>ROUND(N174*I174,2)</f>
        <v>-295.35000000000002</v>
      </c>
      <c r="P174" s="207">
        <f>H174-L174-N174</f>
        <v>7.5220999999999982</v>
      </c>
      <c r="Q174" s="228">
        <f>ROUND(P174*I174,2)</f>
        <v>2121.75</v>
      </c>
      <c r="R174" s="199"/>
      <c r="S174" s="200">
        <f>W174+Y174+AA174+AC174+AE174+AG174+AI174+AK174</f>
        <v>0</v>
      </c>
      <c r="T174" s="200">
        <f>ROUND(S174*I174,2)</f>
        <v>0</v>
      </c>
      <c r="U174" s="200">
        <f>H174-S174</f>
        <v>6.4749999999999996</v>
      </c>
      <c r="V174" s="200">
        <f>ROUND(U174*I174,2)</f>
        <v>1826.39</v>
      </c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DD174" s="132" t="s">
        <v>1</v>
      </c>
      <c r="DE174" s="133" t="s">
        <v>40</v>
      </c>
      <c r="DG174" s="134">
        <f>DF174*H174</f>
        <v>0</v>
      </c>
      <c r="DH174" s="134">
        <v>0</v>
      </c>
      <c r="DI174" s="134">
        <f>DH174*H174</f>
        <v>0</v>
      </c>
      <c r="DJ174" s="134">
        <v>0</v>
      </c>
      <c r="DK174" s="135">
        <f>DJ174*H174</f>
        <v>0</v>
      </c>
      <c r="EI174" s="136" t="s">
        <v>95</v>
      </c>
      <c r="EK174" s="136" t="s">
        <v>284</v>
      </c>
      <c r="EL174" s="136" t="s">
        <v>83</v>
      </c>
      <c r="EP174" s="16" t="s">
        <v>282</v>
      </c>
      <c r="EV174" s="137">
        <f>IF(DE174="základní",J174,0)</f>
        <v>1826.39</v>
      </c>
      <c r="EW174" s="137">
        <f>IF(DE174="snížená",J174,0)</f>
        <v>0</v>
      </c>
      <c r="EX174" s="137">
        <f>IF(DE174="zákl. přenesená",J174,0)</f>
        <v>0</v>
      </c>
      <c r="EY174" s="137">
        <f>IF(DE174="sníž. přenesená",J174,0)</f>
        <v>0</v>
      </c>
      <c r="EZ174" s="137">
        <f>IF(DE174="nulová",J174,0)</f>
        <v>0</v>
      </c>
      <c r="FA174" s="16" t="s">
        <v>81</v>
      </c>
      <c r="FB174" s="137">
        <f>ROUND(I174*H174,2)</f>
        <v>1826.39</v>
      </c>
      <c r="FC174" s="16" t="s">
        <v>95</v>
      </c>
      <c r="FD174" s="136" t="s">
        <v>980</v>
      </c>
    </row>
    <row r="175" spans="2:160" s="1" customFormat="1" ht="39" x14ac:dyDescent="0.2">
      <c r="B175" s="31"/>
      <c r="D175" s="138" t="s">
        <v>289</v>
      </c>
      <c r="F175" s="139" t="s">
        <v>401</v>
      </c>
      <c r="I175" s="140"/>
      <c r="L175" s="31"/>
      <c r="N175" s="213"/>
      <c r="O175" s="214"/>
      <c r="Q175" s="229"/>
      <c r="DD175" s="141"/>
      <c r="DK175" s="50"/>
      <c r="EK175" s="16" t="s">
        <v>289</v>
      </c>
      <c r="EL175" s="16" t="s">
        <v>83</v>
      </c>
    </row>
    <row r="176" spans="2:160" s="1" customFormat="1" ht="37.9" customHeight="1" x14ac:dyDescent="0.2">
      <c r="B176" s="124"/>
      <c r="C176" s="125" t="s">
        <v>327</v>
      </c>
      <c r="D176" s="125" t="s">
        <v>284</v>
      </c>
      <c r="E176" s="126" t="s">
        <v>405</v>
      </c>
      <c r="F176" s="127" t="s">
        <v>406</v>
      </c>
      <c r="G176" s="128" t="s">
        <v>366</v>
      </c>
      <c r="H176" s="129">
        <v>317.63</v>
      </c>
      <c r="I176" s="130">
        <v>3.4208109177592001</v>
      </c>
      <c r="J176" s="131">
        <f>ROUND(I176*H176,2)</f>
        <v>1086.55</v>
      </c>
      <c r="K176" s="127" t="s">
        <v>293</v>
      </c>
      <c r="L176" s="198">
        <f>S176</f>
        <v>0</v>
      </c>
      <c r="M176" s="206">
        <f>ROUND(L176*I176,2)</f>
        <v>0</v>
      </c>
      <c r="N176" s="211">
        <f>N179</f>
        <v>-51.370000000000005</v>
      </c>
      <c r="O176" s="212">
        <f>ROUND(N176*I176,2)</f>
        <v>-175.73</v>
      </c>
      <c r="P176" s="207">
        <f>H176-L176-N176</f>
        <v>369</v>
      </c>
      <c r="Q176" s="228">
        <f>ROUND(P176*I176,2)</f>
        <v>1262.28</v>
      </c>
      <c r="R176" s="199"/>
      <c r="S176" s="200">
        <f>W176+Y176+AA176+AC176+AE176+AG176+AI176+AK176</f>
        <v>0</v>
      </c>
      <c r="T176" s="200">
        <f>ROUND(S176*I176,2)</f>
        <v>0</v>
      </c>
      <c r="U176" s="200">
        <f>H176-S176</f>
        <v>317.63</v>
      </c>
      <c r="V176" s="200">
        <f>ROUND(U176*I176,2)</f>
        <v>1086.55</v>
      </c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DD176" s="132" t="s">
        <v>1</v>
      </c>
      <c r="DE176" s="133" t="s">
        <v>40</v>
      </c>
      <c r="DG176" s="134">
        <f>DF176*H176</f>
        <v>0</v>
      </c>
      <c r="DH176" s="134">
        <v>0</v>
      </c>
      <c r="DI176" s="134">
        <f>DH176*H176</f>
        <v>0</v>
      </c>
      <c r="DJ176" s="134">
        <v>0</v>
      </c>
      <c r="DK176" s="135">
        <f>DJ176*H176</f>
        <v>0</v>
      </c>
      <c r="EI176" s="136" t="s">
        <v>95</v>
      </c>
      <c r="EK176" s="136" t="s">
        <v>284</v>
      </c>
      <c r="EL176" s="136" t="s">
        <v>83</v>
      </c>
      <c r="EP176" s="16" t="s">
        <v>282</v>
      </c>
      <c r="EV176" s="137">
        <f>IF(DE176="základní",J176,0)</f>
        <v>1086.55</v>
      </c>
      <c r="EW176" s="137">
        <f>IF(DE176="snížená",J176,0)</f>
        <v>0</v>
      </c>
      <c r="EX176" s="137">
        <f>IF(DE176="zákl. přenesená",J176,0)</f>
        <v>0</v>
      </c>
      <c r="EY176" s="137">
        <f>IF(DE176="sníž. přenesená",J176,0)</f>
        <v>0</v>
      </c>
      <c r="EZ176" s="137">
        <f>IF(DE176="nulová",J176,0)</f>
        <v>0</v>
      </c>
      <c r="FA176" s="16" t="s">
        <v>81</v>
      </c>
      <c r="FB176" s="137">
        <f>ROUND(I176*H176,2)</f>
        <v>1086.55</v>
      </c>
      <c r="FC176" s="16" t="s">
        <v>95</v>
      </c>
      <c r="FD176" s="136" t="s">
        <v>407</v>
      </c>
    </row>
    <row r="177" spans="2:160" s="1" customFormat="1" ht="48.75" x14ac:dyDescent="0.2">
      <c r="B177" s="31"/>
      <c r="D177" s="138" t="s">
        <v>289</v>
      </c>
      <c r="F177" s="139" t="s">
        <v>408</v>
      </c>
      <c r="I177" s="140"/>
      <c r="L177" s="31"/>
      <c r="N177" s="213"/>
      <c r="O177" s="214"/>
      <c r="Q177" s="229"/>
      <c r="DD177" s="141"/>
      <c r="DK177" s="50"/>
      <c r="EK177" s="16" t="s">
        <v>289</v>
      </c>
      <c r="EL177" s="16" t="s">
        <v>83</v>
      </c>
    </row>
    <row r="178" spans="2:160" s="12" customFormat="1" x14ac:dyDescent="0.2">
      <c r="B178" s="149"/>
      <c r="D178" s="138" t="s">
        <v>301</v>
      </c>
      <c r="F178" s="151" t="s">
        <v>1245</v>
      </c>
      <c r="H178" s="152">
        <v>317.63</v>
      </c>
      <c r="I178" s="153"/>
      <c r="L178" s="149"/>
      <c r="N178" s="217">
        <f>53.252*5</f>
        <v>266.26</v>
      </c>
      <c r="O178" s="218" t="s">
        <v>3679</v>
      </c>
      <c r="Q178" s="231"/>
      <c r="DD178" s="154"/>
      <c r="DK178" s="155"/>
      <c r="EK178" s="150" t="s">
        <v>301</v>
      </c>
      <c r="EL178" s="150" t="s">
        <v>83</v>
      </c>
      <c r="EM178" s="12" t="s">
        <v>83</v>
      </c>
      <c r="EN178" s="12" t="s">
        <v>3</v>
      </c>
      <c r="EO178" s="12" t="s">
        <v>81</v>
      </c>
      <c r="EP178" s="150" t="s">
        <v>282</v>
      </c>
    </row>
    <row r="179" spans="2:160" s="12" customFormat="1" x14ac:dyDescent="0.2">
      <c r="B179" s="149"/>
      <c r="D179" s="138"/>
      <c r="F179" s="151"/>
      <c r="H179" s="152"/>
      <c r="I179" s="153"/>
      <c r="L179" s="149"/>
      <c r="N179" s="310">
        <f>N178-H178</f>
        <v>-51.370000000000005</v>
      </c>
      <c r="O179" s="218"/>
      <c r="Q179" s="231"/>
      <c r="DD179" s="154"/>
      <c r="DK179" s="155"/>
      <c r="EK179" s="150"/>
      <c r="EL179" s="150"/>
      <c r="EP179" s="150"/>
    </row>
    <row r="180" spans="2:160" s="1" customFormat="1" ht="37.9" customHeight="1" x14ac:dyDescent="0.2">
      <c r="B180" s="124"/>
      <c r="C180" s="125" t="s">
        <v>359</v>
      </c>
      <c r="D180" s="125" t="s">
        <v>284</v>
      </c>
      <c r="E180" s="126" t="s">
        <v>982</v>
      </c>
      <c r="F180" s="127" t="s">
        <v>983</v>
      </c>
      <c r="G180" s="128" t="s">
        <v>366</v>
      </c>
      <c r="H180" s="129">
        <v>32.375</v>
      </c>
      <c r="I180" s="130">
        <v>3.4208109177592001</v>
      </c>
      <c r="J180" s="131">
        <f>ROUND(I180*H180,2)</f>
        <v>110.75</v>
      </c>
      <c r="K180" s="127" t="s">
        <v>1</v>
      </c>
      <c r="L180" s="198">
        <f>S180</f>
        <v>0</v>
      </c>
      <c r="M180" s="206">
        <f>ROUND(L180*I180,2)</f>
        <v>0</v>
      </c>
      <c r="N180" s="211">
        <f>N182</f>
        <v>-5.2349999999999994</v>
      </c>
      <c r="O180" s="212">
        <f>ROUND(N180*I180,2)</f>
        <v>-17.91</v>
      </c>
      <c r="P180" s="207">
        <f>H180-L180-N180</f>
        <v>37.61</v>
      </c>
      <c r="Q180" s="228">
        <f>ROUND(P180*I180,2)</f>
        <v>128.66</v>
      </c>
      <c r="R180" s="199"/>
      <c r="S180" s="200">
        <f>W180+Y180+AA180+AC180+AE180+AG180+AI180+AK180</f>
        <v>0</v>
      </c>
      <c r="T180" s="200">
        <f>ROUND(S180*I180,2)</f>
        <v>0</v>
      </c>
      <c r="U180" s="200">
        <f>H180-S180</f>
        <v>32.375</v>
      </c>
      <c r="V180" s="200">
        <f>ROUND(U180*I180,2)</f>
        <v>110.75</v>
      </c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DD180" s="132" t="s">
        <v>1</v>
      </c>
      <c r="DE180" s="133" t="s">
        <v>40</v>
      </c>
      <c r="DG180" s="134">
        <f>DF180*H180</f>
        <v>0</v>
      </c>
      <c r="DH180" s="134">
        <v>0</v>
      </c>
      <c r="DI180" s="134">
        <f>DH180*H180</f>
        <v>0</v>
      </c>
      <c r="DJ180" s="134">
        <v>0</v>
      </c>
      <c r="DK180" s="135">
        <f>DJ180*H180</f>
        <v>0</v>
      </c>
      <c r="EI180" s="136" t="s">
        <v>95</v>
      </c>
      <c r="EK180" s="136" t="s">
        <v>284</v>
      </c>
      <c r="EL180" s="136" t="s">
        <v>83</v>
      </c>
      <c r="EP180" s="16" t="s">
        <v>282</v>
      </c>
      <c r="EV180" s="137">
        <f>IF(DE180="základní",J180,0)</f>
        <v>110.75</v>
      </c>
      <c r="EW180" s="137">
        <f>IF(DE180="snížená",J180,0)</f>
        <v>0</v>
      </c>
      <c r="EX180" s="137">
        <f>IF(DE180="zákl. přenesená",J180,0)</f>
        <v>0</v>
      </c>
      <c r="EY180" s="137">
        <f>IF(DE180="sníž. přenesená",J180,0)</f>
        <v>0</v>
      </c>
      <c r="EZ180" s="137">
        <f>IF(DE180="nulová",J180,0)</f>
        <v>0</v>
      </c>
      <c r="FA180" s="16" t="s">
        <v>81</v>
      </c>
      <c r="FB180" s="137">
        <f>ROUND(I180*H180,2)</f>
        <v>110.75</v>
      </c>
      <c r="FC180" s="16" t="s">
        <v>95</v>
      </c>
      <c r="FD180" s="136" t="s">
        <v>984</v>
      </c>
    </row>
    <row r="181" spans="2:160" s="1" customFormat="1" ht="48.75" x14ac:dyDescent="0.2">
      <c r="B181" s="31"/>
      <c r="D181" s="138" t="s">
        <v>289</v>
      </c>
      <c r="F181" s="139" t="s">
        <v>408</v>
      </c>
      <c r="I181" s="140"/>
      <c r="L181" s="31"/>
      <c r="N181" s="213"/>
      <c r="O181" s="214"/>
      <c r="Q181" s="229"/>
      <c r="DD181" s="141"/>
      <c r="DK181" s="50"/>
      <c r="EK181" s="16" t="s">
        <v>289</v>
      </c>
      <c r="EL181" s="16" t="s">
        <v>83</v>
      </c>
    </row>
    <row r="182" spans="2:160" s="12" customFormat="1" x14ac:dyDescent="0.2">
      <c r="B182" s="149"/>
      <c r="D182" s="138" t="s">
        <v>301</v>
      </c>
      <c r="F182" s="151" t="s">
        <v>1246</v>
      </c>
      <c r="H182" s="152">
        <v>32.375</v>
      </c>
      <c r="I182" s="153"/>
      <c r="L182" s="149"/>
      <c r="N182" s="217">
        <f>-1.047*5</f>
        <v>-5.2349999999999994</v>
      </c>
      <c r="O182" s="218" t="s">
        <v>3681</v>
      </c>
      <c r="Q182" s="231"/>
      <c r="DD182" s="154"/>
      <c r="DK182" s="155"/>
      <c r="EK182" s="150" t="s">
        <v>301</v>
      </c>
      <c r="EL182" s="150" t="s">
        <v>83</v>
      </c>
      <c r="EM182" s="12" t="s">
        <v>83</v>
      </c>
      <c r="EN182" s="12" t="s">
        <v>3</v>
      </c>
      <c r="EO182" s="12" t="s">
        <v>81</v>
      </c>
      <c r="EP182" s="150" t="s">
        <v>282</v>
      </c>
    </row>
    <row r="183" spans="2:160" s="1" customFormat="1" ht="24.2" customHeight="1" x14ac:dyDescent="0.2">
      <c r="B183" s="124"/>
      <c r="C183" s="125" t="s">
        <v>363</v>
      </c>
      <c r="D183" s="125" t="s">
        <v>284</v>
      </c>
      <c r="E183" s="126" t="s">
        <v>986</v>
      </c>
      <c r="F183" s="127" t="s">
        <v>987</v>
      </c>
      <c r="G183" s="128" t="s">
        <v>366</v>
      </c>
      <c r="H183" s="129">
        <v>6.4749999999999996</v>
      </c>
      <c r="I183" s="130">
        <v>43.080493951075745</v>
      </c>
      <c r="J183" s="131">
        <f>ROUND(I183*H183,2)</f>
        <v>278.95</v>
      </c>
      <c r="K183" s="127" t="s">
        <v>293</v>
      </c>
      <c r="L183" s="198">
        <f>S183</f>
        <v>0</v>
      </c>
      <c r="M183" s="206">
        <f>ROUND(L183*I183,2)</f>
        <v>0</v>
      </c>
      <c r="N183" s="211">
        <f>N192</f>
        <v>-1.0470999999999986</v>
      </c>
      <c r="O183" s="212">
        <f>ROUND(N183*I183,2)</f>
        <v>-45.11</v>
      </c>
      <c r="P183" s="207">
        <f>H183-L183-N183</f>
        <v>7.5220999999999982</v>
      </c>
      <c r="Q183" s="228">
        <f>ROUND(P183*I183,2)</f>
        <v>324.06</v>
      </c>
      <c r="R183" s="199"/>
      <c r="S183" s="200">
        <f>W183+Y183+AA183+AC183+AE183+AG183+AI183+AK183</f>
        <v>0</v>
      </c>
      <c r="T183" s="200">
        <f>ROUND(S183*I183,2)</f>
        <v>0</v>
      </c>
      <c r="U183" s="200">
        <f>H183-S183</f>
        <v>6.4749999999999996</v>
      </c>
      <c r="V183" s="200">
        <f>ROUND(U183*I183,2)</f>
        <v>278.95</v>
      </c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DD183" s="132" t="s">
        <v>1</v>
      </c>
      <c r="DE183" s="133" t="s">
        <v>40</v>
      </c>
      <c r="DG183" s="134">
        <f>DF183*H183</f>
        <v>0</v>
      </c>
      <c r="DH183" s="134">
        <v>0</v>
      </c>
      <c r="DI183" s="134">
        <f>DH183*H183</f>
        <v>0</v>
      </c>
      <c r="DJ183" s="134">
        <v>0</v>
      </c>
      <c r="DK183" s="135">
        <f>DJ183*H183</f>
        <v>0</v>
      </c>
      <c r="EI183" s="136" t="s">
        <v>95</v>
      </c>
      <c r="EK183" s="136" t="s">
        <v>284</v>
      </c>
      <c r="EL183" s="136" t="s">
        <v>83</v>
      </c>
      <c r="EP183" s="16" t="s">
        <v>282</v>
      </c>
      <c r="EV183" s="137">
        <f>IF(DE183="základní",J183,0)</f>
        <v>278.95</v>
      </c>
      <c r="EW183" s="137">
        <f>IF(DE183="snížená",J183,0)</f>
        <v>0</v>
      </c>
      <c r="EX183" s="137">
        <f>IF(DE183="zákl. přenesená",J183,0)</f>
        <v>0</v>
      </c>
      <c r="EY183" s="137">
        <f>IF(DE183="sníž. přenesená",J183,0)</f>
        <v>0</v>
      </c>
      <c r="EZ183" s="137">
        <f>IF(DE183="nulová",J183,0)</f>
        <v>0</v>
      </c>
      <c r="FA183" s="16" t="s">
        <v>81</v>
      </c>
      <c r="FB183" s="137">
        <f>ROUND(I183*H183,2)</f>
        <v>278.95</v>
      </c>
      <c r="FC183" s="16" t="s">
        <v>95</v>
      </c>
      <c r="FD183" s="136" t="s">
        <v>988</v>
      </c>
    </row>
    <row r="184" spans="2:160" s="1" customFormat="1" ht="29.25" x14ac:dyDescent="0.2">
      <c r="B184" s="31"/>
      <c r="D184" s="138" t="s">
        <v>289</v>
      </c>
      <c r="F184" s="139" t="s">
        <v>989</v>
      </c>
      <c r="I184" s="140"/>
      <c r="L184" s="31"/>
      <c r="N184" s="213"/>
      <c r="O184" s="214"/>
      <c r="Q184" s="229"/>
      <c r="DD184" s="141"/>
      <c r="DK184" s="50"/>
      <c r="EK184" s="16" t="s">
        <v>289</v>
      </c>
      <c r="EL184" s="16" t="s">
        <v>83</v>
      </c>
    </row>
    <row r="185" spans="2:160" s="11" customFormat="1" x14ac:dyDescent="0.2">
      <c r="B185" s="143"/>
      <c r="D185" s="138" t="s">
        <v>301</v>
      </c>
      <c r="E185" s="144" t="s">
        <v>1</v>
      </c>
      <c r="F185" s="145" t="s">
        <v>976</v>
      </c>
      <c r="H185" s="144" t="s">
        <v>1</v>
      </c>
      <c r="I185" s="146"/>
      <c r="L185" s="143"/>
      <c r="N185" s="215"/>
      <c r="O185" s="216"/>
      <c r="Q185" s="230"/>
      <c r="DD185" s="147"/>
      <c r="DK185" s="148"/>
      <c r="EK185" s="144" t="s">
        <v>301</v>
      </c>
      <c r="EL185" s="144" t="s">
        <v>83</v>
      </c>
      <c r="EM185" s="11" t="s">
        <v>81</v>
      </c>
      <c r="EN185" s="11" t="s">
        <v>32</v>
      </c>
      <c r="EO185" s="11" t="s">
        <v>74</v>
      </c>
      <c r="EP185" s="144" t="s">
        <v>282</v>
      </c>
    </row>
    <row r="186" spans="2:160" s="12" customFormat="1" x14ac:dyDescent="0.2">
      <c r="B186" s="149"/>
      <c r="D186" s="138" t="s">
        <v>301</v>
      </c>
      <c r="E186" s="150" t="s">
        <v>1</v>
      </c>
      <c r="F186" s="151" t="s">
        <v>1244</v>
      </c>
      <c r="H186" s="152">
        <v>1.05</v>
      </c>
      <c r="I186" s="153"/>
      <c r="L186" s="149"/>
      <c r="N186" s="217">
        <f>8.802*0.1</f>
        <v>0.88019999999999998</v>
      </c>
      <c r="O186" s="218" t="s">
        <v>3678</v>
      </c>
      <c r="Q186" s="231"/>
      <c r="DD186" s="154"/>
      <c r="DK186" s="155"/>
      <c r="EK186" s="150" t="s">
        <v>301</v>
      </c>
      <c r="EL186" s="150" t="s">
        <v>83</v>
      </c>
      <c r="EM186" s="12" t="s">
        <v>83</v>
      </c>
      <c r="EN186" s="12" t="s">
        <v>32</v>
      </c>
      <c r="EO186" s="12" t="s">
        <v>74</v>
      </c>
      <c r="EP186" s="150" t="s">
        <v>282</v>
      </c>
    </row>
    <row r="187" spans="2:160" s="14" customFormat="1" x14ac:dyDescent="0.2">
      <c r="B187" s="163"/>
      <c r="D187" s="138" t="s">
        <v>301</v>
      </c>
      <c r="E187" s="164" t="s">
        <v>1</v>
      </c>
      <c r="F187" s="165" t="s">
        <v>373</v>
      </c>
      <c r="H187" s="166">
        <v>1.05</v>
      </c>
      <c r="I187" s="167"/>
      <c r="L187" s="163"/>
      <c r="N187" s="221">
        <f>N186</f>
        <v>0.88019999999999998</v>
      </c>
      <c r="O187" s="222"/>
      <c r="Q187" s="233"/>
      <c r="DD187" s="168"/>
      <c r="DK187" s="169"/>
      <c r="EK187" s="164" t="s">
        <v>301</v>
      </c>
      <c r="EL187" s="164" t="s">
        <v>83</v>
      </c>
      <c r="EM187" s="14" t="s">
        <v>90</v>
      </c>
      <c r="EN187" s="14" t="s">
        <v>32</v>
      </c>
      <c r="EO187" s="14" t="s">
        <v>74</v>
      </c>
      <c r="EP187" s="164" t="s">
        <v>282</v>
      </c>
    </row>
    <row r="188" spans="2:160" s="11" customFormat="1" x14ac:dyDescent="0.2">
      <c r="B188" s="143"/>
      <c r="D188" s="138" t="s">
        <v>301</v>
      </c>
      <c r="E188" s="144" t="s">
        <v>1</v>
      </c>
      <c r="F188" s="145" t="s">
        <v>1102</v>
      </c>
      <c r="H188" s="144" t="s">
        <v>1</v>
      </c>
      <c r="I188" s="146"/>
      <c r="L188" s="143"/>
      <c r="N188" s="215"/>
      <c r="O188" s="216"/>
      <c r="Q188" s="230"/>
      <c r="DD188" s="147"/>
      <c r="DK188" s="148"/>
      <c r="EK188" s="144" t="s">
        <v>301</v>
      </c>
      <c r="EL188" s="144" t="s">
        <v>83</v>
      </c>
      <c r="EM188" s="11" t="s">
        <v>81</v>
      </c>
      <c r="EN188" s="11" t="s">
        <v>32</v>
      </c>
      <c r="EO188" s="11" t="s">
        <v>74</v>
      </c>
      <c r="EP188" s="144" t="s">
        <v>282</v>
      </c>
    </row>
    <row r="189" spans="2:160" s="12" customFormat="1" x14ac:dyDescent="0.2">
      <c r="B189" s="149"/>
      <c r="D189" s="138" t="s">
        <v>301</v>
      </c>
      <c r="E189" s="150" t="s">
        <v>1</v>
      </c>
      <c r="F189" s="151" t="s">
        <v>1247</v>
      </c>
      <c r="H189" s="152">
        <v>5.4249999999999998</v>
      </c>
      <c r="I189" s="153"/>
      <c r="L189" s="149"/>
      <c r="N189" s="217">
        <f>29.34*1*(2.2-0.1-0.45-0.1)*0.1</f>
        <v>4.5477000000000007</v>
      </c>
      <c r="O189" s="218" t="s">
        <v>3680</v>
      </c>
      <c r="Q189" s="231"/>
      <c r="DD189" s="154"/>
      <c r="DK189" s="155"/>
      <c r="EK189" s="150" t="s">
        <v>301</v>
      </c>
      <c r="EL189" s="150" t="s">
        <v>83</v>
      </c>
      <c r="EM189" s="12" t="s">
        <v>83</v>
      </c>
      <c r="EN189" s="12" t="s">
        <v>32</v>
      </c>
      <c r="EO189" s="12" t="s">
        <v>74</v>
      </c>
      <c r="EP189" s="150" t="s">
        <v>282</v>
      </c>
    </row>
    <row r="190" spans="2:160" s="14" customFormat="1" x14ac:dyDescent="0.2">
      <c r="B190" s="163"/>
      <c r="D190" s="138" t="s">
        <v>301</v>
      </c>
      <c r="E190" s="164" t="s">
        <v>1</v>
      </c>
      <c r="F190" s="165" t="s">
        <v>373</v>
      </c>
      <c r="H190" s="166">
        <v>5.4249999999999998</v>
      </c>
      <c r="I190" s="167"/>
      <c r="L190" s="163"/>
      <c r="N190" s="221">
        <f>N189</f>
        <v>4.5477000000000007</v>
      </c>
      <c r="O190" s="222"/>
      <c r="Q190" s="233"/>
      <c r="DD190" s="168"/>
      <c r="DK190" s="169"/>
      <c r="EK190" s="164" t="s">
        <v>301</v>
      </c>
      <c r="EL190" s="164" t="s">
        <v>83</v>
      </c>
      <c r="EM190" s="14" t="s">
        <v>90</v>
      </c>
      <c r="EN190" s="14" t="s">
        <v>32</v>
      </c>
      <c r="EO190" s="14" t="s">
        <v>74</v>
      </c>
      <c r="EP190" s="164" t="s">
        <v>282</v>
      </c>
    </row>
    <row r="191" spans="2:160" s="13" customFormat="1" x14ac:dyDescent="0.2">
      <c r="B191" s="156"/>
      <c r="D191" s="138" t="s">
        <v>301</v>
      </c>
      <c r="E191" s="157" t="s">
        <v>1</v>
      </c>
      <c r="F191" s="158" t="s">
        <v>305</v>
      </c>
      <c r="H191" s="159">
        <v>6.4749999999999996</v>
      </c>
      <c r="I191" s="160"/>
      <c r="L191" s="156"/>
      <c r="N191" s="219">
        <f>N187+N190</f>
        <v>5.4279000000000011</v>
      </c>
      <c r="O191" s="220"/>
      <c r="Q191" s="232"/>
      <c r="DD191" s="161"/>
      <c r="DK191" s="162"/>
      <c r="EK191" s="157" t="s">
        <v>301</v>
      </c>
      <c r="EL191" s="157" t="s">
        <v>83</v>
      </c>
      <c r="EM191" s="13" t="s">
        <v>95</v>
      </c>
      <c r="EN191" s="13" t="s">
        <v>32</v>
      </c>
      <c r="EO191" s="13" t="s">
        <v>81</v>
      </c>
      <c r="EP191" s="157" t="s">
        <v>282</v>
      </c>
    </row>
    <row r="192" spans="2:160" s="13" customFormat="1" x14ac:dyDescent="0.2">
      <c r="B192" s="156"/>
      <c r="D192" s="138"/>
      <c r="E192" s="157"/>
      <c r="F192" s="158"/>
      <c r="H192" s="159"/>
      <c r="I192" s="160"/>
      <c r="L192" s="156"/>
      <c r="N192" s="311">
        <f>N191-H191</f>
        <v>-1.0470999999999986</v>
      </c>
      <c r="O192" s="220"/>
      <c r="Q192" s="232"/>
      <c r="DD192" s="161"/>
      <c r="DK192" s="162"/>
      <c r="EK192" s="157"/>
      <c r="EL192" s="157"/>
      <c r="EP192" s="157"/>
    </row>
    <row r="193" spans="2:160" s="1" customFormat="1" ht="24.2" customHeight="1" x14ac:dyDescent="0.2">
      <c r="B193" s="124"/>
      <c r="C193" s="125" t="s">
        <v>8</v>
      </c>
      <c r="D193" s="125" t="s">
        <v>284</v>
      </c>
      <c r="E193" s="126" t="s">
        <v>410</v>
      </c>
      <c r="F193" s="127" t="s">
        <v>411</v>
      </c>
      <c r="G193" s="128" t="s">
        <v>287</v>
      </c>
      <c r="H193" s="129">
        <v>35</v>
      </c>
      <c r="I193" s="130">
        <v>6.3644601414457247</v>
      </c>
      <c r="J193" s="131">
        <f>ROUND(I193*H193,2)</f>
        <v>222.76</v>
      </c>
      <c r="K193" s="127" t="s">
        <v>293</v>
      </c>
      <c r="L193" s="198">
        <f>S193</f>
        <v>0</v>
      </c>
      <c r="M193" s="206">
        <f>ROUND(L193*I193,2)</f>
        <v>0</v>
      </c>
      <c r="N193" s="211">
        <f>N197</f>
        <v>-5.66</v>
      </c>
      <c r="O193" s="212">
        <f>ROUND(N193*I193,2)</f>
        <v>-36.020000000000003</v>
      </c>
      <c r="P193" s="207">
        <f>H193-L193-N193</f>
        <v>40.659999999999997</v>
      </c>
      <c r="Q193" s="228">
        <f>ROUND(P193*I193,2)</f>
        <v>258.77999999999997</v>
      </c>
      <c r="R193" s="199"/>
      <c r="S193" s="200">
        <f>W193+Y193+AA193+AC193+AE193+AG193+AI193+AK193</f>
        <v>0</v>
      </c>
      <c r="T193" s="200">
        <f>ROUND(S193*I193,2)</f>
        <v>0</v>
      </c>
      <c r="U193" s="200">
        <f>H193-S193</f>
        <v>35</v>
      </c>
      <c r="V193" s="200">
        <f>ROUND(U193*I193,2)</f>
        <v>222.76</v>
      </c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DD193" s="132" t="s">
        <v>1</v>
      </c>
      <c r="DE193" s="133" t="s">
        <v>40</v>
      </c>
      <c r="DG193" s="134">
        <f>DF193*H193</f>
        <v>0</v>
      </c>
      <c r="DH193" s="134">
        <v>0</v>
      </c>
      <c r="DI193" s="134">
        <f>DH193*H193</f>
        <v>0</v>
      </c>
      <c r="DJ193" s="134">
        <v>0</v>
      </c>
      <c r="DK193" s="135">
        <f>DJ193*H193</f>
        <v>0</v>
      </c>
      <c r="EI193" s="136" t="s">
        <v>95</v>
      </c>
      <c r="EK193" s="136" t="s">
        <v>284</v>
      </c>
      <c r="EL193" s="136" t="s">
        <v>83</v>
      </c>
      <c r="EP193" s="16" t="s">
        <v>282</v>
      </c>
      <c r="EV193" s="137">
        <f>IF(DE193="základní",J193,0)</f>
        <v>222.76</v>
      </c>
      <c r="EW193" s="137">
        <f>IF(DE193="snížená",J193,0)</f>
        <v>0</v>
      </c>
      <c r="EX193" s="137">
        <f>IF(DE193="zákl. přenesená",J193,0)</f>
        <v>0</v>
      </c>
      <c r="EY193" s="137">
        <f>IF(DE193="sníž. přenesená",J193,0)</f>
        <v>0</v>
      </c>
      <c r="EZ193" s="137">
        <f>IF(DE193="nulová",J193,0)</f>
        <v>0</v>
      </c>
      <c r="FA193" s="16" t="s">
        <v>81</v>
      </c>
      <c r="FB193" s="137">
        <f>ROUND(I193*H193,2)</f>
        <v>222.76</v>
      </c>
      <c r="FC193" s="16" t="s">
        <v>95</v>
      </c>
      <c r="FD193" s="136" t="s">
        <v>412</v>
      </c>
    </row>
    <row r="194" spans="2:160" s="1" customFormat="1" ht="19.5" x14ac:dyDescent="0.2">
      <c r="B194" s="31"/>
      <c r="D194" s="138" t="s">
        <v>289</v>
      </c>
      <c r="F194" s="139" t="s">
        <v>413</v>
      </c>
      <c r="I194" s="140"/>
      <c r="L194" s="31"/>
      <c r="N194" s="213"/>
      <c r="O194" s="214"/>
      <c r="Q194" s="229"/>
      <c r="DD194" s="141"/>
      <c r="DK194" s="50"/>
      <c r="EK194" s="16" t="s">
        <v>289</v>
      </c>
      <c r="EL194" s="16" t="s">
        <v>83</v>
      </c>
    </row>
    <row r="195" spans="2:160" s="1" customFormat="1" ht="19.5" x14ac:dyDescent="0.2">
      <c r="B195" s="31"/>
      <c r="D195" s="138" t="s">
        <v>299</v>
      </c>
      <c r="F195" s="142" t="s">
        <v>317</v>
      </c>
      <c r="I195" s="140"/>
      <c r="L195" s="31"/>
      <c r="N195" s="213"/>
      <c r="O195" s="214"/>
      <c r="Q195" s="229"/>
      <c r="DD195" s="141"/>
      <c r="DK195" s="50"/>
      <c r="EK195" s="16" t="s">
        <v>299</v>
      </c>
      <c r="EL195" s="16" t="s">
        <v>83</v>
      </c>
    </row>
    <row r="196" spans="2:160" s="12" customFormat="1" x14ac:dyDescent="0.2">
      <c r="B196" s="149"/>
      <c r="D196" s="138" t="s">
        <v>301</v>
      </c>
      <c r="E196" s="150" t="s">
        <v>1</v>
      </c>
      <c r="F196" s="151" t="s">
        <v>1248</v>
      </c>
      <c r="H196" s="152">
        <v>35</v>
      </c>
      <c r="I196" s="153"/>
      <c r="L196" s="149"/>
      <c r="N196" s="217">
        <v>29.34</v>
      </c>
      <c r="O196" s="218" t="s">
        <v>3682</v>
      </c>
      <c r="Q196" s="231"/>
      <c r="DD196" s="154"/>
      <c r="DK196" s="155"/>
      <c r="EK196" s="150" t="s">
        <v>301</v>
      </c>
      <c r="EL196" s="150" t="s">
        <v>83</v>
      </c>
      <c r="EM196" s="12" t="s">
        <v>83</v>
      </c>
      <c r="EN196" s="12" t="s">
        <v>32</v>
      </c>
      <c r="EO196" s="12" t="s">
        <v>81</v>
      </c>
      <c r="EP196" s="150" t="s">
        <v>282</v>
      </c>
    </row>
    <row r="197" spans="2:160" s="12" customFormat="1" x14ac:dyDescent="0.2">
      <c r="B197" s="149"/>
      <c r="D197" s="138"/>
      <c r="E197" s="150"/>
      <c r="F197" s="151"/>
      <c r="H197" s="152"/>
      <c r="I197" s="153"/>
      <c r="L197" s="149"/>
      <c r="N197" s="310">
        <f>N196-H196</f>
        <v>-5.66</v>
      </c>
      <c r="O197" s="218"/>
      <c r="Q197" s="231"/>
      <c r="DD197" s="154"/>
      <c r="DK197" s="155"/>
      <c r="EK197" s="150"/>
      <c r="EL197" s="150"/>
      <c r="EP197" s="150"/>
    </row>
    <row r="198" spans="2:160" s="1" customFormat="1" ht="24.2" customHeight="1" x14ac:dyDescent="0.2">
      <c r="B198" s="124"/>
      <c r="C198" s="125" t="s">
        <v>379</v>
      </c>
      <c r="D198" s="125" t="s">
        <v>284</v>
      </c>
      <c r="E198" s="126" t="s">
        <v>416</v>
      </c>
      <c r="F198" s="127" t="s">
        <v>417</v>
      </c>
      <c r="G198" s="128" t="s">
        <v>418</v>
      </c>
      <c r="H198" s="129">
        <v>100.892</v>
      </c>
      <c r="I198" s="130">
        <v>110.6455721</v>
      </c>
      <c r="J198" s="131">
        <f>ROUND(I198*H198,2)</f>
        <v>11163.25</v>
      </c>
      <c r="K198" s="127" t="s">
        <v>293</v>
      </c>
      <c r="L198" s="198">
        <f>S198</f>
        <v>0</v>
      </c>
      <c r="M198" s="206">
        <f>ROUND(L198*I198,2)</f>
        <v>0</v>
      </c>
      <c r="N198" s="211">
        <f>N206</f>
        <v>-14.808619999999991</v>
      </c>
      <c r="O198" s="212">
        <f>ROUND(N198*I198,2)</f>
        <v>-1638.51</v>
      </c>
      <c r="P198" s="207">
        <f>H198-L198-N198</f>
        <v>115.70061999999999</v>
      </c>
      <c r="Q198" s="228">
        <f>ROUND(P198*I198,2)</f>
        <v>12801.76</v>
      </c>
      <c r="R198" s="199"/>
      <c r="S198" s="200">
        <f>W198+Y198+AA198+AC198+AE198+AG198+AI198+AK198</f>
        <v>0</v>
      </c>
      <c r="T198" s="200">
        <f>ROUND(S198*I198,2)</f>
        <v>0</v>
      </c>
      <c r="U198" s="200">
        <f>H198-S198</f>
        <v>100.892</v>
      </c>
      <c r="V198" s="200">
        <f>ROUND(U198*I198,2)</f>
        <v>11163.25</v>
      </c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DD198" s="132" t="s">
        <v>1</v>
      </c>
      <c r="DE198" s="133" t="s">
        <v>40</v>
      </c>
      <c r="DG198" s="134">
        <f>DF198*H198</f>
        <v>0</v>
      </c>
      <c r="DH198" s="134">
        <v>0</v>
      </c>
      <c r="DI198" s="134">
        <f>DH198*H198</f>
        <v>0</v>
      </c>
      <c r="DJ198" s="134">
        <v>0</v>
      </c>
      <c r="DK198" s="135">
        <f>DJ198*H198</f>
        <v>0</v>
      </c>
      <c r="EI198" s="136" t="s">
        <v>95</v>
      </c>
      <c r="EK198" s="136" t="s">
        <v>284</v>
      </c>
      <c r="EL198" s="136" t="s">
        <v>83</v>
      </c>
      <c r="EP198" s="16" t="s">
        <v>282</v>
      </c>
      <c r="EV198" s="137">
        <f>IF(DE198="základní",J198,0)</f>
        <v>11163.25</v>
      </c>
      <c r="EW198" s="137">
        <f>IF(DE198="snížená",J198,0)</f>
        <v>0</v>
      </c>
      <c r="EX198" s="137">
        <f>IF(DE198="zákl. přenesená",J198,0)</f>
        <v>0</v>
      </c>
      <c r="EY198" s="137">
        <f>IF(DE198="sníž. přenesená",J198,0)</f>
        <v>0</v>
      </c>
      <c r="EZ198" s="137">
        <f>IF(DE198="nulová",J198,0)</f>
        <v>0</v>
      </c>
      <c r="FA198" s="16" t="s">
        <v>81</v>
      </c>
      <c r="FB198" s="137">
        <f>ROUND(I198*H198,2)</f>
        <v>11163.25</v>
      </c>
      <c r="FC198" s="16" t="s">
        <v>95</v>
      </c>
      <c r="FD198" s="136" t="s">
        <v>419</v>
      </c>
    </row>
    <row r="199" spans="2:160" s="1" customFormat="1" ht="29.25" x14ac:dyDescent="0.2">
      <c r="B199" s="31"/>
      <c r="D199" s="138" t="s">
        <v>289</v>
      </c>
      <c r="F199" s="139" t="s">
        <v>420</v>
      </c>
      <c r="I199" s="140"/>
      <c r="L199" s="31"/>
      <c r="N199" s="213"/>
      <c r="O199" s="214"/>
      <c r="Q199" s="229"/>
      <c r="DD199" s="141"/>
      <c r="DK199" s="50"/>
      <c r="EK199" s="16" t="s">
        <v>289</v>
      </c>
      <c r="EL199" s="16" t="s">
        <v>83</v>
      </c>
    </row>
    <row r="200" spans="2:160" s="11" customFormat="1" x14ac:dyDescent="0.2">
      <c r="B200" s="143"/>
      <c r="D200" s="138" t="s">
        <v>301</v>
      </c>
      <c r="E200" s="144" t="s">
        <v>1</v>
      </c>
      <c r="F200" s="145" t="s">
        <v>996</v>
      </c>
      <c r="H200" s="144" t="s">
        <v>1</v>
      </c>
      <c r="I200" s="146"/>
      <c r="L200" s="143"/>
      <c r="N200" s="215"/>
      <c r="O200" s="216"/>
      <c r="Q200" s="230"/>
      <c r="DD200" s="147"/>
      <c r="DK200" s="148"/>
      <c r="EK200" s="144" t="s">
        <v>301</v>
      </c>
      <c r="EL200" s="144" t="s">
        <v>83</v>
      </c>
      <c r="EM200" s="11" t="s">
        <v>81</v>
      </c>
      <c r="EN200" s="11" t="s">
        <v>32</v>
      </c>
      <c r="EO200" s="11" t="s">
        <v>74</v>
      </c>
      <c r="EP200" s="144" t="s">
        <v>282</v>
      </c>
    </row>
    <row r="201" spans="2:160" s="12" customFormat="1" x14ac:dyDescent="0.2">
      <c r="B201" s="149"/>
      <c r="D201" s="138" t="s">
        <v>301</v>
      </c>
      <c r="E201" s="150" t="s">
        <v>1</v>
      </c>
      <c r="F201" s="151" t="s">
        <v>1249</v>
      </c>
      <c r="H201" s="152">
        <v>62.526000000000003</v>
      </c>
      <c r="I201" s="153"/>
      <c r="L201" s="149"/>
      <c r="N201" s="217">
        <v>53.252000000000002</v>
      </c>
      <c r="O201" s="218"/>
      <c r="Q201" s="231"/>
      <c r="DD201" s="154"/>
      <c r="DK201" s="155"/>
      <c r="EK201" s="150" t="s">
        <v>301</v>
      </c>
      <c r="EL201" s="150" t="s">
        <v>83</v>
      </c>
      <c r="EM201" s="12" t="s">
        <v>83</v>
      </c>
      <c r="EN201" s="12" t="s">
        <v>32</v>
      </c>
      <c r="EO201" s="12" t="s">
        <v>74</v>
      </c>
      <c r="EP201" s="150" t="s">
        <v>282</v>
      </c>
    </row>
    <row r="202" spans="2:160" s="11" customFormat="1" x14ac:dyDescent="0.2">
      <c r="B202" s="143"/>
      <c r="D202" s="138" t="s">
        <v>301</v>
      </c>
      <c r="E202" s="144" t="s">
        <v>1</v>
      </c>
      <c r="F202" s="145" t="s">
        <v>998</v>
      </c>
      <c r="H202" s="144" t="s">
        <v>1</v>
      </c>
      <c r="I202" s="146"/>
      <c r="L202" s="143"/>
      <c r="N202" s="215"/>
      <c r="O202" s="216"/>
      <c r="Q202" s="230"/>
      <c r="DD202" s="147"/>
      <c r="DK202" s="148"/>
      <c r="EK202" s="144" t="s">
        <v>301</v>
      </c>
      <c r="EL202" s="144" t="s">
        <v>83</v>
      </c>
      <c r="EM202" s="11" t="s">
        <v>81</v>
      </c>
      <c r="EN202" s="11" t="s">
        <v>32</v>
      </c>
      <c r="EO202" s="11" t="s">
        <v>74</v>
      </c>
      <c r="EP202" s="144" t="s">
        <v>282</v>
      </c>
    </row>
    <row r="203" spans="2:160" s="12" customFormat="1" x14ac:dyDescent="0.2">
      <c r="B203" s="149"/>
      <c r="D203" s="138" t="s">
        <v>301</v>
      </c>
      <c r="E203" s="150" t="s">
        <v>1</v>
      </c>
      <c r="F203" s="151" t="s">
        <v>1250</v>
      </c>
      <c r="H203" s="152">
        <v>-6.4749999999999996</v>
      </c>
      <c r="I203" s="153"/>
      <c r="L203" s="149"/>
      <c r="N203" s="217">
        <f>-N191</f>
        <v>-5.4279000000000011</v>
      </c>
      <c r="O203" s="218"/>
      <c r="Q203" s="231"/>
      <c r="DD203" s="154"/>
      <c r="DK203" s="155"/>
      <c r="EK203" s="150" t="s">
        <v>301</v>
      </c>
      <c r="EL203" s="150" t="s">
        <v>83</v>
      </c>
      <c r="EM203" s="12" t="s">
        <v>83</v>
      </c>
      <c r="EN203" s="12" t="s">
        <v>32</v>
      </c>
      <c r="EO203" s="12" t="s">
        <v>74</v>
      </c>
      <c r="EP203" s="150" t="s">
        <v>282</v>
      </c>
    </row>
    <row r="204" spans="2:160" s="13" customFormat="1" x14ac:dyDescent="0.2">
      <c r="B204" s="156"/>
      <c r="D204" s="138" t="s">
        <v>301</v>
      </c>
      <c r="E204" s="157" t="s">
        <v>1</v>
      </c>
      <c r="F204" s="158" t="s">
        <v>305</v>
      </c>
      <c r="H204" s="159">
        <v>56.051000000000002</v>
      </c>
      <c r="I204" s="160"/>
      <c r="L204" s="156"/>
      <c r="N204" s="219">
        <f>N201+N203</f>
        <v>47.824100000000001</v>
      </c>
      <c r="O204" s="220"/>
      <c r="Q204" s="232"/>
      <c r="DD204" s="161"/>
      <c r="DK204" s="162"/>
      <c r="EK204" s="157" t="s">
        <v>301</v>
      </c>
      <c r="EL204" s="157" t="s">
        <v>83</v>
      </c>
      <c r="EM204" s="13" t="s">
        <v>95</v>
      </c>
      <c r="EN204" s="13" t="s">
        <v>32</v>
      </c>
      <c r="EO204" s="13" t="s">
        <v>81</v>
      </c>
      <c r="EP204" s="157" t="s">
        <v>282</v>
      </c>
    </row>
    <row r="205" spans="2:160" s="12" customFormat="1" x14ac:dyDescent="0.2">
      <c r="B205" s="149"/>
      <c r="D205" s="138" t="s">
        <v>301</v>
      </c>
      <c r="F205" s="151" t="s">
        <v>1251</v>
      </c>
      <c r="H205" s="152">
        <v>100.892</v>
      </c>
      <c r="I205" s="153"/>
      <c r="L205" s="149"/>
      <c r="N205" s="217">
        <f>N204*1.8</f>
        <v>86.083380000000005</v>
      </c>
      <c r="O205" s="218"/>
      <c r="Q205" s="231"/>
      <c r="DD205" s="154"/>
      <c r="DK205" s="155"/>
      <c r="EK205" s="150" t="s">
        <v>301</v>
      </c>
      <c r="EL205" s="150" t="s">
        <v>83</v>
      </c>
      <c r="EM205" s="12" t="s">
        <v>83</v>
      </c>
      <c r="EN205" s="12" t="s">
        <v>3</v>
      </c>
      <c r="EO205" s="12" t="s">
        <v>81</v>
      </c>
      <c r="EP205" s="150" t="s">
        <v>282</v>
      </c>
    </row>
    <row r="206" spans="2:160" s="12" customFormat="1" x14ac:dyDescent="0.2">
      <c r="B206" s="149"/>
      <c r="D206" s="138"/>
      <c r="F206" s="151"/>
      <c r="H206" s="152"/>
      <c r="I206" s="153"/>
      <c r="L206" s="149"/>
      <c r="N206" s="310">
        <f>N205-H205</f>
        <v>-14.808619999999991</v>
      </c>
      <c r="O206" s="218"/>
      <c r="Q206" s="231"/>
      <c r="DD206" s="154"/>
      <c r="DK206" s="155"/>
      <c r="EK206" s="150"/>
      <c r="EL206" s="150"/>
      <c r="EP206" s="150"/>
    </row>
    <row r="207" spans="2:160" s="1" customFormat="1" ht="24.2" customHeight="1" x14ac:dyDescent="0.2">
      <c r="B207" s="124"/>
      <c r="C207" s="125" t="s">
        <v>386</v>
      </c>
      <c r="D207" s="125" t="s">
        <v>284</v>
      </c>
      <c r="E207" s="126" t="s">
        <v>423</v>
      </c>
      <c r="F207" s="127" t="s">
        <v>424</v>
      </c>
      <c r="G207" s="128" t="s">
        <v>366</v>
      </c>
      <c r="H207" s="129">
        <v>52.798000000000002</v>
      </c>
      <c r="I207" s="130">
        <v>140.64048227116101</v>
      </c>
      <c r="J207" s="131">
        <f>ROUND(I207*H207,2)</f>
        <v>7425.54</v>
      </c>
      <c r="K207" s="127" t="s">
        <v>293</v>
      </c>
      <c r="L207" s="198">
        <f>S207</f>
        <v>0</v>
      </c>
      <c r="M207" s="206">
        <f>ROUND(L207*I207,2)</f>
        <v>0</v>
      </c>
      <c r="N207" s="211">
        <f>N221</f>
        <v>-9.0286000000000044</v>
      </c>
      <c r="O207" s="212">
        <f>ROUND(N207*I207,2)</f>
        <v>-1269.79</v>
      </c>
      <c r="P207" s="207">
        <f>H207-L207-N207</f>
        <v>61.826600000000006</v>
      </c>
      <c r="Q207" s="228">
        <f>ROUND(P207*I207,2)</f>
        <v>8695.32</v>
      </c>
      <c r="R207" s="199"/>
      <c r="S207" s="200">
        <f>W207+Y207+AA207+AC207+AE207+AG207+AI207+AK207</f>
        <v>0</v>
      </c>
      <c r="T207" s="200">
        <f>ROUND(S207*I207,2)</f>
        <v>0</v>
      </c>
      <c r="U207" s="200">
        <f>H207-S207</f>
        <v>52.798000000000002</v>
      </c>
      <c r="V207" s="200">
        <f>ROUND(U207*I207,2)</f>
        <v>7425.54</v>
      </c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DD207" s="132" t="s">
        <v>1</v>
      </c>
      <c r="DE207" s="133" t="s">
        <v>40</v>
      </c>
      <c r="DG207" s="134">
        <f>DF207*H207</f>
        <v>0</v>
      </c>
      <c r="DH207" s="134">
        <v>0</v>
      </c>
      <c r="DI207" s="134">
        <f>DH207*H207</f>
        <v>0</v>
      </c>
      <c r="DJ207" s="134">
        <v>0</v>
      </c>
      <c r="DK207" s="135">
        <f>DJ207*H207</f>
        <v>0</v>
      </c>
      <c r="EI207" s="136" t="s">
        <v>95</v>
      </c>
      <c r="EK207" s="136" t="s">
        <v>284</v>
      </c>
      <c r="EL207" s="136" t="s">
        <v>83</v>
      </c>
      <c r="EP207" s="16" t="s">
        <v>282</v>
      </c>
      <c r="EV207" s="137">
        <f>IF(DE207="základní",J207,0)</f>
        <v>7425.54</v>
      </c>
      <c r="EW207" s="137">
        <f>IF(DE207="snížená",J207,0)</f>
        <v>0</v>
      </c>
      <c r="EX207" s="137">
        <f>IF(DE207="zákl. přenesená",J207,0)</f>
        <v>0</v>
      </c>
      <c r="EY207" s="137">
        <f>IF(DE207="sníž. přenesená",J207,0)</f>
        <v>0</v>
      </c>
      <c r="EZ207" s="137">
        <f>IF(DE207="nulová",J207,0)</f>
        <v>0</v>
      </c>
      <c r="FA207" s="16" t="s">
        <v>81</v>
      </c>
      <c r="FB207" s="137">
        <f>ROUND(I207*H207,2)</f>
        <v>7425.54</v>
      </c>
      <c r="FC207" s="16" t="s">
        <v>95</v>
      </c>
      <c r="FD207" s="136" t="s">
        <v>425</v>
      </c>
    </row>
    <row r="208" spans="2:160" s="1" customFormat="1" ht="29.25" x14ac:dyDescent="0.2">
      <c r="B208" s="31"/>
      <c r="D208" s="138" t="s">
        <v>289</v>
      </c>
      <c r="F208" s="139" t="s">
        <v>426</v>
      </c>
      <c r="I208" s="140"/>
      <c r="L208" s="31"/>
      <c r="N208" s="213"/>
      <c r="O208" s="214"/>
      <c r="Q208" s="229"/>
      <c r="DD208" s="141"/>
      <c r="DK208" s="50"/>
      <c r="EK208" s="16" t="s">
        <v>289</v>
      </c>
      <c r="EL208" s="16" t="s">
        <v>83</v>
      </c>
    </row>
    <row r="209" spans="2:160" s="11" customFormat="1" x14ac:dyDescent="0.2">
      <c r="B209" s="143"/>
      <c r="D209" s="138" t="s">
        <v>301</v>
      </c>
      <c r="E209" s="144" t="s">
        <v>1</v>
      </c>
      <c r="F209" s="145" t="s">
        <v>427</v>
      </c>
      <c r="H209" s="144" t="s">
        <v>1</v>
      </c>
      <c r="I209" s="146"/>
      <c r="L209" s="143"/>
      <c r="N209" s="215"/>
      <c r="O209" s="216"/>
      <c r="Q209" s="230"/>
      <c r="DD209" s="147"/>
      <c r="DK209" s="148"/>
      <c r="EK209" s="144" t="s">
        <v>301</v>
      </c>
      <c r="EL209" s="144" t="s">
        <v>83</v>
      </c>
      <c r="EM209" s="11" t="s">
        <v>81</v>
      </c>
      <c r="EN209" s="11" t="s">
        <v>32</v>
      </c>
      <c r="EO209" s="11" t="s">
        <v>74</v>
      </c>
      <c r="EP209" s="144" t="s">
        <v>282</v>
      </c>
    </row>
    <row r="210" spans="2:160" s="12" customFormat="1" x14ac:dyDescent="0.2">
      <c r="B210" s="149"/>
      <c r="D210" s="138" t="s">
        <v>301</v>
      </c>
      <c r="E210" s="150" t="s">
        <v>1</v>
      </c>
      <c r="F210" s="151" t="s">
        <v>1243</v>
      </c>
      <c r="H210" s="152">
        <v>62.475999999999999</v>
      </c>
      <c r="I210" s="153"/>
      <c r="L210" s="149"/>
      <c r="N210" s="217">
        <f>26.186+26.186</f>
        <v>52.372</v>
      </c>
      <c r="O210" s="218" t="s">
        <v>3677</v>
      </c>
      <c r="Q210" s="231"/>
      <c r="DD210" s="154"/>
      <c r="DK210" s="155"/>
      <c r="EK210" s="150" t="s">
        <v>301</v>
      </c>
      <c r="EL210" s="150" t="s">
        <v>83</v>
      </c>
      <c r="EM210" s="12" t="s">
        <v>83</v>
      </c>
      <c r="EN210" s="12" t="s">
        <v>32</v>
      </c>
      <c r="EO210" s="12" t="s">
        <v>74</v>
      </c>
      <c r="EP210" s="150" t="s">
        <v>282</v>
      </c>
    </row>
    <row r="211" spans="2:160" s="11" customFormat="1" x14ac:dyDescent="0.2">
      <c r="B211" s="143"/>
      <c r="D211" s="138" t="s">
        <v>301</v>
      </c>
      <c r="E211" s="144" t="s">
        <v>1</v>
      </c>
      <c r="F211" s="145" t="s">
        <v>428</v>
      </c>
      <c r="H211" s="144" t="s">
        <v>1</v>
      </c>
      <c r="I211" s="146"/>
      <c r="L211" s="143"/>
      <c r="N211" s="215"/>
      <c r="O211" s="216"/>
      <c r="Q211" s="230"/>
      <c r="DD211" s="147"/>
      <c r="DK211" s="148"/>
      <c r="EK211" s="144" t="s">
        <v>301</v>
      </c>
      <c r="EL211" s="144" t="s">
        <v>83</v>
      </c>
      <c r="EM211" s="11" t="s">
        <v>81</v>
      </c>
      <c r="EN211" s="11" t="s">
        <v>32</v>
      </c>
      <c r="EO211" s="11" t="s">
        <v>74</v>
      </c>
      <c r="EP211" s="144" t="s">
        <v>282</v>
      </c>
    </row>
    <row r="212" spans="2:160" s="12" customFormat="1" x14ac:dyDescent="0.2">
      <c r="B212" s="149"/>
      <c r="D212" s="138" t="s">
        <v>301</v>
      </c>
      <c r="E212" s="150" t="s">
        <v>1</v>
      </c>
      <c r="F212" s="151" t="s">
        <v>1252</v>
      </c>
      <c r="H212" s="152">
        <v>-15.75</v>
      </c>
      <c r="I212" s="153"/>
      <c r="L212" s="149"/>
      <c r="N212" s="217">
        <f>-N237</f>
        <v>-13.202999999999999</v>
      </c>
      <c r="O212" s="218"/>
      <c r="Q212" s="231"/>
      <c r="DD212" s="154"/>
      <c r="DK212" s="155"/>
      <c r="EK212" s="150" t="s">
        <v>301</v>
      </c>
      <c r="EL212" s="150" t="s">
        <v>83</v>
      </c>
      <c r="EM212" s="12" t="s">
        <v>83</v>
      </c>
      <c r="EN212" s="12" t="s">
        <v>32</v>
      </c>
      <c r="EO212" s="12" t="s">
        <v>74</v>
      </c>
      <c r="EP212" s="150" t="s">
        <v>282</v>
      </c>
    </row>
    <row r="213" spans="2:160" s="11" customFormat="1" x14ac:dyDescent="0.2">
      <c r="B213" s="143"/>
      <c r="D213" s="138" t="s">
        <v>301</v>
      </c>
      <c r="E213" s="144" t="s">
        <v>1</v>
      </c>
      <c r="F213" s="145" t="s">
        <v>430</v>
      </c>
      <c r="H213" s="144" t="s">
        <v>1</v>
      </c>
      <c r="I213" s="146"/>
      <c r="L213" s="143"/>
      <c r="N213" s="215"/>
      <c r="O213" s="216"/>
      <c r="Q213" s="230"/>
      <c r="DD213" s="147"/>
      <c r="DK213" s="148"/>
      <c r="EK213" s="144" t="s">
        <v>301</v>
      </c>
      <c r="EL213" s="144" t="s">
        <v>83</v>
      </c>
      <c r="EM213" s="11" t="s">
        <v>81</v>
      </c>
      <c r="EN213" s="11" t="s">
        <v>32</v>
      </c>
      <c r="EO213" s="11" t="s">
        <v>74</v>
      </c>
      <c r="EP213" s="144" t="s">
        <v>282</v>
      </c>
    </row>
    <row r="214" spans="2:160" s="12" customFormat="1" x14ac:dyDescent="0.2">
      <c r="B214" s="149"/>
      <c r="D214" s="138" t="s">
        <v>301</v>
      </c>
      <c r="E214" s="150" t="s">
        <v>1</v>
      </c>
      <c r="F214" s="151" t="s">
        <v>1253</v>
      </c>
      <c r="H214" s="152">
        <v>-4.0999999999999996</v>
      </c>
      <c r="I214" s="153"/>
      <c r="L214" s="149"/>
      <c r="N214" s="310">
        <f>-N262-H264</f>
        <v>-3.5340000000000003</v>
      </c>
      <c r="O214" s="218"/>
      <c r="Q214" s="231"/>
      <c r="DD214" s="154"/>
      <c r="DK214" s="155"/>
      <c r="EK214" s="150" t="s">
        <v>301</v>
      </c>
      <c r="EL214" s="150" t="s">
        <v>83</v>
      </c>
      <c r="EM214" s="12" t="s">
        <v>83</v>
      </c>
      <c r="EN214" s="12" t="s">
        <v>32</v>
      </c>
      <c r="EO214" s="12" t="s">
        <v>74</v>
      </c>
      <c r="EP214" s="150" t="s">
        <v>282</v>
      </c>
    </row>
    <row r="215" spans="2:160" s="11" customFormat="1" x14ac:dyDescent="0.2">
      <c r="B215" s="143"/>
      <c r="D215" s="138" t="s">
        <v>301</v>
      </c>
      <c r="E215" s="144" t="s">
        <v>1</v>
      </c>
      <c r="F215" s="145" t="s">
        <v>432</v>
      </c>
      <c r="H215" s="144" t="s">
        <v>1</v>
      </c>
      <c r="I215" s="146"/>
      <c r="L215" s="143"/>
      <c r="N215" s="215"/>
      <c r="O215" s="216"/>
      <c r="Q215" s="230"/>
      <c r="DD215" s="147"/>
      <c r="DK215" s="148"/>
      <c r="EK215" s="144" t="s">
        <v>301</v>
      </c>
      <c r="EL215" s="144" t="s">
        <v>83</v>
      </c>
      <c r="EM215" s="11" t="s">
        <v>81</v>
      </c>
      <c r="EN215" s="11" t="s">
        <v>32</v>
      </c>
      <c r="EO215" s="11" t="s">
        <v>74</v>
      </c>
      <c r="EP215" s="144" t="s">
        <v>282</v>
      </c>
    </row>
    <row r="216" spans="2:160" s="12" customFormat="1" x14ac:dyDescent="0.2">
      <c r="B216" s="149"/>
      <c r="D216" s="138" t="s">
        <v>301</v>
      </c>
      <c r="E216" s="150" t="s">
        <v>1</v>
      </c>
      <c r="F216" s="151" t="s">
        <v>1254</v>
      </c>
      <c r="H216" s="152">
        <v>-0.6</v>
      </c>
      <c r="I216" s="153"/>
      <c r="L216" s="149"/>
      <c r="N216" s="310">
        <f>H216</f>
        <v>-0.6</v>
      </c>
      <c r="O216" s="218"/>
      <c r="Q216" s="231"/>
      <c r="DD216" s="154"/>
      <c r="DK216" s="155"/>
      <c r="EK216" s="150" t="s">
        <v>301</v>
      </c>
      <c r="EL216" s="150" t="s">
        <v>83</v>
      </c>
      <c r="EM216" s="12" t="s">
        <v>83</v>
      </c>
      <c r="EN216" s="12" t="s">
        <v>32</v>
      </c>
      <c r="EO216" s="12" t="s">
        <v>74</v>
      </c>
      <c r="EP216" s="150" t="s">
        <v>282</v>
      </c>
    </row>
    <row r="217" spans="2:160" s="12" customFormat="1" x14ac:dyDescent="0.2">
      <c r="B217" s="149"/>
      <c r="D217" s="138" t="s">
        <v>301</v>
      </c>
      <c r="E217" s="150" t="s">
        <v>1</v>
      </c>
      <c r="F217" s="151" t="s">
        <v>1255</v>
      </c>
      <c r="H217" s="152">
        <v>-1.8280000000000001</v>
      </c>
      <c r="I217" s="153"/>
      <c r="L217" s="149"/>
      <c r="N217" s="310">
        <f>H217</f>
        <v>-1.8280000000000001</v>
      </c>
      <c r="O217" s="218"/>
      <c r="Q217" s="231"/>
      <c r="DD217" s="154"/>
      <c r="DK217" s="155"/>
      <c r="EK217" s="150" t="s">
        <v>301</v>
      </c>
      <c r="EL217" s="150" t="s">
        <v>83</v>
      </c>
      <c r="EM217" s="12" t="s">
        <v>83</v>
      </c>
      <c r="EN217" s="12" t="s">
        <v>32</v>
      </c>
      <c r="EO217" s="12" t="s">
        <v>74</v>
      </c>
      <c r="EP217" s="150" t="s">
        <v>282</v>
      </c>
    </row>
    <row r="218" spans="2:160" s="11" customFormat="1" x14ac:dyDescent="0.2">
      <c r="B218" s="143"/>
      <c r="D218" s="138" t="s">
        <v>301</v>
      </c>
      <c r="E218" s="144" t="s">
        <v>1</v>
      </c>
      <c r="F218" s="145" t="s">
        <v>436</v>
      </c>
      <c r="H218" s="144" t="s">
        <v>1</v>
      </c>
      <c r="I218" s="146"/>
      <c r="L218" s="143"/>
      <c r="N218" s="215"/>
      <c r="O218" s="216"/>
      <c r="Q218" s="230"/>
      <c r="DD218" s="147"/>
      <c r="DK218" s="148"/>
      <c r="EK218" s="144" t="s">
        <v>301</v>
      </c>
      <c r="EL218" s="144" t="s">
        <v>83</v>
      </c>
      <c r="EM218" s="11" t="s">
        <v>81</v>
      </c>
      <c r="EN218" s="11" t="s">
        <v>32</v>
      </c>
      <c r="EO218" s="11" t="s">
        <v>74</v>
      </c>
      <c r="EP218" s="144" t="s">
        <v>282</v>
      </c>
    </row>
    <row r="219" spans="2:160" s="12" customFormat="1" x14ac:dyDescent="0.2">
      <c r="B219" s="149"/>
      <c r="D219" s="138" t="s">
        <v>301</v>
      </c>
      <c r="E219" s="150" t="s">
        <v>1</v>
      </c>
      <c r="F219" s="151" t="s">
        <v>1256</v>
      </c>
      <c r="H219" s="152">
        <v>12.6</v>
      </c>
      <c r="I219" s="153"/>
      <c r="L219" s="149"/>
      <c r="N219" s="217">
        <f>26.406*(0.45-0.05)</f>
        <v>10.5624</v>
      </c>
      <c r="O219" s="218" t="s">
        <v>3687</v>
      </c>
      <c r="Q219" s="231"/>
      <c r="DD219" s="154"/>
      <c r="DK219" s="155"/>
      <c r="EK219" s="150" t="s">
        <v>301</v>
      </c>
      <c r="EL219" s="150" t="s">
        <v>83</v>
      </c>
      <c r="EM219" s="12" t="s">
        <v>83</v>
      </c>
      <c r="EN219" s="12" t="s">
        <v>32</v>
      </c>
      <c r="EO219" s="12" t="s">
        <v>74</v>
      </c>
      <c r="EP219" s="150" t="s">
        <v>282</v>
      </c>
    </row>
    <row r="220" spans="2:160" s="13" customFormat="1" x14ac:dyDescent="0.2">
      <c r="B220" s="156"/>
      <c r="D220" s="138" t="s">
        <v>301</v>
      </c>
      <c r="E220" s="157" t="s">
        <v>1</v>
      </c>
      <c r="F220" s="158" t="s">
        <v>305</v>
      </c>
      <c r="H220" s="159">
        <v>52.797999999999995</v>
      </c>
      <c r="I220" s="160"/>
      <c r="L220" s="156"/>
      <c r="N220" s="311">
        <f>N210+N212+N214+N216+N217+N219</f>
        <v>43.76939999999999</v>
      </c>
      <c r="O220" s="220"/>
      <c r="Q220" s="232"/>
      <c r="DD220" s="161"/>
      <c r="DK220" s="162"/>
      <c r="EK220" s="157" t="s">
        <v>301</v>
      </c>
      <c r="EL220" s="157" t="s">
        <v>83</v>
      </c>
      <c r="EM220" s="13" t="s">
        <v>95</v>
      </c>
      <c r="EN220" s="13" t="s">
        <v>32</v>
      </c>
      <c r="EO220" s="13" t="s">
        <v>81</v>
      </c>
      <c r="EP220" s="157" t="s">
        <v>282</v>
      </c>
    </row>
    <row r="221" spans="2:160" s="13" customFormat="1" x14ac:dyDescent="0.2">
      <c r="B221" s="156"/>
      <c r="D221" s="138"/>
      <c r="E221" s="157"/>
      <c r="F221" s="158"/>
      <c r="H221" s="159"/>
      <c r="I221" s="160"/>
      <c r="L221" s="156"/>
      <c r="N221" s="311">
        <f>N220-H220</f>
        <v>-9.0286000000000044</v>
      </c>
      <c r="O221" s="220"/>
      <c r="Q221" s="232"/>
      <c r="DD221" s="161"/>
      <c r="DK221" s="162"/>
      <c r="EK221" s="157"/>
      <c r="EL221" s="157"/>
      <c r="EP221" s="157"/>
    </row>
    <row r="222" spans="2:160" s="1" customFormat="1" ht="14.45" customHeight="1" x14ac:dyDescent="0.2">
      <c r="B222" s="124"/>
      <c r="C222" s="170" t="s">
        <v>392</v>
      </c>
      <c r="D222" s="170" t="s">
        <v>439</v>
      </c>
      <c r="E222" s="171" t="s">
        <v>440</v>
      </c>
      <c r="F222" s="172" t="s">
        <v>441</v>
      </c>
      <c r="G222" s="173" t="s">
        <v>418</v>
      </c>
      <c r="H222" s="174">
        <v>94.745999999999995</v>
      </c>
      <c r="I222" s="175">
        <v>390.0974172</v>
      </c>
      <c r="J222" s="176">
        <f>ROUND(I222*H222,2)</f>
        <v>36960.17</v>
      </c>
      <c r="K222" s="172" t="s">
        <v>293</v>
      </c>
      <c r="L222" s="198">
        <f>S222</f>
        <v>0</v>
      </c>
      <c r="M222" s="206">
        <f>ROUND(L222*I222,2)</f>
        <v>0</v>
      </c>
      <c r="N222" s="211">
        <f>N233</f>
        <v>-16.303399999999996</v>
      </c>
      <c r="O222" s="212">
        <f>ROUND(N222*I222,2)</f>
        <v>-6359.91</v>
      </c>
      <c r="P222" s="207">
        <f>H222-L222-N222</f>
        <v>111.04939999999999</v>
      </c>
      <c r="Q222" s="228">
        <f>ROUND(P222*I222,2)</f>
        <v>43320.08</v>
      </c>
      <c r="R222" s="199"/>
      <c r="S222" s="200">
        <f>W222+Y222+AA222+AC222+AE222+AG222+AI222+AK222</f>
        <v>0</v>
      </c>
      <c r="T222" s="200">
        <f>ROUND(S222*I222,2)</f>
        <v>0</v>
      </c>
      <c r="U222" s="200">
        <f>H222-S222</f>
        <v>94.745999999999995</v>
      </c>
      <c r="V222" s="200">
        <f>ROUND(U222*I222,2)</f>
        <v>36960.17</v>
      </c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77" t="s">
        <v>1</v>
      </c>
      <c r="DE222" s="178" t="s">
        <v>40</v>
      </c>
      <c r="DG222" s="134">
        <f>DF222*H222</f>
        <v>0</v>
      </c>
      <c r="DH222" s="134">
        <v>1</v>
      </c>
      <c r="DI222" s="134">
        <f>DH222*H222</f>
        <v>94.745999999999995</v>
      </c>
      <c r="DJ222" s="134">
        <v>0</v>
      </c>
      <c r="DK222" s="135">
        <f>DJ222*H222</f>
        <v>0</v>
      </c>
      <c r="EI222" s="136" t="s">
        <v>328</v>
      </c>
      <c r="EK222" s="136" t="s">
        <v>439</v>
      </c>
      <c r="EL222" s="136" t="s">
        <v>83</v>
      </c>
      <c r="EP222" s="16" t="s">
        <v>282</v>
      </c>
      <c r="EV222" s="137">
        <f>IF(DE222="základní",J222,0)</f>
        <v>36960.17</v>
      </c>
      <c r="EW222" s="137">
        <f>IF(DE222="snížená",J222,0)</f>
        <v>0</v>
      </c>
      <c r="EX222" s="137">
        <f>IF(DE222="zákl. přenesená",J222,0)</f>
        <v>0</v>
      </c>
      <c r="EY222" s="137">
        <f>IF(DE222="sníž. přenesená",J222,0)</f>
        <v>0</v>
      </c>
      <c r="EZ222" s="137">
        <f>IF(DE222="nulová",J222,0)</f>
        <v>0</v>
      </c>
      <c r="FA222" s="16" t="s">
        <v>81</v>
      </c>
      <c r="FB222" s="137">
        <f>ROUND(I222*H222,2)</f>
        <v>36960.17</v>
      </c>
      <c r="FC222" s="16" t="s">
        <v>95</v>
      </c>
      <c r="FD222" s="136" t="s">
        <v>442</v>
      </c>
    </row>
    <row r="223" spans="2:160" s="1" customFormat="1" x14ac:dyDescent="0.2">
      <c r="B223" s="31"/>
      <c r="D223" s="138" t="s">
        <v>289</v>
      </c>
      <c r="F223" s="139" t="s">
        <v>441</v>
      </c>
      <c r="I223" s="140"/>
      <c r="L223" s="31"/>
      <c r="N223" s="213"/>
      <c r="O223" s="214"/>
      <c r="Q223" s="229"/>
      <c r="DD223" s="141"/>
      <c r="DK223" s="50"/>
      <c r="EK223" s="16" t="s">
        <v>289</v>
      </c>
      <c r="EL223" s="16" t="s">
        <v>83</v>
      </c>
    </row>
    <row r="224" spans="2:160" s="1" customFormat="1" ht="19.5" x14ac:dyDescent="0.2">
      <c r="B224" s="31"/>
      <c r="D224" s="138" t="s">
        <v>299</v>
      </c>
      <c r="F224" s="142" t="s">
        <v>443</v>
      </c>
      <c r="I224" s="140"/>
      <c r="L224" s="31"/>
      <c r="N224" s="213"/>
      <c r="O224" s="214"/>
      <c r="Q224" s="229"/>
      <c r="DD224" s="141"/>
      <c r="DK224" s="50"/>
      <c r="EK224" s="16" t="s">
        <v>299</v>
      </c>
      <c r="EL224" s="16" t="s">
        <v>83</v>
      </c>
    </row>
    <row r="225" spans="2:160" s="11" customFormat="1" x14ac:dyDescent="0.2">
      <c r="B225" s="143"/>
      <c r="D225" s="138" t="s">
        <v>301</v>
      </c>
      <c r="E225" s="144" t="s">
        <v>1</v>
      </c>
      <c r="F225" s="145" t="s">
        <v>1006</v>
      </c>
      <c r="H225" s="144" t="s">
        <v>1</v>
      </c>
      <c r="I225" s="146"/>
      <c r="L225" s="143"/>
      <c r="N225" s="215"/>
      <c r="O225" s="216"/>
      <c r="Q225" s="230"/>
      <c r="DD225" s="147"/>
      <c r="DK225" s="148"/>
      <c r="EK225" s="144" t="s">
        <v>301</v>
      </c>
      <c r="EL225" s="144" t="s">
        <v>83</v>
      </c>
      <c r="EM225" s="11" t="s">
        <v>81</v>
      </c>
      <c r="EN225" s="11" t="s">
        <v>32</v>
      </c>
      <c r="EO225" s="11" t="s">
        <v>74</v>
      </c>
      <c r="EP225" s="144" t="s">
        <v>282</v>
      </c>
    </row>
    <row r="226" spans="2:160" s="12" customFormat="1" x14ac:dyDescent="0.2">
      <c r="B226" s="149"/>
      <c r="D226" s="138" t="s">
        <v>301</v>
      </c>
      <c r="E226" s="150" t="s">
        <v>1</v>
      </c>
      <c r="F226" s="151" t="s">
        <v>1257</v>
      </c>
      <c r="H226" s="152">
        <v>52.798000000000002</v>
      </c>
      <c r="I226" s="153"/>
      <c r="L226" s="149"/>
      <c r="N226" s="217">
        <v>43.768999999999998</v>
      </c>
      <c r="O226" s="218"/>
      <c r="Q226" s="231"/>
      <c r="DD226" s="154"/>
      <c r="DK226" s="155"/>
      <c r="EK226" s="150" t="s">
        <v>301</v>
      </c>
      <c r="EL226" s="150" t="s">
        <v>83</v>
      </c>
      <c r="EM226" s="12" t="s">
        <v>83</v>
      </c>
      <c r="EN226" s="12" t="s">
        <v>32</v>
      </c>
      <c r="EO226" s="12" t="s">
        <v>74</v>
      </c>
      <c r="EP226" s="150" t="s">
        <v>282</v>
      </c>
    </row>
    <row r="227" spans="2:160" s="14" customFormat="1" x14ac:dyDescent="0.2">
      <c r="B227" s="163"/>
      <c r="D227" s="138" t="s">
        <v>301</v>
      </c>
      <c r="E227" s="164" t="s">
        <v>1</v>
      </c>
      <c r="F227" s="165" t="s">
        <v>373</v>
      </c>
      <c r="H227" s="166">
        <v>52.798000000000002</v>
      </c>
      <c r="I227" s="167"/>
      <c r="L227" s="163"/>
      <c r="N227" s="221">
        <f>N226</f>
        <v>43.768999999999998</v>
      </c>
      <c r="O227" s="222"/>
      <c r="Q227" s="233"/>
      <c r="DD227" s="168"/>
      <c r="DK227" s="169"/>
      <c r="EK227" s="164" t="s">
        <v>301</v>
      </c>
      <c r="EL227" s="164" t="s">
        <v>83</v>
      </c>
      <c r="EM227" s="14" t="s">
        <v>90</v>
      </c>
      <c r="EN227" s="14" t="s">
        <v>32</v>
      </c>
      <c r="EO227" s="14" t="s">
        <v>74</v>
      </c>
      <c r="EP227" s="164" t="s">
        <v>282</v>
      </c>
    </row>
    <row r="228" spans="2:160" s="11" customFormat="1" x14ac:dyDescent="0.2">
      <c r="B228" s="143"/>
      <c r="D228" s="138" t="s">
        <v>301</v>
      </c>
      <c r="E228" s="144" t="s">
        <v>1</v>
      </c>
      <c r="F228" s="145" t="s">
        <v>1102</v>
      </c>
      <c r="H228" s="144" t="s">
        <v>1</v>
      </c>
      <c r="I228" s="146"/>
      <c r="L228" s="143"/>
      <c r="N228" s="215"/>
      <c r="O228" s="216"/>
      <c r="Q228" s="230"/>
      <c r="DD228" s="147"/>
      <c r="DK228" s="148"/>
      <c r="EK228" s="144" t="s">
        <v>301</v>
      </c>
      <c r="EL228" s="144" t="s">
        <v>83</v>
      </c>
      <c r="EM228" s="11" t="s">
        <v>81</v>
      </c>
      <c r="EN228" s="11" t="s">
        <v>32</v>
      </c>
      <c r="EO228" s="11" t="s">
        <v>74</v>
      </c>
      <c r="EP228" s="144" t="s">
        <v>282</v>
      </c>
    </row>
    <row r="229" spans="2:160" s="12" customFormat="1" x14ac:dyDescent="0.2">
      <c r="B229" s="149"/>
      <c r="D229" s="138" t="s">
        <v>301</v>
      </c>
      <c r="E229" s="150" t="s">
        <v>1</v>
      </c>
      <c r="F229" s="151" t="s">
        <v>1247</v>
      </c>
      <c r="H229" s="152">
        <v>5.4249999999999998</v>
      </c>
      <c r="I229" s="153"/>
      <c r="L229" s="149"/>
      <c r="N229" s="217">
        <f>29.34*1*(2.2-0.1-0.45-0.1)*0.1</f>
        <v>4.5477000000000007</v>
      </c>
      <c r="O229" s="218" t="s">
        <v>3680</v>
      </c>
      <c r="Q229" s="231"/>
      <c r="DD229" s="154"/>
      <c r="DK229" s="155"/>
      <c r="EK229" s="150" t="s">
        <v>301</v>
      </c>
      <c r="EL229" s="150" t="s">
        <v>83</v>
      </c>
      <c r="EM229" s="12" t="s">
        <v>83</v>
      </c>
      <c r="EN229" s="12" t="s">
        <v>32</v>
      </c>
      <c r="EO229" s="12" t="s">
        <v>74</v>
      </c>
      <c r="EP229" s="150" t="s">
        <v>282</v>
      </c>
    </row>
    <row r="230" spans="2:160" s="14" customFormat="1" x14ac:dyDescent="0.2">
      <c r="B230" s="163"/>
      <c r="D230" s="138" t="s">
        <v>301</v>
      </c>
      <c r="E230" s="164" t="s">
        <v>1</v>
      </c>
      <c r="F230" s="165" t="s">
        <v>373</v>
      </c>
      <c r="H230" s="166">
        <v>5.4249999999999998</v>
      </c>
      <c r="I230" s="167"/>
      <c r="L230" s="163"/>
      <c r="N230" s="221">
        <f>N229</f>
        <v>4.5477000000000007</v>
      </c>
      <c r="O230" s="222"/>
      <c r="Q230" s="233"/>
      <c r="DD230" s="168"/>
      <c r="DK230" s="169"/>
      <c r="EK230" s="164" t="s">
        <v>301</v>
      </c>
      <c r="EL230" s="164" t="s">
        <v>83</v>
      </c>
      <c r="EM230" s="14" t="s">
        <v>90</v>
      </c>
      <c r="EN230" s="14" t="s">
        <v>32</v>
      </c>
      <c r="EO230" s="14" t="s">
        <v>74</v>
      </c>
      <c r="EP230" s="164" t="s">
        <v>282</v>
      </c>
    </row>
    <row r="231" spans="2:160" s="12" customFormat="1" x14ac:dyDescent="0.2">
      <c r="B231" s="149"/>
      <c r="D231" s="138" t="s">
        <v>301</v>
      </c>
      <c r="E231" s="150" t="s">
        <v>1</v>
      </c>
      <c r="F231" s="151" t="s">
        <v>1258</v>
      </c>
      <c r="H231" s="152">
        <v>47.372999999999998</v>
      </c>
      <c r="I231" s="153"/>
      <c r="L231" s="149"/>
      <c r="N231" s="217">
        <f>N227-N230</f>
        <v>39.221299999999999</v>
      </c>
      <c r="O231" s="218"/>
      <c r="Q231" s="231"/>
      <c r="DD231" s="154"/>
      <c r="DK231" s="155"/>
      <c r="EK231" s="150" t="s">
        <v>301</v>
      </c>
      <c r="EL231" s="150" t="s">
        <v>83</v>
      </c>
      <c r="EM231" s="12" t="s">
        <v>83</v>
      </c>
      <c r="EN231" s="12" t="s">
        <v>32</v>
      </c>
      <c r="EO231" s="12" t="s">
        <v>81</v>
      </c>
      <c r="EP231" s="150" t="s">
        <v>282</v>
      </c>
    </row>
    <row r="232" spans="2:160" s="12" customFormat="1" x14ac:dyDescent="0.2">
      <c r="B232" s="149"/>
      <c r="D232" s="138" t="s">
        <v>301</v>
      </c>
      <c r="F232" s="151" t="s">
        <v>1259</v>
      </c>
      <c r="H232" s="152">
        <v>94.745999999999995</v>
      </c>
      <c r="I232" s="153"/>
      <c r="L232" s="149"/>
      <c r="N232" s="217">
        <f>N231*2</f>
        <v>78.442599999999999</v>
      </c>
      <c r="O232" s="218"/>
      <c r="Q232" s="231"/>
      <c r="DD232" s="154"/>
      <c r="DK232" s="155"/>
      <c r="EK232" s="150" t="s">
        <v>301</v>
      </c>
      <c r="EL232" s="150" t="s">
        <v>83</v>
      </c>
      <c r="EM232" s="12" t="s">
        <v>83</v>
      </c>
      <c r="EN232" s="12" t="s">
        <v>3</v>
      </c>
      <c r="EO232" s="12" t="s">
        <v>81</v>
      </c>
      <c r="EP232" s="150" t="s">
        <v>282</v>
      </c>
    </row>
    <row r="233" spans="2:160" s="12" customFormat="1" x14ac:dyDescent="0.2">
      <c r="B233" s="149"/>
      <c r="D233" s="138"/>
      <c r="F233" s="151"/>
      <c r="H233" s="152"/>
      <c r="I233" s="153"/>
      <c r="L233" s="149"/>
      <c r="N233" s="310">
        <f>N232-H232</f>
        <v>-16.303399999999996</v>
      </c>
      <c r="O233" s="218"/>
      <c r="Q233" s="231"/>
      <c r="DD233" s="154"/>
      <c r="DK233" s="155"/>
      <c r="EK233" s="150"/>
      <c r="EL233" s="150"/>
      <c r="EP233" s="150"/>
    </row>
    <row r="234" spans="2:160" s="1" customFormat="1" ht="24.2" customHeight="1" x14ac:dyDescent="0.2">
      <c r="B234" s="124"/>
      <c r="C234" s="125" t="s">
        <v>397</v>
      </c>
      <c r="D234" s="125" t="s">
        <v>284</v>
      </c>
      <c r="E234" s="126" t="s">
        <v>446</v>
      </c>
      <c r="F234" s="127" t="s">
        <v>447</v>
      </c>
      <c r="G234" s="128" t="s">
        <v>366</v>
      </c>
      <c r="H234" s="129">
        <v>15.75</v>
      </c>
      <c r="I234" s="130">
        <v>510.38291484661499</v>
      </c>
      <c r="J234" s="131">
        <f>ROUND(I234*H234,2)</f>
        <v>8038.53</v>
      </c>
      <c r="K234" s="127" t="s">
        <v>293</v>
      </c>
      <c r="L234" s="198">
        <f>S234</f>
        <v>0</v>
      </c>
      <c r="M234" s="206">
        <f>ROUND(L234*I234,2)</f>
        <v>0</v>
      </c>
      <c r="N234" s="211">
        <f>N238</f>
        <v>-2.5470000000000006</v>
      </c>
      <c r="O234" s="212">
        <f>ROUND(N234*I234,2)</f>
        <v>-1299.95</v>
      </c>
      <c r="P234" s="207">
        <f>H234-L234-N234</f>
        <v>18.297000000000001</v>
      </c>
      <c r="Q234" s="228">
        <f>ROUND(P234*I234,2)</f>
        <v>9338.48</v>
      </c>
      <c r="R234" s="199"/>
      <c r="S234" s="200">
        <f>W234+Y234+AA234+AC234+AE234+AG234+AI234+AK234</f>
        <v>0</v>
      </c>
      <c r="T234" s="200">
        <f>ROUND(S234*I234,2)</f>
        <v>0</v>
      </c>
      <c r="U234" s="200">
        <f>H234-S234</f>
        <v>15.75</v>
      </c>
      <c r="V234" s="200">
        <f>ROUND(U234*I234,2)</f>
        <v>8038.53</v>
      </c>
      <c r="W234" s="200"/>
      <c r="X234" s="200"/>
      <c r="Y234" s="200"/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DD234" s="132" t="s">
        <v>1</v>
      </c>
      <c r="DE234" s="133" t="s">
        <v>40</v>
      </c>
      <c r="DG234" s="134">
        <f>DF234*H234</f>
        <v>0</v>
      </c>
      <c r="DH234" s="134">
        <v>0</v>
      </c>
      <c r="DI234" s="134">
        <f>DH234*H234</f>
        <v>0</v>
      </c>
      <c r="DJ234" s="134">
        <v>0</v>
      </c>
      <c r="DK234" s="135">
        <f>DJ234*H234</f>
        <v>0</v>
      </c>
      <c r="EI234" s="136" t="s">
        <v>95</v>
      </c>
      <c r="EK234" s="136" t="s">
        <v>284</v>
      </c>
      <c r="EL234" s="136" t="s">
        <v>83</v>
      </c>
      <c r="EP234" s="16" t="s">
        <v>282</v>
      </c>
      <c r="EV234" s="137">
        <f>IF(DE234="základní",J234,0)</f>
        <v>8038.53</v>
      </c>
      <c r="EW234" s="137">
        <f>IF(DE234="snížená",J234,0)</f>
        <v>0</v>
      </c>
      <c r="EX234" s="137">
        <f>IF(DE234="zákl. přenesená",J234,0)</f>
        <v>0</v>
      </c>
      <c r="EY234" s="137">
        <f>IF(DE234="sníž. přenesená",J234,0)</f>
        <v>0</v>
      </c>
      <c r="EZ234" s="137">
        <f>IF(DE234="nulová",J234,0)</f>
        <v>0</v>
      </c>
      <c r="FA234" s="16" t="s">
        <v>81</v>
      </c>
      <c r="FB234" s="137">
        <f>ROUND(I234*H234,2)</f>
        <v>8038.53</v>
      </c>
      <c r="FC234" s="16" t="s">
        <v>95</v>
      </c>
      <c r="FD234" s="136" t="s">
        <v>448</v>
      </c>
    </row>
    <row r="235" spans="2:160" s="1" customFormat="1" ht="39" x14ac:dyDescent="0.2">
      <c r="B235" s="31"/>
      <c r="D235" s="138" t="s">
        <v>289</v>
      </c>
      <c r="F235" s="139" t="s">
        <v>449</v>
      </c>
      <c r="I235" s="140"/>
      <c r="L235" s="31"/>
      <c r="N235" s="213"/>
      <c r="O235" s="214"/>
      <c r="Q235" s="229"/>
      <c r="DD235" s="141"/>
      <c r="DK235" s="50"/>
      <c r="EK235" s="16" t="s">
        <v>289</v>
      </c>
      <c r="EL235" s="16" t="s">
        <v>83</v>
      </c>
    </row>
    <row r="236" spans="2:160" s="1" customFormat="1" ht="29.25" x14ac:dyDescent="0.2">
      <c r="B236" s="31"/>
      <c r="D236" s="138" t="s">
        <v>299</v>
      </c>
      <c r="F236" s="142" t="s">
        <v>1083</v>
      </c>
      <c r="I236" s="140"/>
      <c r="L236" s="31"/>
      <c r="N236" s="213"/>
      <c r="O236" s="214"/>
      <c r="Q236" s="229"/>
      <c r="DD236" s="141"/>
      <c r="DK236" s="50"/>
      <c r="EK236" s="16" t="s">
        <v>299</v>
      </c>
      <c r="EL236" s="16" t="s">
        <v>83</v>
      </c>
    </row>
    <row r="237" spans="2:160" s="12" customFormat="1" x14ac:dyDescent="0.2">
      <c r="B237" s="149"/>
      <c r="D237" s="138" t="s">
        <v>301</v>
      </c>
      <c r="E237" s="150" t="s">
        <v>1</v>
      </c>
      <c r="F237" s="151" t="s">
        <v>1260</v>
      </c>
      <c r="H237" s="152">
        <v>15.75</v>
      </c>
      <c r="I237" s="153"/>
      <c r="L237" s="149"/>
      <c r="N237" s="217">
        <f>29.34*1*0.45</f>
        <v>13.202999999999999</v>
      </c>
      <c r="O237" s="218" t="s">
        <v>3683</v>
      </c>
      <c r="Q237" s="231"/>
      <c r="DD237" s="154"/>
      <c r="DK237" s="155"/>
      <c r="EK237" s="150" t="s">
        <v>301</v>
      </c>
      <c r="EL237" s="150" t="s">
        <v>83</v>
      </c>
      <c r="EM237" s="12" t="s">
        <v>83</v>
      </c>
      <c r="EN237" s="12" t="s">
        <v>32</v>
      </c>
      <c r="EO237" s="12" t="s">
        <v>81</v>
      </c>
      <c r="EP237" s="150" t="s">
        <v>282</v>
      </c>
    </row>
    <row r="238" spans="2:160" s="12" customFormat="1" x14ac:dyDescent="0.2">
      <c r="B238" s="149"/>
      <c r="D238" s="138"/>
      <c r="E238" s="150"/>
      <c r="F238" s="151"/>
      <c r="H238" s="152"/>
      <c r="I238" s="153"/>
      <c r="L238" s="149"/>
      <c r="N238" s="310">
        <f>N237-H237</f>
        <v>-2.5470000000000006</v>
      </c>
      <c r="O238" s="218"/>
      <c r="Q238" s="231"/>
      <c r="DD238" s="154"/>
      <c r="DK238" s="155"/>
      <c r="EK238" s="150"/>
      <c r="EL238" s="150"/>
      <c r="EP238" s="150"/>
    </row>
    <row r="239" spans="2:160" s="1" customFormat="1" ht="14.45" customHeight="1" x14ac:dyDescent="0.2">
      <c r="B239" s="124"/>
      <c r="C239" s="170" t="s">
        <v>404</v>
      </c>
      <c r="D239" s="170" t="s">
        <v>439</v>
      </c>
      <c r="E239" s="171" t="s">
        <v>452</v>
      </c>
      <c r="F239" s="172" t="s">
        <v>453</v>
      </c>
      <c r="G239" s="173" t="s">
        <v>418</v>
      </c>
      <c r="H239" s="174">
        <v>31.5</v>
      </c>
      <c r="I239" s="175">
        <v>380.62816190000001</v>
      </c>
      <c r="J239" s="176">
        <f>ROUND(I239*H239,2)</f>
        <v>11989.79</v>
      </c>
      <c r="K239" s="172" t="s">
        <v>293</v>
      </c>
      <c r="L239" s="198">
        <f>S239</f>
        <v>0</v>
      </c>
      <c r="M239" s="206">
        <f>ROUND(L239*I239,2)</f>
        <v>0</v>
      </c>
      <c r="N239" s="211">
        <f>N241</f>
        <v>-5.0940000000000003</v>
      </c>
      <c r="O239" s="212">
        <f>ROUND(N239*I239,2)</f>
        <v>-1938.92</v>
      </c>
      <c r="P239" s="207">
        <f>H239-L239-N239</f>
        <v>36.594000000000001</v>
      </c>
      <c r="Q239" s="228">
        <f>ROUND(P239*I239,2)</f>
        <v>13928.71</v>
      </c>
      <c r="R239" s="199"/>
      <c r="S239" s="200">
        <f>W239+Y239+AA239+AC239+AE239+AG239+AI239+AK239</f>
        <v>0</v>
      </c>
      <c r="T239" s="200">
        <f>ROUND(S239*I239,2)</f>
        <v>0</v>
      </c>
      <c r="U239" s="200">
        <f>H239-S239</f>
        <v>31.5</v>
      </c>
      <c r="V239" s="200">
        <f>ROUND(U239*I239,2)</f>
        <v>11989.79</v>
      </c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77" t="s">
        <v>1</v>
      </c>
      <c r="DE239" s="178" t="s">
        <v>40</v>
      </c>
      <c r="DG239" s="134">
        <f>DF239*H239</f>
        <v>0</v>
      </c>
      <c r="DH239" s="134">
        <v>1</v>
      </c>
      <c r="DI239" s="134">
        <f>DH239*H239</f>
        <v>31.5</v>
      </c>
      <c r="DJ239" s="134">
        <v>0</v>
      </c>
      <c r="DK239" s="135">
        <f>DJ239*H239</f>
        <v>0</v>
      </c>
      <c r="EI239" s="136" t="s">
        <v>328</v>
      </c>
      <c r="EK239" s="136" t="s">
        <v>439</v>
      </c>
      <c r="EL239" s="136" t="s">
        <v>83</v>
      </c>
      <c r="EP239" s="16" t="s">
        <v>282</v>
      </c>
      <c r="EV239" s="137">
        <f>IF(DE239="základní",J239,0)</f>
        <v>11989.79</v>
      </c>
      <c r="EW239" s="137">
        <f>IF(DE239="snížená",J239,0)</f>
        <v>0</v>
      </c>
      <c r="EX239" s="137">
        <f>IF(DE239="zákl. přenesená",J239,0)</f>
        <v>0</v>
      </c>
      <c r="EY239" s="137">
        <f>IF(DE239="sníž. přenesená",J239,0)</f>
        <v>0</v>
      </c>
      <c r="EZ239" s="137">
        <f>IF(DE239="nulová",J239,0)</f>
        <v>0</v>
      </c>
      <c r="FA239" s="16" t="s">
        <v>81</v>
      </c>
      <c r="FB239" s="137">
        <f>ROUND(I239*H239,2)</f>
        <v>11989.79</v>
      </c>
      <c r="FC239" s="16" t="s">
        <v>95</v>
      </c>
      <c r="FD239" s="136" t="s">
        <v>454</v>
      </c>
    </row>
    <row r="240" spans="2:160" s="1" customFormat="1" x14ac:dyDescent="0.2">
      <c r="B240" s="31"/>
      <c r="D240" s="138" t="s">
        <v>289</v>
      </c>
      <c r="F240" s="139" t="s">
        <v>453</v>
      </c>
      <c r="I240" s="140"/>
      <c r="L240" s="31"/>
      <c r="N240" s="213"/>
      <c r="O240" s="214"/>
      <c r="Q240" s="229"/>
      <c r="DD240" s="141"/>
      <c r="DK240" s="50"/>
      <c r="EK240" s="16" t="s">
        <v>289</v>
      </c>
      <c r="EL240" s="16" t="s">
        <v>83</v>
      </c>
    </row>
    <row r="241" spans="2:160" s="12" customFormat="1" x14ac:dyDescent="0.2">
      <c r="B241" s="149"/>
      <c r="D241" s="138" t="s">
        <v>301</v>
      </c>
      <c r="F241" s="151" t="s">
        <v>1261</v>
      </c>
      <c r="H241" s="152">
        <v>31.5</v>
      </c>
      <c r="I241" s="153"/>
      <c r="L241" s="149"/>
      <c r="N241" s="217">
        <f>-2.547*2</f>
        <v>-5.0940000000000003</v>
      </c>
      <c r="O241" s="218" t="s">
        <v>3684</v>
      </c>
      <c r="Q241" s="231"/>
      <c r="DD241" s="154"/>
      <c r="DK241" s="155"/>
      <c r="EK241" s="150" t="s">
        <v>301</v>
      </c>
      <c r="EL241" s="150" t="s">
        <v>83</v>
      </c>
      <c r="EM241" s="12" t="s">
        <v>83</v>
      </c>
      <c r="EN241" s="12" t="s">
        <v>3</v>
      </c>
      <c r="EO241" s="12" t="s">
        <v>81</v>
      </c>
      <c r="EP241" s="150" t="s">
        <v>282</v>
      </c>
    </row>
    <row r="242" spans="2:160" s="1" customFormat="1" ht="24.2" customHeight="1" x14ac:dyDescent="0.2">
      <c r="B242" s="124"/>
      <c r="C242" s="125" t="s">
        <v>7</v>
      </c>
      <c r="D242" s="125" t="s">
        <v>284</v>
      </c>
      <c r="E242" s="126" t="s">
        <v>1012</v>
      </c>
      <c r="F242" s="127" t="s">
        <v>1013</v>
      </c>
      <c r="G242" s="128" t="s">
        <v>287</v>
      </c>
      <c r="H242" s="129">
        <v>10.5</v>
      </c>
      <c r="I242" s="130">
        <v>64.410667599999996</v>
      </c>
      <c r="J242" s="131">
        <f>ROUND(I242*H242,2)</f>
        <v>676.31</v>
      </c>
      <c r="K242" s="127" t="s">
        <v>1</v>
      </c>
      <c r="L242" s="198">
        <f>S242</f>
        <v>0</v>
      </c>
      <c r="M242" s="206">
        <f>ROUND(L242*I242,2)</f>
        <v>0</v>
      </c>
      <c r="N242" s="211">
        <f>N244</f>
        <v>-1.6980000000000004</v>
      </c>
      <c r="O242" s="212">
        <f>ROUND(N242*I242,2)</f>
        <v>-109.37</v>
      </c>
      <c r="P242" s="207">
        <f>H242-L242-N242</f>
        <v>12.198</v>
      </c>
      <c r="Q242" s="228">
        <f>ROUND(P242*I242,2)</f>
        <v>785.68</v>
      </c>
      <c r="R242" s="199"/>
      <c r="S242" s="200">
        <f>W242+Y242+AA242+AC242+AE242+AG242+AI242+AK242</f>
        <v>0</v>
      </c>
      <c r="T242" s="200">
        <f>ROUND(S242*I242,2)</f>
        <v>0</v>
      </c>
      <c r="U242" s="200">
        <f>H242-S242</f>
        <v>10.5</v>
      </c>
      <c r="V242" s="200">
        <f>ROUND(U242*I242,2)</f>
        <v>676.31</v>
      </c>
      <c r="W242" s="200"/>
      <c r="X242" s="200"/>
      <c r="Y242" s="200"/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200"/>
      <c r="AK242" s="200"/>
      <c r="AL242" s="200"/>
      <c r="DD242" s="132" t="s">
        <v>1</v>
      </c>
      <c r="DE242" s="133" t="s">
        <v>40</v>
      </c>
      <c r="DG242" s="134">
        <f>DF242*H242</f>
        <v>0</v>
      </c>
      <c r="DH242" s="134">
        <v>0</v>
      </c>
      <c r="DI242" s="134">
        <f>DH242*H242</f>
        <v>0</v>
      </c>
      <c r="DJ242" s="134">
        <v>0</v>
      </c>
      <c r="DK242" s="135">
        <f>DJ242*H242</f>
        <v>0</v>
      </c>
      <c r="EI242" s="136" t="s">
        <v>95</v>
      </c>
      <c r="EK242" s="136" t="s">
        <v>284</v>
      </c>
      <c r="EL242" s="136" t="s">
        <v>83</v>
      </c>
      <c r="EP242" s="16" t="s">
        <v>282</v>
      </c>
      <c r="EV242" s="137">
        <f>IF(DE242="základní",J242,0)</f>
        <v>676.31</v>
      </c>
      <c r="EW242" s="137">
        <f>IF(DE242="snížená",J242,0)</f>
        <v>0</v>
      </c>
      <c r="EX242" s="137">
        <f>IF(DE242="zákl. přenesená",J242,0)</f>
        <v>0</v>
      </c>
      <c r="EY242" s="137">
        <f>IF(DE242="sníž. přenesená",J242,0)</f>
        <v>0</v>
      </c>
      <c r="EZ242" s="137">
        <f>IF(DE242="nulová",J242,0)</f>
        <v>0</v>
      </c>
      <c r="FA242" s="16" t="s">
        <v>81</v>
      </c>
      <c r="FB242" s="137">
        <f>ROUND(I242*H242,2)</f>
        <v>676.31</v>
      </c>
      <c r="FC242" s="16" t="s">
        <v>95</v>
      </c>
      <c r="FD242" s="136" t="s">
        <v>1014</v>
      </c>
    </row>
    <row r="243" spans="2:160" s="1" customFormat="1" x14ac:dyDescent="0.2">
      <c r="B243" s="31"/>
      <c r="D243" s="138" t="s">
        <v>289</v>
      </c>
      <c r="F243" s="139" t="s">
        <v>1013</v>
      </c>
      <c r="I243" s="140"/>
      <c r="L243" s="31"/>
      <c r="N243" s="213"/>
      <c r="O243" s="214"/>
      <c r="Q243" s="229"/>
      <c r="DD243" s="141"/>
      <c r="DK243" s="50"/>
      <c r="EK243" s="16" t="s">
        <v>289</v>
      </c>
      <c r="EL243" s="16" t="s">
        <v>83</v>
      </c>
    </row>
    <row r="244" spans="2:160" s="1" customFormat="1" ht="24.2" customHeight="1" x14ac:dyDescent="0.2">
      <c r="B244" s="124"/>
      <c r="C244" s="125" t="s">
        <v>415</v>
      </c>
      <c r="D244" s="125" t="s">
        <v>284</v>
      </c>
      <c r="E244" s="126" t="s">
        <v>1015</v>
      </c>
      <c r="F244" s="127" t="s">
        <v>1016</v>
      </c>
      <c r="G244" s="128" t="s">
        <v>287</v>
      </c>
      <c r="H244" s="129">
        <v>10.5</v>
      </c>
      <c r="I244" s="130">
        <v>48.300657632010001</v>
      </c>
      <c r="J244" s="131">
        <f>ROUND(I244*H244,2)</f>
        <v>507.16</v>
      </c>
      <c r="K244" s="127" t="s">
        <v>293</v>
      </c>
      <c r="L244" s="198">
        <f>S244</f>
        <v>0</v>
      </c>
      <c r="M244" s="206">
        <f>ROUND(L244*I244,2)</f>
        <v>0</v>
      </c>
      <c r="N244" s="211">
        <f>N249</f>
        <v>-1.6980000000000004</v>
      </c>
      <c r="O244" s="212">
        <f>ROUND(N244*I244,2)</f>
        <v>-82.01</v>
      </c>
      <c r="P244" s="207">
        <f>H244-L244-N244</f>
        <v>12.198</v>
      </c>
      <c r="Q244" s="228">
        <f>ROUND(P244*I244,2)</f>
        <v>589.16999999999996</v>
      </c>
      <c r="R244" s="199"/>
      <c r="S244" s="200">
        <f>W244+Y244+AA244+AC244+AE244+AG244+AI244+AK244</f>
        <v>0</v>
      </c>
      <c r="T244" s="200">
        <f>ROUND(S244*I244,2)</f>
        <v>0</v>
      </c>
      <c r="U244" s="200">
        <f>H244-S244</f>
        <v>10.5</v>
      </c>
      <c r="V244" s="200">
        <f>ROUND(U244*I244,2)</f>
        <v>507.16</v>
      </c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DD244" s="132" t="s">
        <v>1</v>
      </c>
      <c r="DE244" s="133" t="s">
        <v>40</v>
      </c>
      <c r="DG244" s="134">
        <f>DF244*H244</f>
        <v>0</v>
      </c>
      <c r="DH244" s="134">
        <v>0</v>
      </c>
      <c r="DI244" s="134">
        <f>DH244*H244</f>
        <v>0</v>
      </c>
      <c r="DJ244" s="134">
        <v>0</v>
      </c>
      <c r="DK244" s="135">
        <f>DJ244*H244</f>
        <v>0</v>
      </c>
      <c r="EI244" s="136" t="s">
        <v>95</v>
      </c>
      <c r="EK244" s="136" t="s">
        <v>284</v>
      </c>
      <c r="EL244" s="136" t="s">
        <v>83</v>
      </c>
      <c r="EP244" s="16" t="s">
        <v>282</v>
      </c>
      <c r="EV244" s="137">
        <f>IF(DE244="základní",J244,0)</f>
        <v>507.16</v>
      </c>
      <c r="EW244" s="137">
        <f>IF(DE244="snížená",J244,0)</f>
        <v>0</v>
      </c>
      <c r="EX244" s="137">
        <f>IF(DE244="zákl. přenesená",J244,0)</f>
        <v>0</v>
      </c>
      <c r="EY244" s="137">
        <f>IF(DE244="sníž. přenesená",J244,0)</f>
        <v>0</v>
      </c>
      <c r="EZ244" s="137">
        <f>IF(DE244="nulová",J244,0)</f>
        <v>0</v>
      </c>
      <c r="FA244" s="16" t="s">
        <v>81</v>
      </c>
      <c r="FB244" s="137">
        <f>ROUND(I244*H244,2)</f>
        <v>507.16</v>
      </c>
      <c r="FC244" s="16" t="s">
        <v>95</v>
      </c>
      <c r="FD244" s="136" t="s">
        <v>1017</v>
      </c>
    </row>
    <row r="245" spans="2:160" s="1" customFormat="1" ht="29.25" x14ac:dyDescent="0.2">
      <c r="B245" s="31"/>
      <c r="D245" s="138" t="s">
        <v>289</v>
      </c>
      <c r="F245" s="139" t="s">
        <v>1018</v>
      </c>
      <c r="I245" s="140"/>
      <c r="L245" s="31"/>
      <c r="N245" s="213"/>
      <c r="O245" s="214"/>
      <c r="Q245" s="229"/>
      <c r="DD245" s="141"/>
      <c r="DK245" s="50"/>
      <c r="EK245" s="16" t="s">
        <v>289</v>
      </c>
      <c r="EL245" s="16" t="s">
        <v>83</v>
      </c>
    </row>
    <row r="246" spans="2:160" s="1" customFormat="1" ht="29.25" x14ac:dyDescent="0.2">
      <c r="B246" s="31"/>
      <c r="D246" s="138" t="s">
        <v>299</v>
      </c>
      <c r="F246" s="142" t="s">
        <v>1083</v>
      </c>
      <c r="I246" s="140"/>
      <c r="L246" s="31"/>
      <c r="N246" s="213"/>
      <c r="O246" s="214"/>
      <c r="Q246" s="229"/>
      <c r="DD246" s="141"/>
      <c r="DK246" s="50"/>
      <c r="EK246" s="16" t="s">
        <v>299</v>
      </c>
      <c r="EL246" s="16" t="s">
        <v>83</v>
      </c>
    </row>
    <row r="247" spans="2:160" s="11" customFormat="1" x14ac:dyDescent="0.2">
      <c r="B247" s="143"/>
      <c r="D247" s="138" t="s">
        <v>301</v>
      </c>
      <c r="E247" s="144" t="s">
        <v>1</v>
      </c>
      <c r="F247" s="145" t="s">
        <v>1088</v>
      </c>
      <c r="H247" s="144" t="s">
        <v>1</v>
      </c>
      <c r="I247" s="146"/>
      <c r="L247" s="143"/>
      <c r="N247" s="215"/>
      <c r="O247" s="216"/>
      <c r="Q247" s="230"/>
      <c r="DD247" s="147"/>
      <c r="DK247" s="148"/>
      <c r="EK247" s="144" t="s">
        <v>301</v>
      </c>
      <c r="EL247" s="144" t="s">
        <v>83</v>
      </c>
      <c r="EM247" s="11" t="s">
        <v>81</v>
      </c>
      <c r="EN247" s="11" t="s">
        <v>32</v>
      </c>
      <c r="EO247" s="11" t="s">
        <v>74</v>
      </c>
      <c r="EP247" s="144" t="s">
        <v>282</v>
      </c>
    </row>
    <row r="248" spans="2:160" s="12" customFormat="1" x14ac:dyDescent="0.2">
      <c r="B248" s="149"/>
      <c r="D248" s="138" t="s">
        <v>301</v>
      </c>
      <c r="E248" s="150" t="s">
        <v>1</v>
      </c>
      <c r="F248" s="151" t="s">
        <v>1237</v>
      </c>
      <c r="H248" s="152">
        <v>10.5</v>
      </c>
      <c r="I248" s="153"/>
      <c r="L248" s="149"/>
      <c r="N248" s="217">
        <f>29.34*3*0.1</f>
        <v>8.8019999999999996</v>
      </c>
      <c r="O248" s="218" t="s">
        <v>3672</v>
      </c>
      <c r="Q248" s="231"/>
      <c r="DD248" s="154"/>
      <c r="DK248" s="155"/>
      <c r="EK248" s="150" t="s">
        <v>301</v>
      </c>
      <c r="EL248" s="150" t="s">
        <v>83</v>
      </c>
      <c r="EM248" s="12" t="s">
        <v>83</v>
      </c>
      <c r="EN248" s="12" t="s">
        <v>32</v>
      </c>
      <c r="EO248" s="12" t="s">
        <v>81</v>
      </c>
      <c r="EP248" s="150" t="s">
        <v>282</v>
      </c>
    </row>
    <row r="249" spans="2:160" s="12" customFormat="1" x14ac:dyDescent="0.2">
      <c r="B249" s="149"/>
      <c r="D249" s="138"/>
      <c r="E249" s="150"/>
      <c r="F249" s="151"/>
      <c r="H249" s="152"/>
      <c r="I249" s="153"/>
      <c r="L249" s="149"/>
      <c r="N249" s="310">
        <f>N248-H248</f>
        <v>-1.6980000000000004</v>
      </c>
      <c r="O249" s="218"/>
      <c r="Q249" s="231"/>
      <c r="DD249" s="154"/>
      <c r="DK249" s="155"/>
      <c r="EK249" s="150"/>
      <c r="EL249" s="150"/>
      <c r="EP249" s="150"/>
    </row>
    <row r="250" spans="2:160" s="1" customFormat="1" ht="24.2" customHeight="1" x14ac:dyDescent="0.2">
      <c r="B250" s="124"/>
      <c r="C250" s="125" t="s">
        <v>422</v>
      </c>
      <c r="D250" s="125" t="s">
        <v>284</v>
      </c>
      <c r="E250" s="126" t="s">
        <v>457</v>
      </c>
      <c r="F250" s="127" t="s">
        <v>458</v>
      </c>
      <c r="G250" s="128" t="s">
        <v>418</v>
      </c>
      <c r="H250" s="129">
        <v>126.246</v>
      </c>
      <c r="I250" s="130">
        <v>61.737071122597108</v>
      </c>
      <c r="J250" s="131">
        <f>ROUND(I250*H250,2)</f>
        <v>7794.06</v>
      </c>
      <c r="K250" s="127" t="s">
        <v>293</v>
      </c>
      <c r="L250" s="198">
        <f>S250</f>
        <v>0</v>
      </c>
      <c r="M250" s="206">
        <f>ROUND(L250*I250,2)</f>
        <v>0</v>
      </c>
      <c r="N250" s="211">
        <f>N252</f>
        <v>-21.397000000000002</v>
      </c>
      <c r="O250" s="212">
        <f>ROUND(N250*I250,2)</f>
        <v>-1320.99</v>
      </c>
      <c r="P250" s="207">
        <f>H250-L250-N250</f>
        <v>147.643</v>
      </c>
      <c r="Q250" s="228">
        <f>ROUND(P250*I250,2)</f>
        <v>9115.0499999999993</v>
      </c>
      <c r="R250" s="199"/>
      <c r="S250" s="200">
        <f>W250+Y250+AA250+AC250+AE250+AG250+AI250+AK250</f>
        <v>0</v>
      </c>
      <c r="T250" s="200">
        <f>ROUND(S250*I250,2)</f>
        <v>0</v>
      </c>
      <c r="U250" s="200">
        <f>H250-S250</f>
        <v>126.246</v>
      </c>
      <c r="V250" s="200">
        <f>ROUND(U250*I250,2)</f>
        <v>7794.06</v>
      </c>
      <c r="W250" s="200"/>
      <c r="X250" s="200"/>
      <c r="Y250" s="200"/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DD250" s="132" t="s">
        <v>1</v>
      </c>
      <c r="DE250" s="133" t="s">
        <v>40</v>
      </c>
      <c r="DG250" s="134">
        <f>DF250*H250</f>
        <v>0</v>
      </c>
      <c r="DH250" s="134">
        <v>0</v>
      </c>
      <c r="DI250" s="134">
        <f>DH250*H250</f>
        <v>0</v>
      </c>
      <c r="DJ250" s="134">
        <v>0</v>
      </c>
      <c r="DK250" s="135">
        <f>DJ250*H250</f>
        <v>0</v>
      </c>
      <c r="EI250" s="136" t="s">
        <v>95</v>
      </c>
      <c r="EK250" s="136" t="s">
        <v>284</v>
      </c>
      <c r="EL250" s="136" t="s">
        <v>83</v>
      </c>
      <c r="EP250" s="16" t="s">
        <v>282</v>
      </c>
      <c r="EV250" s="137">
        <f>IF(DE250="základní",J250,0)</f>
        <v>7794.06</v>
      </c>
      <c r="EW250" s="137">
        <f>IF(DE250="snížená",J250,0)</f>
        <v>0</v>
      </c>
      <c r="EX250" s="137">
        <f>IF(DE250="zákl. přenesená",J250,0)</f>
        <v>0</v>
      </c>
      <c r="EY250" s="137">
        <f>IF(DE250="sníž. přenesená",J250,0)</f>
        <v>0</v>
      </c>
      <c r="EZ250" s="137">
        <f>IF(DE250="nulová",J250,0)</f>
        <v>0</v>
      </c>
      <c r="FA250" s="16" t="s">
        <v>81</v>
      </c>
      <c r="FB250" s="137">
        <f>ROUND(I250*H250,2)</f>
        <v>7794.06</v>
      </c>
      <c r="FC250" s="16" t="s">
        <v>95</v>
      </c>
      <c r="FD250" s="136" t="s">
        <v>459</v>
      </c>
    </row>
    <row r="251" spans="2:160" s="1" customFormat="1" ht="29.25" x14ac:dyDescent="0.2">
      <c r="B251" s="31"/>
      <c r="D251" s="138" t="s">
        <v>289</v>
      </c>
      <c r="F251" s="139" t="s">
        <v>460</v>
      </c>
      <c r="I251" s="140"/>
      <c r="L251" s="31"/>
      <c r="N251" s="213"/>
      <c r="O251" s="214"/>
      <c r="Q251" s="229"/>
      <c r="DD251" s="141"/>
      <c r="DK251" s="50"/>
      <c r="EK251" s="16" t="s">
        <v>289</v>
      </c>
      <c r="EL251" s="16" t="s">
        <v>83</v>
      </c>
    </row>
    <row r="252" spans="2:160" s="12" customFormat="1" x14ac:dyDescent="0.2">
      <c r="B252" s="149"/>
      <c r="D252" s="138" t="s">
        <v>301</v>
      </c>
      <c r="E252" s="150" t="s">
        <v>1</v>
      </c>
      <c r="F252" s="151" t="s">
        <v>1262</v>
      </c>
      <c r="H252" s="152">
        <v>126.246</v>
      </c>
      <c r="I252" s="153"/>
      <c r="L252" s="149"/>
      <c r="N252" s="217">
        <f>-16.303-5.094</f>
        <v>-21.397000000000002</v>
      </c>
      <c r="O252" s="218" t="s">
        <v>3688</v>
      </c>
      <c r="Q252" s="231"/>
      <c r="DD252" s="154"/>
      <c r="DK252" s="155"/>
      <c r="EK252" s="150" t="s">
        <v>301</v>
      </c>
      <c r="EL252" s="150" t="s">
        <v>83</v>
      </c>
      <c r="EM252" s="12" t="s">
        <v>83</v>
      </c>
      <c r="EN252" s="12" t="s">
        <v>32</v>
      </c>
      <c r="EO252" s="12" t="s">
        <v>81</v>
      </c>
      <c r="EP252" s="150" t="s">
        <v>282</v>
      </c>
    </row>
    <row r="253" spans="2:160" s="10" customFormat="1" ht="22.9" customHeight="1" x14ac:dyDescent="0.2">
      <c r="B253" s="112"/>
      <c r="D253" s="113" t="s">
        <v>73</v>
      </c>
      <c r="E253" s="122" t="s">
        <v>83</v>
      </c>
      <c r="F253" s="122" t="s">
        <v>462</v>
      </c>
      <c r="I253" s="115"/>
      <c r="J253" s="123">
        <f>FB253</f>
        <v>9242.39</v>
      </c>
      <c r="L253" s="112"/>
      <c r="M253" s="320">
        <f>M254</f>
        <v>0</v>
      </c>
      <c r="N253" s="323"/>
      <c r="O253" s="324">
        <f t="shared" ref="O253:V253" si="3">O254</f>
        <v>-1494.63</v>
      </c>
      <c r="P253" s="320"/>
      <c r="Q253" s="326">
        <f t="shared" si="3"/>
        <v>10737.02</v>
      </c>
      <c r="R253" s="320"/>
      <c r="S253" s="320"/>
      <c r="T253" s="320">
        <f t="shared" si="3"/>
        <v>0</v>
      </c>
      <c r="U253" s="320"/>
      <c r="V253" s="320">
        <f t="shared" si="3"/>
        <v>9242.39</v>
      </c>
      <c r="W253" s="320"/>
      <c r="DD253" s="117"/>
      <c r="DG253" s="118">
        <f>SUM(DG254:DG257)</f>
        <v>0</v>
      </c>
      <c r="DI253" s="118">
        <f>SUM(DI254:DI257)</f>
        <v>7.1641500000000002</v>
      </c>
      <c r="DK253" s="119">
        <f>SUM(DK254:DK257)</f>
        <v>0</v>
      </c>
      <c r="EI253" s="113" t="s">
        <v>81</v>
      </c>
      <c r="EK253" s="120" t="s">
        <v>73</v>
      </c>
      <c r="EL253" s="120" t="s">
        <v>81</v>
      </c>
      <c r="EP253" s="113" t="s">
        <v>282</v>
      </c>
      <c r="FB253" s="121">
        <f>SUM(FB254:FB257)</f>
        <v>9242.39</v>
      </c>
    </row>
    <row r="254" spans="2:160" s="1" customFormat="1" ht="37.9" customHeight="1" x14ac:dyDescent="0.2">
      <c r="B254" s="124"/>
      <c r="C254" s="125" t="s">
        <v>438</v>
      </c>
      <c r="D254" s="125" t="s">
        <v>284</v>
      </c>
      <c r="E254" s="126" t="s">
        <v>464</v>
      </c>
      <c r="F254" s="127" t="s">
        <v>465</v>
      </c>
      <c r="G254" s="128" t="s">
        <v>344</v>
      </c>
      <c r="H254" s="129">
        <v>35</v>
      </c>
      <c r="I254" s="130">
        <v>264.06831423630393</v>
      </c>
      <c r="J254" s="131">
        <f>ROUND(I254*H254,2)</f>
        <v>9242.39</v>
      </c>
      <c r="K254" s="127" t="s">
        <v>293</v>
      </c>
      <c r="L254" s="198">
        <f>S254</f>
        <v>0</v>
      </c>
      <c r="M254" s="206">
        <f>ROUND(L254*I254,2)</f>
        <v>0</v>
      </c>
      <c r="N254" s="211">
        <f>N257</f>
        <v>-5.66</v>
      </c>
      <c r="O254" s="212">
        <f>ROUND(N254*I254,2)</f>
        <v>-1494.63</v>
      </c>
      <c r="P254" s="207">
        <f>H254-L254-N254</f>
        <v>40.659999999999997</v>
      </c>
      <c r="Q254" s="228">
        <f>ROUND(P254*I254,2)</f>
        <v>10737.02</v>
      </c>
      <c r="R254" s="199"/>
      <c r="S254" s="200">
        <f>W254+Y254+AA254+AC254+AE254+AG254+AI254+AK254</f>
        <v>0</v>
      </c>
      <c r="T254" s="200">
        <f>ROUND(S254*I254,2)</f>
        <v>0</v>
      </c>
      <c r="U254" s="200">
        <f>H254-S254</f>
        <v>35</v>
      </c>
      <c r="V254" s="200">
        <f>ROUND(U254*I254,2)</f>
        <v>9242.39</v>
      </c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DD254" s="132" t="s">
        <v>1</v>
      </c>
      <c r="DE254" s="133" t="s">
        <v>40</v>
      </c>
      <c r="DG254" s="134">
        <f>DF254*H254</f>
        <v>0</v>
      </c>
      <c r="DH254" s="134">
        <v>0.20469000000000001</v>
      </c>
      <c r="DI254" s="134">
        <f>DH254*H254</f>
        <v>7.1641500000000002</v>
      </c>
      <c r="DJ254" s="134">
        <v>0</v>
      </c>
      <c r="DK254" s="135">
        <f>DJ254*H254</f>
        <v>0</v>
      </c>
      <c r="EI254" s="136" t="s">
        <v>95</v>
      </c>
      <c r="EK254" s="136" t="s">
        <v>284</v>
      </c>
      <c r="EL254" s="136" t="s">
        <v>83</v>
      </c>
      <c r="EP254" s="16" t="s">
        <v>282</v>
      </c>
      <c r="EV254" s="137">
        <f>IF(DE254="základní",J254,0)</f>
        <v>9242.39</v>
      </c>
      <c r="EW254" s="137">
        <f>IF(DE254="snížená",J254,0)</f>
        <v>0</v>
      </c>
      <c r="EX254" s="137">
        <f>IF(DE254="zákl. přenesená",J254,0)</f>
        <v>0</v>
      </c>
      <c r="EY254" s="137">
        <f>IF(DE254="sníž. přenesená",J254,0)</f>
        <v>0</v>
      </c>
      <c r="EZ254" s="137">
        <f>IF(DE254="nulová",J254,0)</f>
        <v>0</v>
      </c>
      <c r="FA254" s="16" t="s">
        <v>81</v>
      </c>
      <c r="FB254" s="137">
        <f>ROUND(I254*H254,2)</f>
        <v>9242.39</v>
      </c>
      <c r="FC254" s="16" t="s">
        <v>95</v>
      </c>
      <c r="FD254" s="136" t="s">
        <v>466</v>
      </c>
    </row>
    <row r="255" spans="2:160" s="1" customFormat="1" ht="39" x14ac:dyDescent="0.2">
      <c r="B255" s="31"/>
      <c r="D255" s="138" t="s">
        <v>289</v>
      </c>
      <c r="F255" s="139" t="s">
        <v>467</v>
      </c>
      <c r="I255" s="140"/>
      <c r="L255" s="31"/>
      <c r="N255" s="213"/>
      <c r="O255" s="214"/>
      <c r="Q255" s="229"/>
      <c r="DD255" s="141"/>
      <c r="DK255" s="50"/>
      <c r="EK255" s="16" t="s">
        <v>289</v>
      </c>
      <c r="EL255" s="16" t="s">
        <v>83</v>
      </c>
    </row>
    <row r="256" spans="2:160" s="1" customFormat="1" ht="29.25" x14ac:dyDescent="0.2">
      <c r="B256" s="31"/>
      <c r="D256" s="138" t="s">
        <v>299</v>
      </c>
      <c r="F256" s="142" t="s">
        <v>1083</v>
      </c>
      <c r="I256" s="140"/>
      <c r="L256" s="31"/>
      <c r="N256" s="213"/>
      <c r="O256" s="214"/>
      <c r="Q256" s="229"/>
      <c r="DD256" s="141"/>
      <c r="DK256" s="50"/>
      <c r="EK256" s="16" t="s">
        <v>299</v>
      </c>
      <c r="EL256" s="16" t="s">
        <v>83</v>
      </c>
    </row>
    <row r="257" spans="2:160" s="12" customFormat="1" x14ac:dyDescent="0.2">
      <c r="B257" s="149"/>
      <c r="D257" s="138" t="s">
        <v>301</v>
      </c>
      <c r="E257" s="150" t="s">
        <v>1</v>
      </c>
      <c r="F257" s="151" t="s">
        <v>501</v>
      </c>
      <c r="H257" s="152">
        <v>35</v>
      </c>
      <c r="I257" s="153"/>
      <c r="L257" s="149"/>
      <c r="N257" s="217">
        <f>29.34-35</f>
        <v>-5.66</v>
      </c>
      <c r="O257" s="218" t="s">
        <v>3685</v>
      </c>
      <c r="Q257" s="231"/>
      <c r="DD257" s="154"/>
      <c r="DK257" s="155"/>
      <c r="EK257" s="150" t="s">
        <v>301</v>
      </c>
      <c r="EL257" s="150" t="s">
        <v>83</v>
      </c>
      <c r="EM257" s="12" t="s">
        <v>83</v>
      </c>
      <c r="EN257" s="12" t="s">
        <v>32</v>
      </c>
      <c r="EO257" s="12" t="s">
        <v>81</v>
      </c>
      <c r="EP257" s="150" t="s">
        <v>282</v>
      </c>
    </row>
    <row r="258" spans="2:160" s="10" customFormat="1" ht="22.9" customHeight="1" x14ac:dyDescent="0.2">
      <c r="B258" s="112"/>
      <c r="D258" s="113" t="s">
        <v>73</v>
      </c>
      <c r="E258" s="122" t="s">
        <v>95</v>
      </c>
      <c r="F258" s="122" t="s">
        <v>469</v>
      </c>
      <c r="I258" s="115"/>
      <c r="J258" s="123">
        <f>FB258</f>
        <v>6657.7400000000007</v>
      </c>
      <c r="L258" s="112"/>
      <c r="M258" s="320">
        <f>M259+M264+M269</f>
        <v>0</v>
      </c>
      <c r="N258" s="323"/>
      <c r="O258" s="324">
        <f t="shared" ref="O258:V258" si="4">O259+O264+O269</f>
        <v>-679.3</v>
      </c>
      <c r="P258" s="320"/>
      <c r="Q258" s="326">
        <f t="shared" si="4"/>
        <v>7337.04</v>
      </c>
      <c r="R258" s="320"/>
      <c r="S258" s="320"/>
      <c r="T258" s="320">
        <f t="shared" si="4"/>
        <v>0</v>
      </c>
      <c r="U258" s="320"/>
      <c r="V258" s="320">
        <f t="shared" si="4"/>
        <v>6657.7400000000007</v>
      </c>
      <c r="DD258" s="117"/>
      <c r="DG258" s="118">
        <f>SUM(DG259:DG273)</f>
        <v>0</v>
      </c>
      <c r="DI258" s="118">
        <f>SUM(DI259:DI273)</f>
        <v>0</v>
      </c>
      <c r="DK258" s="119">
        <f>SUM(DK259:DK273)</f>
        <v>0</v>
      </c>
      <c r="EI258" s="113" t="s">
        <v>81</v>
      </c>
      <c r="EK258" s="120" t="s">
        <v>73</v>
      </c>
      <c r="EL258" s="120" t="s">
        <v>81</v>
      </c>
      <c r="EP258" s="113" t="s">
        <v>282</v>
      </c>
      <c r="FB258" s="121">
        <f>SUM(FB259:FB273)</f>
        <v>6657.7400000000007</v>
      </c>
    </row>
    <row r="259" spans="2:160" s="1" customFormat="1" ht="14.45" customHeight="1" x14ac:dyDescent="0.2">
      <c r="B259" s="124"/>
      <c r="C259" s="125" t="s">
        <v>445</v>
      </c>
      <c r="D259" s="125" t="s">
        <v>284</v>
      </c>
      <c r="E259" s="126" t="s">
        <v>471</v>
      </c>
      <c r="F259" s="127" t="s">
        <v>472</v>
      </c>
      <c r="G259" s="128" t="s">
        <v>366</v>
      </c>
      <c r="H259" s="129">
        <v>3.5</v>
      </c>
      <c r="I259" s="130">
        <v>1200.17173250368</v>
      </c>
      <c r="J259" s="131">
        <f>ROUND(I259*H259,2)</f>
        <v>4200.6000000000004</v>
      </c>
      <c r="K259" s="127" t="s">
        <v>293</v>
      </c>
      <c r="L259" s="198">
        <f>S259</f>
        <v>0</v>
      </c>
      <c r="M259" s="206">
        <f>ROUND(L259*I259,2)</f>
        <v>0</v>
      </c>
      <c r="N259" s="211">
        <f>N263</f>
        <v>-0.56599999999999984</v>
      </c>
      <c r="O259" s="212">
        <f>ROUND(N259*I259,2)</f>
        <v>-679.3</v>
      </c>
      <c r="P259" s="207">
        <f>H259-L259-N259</f>
        <v>4.0659999999999998</v>
      </c>
      <c r="Q259" s="228">
        <f>ROUND(P259*I259,2)</f>
        <v>4879.8999999999996</v>
      </c>
      <c r="R259" s="199"/>
      <c r="S259" s="200">
        <f>W259+Y259+AA259+AC259+AE259+AG259+AI259+AK259</f>
        <v>0</v>
      </c>
      <c r="T259" s="200">
        <f>ROUND(S259*I259,2)</f>
        <v>0</v>
      </c>
      <c r="U259" s="200">
        <f>H259-S259</f>
        <v>3.5</v>
      </c>
      <c r="V259" s="200">
        <f>ROUND(U259*I259,2)</f>
        <v>4200.6000000000004</v>
      </c>
      <c r="W259" s="200"/>
      <c r="X259" s="200"/>
      <c r="Y259" s="200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DD259" s="132" t="s">
        <v>1</v>
      </c>
      <c r="DE259" s="133" t="s">
        <v>40</v>
      </c>
      <c r="DG259" s="134">
        <f>DF259*H259</f>
        <v>0</v>
      </c>
      <c r="DH259" s="134">
        <v>0</v>
      </c>
      <c r="DI259" s="134">
        <f>DH259*H259</f>
        <v>0</v>
      </c>
      <c r="DJ259" s="134">
        <v>0</v>
      </c>
      <c r="DK259" s="135">
        <f>DJ259*H259</f>
        <v>0</v>
      </c>
      <c r="EI259" s="136" t="s">
        <v>95</v>
      </c>
      <c r="EK259" s="136" t="s">
        <v>284</v>
      </c>
      <c r="EL259" s="136" t="s">
        <v>83</v>
      </c>
      <c r="EP259" s="16" t="s">
        <v>282</v>
      </c>
      <c r="EV259" s="137">
        <f>IF(DE259="základní",J259,0)</f>
        <v>4200.6000000000004</v>
      </c>
      <c r="EW259" s="137">
        <f>IF(DE259="snížená",J259,0)</f>
        <v>0</v>
      </c>
      <c r="EX259" s="137">
        <f>IF(DE259="zákl. přenesená",J259,0)</f>
        <v>0</v>
      </c>
      <c r="EY259" s="137">
        <f>IF(DE259="sníž. přenesená",J259,0)</f>
        <v>0</v>
      </c>
      <c r="EZ259" s="137">
        <f>IF(DE259="nulová",J259,0)</f>
        <v>0</v>
      </c>
      <c r="FA259" s="16" t="s">
        <v>81</v>
      </c>
      <c r="FB259" s="137">
        <f>ROUND(I259*H259,2)</f>
        <v>4200.6000000000004</v>
      </c>
      <c r="FC259" s="16" t="s">
        <v>95</v>
      </c>
      <c r="FD259" s="136" t="s">
        <v>473</v>
      </c>
    </row>
    <row r="260" spans="2:160" s="1" customFormat="1" ht="19.5" x14ac:dyDescent="0.2">
      <c r="B260" s="31"/>
      <c r="D260" s="138" t="s">
        <v>289</v>
      </c>
      <c r="F260" s="139" t="s">
        <v>474</v>
      </c>
      <c r="I260" s="140"/>
      <c r="L260" s="31"/>
      <c r="N260" s="213"/>
      <c r="O260" s="214"/>
      <c r="Q260" s="229"/>
      <c r="DD260" s="141"/>
      <c r="DK260" s="50"/>
      <c r="EK260" s="16" t="s">
        <v>289</v>
      </c>
      <c r="EL260" s="16" t="s">
        <v>83</v>
      </c>
    </row>
    <row r="261" spans="2:160" s="1" customFormat="1" ht="29.25" x14ac:dyDescent="0.2">
      <c r="B261" s="31"/>
      <c r="D261" s="138" t="s">
        <v>299</v>
      </c>
      <c r="F261" s="142" t="s">
        <v>1083</v>
      </c>
      <c r="I261" s="140"/>
      <c r="L261" s="31"/>
      <c r="N261" s="213"/>
      <c r="O261" s="214"/>
      <c r="Q261" s="229"/>
      <c r="DD261" s="141"/>
      <c r="DK261" s="50"/>
      <c r="EK261" s="16" t="s">
        <v>299</v>
      </c>
      <c r="EL261" s="16" t="s">
        <v>83</v>
      </c>
    </row>
    <row r="262" spans="2:160" s="12" customFormat="1" x14ac:dyDescent="0.2">
      <c r="B262" s="149"/>
      <c r="D262" s="138" t="s">
        <v>301</v>
      </c>
      <c r="E262" s="150" t="s">
        <v>1</v>
      </c>
      <c r="F262" s="151" t="s">
        <v>1263</v>
      </c>
      <c r="H262" s="152">
        <v>3.5</v>
      </c>
      <c r="I262" s="153"/>
      <c r="L262" s="149"/>
      <c r="N262" s="217">
        <f>29.34*1*0.1</f>
        <v>2.9340000000000002</v>
      </c>
      <c r="O262" s="218" t="s">
        <v>3686</v>
      </c>
      <c r="Q262" s="231"/>
      <c r="DD262" s="154"/>
      <c r="DK262" s="155"/>
      <c r="EK262" s="150" t="s">
        <v>301</v>
      </c>
      <c r="EL262" s="150" t="s">
        <v>83</v>
      </c>
      <c r="EM262" s="12" t="s">
        <v>83</v>
      </c>
      <c r="EN262" s="12" t="s">
        <v>32</v>
      </c>
      <c r="EO262" s="12" t="s">
        <v>81</v>
      </c>
      <c r="EP262" s="150" t="s">
        <v>282</v>
      </c>
    </row>
    <row r="263" spans="2:160" s="12" customFormat="1" x14ac:dyDescent="0.2">
      <c r="B263" s="149"/>
      <c r="D263" s="138"/>
      <c r="E263" s="150"/>
      <c r="F263" s="151"/>
      <c r="H263" s="152"/>
      <c r="I263" s="153"/>
      <c r="L263" s="149"/>
      <c r="N263" s="310">
        <f>N262-H262</f>
        <v>-0.56599999999999984</v>
      </c>
      <c r="O263" s="218"/>
      <c r="Q263" s="231"/>
      <c r="DD263" s="154"/>
      <c r="DK263" s="155"/>
      <c r="EK263" s="150"/>
      <c r="EL263" s="150"/>
      <c r="EP263" s="150"/>
    </row>
    <row r="264" spans="2:160" s="1" customFormat="1" ht="14.45" customHeight="1" x14ac:dyDescent="0.2">
      <c r="B264" s="124"/>
      <c r="C264" s="125" t="s">
        <v>451</v>
      </c>
      <c r="D264" s="125" t="s">
        <v>284</v>
      </c>
      <c r="E264" s="126" t="s">
        <v>477</v>
      </c>
      <c r="F264" s="127" t="s">
        <v>478</v>
      </c>
      <c r="G264" s="128" t="s">
        <v>366</v>
      </c>
      <c r="H264" s="129">
        <v>0.6</v>
      </c>
      <c r="I264" s="130">
        <v>1200.17173250368</v>
      </c>
      <c r="J264" s="131">
        <f>ROUND(I264*H264,2)</f>
        <v>720.1</v>
      </c>
      <c r="K264" s="127" t="s">
        <v>1</v>
      </c>
      <c r="L264" s="198">
        <f>S264</f>
        <v>0</v>
      </c>
      <c r="M264" s="206">
        <f>ROUND(L264*I264,2)</f>
        <v>0</v>
      </c>
      <c r="N264" s="211"/>
      <c r="O264" s="212">
        <f>ROUND(N264*I264,2)</f>
        <v>0</v>
      </c>
      <c r="P264" s="207">
        <f>H264-L264-N264</f>
        <v>0.6</v>
      </c>
      <c r="Q264" s="228">
        <f>ROUND(P264*I264,2)</f>
        <v>720.1</v>
      </c>
      <c r="R264" s="199"/>
      <c r="S264" s="200">
        <f>W264+Y264+AA264+AC264+AE264+AG264+AI264+AK264</f>
        <v>0</v>
      </c>
      <c r="T264" s="200">
        <f>ROUND(S264*I264,2)</f>
        <v>0</v>
      </c>
      <c r="U264" s="200">
        <f>H264-S264</f>
        <v>0.6</v>
      </c>
      <c r="V264" s="200">
        <f>ROUND(U264*I264,2)</f>
        <v>720.1</v>
      </c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DD264" s="132" t="s">
        <v>1</v>
      </c>
      <c r="DE264" s="133" t="s">
        <v>40</v>
      </c>
      <c r="DG264" s="134">
        <f>DF264*H264</f>
        <v>0</v>
      </c>
      <c r="DH264" s="134">
        <v>0</v>
      </c>
      <c r="DI264" s="134">
        <f>DH264*H264</f>
        <v>0</v>
      </c>
      <c r="DJ264" s="134">
        <v>0</v>
      </c>
      <c r="DK264" s="135">
        <f>DJ264*H264</f>
        <v>0</v>
      </c>
      <c r="EI264" s="136" t="s">
        <v>95</v>
      </c>
      <c r="EK264" s="136" t="s">
        <v>284</v>
      </c>
      <c r="EL264" s="136" t="s">
        <v>83</v>
      </c>
      <c r="EP264" s="16" t="s">
        <v>282</v>
      </c>
      <c r="EV264" s="137">
        <f>IF(DE264="základní",J264,0)</f>
        <v>720.1</v>
      </c>
      <c r="EW264" s="137">
        <f>IF(DE264="snížená",J264,0)</f>
        <v>0</v>
      </c>
      <c r="EX264" s="137">
        <f>IF(DE264="zákl. přenesená",J264,0)</f>
        <v>0</v>
      </c>
      <c r="EY264" s="137">
        <f>IF(DE264="sníž. přenesená",J264,0)</f>
        <v>0</v>
      </c>
      <c r="EZ264" s="137">
        <f>IF(DE264="nulová",J264,0)</f>
        <v>0</v>
      </c>
      <c r="FA264" s="16" t="s">
        <v>81</v>
      </c>
      <c r="FB264" s="137">
        <f>ROUND(I264*H264,2)</f>
        <v>720.1</v>
      </c>
      <c r="FC264" s="16" t="s">
        <v>95</v>
      </c>
      <c r="FD264" s="136" t="s">
        <v>479</v>
      </c>
    </row>
    <row r="265" spans="2:160" s="1" customFormat="1" ht="19.5" x14ac:dyDescent="0.2">
      <c r="B265" s="31"/>
      <c r="D265" s="138" t="s">
        <v>289</v>
      </c>
      <c r="F265" s="139" t="s">
        <v>474</v>
      </c>
      <c r="I265" s="140"/>
      <c r="L265" s="31"/>
      <c r="N265" s="213"/>
      <c r="O265" s="214"/>
      <c r="Q265" s="229"/>
      <c r="DD265" s="141"/>
      <c r="DK265" s="50"/>
      <c r="EK265" s="16" t="s">
        <v>289</v>
      </c>
      <c r="EL265" s="16" t="s">
        <v>83</v>
      </c>
    </row>
    <row r="266" spans="2:160" s="1" customFormat="1" ht="29.25" x14ac:dyDescent="0.2">
      <c r="B266" s="31"/>
      <c r="D266" s="138" t="s">
        <v>299</v>
      </c>
      <c r="F266" s="142" t="s">
        <v>1083</v>
      </c>
      <c r="I266" s="140"/>
      <c r="L266" s="31"/>
      <c r="N266" s="213"/>
      <c r="O266" s="214"/>
      <c r="Q266" s="229"/>
      <c r="DD266" s="141"/>
      <c r="DK266" s="50"/>
      <c r="EK266" s="16" t="s">
        <v>299</v>
      </c>
      <c r="EL266" s="16" t="s">
        <v>83</v>
      </c>
    </row>
    <row r="267" spans="2:160" s="11" customFormat="1" x14ac:dyDescent="0.2">
      <c r="B267" s="143"/>
      <c r="D267" s="138" t="s">
        <v>301</v>
      </c>
      <c r="E267" s="144" t="s">
        <v>1</v>
      </c>
      <c r="F267" s="145" t="s">
        <v>1122</v>
      </c>
      <c r="H267" s="144" t="s">
        <v>1</v>
      </c>
      <c r="I267" s="146"/>
      <c r="L267" s="143"/>
      <c r="N267" s="215"/>
      <c r="O267" s="216"/>
      <c r="Q267" s="230"/>
      <c r="DD267" s="147"/>
      <c r="DK267" s="148"/>
      <c r="EK267" s="144" t="s">
        <v>301</v>
      </c>
      <c r="EL267" s="144" t="s">
        <v>83</v>
      </c>
      <c r="EM267" s="11" t="s">
        <v>81</v>
      </c>
      <c r="EN267" s="11" t="s">
        <v>32</v>
      </c>
      <c r="EO267" s="11" t="s">
        <v>74</v>
      </c>
      <c r="EP267" s="144" t="s">
        <v>282</v>
      </c>
    </row>
    <row r="268" spans="2:160" s="12" customFormat="1" x14ac:dyDescent="0.2">
      <c r="B268" s="149"/>
      <c r="D268" s="138" t="s">
        <v>301</v>
      </c>
      <c r="E268" s="150" t="s">
        <v>1</v>
      </c>
      <c r="F268" s="151" t="s">
        <v>1264</v>
      </c>
      <c r="H268" s="152">
        <v>0.6</v>
      </c>
      <c r="I268" s="153"/>
      <c r="L268" s="149"/>
      <c r="N268" s="217"/>
      <c r="O268" s="218"/>
      <c r="Q268" s="231"/>
      <c r="DD268" s="154"/>
      <c r="DK268" s="155"/>
      <c r="EK268" s="150" t="s">
        <v>301</v>
      </c>
      <c r="EL268" s="150" t="s">
        <v>83</v>
      </c>
      <c r="EM268" s="12" t="s">
        <v>83</v>
      </c>
      <c r="EN268" s="12" t="s">
        <v>32</v>
      </c>
      <c r="EO268" s="12" t="s">
        <v>81</v>
      </c>
      <c r="EP268" s="150" t="s">
        <v>282</v>
      </c>
    </row>
    <row r="269" spans="2:160" s="1" customFormat="1" ht="24.2" customHeight="1" x14ac:dyDescent="0.2">
      <c r="B269" s="124"/>
      <c r="C269" s="125" t="s">
        <v>456</v>
      </c>
      <c r="D269" s="125" t="s">
        <v>284</v>
      </c>
      <c r="E269" s="126" t="s">
        <v>515</v>
      </c>
      <c r="F269" s="127" t="s">
        <v>516</v>
      </c>
      <c r="G269" s="128" t="s">
        <v>366</v>
      </c>
      <c r="H269" s="129">
        <v>0.6</v>
      </c>
      <c r="I269" s="130">
        <v>2895.0660868876225</v>
      </c>
      <c r="J269" s="131">
        <f>ROUND(I269*H269,2)</f>
        <v>1737.04</v>
      </c>
      <c r="K269" s="127" t="s">
        <v>293</v>
      </c>
      <c r="L269" s="198">
        <f>S269</f>
        <v>0</v>
      </c>
      <c r="M269" s="206">
        <f>ROUND(L269*I269,2)</f>
        <v>0</v>
      </c>
      <c r="N269" s="211"/>
      <c r="O269" s="212">
        <f>ROUND(N269*I269,2)</f>
        <v>0</v>
      </c>
      <c r="P269" s="207">
        <f>H269-L269-N269</f>
        <v>0.6</v>
      </c>
      <c r="Q269" s="228">
        <f>ROUND(P269*I269,2)</f>
        <v>1737.04</v>
      </c>
      <c r="R269" s="199"/>
      <c r="S269" s="200">
        <f>W269+Y269+AA269+AC269+AE269+AG269+AI269+AK269</f>
        <v>0</v>
      </c>
      <c r="T269" s="200">
        <f>ROUND(S269*I269,2)</f>
        <v>0</v>
      </c>
      <c r="U269" s="200">
        <f>H269-S269</f>
        <v>0.6</v>
      </c>
      <c r="V269" s="200">
        <f>ROUND(U269*I269,2)</f>
        <v>1737.04</v>
      </c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DD269" s="132" t="s">
        <v>1</v>
      </c>
      <c r="DE269" s="133" t="s">
        <v>40</v>
      </c>
      <c r="DG269" s="134">
        <f>DF269*H269</f>
        <v>0</v>
      </c>
      <c r="DH269" s="134">
        <v>0</v>
      </c>
      <c r="DI269" s="134">
        <f>DH269*H269</f>
        <v>0</v>
      </c>
      <c r="DJ269" s="134">
        <v>0</v>
      </c>
      <c r="DK269" s="135">
        <f>DJ269*H269</f>
        <v>0</v>
      </c>
      <c r="EI269" s="136" t="s">
        <v>95</v>
      </c>
      <c r="EK269" s="136" t="s">
        <v>284</v>
      </c>
      <c r="EL269" s="136" t="s">
        <v>83</v>
      </c>
      <c r="EP269" s="16" t="s">
        <v>282</v>
      </c>
      <c r="EV269" s="137">
        <f>IF(DE269="základní",J269,0)</f>
        <v>1737.04</v>
      </c>
      <c r="EW269" s="137">
        <f>IF(DE269="snížená",J269,0)</f>
        <v>0</v>
      </c>
      <c r="EX269" s="137">
        <f>IF(DE269="zákl. přenesená",J269,0)</f>
        <v>0</v>
      </c>
      <c r="EY269" s="137">
        <f>IF(DE269="sníž. přenesená",J269,0)</f>
        <v>0</v>
      </c>
      <c r="EZ269" s="137">
        <f>IF(DE269="nulová",J269,0)</f>
        <v>0</v>
      </c>
      <c r="FA269" s="16" t="s">
        <v>81</v>
      </c>
      <c r="FB269" s="137">
        <f>ROUND(I269*H269,2)</f>
        <v>1737.04</v>
      </c>
      <c r="FC269" s="16" t="s">
        <v>95</v>
      </c>
      <c r="FD269" s="136" t="s">
        <v>517</v>
      </c>
    </row>
    <row r="270" spans="2:160" s="1" customFormat="1" ht="29.25" x14ac:dyDescent="0.2">
      <c r="B270" s="31"/>
      <c r="D270" s="138" t="s">
        <v>289</v>
      </c>
      <c r="F270" s="139" t="s">
        <v>518</v>
      </c>
      <c r="I270" s="140"/>
      <c r="L270" s="31"/>
      <c r="N270" s="213"/>
      <c r="O270" s="214"/>
      <c r="Q270" s="229"/>
      <c r="DD270" s="141"/>
      <c r="DK270" s="50"/>
      <c r="EK270" s="16" t="s">
        <v>289</v>
      </c>
      <c r="EL270" s="16" t="s">
        <v>83</v>
      </c>
    </row>
    <row r="271" spans="2:160" s="1" customFormat="1" ht="29.25" x14ac:dyDescent="0.2">
      <c r="B271" s="31"/>
      <c r="D271" s="138" t="s">
        <v>299</v>
      </c>
      <c r="F271" s="142" t="s">
        <v>1083</v>
      </c>
      <c r="I271" s="140"/>
      <c r="L271" s="31"/>
      <c r="N271" s="213"/>
      <c r="O271" s="214"/>
      <c r="Q271" s="229"/>
      <c r="DD271" s="141"/>
      <c r="DK271" s="50"/>
      <c r="EK271" s="16" t="s">
        <v>299</v>
      </c>
      <c r="EL271" s="16" t="s">
        <v>83</v>
      </c>
    </row>
    <row r="272" spans="2:160" s="11" customFormat="1" x14ac:dyDescent="0.2">
      <c r="B272" s="143"/>
      <c r="D272" s="138" t="s">
        <v>301</v>
      </c>
      <c r="E272" s="144" t="s">
        <v>1</v>
      </c>
      <c r="F272" s="145" t="s">
        <v>1122</v>
      </c>
      <c r="H272" s="144" t="s">
        <v>1</v>
      </c>
      <c r="I272" s="146"/>
      <c r="L272" s="143"/>
      <c r="N272" s="215"/>
      <c r="O272" s="216"/>
      <c r="Q272" s="230"/>
      <c r="DD272" s="147"/>
      <c r="DK272" s="148"/>
      <c r="EK272" s="144" t="s">
        <v>301</v>
      </c>
      <c r="EL272" s="144" t="s">
        <v>83</v>
      </c>
      <c r="EM272" s="11" t="s">
        <v>81</v>
      </c>
      <c r="EN272" s="11" t="s">
        <v>32</v>
      </c>
      <c r="EO272" s="11" t="s">
        <v>74</v>
      </c>
      <c r="EP272" s="144" t="s">
        <v>282</v>
      </c>
    </row>
    <row r="273" spans="2:160" s="12" customFormat="1" x14ac:dyDescent="0.2">
      <c r="B273" s="149"/>
      <c r="D273" s="138" t="s">
        <v>301</v>
      </c>
      <c r="E273" s="150" t="s">
        <v>1</v>
      </c>
      <c r="F273" s="151" t="s">
        <v>1264</v>
      </c>
      <c r="H273" s="152">
        <v>0.6</v>
      </c>
      <c r="I273" s="153"/>
      <c r="L273" s="149"/>
      <c r="N273" s="217"/>
      <c r="O273" s="218"/>
      <c r="Q273" s="231"/>
      <c r="DD273" s="154"/>
      <c r="DK273" s="155"/>
      <c r="EK273" s="150" t="s">
        <v>301</v>
      </c>
      <c r="EL273" s="150" t="s">
        <v>83</v>
      </c>
      <c r="EM273" s="12" t="s">
        <v>83</v>
      </c>
      <c r="EN273" s="12" t="s">
        <v>32</v>
      </c>
      <c r="EO273" s="12" t="s">
        <v>81</v>
      </c>
      <c r="EP273" s="150" t="s">
        <v>282</v>
      </c>
    </row>
    <row r="274" spans="2:160" s="10" customFormat="1" ht="22.9" customHeight="1" x14ac:dyDescent="0.2">
      <c r="B274" s="112"/>
      <c r="D274" s="113" t="s">
        <v>73</v>
      </c>
      <c r="E274" s="122" t="s">
        <v>312</v>
      </c>
      <c r="F274" s="122" t="s">
        <v>520</v>
      </c>
      <c r="I274" s="115"/>
      <c r="J274" s="123">
        <f>FB274</f>
        <v>23143.730000000003</v>
      </c>
      <c r="L274" s="112"/>
      <c r="M274" s="320">
        <f>M275+M277+M279+M281</f>
        <v>0</v>
      </c>
      <c r="N274" s="323"/>
      <c r="O274" s="324">
        <f t="shared" ref="O274:V274" si="5">O275+O277+O279+O281</f>
        <v>-3742.67</v>
      </c>
      <c r="P274" s="320"/>
      <c r="Q274" s="326">
        <f t="shared" si="5"/>
        <v>26886.410000000003</v>
      </c>
      <c r="R274" s="320"/>
      <c r="S274" s="320"/>
      <c r="T274" s="320">
        <f t="shared" si="5"/>
        <v>0</v>
      </c>
      <c r="U274" s="320"/>
      <c r="V274" s="320">
        <f t="shared" si="5"/>
        <v>23143.730000000003</v>
      </c>
      <c r="DD274" s="117"/>
      <c r="DG274" s="118">
        <f>SUM(DG275:DG285)</f>
        <v>0</v>
      </c>
      <c r="DI274" s="118">
        <f>SUM(DI275:DI285)</f>
        <v>0</v>
      </c>
      <c r="DK274" s="119">
        <f>SUM(DK275:DK285)</f>
        <v>0</v>
      </c>
      <c r="EI274" s="113" t="s">
        <v>81</v>
      </c>
      <c r="EK274" s="120" t="s">
        <v>73</v>
      </c>
      <c r="EL274" s="120" t="s">
        <v>81</v>
      </c>
      <c r="EP274" s="113" t="s">
        <v>282</v>
      </c>
      <c r="FB274" s="121">
        <f>SUM(FB275:FB285)</f>
        <v>23143.730000000003</v>
      </c>
    </row>
    <row r="275" spans="2:160" s="1" customFormat="1" ht="24.2" customHeight="1" x14ac:dyDescent="0.2">
      <c r="B275" s="124"/>
      <c r="C275" s="125" t="s">
        <v>463</v>
      </c>
      <c r="D275" s="125" t="s">
        <v>284</v>
      </c>
      <c r="E275" s="126" t="s">
        <v>522</v>
      </c>
      <c r="F275" s="127" t="s">
        <v>523</v>
      </c>
      <c r="G275" s="128" t="s">
        <v>287</v>
      </c>
      <c r="H275" s="129">
        <v>31.5</v>
      </c>
      <c r="I275" s="130">
        <v>130.95617506780872</v>
      </c>
      <c r="J275" s="131">
        <f>ROUND(I275*H275,2)</f>
        <v>4125.12</v>
      </c>
      <c r="K275" s="127" t="s">
        <v>293</v>
      </c>
      <c r="L275" s="198">
        <f>S275</f>
        <v>0</v>
      </c>
      <c r="M275" s="206">
        <f>ROUND(L275*I275,2)</f>
        <v>0</v>
      </c>
      <c r="N275" s="211">
        <f>N124</f>
        <v>-5.0940000000000012</v>
      </c>
      <c r="O275" s="212">
        <f>ROUND(N275*I275,2)</f>
        <v>-667.09</v>
      </c>
      <c r="P275" s="207">
        <f>H275-L275-N275</f>
        <v>36.594000000000001</v>
      </c>
      <c r="Q275" s="228">
        <f>ROUND(P275*I275,2)</f>
        <v>4792.21</v>
      </c>
      <c r="R275" s="199"/>
      <c r="S275" s="200">
        <f>W275+Y275+AA275+AC275+AE275+AG275+AI275+AK275</f>
        <v>0</v>
      </c>
      <c r="T275" s="200">
        <f>ROUND(S275*I275,2)</f>
        <v>0</v>
      </c>
      <c r="U275" s="200">
        <f>H275-S275</f>
        <v>31.5</v>
      </c>
      <c r="V275" s="200">
        <f>ROUND(U275*I275,2)</f>
        <v>4125.12</v>
      </c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DD275" s="132" t="s">
        <v>1</v>
      </c>
      <c r="DE275" s="133" t="s">
        <v>40</v>
      </c>
      <c r="DG275" s="134">
        <f>DF275*H275</f>
        <v>0</v>
      </c>
      <c r="DH275" s="134">
        <v>0</v>
      </c>
      <c r="DI275" s="134">
        <f>DH275*H275</f>
        <v>0</v>
      </c>
      <c r="DJ275" s="134">
        <v>0</v>
      </c>
      <c r="DK275" s="135">
        <f>DJ275*H275</f>
        <v>0</v>
      </c>
      <c r="EI275" s="136" t="s">
        <v>95</v>
      </c>
      <c r="EK275" s="136" t="s">
        <v>284</v>
      </c>
      <c r="EL275" s="136" t="s">
        <v>83</v>
      </c>
      <c r="EP275" s="16" t="s">
        <v>282</v>
      </c>
      <c r="EV275" s="137">
        <f>IF(DE275="základní",J275,0)</f>
        <v>4125.12</v>
      </c>
      <c r="EW275" s="137">
        <f>IF(DE275="snížená",J275,0)</f>
        <v>0</v>
      </c>
      <c r="EX275" s="137">
        <f>IF(DE275="zákl. přenesená",J275,0)</f>
        <v>0</v>
      </c>
      <c r="EY275" s="137">
        <f>IF(DE275="sníž. přenesená",J275,0)</f>
        <v>0</v>
      </c>
      <c r="EZ275" s="137">
        <f>IF(DE275="nulová",J275,0)</f>
        <v>0</v>
      </c>
      <c r="FA275" s="16" t="s">
        <v>81</v>
      </c>
      <c r="FB275" s="137">
        <f>ROUND(I275*H275,2)</f>
        <v>4125.12</v>
      </c>
      <c r="FC275" s="16" t="s">
        <v>95</v>
      </c>
      <c r="FD275" s="136" t="s">
        <v>524</v>
      </c>
    </row>
    <row r="276" spans="2:160" s="1" customFormat="1" ht="19.5" x14ac:dyDescent="0.2">
      <c r="B276" s="31"/>
      <c r="D276" s="138" t="s">
        <v>289</v>
      </c>
      <c r="F276" s="139" t="s">
        <v>525</v>
      </c>
      <c r="I276" s="140"/>
      <c r="L276" s="31"/>
      <c r="N276" s="213"/>
      <c r="O276" s="214"/>
      <c r="Q276" s="229"/>
      <c r="DD276" s="141"/>
      <c r="DK276" s="50"/>
      <c r="EK276" s="16" t="s">
        <v>289</v>
      </c>
      <c r="EL276" s="16" t="s">
        <v>83</v>
      </c>
    </row>
    <row r="277" spans="2:160" s="1" customFormat="1" ht="14.45" customHeight="1" x14ac:dyDescent="0.2">
      <c r="B277" s="124"/>
      <c r="C277" s="125" t="s">
        <v>470</v>
      </c>
      <c r="D277" s="125" t="s">
        <v>284</v>
      </c>
      <c r="E277" s="126" t="s">
        <v>527</v>
      </c>
      <c r="F277" s="127" t="s">
        <v>528</v>
      </c>
      <c r="G277" s="128" t="s">
        <v>287</v>
      </c>
      <c r="H277" s="129">
        <v>31.5</v>
      </c>
      <c r="I277" s="130">
        <v>200.20823792465458</v>
      </c>
      <c r="J277" s="131">
        <f>ROUND(I277*H277,2)</f>
        <v>6306.56</v>
      </c>
      <c r="K277" s="127" t="s">
        <v>293</v>
      </c>
      <c r="L277" s="198">
        <f>S277</f>
        <v>0</v>
      </c>
      <c r="M277" s="206">
        <f>ROUND(L277*I277,2)</f>
        <v>0</v>
      </c>
      <c r="N277" s="211">
        <f>N275</f>
        <v>-5.0940000000000012</v>
      </c>
      <c r="O277" s="212">
        <f>ROUND(N277*I277,2)</f>
        <v>-1019.86</v>
      </c>
      <c r="P277" s="207">
        <f>H277-L277-N277</f>
        <v>36.594000000000001</v>
      </c>
      <c r="Q277" s="228">
        <f>ROUND(P277*I277,2)</f>
        <v>7326.42</v>
      </c>
      <c r="R277" s="199"/>
      <c r="S277" s="200">
        <f>W277+Y277+AA277+AC277+AE277+AG277+AI277+AK277</f>
        <v>0</v>
      </c>
      <c r="T277" s="200">
        <f>ROUND(S277*I277,2)</f>
        <v>0</v>
      </c>
      <c r="U277" s="200">
        <f>H277-S277</f>
        <v>31.5</v>
      </c>
      <c r="V277" s="200">
        <f>ROUND(U277*I277,2)</f>
        <v>6306.56</v>
      </c>
      <c r="W277" s="200"/>
      <c r="X277" s="200"/>
      <c r="Y277" s="200"/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DD277" s="132" t="s">
        <v>1</v>
      </c>
      <c r="DE277" s="133" t="s">
        <v>40</v>
      </c>
      <c r="DG277" s="134">
        <f>DF277*H277</f>
        <v>0</v>
      </c>
      <c r="DH277" s="134">
        <v>0</v>
      </c>
      <c r="DI277" s="134">
        <f>DH277*H277</f>
        <v>0</v>
      </c>
      <c r="DJ277" s="134">
        <v>0</v>
      </c>
      <c r="DK277" s="135">
        <f>DJ277*H277</f>
        <v>0</v>
      </c>
      <c r="EI277" s="136" t="s">
        <v>95</v>
      </c>
      <c r="EK277" s="136" t="s">
        <v>284</v>
      </c>
      <c r="EL277" s="136" t="s">
        <v>83</v>
      </c>
      <c r="EP277" s="16" t="s">
        <v>282</v>
      </c>
      <c r="EV277" s="137">
        <f>IF(DE277="základní",J277,0)</f>
        <v>6306.56</v>
      </c>
      <c r="EW277" s="137">
        <f>IF(DE277="snížená",J277,0)</f>
        <v>0</v>
      </c>
      <c r="EX277" s="137">
        <f>IF(DE277="zákl. přenesená",J277,0)</f>
        <v>0</v>
      </c>
      <c r="EY277" s="137">
        <f>IF(DE277="sníž. přenesená",J277,0)</f>
        <v>0</v>
      </c>
      <c r="EZ277" s="137">
        <f>IF(DE277="nulová",J277,0)</f>
        <v>0</v>
      </c>
      <c r="FA277" s="16" t="s">
        <v>81</v>
      </c>
      <c r="FB277" s="137">
        <f>ROUND(I277*H277,2)</f>
        <v>6306.56</v>
      </c>
      <c r="FC277" s="16" t="s">
        <v>95</v>
      </c>
      <c r="FD277" s="136" t="s">
        <v>529</v>
      </c>
    </row>
    <row r="278" spans="2:160" s="1" customFormat="1" ht="19.5" x14ac:dyDescent="0.2">
      <c r="B278" s="31"/>
      <c r="D278" s="138" t="s">
        <v>289</v>
      </c>
      <c r="F278" s="139" t="s">
        <v>530</v>
      </c>
      <c r="I278" s="140"/>
      <c r="L278" s="31"/>
      <c r="N278" s="213"/>
      <c r="O278" s="214"/>
      <c r="Q278" s="229"/>
      <c r="DD278" s="141"/>
      <c r="DK278" s="50"/>
      <c r="EK278" s="16" t="s">
        <v>289</v>
      </c>
      <c r="EL278" s="16" t="s">
        <v>83</v>
      </c>
    </row>
    <row r="279" spans="2:160" s="1" customFormat="1" ht="24.2" customHeight="1" x14ac:dyDescent="0.2">
      <c r="B279" s="124"/>
      <c r="C279" s="125" t="s">
        <v>476</v>
      </c>
      <c r="D279" s="125" t="s">
        <v>284</v>
      </c>
      <c r="E279" s="126" t="s">
        <v>532</v>
      </c>
      <c r="F279" s="127" t="s">
        <v>533</v>
      </c>
      <c r="G279" s="128" t="s">
        <v>287</v>
      </c>
      <c r="H279" s="129">
        <v>31.5</v>
      </c>
      <c r="I279" s="130">
        <v>40.878739778868102</v>
      </c>
      <c r="J279" s="131">
        <f>ROUND(I279*H279,2)</f>
        <v>1287.68</v>
      </c>
      <c r="K279" s="127" t="s">
        <v>293</v>
      </c>
      <c r="L279" s="198">
        <f>S279</f>
        <v>0</v>
      </c>
      <c r="M279" s="206">
        <f>ROUND(L279*I279,2)</f>
        <v>0</v>
      </c>
      <c r="N279" s="211">
        <f>N277</f>
        <v>-5.0940000000000012</v>
      </c>
      <c r="O279" s="212">
        <f>ROUND(N279*I279,2)</f>
        <v>-208.24</v>
      </c>
      <c r="P279" s="207">
        <f>H279-L279-N279</f>
        <v>36.594000000000001</v>
      </c>
      <c r="Q279" s="228">
        <f>ROUND(P279*I279,2)</f>
        <v>1495.92</v>
      </c>
      <c r="R279" s="199"/>
      <c r="S279" s="200">
        <f>W279+Y279+AA279+AC279+AE279+AG279+AI279+AK279</f>
        <v>0</v>
      </c>
      <c r="T279" s="200">
        <f>ROUND(S279*I279,2)</f>
        <v>0</v>
      </c>
      <c r="U279" s="200">
        <f>H279-S279</f>
        <v>31.5</v>
      </c>
      <c r="V279" s="200">
        <f>ROUND(U279*I279,2)</f>
        <v>1287.68</v>
      </c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DD279" s="132" t="s">
        <v>1</v>
      </c>
      <c r="DE279" s="133" t="s">
        <v>40</v>
      </c>
      <c r="DG279" s="134">
        <f>DF279*H279</f>
        <v>0</v>
      </c>
      <c r="DH279" s="134">
        <v>0</v>
      </c>
      <c r="DI279" s="134">
        <f>DH279*H279</f>
        <v>0</v>
      </c>
      <c r="DJ279" s="134">
        <v>0</v>
      </c>
      <c r="DK279" s="135">
        <f>DJ279*H279</f>
        <v>0</v>
      </c>
      <c r="EI279" s="136" t="s">
        <v>95</v>
      </c>
      <c r="EK279" s="136" t="s">
        <v>284</v>
      </c>
      <c r="EL279" s="136" t="s">
        <v>83</v>
      </c>
      <c r="EP279" s="16" t="s">
        <v>282</v>
      </c>
      <c r="EV279" s="137">
        <f>IF(DE279="základní",J279,0)</f>
        <v>1287.68</v>
      </c>
      <c r="EW279" s="137">
        <f>IF(DE279="snížená",J279,0)</f>
        <v>0</v>
      </c>
      <c r="EX279" s="137">
        <f>IF(DE279="zákl. přenesená",J279,0)</f>
        <v>0</v>
      </c>
      <c r="EY279" s="137">
        <f>IF(DE279="sníž. přenesená",J279,0)</f>
        <v>0</v>
      </c>
      <c r="EZ279" s="137">
        <f>IF(DE279="nulová",J279,0)</f>
        <v>0</v>
      </c>
      <c r="FA279" s="16" t="s">
        <v>81</v>
      </c>
      <c r="FB279" s="137">
        <f>ROUND(I279*H279,2)</f>
        <v>1287.68</v>
      </c>
      <c r="FC279" s="16" t="s">
        <v>95</v>
      </c>
      <c r="FD279" s="136" t="s">
        <v>534</v>
      </c>
    </row>
    <row r="280" spans="2:160" s="1" customFormat="1" ht="19.5" x14ac:dyDescent="0.2">
      <c r="B280" s="31"/>
      <c r="D280" s="138" t="s">
        <v>289</v>
      </c>
      <c r="F280" s="139" t="s">
        <v>535</v>
      </c>
      <c r="I280" s="140"/>
      <c r="L280" s="31"/>
      <c r="N280" s="213"/>
      <c r="O280" s="214"/>
      <c r="Q280" s="229"/>
      <c r="DD280" s="141"/>
      <c r="DK280" s="50"/>
      <c r="EK280" s="16" t="s">
        <v>289</v>
      </c>
      <c r="EL280" s="16" t="s">
        <v>83</v>
      </c>
    </row>
    <row r="281" spans="2:160" s="1" customFormat="1" ht="24.2" customHeight="1" x14ac:dyDescent="0.2">
      <c r="B281" s="124"/>
      <c r="C281" s="125" t="s">
        <v>482</v>
      </c>
      <c r="D281" s="125" t="s">
        <v>284</v>
      </c>
      <c r="E281" s="126" t="s">
        <v>537</v>
      </c>
      <c r="F281" s="127" t="s">
        <v>538</v>
      </c>
      <c r="G281" s="128" t="s">
        <v>287</v>
      </c>
      <c r="H281" s="129">
        <v>31.5</v>
      </c>
      <c r="I281" s="130">
        <v>362.67856108310502</v>
      </c>
      <c r="J281" s="131">
        <f>ROUND(I281*H281,2)</f>
        <v>11424.37</v>
      </c>
      <c r="K281" s="127" t="s">
        <v>293</v>
      </c>
      <c r="L281" s="198">
        <f>S281</f>
        <v>0</v>
      </c>
      <c r="M281" s="206">
        <f>ROUND(L281*I281,2)</f>
        <v>0</v>
      </c>
      <c r="N281" s="211">
        <f>N279</f>
        <v>-5.0940000000000012</v>
      </c>
      <c r="O281" s="212">
        <f>ROUND(N281*I281,2)</f>
        <v>-1847.48</v>
      </c>
      <c r="P281" s="207">
        <f>H281-L281-N281</f>
        <v>36.594000000000001</v>
      </c>
      <c r="Q281" s="228">
        <f>ROUND(P281*I281,2)</f>
        <v>13271.86</v>
      </c>
      <c r="R281" s="199"/>
      <c r="S281" s="200">
        <f>W281+Y281+AA281+AC281+AE281+AG281+AI281+AK281</f>
        <v>0</v>
      </c>
      <c r="T281" s="200">
        <f>ROUND(S281*I281,2)</f>
        <v>0</v>
      </c>
      <c r="U281" s="200">
        <f>H281-S281</f>
        <v>31.5</v>
      </c>
      <c r="V281" s="200">
        <f>ROUND(U281*I281,2)</f>
        <v>11424.37</v>
      </c>
      <c r="W281" s="200"/>
      <c r="X281" s="200"/>
      <c r="Y281" s="200"/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DD281" s="132" t="s">
        <v>1</v>
      </c>
      <c r="DE281" s="133" t="s">
        <v>40</v>
      </c>
      <c r="DG281" s="134">
        <f>DF281*H281</f>
        <v>0</v>
      </c>
      <c r="DH281" s="134">
        <v>0</v>
      </c>
      <c r="DI281" s="134">
        <f>DH281*H281</f>
        <v>0</v>
      </c>
      <c r="DJ281" s="134">
        <v>0</v>
      </c>
      <c r="DK281" s="135">
        <f>DJ281*H281</f>
        <v>0</v>
      </c>
      <c r="EI281" s="136" t="s">
        <v>95</v>
      </c>
      <c r="EK281" s="136" t="s">
        <v>284</v>
      </c>
      <c r="EL281" s="136" t="s">
        <v>83</v>
      </c>
      <c r="EP281" s="16" t="s">
        <v>282</v>
      </c>
      <c r="EV281" s="137">
        <f>IF(DE281="základní",J281,0)</f>
        <v>11424.37</v>
      </c>
      <c r="EW281" s="137">
        <f>IF(DE281="snížená",J281,0)</f>
        <v>0</v>
      </c>
      <c r="EX281" s="137">
        <f>IF(DE281="zákl. přenesená",J281,0)</f>
        <v>0</v>
      </c>
      <c r="EY281" s="137">
        <f>IF(DE281="sníž. přenesená",J281,0)</f>
        <v>0</v>
      </c>
      <c r="EZ281" s="137">
        <f>IF(DE281="nulová",J281,0)</f>
        <v>0</v>
      </c>
      <c r="FA281" s="16" t="s">
        <v>81</v>
      </c>
      <c r="FB281" s="137">
        <f>ROUND(I281*H281,2)</f>
        <v>11424.37</v>
      </c>
      <c r="FC281" s="16" t="s">
        <v>95</v>
      </c>
      <c r="FD281" s="136" t="s">
        <v>539</v>
      </c>
    </row>
    <row r="282" spans="2:160" s="1" customFormat="1" ht="29.25" x14ac:dyDescent="0.2">
      <c r="B282" s="31"/>
      <c r="D282" s="138" t="s">
        <v>289</v>
      </c>
      <c r="F282" s="139" t="s">
        <v>540</v>
      </c>
      <c r="I282" s="140"/>
      <c r="L282" s="31"/>
      <c r="N282" s="213"/>
      <c r="O282" s="214"/>
      <c r="Q282" s="229"/>
      <c r="DD282" s="141"/>
      <c r="DK282" s="50"/>
      <c r="EK282" s="16" t="s">
        <v>289</v>
      </c>
      <c r="EL282" s="16" t="s">
        <v>83</v>
      </c>
    </row>
    <row r="283" spans="2:160" s="1" customFormat="1" ht="29.25" x14ac:dyDescent="0.2">
      <c r="B283" s="31"/>
      <c r="D283" s="138" t="s">
        <v>299</v>
      </c>
      <c r="F283" s="142" t="s">
        <v>1083</v>
      </c>
      <c r="I283" s="140"/>
      <c r="L283" s="31"/>
      <c r="N283" s="213"/>
      <c r="O283" s="214"/>
      <c r="Q283" s="229"/>
      <c r="DD283" s="141"/>
      <c r="DK283" s="50"/>
      <c r="EK283" s="16" t="s">
        <v>299</v>
      </c>
      <c r="EL283" s="16" t="s">
        <v>83</v>
      </c>
    </row>
    <row r="284" spans="2:160" s="11" customFormat="1" ht="22.5" x14ac:dyDescent="0.2">
      <c r="B284" s="143"/>
      <c r="D284" s="138" t="s">
        <v>301</v>
      </c>
      <c r="E284" s="144" t="s">
        <v>1</v>
      </c>
      <c r="F284" s="145" t="s">
        <v>1126</v>
      </c>
      <c r="H284" s="144" t="s">
        <v>1</v>
      </c>
      <c r="I284" s="146"/>
      <c r="L284" s="143"/>
      <c r="N284" s="215"/>
      <c r="O284" s="216"/>
      <c r="Q284" s="230"/>
      <c r="DD284" s="147"/>
      <c r="DK284" s="148"/>
      <c r="EK284" s="144" t="s">
        <v>301</v>
      </c>
      <c r="EL284" s="144" t="s">
        <v>83</v>
      </c>
      <c r="EM284" s="11" t="s">
        <v>81</v>
      </c>
      <c r="EN284" s="11" t="s">
        <v>32</v>
      </c>
      <c r="EO284" s="11" t="s">
        <v>74</v>
      </c>
      <c r="EP284" s="144" t="s">
        <v>282</v>
      </c>
    </row>
    <row r="285" spans="2:160" s="12" customFormat="1" x14ac:dyDescent="0.2">
      <c r="B285" s="149"/>
      <c r="D285" s="138" t="s">
        <v>301</v>
      </c>
      <c r="E285" s="150" t="s">
        <v>1</v>
      </c>
      <c r="F285" s="151" t="s">
        <v>1265</v>
      </c>
      <c r="H285" s="152">
        <v>31.5</v>
      </c>
      <c r="I285" s="153"/>
      <c r="L285" s="149"/>
      <c r="N285" s="217"/>
      <c r="O285" s="218"/>
      <c r="Q285" s="231"/>
      <c r="DD285" s="154"/>
      <c r="DK285" s="155"/>
      <c r="EK285" s="150" t="s">
        <v>301</v>
      </c>
      <c r="EL285" s="150" t="s">
        <v>83</v>
      </c>
      <c r="EM285" s="12" t="s">
        <v>83</v>
      </c>
      <c r="EN285" s="12" t="s">
        <v>32</v>
      </c>
      <c r="EO285" s="12" t="s">
        <v>81</v>
      </c>
      <c r="EP285" s="150" t="s">
        <v>282</v>
      </c>
    </row>
    <row r="286" spans="2:160" s="10" customFormat="1" ht="22.9" customHeight="1" x14ac:dyDescent="0.2">
      <c r="B286" s="112"/>
      <c r="D286" s="113" t="s">
        <v>73</v>
      </c>
      <c r="E286" s="122" t="s">
        <v>328</v>
      </c>
      <c r="F286" s="122" t="s">
        <v>555</v>
      </c>
      <c r="I286" s="115"/>
      <c r="J286" s="123">
        <f>FB286</f>
        <v>90981</v>
      </c>
      <c r="L286" s="112"/>
      <c r="M286" s="320">
        <f>SUM(M287:M326)</f>
        <v>0</v>
      </c>
      <c r="N286" s="323"/>
      <c r="O286" s="324">
        <f t="shared" ref="O286:V286" si="6">SUM(O287:O326)</f>
        <v>-3617.6</v>
      </c>
      <c r="P286" s="320"/>
      <c r="Q286" s="326">
        <f t="shared" si="6"/>
        <v>94598.60000000002</v>
      </c>
      <c r="R286" s="320"/>
      <c r="S286" s="320"/>
      <c r="T286" s="320">
        <f t="shared" si="6"/>
        <v>0</v>
      </c>
      <c r="U286" s="320"/>
      <c r="V286" s="320">
        <f t="shared" si="6"/>
        <v>90981</v>
      </c>
      <c r="DD286" s="117"/>
      <c r="DG286" s="118">
        <f>SUM(DG287:DG327)</f>
        <v>0</v>
      </c>
      <c r="DI286" s="118">
        <f>SUM(DI287:DI327)</f>
        <v>0.94399</v>
      </c>
      <c r="DK286" s="119">
        <f>SUM(DK287:DK327)</f>
        <v>0</v>
      </c>
      <c r="EI286" s="113" t="s">
        <v>81</v>
      </c>
      <c r="EK286" s="120" t="s">
        <v>73</v>
      </c>
      <c r="EL286" s="120" t="s">
        <v>81</v>
      </c>
      <c r="EP286" s="113" t="s">
        <v>282</v>
      </c>
      <c r="FB286" s="121">
        <f>SUM(FB287:FB327)</f>
        <v>90981</v>
      </c>
    </row>
    <row r="287" spans="2:160" s="1" customFormat="1" ht="24.2" customHeight="1" x14ac:dyDescent="0.2">
      <c r="B287" s="124"/>
      <c r="C287" s="125" t="s">
        <v>489</v>
      </c>
      <c r="D287" s="125" t="s">
        <v>284</v>
      </c>
      <c r="E287" s="126" t="s">
        <v>1128</v>
      </c>
      <c r="F287" s="127" t="s">
        <v>1129</v>
      </c>
      <c r="G287" s="128" t="s">
        <v>344</v>
      </c>
      <c r="H287" s="129">
        <v>35</v>
      </c>
      <c r="I287" s="130">
        <v>617.16852473597498</v>
      </c>
      <c r="J287" s="131">
        <f>ROUND(I287*H287,2)</f>
        <v>21600.9</v>
      </c>
      <c r="K287" s="127" t="s">
        <v>293</v>
      </c>
      <c r="L287" s="198">
        <f>S287</f>
        <v>0</v>
      </c>
      <c r="M287" s="206">
        <f>ROUND(L287*I287,2)</f>
        <v>0</v>
      </c>
      <c r="N287" s="211">
        <f>N290</f>
        <v>-5.66</v>
      </c>
      <c r="O287" s="212">
        <f>ROUND(N287*I287,2)</f>
        <v>-3493.17</v>
      </c>
      <c r="P287" s="207">
        <f>H287-L287-N287</f>
        <v>40.659999999999997</v>
      </c>
      <c r="Q287" s="228">
        <f>ROUND(P287*I287,2)</f>
        <v>25094.07</v>
      </c>
      <c r="R287" s="199"/>
      <c r="S287" s="200">
        <f>W287+Y287+AA287+AC287+AE287+AG287+AI287+AK287</f>
        <v>0</v>
      </c>
      <c r="T287" s="200">
        <f>ROUND(S287*I287,2)</f>
        <v>0</v>
      </c>
      <c r="U287" s="200">
        <f>H287-S287</f>
        <v>35</v>
      </c>
      <c r="V287" s="200">
        <f>ROUND(U287*I287,2)</f>
        <v>21600.9</v>
      </c>
      <c r="W287" s="200"/>
      <c r="X287" s="200"/>
      <c r="Y287" s="200"/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DD287" s="132" t="s">
        <v>1</v>
      </c>
      <c r="DE287" s="133" t="s">
        <v>40</v>
      </c>
      <c r="DG287" s="134">
        <f>DF287*H287</f>
        <v>0</v>
      </c>
      <c r="DH287" s="134">
        <v>4.2199999999999998E-3</v>
      </c>
      <c r="DI287" s="134">
        <f>DH287*H287</f>
        <v>0.1477</v>
      </c>
      <c r="DJ287" s="134">
        <v>0</v>
      </c>
      <c r="DK287" s="135">
        <f>DJ287*H287</f>
        <v>0</v>
      </c>
      <c r="EI287" s="136" t="s">
        <v>95</v>
      </c>
      <c r="EK287" s="136" t="s">
        <v>284</v>
      </c>
      <c r="EL287" s="136" t="s">
        <v>83</v>
      </c>
      <c r="EP287" s="16" t="s">
        <v>282</v>
      </c>
      <c r="EV287" s="137">
        <f>IF(DE287="základní",J287,0)</f>
        <v>21600.9</v>
      </c>
      <c r="EW287" s="137">
        <f>IF(DE287="snížená",J287,0)</f>
        <v>0</v>
      </c>
      <c r="EX287" s="137">
        <f>IF(DE287="zákl. přenesená",J287,0)</f>
        <v>0</v>
      </c>
      <c r="EY287" s="137">
        <f>IF(DE287="sníž. přenesená",J287,0)</f>
        <v>0</v>
      </c>
      <c r="EZ287" s="137">
        <f>IF(DE287="nulová",J287,0)</f>
        <v>0</v>
      </c>
      <c r="FA287" s="16" t="s">
        <v>81</v>
      </c>
      <c r="FB287" s="137">
        <f>ROUND(I287*H287,2)</f>
        <v>21600.9</v>
      </c>
      <c r="FC287" s="16" t="s">
        <v>95</v>
      </c>
      <c r="FD287" s="136" t="s">
        <v>1130</v>
      </c>
    </row>
    <row r="288" spans="2:160" s="1" customFormat="1" ht="29.25" x14ac:dyDescent="0.2">
      <c r="B288" s="31"/>
      <c r="D288" s="138" t="s">
        <v>289</v>
      </c>
      <c r="F288" s="139" t="s">
        <v>1131</v>
      </c>
      <c r="I288" s="140"/>
      <c r="L288" s="31"/>
      <c r="N288" s="213"/>
      <c r="O288" s="214"/>
      <c r="Q288" s="229"/>
      <c r="DD288" s="141"/>
      <c r="DK288" s="50"/>
      <c r="EK288" s="16" t="s">
        <v>289</v>
      </c>
      <c r="EL288" s="16" t="s">
        <v>83</v>
      </c>
    </row>
    <row r="289" spans="2:160" s="1" customFormat="1" ht="29.25" x14ac:dyDescent="0.2">
      <c r="B289" s="31"/>
      <c r="D289" s="138" t="s">
        <v>299</v>
      </c>
      <c r="F289" s="142" t="s">
        <v>1083</v>
      </c>
      <c r="I289" s="140"/>
      <c r="L289" s="31"/>
      <c r="N289" s="213"/>
      <c r="O289" s="214"/>
      <c r="Q289" s="229"/>
      <c r="DD289" s="141"/>
      <c r="DK289" s="50"/>
      <c r="EK289" s="16" t="s">
        <v>299</v>
      </c>
      <c r="EL289" s="16" t="s">
        <v>83</v>
      </c>
    </row>
    <row r="290" spans="2:160" s="12" customFormat="1" x14ac:dyDescent="0.2">
      <c r="B290" s="149"/>
      <c r="D290" s="138" t="s">
        <v>301</v>
      </c>
      <c r="E290" s="150" t="s">
        <v>1</v>
      </c>
      <c r="F290" s="151" t="s">
        <v>501</v>
      </c>
      <c r="H290" s="152">
        <v>35</v>
      </c>
      <c r="I290" s="153"/>
      <c r="L290" s="149"/>
      <c r="N290" s="217">
        <f>29.34-35</f>
        <v>-5.66</v>
      </c>
      <c r="O290" s="218" t="s">
        <v>3685</v>
      </c>
      <c r="Q290" s="231"/>
      <c r="DD290" s="154"/>
      <c r="DK290" s="155"/>
      <c r="EK290" s="150" t="s">
        <v>301</v>
      </c>
      <c r="EL290" s="150" t="s">
        <v>83</v>
      </c>
      <c r="EM290" s="12" t="s">
        <v>83</v>
      </c>
      <c r="EN290" s="12" t="s">
        <v>32</v>
      </c>
      <c r="EO290" s="12" t="s">
        <v>81</v>
      </c>
      <c r="EP290" s="150" t="s">
        <v>282</v>
      </c>
    </row>
    <row r="291" spans="2:160" s="1" customFormat="1" ht="24.2" customHeight="1" x14ac:dyDescent="0.2">
      <c r="B291" s="124"/>
      <c r="C291" s="125" t="s">
        <v>493</v>
      </c>
      <c r="D291" s="125" t="s">
        <v>284</v>
      </c>
      <c r="E291" s="126" t="s">
        <v>1132</v>
      </c>
      <c r="F291" s="127" t="s">
        <v>1133</v>
      </c>
      <c r="G291" s="128" t="s">
        <v>485</v>
      </c>
      <c r="H291" s="129">
        <v>21</v>
      </c>
      <c r="I291" s="130">
        <v>214.24530512569368</v>
      </c>
      <c r="J291" s="131">
        <f>ROUND(I291*H291,2)</f>
        <v>4499.1499999999996</v>
      </c>
      <c r="K291" s="127" t="s">
        <v>293</v>
      </c>
      <c r="L291" s="198">
        <f>S291</f>
        <v>0</v>
      </c>
      <c r="M291" s="206">
        <f>ROUND(L291*I291,2)</f>
        <v>0</v>
      </c>
      <c r="N291" s="211"/>
      <c r="O291" s="212">
        <f>ROUND(N291*I291,2)</f>
        <v>0</v>
      </c>
      <c r="P291" s="207">
        <f>H291-L291-N291</f>
        <v>21</v>
      </c>
      <c r="Q291" s="228">
        <f>ROUND(P291*I291,2)</f>
        <v>4499.1499999999996</v>
      </c>
      <c r="R291" s="199"/>
      <c r="S291" s="200">
        <f>W291+Y291+AA291+AC291+AE291+AG291+AI291+AK291</f>
        <v>0</v>
      </c>
      <c r="T291" s="200">
        <f>ROUND(S291*I291,2)</f>
        <v>0</v>
      </c>
      <c r="U291" s="200">
        <f>H291-S291</f>
        <v>21</v>
      </c>
      <c r="V291" s="200">
        <f>ROUND(U291*I291,2)</f>
        <v>4499.1499999999996</v>
      </c>
      <c r="W291" s="200"/>
      <c r="X291" s="200"/>
      <c r="Y291" s="200"/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DD291" s="132" t="s">
        <v>1</v>
      </c>
      <c r="DE291" s="133" t="s">
        <v>40</v>
      </c>
      <c r="DG291" s="134">
        <f>DF291*H291</f>
        <v>0</v>
      </c>
      <c r="DH291" s="134">
        <v>0</v>
      </c>
      <c r="DI291" s="134">
        <f>DH291*H291</f>
        <v>0</v>
      </c>
      <c r="DJ291" s="134">
        <v>0</v>
      </c>
      <c r="DK291" s="135">
        <f>DJ291*H291</f>
        <v>0</v>
      </c>
      <c r="EI291" s="136" t="s">
        <v>95</v>
      </c>
      <c r="EK291" s="136" t="s">
        <v>284</v>
      </c>
      <c r="EL291" s="136" t="s">
        <v>83</v>
      </c>
      <c r="EP291" s="16" t="s">
        <v>282</v>
      </c>
      <c r="EV291" s="137">
        <f>IF(DE291="základní",J291,0)</f>
        <v>4499.1499999999996</v>
      </c>
      <c r="EW291" s="137">
        <f>IF(DE291="snížená",J291,0)</f>
        <v>0</v>
      </c>
      <c r="EX291" s="137">
        <f>IF(DE291="zákl. přenesená",J291,0)</f>
        <v>0</v>
      </c>
      <c r="EY291" s="137">
        <f>IF(DE291="sníž. přenesená",J291,0)</f>
        <v>0</v>
      </c>
      <c r="EZ291" s="137">
        <f>IF(DE291="nulová",J291,0)</f>
        <v>0</v>
      </c>
      <c r="FA291" s="16" t="s">
        <v>81</v>
      </c>
      <c r="FB291" s="137">
        <f>ROUND(I291*H291,2)</f>
        <v>4499.1499999999996</v>
      </c>
      <c r="FC291" s="16" t="s">
        <v>95</v>
      </c>
      <c r="FD291" s="136" t="s">
        <v>1134</v>
      </c>
    </row>
    <row r="292" spans="2:160" s="1" customFormat="1" ht="19.5" x14ac:dyDescent="0.2">
      <c r="B292" s="31"/>
      <c r="D292" s="138" t="s">
        <v>289</v>
      </c>
      <c r="F292" s="139" t="s">
        <v>1135</v>
      </c>
      <c r="I292" s="140"/>
      <c r="L292" s="31"/>
      <c r="N292" s="213"/>
      <c r="O292" s="214"/>
      <c r="Q292" s="229"/>
      <c r="DD292" s="141"/>
      <c r="DK292" s="50"/>
      <c r="EK292" s="16" t="s">
        <v>289</v>
      </c>
      <c r="EL292" s="16" t="s">
        <v>83</v>
      </c>
    </row>
    <row r="293" spans="2:160" s="1" customFormat="1" ht="29.25" x14ac:dyDescent="0.2">
      <c r="B293" s="31"/>
      <c r="D293" s="138" t="s">
        <v>299</v>
      </c>
      <c r="F293" s="142" t="s">
        <v>1083</v>
      </c>
      <c r="I293" s="140"/>
      <c r="L293" s="31"/>
      <c r="N293" s="213"/>
      <c r="O293" s="214"/>
      <c r="Q293" s="229"/>
      <c r="DD293" s="141"/>
      <c r="DK293" s="50"/>
      <c r="EK293" s="16" t="s">
        <v>299</v>
      </c>
      <c r="EL293" s="16" t="s">
        <v>83</v>
      </c>
    </row>
    <row r="294" spans="2:160" s="11" customFormat="1" x14ac:dyDescent="0.2">
      <c r="B294" s="143"/>
      <c r="D294" s="138" t="s">
        <v>301</v>
      </c>
      <c r="E294" s="144" t="s">
        <v>1</v>
      </c>
      <c r="F294" s="145" t="s">
        <v>1136</v>
      </c>
      <c r="H294" s="144" t="s">
        <v>1</v>
      </c>
      <c r="I294" s="146"/>
      <c r="L294" s="143"/>
      <c r="N294" s="215"/>
      <c r="O294" s="216"/>
      <c r="Q294" s="230"/>
      <c r="DD294" s="147"/>
      <c r="DK294" s="148"/>
      <c r="EK294" s="144" t="s">
        <v>301</v>
      </c>
      <c r="EL294" s="144" t="s">
        <v>83</v>
      </c>
      <c r="EM294" s="11" t="s">
        <v>81</v>
      </c>
      <c r="EN294" s="11" t="s">
        <v>32</v>
      </c>
      <c r="EO294" s="11" t="s">
        <v>74</v>
      </c>
      <c r="EP294" s="144" t="s">
        <v>282</v>
      </c>
    </row>
    <row r="295" spans="2:160" s="12" customFormat="1" x14ac:dyDescent="0.2">
      <c r="B295" s="149"/>
      <c r="D295" s="138" t="s">
        <v>301</v>
      </c>
      <c r="E295" s="150" t="s">
        <v>1</v>
      </c>
      <c r="F295" s="151" t="s">
        <v>1266</v>
      </c>
      <c r="H295" s="152">
        <v>3</v>
      </c>
      <c r="I295" s="153"/>
      <c r="L295" s="149"/>
      <c r="N295" s="217"/>
      <c r="O295" s="218"/>
      <c r="Q295" s="231"/>
      <c r="DD295" s="154"/>
      <c r="DK295" s="155"/>
      <c r="EK295" s="150" t="s">
        <v>301</v>
      </c>
      <c r="EL295" s="150" t="s">
        <v>83</v>
      </c>
      <c r="EM295" s="12" t="s">
        <v>83</v>
      </c>
      <c r="EN295" s="12" t="s">
        <v>32</v>
      </c>
      <c r="EO295" s="12" t="s">
        <v>74</v>
      </c>
      <c r="EP295" s="150" t="s">
        <v>282</v>
      </c>
    </row>
    <row r="296" spans="2:160" s="11" customFormat="1" x14ac:dyDescent="0.2">
      <c r="B296" s="143"/>
      <c r="D296" s="138" t="s">
        <v>301</v>
      </c>
      <c r="E296" s="144" t="s">
        <v>1</v>
      </c>
      <c r="F296" s="145" t="s">
        <v>1138</v>
      </c>
      <c r="H296" s="144" t="s">
        <v>1</v>
      </c>
      <c r="I296" s="146"/>
      <c r="L296" s="143"/>
      <c r="N296" s="215"/>
      <c r="O296" s="216"/>
      <c r="Q296" s="230"/>
      <c r="DD296" s="147"/>
      <c r="DK296" s="148"/>
      <c r="EK296" s="144" t="s">
        <v>301</v>
      </c>
      <c r="EL296" s="144" t="s">
        <v>83</v>
      </c>
      <c r="EM296" s="11" t="s">
        <v>81</v>
      </c>
      <c r="EN296" s="11" t="s">
        <v>32</v>
      </c>
      <c r="EO296" s="11" t="s">
        <v>74</v>
      </c>
      <c r="EP296" s="144" t="s">
        <v>282</v>
      </c>
    </row>
    <row r="297" spans="2:160" s="12" customFormat="1" x14ac:dyDescent="0.2">
      <c r="B297" s="149"/>
      <c r="D297" s="138" t="s">
        <v>301</v>
      </c>
      <c r="E297" s="150" t="s">
        <v>1</v>
      </c>
      <c r="F297" s="151" t="s">
        <v>837</v>
      </c>
      <c r="H297" s="152">
        <v>6</v>
      </c>
      <c r="I297" s="153"/>
      <c r="L297" s="149"/>
      <c r="N297" s="217"/>
      <c r="O297" s="218"/>
      <c r="Q297" s="231"/>
      <c r="DD297" s="154"/>
      <c r="DK297" s="155"/>
      <c r="EK297" s="150" t="s">
        <v>301</v>
      </c>
      <c r="EL297" s="150" t="s">
        <v>83</v>
      </c>
      <c r="EM297" s="12" t="s">
        <v>83</v>
      </c>
      <c r="EN297" s="12" t="s">
        <v>32</v>
      </c>
      <c r="EO297" s="12" t="s">
        <v>74</v>
      </c>
      <c r="EP297" s="150" t="s">
        <v>282</v>
      </c>
    </row>
    <row r="298" spans="2:160" s="14" customFormat="1" x14ac:dyDescent="0.2">
      <c r="B298" s="163"/>
      <c r="D298" s="138" t="s">
        <v>301</v>
      </c>
      <c r="E298" s="164" t="s">
        <v>1</v>
      </c>
      <c r="F298" s="165" t="s">
        <v>373</v>
      </c>
      <c r="H298" s="166">
        <v>9</v>
      </c>
      <c r="I298" s="167"/>
      <c r="L298" s="163"/>
      <c r="N298" s="221"/>
      <c r="O298" s="222"/>
      <c r="Q298" s="233"/>
      <c r="DD298" s="168"/>
      <c r="DK298" s="169"/>
      <c r="EK298" s="164" t="s">
        <v>301</v>
      </c>
      <c r="EL298" s="164" t="s">
        <v>83</v>
      </c>
      <c r="EM298" s="14" t="s">
        <v>90</v>
      </c>
      <c r="EN298" s="14" t="s">
        <v>32</v>
      </c>
      <c r="EO298" s="14" t="s">
        <v>74</v>
      </c>
      <c r="EP298" s="164" t="s">
        <v>282</v>
      </c>
    </row>
    <row r="299" spans="2:160" s="11" customFormat="1" x14ac:dyDescent="0.2">
      <c r="B299" s="143"/>
      <c r="D299" s="138" t="s">
        <v>301</v>
      </c>
      <c r="E299" s="144" t="s">
        <v>1</v>
      </c>
      <c r="F299" s="145" t="s">
        <v>1140</v>
      </c>
      <c r="H299" s="144" t="s">
        <v>1</v>
      </c>
      <c r="I299" s="146"/>
      <c r="L299" s="143"/>
      <c r="N299" s="215"/>
      <c r="O299" s="216"/>
      <c r="Q299" s="230"/>
      <c r="DD299" s="147"/>
      <c r="DK299" s="148"/>
      <c r="EK299" s="144" t="s">
        <v>301</v>
      </c>
      <c r="EL299" s="144" t="s">
        <v>83</v>
      </c>
      <c r="EM299" s="11" t="s">
        <v>81</v>
      </c>
      <c r="EN299" s="11" t="s">
        <v>32</v>
      </c>
      <c r="EO299" s="11" t="s">
        <v>74</v>
      </c>
      <c r="EP299" s="144" t="s">
        <v>282</v>
      </c>
    </row>
    <row r="300" spans="2:160" s="12" customFormat="1" x14ac:dyDescent="0.2">
      <c r="B300" s="149"/>
      <c r="D300" s="138" t="s">
        <v>301</v>
      </c>
      <c r="E300" s="150" t="s">
        <v>1</v>
      </c>
      <c r="F300" s="151" t="s">
        <v>1267</v>
      </c>
      <c r="H300" s="152">
        <v>12</v>
      </c>
      <c r="I300" s="153"/>
      <c r="L300" s="149"/>
      <c r="N300" s="217"/>
      <c r="O300" s="218"/>
      <c r="Q300" s="231"/>
      <c r="DD300" s="154"/>
      <c r="DK300" s="155"/>
      <c r="EK300" s="150" t="s">
        <v>301</v>
      </c>
      <c r="EL300" s="150" t="s">
        <v>83</v>
      </c>
      <c r="EM300" s="12" t="s">
        <v>83</v>
      </c>
      <c r="EN300" s="12" t="s">
        <v>32</v>
      </c>
      <c r="EO300" s="12" t="s">
        <v>74</v>
      </c>
      <c r="EP300" s="150" t="s">
        <v>282</v>
      </c>
    </row>
    <row r="301" spans="2:160" s="13" customFormat="1" x14ac:dyDescent="0.2">
      <c r="B301" s="156"/>
      <c r="D301" s="138" t="s">
        <v>301</v>
      </c>
      <c r="E301" s="157" t="s">
        <v>1</v>
      </c>
      <c r="F301" s="158" t="s">
        <v>305</v>
      </c>
      <c r="H301" s="159">
        <v>21</v>
      </c>
      <c r="I301" s="160"/>
      <c r="L301" s="156"/>
      <c r="N301" s="219"/>
      <c r="O301" s="220"/>
      <c r="Q301" s="232"/>
      <c r="DD301" s="161"/>
      <c r="DK301" s="162"/>
      <c r="EK301" s="157" t="s">
        <v>301</v>
      </c>
      <c r="EL301" s="157" t="s">
        <v>83</v>
      </c>
      <c r="EM301" s="13" t="s">
        <v>95</v>
      </c>
      <c r="EN301" s="13" t="s">
        <v>32</v>
      </c>
      <c r="EO301" s="13" t="s">
        <v>81</v>
      </c>
      <c r="EP301" s="157" t="s">
        <v>282</v>
      </c>
    </row>
    <row r="302" spans="2:160" s="1" customFormat="1" ht="14.45" customHeight="1" x14ac:dyDescent="0.2">
      <c r="B302" s="124"/>
      <c r="C302" s="170" t="s">
        <v>497</v>
      </c>
      <c r="D302" s="170" t="s">
        <v>439</v>
      </c>
      <c r="E302" s="171" t="s">
        <v>1142</v>
      </c>
      <c r="F302" s="172" t="s">
        <v>1143</v>
      </c>
      <c r="G302" s="173" t="s">
        <v>485</v>
      </c>
      <c r="H302" s="174">
        <v>9</v>
      </c>
      <c r="I302" s="175">
        <v>100.40486420000001</v>
      </c>
      <c r="J302" s="176">
        <f>ROUND(I302*H302,2)</f>
        <v>903.64</v>
      </c>
      <c r="K302" s="172" t="s">
        <v>293</v>
      </c>
      <c r="L302" s="198">
        <f>S302</f>
        <v>0</v>
      </c>
      <c r="M302" s="206">
        <f>ROUND(L302*I302,2)</f>
        <v>0</v>
      </c>
      <c r="N302" s="211"/>
      <c r="O302" s="212">
        <f>ROUND(N302*I302,2)</f>
        <v>0</v>
      </c>
      <c r="P302" s="207">
        <f>H302-L302-N302</f>
        <v>9</v>
      </c>
      <c r="Q302" s="228">
        <f>ROUND(P302*I302,2)</f>
        <v>903.64</v>
      </c>
      <c r="R302" s="199"/>
      <c r="S302" s="200">
        <f>W302+Y302+AA302+AC302+AE302+AG302+AI302+AK302</f>
        <v>0</v>
      </c>
      <c r="T302" s="200">
        <f>ROUND(S302*I302,2)</f>
        <v>0</v>
      </c>
      <c r="U302" s="200">
        <f>H302-S302</f>
        <v>9</v>
      </c>
      <c r="V302" s="200">
        <f>ROUND(U302*I302,2)</f>
        <v>903.64</v>
      </c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77" t="s">
        <v>1</v>
      </c>
      <c r="DE302" s="178" t="s">
        <v>40</v>
      </c>
      <c r="DG302" s="134">
        <f>DF302*H302</f>
        <v>0</v>
      </c>
      <c r="DH302" s="134">
        <v>6.4999999999999997E-4</v>
      </c>
      <c r="DI302" s="134">
        <f>DH302*H302</f>
        <v>5.8499999999999993E-3</v>
      </c>
      <c r="DJ302" s="134">
        <v>0</v>
      </c>
      <c r="DK302" s="135">
        <f>DJ302*H302</f>
        <v>0</v>
      </c>
      <c r="EI302" s="136" t="s">
        <v>328</v>
      </c>
      <c r="EK302" s="136" t="s">
        <v>439</v>
      </c>
      <c r="EL302" s="136" t="s">
        <v>83</v>
      </c>
      <c r="EP302" s="16" t="s">
        <v>282</v>
      </c>
      <c r="EV302" s="137">
        <f>IF(DE302="základní",J302,0)</f>
        <v>903.64</v>
      </c>
      <c r="EW302" s="137">
        <f>IF(DE302="snížená",J302,0)</f>
        <v>0</v>
      </c>
      <c r="EX302" s="137">
        <f>IF(DE302="zákl. přenesená",J302,0)</f>
        <v>0</v>
      </c>
      <c r="EY302" s="137">
        <f>IF(DE302="sníž. přenesená",J302,0)</f>
        <v>0</v>
      </c>
      <c r="EZ302" s="137">
        <f>IF(DE302="nulová",J302,0)</f>
        <v>0</v>
      </c>
      <c r="FA302" s="16" t="s">
        <v>81</v>
      </c>
      <c r="FB302" s="137">
        <f>ROUND(I302*H302,2)</f>
        <v>903.64</v>
      </c>
      <c r="FC302" s="16" t="s">
        <v>95</v>
      </c>
      <c r="FD302" s="136" t="s">
        <v>1144</v>
      </c>
    </row>
    <row r="303" spans="2:160" s="1" customFormat="1" x14ac:dyDescent="0.2">
      <c r="B303" s="31"/>
      <c r="D303" s="138" t="s">
        <v>289</v>
      </c>
      <c r="F303" s="139" t="s">
        <v>1145</v>
      </c>
      <c r="I303" s="140"/>
      <c r="L303" s="31"/>
      <c r="N303" s="213"/>
      <c r="O303" s="214"/>
      <c r="Q303" s="229"/>
      <c r="DD303" s="141"/>
      <c r="DK303" s="50"/>
      <c r="EK303" s="16" t="s">
        <v>289</v>
      </c>
      <c r="EL303" s="16" t="s">
        <v>83</v>
      </c>
    </row>
    <row r="304" spans="2:160" s="1" customFormat="1" ht="14.45" customHeight="1" x14ac:dyDescent="0.2">
      <c r="B304" s="124"/>
      <c r="C304" s="170" t="s">
        <v>501</v>
      </c>
      <c r="D304" s="170" t="s">
        <v>439</v>
      </c>
      <c r="E304" s="171" t="s">
        <v>1146</v>
      </c>
      <c r="F304" s="172" t="s">
        <v>1147</v>
      </c>
      <c r="G304" s="173" t="s">
        <v>485</v>
      </c>
      <c r="H304" s="174">
        <v>12</v>
      </c>
      <c r="I304" s="175">
        <v>236.80392499999999</v>
      </c>
      <c r="J304" s="176">
        <f>ROUND(I304*H304,2)</f>
        <v>2841.65</v>
      </c>
      <c r="K304" s="172" t="s">
        <v>1</v>
      </c>
      <c r="L304" s="198">
        <f>S304</f>
        <v>0</v>
      </c>
      <c r="M304" s="206">
        <f>ROUND(L304*I304,2)</f>
        <v>0</v>
      </c>
      <c r="N304" s="211"/>
      <c r="O304" s="212">
        <f>ROUND(N304*I304,2)</f>
        <v>0</v>
      </c>
      <c r="P304" s="207">
        <f>H304-L304-N304</f>
        <v>12</v>
      </c>
      <c r="Q304" s="228">
        <f>ROUND(P304*I304,2)</f>
        <v>2841.65</v>
      </c>
      <c r="R304" s="199"/>
      <c r="S304" s="200">
        <f>W304+Y304+AA304+AC304+AE304+AG304+AI304+AK304</f>
        <v>0</v>
      </c>
      <c r="T304" s="200">
        <f>ROUND(S304*I304,2)</f>
        <v>0</v>
      </c>
      <c r="U304" s="200">
        <f>H304-S304</f>
        <v>12</v>
      </c>
      <c r="V304" s="200">
        <f>ROUND(U304*I304,2)</f>
        <v>2841.65</v>
      </c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77" t="s">
        <v>1</v>
      </c>
      <c r="DE304" s="178" t="s">
        <v>40</v>
      </c>
      <c r="DG304" s="134">
        <f>DF304*H304</f>
        <v>0</v>
      </c>
      <c r="DH304" s="134">
        <v>6.4999999999999997E-4</v>
      </c>
      <c r="DI304" s="134">
        <f>DH304*H304</f>
        <v>7.7999999999999996E-3</v>
      </c>
      <c r="DJ304" s="134">
        <v>0</v>
      </c>
      <c r="DK304" s="135">
        <f>DJ304*H304</f>
        <v>0</v>
      </c>
      <c r="EI304" s="136" t="s">
        <v>328</v>
      </c>
      <c r="EK304" s="136" t="s">
        <v>439</v>
      </c>
      <c r="EL304" s="136" t="s">
        <v>83</v>
      </c>
      <c r="EP304" s="16" t="s">
        <v>282</v>
      </c>
      <c r="EV304" s="137">
        <f>IF(DE304="základní",J304,0)</f>
        <v>2841.65</v>
      </c>
      <c r="EW304" s="137">
        <f>IF(DE304="snížená",J304,0)</f>
        <v>0</v>
      </c>
      <c r="EX304" s="137">
        <f>IF(DE304="zákl. přenesená",J304,0)</f>
        <v>0</v>
      </c>
      <c r="EY304" s="137">
        <f>IF(DE304="sníž. přenesená",J304,0)</f>
        <v>0</v>
      </c>
      <c r="EZ304" s="137">
        <f>IF(DE304="nulová",J304,0)</f>
        <v>0</v>
      </c>
      <c r="FA304" s="16" t="s">
        <v>81</v>
      </c>
      <c r="FB304" s="137">
        <f>ROUND(I304*H304,2)</f>
        <v>2841.65</v>
      </c>
      <c r="FC304" s="16" t="s">
        <v>95</v>
      </c>
      <c r="FD304" s="136" t="s">
        <v>1148</v>
      </c>
    </row>
    <row r="305" spans="2:160" s="1" customFormat="1" x14ac:dyDescent="0.2">
      <c r="B305" s="31"/>
      <c r="D305" s="138" t="s">
        <v>289</v>
      </c>
      <c r="F305" s="139" t="s">
        <v>1147</v>
      </c>
      <c r="I305" s="140"/>
      <c r="L305" s="31"/>
      <c r="N305" s="213"/>
      <c r="O305" s="214"/>
      <c r="Q305" s="229"/>
      <c r="DD305" s="141"/>
      <c r="DK305" s="50"/>
      <c r="EK305" s="16" t="s">
        <v>289</v>
      </c>
      <c r="EL305" s="16" t="s">
        <v>83</v>
      </c>
    </row>
    <row r="306" spans="2:160" s="1" customFormat="1" ht="14.45" customHeight="1" x14ac:dyDescent="0.2">
      <c r="B306" s="124"/>
      <c r="C306" s="125" t="s">
        <v>505</v>
      </c>
      <c r="D306" s="125" t="s">
        <v>284</v>
      </c>
      <c r="E306" s="126" t="s">
        <v>1149</v>
      </c>
      <c r="F306" s="127" t="s">
        <v>1150</v>
      </c>
      <c r="G306" s="128" t="s">
        <v>485</v>
      </c>
      <c r="H306" s="129">
        <v>6</v>
      </c>
      <c r="I306" s="130">
        <v>214.24530512569368</v>
      </c>
      <c r="J306" s="131">
        <f>ROUND(I306*H306,2)</f>
        <v>1285.47</v>
      </c>
      <c r="K306" s="127" t="s">
        <v>293</v>
      </c>
      <c r="L306" s="198">
        <f>S306</f>
        <v>0</v>
      </c>
      <c r="M306" s="206">
        <f>ROUND(L306*I306,2)</f>
        <v>0</v>
      </c>
      <c r="N306" s="211"/>
      <c r="O306" s="212">
        <f>ROUND(N306*I306,2)</f>
        <v>0</v>
      </c>
      <c r="P306" s="207">
        <f>H306-L306-N306</f>
        <v>6</v>
      </c>
      <c r="Q306" s="228">
        <f>ROUND(P306*I306,2)</f>
        <v>1285.47</v>
      </c>
      <c r="R306" s="199"/>
      <c r="S306" s="200">
        <f>W306+Y306+AA306+AC306+AE306+AG306+AI306+AK306</f>
        <v>0</v>
      </c>
      <c r="T306" s="200">
        <f>ROUND(S306*I306,2)</f>
        <v>0</v>
      </c>
      <c r="U306" s="200">
        <f>H306-S306</f>
        <v>6</v>
      </c>
      <c r="V306" s="200">
        <f>ROUND(U306*I306,2)</f>
        <v>1285.47</v>
      </c>
      <c r="W306" s="200"/>
      <c r="X306" s="200"/>
      <c r="Y306" s="200"/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DD306" s="132" t="s">
        <v>1</v>
      </c>
      <c r="DE306" s="133" t="s">
        <v>40</v>
      </c>
      <c r="DG306" s="134">
        <f>DF306*H306</f>
        <v>0</v>
      </c>
      <c r="DH306" s="134">
        <v>0</v>
      </c>
      <c r="DI306" s="134">
        <f>DH306*H306</f>
        <v>0</v>
      </c>
      <c r="DJ306" s="134">
        <v>0</v>
      </c>
      <c r="DK306" s="135">
        <f>DJ306*H306</f>
        <v>0</v>
      </c>
      <c r="EI306" s="136" t="s">
        <v>95</v>
      </c>
      <c r="EK306" s="136" t="s">
        <v>284</v>
      </c>
      <c r="EL306" s="136" t="s">
        <v>83</v>
      </c>
      <c r="EP306" s="16" t="s">
        <v>282</v>
      </c>
      <c r="EV306" s="137">
        <f>IF(DE306="základní",J306,0)</f>
        <v>1285.47</v>
      </c>
      <c r="EW306" s="137">
        <f>IF(DE306="snížená",J306,0)</f>
        <v>0</v>
      </c>
      <c r="EX306" s="137">
        <f>IF(DE306="zákl. přenesená",J306,0)</f>
        <v>0</v>
      </c>
      <c r="EY306" s="137">
        <f>IF(DE306="sníž. přenesená",J306,0)</f>
        <v>0</v>
      </c>
      <c r="EZ306" s="137">
        <f>IF(DE306="nulová",J306,0)</f>
        <v>0</v>
      </c>
      <c r="FA306" s="16" t="s">
        <v>81</v>
      </c>
      <c r="FB306" s="137">
        <f>ROUND(I306*H306,2)</f>
        <v>1285.47</v>
      </c>
      <c r="FC306" s="16" t="s">
        <v>95</v>
      </c>
      <c r="FD306" s="136" t="s">
        <v>1151</v>
      </c>
    </row>
    <row r="307" spans="2:160" s="1" customFormat="1" ht="19.5" x14ac:dyDescent="0.2">
      <c r="B307" s="31"/>
      <c r="D307" s="138" t="s">
        <v>289</v>
      </c>
      <c r="F307" s="139" t="s">
        <v>1152</v>
      </c>
      <c r="I307" s="140"/>
      <c r="L307" s="31"/>
      <c r="N307" s="213"/>
      <c r="O307" s="214"/>
      <c r="Q307" s="229"/>
      <c r="DD307" s="141"/>
      <c r="DK307" s="50"/>
      <c r="EK307" s="16" t="s">
        <v>289</v>
      </c>
      <c r="EL307" s="16" t="s">
        <v>83</v>
      </c>
    </row>
    <row r="308" spans="2:160" s="1" customFormat="1" ht="29.25" x14ac:dyDescent="0.2">
      <c r="B308" s="31"/>
      <c r="D308" s="138" t="s">
        <v>299</v>
      </c>
      <c r="F308" s="142" t="s">
        <v>1083</v>
      </c>
      <c r="I308" s="140"/>
      <c r="L308" s="31"/>
      <c r="N308" s="213"/>
      <c r="O308" s="214"/>
      <c r="Q308" s="229"/>
      <c r="DD308" s="141"/>
      <c r="DK308" s="50"/>
      <c r="EK308" s="16" t="s">
        <v>299</v>
      </c>
      <c r="EL308" s="16" t="s">
        <v>83</v>
      </c>
    </row>
    <row r="309" spans="2:160" s="11" customFormat="1" x14ac:dyDescent="0.2">
      <c r="B309" s="143"/>
      <c r="D309" s="138" t="s">
        <v>301</v>
      </c>
      <c r="E309" s="144" t="s">
        <v>1</v>
      </c>
      <c r="F309" s="145" t="s">
        <v>1153</v>
      </c>
      <c r="H309" s="144" t="s">
        <v>1</v>
      </c>
      <c r="I309" s="146"/>
      <c r="L309" s="143"/>
      <c r="N309" s="215"/>
      <c r="O309" s="216"/>
      <c r="Q309" s="230"/>
      <c r="DD309" s="147"/>
      <c r="DK309" s="148"/>
      <c r="EK309" s="144" t="s">
        <v>301</v>
      </c>
      <c r="EL309" s="144" t="s">
        <v>83</v>
      </c>
      <c r="EM309" s="11" t="s">
        <v>81</v>
      </c>
      <c r="EN309" s="11" t="s">
        <v>32</v>
      </c>
      <c r="EO309" s="11" t="s">
        <v>74</v>
      </c>
      <c r="EP309" s="144" t="s">
        <v>282</v>
      </c>
    </row>
    <row r="310" spans="2:160" s="12" customFormat="1" x14ac:dyDescent="0.2">
      <c r="B310" s="149"/>
      <c r="D310" s="138" t="s">
        <v>301</v>
      </c>
      <c r="E310" s="150" t="s">
        <v>1</v>
      </c>
      <c r="F310" s="151" t="s">
        <v>318</v>
      </c>
      <c r="H310" s="152">
        <v>6</v>
      </c>
      <c r="I310" s="153"/>
      <c r="L310" s="149"/>
      <c r="N310" s="217"/>
      <c r="O310" s="218"/>
      <c r="Q310" s="231"/>
      <c r="DD310" s="154"/>
      <c r="DK310" s="155"/>
      <c r="EK310" s="150" t="s">
        <v>301</v>
      </c>
      <c r="EL310" s="150" t="s">
        <v>83</v>
      </c>
      <c r="EM310" s="12" t="s">
        <v>83</v>
      </c>
      <c r="EN310" s="12" t="s">
        <v>32</v>
      </c>
      <c r="EO310" s="12" t="s">
        <v>81</v>
      </c>
      <c r="EP310" s="150" t="s">
        <v>282</v>
      </c>
    </row>
    <row r="311" spans="2:160" s="1" customFormat="1" ht="14.45" customHeight="1" x14ac:dyDescent="0.2">
      <c r="B311" s="124"/>
      <c r="C311" s="170" t="s">
        <v>510</v>
      </c>
      <c r="D311" s="170" t="s">
        <v>439</v>
      </c>
      <c r="E311" s="171" t="s">
        <v>1154</v>
      </c>
      <c r="F311" s="172" t="s">
        <v>1155</v>
      </c>
      <c r="G311" s="173" t="s">
        <v>485</v>
      </c>
      <c r="H311" s="174">
        <v>6</v>
      </c>
      <c r="I311" s="175">
        <v>59.200981249999998</v>
      </c>
      <c r="J311" s="176">
        <f>ROUND(I311*H311,2)</f>
        <v>355.21</v>
      </c>
      <c r="K311" s="172" t="s">
        <v>293</v>
      </c>
      <c r="L311" s="198">
        <f>S311</f>
        <v>0</v>
      </c>
      <c r="M311" s="206">
        <f>ROUND(L311*I311,2)</f>
        <v>0</v>
      </c>
      <c r="N311" s="211"/>
      <c r="O311" s="212">
        <f>ROUND(N311*I311,2)</f>
        <v>0</v>
      </c>
      <c r="P311" s="207">
        <f>H311-L311-N311</f>
        <v>6</v>
      </c>
      <c r="Q311" s="228">
        <f>ROUND(P311*I311,2)</f>
        <v>355.21</v>
      </c>
      <c r="R311" s="199"/>
      <c r="S311" s="200">
        <f>W311+Y311+AA311+AC311+AE311+AG311+AI311+AK311</f>
        <v>0</v>
      </c>
      <c r="T311" s="200">
        <f>ROUND(S311*I311,2)</f>
        <v>0</v>
      </c>
      <c r="U311" s="200">
        <f>H311-S311</f>
        <v>6</v>
      </c>
      <c r="V311" s="200">
        <f>ROUND(U311*I311,2)</f>
        <v>355.21</v>
      </c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77" t="s">
        <v>1</v>
      </c>
      <c r="DE311" s="178" t="s">
        <v>40</v>
      </c>
      <c r="DG311" s="134">
        <f>DF311*H311</f>
        <v>0</v>
      </c>
      <c r="DH311" s="134">
        <v>2.9E-4</v>
      </c>
      <c r="DI311" s="134">
        <f>DH311*H311</f>
        <v>1.74E-3</v>
      </c>
      <c r="DJ311" s="134">
        <v>0</v>
      </c>
      <c r="DK311" s="135">
        <f>DJ311*H311</f>
        <v>0</v>
      </c>
      <c r="EI311" s="136" t="s">
        <v>328</v>
      </c>
      <c r="EK311" s="136" t="s">
        <v>439</v>
      </c>
      <c r="EL311" s="136" t="s">
        <v>83</v>
      </c>
      <c r="EP311" s="16" t="s">
        <v>282</v>
      </c>
      <c r="EV311" s="137">
        <f>IF(DE311="základní",J311,0)</f>
        <v>355.21</v>
      </c>
      <c r="EW311" s="137">
        <f>IF(DE311="snížená",J311,0)</f>
        <v>0</v>
      </c>
      <c r="EX311" s="137">
        <f>IF(DE311="zákl. přenesená",J311,0)</f>
        <v>0</v>
      </c>
      <c r="EY311" s="137">
        <f>IF(DE311="sníž. přenesená",J311,0)</f>
        <v>0</v>
      </c>
      <c r="EZ311" s="137">
        <f>IF(DE311="nulová",J311,0)</f>
        <v>0</v>
      </c>
      <c r="FA311" s="16" t="s">
        <v>81</v>
      </c>
      <c r="FB311" s="137">
        <f>ROUND(I311*H311,2)</f>
        <v>355.21</v>
      </c>
      <c r="FC311" s="16" t="s">
        <v>95</v>
      </c>
      <c r="FD311" s="136" t="s">
        <v>1156</v>
      </c>
    </row>
    <row r="312" spans="2:160" s="1" customFormat="1" x14ac:dyDescent="0.2">
      <c r="B312" s="31"/>
      <c r="D312" s="138" t="s">
        <v>289</v>
      </c>
      <c r="F312" s="139" t="s">
        <v>1155</v>
      </c>
      <c r="I312" s="140"/>
      <c r="L312" s="31"/>
      <c r="N312" s="213"/>
      <c r="O312" s="214"/>
      <c r="Q312" s="229"/>
      <c r="DD312" s="141"/>
      <c r="DK312" s="50"/>
      <c r="EK312" s="16" t="s">
        <v>289</v>
      </c>
      <c r="EL312" s="16" t="s">
        <v>83</v>
      </c>
    </row>
    <row r="313" spans="2:160" s="1" customFormat="1" ht="14.45" customHeight="1" x14ac:dyDescent="0.2">
      <c r="B313" s="124"/>
      <c r="C313" s="125" t="s">
        <v>514</v>
      </c>
      <c r="D313" s="125" t="s">
        <v>284</v>
      </c>
      <c r="E313" s="126" t="s">
        <v>776</v>
      </c>
      <c r="F313" s="127" t="s">
        <v>1157</v>
      </c>
      <c r="G313" s="128" t="s">
        <v>344</v>
      </c>
      <c r="H313" s="129">
        <v>35</v>
      </c>
      <c r="I313" s="130">
        <v>21.984104604889872</v>
      </c>
      <c r="J313" s="131">
        <f>ROUND(I313*H313,2)</f>
        <v>769.44</v>
      </c>
      <c r="K313" s="127" t="s">
        <v>293</v>
      </c>
      <c r="L313" s="198">
        <f>S313</f>
        <v>0</v>
      </c>
      <c r="M313" s="206">
        <f>ROUND(L313*I313,2)</f>
        <v>0</v>
      </c>
      <c r="N313" s="211">
        <f>N287</f>
        <v>-5.66</v>
      </c>
      <c r="O313" s="212">
        <f>ROUND(N313*I313,2)</f>
        <v>-124.43</v>
      </c>
      <c r="P313" s="207">
        <f>H313-L313-N313</f>
        <v>40.659999999999997</v>
      </c>
      <c r="Q313" s="228">
        <f>ROUND(P313*I313,2)</f>
        <v>893.87</v>
      </c>
      <c r="R313" s="199"/>
      <c r="S313" s="200">
        <f>W313+Y313+AA313+AC313+AE313+AG313+AI313+AK313</f>
        <v>0</v>
      </c>
      <c r="T313" s="200">
        <f>ROUND(S313*I313,2)</f>
        <v>0</v>
      </c>
      <c r="U313" s="200">
        <f>H313-S313</f>
        <v>35</v>
      </c>
      <c r="V313" s="200">
        <f>ROUND(U313*I313,2)</f>
        <v>769.44</v>
      </c>
      <c r="W313" s="200"/>
      <c r="X313" s="200"/>
      <c r="Y313" s="200"/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DD313" s="132" t="s">
        <v>1</v>
      </c>
      <c r="DE313" s="133" t="s">
        <v>40</v>
      </c>
      <c r="DG313" s="134">
        <f>DF313*H313</f>
        <v>0</v>
      </c>
      <c r="DH313" s="134">
        <v>0</v>
      </c>
      <c r="DI313" s="134">
        <f>DH313*H313</f>
        <v>0</v>
      </c>
      <c r="DJ313" s="134">
        <v>0</v>
      </c>
      <c r="DK313" s="135">
        <f>DJ313*H313</f>
        <v>0</v>
      </c>
      <c r="EI313" s="136" t="s">
        <v>95</v>
      </c>
      <c r="EK313" s="136" t="s">
        <v>284</v>
      </c>
      <c r="EL313" s="136" t="s">
        <v>83</v>
      </c>
      <c r="EP313" s="16" t="s">
        <v>282</v>
      </c>
      <c r="EV313" s="137">
        <f>IF(DE313="základní",J313,0)</f>
        <v>769.44</v>
      </c>
      <c r="EW313" s="137">
        <f>IF(DE313="snížená",J313,0)</f>
        <v>0</v>
      </c>
      <c r="EX313" s="137">
        <f>IF(DE313="zákl. přenesená",J313,0)</f>
        <v>0</v>
      </c>
      <c r="EY313" s="137">
        <f>IF(DE313="sníž. přenesená",J313,0)</f>
        <v>0</v>
      </c>
      <c r="EZ313" s="137">
        <f>IF(DE313="nulová",J313,0)</f>
        <v>0</v>
      </c>
      <c r="FA313" s="16" t="s">
        <v>81</v>
      </c>
      <c r="FB313" s="137">
        <f>ROUND(I313*H313,2)</f>
        <v>769.44</v>
      </c>
      <c r="FC313" s="16" t="s">
        <v>95</v>
      </c>
      <c r="FD313" s="136" t="s">
        <v>1158</v>
      </c>
    </row>
    <row r="314" spans="2:160" s="1" customFormat="1" x14ac:dyDescent="0.2">
      <c r="B314" s="31"/>
      <c r="D314" s="138" t="s">
        <v>289</v>
      </c>
      <c r="F314" s="139" t="s">
        <v>779</v>
      </c>
      <c r="I314" s="140"/>
      <c r="L314" s="31"/>
      <c r="N314" s="213"/>
      <c r="O314" s="214"/>
      <c r="Q314" s="229"/>
      <c r="DD314" s="141"/>
      <c r="DK314" s="50"/>
      <c r="EK314" s="16" t="s">
        <v>289</v>
      </c>
      <c r="EL314" s="16" t="s">
        <v>83</v>
      </c>
    </row>
    <row r="315" spans="2:160" s="1" customFormat="1" ht="19.5" x14ac:dyDescent="0.2">
      <c r="B315" s="31"/>
      <c r="D315" s="138" t="s">
        <v>299</v>
      </c>
      <c r="F315" s="142" t="s">
        <v>587</v>
      </c>
      <c r="I315" s="140"/>
      <c r="L315" s="31"/>
      <c r="N315" s="213"/>
      <c r="O315" s="214"/>
      <c r="Q315" s="229"/>
      <c r="DD315" s="141"/>
      <c r="DK315" s="50"/>
      <c r="EK315" s="16" t="s">
        <v>299</v>
      </c>
      <c r="EL315" s="16" t="s">
        <v>83</v>
      </c>
    </row>
    <row r="316" spans="2:160" s="1" customFormat="1" ht="24.2" customHeight="1" x14ac:dyDescent="0.2">
      <c r="B316" s="124"/>
      <c r="C316" s="125" t="s">
        <v>521</v>
      </c>
      <c r="D316" s="125" t="s">
        <v>284</v>
      </c>
      <c r="E316" s="126" t="s">
        <v>1159</v>
      </c>
      <c r="F316" s="127" t="s">
        <v>1160</v>
      </c>
      <c r="G316" s="128" t="s">
        <v>485</v>
      </c>
      <c r="H316" s="129">
        <v>6</v>
      </c>
      <c r="I316" s="130">
        <v>3029.9958423936168</v>
      </c>
      <c r="J316" s="131">
        <f>ROUND(I316*H316,2)</f>
        <v>18179.98</v>
      </c>
      <c r="K316" s="127" t="s">
        <v>293</v>
      </c>
      <c r="L316" s="198">
        <f>S316</f>
        <v>0</v>
      </c>
      <c r="M316" s="206">
        <f>ROUND(L316*I316,2)</f>
        <v>0</v>
      </c>
      <c r="N316" s="211"/>
      <c r="O316" s="212">
        <f>ROUND(N316*I316,2)</f>
        <v>0</v>
      </c>
      <c r="P316" s="207">
        <f>H316-L316-N316</f>
        <v>6</v>
      </c>
      <c r="Q316" s="228">
        <f>ROUND(P316*I316,2)</f>
        <v>18179.98</v>
      </c>
      <c r="R316" s="199"/>
      <c r="S316" s="200">
        <f>W316+Y316+AA316+AC316+AE316+AG316+AI316+AK316</f>
        <v>0</v>
      </c>
      <c r="T316" s="200">
        <f>ROUND(S316*I316,2)</f>
        <v>0</v>
      </c>
      <c r="U316" s="200">
        <f>H316-S316</f>
        <v>6</v>
      </c>
      <c r="V316" s="200">
        <f>ROUND(U316*I316,2)</f>
        <v>18179.98</v>
      </c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DD316" s="132" t="s">
        <v>1</v>
      </c>
      <c r="DE316" s="133" t="s">
        <v>40</v>
      </c>
      <c r="DG316" s="134">
        <f>DF316*H316</f>
        <v>0</v>
      </c>
      <c r="DH316" s="134">
        <v>5.8029999999999998E-2</v>
      </c>
      <c r="DI316" s="134">
        <f>DH316*H316</f>
        <v>0.34817999999999999</v>
      </c>
      <c r="DJ316" s="134">
        <v>0</v>
      </c>
      <c r="DK316" s="135">
        <f>DJ316*H316</f>
        <v>0</v>
      </c>
      <c r="EI316" s="136" t="s">
        <v>95</v>
      </c>
      <c r="EK316" s="136" t="s">
        <v>284</v>
      </c>
      <c r="EL316" s="136" t="s">
        <v>83</v>
      </c>
      <c r="EP316" s="16" t="s">
        <v>282</v>
      </c>
      <c r="EV316" s="137">
        <f>IF(DE316="základní",J316,0)</f>
        <v>18179.98</v>
      </c>
      <c r="EW316" s="137">
        <f>IF(DE316="snížená",J316,0)</f>
        <v>0</v>
      </c>
      <c r="EX316" s="137">
        <f>IF(DE316="zákl. přenesená",J316,0)</f>
        <v>0</v>
      </c>
      <c r="EY316" s="137">
        <f>IF(DE316="sníž. přenesená",J316,0)</f>
        <v>0</v>
      </c>
      <c r="EZ316" s="137">
        <f>IF(DE316="nulová",J316,0)</f>
        <v>0</v>
      </c>
      <c r="FA316" s="16" t="s">
        <v>81</v>
      </c>
      <c r="FB316" s="137">
        <f>ROUND(I316*H316,2)</f>
        <v>18179.98</v>
      </c>
      <c r="FC316" s="16" t="s">
        <v>95</v>
      </c>
      <c r="FD316" s="136" t="s">
        <v>1161</v>
      </c>
    </row>
    <row r="317" spans="2:160" s="1" customFormat="1" ht="29.25" x14ac:dyDescent="0.2">
      <c r="B317" s="31"/>
      <c r="D317" s="138" t="s">
        <v>289</v>
      </c>
      <c r="F317" s="139" t="s">
        <v>1162</v>
      </c>
      <c r="I317" s="140"/>
      <c r="L317" s="31"/>
      <c r="N317" s="213"/>
      <c r="O317" s="214"/>
      <c r="Q317" s="229"/>
      <c r="DD317" s="141"/>
      <c r="DK317" s="50"/>
      <c r="EK317" s="16" t="s">
        <v>289</v>
      </c>
      <c r="EL317" s="16" t="s">
        <v>83</v>
      </c>
    </row>
    <row r="318" spans="2:160" s="1" customFormat="1" ht="29.25" x14ac:dyDescent="0.2">
      <c r="B318" s="31"/>
      <c r="D318" s="138" t="s">
        <v>299</v>
      </c>
      <c r="F318" s="142" t="s">
        <v>1083</v>
      </c>
      <c r="I318" s="140"/>
      <c r="L318" s="31"/>
      <c r="N318" s="213"/>
      <c r="O318" s="214"/>
      <c r="Q318" s="229"/>
      <c r="DD318" s="141"/>
      <c r="DK318" s="50"/>
      <c r="EK318" s="16" t="s">
        <v>299</v>
      </c>
      <c r="EL318" s="16" t="s">
        <v>83</v>
      </c>
    </row>
    <row r="319" spans="2:160" s="12" customFormat="1" x14ac:dyDescent="0.2">
      <c r="B319" s="149"/>
      <c r="D319" s="138" t="s">
        <v>301</v>
      </c>
      <c r="E319" s="150" t="s">
        <v>1</v>
      </c>
      <c r="F319" s="151" t="s">
        <v>318</v>
      </c>
      <c r="H319" s="152">
        <v>6</v>
      </c>
      <c r="I319" s="153"/>
      <c r="L319" s="149"/>
      <c r="N319" s="217"/>
      <c r="O319" s="218"/>
      <c r="Q319" s="231"/>
      <c r="DD319" s="154"/>
      <c r="DK319" s="155"/>
      <c r="EK319" s="150" t="s">
        <v>301</v>
      </c>
      <c r="EL319" s="150" t="s">
        <v>83</v>
      </c>
      <c r="EM319" s="12" t="s">
        <v>83</v>
      </c>
      <c r="EN319" s="12" t="s">
        <v>32</v>
      </c>
      <c r="EO319" s="12" t="s">
        <v>81</v>
      </c>
      <c r="EP319" s="150" t="s">
        <v>282</v>
      </c>
    </row>
    <row r="320" spans="2:160" s="1" customFormat="1" ht="24.2" customHeight="1" x14ac:dyDescent="0.2">
      <c r="B320" s="124"/>
      <c r="C320" s="125" t="s">
        <v>526</v>
      </c>
      <c r="D320" s="125" t="s">
        <v>284</v>
      </c>
      <c r="E320" s="126" t="s">
        <v>1163</v>
      </c>
      <c r="F320" s="127" t="s">
        <v>1164</v>
      </c>
      <c r="G320" s="128" t="s">
        <v>485</v>
      </c>
      <c r="H320" s="129">
        <v>6</v>
      </c>
      <c r="I320" s="130">
        <v>1731.8858985723084</v>
      </c>
      <c r="J320" s="131">
        <f>ROUND(I320*H320,2)</f>
        <v>10391.32</v>
      </c>
      <c r="K320" s="127" t="s">
        <v>293</v>
      </c>
      <c r="L320" s="198">
        <f>S320</f>
        <v>0</v>
      </c>
      <c r="M320" s="206">
        <f>ROUND(L320*I320,2)</f>
        <v>0</v>
      </c>
      <c r="N320" s="211"/>
      <c r="O320" s="212">
        <f>ROUND(N320*I320,2)</f>
        <v>0</v>
      </c>
      <c r="P320" s="207">
        <f>H320-L320-N320</f>
        <v>6</v>
      </c>
      <c r="Q320" s="228">
        <f>ROUND(P320*I320,2)</f>
        <v>10391.32</v>
      </c>
      <c r="R320" s="199"/>
      <c r="S320" s="200">
        <f>W320+Y320+AA320+AC320+AE320+AG320+AI320+AK320</f>
        <v>0</v>
      </c>
      <c r="T320" s="200">
        <f>ROUND(S320*I320,2)</f>
        <v>0</v>
      </c>
      <c r="U320" s="200">
        <f>H320-S320</f>
        <v>6</v>
      </c>
      <c r="V320" s="200">
        <f>ROUND(U320*I320,2)</f>
        <v>10391.32</v>
      </c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DD320" s="132" t="s">
        <v>1</v>
      </c>
      <c r="DE320" s="133" t="s">
        <v>40</v>
      </c>
      <c r="DG320" s="134">
        <f>DF320*H320</f>
        <v>0</v>
      </c>
      <c r="DH320" s="134">
        <v>1.136E-2</v>
      </c>
      <c r="DI320" s="134">
        <f>DH320*H320</f>
        <v>6.8159999999999998E-2</v>
      </c>
      <c r="DJ320" s="134">
        <v>0</v>
      </c>
      <c r="DK320" s="135">
        <f>DJ320*H320</f>
        <v>0</v>
      </c>
      <c r="EI320" s="136" t="s">
        <v>95</v>
      </c>
      <c r="EK320" s="136" t="s">
        <v>284</v>
      </c>
      <c r="EL320" s="136" t="s">
        <v>83</v>
      </c>
      <c r="EP320" s="16" t="s">
        <v>282</v>
      </c>
      <c r="EV320" s="137">
        <f>IF(DE320="základní",J320,0)</f>
        <v>10391.32</v>
      </c>
      <c r="EW320" s="137">
        <f>IF(DE320="snížená",J320,0)</f>
        <v>0</v>
      </c>
      <c r="EX320" s="137">
        <f>IF(DE320="zákl. přenesená",J320,0)</f>
        <v>0</v>
      </c>
      <c r="EY320" s="137">
        <f>IF(DE320="sníž. přenesená",J320,0)</f>
        <v>0</v>
      </c>
      <c r="EZ320" s="137">
        <f>IF(DE320="nulová",J320,0)</f>
        <v>0</v>
      </c>
      <c r="FA320" s="16" t="s">
        <v>81</v>
      </c>
      <c r="FB320" s="137">
        <f>ROUND(I320*H320,2)</f>
        <v>10391.32</v>
      </c>
      <c r="FC320" s="16" t="s">
        <v>95</v>
      </c>
      <c r="FD320" s="136" t="s">
        <v>1165</v>
      </c>
    </row>
    <row r="321" spans="2:160" s="1" customFormat="1" ht="19.5" x14ac:dyDescent="0.2">
      <c r="B321" s="31"/>
      <c r="D321" s="138" t="s">
        <v>289</v>
      </c>
      <c r="F321" s="139" t="s">
        <v>1166</v>
      </c>
      <c r="I321" s="140"/>
      <c r="L321" s="31"/>
      <c r="N321" s="213"/>
      <c r="O321" s="214"/>
      <c r="Q321" s="229"/>
      <c r="DD321" s="141"/>
      <c r="DK321" s="50"/>
      <c r="EK321" s="16" t="s">
        <v>289</v>
      </c>
      <c r="EL321" s="16" t="s">
        <v>83</v>
      </c>
    </row>
    <row r="322" spans="2:160" s="1" customFormat="1" ht="24.2" customHeight="1" x14ac:dyDescent="0.2">
      <c r="B322" s="124"/>
      <c r="C322" s="125" t="s">
        <v>531</v>
      </c>
      <c r="D322" s="125" t="s">
        <v>284</v>
      </c>
      <c r="E322" s="126" t="s">
        <v>1167</v>
      </c>
      <c r="F322" s="127" t="s">
        <v>1168</v>
      </c>
      <c r="G322" s="128" t="s">
        <v>485</v>
      </c>
      <c r="H322" s="129">
        <v>6</v>
      </c>
      <c r="I322" s="130">
        <v>769.70783374577138</v>
      </c>
      <c r="J322" s="131">
        <f>ROUND(I322*H322,2)</f>
        <v>4618.25</v>
      </c>
      <c r="K322" s="127" t="s">
        <v>293</v>
      </c>
      <c r="L322" s="198">
        <f>S322</f>
        <v>0</v>
      </c>
      <c r="M322" s="206">
        <f>ROUND(L322*I322,2)</f>
        <v>0</v>
      </c>
      <c r="N322" s="211"/>
      <c r="O322" s="212">
        <f>ROUND(N322*I322,2)</f>
        <v>0</v>
      </c>
      <c r="P322" s="207">
        <f>H322-L322-N322</f>
        <v>6</v>
      </c>
      <c r="Q322" s="228">
        <f>ROUND(P322*I322,2)</f>
        <v>4618.25</v>
      </c>
      <c r="R322" s="199"/>
      <c r="S322" s="200">
        <f>W322+Y322+AA322+AC322+AE322+AG322+AI322+AK322</f>
        <v>0</v>
      </c>
      <c r="T322" s="200">
        <f>ROUND(S322*I322,2)</f>
        <v>0</v>
      </c>
      <c r="U322" s="200">
        <f>H322-S322</f>
        <v>6</v>
      </c>
      <c r="V322" s="200">
        <f>ROUND(U322*I322,2)</f>
        <v>4618.25</v>
      </c>
      <c r="W322" s="200"/>
      <c r="X322" s="200"/>
      <c r="Y322" s="200"/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DD322" s="132" t="s">
        <v>1</v>
      </c>
      <c r="DE322" s="133" t="s">
        <v>40</v>
      </c>
      <c r="DG322" s="134">
        <f>DF322*H322</f>
        <v>0</v>
      </c>
      <c r="DH322" s="134">
        <v>6.2199999999999998E-3</v>
      </c>
      <c r="DI322" s="134">
        <f>DH322*H322</f>
        <v>3.7319999999999999E-2</v>
      </c>
      <c r="DJ322" s="134">
        <v>0</v>
      </c>
      <c r="DK322" s="135">
        <f>DJ322*H322</f>
        <v>0</v>
      </c>
      <c r="EI322" s="136" t="s">
        <v>95</v>
      </c>
      <c r="EK322" s="136" t="s">
        <v>284</v>
      </c>
      <c r="EL322" s="136" t="s">
        <v>83</v>
      </c>
      <c r="EP322" s="16" t="s">
        <v>282</v>
      </c>
      <c r="EV322" s="137">
        <f>IF(DE322="základní",J322,0)</f>
        <v>4618.25</v>
      </c>
      <c r="EW322" s="137">
        <f>IF(DE322="snížená",J322,0)</f>
        <v>0</v>
      </c>
      <c r="EX322" s="137">
        <f>IF(DE322="zákl. přenesená",J322,0)</f>
        <v>0</v>
      </c>
      <c r="EY322" s="137">
        <f>IF(DE322="sníž. přenesená",J322,0)</f>
        <v>0</v>
      </c>
      <c r="EZ322" s="137">
        <f>IF(DE322="nulová",J322,0)</f>
        <v>0</v>
      </c>
      <c r="FA322" s="16" t="s">
        <v>81</v>
      </c>
      <c r="FB322" s="137">
        <f>ROUND(I322*H322,2)</f>
        <v>4618.25</v>
      </c>
      <c r="FC322" s="16" t="s">
        <v>95</v>
      </c>
      <c r="FD322" s="136" t="s">
        <v>1169</v>
      </c>
    </row>
    <row r="323" spans="2:160" s="1" customFormat="1" ht="29.25" x14ac:dyDescent="0.2">
      <c r="B323" s="31"/>
      <c r="D323" s="138" t="s">
        <v>289</v>
      </c>
      <c r="F323" s="139" t="s">
        <v>1170</v>
      </c>
      <c r="I323" s="140"/>
      <c r="L323" s="31"/>
      <c r="N323" s="213"/>
      <c r="O323" s="214"/>
      <c r="Q323" s="229"/>
      <c r="DD323" s="141"/>
      <c r="DK323" s="50"/>
      <c r="EK323" s="16" t="s">
        <v>289</v>
      </c>
      <c r="EL323" s="16" t="s">
        <v>83</v>
      </c>
    </row>
    <row r="324" spans="2:160" s="1" customFormat="1" ht="24.2" customHeight="1" x14ac:dyDescent="0.2">
      <c r="B324" s="124"/>
      <c r="C324" s="125" t="s">
        <v>536</v>
      </c>
      <c r="D324" s="125" t="s">
        <v>284</v>
      </c>
      <c r="E324" s="126" t="s">
        <v>1171</v>
      </c>
      <c r="F324" s="127" t="s">
        <v>1172</v>
      </c>
      <c r="G324" s="128" t="s">
        <v>485</v>
      </c>
      <c r="H324" s="129">
        <v>6</v>
      </c>
      <c r="I324" s="130">
        <v>809.35201412271431</v>
      </c>
      <c r="J324" s="131">
        <f>ROUND(I324*H324,2)</f>
        <v>4856.1099999999997</v>
      </c>
      <c r="K324" s="127" t="s">
        <v>293</v>
      </c>
      <c r="L324" s="198">
        <f>S324</f>
        <v>0</v>
      </c>
      <c r="M324" s="206">
        <f>ROUND(L324*I324,2)</f>
        <v>0</v>
      </c>
      <c r="N324" s="211"/>
      <c r="O324" s="212">
        <f>ROUND(N324*I324,2)</f>
        <v>0</v>
      </c>
      <c r="P324" s="207">
        <f>H324-L324-N324</f>
        <v>6</v>
      </c>
      <c r="Q324" s="228">
        <f>ROUND(P324*I324,2)</f>
        <v>4856.1099999999997</v>
      </c>
      <c r="R324" s="199"/>
      <c r="S324" s="200">
        <f>W324+Y324+AA324+AC324+AE324+AG324+AI324+AK324</f>
        <v>0</v>
      </c>
      <c r="T324" s="200">
        <f>ROUND(S324*I324,2)</f>
        <v>0</v>
      </c>
      <c r="U324" s="200">
        <f>H324-S324</f>
        <v>6</v>
      </c>
      <c r="V324" s="200">
        <f>ROUND(U324*I324,2)</f>
        <v>4856.1099999999997</v>
      </c>
      <c r="W324" s="200"/>
      <c r="X324" s="200"/>
      <c r="Y324" s="200"/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DD324" s="132" t="s">
        <v>1</v>
      </c>
      <c r="DE324" s="133" t="s">
        <v>40</v>
      </c>
      <c r="DG324" s="134">
        <f>DF324*H324</f>
        <v>0</v>
      </c>
      <c r="DH324" s="134">
        <v>0</v>
      </c>
      <c r="DI324" s="134">
        <f>DH324*H324</f>
        <v>0</v>
      </c>
      <c r="DJ324" s="134">
        <v>0</v>
      </c>
      <c r="DK324" s="135">
        <f>DJ324*H324</f>
        <v>0</v>
      </c>
      <c r="EI324" s="136" t="s">
        <v>95</v>
      </c>
      <c r="EK324" s="136" t="s">
        <v>284</v>
      </c>
      <c r="EL324" s="136" t="s">
        <v>83</v>
      </c>
      <c r="EP324" s="16" t="s">
        <v>282</v>
      </c>
      <c r="EV324" s="137">
        <f>IF(DE324="základní",J324,0)</f>
        <v>4856.1099999999997</v>
      </c>
      <c r="EW324" s="137">
        <f>IF(DE324="snížená",J324,0)</f>
        <v>0</v>
      </c>
      <c r="EX324" s="137">
        <f>IF(DE324="zákl. přenesená",J324,0)</f>
        <v>0</v>
      </c>
      <c r="EY324" s="137">
        <f>IF(DE324="sníž. přenesená",J324,0)</f>
        <v>0</v>
      </c>
      <c r="EZ324" s="137">
        <f>IF(DE324="nulová",J324,0)</f>
        <v>0</v>
      </c>
      <c r="FA324" s="16" t="s">
        <v>81</v>
      </c>
      <c r="FB324" s="137">
        <f>ROUND(I324*H324,2)</f>
        <v>4856.1099999999997</v>
      </c>
      <c r="FC324" s="16" t="s">
        <v>95</v>
      </c>
      <c r="FD324" s="136" t="s">
        <v>1173</v>
      </c>
    </row>
    <row r="325" spans="2:160" s="1" customFormat="1" ht="29.25" x14ac:dyDescent="0.2">
      <c r="B325" s="31"/>
      <c r="D325" s="138" t="s">
        <v>289</v>
      </c>
      <c r="F325" s="139" t="s">
        <v>1174</v>
      </c>
      <c r="I325" s="140"/>
      <c r="L325" s="31"/>
      <c r="N325" s="213"/>
      <c r="O325" s="214"/>
      <c r="Q325" s="229"/>
      <c r="DD325" s="141"/>
      <c r="DK325" s="50"/>
      <c r="EK325" s="16" t="s">
        <v>289</v>
      </c>
      <c r="EL325" s="16" t="s">
        <v>83</v>
      </c>
    </row>
    <row r="326" spans="2:160" s="1" customFormat="1" ht="24.2" customHeight="1" x14ac:dyDescent="0.2">
      <c r="B326" s="124"/>
      <c r="C326" s="125" t="s">
        <v>543</v>
      </c>
      <c r="D326" s="125" t="s">
        <v>284</v>
      </c>
      <c r="E326" s="126" t="s">
        <v>1175</v>
      </c>
      <c r="F326" s="127" t="s">
        <v>1176</v>
      </c>
      <c r="G326" s="128" t="s">
        <v>485</v>
      </c>
      <c r="H326" s="129">
        <v>6</v>
      </c>
      <c r="I326" s="130">
        <v>3446.6463092111458</v>
      </c>
      <c r="J326" s="131">
        <f>ROUND(I326*H326,2)</f>
        <v>20679.88</v>
      </c>
      <c r="K326" s="127" t="s">
        <v>293</v>
      </c>
      <c r="L326" s="198">
        <f>S326</f>
        <v>0</v>
      </c>
      <c r="M326" s="206">
        <f>ROUND(L326*I326,2)</f>
        <v>0</v>
      </c>
      <c r="N326" s="211"/>
      <c r="O326" s="212">
        <f>ROUND(N326*I326,2)</f>
        <v>0</v>
      </c>
      <c r="P326" s="207">
        <f>H326-L326-N326</f>
        <v>6</v>
      </c>
      <c r="Q326" s="228">
        <f>ROUND(P326*I326,2)</f>
        <v>20679.88</v>
      </c>
      <c r="R326" s="199"/>
      <c r="S326" s="200">
        <f>W326+Y326+AA326+AC326+AE326+AG326+AI326+AK326</f>
        <v>0</v>
      </c>
      <c r="T326" s="200">
        <f>ROUND(S326*I326,2)</f>
        <v>0</v>
      </c>
      <c r="U326" s="200">
        <f>H326-S326</f>
        <v>6</v>
      </c>
      <c r="V326" s="200">
        <f>ROUND(U326*I326,2)</f>
        <v>20679.88</v>
      </c>
      <c r="W326" s="200"/>
      <c r="X326" s="200"/>
      <c r="Y326" s="200"/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DD326" s="132" t="s">
        <v>1</v>
      </c>
      <c r="DE326" s="133" t="s">
        <v>40</v>
      </c>
      <c r="DG326" s="134">
        <f>DF326*H326</f>
        <v>0</v>
      </c>
      <c r="DH326" s="134">
        <v>5.4539999999999998E-2</v>
      </c>
      <c r="DI326" s="134">
        <f>DH326*H326</f>
        <v>0.32723999999999998</v>
      </c>
      <c r="DJ326" s="134">
        <v>0</v>
      </c>
      <c r="DK326" s="135">
        <f>DJ326*H326</f>
        <v>0</v>
      </c>
      <c r="EI326" s="136" t="s">
        <v>95</v>
      </c>
      <c r="EK326" s="136" t="s">
        <v>284</v>
      </c>
      <c r="EL326" s="136" t="s">
        <v>83</v>
      </c>
      <c r="EP326" s="16" t="s">
        <v>282</v>
      </c>
      <c r="EV326" s="137">
        <f>IF(DE326="základní",J326,0)</f>
        <v>20679.88</v>
      </c>
      <c r="EW326" s="137">
        <f>IF(DE326="snížená",J326,0)</f>
        <v>0</v>
      </c>
      <c r="EX326" s="137">
        <f>IF(DE326="zákl. přenesená",J326,0)</f>
        <v>0</v>
      </c>
      <c r="EY326" s="137">
        <f>IF(DE326="sníž. přenesená",J326,0)</f>
        <v>0</v>
      </c>
      <c r="EZ326" s="137">
        <f>IF(DE326="nulová",J326,0)</f>
        <v>0</v>
      </c>
      <c r="FA326" s="16" t="s">
        <v>81</v>
      </c>
      <c r="FB326" s="137">
        <f>ROUND(I326*H326,2)</f>
        <v>20679.88</v>
      </c>
      <c r="FC326" s="16" t="s">
        <v>95</v>
      </c>
      <c r="FD326" s="136" t="s">
        <v>1177</v>
      </c>
    </row>
    <row r="327" spans="2:160" s="1" customFormat="1" ht="29.25" x14ac:dyDescent="0.2">
      <c r="B327" s="31"/>
      <c r="D327" s="138" t="s">
        <v>289</v>
      </c>
      <c r="F327" s="139" t="s">
        <v>1178</v>
      </c>
      <c r="I327" s="140"/>
      <c r="L327" s="31"/>
      <c r="N327" s="213"/>
      <c r="O327" s="214"/>
      <c r="Q327" s="229"/>
      <c r="DD327" s="141"/>
      <c r="DK327" s="50"/>
      <c r="EK327" s="16" t="s">
        <v>289</v>
      </c>
      <c r="EL327" s="16" t="s">
        <v>83</v>
      </c>
    </row>
    <row r="328" spans="2:160" s="10" customFormat="1" ht="22.9" customHeight="1" x14ac:dyDescent="0.2">
      <c r="B328" s="112"/>
      <c r="D328" s="113" t="s">
        <v>73</v>
      </c>
      <c r="E328" s="122" t="s">
        <v>695</v>
      </c>
      <c r="F328" s="122" t="s">
        <v>696</v>
      </c>
      <c r="I328" s="115"/>
      <c r="J328" s="123">
        <f>FB328</f>
        <v>14331.429999999998</v>
      </c>
      <c r="L328" s="112"/>
      <c r="M328" s="320">
        <f>SUM(M329:M345)</f>
        <v>0</v>
      </c>
      <c r="N328" s="323"/>
      <c r="O328" s="324">
        <f t="shared" ref="O328:V328" si="7">SUM(O329:O345)</f>
        <v>-2321.6999999999998</v>
      </c>
      <c r="P328" s="320"/>
      <c r="Q328" s="326">
        <f t="shared" si="7"/>
        <v>16653.12</v>
      </c>
      <c r="R328" s="320"/>
      <c r="S328" s="320"/>
      <c r="T328" s="320">
        <f t="shared" si="7"/>
        <v>0</v>
      </c>
      <c r="U328" s="320"/>
      <c r="V328" s="320">
        <f t="shared" si="7"/>
        <v>14331.429999999998</v>
      </c>
      <c r="DD328" s="117"/>
      <c r="DG328" s="118">
        <f>SUM(DG329:DG347)</f>
        <v>0</v>
      </c>
      <c r="DI328" s="118">
        <f>SUM(DI329:DI347)</f>
        <v>0</v>
      </c>
      <c r="DK328" s="119">
        <f>SUM(DK329:DK347)</f>
        <v>0</v>
      </c>
      <c r="EI328" s="113" t="s">
        <v>81</v>
      </c>
      <c r="EK328" s="120" t="s">
        <v>73</v>
      </c>
      <c r="EL328" s="120" t="s">
        <v>81</v>
      </c>
      <c r="EP328" s="113" t="s">
        <v>282</v>
      </c>
      <c r="FB328" s="121">
        <f>SUM(FB329:FB347)</f>
        <v>14331.429999999998</v>
      </c>
    </row>
    <row r="329" spans="2:160" s="1" customFormat="1" ht="14.45" customHeight="1" x14ac:dyDescent="0.2">
      <c r="B329" s="124"/>
      <c r="C329" s="125" t="s">
        <v>548</v>
      </c>
      <c r="D329" s="125" t="s">
        <v>284</v>
      </c>
      <c r="E329" s="126" t="s">
        <v>698</v>
      </c>
      <c r="F329" s="127" t="s">
        <v>699</v>
      </c>
      <c r="G329" s="128" t="s">
        <v>418</v>
      </c>
      <c r="H329" s="129">
        <v>39.627000000000002</v>
      </c>
      <c r="I329" s="130">
        <v>40.477390926043419</v>
      </c>
      <c r="J329" s="131">
        <f>ROUND(I329*H329,2)</f>
        <v>1604</v>
      </c>
      <c r="K329" s="127" t="s">
        <v>293</v>
      </c>
      <c r="L329" s="198">
        <f>S329</f>
        <v>0</v>
      </c>
      <c r="M329" s="206">
        <f>ROUND(L329*I329,2)</f>
        <v>0</v>
      </c>
      <c r="N329" s="211">
        <f>N331</f>
        <v>-6.4195740000000043</v>
      </c>
      <c r="O329" s="212">
        <f>ROUND(N329*I329,2)</f>
        <v>-259.85000000000002</v>
      </c>
      <c r="P329" s="207">
        <f>H329-L329-N329</f>
        <v>46.046574000000007</v>
      </c>
      <c r="Q329" s="228">
        <f>ROUND(P329*I329,2)</f>
        <v>1863.85</v>
      </c>
      <c r="R329" s="199"/>
      <c r="S329" s="200">
        <f>W329+Y329+AA329+AC329+AE329+AG329+AI329+AK329</f>
        <v>0</v>
      </c>
      <c r="T329" s="200">
        <f>ROUND(S329*I329,2)</f>
        <v>0</v>
      </c>
      <c r="U329" s="200">
        <f>H329-S329</f>
        <v>39.627000000000002</v>
      </c>
      <c r="V329" s="200">
        <f>ROUND(U329*I329,2)</f>
        <v>1604</v>
      </c>
      <c r="W329" s="200"/>
      <c r="X329" s="200"/>
      <c r="Y329" s="200"/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DD329" s="132" t="s">
        <v>1</v>
      </c>
      <c r="DE329" s="133" t="s">
        <v>40</v>
      </c>
      <c r="DG329" s="134">
        <f>DF329*H329</f>
        <v>0</v>
      </c>
      <c r="DH329" s="134">
        <v>0</v>
      </c>
      <c r="DI329" s="134">
        <f>DH329*H329</f>
        <v>0</v>
      </c>
      <c r="DJ329" s="134">
        <v>0</v>
      </c>
      <c r="DK329" s="135">
        <f>DJ329*H329</f>
        <v>0</v>
      </c>
      <c r="EI329" s="136" t="s">
        <v>95</v>
      </c>
      <c r="EK329" s="136" t="s">
        <v>284</v>
      </c>
      <c r="EL329" s="136" t="s">
        <v>83</v>
      </c>
      <c r="EP329" s="16" t="s">
        <v>282</v>
      </c>
      <c r="EV329" s="137">
        <f>IF(DE329="základní",J329,0)</f>
        <v>1604</v>
      </c>
      <c r="EW329" s="137">
        <f>IF(DE329="snížená",J329,0)</f>
        <v>0</v>
      </c>
      <c r="EX329" s="137">
        <f>IF(DE329="zákl. přenesená",J329,0)</f>
        <v>0</v>
      </c>
      <c r="EY329" s="137">
        <f>IF(DE329="sníž. přenesená",J329,0)</f>
        <v>0</v>
      </c>
      <c r="EZ329" s="137">
        <f>IF(DE329="nulová",J329,0)</f>
        <v>0</v>
      </c>
      <c r="FA329" s="16" t="s">
        <v>81</v>
      </c>
      <c r="FB329" s="137">
        <f>ROUND(I329*H329,2)</f>
        <v>1604</v>
      </c>
      <c r="FC329" s="16" t="s">
        <v>95</v>
      </c>
      <c r="FD329" s="136" t="s">
        <v>700</v>
      </c>
    </row>
    <row r="330" spans="2:160" s="1" customFormat="1" ht="19.5" x14ac:dyDescent="0.2">
      <c r="B330" s="31"/>
      <c r="D330" s="138" t="s">
        <v>289</v>
      </c>
      <c r="F330" s="139" t="s">
        <v>701</v>
      </c>
      <c r="I330" s="140"/>
      <c r="L330" s="31"/>
      <c r="N330" s="213">
        <f>0.838*39.627</f>
        <v>33.207425999999998</v>
      </c>
      <c r="O330" s="214" t="s">
        <v>3893</v>
      </c>
      <c r="Q330" s="229"/>
      <c r="DD330" s="141"/>
      <c r="DK330" s="50"/>
      <c r="EK330" s="16" t="s">
        <v>289</v>
      </c>
      <c r="EL330" s="16" t="s">
        <v>83</v>
      </c>
    </row>
    <row r="331" spans="2:160" s="12" customFormat="1" x14ac:dyDescent="0.2">
      <c r="B331" s="149"/>
      <c r="D331" s="138" t="s">
        <v>301</v>
      </c>
      <c r="E331" s="150" t="s">
        <v>1</v>
      </c>
      <c r="F331" s="151" t="s">
        <v>1268</v>
      </c>
      <c r="H331" s="152">
        <v>36.54</v>
      </c>
      <c r="I331" s="153"/>
      <c r="L331" s="149"/>
      <c r="N331" s="310">
        <f>N330-H333</f>
        <v>-6.4195740000000043</v>
      </c>
      <c r="O331" s="218"/>
      <c r="Q331" s="231"/>
      <c r="DD331" s="154"/>
      <c r="DK331" s="155"/>
      <c r="EK331" s="150" t="s">
        <v>301</v>
      </c>
      <c r="EL331" s="150" t="s">
        <v>83</v>
      </c>
      <c r="EM331" s="12" t="s">
        <v>83</v>
      </c>
      <c r="EN331" s="12" t="s">
        <v>32</v>
      </c>
      <c r="EO331" s="12" t="s">
        <v>74</v>
      </c>
      <c r="EP331" s="150" t="s">
        <v>282</v>
      </c>
    </row>
    <row r="332" spans="2:160" s="12" customFormat="1" x14ac:dyDescent="0.2">
      <c r="B332" s="149"/>
      <c r="D332" s="138" t="s">
        <v>301</v>
      </c>
      <c r="E332" s="150" t="s">
        <v>1</v>
      </c>
      <c r="F332" s="151" t="s">
        <v>1269</v>
      </c>
      <c r="H332" s="152">
        <v>3.0870000000000002</v>
      </c>
      <c r="I332" s="153"/>
      <c r="L332" s="149"/>
      <c r="N332" s="217"/>
      <c r="O332" s="218"/>
      <c r="Q332" s="231"/>
      <c r="DD332" s="154"/>
      <c r="DK332" s="155"/>
      <c r="EK332" s="150" t="s">
        <v>301</v>
      </c>
      <c r="EL332" s="150" t="s">
        <v>83</v>
      </c>
      <c r="EM332" s="12" t="s">
        <v>83</v>
      </c>
      <c r="EN332" s="12" t="s">
        <v>32</v>
      </c>
      <c r="EO332" s="12" t="s">
        <v>74</v>
      </c>
      <c r="EP332" s="150" t="s">
        <v>282</v>
      </c>
    </row>
    <row r="333" spans="2:160" s="13" customFormat="1" x14ac:dyDescent="0.2">
      <c r="B333" s="156"/>
      <c r="D333" s="138" t="s">
        <v>301</v>
      </c>
      <c r="E333" s="157" t="s">
        <v>1</v>
      </c>
      <c r="F333" s="158" t="s">
        <v>305</v>
      </c>
      <c r="H333" s="159">
        <v>39.627000000000002</v>
      </c>
      <c r="I333" s="160"/>
      <c r="L333" s="156"/>
      <c r="N333" s="219"/>
      <c r="O333" s="220"/>
      <c r="Q333" s="232"/>
      <c r="DD333" s="161"/>
      <c r="DK333" s="162"/>
      <c r="EK333" s="157" t="s">
        <v>301</v>
      </c>
      <c r="EL333" s="157" t="s">
        <v>83</v>
      </c>
      <c r="EM333" s="13" t="s">
        <v>95</v>
      </c>
      <c r="EN333" s="13" t="s">
        <v>32</v>
      </c>
      <c r="EO333" s="13" t="s">
        <v>81</v>
      </c>
      <c r="EP333" s="157" t="s">
        <v>282</v>
      </c>
    </row>
    <row r="334" spans="2:160" s="1" customFormat="1" ht="24.2" customHeight="1" x14ac:dyDescent="0.2">
      <c r="B334" s="124"/>
      <c r="C334" s="125" t="s">
        <v>556</v>
      </c>
      <c r="D334" s="125" t="s">
        <v>284</v>
      </c>
      <c r="E334" s="126" t="s">
        <v>705</v>
      </c>
      <c r="F334" s="127" t="s">
        <v>706</v>
      </c>
      <c r="G334" s="128" t="s">
        <v>418</v>
      </c>
      <c r="H334" s="129">
        <v>554.77800000000002</v>
      </c>
      <c r="I334" s="130">
        <v>3.1192340975392101</v>
      </c>
      <c r="J334" s="131">
        <f>ROUND(I334*H334,2)</f>
        <v>1730.48</v>
      </c>
      <c r="K334" s="127" t="s">
        <v>293</v>
      </c>
      <c r="L334" s="198">
        <f>S334</f>
        <v>0</v>
      </c>
      <c r="M334" s="206">
        <f>ROUND(L334*I334,2)</f>
        <v>0</v>
      </c>
      <c r="N334" s="211">
        <f>N337</f>
        <v>-89.874036000000046</v>
      </c>
      <c r="O334" s="212">
        <f>ROUND(N334*I334,2)</f>
        <v>-280.33999999999997</v>
      </c>
      <c r="P334" s="207">
        <f>H334-L334-N334</f>
        <v>644.65203600000007</v>
      </c>
      <c r="Q334" s="228">
        <f>ROUND(P334*I334,2)</f>
        <v>2010.82</v>
      </c>
      <c r="R334" s="199"/>
      <c r="S334" s="200">
        <f>W334+Y334+AA334+AC334+AE334+AG334+AI334+AK334</f>
        <v>0</v>
      </c>
      <c r="T334" s="200">
        <f>ROUND(S334*I334,2)</f>
        <v>0</v>
      </c>
      <c r="U334" s="200">
        <f>H334-S334</f>
        <v>554.77800000000002</v>
      </c>
      <c r="V334" s="200">
        <f>ROUND(U334*I334,2)</f>
        <v>1730.48</v>
      </c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DD334" s="132" t="s">
        <v>1</v>
      </c>
      <c r="DE334" s="133" t="s">
        <v>40</v>
      </c>
      <c r="DG334" s="134">
        <f>DF334*H334</f>
        <v>0</v>
      </c>
      <c r="DH334" s="134">
        <v>0</v>
      </c>
      <c r="DI334" s="134">
        <f>DH334*H334</f>
        <v>0</v>
      </c>
      <c r="DJ334" s="134">
        <v>0</v>
      </c>
      <c r="DK334" s="135">
        <f>DJ334*H334</f>
        <v>0</v>
      </c>
      <c r="EI334" s="136" t="s">
        <v>95</v>
      </c>
      <c r="EK334" s="136" t="s">
        <v>284</v>
      </c>
      <c r="EL334" s="136" t="s">
        <v>83</v>
      </c>
      <c r="EP334" s="16" t="s">
        <v>282</v>
      </c>
      <c r="EV334" s="137">
        <f>IF(DE334="základní",J334,0)</f>
        <v>1730.48</v>
      </c>
      <c r="EW334" s="137">
        <f>IF(DE334="snížená",J334,0)</f>
        <v>0</v>
      </c>
      <c r="EX334" s="137">
        <f>IF(DE334="zákl. přenesená",J334,0)</f>
        <v>0</v>
      </c>
      <c r="EY334" s="137">
        <f>IF(DE334="sníž. přenesená",J334,0)</f>
        <v>0</v>
      </c>
      <c r="EZ334" s="137">
        <f>IF(DE334="nulová",J334,0)</f>
        <v>0</v>
      </c>
      <c r="FA334" s="16" t="s">
        <v>81</v>
      </c>
      <c r="FB334" s="137">
        <f>ROUND(I334*H334,2)</f>
        <v>1730.48</v>
      </c>
      <c r="FC334" s="16" t="s">
        <v>95</v>
      </c>
      <c r="FD334" s="136" t="s">
        <v>707</v>
      </c>
    </row>
    <row r="335" spans="2:160" s="1" customFormat="1" ht="29.25" x14ac:dyDescent="0.2">
      <c r="B335" s="31"/>
      <c r="D335" s="138" t="s">
        <v>289</v>
      </c>
      <c r="F335" s="139" t="s">
        <v>708</v>
      </c>
      <c r="I335" s="140"/>
      <c r="L335" s="31"/>
      <c r="N335" s="213"/>
      <c r="O335" s="214"/>
      <c r="Q335" s="229"/>
      <c r="DD335" s="141"/>
      <c r="DK335" s="50"/>
      <c r="EK335" s="16" t="s">
        <v>289</v>
      </c>
      <c r="EL335" s="16" t="s">
        <v>83</v>
      </c>
    </row>
    <row r="336" spans="2:160" s="12" customFormat="1" x14ac:dyDescent="0.2">
      <c r="B336" s="149"/>
      <c r="D336" s="138" t="s">
        <v>301</v>
      </c>
      <c r="E336" s="150" t="s">
        <v>1</v>
      </c>
      <c r="F336" s="151" t="s">
        <v>1268</v>
      </c>
      <c r="H336" s="152">
        <v>36.54</v>
      </c>
      <c r="I336" s="153"/>
      <c r="L336" s="149"/>
      <c r="N336" s="217">
        <f>0.838*554.778</f>
        <v>464.90396399999997</v>
      </c>
      <c r="O336" s="218" t="s">
        <v>3894</v>
      </c>
      <c r="Q336" s="231"/>
      <c r="DD336" s="154"/>
      <c r="DK336" s="155"/>
      <c r="EK336" s="150" t="s">
        <v>301</v>
      </c>
      <c r="EL336" s="150" t="s">
        <v>83</v>
      </c>
      <c r="EM336" s="12" t="s">
        <v>83</v>
      </c>
      <c r="EN336" s="12" t="s">
        <v>32</v>
      </c>
      <c r="EO336" s="12" t="s">
        <v>74</v>
      </c>
      <c r="EP336" s="150" t="s">
        <v>282</v>
      </c>
    </row>
    <row r="337" spans="2:160" s="12" customFormat="1" x14ac:dyDescent="0.2">
      <c r="B337" s="149"/>
      <c r="D337" s="138" t="s">
        <v>301</v>
      </c>
      <c r="E337" s="150" t="s">
        <v>1</v>
      </c>
      <c r="F337" s="151" t="s">
        <v>1269</v>
      </c>
      <c r="H337" s="152">
        <v>3.0870000000000002</v>
      </c>
      <c r="I337" s="153"/>
      <c r="L337" s="149"/>
      <c r="N337" s="310">
        <f>N336-H339</f>
        <v>-89.874036000000046</v>
      </c>
      <c r="O337" s="218"/>
      <c r="Q337" s="231"/>
      <c r="DD337" s="154"/>
      <c r="DK337" s="155"/>
      <c r="EK337" s="150" t="s">
        <v>301</v>
      </c>
      <c r="EL337" s="150" t="s">
        <v>83</v>
      </c>
      <c r="EM337" s="12" t="s">
        <v>83</v>
      </c>
      <c r="EN337" s="12" t="s">
        <v>32</v>
      </c>
      <c r="EO337" s="12" t="s">
        <v>74</v>
      </c>
      <c r="EP337" s="150" t="s">
        <v>282</v>
      </c>
    </row>
    <row r="338" spans="2:160" s="13" customFormat="1" x14ac:dyDescent="0.2">
      <c r="B338" s="156"/>
      <c r="D338" s="138" t="s">
        <v>301</v>
      </c>
      <c r="E338" s="157" t="s">
        <v>1</v>
      </c>
      <c r="F338" s="158" t="s">
        <v>305</v>
      </c>
      <c r="H338" s="159">
        <v>39.627000000000002</v>
      </c>
      <c r="I338" s="160"/>
      <c r="L338" s="156"/>
      <c r="N338" s="219"/>
      <c r="O338" s="220"/>
      <c r="Q338" s="232"/>
      <c r="DD338" s="161"/>
      <c r="DK338" s="162"/>
      <c r="EK338" s="157" t="s">
        <v>301</v>
      </c>
      <c r="EL338" s="157" t="s">
        <v>83</v>
      </c>
      <c r="EM338" s="13" t="s">
        <v>95</v>
      </c>
      <c r="EN338" s="13" t="s">
        <v>32</v>
      </c>
      <c r="EO338" s="13" t="s">
        <v>81</v>
      </c>
      <c r="EP338" s="157" t="s">
        <v>282</v>
      </c>
    </row>
    <row r="339" spans="2:160" s="12" customFormat="1" x14ac:dyDescent="0.2">
      <c r="B339" s="149"/>
      <c r="D339" s="138" t="s">
        <v>301</v>
      </c>
      <c r="F339" s="151" t="s">
        <v>1270</v>
      </c>
      <c r="H339" s="152">
        <v>554.77800000000002</v>
      </c>
      <c r="I339" s="153"/>
      <c r="L339" s="149"/>
      <c r="N339" s="217"/>
      <c r="O339" s="218"/>
      <c r="Q339" s="231"/>
      <c r="DD339" s="154"/>
      <c r="DK339" s="155"/>
      <c r="EK339" s="150" t="s">
        <v>301</v>
      </c>
      <c r="EL339" s="150" t="s">
        <v>83</v>
      </c>
      <c r="EM339" s="12" t="s">
        <v>83</v>
      </c>
      <c r="EN339" s="12" t="s">
        <v>3</v>
      </c>
      <c r="EO339" s="12" t="s">
        <v>81</v>
      </c>
      <c r="EP339" s="150" t="s">
        <v>282</v>
      </c>
    </row>
    <row r="340" spans="2:160" s="1" customFormat="1" ht="24.2" customHeight="1" x14ac:dyDescent="0.2">
      <c r="B340" s="124"/>
      <c r="C340" s="125" t="s">
        <v>562</v>
      </c>
      <c r="D340" s="125" t="s">
        <v>284</v>
      </c>
      <c r="E340" s="126" t="s">
        <v>711</v>
      </c>
      <c r="F340" s="127" t="s">
        <v>712</v>
      </c>
      <c r="G340" s="128" t="s">
        <v>418</v>
      </c>
      <c r="H340" s="129">
        <v>39.627000000000002</v>
      </c>
      <c r="I340" s="130">
        <v>155.98322812074767</v>
      </c>
      <c r="J340" s="131">
        <f>ROUND(I340*H340,2)</f>
        <v>6181.15</v>
      </c>
      <c r="K340" s="127" t="s">
        <v>293</v>
      </c>
      <c r="L340" s="198">
        <f>S340</f>
        <v>0</v>
      </c>
      <c r="M340" s="206">
        <f>ROUND(L340*I340,2)</f>
        <v>0</v>
      </c>
      <c r="N340" s="211">
        <f>N329</f>
        <v>-6.4195740000000043</v>
      </c>
      <c r="O340" s="212">
        <f>ROUND(N340*I340,2)</f>
        <v>-1001.35</v>
      </c>
      <c r="P340" s="207">
        <f>H340-L340-N340</f>
        <v>46.046574000000007</v>
      </c>
      <c r="Q340" s="228">
        <f>ROUND(P340*I340,2)</f>
        <v>7182.49</v>
      </c>
      <c r="R340" s="199"/>
      <c r="S340" s="200">
        <f>W340+Y340+AA340+AC340+AE340+AG340+AI340+AK340</f>
        <v>0</v>
      </c>
      <c r="T340" s="200">
        <f>ROUND(S340*I340,2)</f>
        <v>0</v>
      </c>
      <c r="U340" s="200">
        <f>H340-S340</f>
        <v>39.627000000000002</v>
      </c>
      <c r="V340" s="200">
        <f>ROUND(U340*I340,2)</f>
        <v>6181.15</v>
      </c>
      <c r="W340" s="200"/>
      <c r="X340" s="200"/>
      <c r="Y340" s="200"/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DD340" s="132" t="s">
        <v>1</v>
      </c>
      <c r="DE340" s="133" t="s">
        <v>40</v>
      </c>
      <c r="DG340" s="134">
        <f>DF340*H340</f>
        <v>0</v>
      </c>
      <c r="DH340" s="134">
        <v>0</v>
      </c>
      <c r="DI340" s="134">
        <f>DH340*H340</f>
        <v>0</v>
      </c>
      <c r="DJ340" s="134">
        <v>0</v>
      </c>
      <c r="DK340" s="135">
        <f>DJ340*H340</f>
        <v>0</v>
      </c>
      <c r="EI340" s="136" t="s">
        <v>95</v>
      </c>
      <c r="EK340" s="136" t="s">
        <v>284</v>
      </c>
      <c r="EL340" s="136" t="s">
        <v>83</v>
      </c>
      <c r="EP340" s="16" t="s">
        <v>282</v>
      </c>
      <c r="EV340" s="137">
        <f>IF(DE340="základní",J340,0)</f>
        <v>6181.15</v>
      </c>
      <c r="EW340" s="137">
        <f>IF(DE340="snížená",J340,0)</f>
        <v>0</v>
      </c>
      <c r="EX340" s="137">
        <f>IF(DE340="zákl. přenesená",J340,0)</f>
        <v>0</v>
      </c>
      <c r="EY340" s="137">
        <f>IF(DE340="sníž. přenesená",J340,0)</f>
        <v>0</v>
      </c>
      <c r="EZ340" s="137">
        <f>IF(DE340="nulová",J340,0)</f>
        <v>0</v>
      </c>
      <c r="FA340" s="16" t="s">
        <v>81</v>
      </c>
      <c r="FB340" s="137">
        <f>ROUND(I340*H340,2)</f>
        <v>6181.15</v>
      </c>
      <c r="FC340" s="16" t="s">
        <v>95</v>
      </c>
      <c r="FD340" s="136" t="s">
        <v>713</v>
      </c>
    </row>
    <row r="341" spans="2:160" s="1" customFormat="1" x14ac:dyDescent="0.2">
      <c r="B341" s="31"/>
      <c r="D341" s="138" t="s">
        <v>289</v>
      </c>
      <c r="F341" s="139" t="s">
        <v>714</v>
      </c>
      <c r="I341" s="140"/>
      <c r="L341" s="31"/>
      <c r="N341" s="213"/>
      <c r="O341" s="214"/>
      <c r="Q341" s="229"/>
      <c r="DD341" s="141"/>
      <c r="DK341" s="50"/>
      <c r="EK341" s="16" t="s">
        <v>289</v>
      </c>
      <c r="EL341" s="16" t="s">
        <v>83</v>
      </c>
    </row>
    <row r="342" spans="2:160" s="1" customFormat="1" ht="37.9" customHeight="1" x14ac:dyDescent="0.2">
      <c r="B342" s="124"/>
      <c r="C342" s="125" t="s">
        <v>568</v>
      </c>
      <c r="D342" s="125" t="s">
        <v>284</v>
      </c>
      <c r="E342" s="126" t="s">
        <v>716</v>
      </c>
      <c r="F342" s="127" t="s">
        <v>420</v>
      </c>
      <c r="G342" s="128" t="s">
        <v>418</v>
      </c>
      <c r="H342" s="129">
        <v>36.54</v>
      </c>
      <c r="I342" s="130">
        <v>110.6455721</v>
      </c>
      <c r="J342" s="131">
        <f>ROUND(I342*H342,2)</f>
        <v>4042.99</v>
      </c>
      <c r="K342" s="127" t="s">
        <v>293</v>
      </c>
      <c r="L342" s="198">
        <f>S342</f>
        <v>0</v>
      </c>
      <c r="M342" s="206">
        <f>ROUND(L342*I342,2)</f>
        <v>0</v>
      </c>
      <c r="N342" s="211">
        <f>N344</f>
        <v>-5.9194800000000001</v>
      </c>
      <c r="O342" s="212">
        <f>ROUND(N342*I342,2)</f>
        <v>-654.96</v>
      </c>
      <c r="P342" s="207">
        <f>H342-L342-N342</f>
        <v>42.459479999999999</v>
      </c>
      <c r="Q342" s="228">
        <f>ROUND(P342*I342,2)</f>
        <v>4697.95</v>
      </c>
      <c r="R342" s="199"/>
      <c r="S342" s="200">
        <f>W342+Y342+AA342+AC342+AE342+AG342+AI342+AK342</f>
        <v>0</v>
      </c>
      <c r="T342" s="200">
        <f>ROUND(S342*I342,2)</f>
        <v>0</v>
      </c>
      <c r="U342" s="200">
        <f>H342-S342</f>
        <v>36.54</v>
      </c>
      <c r="V342" s="200">
        <f>ROUND(U342*I342,2)</f>
        <v>4042.99</v>
      </c>
      <c r="W342" s="200"/>
      <c r="X342" s="200"/>
      <c r="Y342" s="200"/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DD342" s="132" t="s">
        <v>1</v>
      </c>
      <c r="DE342" s="133" t="s">
        <v>40</v>
      </c>
      <c r="DG342" s="134">
        <f>DF342*H342</f>
        <v>0</v>
      </c>
      <c r="DH342" s="134">
        <v>0</v>
      </c>
      <c r="DI342" s="134">
        <f>DH342*H342</f>
        <v>0</v>
      </c>
      <c r="DJ342" s="134">
        <v>0</v>
      </c>
      <c r="DK342" s="135">
        <f>DJ342*H342</f>
        <v>0</v>
      </c>
      <c r="EI342" s="136" t="s">
        <v>95</v>
      </c>
      <c r="EK342" s="136" t="s">
        <v>284</v>
      </c>
      <c r="EL342" s="136" t="s">
        <v>83</v>
      </c>
      <c r="EP342" s="16" t="s">
        <v>282</v>
      </c>
      <c r="EV342" s="137">
        <f>IF(DE342="základní",J342,0)</f>
        <v>4042.99</v>
      </c>
      <c r="EW342" s="137">
        <f>IF(DE342="snížená",J342,0)</f>
        <v>0</v>
      </c>
      <c r="EX342" s="137">
        <f>IF(DE342="zákl. přenesená",J342,0)</f>
        <v>0</v>
      </c>
      <c r="EY342" s="137">
        <f>IF(DE342="sníž. přenesená",J342,0)</f>
        <v>0</v>
      </c>
      <c r="EZ342" s="137">
        <f>IF(DE342="nulová",J342,0)</f>
        <v>0</v>
      </c>
      <c r="FA342" s="16" t="s">
        <v>81</v>
      </c>
      <c r="FB342" s="137">
        <f>ROUND(I342*H342,2)</f>
        <v>4042.99</v>
      </c>
      <c r="FC342" s="16" t="s">
        <v>95</v>
      </c>
      <c r="FD342" s="136" t="s">
        <v>717</v>
      </c>
    </row>
    <row r="343" spans="2:160" s="1" customFormat="1" ht="29.25" x14ac:dyDescent="0.2">
      <c r="B343" s="31"/>
      <c r="D343" s="138" t="s">
        <v>289</v>
      </c>
      <c r="F343" s="139" t="s">
        <v>420</v>
      </c>
      <c r="I343" s="140"/>
      <c r="L343" s="31"/>
      <c r="N343" s="213">
        <f>0.838*36.54</f>
        <v>30.620519999999999</v>
      </c>
      <c r="O343" s="214" t="s">
        <v>3895</v>
      </c>
      <c r="Q343" s="229"/>
      <c r="DD343" s="141"/>
      <c r="DK343" s="50"/>
      <c r="EK343" s="16" t="s">
        <v>289</v>
      </c>
      <c r="EL343" s="16" t="s">
        <v>83</v>
      </c>
    </row>
    <row r="344" spans="2:160" s="12" customFormat="1" x14ac:dyDescent="0.2">
      <c r="B344" s="149"/>
      <c r="D344" s="138" t="s">
        <v>301</v>
      </c>
      <c r="E344" s="150" t="s">
        <v>1</v>
      </c>
      <c r="F344" s="151" t="s">
        <v>1268</v>
      </c>
      <c r="H344" s="152">
        <v>36.54</v>
      </c>
      <c r="I344" s="153"/>
      <c r="L344" s="149"/>
      <c r="N344" s="310">
        <f>N343-H344</f>
        <v>-5.9194800000000001</v>
      </c>
      <c r="O344" s="218"/>
      <c r="Q344" s="231"/>
      <c r="DD344" s="154"/>
      <c r="DK344" s="155"/>
      <c r="EK344" s="150" t="s">
        <v>301</v>
      </c>
      <c r="EL344" s="150" t="s">
        <v>83</v>
      </c>
      <c r="EM344" s="12" t="s">
        <v>83</v>
      </c>
      <c r="EN344" s="12" t="s">
        <v>32</v>
      </c>
      <c r="EO344" s="12" t="s">
        <v>81</v>
      </c>
      <c r="EP344" s="150" t="s">
        <v>282</v>
      </c>
    </row>
    <row r="345" spans="2:160" s="1" customFormat="1" ht="37.9" customHeight="1" x14ac:dyDescent="0.2">
      <c r="B345" s="124"/>
      <c r="C345" s="125" t="s">
        <v>572</v>
      </c>
      <c r="D345" s="125" t="s">
        <v>284</v>
      </c>
      <c r="E345" s="126" t="s">
        <v>719</v>
      </c>
      <c r="F345" s="127" t="s">
        <v>720</v>
      </c>
      <c r="G345" s="128" t="s">
        <v>418</v>
      </c>
      <c r="H345" s="129">
        <v>3.0870000000000002</v>
      </c>
      <c r="I345" s="130">
        <v>250.3439285</v>
      </c>
      <c r="J345" s="131">
        <f>ROUND(I345*H345,2)</f>
        <v>772.81</v>
      </c>
      <c r="K345" s="127" t="s">
        <v>293</v>
      </c>
      <c r="L345" s="198">
        <f>S345</f>
        <v>0</v>
      </c>
      <c r="M345" s="206">
        <f>ROUND(L345*I345,2)</f>
        <v>0</v>
      </c>
      <c r="N345" s="211">
        <f>N347</f>
        <v>-0.50009400000000026</v>
      </c>
      <c r="O345" s="212">
        <f>ROUND(N345*I345,2)</f>
        <v>-125.2</v>
      </c>
      <c r="P345" s="207">
        <f>H345-L345-N345</f>
        <v>3.5870940000000004</v>
      </c>
      <c r="Q345" s="228">
        <f>ROUND(P345*I345,2)</f>
        <v>898.01</v>
      </c>
      <c r="R345" s="199"/>
      <c r="S345" s="200">
        <f>W345+Y345+AA345+AC345+AE345+AG345+AI345+AK345</f>
        <v>0</v>
      </c>
      <c r="T345" s="200">
        <f>ROUND(S345*I345,2)</f>
        <v>0</v>
      </c>
      <c r="U345" s="200">
        <f>H345-S345</f>
        <v>3.0870000000000002</v>
      </c>
      <c r="V345" s="200">
        <f>ROUND(U345*I345,2)</f>
        <v>772.81</v>
      </c>
      <c r="W345" s="200"/>
      <c r="X345" s="200"/>
      <c r="Y345" s="200"/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DD345" s="132" t="s">
        <v>1</v>
      </c>
      <c r="DE345" s="133" t="s">
        <v>40</v>
      </c>
      <c r="DG345" s="134">
        <f>DF345*H345</f>
        <v>0</v>
      </c>
      <c r="DH345" s="134">
        <v>0</v>
      </c>
      <c r="DI345" s="134">
        <f>DH345*H345</f>
        <v>0</v>
      </c>
      <c r="DJ345" s="134">
        <v>0</v>
      </c>
      <c r="DK345" s="135">
        <f>DJ345*H345</f>
        <v>0</v>
      </c>
      <c r="EI345" s="136" t="s">
        <v>95</v>
      </c>
      <c r="EK345" s="136" t="s">
        <v>284</v>
      </c>
      <c r="EL345" s="136" t="s">
        <v>83</v>
      </c>
      <c r="EP345" s="16" t="s">
        <v>282</v>
      </c>
      <c r="EV345" s="137">
        <f>IF(DE345="základní",J345,0)</f>
        <v>772.81</v>
      </c>
      <c r="EW345" s="137">
        <f>IF(DE345="snížená",J345,0)</f>
        <v>0</v>
      </c>
      <c r="EX345" s="137">
        <f>IF(DE345="zákl. přenesená",J345,0)</f>
        <v>0</v>
      </c>
      <c r="EY345" s="137">
        <f>IF(DE345="sníž. přenesená",J345,0)</f>
        <v>0</v>
      </c>
      <c r="EZ345" s="137">
        <f>IF(DE345="nulová",J345,0)</f>
        <v>0</v>
      </c>
      <c r="FA345" s="16" t="s">
        <v>81</v>
      </c>
      <c r="FB345" s="137">
        <f>ROUND(I345*H345,2)</f>
        <v>772.81</v>
      </c>
      <c r="FC345" s="16" t="s">
        <v>95</v>
      </c>
      <c r="FD345" s="136" t="s">
        <v>721</v>
      </c>
    </row>
    <row r="346" spans="2:160" s="1" customFormat="1" ht="29.25" x14ac:dyDescent="0.2">
      <c r="B346" s="31"/>
      <c r="D346" s="138" t="s">
        <v>289</v>
      </c>
      <c r="F346" s="139" t="s">
        <v>720</v>
      </c>
      <c r="I346" s="140"/>
      <c r="L346" s="31"/>
      <c r="N346" s="213">
        <f>0.838*3.087</f>
        <v>2.5869059999999999</v>
      </c>
      <c r="O346" s="214" t="s">
        <v>3896</v>
      </c>
      <c r="Q346" s="229"/>
      <c r="DD346" s="141"/>
      <c r="DK346" s="50"/>
      <c r="EK346" s="16" t="s">
        <v>289</v>
      </c>
      <c r="EL346" s="16" t="s">
        <v>83</v>
      </c>
    </row>
    <row r="347" spans="2:160" s="12" customFormat="1" x14ac:dyDescent="0.2">
      <c r="B347" s="149"/>
      <c r="D347" s="138" t="s">
        <v>301</v>
      </c>
      <c r="E347" s="150" t="s">
        <v>1</v>
      </c>
      <c r="F347" s="151" t="s">
        <v>1269</v>
      </c>
      <c r="H347" s="152">
        <v>3.0870000000000002</v>
      </c>
      <c r="I347" s="153"/>
      <c r="L347" s="149"/>
      <c r="N347" s="310">
        <f>N346-H347</f>
        <v>-0.50009400000000026</v>
      </c>
      <c r="O347" s="218"/>
      <c r="Q347" s="231"/>
      <c r="DD347" s="154"/>
      <c r="DK347" s="155"/>
      <c r="EK347" s="150" t="s">
        <v>301</v>
      </c>
      <c r="EL347" s="150" t="s">
        <v>83</v>
      </c>
      <c r="EM347" s="12" t="s">
        <v>83</v>
      </c>
      <c r="EN347" s="12" t="s">
        <v>32</v>
      </c>
      <c r="EO347" s="12" t="s">
        <v>81</v>
      </c>
      <c r="EP347" s="150" t="s">
        <v>282</v>
      </c>
    </row>
    <row r="348" spans="2:160" s="10" customFormat="1" ht="22.9" customHeight="1" x14ac:dyDescent="0.2">
      <c r="B348" s="112"/>
      <c r="D348" s="113" t="s">
        <v>73</v>
      </c>
      <c r="E348" s="122" t="s">
        <v>722</v>
      </c>
      <c r="F348" s="122" t="s">
        <v>723</v>
      </c>
      <c r="I348" s="115"/>
      <c r="J348" s="123">
        <f>FB348</f>
        <v>7418.3</v>
      </c>
      <c r="L348" s="112"/>
      <c r="M348" s="320">
        <f>M349</f>
        <v>0</v>
      </c>
      <c r="N348" s="323"/>
      <c r="O348" s="324">
        <f t="shared" ref="O348:V348" si="8">O349</f>
        <v>-1201.76</v>
      </c>
      <c r="P348" s="320"/>
      <c r="Q348" s="326">
        <f t="shared" si="8"/>
        <v>8620.07</v>
      </c>
      <c r="R348" s="320"/>
      <c r="S348" s="320"/>
      <c r="T348" s="320">
        <f t="shared" si="8"/>
        <v>0</v>
      </c>
      <c r="U348" s="320"/>
      <c r="V348" s="320">
        <f t="shared" si="8"/>
        <v>7418.3</v>
      </c>
      <c r="DD348" s="117"/>
      <c r="DG348" s="118">
        <f>SUM(DG349:DG352)</f>
        <v>0</v>
      </c>
      <c r="DI348" s="118">
        <f>SUM(DI349:DI352)</f>
        <v>0</v>
      </c>
      <c r="DK348" s="119">
        <f>SUM(DK349:DK352)</f>
        <v>0</v>
      </c>
      <c r="EI348" s="113" t="s">
        <v>81</v>
      </c>
      <c r="EK348" s="120" t="s">
        <v>73</v>
      </c>
      <c r="EL348" s="120" t="s">
        <v>81</v>
      </c>
      <c r="EP348" s="113" t="s">
        <v>282</v>
      </c>
      <c r="FB348" s="121">
        <f>SUM(FB349:FB352)</f>
        <v>7418.3</v>
      </c>
    </row>
    <row r="349" spans="2:160" s="1" customFormat="1" ht="24.2" customHeight="1" x14ac:dyDescent="0.2">
      <c r="B349" s="124"/>
      <c r="C349" s="125" t="s">
        <v>576</v>
      </c>
      <c r="D349" s="125" t="s">
        <v>284</v>
      </c>
      <c r="E349" s="126" t="s">
        <v>725</v>
      </c>
      <c r="F349" s="127" t="s">
        <v>726</v>
      </c>
      <c r="G349" s="128" t="s">
        <v>418</v>
      </c>
      <c r="H349" s="129">
        <v>8.1989999999999998</v>
      </c>
      <c r="I349" s="130">
        <v>904.78117744148574</v>
      </c>
      <c r="J349" s="131">
        <f>ROUND(I349*H349,2)</f>
        <v>7418.3</v>
      </c>
      <c r="K349" s="127" t="s">
        <v>293</v>
      </c>
      <c r="L349" s="198">
        <f>S349</f>
        <v>0</v>
      </c>
      <c r="M349" s="206">
        <f>ROUND(L349*I349,2)</f>
        <v>0</v>
      </c>
      <c r="N349" s="211">
        <f>N351</f>
        <v>-1.3282379999999998</v>
      </c>
      <c r="O349" s="212">
        <f>ROUND(N349*I349,2)</f>
        <v>-1201.76</v>
      </c>
      <c r="P349" s="207">
        <f>H349-L349-N349</f>
        <v>9.5272380000000005</v>
      </c>
      <c r="Q349" s="228">
        <f>ROUND(P349*I349,2)</f>
        <v>8620.07</v>
      </c>
      <c r="R349" s="199"/>
      <c r="S349" s="200">
        <f>W349+Y349+AA349+AC349+AE349+AG349+AI349+AK349</f>
        <v>0</v>
      </c>
      <c r="T349" s="200">
        <f>ROUND(S349*I349,2)</f>
        <v>0</v>
      </c>
      <c r="U349" s="200">
        <f>H349-S349</f>
        <v>8.1989999999999998</v>
      </c>
      <c r="V349" s="200">
        <f>ROUND(U349*I349,2)</f>
        <v>7418.3</v>
      </c>
      <c r="W349" s="200"/>
      <c r="X349" s="200"/>
      <c r="Y349" s="200"/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DD349" s="132" t="s">
        <v>1</v>
      </c>
      <c r="DE349" s="133" t="s">
        <v>40</v>
      </c>
      <c r="DG349" s="134">
        <f>DF349*H349</f>
        <v>0</v>
      </c>
      <c r="DH349" s="134">
        <v>0</v>
      </c>
      <c r="DI349" s="134">
        <f>DH349*H349</f>
        <v>0</v>
      </c>
      <c r="DJ349" s="134">
        <v>0</v>
      </c>
      <c r="DK349" s="135">
        <f>DJ349*H349</f>
        <v>0</v>
      </c>
      <c r="EI349" s="136" t="s">
        <v>95</v>
      </c>
      <c r="EK349" s="136" t="s">
        <v>284</v>
      </c>
      <c r="EL349" s="136" t="s">
        <v>83</v>
      </c>
      <c r="EP349" s="16" t="s">
        <v>282</v>
      </c>
      <c r="EV349" s="137">
        <f>IF(DE349="základní",J349,0)</f>
        <v>7418.3</v>
      </c>
      <c r="EW349" s="137">
        <f>IF(DE349="snížená",J349,0)</f>
        <v>0</v>
      </c>
      <c r="EX349" s="137">
        <f>IF(DE349="zákl. přenesená",J349,0)</f>
        <v>0</v>
      </c>
      <c r="EY349" s="137">
        <f>IF(DE349="sníž. přenesená",J349,0)</f>
        <v>0</v>
      </c>
      <c r="EZ349" s="137">
        <f>IF(DE349="nulová",J349,0)</f>
        <v>0</v>
      </c>
      <c r="FA349" s="16" t="s">
        <v>81</v>
      </c>
      <c r="FB349" s="137">
        <f>ROUND(I349*H349,2)</f>
        <v>7418.3</v>
      </c>
      <c r="FC349" s="16" t="s">
        <v>95</v>
      </c>
      <c r="FD349" s="136" t="s">
        <v>1044</v>
      </c>
    </row>
    <row r="350" spans="2:160" s="1" customFormat="1" ht="29.25" x14ac:dyDescent="0.2">
      <c r="B350" s="31"/>
      <c r="D350" s="138" t="s">
        <v>289</v>
      </c>
      <c r="F350" s="139" t="s">
        <v>728</v>
      </c>
      <c r="I350" s="140"/>
      <c r="L350" s="31"/>
      <c r="N350" s="213">
        <f>0.838*8.199</f>
        <v>6.870762</v>
      </c>
      <c r="O350" s="214" t="s">
        <v>3897</v>
      </c>
      <c r="Q350" s="229"/>
      <c r="DD350" s="141"/>
      <c r="DK350" s="50"/>
      <c r="EK350" s="16" t="s">
        <v>289</v>
      </c>
      <c r="EL350" s="16" t="s">
        <v>83</v>
      </c>
    </row>
    <row r="351" spans="2:160" s="11" customFormat="1" x14ac:dyDescent="0.2">
      <c r="B351" s="143"/>
      <c r="D351" s="138" t="s">
        <v>301</v>
      </c>
      <c r="E351" s="144" t="s">
        <v>1</v>
      </c>
      <c r="F351" s="145" t="s">
        <v>729</v>
      </c>
      <c r="H351" s="144" t="s">
        <v>1</v>
      </c>
      <c r="I351" s="146"/>
      <c r="L351" s="143"/>
      <c r="N351" s="319">
        <f>N350-H352</f>
        <v>-1.3282379999999998</v>
      </c>
      <c r="O351" s="216"/>
      <c r="Q351" s="230"/>
      <c r="DD351" s="147"/>
      <c r="DK351" s="148"/>
      <c r="EK351" s="144" t="s">
        <v>301</v>
      </c>
      <c r="EL351" s="144" t="s">
        <v>83</v>
      </c>
      <c r="EM351" s="11" t="s">
        <v>81</v>
      </c>
      <c r="EN351" s="11" t="s">
        <v>32</v>
      </c>
      <c r="EO351" s="11" t="s">
        <v>74</v>
      </c>
      <c r="EP351" s="144" t="s">
        <v>282</v>
      </c>
    </row>
    <row r="352" spans="2:160" s="12" customFormat="1" x14ac:dyDescent="0.2">
      <c r="B352" s="149"/>
      <c r="D352" s="138" t="s">
        <v>301</v>
      </c>
      <c r="E352" s="150" t="s">
        <v>1</v>
      </c>
      <c r="F352" s="151" t="s">
        <v>1271</v>
      </c>
      <c r="H352" s="152">
        <v>8.1989999999999998</v>
      </c>
      <c r="I352" s="153"/>
      <c r="L352" s="149"/>
      <c r="N352" s="217"/>
      <c r="O352" s="218"/>
      <c r="Q352" s="327"/>
      <c r="DD352" s="179"/>
      <c r="DE352" s="180"/>
      <c r="DF352" s="180"/>
      <c r="DG352" s="180"/>
      <c r="DH352" s="180"/>
      <c r="DI352" s="180"/>
      <c r="DJ352" s="180"/>
      <c r="DK352" s="181"/>
      <c r="EK352" s="150" t="s">
        <v>301</v>
      </c>
      <c r="EL352" s="150" t="s">
        <v>83</v>
      </c>
      <c r="EM352" s="12" t="s">
        <v>83</v>
      </c>
      <c r="EN352" s="12" t="s">
        <v>32</v>
      </c>
      <c r="EO352" s="12" t="s">
        <v>81</v>
      </c>
      <c r="EP352" s="150" t="s">
        <v>282</v>
      </c>
    </row>
    <row r="353" spans="2:38" s="1" customFormat="1" ht="6.95" customHeight="1" thickBot="1" x14ac:dyDescent="0.25">
      <c r="B353" s="43"/>
      <c r="C353" s="44"/>
      <c r="D353" s="44"/>
      <c r="E353" s="44"/>
      <c r="F353" s="44"/>
      <c r="G353" s="44"/>
      <c r="H353" s="44"/>
      <c r="I353" s="44"/>
      <c r="J353" s="44"/>
      <c r="K353" s="44"/>
      <c r="L353" s="235"/>
      <c r="M353" s="237"/>
      <c r="N353" s="239"/>
      <c r="O353" s="240"/>
      <c r="P353" s="238"/>
      <c r="Q353" s="235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</row>
  </sheetData>
  <autoFilter ref="C119:K352"/>
  <mergeCells count="26">
    <mergeCell ref="G118:K118"/>
    <mergeCell ref="E90:H90"/>
    <mergeCell ref="E7:H7"/>
    <mergeCell ref="E11:H11"/>
    <mergeCell ref="E9:H9"/>
    <mergeCell ref="E13:H13"/>
    <mergeCell ref="E22:H22"/>
    <mergeCell ref="L2:DM2"/>
    <mergeCell ref="E31:H31"/>
    <mergeCell ref="E84:H84"/>
    <mergeCell ref="E88:H88"/>
    <mergeCell ref="E86:H86"/>
    <mergeCell ref="L119:Q119"/>
    <mergeCell ref="L120:M120"/>
    <mergeCell ref="N120:O120"/>
    <mergeCell ref="P120:Q120"/>
    <mergeCell ref="S120:T120"/>
    <mergeCell ref="AE120:AF120"/>
    <mergeCell ref="AG120:AH120"/>
    <mergeCell ref="AI120:AJ120"/>
    <mergeCell ref="AK120:AL120"/>
    <mergeCell ref="U120:V120"/>
    <mergeCell ref="W120:X120"/>
    <mergeCell ref="Y120:Z120"/>
    <mergeCell ref="AA120:AB120"/>
    <mergeCell ref="AC120:AD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O378"/>
  <sheetViews>
    <sheetView windowProtection="1" showGridLines="0" topLeftCell="A349" zoomScale="80" zoomScaleNormal="80" workbookViewId="0">
      <selection activeCell="P349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83203125" customWidth="1"/>
    <col min="13" max="13" width="14.83203125" customWidth="1"/>
    <col min="14" max="14" width="12.6640625" customWidth="1"/>
    <col min="15" max="15" width="18.6640625" customWidth="1"/>
    <col min="16" max="16" width="12.6640625" hidden="1" customWidth="1"/>
    <col min="17" max="17" width="15.1640625" hidden="1" customWidth="1"/>
    <col min="18" max="40" width="12.6640625" customWidth="1"/>
    <col min="41" max="41" width="10.83203125" customWidth="1"/>
    <col min="43" max="48" width="14.1640625" customWidth="1"/>
    <col min="49" max="49" width="16.33203125" customWidth="1"/>
    <col min="50" max="50" width="12.33203125" customWidth="1"/>
    <col min="51" max="51" width="16.33203125" customWidth="1"/>
    <col min="52" max="52" width="12.33203125" customWidth="1"/>
    <col min="53" max="53" width="15" customWidth="1"/>
    <col min="54" max="54" width="11" customWidth="1"/>
    <col min="55" max="55" width="15" customWidth="1"/>
    <col min="56" max="56" width="16.33203125" customWidth="1"/>
    <col min="57" max="57" width="11" customWidth="1"/>
    <col min="58" max="58" width="15" customWidth="1"/>
    <col min="59" max="59" width="16.33203125" customWidth="1"/>
    <col min="72" max="93" width="9.33203125" hidden="1"/>
  </cols>
  <sheetData>
    <row r="1" spans="2:74" hidden="1" x14ac:dyDescent="0.2"/>
    <row r="2" spans="2:74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BV2" s="16" t="s">
        <v>125</v>
      </c>
    </row>
    <row r="3" spans="2:74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BV3" s="16" t="s">
        <v>83</v>
      </c>
    </row>
    <row r="4" spans="2:74" ht="24.95" hidden="1" customHeight="1" x14ac:dyDescent="0.2">
      <c r="B4" s="19"/>
      <c r="D4" s="20" t="s">
        <v>243</v>
      </c>
      <c r="L4" s="19"/>
      <c r="AO4" s="79" t="s">
        <v>10</v>
      </c>
      <c r="BV4" s="16" t="s">
        <v>3</v>
      </c>
    </row>
    <row r="5" spans="2:74" ht="6.95" hidden="1" customHeight="1" x14ac:dyDescent="0.2">
      <c r="B5" s="19"/>
      <c r="L5" s="19"/>
    </row>
    <row r="6" spans="2:74" ht="12" hidden="1" customHeight="1" x14ac:dyDescent="0.2">
      <c r="B6" s="19"/>
      <c r="D6" s="26" t="s">
        <v>16</v>
      </c>
      <c r="L6" s="19"/>
    </row>
    <row r="7" spans="2:74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74" ht="12.75" hidden="1" x14ac:dyDescent="0.2">
      <c r="B8" s="19"/>
      <c r="D8" s="26" t="s">
        <v>244</v>
      </c>
      <c r="L8" s="19"/>
    </row>
    <row r="9" spans="2:74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74" ht="12" hidden="1" customHeight="1" x14ac:dyDescent="0.2">
      <c r="B10" s="19"/>
      <c r="D10" s="26" t="s">
        <v>246</v>
      </c>
      <c r="L10" s="19"/>
    </row>
    <row r="11" spans="2:74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74" s="1" customFormat="1" ht="12" hidden="1" customHeight="1" x14ac:dyDescent="0.2">
      <c r="B12" s="31"/>
      <c r="D12" s="26" t="s">
        <v>248</v>
      </c>
      <c r="L12" s="31"/>
    </row>
    <row r="13" spans="2:74" s="1" customFormat="1" ht="16.5" hidden="1" customHeight="1" x14ac:dyDescent="0.2">
      <c r="B13" s="31"/>
      <c r="E13" s="432" t="s">
        <v>1272</v>
      </c>
      <c r="F13" s="433"/>
      <c r="G13" s="433"/>
      <c r="H13" s="433"/>
      <c r="L13" s="31"/>
    </row>
    <row r="14" spans="2:74" s="1" customFormat="1" hidden="1" x14ac:dyDescent="0.2">
      <c r="B14" s="31"/>
      <c r="L14" s="31"/>
    </row>
    <row r="15" spans="2:74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74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ROUND(J120, 2)</f>
        <v>632860.53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ROUND((SUM(CG120:CG377)),  2)</f>
        <v>632860.53</v>
      </c>
      <c r="I37" s="84">
        <v>0.21</v>
      </c>
      <c r="J37" s="71">
        <f>ROUND(((SUM(CG120:CG377))*I37),  2)</f>
        <v>132900.71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ROUND((SUM(CH120:CH377)),  2)</f>
        <v>0</v>
      </c>
      <c r="I38" s="84">
        <v>0.15</v>
      </c>
      <c r="J38" s="71">
        <f>ROUND(((SUM(CH120:CH377))*I38),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ROUND((SUM(CI120:CI377)),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ROUND((SUM(CJ120:CJ377)),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ROUND((SUM(CK120:CK377)),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765761.24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00004 - DSO 01.1.1d Kanalizační odbočení Stoky A3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75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75" s="1" customFormat="1" ht="10.35" hidden="1" customHeight="1" x14ac:dyDescent="0.2">
      <c r="B98" s="31"/>
      <c r="L98" s="31"/>
    </row>
    <row r="99" spans="2:75" s="1" customFormat="1" ht="22.9" hidden="1" customHeight="1" x14ac:dyDescent="0.2">
      <c r="B99" s="31"/>
      <c r="C99" s="95" t="s">
        <v>256</v>
      </c>
      <c r="J99" s="58">
        <f>J120</f>
        <v>632860.53</v>
      </c>
      <c r="L99" s="31"/>
      <c r="BW99" s="16" t="s">
        <v>257</v>
      </c>
    </row>
    <row r="100" spans="2:75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J121</f>
        <v>632860.53</v>
      </c>
      <c r="L100" s="96"/>
    </row>
    <row r="101" spans="2:75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J123</f>
        <v>288485.75</v>
      </c>
      <c r="L101" s="100"/>
    </row>
    <row r="102" spans="2:75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J260</f>
        <v>14127.65</v>
      </c>
      <c r="L102" s="100"/>
    </row>
    <row r="103" spans="2:75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J265</f>
        <v>13220.45</v>
      </c>
      <c r="L103" s="100"/>
    </row>
    <row r="104" spans="2:75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J289</f>
        <v>38848.410000000003</v>
      </c>
      <c r="L104" s="100"/>
    </row>
    <row r="105" spans="2:75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J301</f>
        <v>240998.67</v>
      </c>
      <c r="L105" s="100"/>
    </row>
    <row r="106" spans="2:75" s="8" customFormat="1" ht="19.899999999999999" hidden="1" customHeight="1" x14ac:dyDescent="0.2">
      <c r="B106" s="100"/>
      <c r="D106" s="101" t="s">
        <v>265</v>
      </c>
      <c r="E106" s="102"/>
      <c r="F106" s="102"/>
      <c r="G106" s="102"/>
      <c r="H106" s="102"/>
      <c r="I106" s="102"/>
      <c r="J106" s="103">
        <f>J353</f>
        <v>24056.65</v>
      </c>
      <c r="L106" s="100"/>
    </row>
    <row r="107" spans="2:75" s="8" customFormat="1" ht="19.899999999999999" hidden="1" customHeight="1" x14ac:dyDescent="0.2">
      <c r="B107" s="100"/>
      <c r="D107" s="101" t="s">
        <v>266</v>
      </c>
      <c r="E107" s="102"/>
      <c r="F107" s="102"/>
      <c r="G107" s="102"/>
      <c r="H107" s="102"/>
      <c r="I107" s="102"/>
      <c r="J107" s="103">
        <f>J373</f>
        <v>13122.95</v>
      </c>
      <c r="L107" s="100"/>
    </row>
    <row r="108" spans="2:75" s="1" customFormat="1" ht="21.75" hidden="1" customHeight="1" x14ac:dyDescent="0.2">
      <c r="B108" s="31"/>
      <c r="L108" s="31"/>
    </row>
    <row r="109" spans="2:75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0" spans="2:75" hidden="1" x14ac:dyDescent="0.2"/>
    <row r="111" spans="2:75" hidden="1" x14ac:dyDescent="0.2"/>
    <row r="113" spans="2:93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93" s="1" customFormat="1" ht="24.95" customHeight="1" x14ac:dyDescent="0.2">
      <c r="B114" s="31"/>
      <c r="C114" s="20" t="s">
        <v>267</v>
      </c>
      <c r="L114" s="31"/>
    </row>
    <row r="115" spans="2:93" s="1" customFormat="1" ht="6.95" customHeight="1" x14ac:dyDescent="0.2">
      <c r="B115" s="31"/>
      <c r="L115" s="31"/>
    </row>
    <row r="116" spans="2:93" s="1" customFormat="1" ht="16.5" customHeight="1" x14ac:dyDescent="0.2">
      <c r="B116" s="31"/>
      <c r="E116" s="432" t="str">
        <f>E13</f>
        <v>00004 - DSO 01.1.1d Kanalizační odbočení Stoky A3</v>
      </c>
      <c r="F116" s="433"/>
      <c r="G116" s="433"/>
      <c r="H116" s="433"/>
      <c r="L116" s="31"/>
    </row>
    <row r="117" spans="2:93" s="1" customFormat="1" ht="19.5" customHeight="1" x14ac:dyDescent="0.2">
      <c r="B117" s="31"/>
      <c r="L117" s="31"/>
    </row>
    <row r="118" spans="2:93" s="1" customFormat="1" ht="24.75" customHeight="1" x14ac:dyDescent="0.2">
      <c r="B118" s="31"/>
      <c r="G118" s="430" t="s">
        <v>3305</v>
      </c>
      <c r="H118" s="430"/>
      <c r="I118" s="430"/>
      <c r="J118" s="430"/>
      <c r="K118" s="431"/>
      <c r="L118" s="31"/>
    </row>
    <row r="119" spans="2:93" s="9" customFormat="1" ht="29.25" customHeight="1" thickBot="1" x14ac:dyDescent="0.25">
      <c r="B119" s="104"/>
      <c r="C119" s="105" t="s">
        <v>268</v>
      </c>
      <c r="D119" s="106" t="s">
        <v>59</v>
      </c>
      <c r="E119" s="106" t="s">
        <v>55</v>
      </c>
      <c r="F119" s="106" t="s">
        <v>56</v>
      </c>
      <c r="G119" s="106" t="s">
        <v>269</v>
      </c>
      <c r="H119" s="106" t="s">
        <v>270</v>
      </c>
      <c r="I119" s="106" t="s">
        <v>271</v>
      </c>
      <c r="J119" s="106" t="s">
        <v>255</v>
      </c>
      <c r="K119" s="107" t="s">
        <v>272</v>
      </c>
      <c r="L119" s="437" t="s">
        <v>3307</v>
      </c>
      <c r="M119" s="438"/>
      <c r="N119" s="438"/>
      <c r="O119" s="438"/>
      <c r="P119" s="438"/>
      <c r="Q119" s="439"/>
      <c r="AO119" s="52" t="s">
        <v>1</v>
      </c>
      <c r="AP119" s="53" t="s">
        <v>39</v>
      </c>
      <c r="AQ119" s="53" t="s">
        <v>273</v>
      </c>
      <c r="AR119" s="53" t="s">
        <v>274</v>
      </c>
      <c r="AS119" s="53" t="s">
        <v>275</v>
      </c>
      <c r="AT119" s="53" t="s">
        <v>276</v>
      </c>
      <c r="AU119" s="53" t="s">
        <v>277</v>
      </c>
      <c r="AV119" s="54" t="s">
        <v>278</v>
      </c>
    </row>
    <row r="120" spans="2:93" s="1" customFormat="1" ht="22.9" customHeight="1" x14ac:dyDescent="0.25">
      <c r="B120" s="31"/>
      <c r="C120" s="57" t="s">
        <v>279</v>
      </c>
      <c r="G120" s="1" t="s">
        <v>3306</v>
      </c>
      <c r="J120" s="108">
        <f>CM120</f>
        <v>632860.53</v>
      </c>
      <c r="L120" s="440" t="s">
        <v>3308</v>
      </c>
      <c r="M120" s="441"/>
      <c r="N120" s="440" t="s">
        <v>3347</v>
      </c>
      <c r="O120" s="441"/>
      <c r="P120" s="440" t="s">
        <v>3309</v>
      </c>
      <c r="Q120" s="441"/>
      <c r="S120" s="442" t="s">
        <v>3312</v>
      </c>
      <c r="T120" s="443"/>
      <c r="U120" s="443" t="s">
        <v>3313</v>
      </c>
      <c r="V120" s="443"/>
      <c r="W120" s="444" t="s">
        <v>3322</v>
      </c>
      <c r="X120" s="444"/>
      <c r="Y120" s="444" t="s">
        <v>3323</v>
      </c>
      <c r="Z120" s="444"/>
      <c r="AA120" s="444" t="s">
        <v>3324</v>
      </c>
      <c r="AB120" s="444"/>
      <c r="AC120" s="444" t="s">
        <v>3325</v>
      </c>
      <c r="AD120" s="444"/>
      <c r="AE120" s="444" t="s">
        <v>3326</v>
      </c>
      <c r="AF120" s="444"/>
      <c r="AG120" s="444" t="s">
        <v>3327</v>
      </c>
      <c r="AH120" s="445"/>
      <c r="AO120" s="55"/>
      <c r="AP120" s="49"/>
      <c r="AQ120" s="49"/>
      <c r="AR120" s="109">
        <f>AR121</f>
        <v>0</v>
      </c>
      <c r="AS120" s="49"/>
      <c r="AT120" s="109">
        <f>AT121</f>
        <v>210.11209100000002</v>
      </c>
      <c r="AU120" s="49"/>
      <c r="AV120" s="110">
        <f>AV121</f>
        <v>66.516749999999988</v>
      </c>
      <c r="BV120" s="16" t="s">
        <v>73</v>
      </c>
      <c r="BW120" s="16" t="s">
        <v>257</v>
      </c>
      <c r="CM120" s="111">
        <f>CM121</f>
        <v>632860.53</v>
      </c>
    </row>
    <row r="121" spans="2:93" s="10" customFormat="1" ht="25.9" customHeight="1" thickBot="1" x14ac:dyDescent="0.25">
      <c r="B121" s="112"/>
      <c r="D121" s="113" t="s">
        <v>73</v>
      </c>
      <c r="E121" s="114" t="s">
        <v>280</v>
      </c>
      <c r="F121" s="114" t="s">
        <v>281</v>
      </c>
      <c r="G121" s="10" t="s">
        <v>3306</v>
      </c>
      <c r="I121" s="115"/>
      <c r="J121" s="116">
        <f>CM121</f>
        <v>632860.53</v>
      </c>
      <c r="L121" s="190" t="s">
        <v>270</v>
      </c>
      <c r="M121" s="190" t="s">
        <v>3310</v>
      </c>
      <c r="N121" s="190" t="s">
        <v>270</v>
      </c>
      <c r="O121" s="190" t="s">
        <v>3310</v>
      </c>
      <c r="P121" s="190" t="s">
        <v>3311</v>
      </c>
      <c r="Q121" s="190" t="s">
        <v>3310</v>
      </c>
      <c r="S121" s="193" t="s">
        <v>270</v>
      </c>
      <c r="T121" s="194" t="s">
        <v>3310</v>
      </c>
      <c r="U121" s="194" t="s">
        <v>270</v>
      </c>
      <c r="V121" s="194" t="s">
        <v>3310</v>
      </c>
      <c r="W121" s="194" t="s">
        <v>270</v>
      </c>
      <c r="X121" s="194" t="s">
        <v>3328</v>
      </c>
      <c r="Y121" s="194" t="s">
        <v>270</v>
      </c>
      <c r="Z121" s="194" t="s">
        <v>3328</v>
      </c>
      <c r="AA121" s="194" t="s">
        <v>270</v>
      </c>
      <c r="AB121" s="194" t="s">
        <v>3328</v>
      </c>
      <c r="AC121" s="194" t="s">
        <v>270</v>
      </c>
      <c r="AD121" s="194" t="s">
        <v>3328</v>
      </c>
      <c r="AE121" s="194" t="s">
        <v>270</v>
      </c>
      <c r="AF121" s="194" t="s">
        <v>3328</v>
      </c>
      <c r="AG121" s="194" t="s">
        <v>270</v>
      </c>
      <c r="AH121" s="195" t="s">
        <v>3328</v>
      </c>
      <c r="AO121" s="117"/>
      <c r="AR121" s="118">
        <f>AR123+AR260+AR265+AR289+AR301+AR353+AR373</f>
        <v>0</v>
      </c>
      <c r="AT121" s="118">
        <f>AT123+AT260+AT265+AT289+AT301+AT353+AT373</f>
        <v>210.11209100000002</v>
      </c>
      <c r="AV121" s="119">
        <f>AV123+AV260+AV265+AV289+AV301+AV353+AV373</f>
        <v>66.516749999999988</v>
      </c>
      <c r="BT121" s="113" t="s">
        <v>81</v>
      </c>
      <c r="BV121" s="120" t="s">
        <v>73</v>
      </c>
      <c r="BW121" s="120" t="s">
        <v>74</v>
      </c>
      <c r="CA121" s="113" t="s">
        <v>282</v>
      </c>
      <c r="CM121" s="121">
        <f>CM123+CM260+CM265+CM289+CM301+CM353+CM373</f>
        <v>632860.53</v>
      </c>
    </row>
    <row r="122" spans="2:93" s="10" customFormat="1" ht="25.9" customHeight="1" thickBot="1" x14ac:dyDescent="0.25">
      <c r="B122" s="112"/>
      <c r="D122" s="113"/>
      <c r="E122" s="114"/>
      <c r="F122" s="114"/>
      <c r="G122" s="10" t="s">
        <v>3306</v>
      </c>
      <c r="I122" s="115"/>
      <c r="J122" s="116" t="s">
        <v>3306</v>
      </c>
      <c r="L122" s="191"/>
      <c r="M122" s="192">
        <f>M123+M260+M265+M289+M301+M353+M373</f>
        <v>0</v>
      </c>
      <c r="N122" s="208"/>
      <c r="O122" s="208">
        <f t="shared" ref="O122:Q122" si="0">O123+O260+O265+O289+O301+O353+O373</f>
        <v>-148846.34</v>
      </c>
      <c r="P122" s="192"/>
      <c r="Q122" s="192">
        <f t="shared" si="0"/>
        <v>781706.87</v>
      </c>
      <c r="S122" s="196"/>
      <c r="T122" s="197">
        <f>T123+T260+T265+T289+T301+T353+T373</f>
        <v>0</v>
      </c>
      <c r="U122" s="197"/>
      <c r="V122" s="197">
        <f t="shared" ref="V122:AH122" si="1">V123+V260+V265+V289+V301+V353+V373</f>
        <v>632860.53</v>
      </c>
      <c r="W122" s="197"/>
      <c r="X122" s="197">
        <f t="shared" si="1"/>
        <v>0</v>
      </c>
      <c r="Y122" s="197"/>
      <c r="Z122" s="197">
        <f t="shared" si="1"/>
        <v>0</v>
      </c>
      <c r="AA122" s="197"/>
      <c r="AB122" s="197">
        <f t="shared" si="1"/>
        <v>0</v>
      </c>
      <c r="AC122" s="197"/>
      <c r="AD122" s="197">
        <f t="shared" si="1"/>
        <v>0</v>
      </c>
      <c r="AE122" s="197"/>
      <c r="AF122" s="197">
        <f t="shared" si="1"/>
        <v>0</v>
      </c>
      <c r="AG122" s="197"/>
      <c r="AH122" s="197">
        <f t="shared" si="1"/>
        <v>0</v>
      </c>
      <c r="AO122" s="117"/>
      <c r="AR122" s="118"/>
      <c r="AT122" s="118"/>
      <c r="AV122" s="119"/>
      <c r="BT122" s="113"/>
      <c r="BV122" s="120"/>
      <c r="BW122" s="120"/>
      <c r="CA122" s="113"/>
      <c r="CM122" s="121"/>
    </row>
    <row r="123" spans="2:93" s="10" customFormat="1" ht="22.9" customHeight="1" x14ac:dyDescent="0.2">
      <c r="B123" s="112"/>
      <c r="D123" s="113" t="s">
        <v>73</v>
      </c>
      <c r="E123" s="122" t="s">
        <v>81</v>
      </c>
      <c r="F123" s="122" t="s">
        <v>283</v>
      </c>
      <c r="G123" s="10" t="s">
        <v>3306</v>
      </c>
      <c r="I123" s="115"/>
      <c r="J123" s="123">
        <f>CM123</f>
        <v>288485.75</v>
      </c>
      <c r="L123" s="112"/>
      <c r="M123" s="270">
        <f>SUM(M124:M257)</f>
        <v>0</v>
      </c>
      <c r="N123" s="299"/>
      <c r="O123" s="300">
        <f t="shared" ref="O123:V123" si="2">SUM(O124:O257)</f>
        <v>-61262.200000000012</v>
      </c>
      <c r="P123" s="270"/>
      <c r="Q123" s="270">
        <f t="shared" si="2"/>
        <v>349747.95999999996</v>
      </c>
      <c r="R123" s="270"/>
      <c r="S123" s="270"/>
      <c r="T123" s="270">
        <f t="shared" si="2"/>
        <v>0</v>
      </c>
      <c r="U123" s="270"/>
      <c r="V123" s="270">
        <f t="shared" si="2"/>
        <v>288485.75</v>
      </c>
      <c r="AO123" s="117"/>
      <c r="AR123" s="118">
        <f>SUM(AR124:AR259)</f>
        <v>0</v>
      </c>
      <c r="AT123" s="118">
        <f>SUM(AT124:AT259)</f>
        <v>195.74688600000002</v>
      </c>
      <c r="AV123" s="119">
        <f>SUM(AV124:AV259)</f>
        <v>66.516749999999988</v>
      </c>
      <c r="BT123" s="113" t="s">
        <v>81</v>
      </c>
      <c r="BV123" s="120" t="s">
        <v>73</v>
      </c>
      <c r="BW123" s="120" t="s">
        <v>81</v>
      </c>
      <c r="CA123" s="113" t="s">
        <v>282</v>
      </c>
      <c r="CM123" s="121">
        <f>SUM(CM124:CM259)</f>
        <v>288485.75</v>
      </c>
    </row>
    <row r="124" spans="2:93" s="1" customFormat="1" ht="24.2" customHeight="1" x14ac:dyDescent="0.2">
      <c r="B124" s="124"/>
      <c r="C124" s="125" t="s">
        <v>81</v>
      </c>
      <c r="D124" s="125" t="s">
        <v>284</v>
      </c>
      <c r="E124" s="126" t="s">
        <v>285</v>
      </c>
      <c r="F124" s="127" t="s">
        <v>286</v>
      </c>
      <c r="G124" s="128" t="s">
        <v>287</v>
      </c>
      <c r="H124" s="129">
        <v>52.875</v>
      </c>
      <c r="I124" s="130">
        <v>68.767172335543137</v>
      </c>
      <c r="J124" s="131">
        <f>ROUND(I124*H124,2)</f>
        <v>3636.06</v>
      </c>
      <c r="K124" s="127" t="s">
        <v>1</v>
      </c>
      <c r="L124" s="268">
        <f>S124</f>
        <v>0</v>
      </c>
      <c r="M124" s="272">
        <f>ROUND(L124*I124,2)</f>
        <v>0</v>
      </c>
      <c r="N124" s="243">
        <f>N126</f>
        <v>-14.183999999999997</v>
      </c>
      <c r="O124" s="294">
        <f>ROUND(N124*I124,2)</f>
        <v>-975.39</v>
      </c>
      <c r="P124" s="273">
        <f>H124-L124-N124</f>
        <v>67.058999999999997</v>
      </c>
      <c r="Q124" s="268">
        <f>ROUND(P124*I124,2)</f>
        <v>4611.46</v>
      </c>
      <c r="R124" s="137"/>
      <c r="S124" s="269">
        <f>W124+Y124+AA124+AC124+AE124+AG124</f>
        <v>0</v>
      </c>
      <c r="T124" s="269">
        <f>ROUND(S124*I124,2)</f>
        <v>0</v>
      </c>
      <c r="U124" s="269">
        <f>H124-S124</f>
        <v>52.875</v>
      </c>
      <c r="V124" s="269">
        <f>ROUND(U124*I124,2)</f>
        <v>3636.06</v>
      </c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O124" s="132" t="s">
        <v>1</v>
      </c>
      <c r="AP124" s="133" t="s">
        <v>40</v>
      </c>
      <c r="AR124" s="134">
        <f>AQ124*H124</f>
        <v>0</v>
      </c>
      <c r="AS124" s="134">
        <v>0</v>
      </c>
      <c r="AT124" s="134">
        <f>AS124*H124</f>
        <v>0</v>
      </c>
      <c r="AU124" s="134">
        <v>0.57999999999999996</v>
      </c>
      <c r="AV124" s="135">
        <f>AU124*H124</f>
        <v>30.667499999999997</v>
      </c>
      <c r="BT124" s="136" t="s">
        <v>95</v>
      </c>
      <c r="BV124" s="136" t="s">
        <v>284</v>
      </c>
      <c r="BW124" s="136" t="s">
        <v>83</v>
      </c>
      <c r="CA124" s="16" t="s">
        <v>282</v>
      </c>
      <c r="CG124" s="137">
        <f>IF(AP124="základní",J124,0)</f>
        <v>3636.06</v>
      </c>
      <c r="CH124" s="137">
        <f>IF(AP124="snížená",J124,0)</f>
        <v>0</v>
      </c>
      <c r="CI124" s="137">
        <f>IF(AP124="zákl. přenesená",J124,0)</f>
        <v>0</v>
      </c>
      <c r="CJ124" s="137">
        <f>IF(AP124="sníž. přenesená",J124,0)</f>
        <v>0</v>
      </c>
      <c r="CK124" s="137">
        <f>IF(AP124="nulová",J124,0)</f>
        <v>0</v>
      </c>
      <c r="CL124" s="16" t="s">
        <v>81</v>
      </c>
      <c r="CM124" s="137">
        <f>ROUND(I124*H124,2)</f>
        <v>3636.06</v>
      </c>
      <c r="CN124" s="16" t="s">
        <v>95</v>
      </c>
      <c r="CO124" s="136" t="s">
        <v>288</v>
      </c>
    </row>
    <row r="125" spans="2:93" s="1" customFormat="1" ht="39" x14ac:dyDescent="0.2">
      <c r="B125" s="31"/>
      <c r="D125" s="138" t="s">
        <v>289</v>
      </c>
      <c r="F125" s="139" t="s">
        <v>290</v>
      </c>
      <c r="I125" s="140"/>
      <c r="L125" s="31"/>
      <c r="N125" s="213"/>
      <c r="O125" s="214"/>
      <c r="Q125" s="330"/>
      <c r="AO125" s="141"/>
      <c r="AV125" s="50"/>
      <c r="BV125" s="16" t="s">
        <v>289</v>
      </c>
      <c r="BW125" s="16" t="s">
        <v>83</v>
      </c>
    </row>
    <row r="126" spans="2:93" s="1" customFormat="1" ht="24.2" customHeight="1" x14ac:dyDescent="0.2">
      <c r="B126" s="124"/>
      <c r="C126" s="125" t="s">
        <v>83</v>
      </c>
      <c r="D126" s="125" t="s">
        <v>284</v>
      </c>
      <c r="E126" s="126" t="s">
        <v>291</v>
      </c>
      <c r="F126" s="127" t="s">
        <v>292</v>
      </c>
      <c r="G126" s="128" t="s">
        <v>287</v>
      </c>
      <c r="H126" s="129">
        <v>52.875</v>
      </c>
      <c r="I126" s="130">
        <v>68.767172335543137</v>
      </c>
      <c r="J126" s="131">
        <f>ROUND(I126*H126,2)</f>
        <v>3636.06</v>
      </c>
      <c r="K126" s="127" t="s">
        <v>293</v>
      </c>
      <c r="L126" s="268">
        <f>S126</f>
        <v>0</v>
      </c>
      <c r="M126" s="272">
        <f>ROUND(L126*I126,2)</f>
        <v>0</v>
      </c>
      <c r="N126" s="243">
        <f>N128</f>
        <v>-14.183999999999997</v>
      </c>
      <c r="O126" s="294">
        <f>ROUND(N126*I126,2)</f>
        <v>-975.39</v>
      </c>
      <c r="P126" s="273">
        <f>H126-L126-N126</f>
        <v>67.058999999999997</v>
      </c>
      <c r="Q126" s="268">
        <f>ROUND(P126*I126,2)</f>
        <v>4611.46</v>
      </c>
      <c r="R126" s="137"/>
      <c r="S126" s="269">
        <f>W126+Y126+AA126+AC126+AE126+AG126</f>
        <v>0</v>
      </c>
      <c r="T126" s="269">
        <f>ROUND(S126*I126,2)</f>
        <v>0</v>
      </c>
      <c r="U126" s="269">
        <f>H126-S126</f>
        <v>52.875</v>
      </c>
      <c r="V126" s="269">
        <f>ROUND(U126*I126,2)</f>
        <v>3636.06</v>
      </c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O126" s="132" t="s">
        <v>1</v>
      </c>
      <c r="AP126" s="133" t="s">
        <v>40</v>
      </c>
      <c r="AR126" s="134">
        <f>AQ126*H126</f>
        <v>0</v>
      </c>
      <c r="AS126" s="134">
        <v>0</v>
      </c>
      <c r="AT126" s="134">
        <f>AS126*H126</f>
        <v>0</v>
      </c>
      <c r="AU126" s="134">
        <v>0.57999999999999996</v>
      </c>
      <c r="AV126" s="135">
        <f>AU126*H126</f>
        <v>30.667499999999997</v>
      </c>
      <c r="BT126" s="136" t="s">
        <v>95</v>
      </c>
      <c r="BV126" s="136" t="s">
        <v>284</v>
      </c>
      <c r="BW126" s="136" t="s">
        <v>83</v>
      </c>
      <c r="CA126" s="16" t="s">
        <v>282</v>
      </c>
      <c r="CG126" s="137">
        <f>IF(AP126="základní",J126,0)</f>
        <v>3636.06</v>
      </c>
      <c r="CH126" s="137">
        <f>IF(AP126="snížená",J126,0)</f>
        <v>0</v>
      </c>
      <c r="CI126" s="137">
        <f>IF(AP126="zákl. přenesená",J126,0)</f>
        <v>0</v>
      </c>
      <c r="CJ126" s="137">
        <f>IF(AP126="sníž. přenesená",J126,0)</f>
        <v>0</v>
      </c>
      <c r="CK126" s="137">
        <f>IF(AP126="nulová",J126,0)</f>
        <v>0</v>
      </c>
      <c r="CL126" s="16" t="s">
        <v>81</v>
      </c>
      <c r="CM126" s="137">
        <f>ROUND(I126*H126,2)</f>
        <v>3636.06</v>
      </c>
      <c r="CN126" s="16" t="s">
        <v>95</v>
      </c>
      <c r="CO126" s="136" t="s">
        <v>294</v>
      </c>
    </row>
    <row r="127" spans="2:93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330"/>
      <c r="AO127" s="141"/>
      <c r="AV127" s="50"/>
      <c r="BV127" s="16" t="s">
        <v>289</v>
      </c>
      <c r="BW127" s="16" t="s">
        <v>83</v>
      </c>
    </row>
    <row r="128" spans="2:93" s="1" customFormat="1" ht="24.2" customHeight="1" x14ac:dyDescent="0.2">
      <c r="B128" s="124"/>
      <c r="C128" s="125" t="s">
        <v>90</v>
      </c>
      <c r="D128" s="125" t="s">
        <v>284</v>
      </c>
      <c r="E128" s="126" t="s">
        <v>295</v>
      </c>
      <c r="F128" s="127" t="s">
        <v>732</v>
      </c>
      <c r="G128" s="128" t="s">
        <v>287</v>
      </c>
      <c r="H128" s="129">
        <v>52.875</v>
      </c>
      <c r="I128" s="130">
        <v>27.886826761540966</v>
      </c>
      <c r="J128" s="131">
        <f>ROUND(I128*H128,2)</f>
        <v>1474.52</v>
      </c>
      <c r="K128" s="127" t="s">
        <v>293</v>
      </c>
      <c r="L128" s="268">
        <f>S128</f>
        <v>0</v>
      </c>
      <c r="M128" s="272">
        <f>ROUND(L128*I128,2)</f>
        <v>0</v>
      </c>
      <c r="N128" s="243">
        <f>N137</f>
        <v>-14.183999999999997</v>
      </c>
      <c r="O128" s="294">
        <f>ROUND(N128*I128,2)</f>
        <v>-395.55</v>
      </c>
      <c r="P128" s="273">
        <f>H128-L128-N128</f>
        <v>67.058999999999997</v>
      </c>
      <c r="Q128" s="268">
        <f>ROUND(P128*I128,2)</f>
        <v>1870.06</v>
      </c>
      <c r="R128" s="137"/>
      <c r="S128" s="269">
        <f>W128+Y128+AA128+AC128+AE128+AG128</f>
        <v>0</v>
      </c>
      <c r="T128" s="269">
        <f>ROUND(S128*I128,2)</f>
        <v>0</v>
      </c>
      <c r="U128" s="269">
        <f>H128-S128</f>
        <v>52.875</v>
      </c>
      <c r="V128" s="269">
        <f>ROUND(U128*I128,2)</f>
        <v>1474.52</v>
      </c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O128" s="132" t="s">
        <v>1</v>
      </c>
      <c r="AP128" s="133" t="s">
        <v>40</v>
      </c>
      <c r="AR128" s="134">
        <f>AQ128*H128</f>
        <v>0</v>
      </c>
      <c r="AS128" s="134">
        <v>0</v>
      </c>
      <c r="AT128" s="134">
        <f>AS128*H128</f>
        <v>0</v>
      </c>
      <c r="AU128" s="134">
        <v>9.8000000000000004E-2</v>
      </c>
      <c r="AV128" s="135">
        <f>AU128*H128</f>
        <v>5.1817500000000001</v>
      </c>
      <c r="BT128" s="136" t="s">
        <v>95</v>
      </c>
      <c r="BV128" s="136" t="s">
        <v>284</v>
      </c>
      <c r="BW128" s="136" t="s">
        <v>83</v>
      </c>
      <c r="CA128" s="16" t="s">
        <v>282</v>
      </c>
      <c r="CG128" s="137">
        <f>IF(AP128="základní",J128,0)</f>
        <v>1474.52</v>
      </c>
      <c r="CH128" s="137">
        <f>IF(AP128="snížená",J128,0)</f>
        <v>0</v>
      </c>
      <c r="CI128" s="137">
        <f>IF(AP128="zákl. přenesená",J128,0)</f>
        <v>0</v>
      </c>
      <c r="CJ128" s="137">
        <f>IF(AP128="sníž. přenesená",J128,0)</f>
        <v>0</v>
      </c>
      <c r="CK128" s="137">
        <f>IF(AP128="nulová",J128,0)</f>
        <v>0</v>
      </c>
      <c r="CL128" s="16" t="s">
        <v>81</v>
      </c>
      <c r="CM128" s="137">
        <f>ROUND(I128*H128,2)</f>
        <v>1474.52</v>
      </c>
      <c r="CN128" s="16" t="s">
        <v>95</v>
      </c>
      <c r="CO128" s="136" t="s">
        <v>297</v>
      </c>
    </row>
    <row r="129" spans="2:93" s="1" customFormat="1" ht="29.25" x14ac:dyDescent="0.2">
      <c r="B129" s="31"/>
      <c r="D129" s="138" t="s">
        <v>289</v>
      </c>
      <c r="F129" s="139" t="s">
        <v>298</v>
      </c>
      <c r="I129" s="140"/>
      <c r="L129" s="31"/>
      <c r="N129" s="213"/>
      <c r="O129" s="214"/>
      <c r="Q129" s="330"/>
      <c r="AO129" s="141"/>
      <c r="AV129" s="50"/>
      <c r="BV129" s="16" t="s">
        <v>289</v>
      </c>
      <c r="BW129" s="16" t="s">
        <v>83</v>
      </c>
    </row>
    <row r="130" spans="2:93" s="1" customFormat="1" ht="29.25" x14ac:dyDescent="0.2">
      <c r="B130" s="31"/>
      <c r="D130" s="138" t="s">
        <v>299</v>
      </c>
      <c r="F130" s="142" t="s">
        <v>1083</v>
      </c>
      <c r="I130" s="140"/>
      <c r="L130" s="31"/>
      <c r="N130" s="213"/>
      <c r="O130" s="214"/>
      <c r="Q130" s="330"/>
      <c r="AO130" s="141"/>
      <c r="AV130" s="50"/>
      <c r="BV130" s="16" t="s">
        <v>299</v>
      </c>
      <c r="BW130" s="16" t="s">
        <v>83</v>
      </c>
    </row>
    <row r="131" spans="2:93" s="11" customFormat="1" x14ac:dyDescent="0.2">
      <c r="B131" s="143"/>
      <c r="D131" s="138" t="s">
        <v>301</v>
      </c>
      <c r="E131" s="144" t="s">
        <v>1</v>
      </c>
      <c r="F131" s="145" t="s">
        <v>1084</v>
      </c>
      <c r="H131" s="144" t="s">
        <v>1</v>
      </c>
      <c r="I131" s="146"/>
      <c r="L131" s="143"/>
      <c r="N131" s="215"/>
      <c r="O131" s="216"/>
      <c r="Q131" s="331"/>
      <c r="AO131" s="147"/>
      <c r="AV131" s="148"/>
      <c r="BV131" s="144" t="s">
        <v>301</v>
      </c>
      <c r="BW131" s="144" t="s">
        <v>83</v>
      </c>
      <c r="BX131" s="11" t="s">
        <v>81</v>
      </c>
      <c r="BY131" s="11" t="s">
        <v>32</v>
      </c>
      <c r="BZ131" s="11" t="s">
        <v>74</v>
      </c>
      <c r="CA131" s="144" t="s">
        <v>282</v>
      </c>
    </row>
    <row r="132" spans="2:93" s="11" customFormat="1" x14ac:dyDescent="0.2">
      <c r="B132" s="143"/>
      <c r="D132" s="138" t="s">
        <v>301</v>
      </c>
      <c r="E132" s="144" t="s">
        <v>1</v>
      </c>
      <c r="F132" s="145" t="s">
        <v>302</v>
      </c>
      <c r="H132" s="144" t="s">
        <v>1</v>
      </c>
      <c r="I132" s="146"/>
      <c r="L132" s="143"/>
      <c r="N132" s="215"/>
      <c r="O132" s="216"/>
      <c r="Q132" s="331"/>
      <c r="AO132" s="147"/>
      <c r="AV132" s="148"/>
      <c r="BV132" s="144" t="s">
        <v>301</v>
      </c>
      <c r="BW132" s="144" t="s">
        <v>83</v>
      </c>
      <c r="BX132" s="11" t="s">
        <v>81</v>
      </c>
      <c r="BY132" s="11" t="s">
        <v>32</v>
      </c>
      <c r="BZ132" s="11" t="s">
        <v>74</v>
      </c>
      <c r="CA132" s="144" t="s">
        <v>282</v>
      </c>
    </row>
    <row r="133" spans="2:93" s="12" customFormat="1" x14ac:dyDescent="0.2">
      <c r="B133" s="149"/>
      <c r="D133" s="138" t="s">
        <v>301</v>
      </c>
      <c r="E133" s="150" t="s">
        <v>1</v>
      </c>
      <c r="F133" s="151" t="s">
        <v>1273</v>
      </c>
      <c r="H133" s="152">
        <v>53.5</v>
      </c>
      <c r="I133" s="153"/>
      <c r="L133" s="149"/>
      <c r="N133" s="217">
        <f>41.49*1</f>
        <v>41.49</v>
      </c>
      <c r="O133" s="218" t="s">
        <v>3689</v>
      </c>
      <c r="Q133" s="332"/>
      <c r="AO133" s="154"/>
      <c r="AV133" s="155"/>
      <c r="BV133" s="150" t="s">
        <v>301</v>
      </c>
      <c r="BW133" s="150" t="s">
        <v>83</v>
      </c>
      <c r="BX133" s="12" t="s">
        <v>83</v>
      </c>
      <c r="BY133" s="12" t="s">
        <v>32</v>
      </c>
      <c r="BZ133" s="12" t="s">
        <v>74</v>
      </c>
      <c r="CA133" s="150" t="s">
        <v>282</v>
      </c>
    </row>
    <row r="134" spans="2:93" s="12" customFormat="1" x14ac:dyDescent="0.2">
      <c r="B134" s="149"/>
      <c r="D134" s="138" t="s">
        <v>301</v>
      </c>
      <c r="E134" s="150" t="s">
        <v>1</v>
      </c>
      <c r="F134" s="151" t="s">
        <v>1274</v>
      </c>
      <c r="H134" s="152">
        <v>5.25</v>
      </c>
      <c r="I134" s="153"/>
      <c r="L134" s="149"/>
      <c r="N134" s="217">
        <f xml:space="preserve"> 1.5*1.5*2-1.5*1*2</f>
        <v>1.5</v>
      </c>
      <c r="O134" s="218" t="s">
        <v>3690</v>
      </c>
      <c r="Q134" s="332"/>
      <c r="AO134" s="154"/>
      <c r="AV134" s="155"/>
      <c r="BV134" s="150" t="s">
        <v>301</v>
      </c>
      <c r="BW134" s="150" t="s">
        <v>83</v>
      </c>
      <c r="BX134" s="12" t="s">
        <v>83</v>
      </c>
      <c r="BY134" s="12" t="s">
        <v>32</v>
      </c>
      <c r="BZ134" s="12" t="s">
        <v>74</v>
      </c>
      <c r="CA134" s="150" t="s">
        <v>282</v>
      </c>
    </row>
    <row r="135" spans="2:93" s="14" customFormat="1" x14ac:dyDescent="0.2">
      <c r="B135" s="163"/>
      <c r="D135" s="138" t="s">
        <v>301</v>
      </c>
      <c r="E135" s="164" t="s">
        <v>1</v>
      </c>
      <c r="F135" s="165" t="s">
        <v>373</v>
      </c>
      <c r="H135" s="166">
        <v>58.75</v>
      </c>
      <c r="I135" s="167"/>
      <c r="L135" s="163"/>
      <c r="N135" s="221">
        <f>N133+N134</f>
        <v>42.99</v>
      </c>
      <c r="O135" s="222"/>
      <c r="Q135" s="333"/>
      <c r="AO135" s="168"/>
      <c r="AV135" s="169"/>
      <c r="BV135" s="164" t="s">
        <v>301</v>
      </c>
      <c r="BW135" s="164" t="s">
        <v>83</v>
      </c>
      <c r="BX135" s="14" t="s">
        <v>90</v>
      </c>
      <c r="BY135" s="14" t="s">
        <v>32</v>
      </c>
      <c r="BZ135" s="14" t="s">
        <v>74</v>
      </c>
      <c r="CA135" s="164" t="s">
        <v>282</v>
      </c>
    </row>
    <row r="136" spans="2:93" s="12" customFormat="1" x14ac:dyDescent="0.2">
      <c r="B136" s="149"/>
      <c r="D136" s="138" t="s">
        <v>301</v>
      </c>
      <c r="E136" s="150" t="s">
        <v>1</v>
      </c>
      <c r="F136" s="151" t="s">
        <v>1275</v>
      </c>
      <c r="H136" s="152">
        <v>52.875</v>
      </c>
      <c r="I136" s="153"/>
      <c r="L136" s="149"/>
      <c r="N136" s="217">
        <f>N135*0.9</f>
        <v>38.691000000000003</v>
      </c>
      <c r="O136" s="218"/>
      <c r="Q136" s="332"/>
      <c r="AO136" s="154"/>
      <c r="AV136" s="155"/>
      <c r="BV136" s="150" t="s">
        <v>301</v>
      </c>
      <c r="BW136" s="150" t="s">
        <v>83</v>
      </c>
      <c r="BX136" s="12" t="s">
        <v>83</v>
      </c>
      <c r="BY136" s="12" t="s">
        <v>32</v>
      </c>
      <c r="BZ136" s="12" t="s">
        <v>81</v>
      </c>
      <c r="CA136" s="150" t="s">
        <v>282</v>
      </c>
    </row>
    <row r="137" spans="2:93" s="12" customFormat="1" x14ac:dyDescent="0.2">
      <c r="B137" s="149"/>
      <c r="D137" s="138"/>
      <c r="E137" s="150"/>
      <c r="F137" s="151"/>
      <c r="H137" s="152"/>
      <c r="I137" s="153"/>
      <c r="L137" s="149"/>
      <c r="N137" s="310">
        <f>N136-H136</f>
        <v>-14.183999999999997</v>
      </c>
      <c r="O137" s="218"/>
      <c r="Q137" s="332"/>
      <c r="AO137" s="154"/>
      <c r="AV137" s="155"/>
      <c r="BV137" s="150"/>
      <c r="BW137" s="150"/>
      <c r="CA137" s="150"/>
    </row>
    <row r="138" spans="2:93" s="1" customFormat="1" ht="24.2" customHeight="1" x14ac:dyDescent="0.2">
      <c r="B138" s="124"/>
      <c r="C138" s="125" t="s">
        <v>95</v>
      </c>
      <c r="D138" s="125" t="s">
        <v>284</v>
      </c>
      <c r="E138" s="126" t="s">
        <v>958</v>
      </c>
      <c r="F138" s="127" t="s">
        <v>959</v>
      </c>
      <c r="G138" s="128" t="s">
        <v>287</v>
      </c>
      <c r="H138" s="129">
        <v>16.05</v>
      </c>
      <c r="I138" s="130">
        <v>23.091823190584471</v>
      </c>
      <c r="J138" s="131">
        <f>ROUND(I138*H138,2)</f>
        <v>370.62</v>
      </c>
      <c r="K138" s="127" t="s">
        <v>293</v>
      </c>
      <c r="L138" s="268">
        <f>S138</f>
        <v>0</v>
      </c>
      <c r="M138" s="272">
        <f>ROUND(L138*I138,2)</f>
        <v>0</v>
      </c>
      <c r="N138" s="243">
        <f>N143</f>
        <v>-3.6029999999999998</v>
      </c>
      <c r="O138" s="294">
        <f>ROUND(N138*I138,2)</f>
        <v>-83.2</v>
      </c>
      <c r="P138" s="273">
        <f>H138-L138-N138</f>
        <v>19.652999999999999</v>
      </c>
      <c r="Q138" s="268">
        <f>ROUND(P138*I138,2)</f>
        <v>453.82</v>
      </c>
      <c r="R138" s="137"/>
      <c r="S138" s="269">
        <f>W138+Y138+AA138+AC138+AE138+AG138</f>
        <v>0</v>
      </c>
      <c r="T138" s="269">
        <f>ROUND(S138*I138,2)</f>
        <v>0</v>
      </c>
      <c r="U138" s="269">
        <f>H138-S138</f>
        <v>16.05</v>
      </c>
      <c r="V138" s="269">
        <f>ROUND(U138*I138,2)</f>
        <v>370.62</v>
      </c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O138" s="132" t="s">
        <v>1</v>
      </c>
      <c r="AP138" s="133" t="s">
        <v>40</v>
      </c>
      <c r="AR138" s="134">
        <f>AQ138*H138</f>
        <v>0</v>
      </c>
      <c r="AS138" s="134">
        <v>0</v>
      </c>
      <c r="AT138" s="134">
        <f>AS138*H138</f>
        <v>0</v>
      </c>
      <c r="AU138" s="134">
        <v>0</v>
      </c>
      <c r="AV138" s="135">
        <f>AU138*H138</f>
        <v>0</v>
      </c>
      <c r="BT138" s="136" t="s">
        <v>95</v>
      </c>
      <c r="BV138" s="136" t="s">
        <v>284</v>
      </c>
      <c r="BW138" s="136" t="s">
        <v>83</v>
      </c>
      <c r="CA138" s="16" t="s">
        <v>282</v>
      </c>
      <c r="CG138" s="137">
        <f>IF(AP138="základní",J138,0)</f>
        <v>370.62</v>
      </c>
      <c r="CH138" s="137">
        <f>IF(AP138="snížená",J138,0)</f>
        <v>0</v>
      </c>
      <c r="CI138" s="137">
        <f>IF(AP138="zákl. přenesená",J138,0)</f>
        <v>0</v>
      </c>
      <c r="CJ138" s="137">
        <f>IF(AP138="sníž. přenesená",J138,0)</f>
        <v>0</v>
      </c>
      <c r="CK138" s="137">
        <f>IF(AP138="nulová",J138,0)</f>
        <v>0</v>
      </c>
      <c r="CL138" s="16" t="s">
        <v>81</v>
      </c>
      <c r="CM138" s="137">
        <f>ROUND(I138*H138,2)</f>
        <v>370.62</v>
      </c>
      <c r="CN138" s="16" t="s">
        <v>95</v>
      </c>
      <c r="CO138" s="136" t="s">
        <v>960</v>
      </c>
    </row>
    <row r="139" spans="2:93" s="1" customFormat="1" ht="19.5" x14ac:dyDescent="0.2">
      <c r="B139" s="31"/>
      <c r="D139" s="138" t="s">
        <v>289</v>
      </c>
      <c r="F139" s="139" t="s">
        <v>961</v>
      </c>
      <c r="I139" s="140"/>
      <c r="L139" s="31"/>
      <c r="N139" s="213"/>
      <c r="O139" s="214"/>
      <c r="Q139" s="330"/>
      <c r="AO139" s="141"/>
      <c r="AV139" s="50"/>
      <c r="BV139" s="16" t="s">
        <v>289</v>
      </c>
      <c r="BW139" s="16" t="s">
        <v>83</v>
      </c>
    </row>
    <row r="140" spans="2:93" s="1" customFormat="1" ht="29.25" x14ac:dyDescent="0.2">
      <c r="B140" s="31"/>
      <c r="D140" s="138" t="s">
        <v>299</v>
      </c>
      <c r="F140" s="142" t="s">
        <v>1083</v>
      </c>
      <c r="I140" s="140"/>
      <c r="L140" s="31"/>
      <c r="N140" s="213"/>
      <c r="O140" s="214"/>
      <c r="Q140" s="330"/>
      <c r="AO140" s="141"/>
      <c r="AV140" s="50"/>
      <c r="BV140" s="16" t="s">
        <v>299</v>
      </c>
      <c r="BW140" s="16" t="s">
        <v>83</v>
      </c>
    </row>
    <row r="141" spans="2:93" s="11" customFormat="1" x14ac:dyDescent="0.2">
      <c r="B141" s="143"/>
      <c r="D141" s="138" t="s">
        <v>301</v>
      </c>
      <c r="E141" s="144" t="s">
        <v>1</v>
      </c>
      <c r="F141" s="145" t="s">
        <v>1088</v>
      </c>
      <c r="H141" s="144" t="s">
        <v>1</v>
      </c>
      <c r="I141" s="146"/>
      <c r="L141" s="143"/>
      <c r="N141" s="215"/>
      <c r="O141" s="216"/>
      <c r="Q141" s="331"/>
      <c r="AO141" s="147"/>
      <c r="AV141" s="148"/>
      <c r="BV141" s="144" t="s">
        <v>301</v>
      </c>
      <c r="BW141" s="144" t="s">
        <v>83</v>
      </c>
      <c r="BX141" s="11" t="s">
        <v>81</v>
      </c>
      <c r="BY141" s="11" t="s">
        <v>32</v>
      </c>
      <c r="BZ141" s="11" t="s">
        <v>74</v>
      </c>
      <c r="CA141" s="144" t="s">
        <v>282</v>
      </c>
    </row>
    <row r="142" spans="2:93" s="12" customFormat="1" x14ac:dyDescent="0.2">
      <c r="B142" s="149"/>
      <c r="D142" s="138" t="s">
        <v>301</v>
      </c>
      <c r="E142" s="150" t="s">
        <v>1</v>
      </c>
      <c r="F142" s="151" t="s">
        <v>1276</v>
      </c>
      <c r="H142" s="152">
        <v>16.05</v>
      </c>
      <c r="I142" s="153"/>
      <c r="L142" s="149"/>
      <c r="N142" s="217">
        <f>41.49*3*0.1</f>
        <v>12.447000000000001</v>
      </c>
      <c r="O142" s="218" t="s">
        <v>3691</v>
      </c>
      <c r="Q142" s="332"/>
      <c r="AO142" s="154"/>
      <c r="AV142" s="155"/>
      <c r="BV142" s="150" t="s">
        <v>301</v>
      </c>
      <c r="BW142" s="150" t="s">
        <v>83</v>
      </c>
      <c r="BX142" s="12" t="s">
        <v>83</v>
      </c>
      <c r="BY142" s="12" t="s">
        <v>32</v>
      </c>
      <c r="BZ142" s="12" t="s">
        <v>81</v>
      </c>
      <c r="CA142" s="150" t="s">
        <v>282</v>
      </c>
    </row>
    <row r="143" spans="2:93" s="12" customFormat="1" x14ac:dyDescent="0.2">
      <c r="B143" s="149"/>
      <c r="D143" s="138"/>
      <c r="E143" s="150"/>
      <c r="F143" s="151"/>
      <c r="H143" s="152"/>
      <c r="I143" s="153"/>
      <c r="L143" s="149"/>
      <c r="N143" s="310">
        <f>N142-H142</f>
        <v>-3.6029999999999998</v>
      </c>
      <c r="O143" s="218"/>
      <c r="Q143" s="332"/>
      <c r="AO143" s="154"/>
      <c r="AV143" s="155"/>
      <c r="BV143" s="150"/>
      <c r="BW143" s="150"/>
      <c r="CA143" s="150"/>
    </row>
    <row r="144" spans="2:93" s="1" customFormat="1" ht="24.2" customHeight="1" x14ac:dyDescent="0.2">
      <c r="B144" s="124"/>
      <c r="C144" s="125" t="s">
        <v>312</v>
      </c>
      <c r="D144" s="125" t="s">
        <v>284</v>
      </c>
      <c r="E144" s="126" t="s">
        <v>364</v>
      </c>
      <c r="F144" s="127" t="s">
        <v>365</v>
      </c>
      <c r="G144" s="128" t="s">
        <v>366</v>
      </c>
      <c r="H144" s="129">
        <v>53.917999999999999</v>
      </c>
      <c r="I144" s="130">
        <v>285.201942457955</v>
      </c>
      <c r="J144" s="131">
        <f>ROUND(I144*H144,2)</f>
        <v>15377.52</v>
      </c>
      <c r="K144" s="127" t="s">
        <v>293</v>
      </c>
      <c r="L144" s="268">
        <f>S144</f>
        <v>0</v>
      </c>
      <c r="M144" s="272">
        <f>ROUND(L144*I144,2)</f>
        <v>0</v>
      </c>
      <c r="N144" s="243">
        <f>N154</f>
        <v>-15.125674999999987</v>
      </c>
      <c r="O144" s="294">
        <f>ROUND(N144*I144,2)</f>
        <v>-4313.87</v>
      </c>
      <c r="P144" s="273">
        <f>H144-L144-N144</f>
        <v>69.043674999999979</v>
      </c>
      <c r="Q144" s="268">
        <f>ROUND(P144*I144,2)</f>
        <v>19691.39</v>
      </c>
      <c r="R144" s="137"/>
      <c r="S144" s="269">
        <f>W144+Y144+AA144+AC144+AE144+AG144</f>
        <v>0</v>
      </c>
      <c r="T144" s="269">
        <f>ROUND(S144*I144,2)</f>
        <v>0</v>
      </c>
      <c r="U144" s="269">
        <f>H144-S144</f>
        <v>53.917999999999999</v>
      </c>
      <c r="V144" s="269">
        <f>ROUND(U144*I144,2)</f>
        <v>15377.52</v>
      </c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O144" s="132" t="s">
        <v>1</v>
      </c>
      <c r="AP144" s="133" t="s">
        <v>40</v>
      </c>
      <c r="AR144" s="134">
        <f>AQ144*H144</f>
        <v>0</v>
      </c>
      <c r="AS144" s="134">
        <v>0</v>
      </c>
      <c r="AT144" s="134">
        <f>AS144*H144</f>
        <v>0</v>
      </c>
      <c r="AU144" s="134">
        <v>0</v>
      </c>
      <c r="AV144" s="135">
        <f>AU144*H144</f>
        <v>0</v>
      </c>
      <c r="BT144" s="136" t="s">
        <v>95</v>
      </c>
      <c r="BV144" s="136" t="s">
        <v>284</v>
      </c>
      <c r="BW144" s="136" t="s">
        <v>83</v>
      </c>
      <c r="CA144" s="16" t="s">
        <v>282</v>
      </c>
      <c r="CG144" s="137">
        <f>IF(AP144="základní",J144,0)</f>
        <v>15377.52</v>
      </c>
      <c r="CH144" s="137">
        <f>IF(AP144="snížená",J144,0)</f>
        <v>0</v>
      </c>
      <c r="CI144" s="137">
        <f>IF(AP144="zákl. přenesená",J144,0)</f>
        <v>0</v>
      </c>
      <c r="CJ144" s="137">
        <f>IF(AP144="sníž. přenesená",J144,0)</f>
        <v>0</v>
      </c>
      <c r="CK144" s="137">
        <f>IF(AP144="nulová",J144,0)</f>
        <v>0</v>
      </c>
      <c r="CL144" s="16" t="s">
        <v>81</v>
      </c>
      <c r="CM144" s="137">
        <f>ROUND(I144*H144,2)</f>
        <v>15377.52</v>
      </c>
      <c r="CN144" s="16" t="s">
        <v>95</v>
      </c>
      <c r="CO144" s="136" t="s">
        <v>367</v>
      </c>
    </row>
    <row r="145" spans="2:93" s="1" customFormat="1" ht="39" x14ac:dyDescent="0.2">
      <c r="B145" s="31"/>
      <c r="D145" s="138" t="s">
        <v>289</v>
      </c>
      <c r="F145" s="139" t="s">
        <v>368</v>
      </c>
      <c r="I145" s="140"/>
      <c r="L145" s="31"/>
      <c r="N145" s="213"/>
      <c r="O145" s="214"/>
      <c r="Q145" s="330"/>
      <c r="AO145" s="141"/>
      <c r="AV145" s="50"/>
      <c r="BV145" s="16" t="s">
        <v>289</v>
      </c>
      <c r="BW145" s="16" t="s">
        <v>83</v>
      </c>
    </row>
    <row r="146" spans="2:93" s="1" customFormat="1" ht="39" x14ac:dyDescent="0.2">
      <c r="B146" s="31"/>
      <c r="D146" s="138" t="s">
        <v>299</v>
      </c>
      <c r="F146" s="142" t="s">
        <v>1090</v>
      </c>
      <c r="I146" s="140"/>
      <c r="L146" s="31"/>
      <c r="N146" s="213"/>
      <c r="O146" s="214"/>
      <c r="Q146" s="330"/>
      <c r="AO146" s="141"/>
      <c r="AV146" s="50"/>
      <c r="BV146" s="16" t="s">
        <v>299</v>
      </c>
      <c r="BW146" s="16" t="s">
        <v>83</v>
      </c>
    </row>
    <row r="147" spans="2:93" s="11" customFormat="1" ht="22.5" x14ac:dyDescent="0.2">
      <c r="B147" s="143"/>
      <c r="D147" s="138" t="s">
        <v>301</v>
      </c>
      <c r="E147" s="144" t="s">
        <v>1</v>
      </c>
      <c r="F147" s="145" t="s">
        <v>1091</v>
      </c>
      <c r="H147" s="144" t="s">
        <v>1</v>
      </c>
      <c r="I147" s="146"/>
      <c r="L147" s="143"/>
      <c r="N147" s="215"/>
      <c r="O147" s="216"/>
      <c r="Q147" s="331"/>
      <c r="AO147" s="147"/>
      <c r="AV147" s="148"/>
      <c r="BV147" s="144" t="s">
        <v>301</v>
      </c>
      <c r="BW147" s="144" t="s">
        <v>83</v>
      </c>
      <c r="BX147" s="11" t="s">
        <v>81</v>
      </c>
      <c r="BY147" s="11" t="s">
        <v>32</v>
      </c>
      <c r="BZ147" s="11" t="s">
        <v>74</v>
      </c>
      <c r="CA147" s="144" t="s">
        <v>282</v>
      </c>
    </row>
    <row r="148" spans="2:93" s="12" customFormat="1" x14ac:dyDescent="0.2">
      <c r="B148" s="149"/>
      <c r="D148" s="138" t="s">
        <v>301</v>
      </c>
      <c r="E148" s="150" t="s">
        <v>1</v>
      </c>
      <c r="F148" s="151" t="s">
        <v>1277</v>
      </c>
      <c r="H148" s="152">
        <v>84.263000000000005</v>
      </c>
      <c r="I148" s="153"/>
      <c r="L148" s="149"/>
      <c r="N148" s="217">
        <f>41.49*1*(2.2-0.45)*0.9</f>
        <v>65.346750000000014</v>
      </c>
      <c r="O148" s="218" t="s">
        <v>3692</v>
      </c>
      <c r="Q148" s="332"/>
      <c r="AO148" s="154"/>
      <c r="AV148" s="155"/>
      <c r="BV148" s="150" t="s">
        <v>301</v>
      </c>
      <c r="BW148" s="150" t="s">
        <v>83</v>
      </c>
      <c r="BX148" s="12" t="s">
        <v>83</v>
      </c>
      <c r="BY148" s="12" t="s">
        <v>32</v>
      </c>
      <c r="BZ148" s="12" t="s">
        <v>74</v>
      </c>
      <c r="CA148" s="150" t="s">
        <v>282</v>
      </c>
    </row>
    <row r="149" spans="2:93" s="12" customFormat="1" ht="22.5" x14ac:dyDescent="0.2">
      <c r="B149" s="149"/>
      <c r="D149" s="138" t="s">
        <v>301</v>
      </c>
      <c r="E149" s="150" t="s">
        <v>1</v>
      </c>
      <c r="F149" s="151" t="s">
        <v>1278</v>
      </c>
      <c r="H149" s="152">
        <v>12.337999999999999</v>
      </c>
      <c r="I149" s="153"/>
      <c r="L149" s="149"/>
      <c r="N149" s="217">
        <f>1.5*1.5*(2.4-0.45)*2-1.5*1*(2.2-0.45)*2</f>
        <v>3.5249999999999995</v>
      </c>
      <c r="O149" s="218" t="s">
        <v>3693</v>
      </c>
      <c r="Q149" s="332"/>
      <c r="AO149" s="154"/>
      <c r="AV149" s="155"/>
      <c r="BV149" s="150" t="s">
        <v>301</v>
      </c>
      <c r="BW149" s="150" t="s">
        <v>83</v>
      </c>
      <c r="BX149" s="12" t="s">
        <v>83</v>
      </c>
      <c r="BY149" s="12" t="s">
        <v>32</v>
      </c>
      <c r="BZ149" s="12" t="s">
        <v>74</v>
      </c>
      <c r="CA149" s="150" t="s">
        <v>282</v>
      </c>
    </row>
    <row r="150" spans="2:93" s="11" customFormat="1" x14ac:dyDescent="0.2">
      <c r="B150" s="143"/>
      <c r="D150" s="138" t="s">
        <v>301</v>
      </c>
      <c r="E150" s="144" t="s">
        <v>1</v>
      </c>
      <c r="F150" s="145" t="s">
        <v>968</v>
      </c>
      <c r="H150" s="144" t="s">
        <v>1</v>
      </c>
      <c r="I150" s="146"/>
      <c r="L150" s="143"/>
      <c r="N150" s="215"/>
      <c r="O150" s="216"/>
      <c r="Q150" s="331"/>
      <c r="AO150" s="147"/>
      <c r="AV150" s="148"/>
      <c r="BV150" s="144" t="s">
        <v>301</v>
      </c>
      <c r="BW150" s="144" t="s">
        <v>83</v>
      </c>
      <c r="BX150" s="11" t="s">
        <v>81</v>
      </c>
      <c r="BY150" s="11" t="s">
        <v>32</v>
      </c>
      <c r="BZ150" s="11" t="s">
        <v>74</v>
      </c>
      <c r="CA150" s="144" t="s">
        <v>282</v>
      </c>
    </row>
    <row r="151" spans="2:93" s="12" customFormat="1" x14ac:dyDescent="0.2">
      <c r="B151" s="149"/>
      <c r="D151" s="138" t="s">
        <v>301</v>
      </c>
      <c r="E151" s="150" t="s">
        <v>1</v>
      </c>
      <c r="F151" s="151" t="s">
        <v>1279</v>
      </c>
      <c r="H151" s="152">
        <v>11.234999999999999</v>
      </c>
      <c r="I151" s="153"/>
      <c r="L151" s="149"/>
      <c r="N151" s="217">
        <f>41.49*1*(2.2-0.1)*0.1</f>
        <v>8.7129000000000012</v>
      </c>
      <c r="O151" s="218" t="s">
        <v>3694</v>
      </c>
      <c r="Q151" s="332"/>
      <c r="AO151" s="154"/>
      <c r="AV151" s="155"/>
      <c r="BV151" s="150" t="s">
        <v>301</v>
      </c>
      <c r="BW151" s="150" t="s">
        <v>83</v>
      </c>
      <c r="BX151" s="12" t="s">
        <v>83</v>
      </c>
      <c r="BY151" s="12" t="s">
        <v>32</v>
      </c>
      <c r="BZ151" s="12" t="s">
        <v>74</v>
      </c>
      <c r="CA151" s="150" t="s">
        <v>282</v>
      </c>
    </row>
    <row r="152" spans="2:93" s="14" customFormat="1" x14ac:dyDescent="0.2">
      <c r="B152" s="163"/>
      <c r="D152" s="138" t="s">
        <v>301</v>
      </c>
      <c r="E152" s="164" t="s">
        <v>1</v>
      </c>
      <c r="F152" s="165" t="s">
        <v>373</v>
      </c>
      <c r="H152" s="166">
        <v>107.836</v>
      </c>
      <c r="I152" s="167"/>
      <c r="L152" s="163"/>
      <c r="N152" s="221">
        <f>N148+N149+N151</f>
        <v>77.584650000000025</v>
      </c>
      <c r="O152" s="222"/>
      <c r="Q152" s="333"/>
      <c r="AO152" s="168"/>
      <c r="AV152" s="169"/>
      <c r="BV152" s="164" t="s">
        <v>301</v>
      </c>
      <c r="BW152" s="164" t="s">
        <v>83</v>
      </c>
      <c r="BX152" s="14" t="s">
        <v>90</v>
      </c>
      <c r="BY152" s="14" t="s">
        <v>32</v>
      </c>
      <c r="BZ152" s="14" t="s">
        <v>74</v>
      </c>
      <c r="CA152" s="164" t="s">
        <v>282</v>
      </c>
    </row>
    <row r="153" spans="2:93" s="12" customFormat="1" x14ac:dyDescent="0.2">
      <c r="B153" s="149"/>
      <c r="D153" s="138" t="s">
        <v>301</v>
      </c>
      <c r="E153" s="150" t="s">
        <v>1</v>
      </c>
      <c r="F153" s="151" t="s">
        <v>1280</v>
      </c>
      <c r="H153" s="152">
        <v>53.917999999999999</v>
      </c>
      <c r="I153" s="153"/>
      <c r="L153" s="149"/>
      <c r="N153" s="217">
        <f>N152*0.5</f>
        <v>38.792325000000012</v>
      </c>
      <c r="O153" s="218"/>
      <c r="Q153" s="332"/>
      <c r="AO153" s="154"/>
      <c r="AV153" s="155"/>
      <c r="BV153" s="150" t="s">
        <v>301</v>
      </c>
      <c r="BW153" s="150" t="s">
        <v>83</v>
      </c>
      <c r="BX153" s="12" t="s">
        <v>83</v>
      </c>
      <c r="BY153" s="12" t="s">
        <v>32</v>
      </c>
      <c r="BZ153" s="12" t="s">
        <v>81</v>
      </c>
      <c r="CA153" s="150" t="s">
        <v>282</v>
      </c>
    </row>
    <row r="154" spans="2:93" s="12" customFormat="1" x14ac:dyDescent="0.2">
      <c r="B154" s="149"/>
      <c r="D154" s="138"/>
      <c r="E154" s="150"/>
      <c r="F154" s="151"/>
      <c r="H154" s="152"/>
      <c r="I154" s="153"/>
      <c r="L154" s="149"/>
      <c r="N154" s="310">
        <f>N153-H153</f>
        <v>-15.125674999999987</v>
      </c>
      <c r="O154" s="218"/>
      <c r="Q154" s="332"/>
      <c r="AO154" s="154"/>
      <c r="AV154" s="155"/>
      <c r="BV154" s="150"/>
      <c r="BW154" s="150"/>
      <c r="CA154" s="150"/>
    </row>
    <row r="155" spans="2:93" s="1" customFormat="1" ht="24.2" customHeight="1" x14ac:dyDescent="0.2">
      <c r="B155" s="124"/>
      <c r="C155" s="125" t="s">
        <v>318</v>
      </c>
      <c r="D155" s="125" t="s">
        <v>284</v>
      </c>
      <c r="E155" s="126" t="s">
        <v>375</v>
      </c>
      <c r="F155" s="127" t="s">
        <v>376</v>
      </c>
      <c r="G155" s="128" t="s">
        <v>366</v>
      </c>
      <c r="H155" s="129">
        <v>53.917999999999999</v>
      </c>
      <c r="I155" s="130">
        <v>390.55963566140201</v>
      </c>
      <c r="J155" s="131">
        <f>ROUND(I155*H155,2)</f>
        <v>21058.19</v>
      </c>
      <c r="K155" s="127" t="s">
        <v>293</v>
      </c>
      <c r="L155" s="268">
        <f>S155</f>
        <v>0</v>
      </c>
      <c r="M155" s="272">
        <f>ROUND(L155*I155,2)</f>
        <v>0</v>
      </c>
      <c r="N155" s="243">
        <f>N144</f>
        <v>-15.125674999999987</v>
      </c>
      <c r="O155" s="294">
        <f>ROUND(N155*I155,2)</f>
        <v>-5907.48</v>
      </c>
      <c r="P155" s="273">
        <f>H155-L155-N155</f>
        <v>69.043674999999979</v>
      </c>
      <c r="Q155" s="268">
        <f>ROUND(P155*I155,2)</f>
        <v>26965.67</v>
      </c>
      <c r="R155" s="137"/>
      <c r="S155" s="269">
        <f>W155+Y155+AA155+AC155+AE155+AG155</f>
        <v>0</v>
      </c>
      <c r="T155" s="269">
        <f>ROUND(S155*I155,2)</f>
        <v>0</v>
      </c>
      <c r="U155" s="269">
        <f>H155-S155</f>
        <v>53.917999999999999</v>
      </c>
      <c r="V155" s="269">
        <f>ROUND(U155*I155,2)</f>
        <v>21058.19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O155" s="132" t="s">
        <v>1</v>
      </c>
      <c r="AP155" s="133" t="s">
        <v>40</v>
      </c>
      <c r="AR155" s="134">
        <f>AQ155*H155</f>
        <v>0</v>
      </c>
      <c r="AS155" s="134">
        <v>0</v>
      </c>
      <c r="AT155" s="134">
        <f>AS155*H155</f>
        <v>0</v>
      </c>
      <c r="AU155" s="134">
        <v>0</v>
      </c>
      <c r="AV155" s="135">
        <f>AU155*H155</f>
        <v>0</v>
      </c>
      <c r="BT155" s="136" t="s">
        <v>95</v>
      </c>
      <c r="BV155" s="136" t="s">
        <v>284</v>
      </c>
      <c r="BW155" s="136" t="s">
        <v>83</v>
      </c>
      <c r="CA155" s="16" t="s">
        <v>282</v>
      </c>
      <c r="CG155" s="137">
        <f>IF(AP155="základní",J155,0)</f>
        <v>21058.19</v>
      </c>
      <c r="CH155" s="137">
        <f>IF(AP155="snížená",J155,0)</f>
        <v>0</v>
      </c>
      <c r="CI155" s="137">
        <f>IF(AP155="zákl. přenesená",J155,0)</f>
        <v>0</v>
      </c>
      <c r="CJ155" s="137">
        <f>IF(AP155="sníž. přenesená",J155,0)</f>
        <v>0</v>
      </c>
      <c r="CK155" s="137">
        <f>IF(AP155="nulová",J155,0)</f>
        <v>0</v>
      </c>
      <c r="CL155" s="16" t="s">
        <v>81</v>
      </c>
      <c r="CM155" s="137">
        <f>ROUND(I155*H155,2)</f>
        <v>21058.19</v>
      </c>
      <c r="CN155" s="16" t="s">
        <v>95</v>
      </c>
      <c r="CO155" s="136" t="s">
        <v>377</v>
      </c>
    </row>
    <row r="156" spans="2:93" s="1" customFormat="1" ht="39" x14ac:dyDescent="0.2">
      <c r="B156" s="31"/>
      <c r="D156" s="138" t="s">
        <v>289</v>
      </c>
      <c r="F156" s="139" t="s">
        <v>378</v>
      </c>
      <c r="I156" s="140"/>
      <c r="L156" s="31"/>
      <c r="N156" s="213"/>
      <c r="O156" s="214"/>
      <c r="Q156" s="330"/>
      <c r="AO156" s="141"/>
      <c r="AV156" s="50"/>
      <c r="BV156" s="16" t="s">
        <v>289</v>
      </c>
      <c r="BW156" s="16" t="s">
        <v>83</v>
      </c>
    </row>
    <row r="157" spans="2:93" s="1" customFormat="1" ht="39" x14ac:dyDescent="0.2">
      <c r="B157" s="31"/>
      <c r="D157" s="138" t="s">
        <v>299</v>
      </c>
      <c r="F157" s="142" t="s">
        <v>1090</v>
      </c>
      <c r="I157" s="140"/>
      <c r="L157" s="31"/>
      <c r="N157" s="213"/>
      <c r="O157" s="214"/>
      <c r="Q157" s="330"/>
      <c r="AO157" s="141"/>
      <c r="AV157" s="50"/>
      <c r="BV157" s="16" t="s">
        <v>299</v>
      </c>
      <c r="BW157" s="16" t="s">
        <v>83</v>
      </c>
    </row>
    <row r="158" spans="2:93" s="1" customFormat="1" ht="24.2" customHeight="1" x14ac:dyDescent="0.2">
      <c r="B158" s="124"/>
      <c r="C158" s="125" t="s">
        <v>323</v>
      </c>
      <c r="D158" s="125" t="s">
        <v>284</v>
      </c>
      <c r="E158" s="126" t="s">
        <v>380</v>
      </c>
      <c r="F158" s="127" t="s">
        <v>381</v>
      </c>
      <c r="G158" s="128" t="s">
        <v>366</v>
      </c>
      <c r="H158" s="129">
        <v>21.567</v>
      </c>
      <c r="I158" s="130">
        <v>650.27058629099099</v>
      </c>
      <c r="J158" s="131">
        <f>ROUND(I158*H158,2)</f>
        <v>14024.39</v>
      </c>
      <c r="K158" s="127" t="s">
        <v>293</v>
      </c>
      <c r="L158" s="268">
        <f>S158</f>
        <v>0</v>
      </c>
      <c r="M158" s="272">
        <f>ROUND(L158*I158,2)</f>
        <v>0</v>
      </c>
      <c r="N158" s="243">
        <f>N162</f>
        <v>-6.0501999999999985</v>
      </c>
      <c r="O158" s="294">
        <f>ROUND(N158*I158,2)</f>
        <v>-3934.27</v>
      </c>
      <c r="P158" s="273">
        <f>H158-L158-N158</f>
        <v>27.617199999999997</v>
      </c>
      <c r="Q158" s="268">
        <f>ROUND(P158*I158,2)</f>
        <v>17958.650000000001</v>
      </c>
      <c r="R158" s="137"/>
      <c r="S158" s="269">
        <f>W158+Y158+AA158+AC158+AE158+AG158</f>
        <v>0</v>
      </c>
      <c r="T158" s="269">
        <f>ROUND(S158*I158,2)</f>
        <v>0</v>
      </c>
      <c r="U158" s="269">
        <f>H158-S158</f>
        <v>21.567</v>
      </c>
      <c r="V158" s="269">
        <f>ROUND(U158*I158,2)</f>
        <v>14024.39</v>
      </c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O158" s="132" t="s">
        <v>1</v>
      </c>
      <c r="AP158" s="133" t="s">
        <v>40</v>
      </c>
      <c r="AR158" s="134">
        <f>AQ158*H158</f>
        <v>0</v>
      </c>
      <c r="AS158" s="134">
        <v>0</v>
      </c>
      <c r="AT158" s="134">
        <f>AS158*H158</f>
        <v>0</v>
      </c>
      <c r="AU158" s="134">
        <v>0</v>
      </c>
      <c r="AV158" s="135">
        <f>AU158*H158</f>
        <v>0</v>
      </c>
      <c r="BT158" s="136" t="s">
        <v>95</v>
      </c>
      <c r="BV158" s="136" t="s">
        <v>284</v>
      </c>
      <c r="BW158" s="136" t="s">
        <v>83</v>
      </c>
      <c r="CA158" s="16" t="s">
        <v>282</v>
      </c>
      <c r="CG158" s="137">
        <f>IF(AP158="základní",J158,0)</f>
        <v>14024.39</v>
      </c>
      <c r="CH158" s="137">
        <f>IF(AP158="snížená",J158,0)</f>
        <v>0</v>
      </c>
      <c r="CI158" s="137">
        <f>IF(AP158="zákl. přenesená",J158,0)</f>
        <v>0</v>
      </c>
      <c r="CJ158" s="137">
        <f>IF(AP158="sníž. přenesená",J158,0)</f>
        <v>0</v>
      </c>
      <c r="CK158" s="137">
        <f>IF(AP158="nulová",J158,0)</f>
        <v>0</v>
      </c>
      <c r="CL158" s="16" t="s">
        <v>81</v>
      </c>
      <c r="CM158" s="137">
        <f>ROUND(I158*H158,2)</f>
        <v>14024.39</v>
      </c>
      <c r="CN158" s="16" t="s">
        <v>95</v>
      </c>
      <c r="CO158" s="136" t="s">
        <v>382</v>
      </c>
    </row>
    <row r="159" spans="2:93" s="1" customFormat="1" ht="29.25" x14ac:dyDescent="0.2">
      <c r="B159" s="31"/>
      <c r="D159" s="138" t="s">
        <v>289</v>
      </c>
      <c r="F159" s="139" t="s">
        <v>383</v>
      </c>
      <c r="I159" s="140"/>
      <c r="L159" s="31"/>
      <c r="N159" s="213"/>
      <c r="O159" s="214"/>
      <c r="Q159" s="330"/>
      <c r="AO159" s="141"/>
      <c r="AV159" s="50"/>
      <c r="BV159" s="16" t="s">
        <v>289</v>
      </c>
      <c r="BW159" s="16" t="s">
        <v>83</v>
      </c>
    </row>
    <row r="160" spans="2:93" s="11" customFormat="1" x14ac:dyDescent="0.2">
      <c r="B160" s="143"/>
      <c r="D160" s="138" t="s">
        <v>301</v>
      </c>
      <c r="E160" s="144" t="s">
        <v>1</v>
      </c>
      <c r="F160" s="145" t="s">
        <v>384</v>
      </c>
      <c r="H160" s="144" t="s">
        <v>1</v>
      </c>
      <c r="I160" s="146"/>
      <c r="L160" s="143"/>
      <c r="N160" s="215"/>
      <c r="O160" s="216"/>
      <c r="Q160" s="331"/>
      <c r="AO160" s="147"/>
      <c r="AV160" s="148"/>
      <c r="BV160" s="144" t="s">
        <v>301</v>
      </c>
      <c r="BW160" s="144" t="s">
        <v>83</v>
      </c>
      <c r="BX160" s="11" t="s">
        <v>81</v>
      </c>
      <c r="BY160" s="11" t="s">
        <v>32</v>
      </c>
      <c r="BZ160" s="11" t="s">
        <v>74</v>
      </c>
      <c r="CA160" s="144" t="s">
        <v>282</v>
      </c>
    </row>
    <row r="161" spans="2:93" s="12" customFormat="1" x14ac:dyDescent="0.2">
      <c r="B161" s="149"/>
      <c r="D161" s="138" t="s">
        <v>301</v>
      </c>
      <c r="E161" s="150" t="s">
        <v>1</v>
      </c>
      <c r="F161" s="151" t="s">
        <v>1281</v>
      </c>
      <c r="H161" s="152">
        <v>21.567</v>
      </c>
      <c r="I161" s="153"/>
      <c r="L161" s="149"/>
      <c r="N161" s="217">
        <f>(38.792+38.792)*0.2</f>
        <v>15.516800000000002</v>
      </c>
      <c r="O161" s="218" t="s">
        <v>3695</v>
      </c>
      <c r="Q161" s="332"/>
      <c r="AO161" s="154"/>
      <c r="AV161" s="155"/>
      <c r="BV161" s="150" t="s">
        <v>301</v>
      </c>
      <c r="BW161" s="150" t="s">
        <v>83</v>
      </c>
      <c r="BX161" s="12" t="s">
        <v>83</v>
      </c>
      <c r="BY161" s="12" t="s">
        <v>32</v>
      </c>
      <c r="BZ161" s="12" t="s">
        <v>81</v>
      </c>
      <c r="CA161" s="150" t="s">
        <v>282</v>
      </c>
    </row>
    <row r="162" spans="2:93" s="12" customFormat="1" x14ac:dyDescent="0.2">
      <c r="B162" s="149"/>
      <c r="D162" s="138"/>
      <c r="E162" s="150"/>
      <c r="F162" s="151"/>
      <c r="H162" s="152"/>
      <c r="I162" s="153"/>
      <c r="L162" s="149"/>
      <c r="N162" s="310">
        <f>N161-H161</f>
        <v>-6.0501999999999985</v>
      </c>
      <c r="O162" s="218"/>
      <c r="Q162" s="332"/>
      <c r="AO162" s="154"/>
      <c r="AV162" s="155"/>
      <c r="BV162" s="150"/>
      <c r="BW162" s="150"/>
      <c r="CA162" s="150"/>
    </row>
    <row r="163" spans="2:93" s="1" customFormat="1" ht="14.45" customHeight="1" x14ac:dyDescent="0.2">
      <c r="B163" s="124"/>
      <c r="C163" s="125" t="s">
        <v>328</v>
      </c>
      <c r="D163" s="125" t="s">
        <v>284</v>
      </c>
      <c r="E163" s="126" t="s">
        <v>387</v>
      </c>
      <c r="F163" s="127" t="s">
        <v>388</v>
      </c>
      <c r="G163" s="128" t="s">
        <v>287</v>
      </c>
      <c r="H163" s="129">
        <v>235.4</v>
      </c>
      <c r="I163" s="130">
        <v>156.6895922457376</v>
      </c>
      <c r="J163" s="131">
        <f>ROUND(I163*H163,2)</f>
        <v>36884.730000000003</v>
      </c>
      <c r="K163" s="127" t="s">
        <v>293</v>
      </c>
      <c r="L163" s="268">
        <f>S163</f>
        <v>0</v>
      </c>
      <c r="M163" s="272">
        <f>ROUND(L163*I163,2)</f>
        <v>0</v>
      </c>
      <c r="N163" s="243">
        <f>N167</f>
        <v>-52.843999999999994</v>
      </c>
      <c r="O163" s="294">
        <f>ROUND(N163*I163,2)</f>
        <v>-8280.1</v>
      </c>
      <c r="P163" s="273">
        <f>H163-L163-N163</f>
        <v>288.24400000000003</v>
      </c>
      <c r="Q163" s="268">
        <f>ROUND(P163*I163,2)</f>
        <v>45164.83</v>
      </c>
      <c r="R163" s="137"/>
      <c r="S163" s="269">
        <f>W163+Y163+AA163+AC163+AE163+AG163</f>
        <v>0</v>
      </c>
      <c r="T163" s="269">
        <f>ROUND(S163*I163,2)</f>
        <v>0</v>
      </c>
      <c r="U163" s="269">
        <f>H163-S163</f>
        <v>235.4</v>
      </c>
      <c r="V163" s="269">
        <f>ROUND(U163*I163,2)</f>
        <v>36884.730000000003</v>
      </c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O163" s="132" t="s">
        <v>1</v>
      </c>
      <c r="AP163" s="133" t="s">
        <v>40</v>
      </c>
      <c r="AR163" s="134">
        <f>AQ163*H163</f>
        <v>0</v>
      </c>
      <c r="AS163" s="134">
        <v>5.9000000000000003E-4</v>
      </c>
      <c r="AT163" s="134">
        <f>AS163*H163</f>
        <v>0.13888600000000001</v>
      </c>
      <c r="AU163" s="134">
        <v>0</v>
      </c>
      <c r="AV163" s="135">
        <f>AU163*H163</f>
        <v>0</v>
      </c>
      <c r="BT163" s="136" t="s">
        <v>95</v>
      </c>
      <c r="BV163" s="136" t="s">
        <v>284</v>
      </c>
      <c r="BW163" s="136" t="s">
        <v>83</v>
      </c>
      <c r="CA163" s="16" t="s">
        <v>282</v>
      </c>
      <c r="CG163" s="137">
        <f>IF(AP163="základní",J163,0)</f>
        <v>36884.730000000003</v>
      </c>
      <c r="CH163" s="137">
        <f>IF(AP163="snížená",J163,0)</f>
        <v>0</v>
      </c>
      <c r="CI163" s="137">
        <f>IF(AP163="zákl. přenesená",J163,0)</f>
        <v>0</v>
      </c>
      <c r="CJ163" s="137">
        <f>IF(AP163="sníž. přenesená",J163,0)</f>
        <v>0</v>
      </c>
      <c r="CK163" s="137">
        <f>IF(AP163="nulová",J163,0)</f>
        <v>0</v>
      </c>
      <c r="CL163" s="16" t="s">
        <v>81</v>
      </c>
      <c r="CM163" s="137">
        <f>ROUND(I163*H163,2)</f>
        <v>36884.730000000003</v>
      </c>
      <c r="CN163" s="16" t="s">
        <v>95</v>
      </c>
      <c r="CO163" s="136" t="s">
        <v>389</v>
      </c>
    </row>
    <row r="164" spans="2:93" s="1" customFormat="1" ht="19.5" x14ac:dyDescent="0.2">
      <c r="B164" s="31"/>
      <c r="D164" s="138" t="s">
        <v>289</v>
      </c>
      <c r="F164" s="139" t="s">
        <v>390</v>
      </c>
      <c r="I164" s="140"/>
      <c r="L164" s="31"/>
      <c r="N164" s="213"/>
      <c r="O164" s="214"/>
      <c r="Q164" s="330"/>
      <c r="AO164" s="141"/>
      <c r="AV164" s="50"/>
      <c r="BV164" s="16" t="s">
        <v>289</v>
      </c>
      <c r="BW164" s="16" t="s">
        <v>83</v>
      </c>
    </row>
    <row r="165" spans="2:93" s="1" customFormat="1" ht="29.25" x14ac:dyDescent="0.2">
      <c r="B165" s="31"/>
      <c r="D165" s="138" t="s">
        <v>299</v>
      </c>
      <c r="F165" s="142" t="s">
        <v>1083</v>
      </c>
      <c r="I165" s="140"/>
      <c r="L165" s="31"/>
      <c r="N165" s="213"/>
      <c r="O165" s="214"/>
      <c r="Q165" s="330"/>
      <c r="AO165" s="141"/>
      <c r="AV165" s="50"/>
      <c r="BV165" s="16" t="s">
        <v>299</v>
      </c>
      <c r="BW165" s="16" t="s">
        <v>83</v>
      </c>
    </row>
    <row r="166" spans="2:93" s="12" customFormat="1" x14ac:dyDescent="0.2">
      <c r="B166" s="149"/>
      <c r="D166" s="138" t="s">
        <v>301</v>
      </c>
      <c r="E166" s="150" t="s">
        <v>1</v>
      </c>
      <c r="F166" s="151" t="s">
        <v>1282</v>
      </c>
      <c r="H166" s="152">
        <v>235.4</v>
      </c>
      <c r="I166" s="153"/>
      <c r="L166" s="149"/>
      <c r="N166" s="217">
        <f>41.49*2.2*2</f>
        <v>182.55600000000001</v>
      </c>
      <c r="O166" s="218" t="s">
        <v>3696</v>
      </c>
      <c r="Q166" s="332"/>
      <c r="AO166" s="154"/>
      <c r="AV166" s="155"/>
      <c r="BV166" s="150" t="s">
        <v>301</v>
      </c>
      <c r="BW166" s="150" t="s">
        <v>83</v>
      </c>
      <c r="BX166" s="12" t="s">
        <v>83</v>
      </c>
      <c r="BY166" s="12" t="s">
        <v>32</v>
      </c>
      <c r="BZ166" s="12" t="s">
        <v>81</v>
      </c>
      <c r="CA166" s="150" t="s">
        <v>282</v>
      </c>
    </row>
    <row r="167" spans="2:93" s="12" customFormat="1" x14ac:dyDescent="0.2">
      <c r="B167" s="149"/>
      <c r="D167" s="138"/>
      <c r="E167" s="150"/>
      <c r="F167" s="151"/>
      <c r="H167" s="152"/>
      <c r="I167" s="153"/>
      <c r="L167" s="149"/>
      <c r="N167" s="310">
        <f>N166-H166</f>
        <v>-52.843999999999994</v>
      </c>
      <c r="O167" s="218"/>
      <c r="Q167" s="332"/>
      <c r="AO167" s="154"/>
      <c r="AV167" s="155"/>
      <c r="BV167" s="150"/>
      <c r="BW167" s="150"/>
      <c r="CA167" s="150"/>
    </row>
    <row r="168" spans="2:93" s="1" customFormat="1" ht="14.45" customHeight="1" x14ac:dyDescent="0.2">
      <c r="B168" s="124"/>
      <c r="C168" s="125" t="s">
        <v>335</v>
      </c>
      <c r="D168" s="125" t="s">
        <v>284</v>
      </c>
      <c r="E168" s="126" t="s">
        <v>393</v>
      </c>
      <c r="F168" s="127" t="s">
        <v>394</v>
      </c>
      <c r="G168" s="128" t="s">
        <v>287</v>
      </c>
      <c r="H168" s="129">
        <v>235.4</v>
      </c>
      <c r="I168" s="130">
        <v>103.33666316345877</v>
      </c>
      <c r="J168" s="131">
        <f>ROUND(I168*H168,2)</f>
        <v>24325.45</v>
      </c>
      <c r="K168" s="127" t="s">
        <v>293</v>
      </c>
      <c r="L168" s="268">
        <f>S168</f>
        <v>0</v>
      </c>
      <c r="M168" s="272">
        <f>ROUND(L168*I168,2)</f>
        <v>0</v>
      </c>
      <c r="N168" s="243">
        <f>N163</f>
        <v>-52.843999999999994</v>
      </c>
      <c r="O168" s="294">
        <f>ROUND(N168*I168,2)</f>
        <v>-5460.72</v>
      </c>
      <c r="P168" s="273">
        <f>H168-L168-N168</f>
        <v>288.24400000000003</v>
      </c>
      <c r="Q168" s="268">
        <f>ROUND(P168*I168,2)</f>
        <v>29786.17</v>
      </c>
      <c r="R168" s="137"/>
      <c r="S168" s="269">
        <f>W168+Y168+AA168+AC168+AE168+AG168</f>
        <v>0</v>
      </c>
      <c r="T168" s="269">
        <f>ROUND(S168*I168,2)</f>
        <v>0</v>
      </c>
      <c r="U168" s="269">
        <f>H168-S168</f>
        <v>235.4</v>
      </c>
      <c r="V168" s="269">
        <f>ROUND(U168*I168,2)</f>
        <v>24325.45</v>
      </c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O168" s="132" t="s">
        <v>1</v>
      </c>
      <c r="AP168" s="133" t="s">
        <v>40</v>
      </c>
      <c r="AR168" s="134">
        <f>AQ168*H168</f>
        <v>0</v>
      </c>
      <c r="AS168" s="134">
        <v>0</v>
      </c>
      <c r="AT168" s="134">
        <f>AS168*H168</f>
        <v>0</v>
      </c>
      <c r="AU168" s="134">
        <v>0</v>
      </c>
      <c r="AV168" s="135">
        <f>AU168*H168</f>
        <v>0</v>
      </c>
      <c r="BT168" s="136" t="s">
        <v>95</v>
      </c>
      <c r="BV168" s="136" t="s">
        <v>284</v>
      </c>
      <c r="BW168" s="136" t="s">
        <v>83</v>
      </c>
      <c r="CA168" s="16" t="s">
        <v>282</v>
      </c>
      <c r="CG168" s="137">
        <f>IF(AP168="základní",J168,0)</f>
        <v>24325.45</v>
      </c>
      <c r="CH168" s="137">
        <f>IF(AP168="snížená",J168,0)</f>
        <v>0</v>
      </c>
      <c r="CI168" s="137">
        <f>IF(AP168="zákl. přenesená",J168,0)</f>
        <v>0</v>
      </c>
      <c r="CJ168" s="137">
        <f>IF(AP168="sníž. přenesená",J168,0)</f>
        <v>0</v>
      </c>
      <c r="CK168" s="137">
        <f>IF(AP168="nulová",J168,0)</f>
        <v>0</v>
      </c>
      <c r="CL168" s="16" t="s">
        <v>81</v>
      </c>
      <c r="CM168" s="137">
        <f>ROUND(I168*H168,2)</f>
        <v>24325.45</v>
      </c>
      <c r="CN168" s="16" t="s">
        <v>95</v>
      </c>
      <c r="CO168" s="136" t="s">
        <v>395</v>
      </c>
    </row>
    <row r="169" spans="2:93" s="1" customFormat="1" ht="19.5" x14ac:dyDescent="0.2">
      <c r="B169" s="31"/>
      <c r="D169" s="138" t="s">
        <v>289</v>
      </c>
      <c r="F169" s="139" t="s">
        <v>396</v>
      </c>
      <c r="I169" s="140"/>
      <c r="L169" s="31"/>
      <c r="N169" s="213"/>
      <c r="O169" s="214"/>
      <c r="Q169" s="330"/>
      <c r="AO169" s="141"/>
      <c r="AV169" s="50"/>
      <c r="BV169" s="16" t="s">
        <v>289</v>
      </c>
      <c r="BW169" s="16" t="s">
        <v>83</v>
      </c>
    </row>
    <row r="170" spans="2:93" s="1" customFormat="1" ht="37.9" customHeight="1" x14ac:dyDescent="0.2">
      <c r="B170" s="124"/>
      <c r="C170" s="125" t="s">
        <v>341</v>
      </c>
      <c r="D170" s="125" t="s">
        <v>284</v>
      </c>
      <c r="E170" s="126" t="s">
        <v>398</v>
      </c>
      <c r="F170" s="127" t="s">
        <v>399</v>
      </c>
      <c r="G170" s="128" t="s">
        <v>366</v>
      </c>
      <c r="H170" s="129">
        <v>109.441</v>
      </c>
      <c r="I170" s="130">
        <v>262.06861194786097</v>
      </c>
      <c r="J170" s="131">
        <f>ROUND(I170*H170,2)</f>
        <v>28681.05</v>
      </c>
      <c r="K170" s="127" t="s">
        <v>293</v>
      </c>
      <c r="L170" s="268">
        <f>S170</f>
        <v>0</v>
      </c>
      <c r="M170" s="272">
        <f>ROUND(L170*I170,2)</f>
        <v>0</v>
      </c>
      <c r="N170" s="243">
        <f>N177</f>
        <v>-30.612300000000005</v>
      </c>
      <c r="O170" s="294">
        <f>ROUND(N170*I170,2)</f>
        <v>-8022.52</v>
      </c>
      <c r="P170" s="273">
        <f>H170-L170-N170</f>
        <v>140.05330000000001</v>
      </c>
      <c r="Q170" s="268">
        <f>ROUND(P170*I170,2)</f>
        <v>36703.57</v>
      </c>
      <c r="R170" s="137"/>
      <c r="S170" s="269">
        <f>W170+Y170+AA170+AC170+AE170+AG170</f>
        <v>0</v>
      </c>
      <c r="T170" s="269">
        <f>ROUND(S170*I170,2)</f>
        <v>0</v>
      </c>
      <c r="U170" s="269">
        <f>H170-S170</f>
        <v>109.441</v>
      </c>
      <c r="V170" s="269">
        <f>ROUND(U170*I170,2)</f>
        <v>28681.05</v>
      </c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O170" s="132" t="s">
        <v>1</v>
      </c>
      <c r="AP170" s="133" t="s">
        <v>40</v>
      </c>
      <c r="AR170" s="134">
        <f>AQ170*H170</f>
        <v>0</v>
      </c>
      <c r="AS170" s="134">
        <v>0</v>
      </c>
      <c r="AT170" s="134">
        <f>AS170*H170</f>
        <v>0</v>
      </c>
      <c r="AU170" s="134">
        <v>0</v>
      </c>
      <c r="AV170" s="135">
        <f>AU170*H170</f>
        <v>0</v>
      </c>
      <c r="BT170" s="136" t="s">
        <v>95</v>
      </c>
      <c r="BV170" s="136" t="s">
        <v>284</v>
      </c>
      <c r="BW170" s="136" t="s">
        <v>83</v>
      </c>
      <c r="CA170" s="16" t="s">
        <v>282</v>
      </c>
      <c r="CG170" s="137">
        <f>IF(AP170="základní",J170,0)</f>
        <v>28681.05</v>
      </c>
      <c r="CH170" s="137">
        <f>IF(AP170="snížená",J170,0)</f>
        <v>0</v>
      </c>
      <c r="CI170" s="137">
        <f>IF(AP170="zákl. přenesená",J170,0)</f>
        <v>0</v>
      </c>
      <c r="CJ170" s="137">
        <f>IF(AP170="sníž. přenesená",J170,0)</f>
        <v>0</v>
      </c>
      <c r="CK170" s="137">
        <f>IF(AP170="nulová",J170,0)</f>
        <v>0</v>
      </c>
      <c r="CL170" s="16" t="s">
        <v>81</v>
      </c>
      <c r="CM170" s="137">
        <f>ROUND(I170*H170,2)</f>
        <v>28681.05</v>
      </c>
      <c r="CN170" s="16" t="s">
        <v>95</v>
      </c>
      <c r="CO170" s="136" t="s">
        <v>400</v>
      </c>
    </row>
    <row r="171" spans="2:93" s="1" customFormat="1" ht="39" x14ac:dyDescent="0.2">
      <c r="B171" s="31"/>
      <c r="D171" s="138" t="s">
        <v>289</v>
      </c>
      <c r="F171" s="139" t="s">
        <v>401</v>
      </c>
      <c r="I171" s="140"/>
      <c r="L171" s="31"/>
      <c r="N171" s="213"/>
      <c r="O171" s="214"/>
      <c r="Q171" s="330"/>
      <c r="AO171" s="141"/>
      <c r="AV171" s="50"/>
      <c r="BV171" s="16" t="s">
        <v>289</v>
      </c>
      <c r="BW171" s="16" t="s">
        <v>83</v>
      </c>
    </row>
    <row r="172" spans="2:93" s="11" customFormat="1" x14ac:dyDescent="0.2">
      <c r="B172" s="143"/>
      <c r="D172" s="138" t="s">
        <v>301</v>
      </c>
      <c r="E172" s="144" t="s">
        <v>1</v>
      </c>
      <c r="F172" s="145" t="s">
        <v>402</v>
      </c>
      <c r="H172" s="144" t="s">
        <v>1</v>
      </c>
      <c r="I172" s="146"/>
      <c r="L172" s="143"/>
      <c r="N172" s="215"/>
      <c r="O172" s="216"/>
      <c r="Q172" s="331"/>
      <c r="AO172" s="147"/>
      <c r="AV172" s="148"/>
      <c r="BV172" s="144" t="s">
        <v>301</v>
      </c>
      <c r="BW172" s="144" t="s">
        <v>83</v>
      </c>
      <c r="BX172" s="11" t="s">
        <v>81</v>
      </c>
      <c r="BY172" s="11" t="s">
        <v>32</v>
      </c>
      <c r="BZ172" s="11" t="s">
        <v>74</v>
      </c>
      <c r="CA172" s="144" t="s">
        <v>282</v>
      </c>
    </row>
    <row r="173" spans="2:93" s="12" customFormat="1" x14ac:dyDescent="0.2">
      <c r="B173" s="149"/>
      <c r="D173" s="138" t="s">
        <v>301</v>
      </c>
      <c r="E173" s="150" t="s">
        <v>1</v>
      </c>
      <c r="F173" s="151" t="s">
        <v>1283</v>
      </c>
      <c r="H173" s="152">
        <v>107.836</v>
      </c>
      <c r="I173" s="153"/>
      <c r="L173" s="149"/>
      <c r="N173" s="217">
        <f>38.792+38.792</f>
        <v>77.584000000000003</v>
      </c>
      <c r="O173" s="218" t="s">
        <v>3697</v>
      </c>
      <c r="Q173" s="332"/>
      <c r="AO173" s="154"/>
      <c r="AV173" s="155"/>
      <c r="BV173" s="150" t="s">
        <v>301</v>
      </c>
      <c r="BW173" s="150" t="s">
        <v>83</v>
      </c>
      <c r="BX173" s="12" t="s">
        <v>83</v>
      </c>
      <c r="BY173" s="12" t="s">
        <v>32</v>
      </c>
      <c r="BZ173" s="12" t="s">
        <v>74</v>
      </c>
      <c r="CA173" s="150" t="s">
        <v>282</v>
      </c>
    </row>
    <row r="174" spans="2:93" s="11" customFormat="1" x14ac:dyDescent="0.2">
      <c r="B174" s="143"/>
      <c r="D174" s="138" t="s">
        <v>301</v>
      </c>
      <c r="E174" s="144" t="s">
        <v>1</v>
      </c>
      <c r="F174" s="145" t="s">
        <v>976</v>
      </c>
      <c r="H174" s="144" t="s">
        <v>1</v>
      </c>
      <c r="I174" s="146"/>
      <c r="L174" s="143"/>
      <c r="N174" s="215"/>
      <c r="O174" s="216"/>
      <c r="Q174" s="331"/>
      <c r="AO174" s="147"/>
      <c r="AV174" s="148"/>
      <c r="BV174" s="144" t="s">
        <v>301</v>
      </c>
      <c r="BW174" s="144" t="s">
        <v>83</v>
      </c>
      <c r="BX174" s="11" t="s">
        <v>81</v>
      </c>
      <c r="BY174" s="11" t="s">
        <v>32</v>
      </c>
      <c r="BZ174" s="11" t="s">
        <v>74</v>
      </c>
      <c r="CA174" s="144" t="s">
        <v>282</v>
      </c>
    </row>
    <row r="175" spans="2:93" s="12" customFormat="1" x14ac:dyDescent="0.2">
      <c r="B175" s="149"/>
      <c r="D175" s="138" t="s">
        <v>301</v>
      </c>
      <c r="E175" s="150" t="s">
        <v>1</v>
      </c>
      <c r="F175" s="151" t="s">
        <v>1284</v>
      </c>
      <c r="H175" s="152">
        <v>1.605</v>
      </c>
      <c r="I175" s="153"/>
      <c r="L175" s="149"/>
      <c r="N175" s="217">
        <f>12.447*0.1</f>
        <v>1.2446999999999999</v>
      </c>
      <c r="O175" s="218" t="s">
        <v>3698</v>
      </c>
      <c r="Q175" s="332"/>
      <c r="AO175" s="154"/>
      <c r="AV175" s="155"/>
      <c r="BV175" s="150" t="s">
        <v>301</v>
      </c>
      <c r="BW175" s="150" t="s">
        <v>83</v>
      </c>
      <c r="BX175" s="12" t="s">
        <v>83</v>
      </c>
      <c r="BY175" s="12" t="s">
        <v>32</v>
      </c>
      <c r="BZ175" s="12" t="s">
        <v>74</v>
      </c>
      <c r="CA175" s="150" t="s">
        <v>282</v>
      </c>
    </row>
    <row r="176" spans="2:93" s="13" customFormat="1" x14ac:dyDescent="0.2">
      <c r="B176" s="156"/>
      <c r="D176" s="138" t="s">
        <v>301</v>
      </c>
      <c r="E176" s="157" t="s">
        <v>1</v>
      </c>
      <c r="F176" s="158" t="s">
        <v>305</v>
      </c>
      <c r="H176" s="159">
        <v>109.441</v>
      </c>
      <c r="I176" s="160"/>
      <c r="L176" s="156"/>
      <c r="N176" s="219">
        <f>N173+N175</f>
        <v>78.828699999999998</v>
      </c>
      <c r="O176" s="220"/>
      <c r="Q176" s="334"/>
      <c r="AO176" s="161"/>
      <c r="AV176" s="162"/>
      <c r="BV176" s="157" t="s">
        <v>301</v>
      </c>
      <c r="BW176" s="157" t="s">
        <v>83</v>
      </c>
      <c r="BX176" s="13" t="s">
        <v>95</v>
      </c>
      <c r="BY176" s="13" t="s">
        <v>32</v>
      </c>
      <c r="BZ176" s="13" t="s">
        <v>81</v>
      </c>
      <c r="CA176" s="157" t="s">
        <v>282</v>
      </c>
    </row>
    <row r="177" spans="2:93" s="13" customFormat="1" x14ac:dyDescent="0.2">
      <c r="B177" s="156"/>
      <c r="D177" s="138"/>
      <c r="E177" s="157"/>
      <c r="F177" s="158"/>
      <c r="H177" s="159"/>
      <c r="I177" s="160"/>
      <c r="L177" s="156"/>
      <c r="N177" s="311">
        <f>N176-H176</f>
        <v>-30.612300000000005</v>
      </c>
      <c r="O177" s="220"/>
      <c r="Q177" s="334"/>
      <c r="AO177" s="161"/>
      <c r="AV177" s="162"/>
      <c r="BV177" s="157"/>
      <c r="BW177" s="157"/>
      <c r="CA177" s="157"/>
    </row>
    <row r="178" spans="2:93" s="1" customFormat="1" ht="37.9" customHeight="1" x14ac:dyDescent="0.2">
      <c r="B178" s="124"/>
      <c r="C178" s="125" t="s">
        <v>348</v>
      </c>
      <c r="D178" s="125" t="s">
        <v>284</v>
      </c>
      <c r="E178" s="126" t="s">
        <v>978</v>
      </c>
      <c r="F178" s="127" t="s">
        <v>979</v>
      </c>
      <c r="G178" s="128" t="s">
        <v>366</v>
      </c>
      <c r="H178" s="129">
        <v>9.8979999999999997</v>
      </c>
      <c r="I178" s="130">
        <v>282.06861194786097</v>
      </c>
      <c r="J178" s="131">
        <f>ROUND(I178*H178,2)</f>
        <v>2791.92</v>
      </c>
      <c r="K178" s="127" t="s">
        <v>1</v>
      </c>
      <c r="L178" s="268">
        <f>S178</f>
        <v>0</v>
      </c>
      <c r="M178" s="272">
        <f>ROUND(L178*I178,2)</f>
        <v>0</v>
      </c>
      <c r="N178" s="243"/>
      <c r="O178" s="294">
        <f>ROUND(N178*I178,2)</f>
        <v>0</v>
      </c>
      <c r="P178" s="273">
        <f>H178-L178-N178</f>
        <v>9.8979999999999997</v>
      </c>
      <c r="Q178" s="268">
        <f>ROUND(P178*I178,2)</f>
        <v>2791.92</v>
      </c>
      <c r="R178" s="137"/>
      <c r="S178" s="269">
        <f>W178+Y178+AA178+AC178+AE178+AG178</f>
        <v>0</v>
      </c>
      <c r="T178" s="269">
        <f>ROUND(S178*I178,2)</f>
        <v>0</v>
      </c>
      <c r="U178" s="269">
        <f>H178-S178</f>
        <v>9.8979999999999997</v>
      </c>
      <c r="V178" s="269">
        <f>ROUND(U178*I178,2)</f>
        <v>2791.92</v>
      </c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O178" s="132" t="s">
        <v>1</v>
      </c>
      <c r="AP178" s="133" t="s">
        <v>40</v>
      </c>
      <c r="AR178" s="134">
        <f>AQ178*H178</f>
        <v>0</v>
      </c>
      <c r="AS178" s="134">
        <v>0</v>
      </c>
      <c r="AT178" s="134">
        <f>AS178*H178</f>
        <v>0</v>
      </c>
      <c r="AU178" s="134">
        <v>0</v>
      </c>
      <c r="AV178" s="135">
        <f>AU178*H178</f>
        <v>0</v>
      </c>
      <c r="BT178" s="136" t="s">
        <v>95</v>
      </c>
      <c r="BV178" s="136" t="s">
        <v>284</v>
      </c>
      <c r="BW178" s="136" t="s">
        <v>83</v>
      </c>
      <c r="CA178" s="16" t="s">
        <v>282</v>
      </c>
      <c r="CG178" s="137">
        <f>IF(AP178="základní",J178,0)</f>
        <v>2791.92</v>
      </c>
      <c r="CH178" s="137">
        <f>IF(AP178="snížená",J178,0)</f>
        <v>0</v>
      </c>
      <c r="CI178" s="137">
        <f>IF(AP178="zákl. přenesená",J178,0)</f>
        <v>0</v>
      </c>
      <c r="CJ178" s="137">
        <f>IF(AP178="sníž. přenesená",J178,0)</f>
        <v>0</v>
      </c>
      <c r="CK178" s="137">
        <f>IF(AP178="nulová",J178,0)</f>
        <v>0</v>
      </c>
      <c r="CL178" s="16" t="s">
        <v>81</v>
      </c>
      <c r="CM178" s="137">
        <f>ROUND(I178*H178,2)</f>
        <v>2791.92</v>
      </c>
      <c r="CN178" s="16" t="s">
        <v>95</v>
      </c>
      <c r="CO178" s="136" t="s">
        <v>980</v>
      </c>
    </row>
    <row r="179" spans="2:93" s="1" customFormat="1" ht="39" x14ac:dyDescent="0.2">
      <c r="B179" s="31"/>
      <c r="D179" s="138" t="s">
        <v>289</v>
      </c>
      <c r="F179" s="139" t="s">
        <v>401</v>
      </c>
      <c r="I179" s="140"/>
      <c r="L179" s="31"/>
      <c r="N179" s="213"/>
      <c r="O179" s="214"/>
      <c r="Q179" s="330"/>
      <c r="AO179" s="141"/>
      <c r="AV179" s="50"/>
      <c r="BV179" s="16" t="s">
        <v>289</v>
      </c>
      <c r="BW179" s="16" t="s">
        <v>83</v>
      </c>
    </row>
    <row r="180" spans="2:93" s="1" customFormat="1" ht="37.9" customHeight="1" x14ac:dyDescent="0.2">
      <c r="B180" s="124"/>
      <c r="C180" s="125" t="s">
        <v>327</v>
      </c>
      <c r="D180" s="125" t="s">
        <v>284</v>
      </c>
      <c r="E180" s="126" t="s">
        <v>405</v>
      </c>
      <c r="F180" s="127" t="s">
        <v>406</v>
      </c>
      <c r="G180" s="128" t="s">
        <v>366</v>
      </c>
      <c r="H180" s="129">
        <v>547.20500000000004</v>
      </c>
      <c r="I180" s="130">
        <v>3.4208109177592001</v>
      </c>
      <c r="J180" s="131">
        <f>ROUND(I180*H180,2)</f>
        <v>1871.88</v>
      </c>
      <c r="K180" s="127" t="s">
        <v>293</v>
      </c>
      <c r="L180" s="268">
        <f>S180</f>
        <v>0</v>
      </c>
      <c r="M180" s="272">
        <f>ROUND(L180*I180,2)</f>
        <v>0</v>
      </c>
      <c r="N180" s="243">
        <f>N183</f>
        <v>-153.06500000000005</v>
      </c>
      <c r="O180" s="294">
        <f>ROUND(N180*I180,2)</f>
        <v>-523.61</v>
      </c>
      <c r="P180" s="273">
        <f>H180-L180-N180</f>
        <v>700.2700000000001</v>
      </c>
      <c r="Q180" s="268">
        <f>ROUND(P180*I180,2)</f>
        <v>2395.4899999999998</v>
      </c>
      <c r="R180" s="137"/>
      <c r="S180" s="269">
        <f>W180+Y180+AA180+AC180+AE180+AG180</f>
        <v>0</v>
      </c>
      <c r="T180" s="269">
        <f>ROUND(S180*I180,2)</f>
        <v>0</v>
      </c>
      <c r="U180" s="269">
        <f>H180-S180</f>
        <v>547.20500000000004</v>
      </c>
      <c r="V180" s="269">
        <f>ROUND(U180*I180,2)</f>
        <v>1871.88</v>
      </c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O180" s="132" t="s">
        <v>1</v>
      </c>
      <c r="AP180" s="133" t="s">
        <v>40</v>
      </c>
      <c r="AR180" s="134">
        <f>AQ180*H180</f>
        <v>0</v>
      </c>
      <c r="AS180" s="134">
        <v>0</v>
      </c>
      <c r="AT180" s="134">
        <f>AS180*H180</f>
        <v>0</v>
      </c>
      <c r="AU180" s="134">
        <v>0</v>
      </c>
      <c r="AV180" s="135">
        <f>AU180*H180</f>
        <v>0</v>
      </c>
      <c r="BT180" s="136" t="s">
        <v>95</v>
      </c>
      <c r="BV180" s="136" t="s">
        <v>284</v>
      </c>
      <c r="BW180" s="136" t="s">
        <v>83</v>
      </c>
      <c r="CA180" s="16" t="s">
        <v>282</v>
      </c>
      <c r="CG180" s="137">
        <f>IF(AP180="základní",J180,0)</f>
        <v>1871.88</v>
      </c>
      <c r="CH180" s="137">
        <f>IF(AP180="snížená",J180,0)</f>
        <v>0</v>
      </c>
      <c r="CI180" s="137">
        <f>IF(AP180="zákl. přenesená",J180,0)</f>
        <v>0</v>
      </c>
      <c r="CJ180" s="137">
        <f>IF(AP180="sníž. přenesená",J180,0)</f>
        <v>0</v>
      </c>
      <c r="CK180" s="137">
        <f>IF(AP180="nulová",J180,0)</f>
        <v>0</v>
      </c>
      <c r="CL180" s="16" t="s">
        <v>81</v>
      </c>
      <c r="CM180" s="137">
        <f>ROUND(I180*H180,2)</f>
        <v>1871.88</v>
      </c>
      <c r="CN180" s="16" t="s">
        <v>95</v>
      </c>
      <c r="CO180" s="136" t="s">
        <v>407</v>
      </c>
    </row>
    <row r="181" spans="2:93" s="1" customFormat="1" ht="48.75" x14ac:dyDescent="0.2">
      <c r="B181" s="31"/>
      <c r="D181" s="138" t="s">
        <v>289</v>
      </c>
      <c r="F181" s="139" t="s">
        <v>408</v>
      </c>
      <c r="I181" s="140"/>
      <c r="L181" s="31"/>
      <c r="N181" s="213"/>
      <c r="O181" s="214"/>
      <c r="Q181" s="330"/>
      <c r="AO181" s="141"/>
      <c r="AV181" s="50"/>
      <c r="BV181" s="16" t="s">
        <v>289</v>
      </c>
      <c r="BW181" s="16" t="s">
        <v>83</v>
      </c>
    </row>
    <row r="182" spans="2:93" s="12" customFormat="1" x14ac:dyDescent="0.2">
      <c r="B182" s="149"/>
      <c r="D182" s="138" t="s">
        <v>301</v>
      </c>
      <c r="F182" s="151" t="s">
        <v>1285</v>
      </c>
      <c r="H182" s="152">
        <v>547.20500000000004</v>
      </c>
      <c r="I182" s="153"/>
      <c r="L182" s="149"/>
      <c r="N182" s="217">
        <f>78.828*5</f>
        <v>394.14</v>
      </c>
      <c r="O182" s="218" t="s">
        <v>3699</v>
      </c>
      <c r="Q182" s="332"/>
      <c r="AO182" s="154"/>
      <c r="AV182" s="155"/>
      <c r="BV182" s="150" t="s">
        <v>301</v>
      </c>
      <c r="BW182" s="150" t="s">
        <v>83</v>
      </c>
      <c r="BX182" s="12" t="s">
        <v>83</v>
      </c>
      <c r="BY182" s="12" t="s">
        <v>3</v>
      </c>
      <c r="BZ182" s="12" t="s">
        <v>81</v>
      </c>
      <c r="CA182" s="150" t="s">
        <v>282</v>
      </c>
    </row>
    <row r="183" spans="2:93" s="12" customFormat="1" x14ac:dyDescent="0.2">
      <c r="B183" s="149"/>
      <c r="D183" s="138"/>
      <c r="F183" s="151"/>
      <c r="H183" s="152"/>
      <c r="I183" s="153"/>
      <c r="L183" s="149"/>
      <c r="N183" s="310">
        <f>N182-H182</f>
        <v>-153.06500000000005</v>
      </c>
      <c r="O183" s="218"/>
      <c r="Q183" s="332"/>
      <c r="AO183" s="154"/>
      <c r="AV183" s="155"/>
      <c r="BV183" s="150"/>
      <c r="BW183" s="150"/>
      <c r="CA183" s="150"/>
    </row>
    <row r="184" spans="2:93" s="1" customFormat="1" ht="37.9" customHeight="1" x14ac:dyDescent="0.2">
      <c r="B184" s="124"/>
      <c r="C184" s="125" t="s">
        <v>359</v>
      </c>
      <c r="D184" s="125" t="s">
        <v>284</v>
      </c>
      <c r="E184" s="126" t="s">
        <v>982</v>
      </c>
      <c r="F184" s="127" t="s">
        <v>983</v>
      </c>
      <c r="G184" s="128" t="s">
        <v>366</v>
      </c>
      <c r="H184" s="129">
        <v>49.49</v>
      </c>
      <c r="I184" s="130">
        <v>3.4208109177592001</v>
      </c>
      <c r="J184" s="131">
        <f>ROUND(I184*H184,2)</f>
        <v>169.3</v>
      </c>
      <c r="K184" s="127" t="s">
        <v>1</v>
      </c>
      <c r="L184" s="268">
        <f>S184</f>
        <v>0</v>
      </c>
      <c r="M184" s="272">
        <f>ROUND(L184*I184,2)</f>
        <v>0</v>
      </c>
      <c r="N184" s="243"/>
      <c r="O184" s="294">
        <f>ROUND(N184*I184,2)</f>
        <v>0</v>
      </c>
      <c r="P184" s="273">
        <f>H184-L184-N184</f>
        <v>49.49</v>
      </c>
      <c r="Q184" s="268">
        <f>ROUND(P184*I184,2)</f>
        <v>169.3</v>
      </c>
      <c r="R184" s="137"/>
      <c r="S184" s="269">
        <f>W184+Y184+AA184+AC184+AE184+AG184</f>
        <v>0</v>
      </c>
      <c r="T184" s="269">
        <f>ROUND(S184*I184,2)</f>
        <v>0</v>
      </c>
      <c r="U184" s="269">
        <f>H184-S184</f>
        <v>49.49</v>
      </c>
      <c r="V184" s="269">
        <f>ROUND(U184*I184,2)</f>
        <v>169.3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O184" s="132" t="s">
        <v>1</v>
      </c>
      <c r="AP184" s="133" t="s">
        <v>40</v>
      </c>
      <c r="AR184" s="134">
        <f>AQ184*H184</f>
        <v>0</v>
      </c>
      <c r="AS184" s="134">
        <v>0</v>
      </c>
      <c r="AT184" s="134">
        <f>AS184*H184</f>
        <v>0</v>
      </c>
      <c r="AU184" s="134">
        <v>0</v>
      </c>
      <c r="AV184" s="135">
        <f>AU184*H184</f>
        <v>0</v>
      </c>
      <c r="BT184" s="136" t="s">
        <v>95</v>
      </c>
      <c r="BV184" s="136" t="s">
        <v>284</v>
      </c>
      <c r="BW184" s="136" t="s">
        <v>83</v>
      </c>
      <c r="CA184" s="16" t="s">
        <v>282</v>
      </c>
      <c r="CG184" s="137">
        <f>IF(AP184="základní",J184,0)</f>
        <v>169.3</v>
      </c>
      <c r="CH184" s="137">
        <f>IF(AP184="snížená",J184,0)</f>
        <v>0</v>
      </c>
      <c r="CI184" s="137">
        <f>IF(AP184="zákl. přenesená",J184,0)</f>
        <v>0</v>
      </c>
      <c r="CJ184" s="137">
        <f>IF(AP184="sníž. přenesená",J184,0)</f>
        <v>0</v>
      </c>
      <c r="CK184" s="137">
        <f>IF(AP184="nulová",J184,0)</f>
        <v>0</v>
      </c>
      <c r="CL184" s="16" t="s">
        <v>81</v>
      </c>
      <c r="CM184" s="137">
        <f>ROUND(I184*H184,2)</f>
        <v>169.3</v>
      </c>
      <c r="CN184" s="16" t="s">
        <v>95</v>
      </c>
      <c r="CO184" s="136" t="s">
        <v>984</v>
      </c>
    </row>
    <row r="185" spans="2:93" s="1" customFormat="1" ht="48.75" x14ac:dyDescent="0.2">
      <c r="B185" s="31"/>
      <c r="D185" s="138" t="s">
        <v>289</v>
      </c>
      <c r="F185" s="139" t="s">
        <v>408</v>
      </c>
      <c r="I185" s="140"/>
      <c r="L185" s="31"/>
      <c r="N185" s="213"/>
      <c r="O185" s="214"/>
      <c r="Q185" s="330"/>
      <c r="AO185" s="141"/>
      <c r="AV185" s="50"/>
      <c r="BV185" s="16" t="s">
        <v>289</v>
      </c>
      <c r="BW185" s="16" t="s">
        <v>83</v>
      </c>
    </row>
    <row r="186" spans="2:93" s="12" customFormat="1" x14ac:dyDescent="0.2">
      <c r="B186" s="149"/>
      <c r="D186" s="138" t="s">
        <v>301</v>
      </c>
      <c r="F186" s="151" t="s">
        <v>1286</v>
      </c>
      <c r="H186" s="152">
        <v>49.49</v>
      </c>
      <c r="I186" s="153"/>
      <c r="L186" s="149"/>
      <c r="N186" s="217"/>
      <c r="O186" s="218"/>
      <c r="Q186" s="332"/>
      <c r="AO186" s="154"/>
      <c r="AV186" s="155"/>
      <c r="BV186" s="150" t="s">
        <v>301</v>
      </c>
      <c r="BW186" s="150" t="s">
        <v>83</v>
      </c>
      <c r="BX186" s="12" t="s">
        <v>83</v>
      </c>
      <c r="BY186" s="12" t="s">
        <v>3</v>
      </c>
      <c r="BZ186" s="12" t="s">
        <v>81</v>
      </c>
      <c r="CA186" s="150" t="s">
        <v>282</v>
      </c>
    </row>
    <row r="187" spans="2:93" s="1" customFormat="1" ht="24.2" customHeight="1" x14ac:dyDescent="0.2">
      <c r="B187" s="124"/>
      <c r="C187" s="125" t="s">
        <v>363</v>
      </c>
      <c r="D187" s="125" t="s">
        <v>284</v>
      </c>
      <c r="E187" s="126" t="s">
        <v>986</v>
      </c>
      <c r="F187" s="127" t="s">
        <v>987</v>
      </c>
      <c r="G187" s="128" t="s">
        <v>366</v>
      </c>
      <c r="H187" s="129">
        <v>9.8979999999999997</v>
      </c>
      <c r="I187" s="130">
        <v>43.080493951075745</v>
      </c>
      <c r="J187" s="131">
        <f>ROUND(I187*H187,2)</f>
        <v>426.41</v>
      </c>
      <c r="K187" s="127" t="s">
        <v>293</v>
      </c>
      <c r="L187" s="268">
        <f>S187</f>
        <v>0</v>
      </c>
      <c r="M187" s="272">
        <f>ROUND(L187*I187,2)</f>
        <v>0</v>
      </c>
      <c r="N187" s="243">
        <f>N196</f>
        <v>-2.2223499999999996</v>
      </c>
      <c r="O187" s="294">
        <f>ROUND(N187*I187,2)</f>
        <v>-95.74</v>
      </c>
      <c r="P187" s="273">
        <f>H187-L187-N187</f>
        <v>12.120349999999998</v>
      </c>
      <c r="Q187" s="268">
        <f>ROUND(P187*I187,2)</f>
        <v>522.15</v>
      </c>
      <c r="R187" s="137"/>
      <c r="S187" s="269">
        <f>W187+Y187+AA187+AC187+AE187+AG187</f>
        <v>0</v>
      </c>
      <c r="T187" s="269">
        <f>ROUND(S187*I187,2)</f>
        <v>0</v>
      </c>
      <c r="U187" s="269">
        <f>H187-S187</f>
        <v>9.8979999999999997</v>
      </c>
      <c r="V187" s="269">
        <f>ROUND(U187*I187,2)</f>
        <v>426.41</v>
      </c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O187" s="132" t="s">
        <v>1</v>
      </c>
      <c r="AP187" s="133" t="s">
        <v>40</v>
      </c>
      <c r="AR187" s="134">
        <f>AQ187*H187</f>
        <v>0</v>
      </c>
      <c r="AS187" s="134">
        <v>0</v>
      </c>
      <c r="AT187" s="134">
        <f>AS187*H187</f>
        <v>0</v>
      </c>
      <c r="AU187" s="134">
        <v>0</v>
      </c>
      <c r="AV187" s="135">
        <f>AU187*H187</f>
        <v>0</v>
      </c>
      <c r="BT187" s="136" t="s">
        <v>95</v>
      </c>
      <c r="BV187" s="136" t="s">
        <v>284</v>
      </c>
      <c r="BW187" s="136" t="s">
        <v>83</v>
      </c>
      <c r="CA187" s="16" t="s">
        <v>282</v>
      </c>
      <c r="CG187" s="137">
        <f>IF(AP187="základní",J187,0)</f>
        <v>426.41</v>
      </c>
      <c r="CH187" s="137">
        <f>IF(AP187="snížená",J187,0)</f>
        <v>0</v>
      </c>
      <c r="CI187" s="137">
        <f>IF(AP187="zákl. přenesená",J187,0)</f>
        <v>0</v>
      </c>
      <c r="CJ187" s="137">
        <f>IF(AP187="sníž. přenesená",J187,0)</f>
        <v>0</v>
      </c>
      <c r="CK187" s="137">
        <f>IF(AP187="nulová",J187,0)</f>
        <v>0</v>
      </c>
      <c r="CL187" s="16" t="s">
        <v>81</v>
      </c>
      <c r="CM187" s="137">
        <f>ROUND(I187*H187,2)</f>
        <v>426.41</v>
      </c>
      <c r="CN187" s="16" t="s">
        <v>95</v>
      </c>
      <c r="CO187" s="136" t="s">
        <v>988</v>
      </c>
    </row>
    <row r="188" spans="2:93" s="1" customFormat="1" ht="29.25" x14ac:dyDescent="0.2">
      <c r="B188" s="31"/>
      <c r="D188" s="138" t="s">
        <v>289</v>
      </c>
      <c r="F188" s="139" t="s">
        <v>989</v>
      </c>
      <c r="I188" s="140"/>
      <c r="L188" s="31"/>
      <c r="N188" s="213"/>
      <c r="O188" s="214"/>
      <c r="Q188" s="330"/>
      <c r="AO188" s="141"/>
      <c r="AV188" s="50"/>
      <c r="BV188" s="16" t="s">
        <v>289</v>
      </c>
      <c r="BW188" s="16" t="s">
        <v>83</v>
      </c>
    </row>
    <row r="189" spans="2:93" s="11" customFormat="1" x14ac:dyDescent="0.2">
      <c r="B189" s="143"/>
      <c r="D189" s="138" t="s">
        <v>301</v>
      </c>
      <c r="E189" s="144" t="s">
        <v>1</v>
      </c>
      <c r="F189" s="145" t="s">
        <v>976</v>
      </c>
      <c r="H189" s="144" t="s">
        <v>1</v>
      </c>
      <c r="I189" s="146"/>
      <c r="L189" s="143"/>
      <c r="N189" s="215"/>
      <c r="O189" s="216"/>
      <c r="Q189" s="331"/>
      <c r="AO189" s="147"/>
      <c r="AV189" s="148"/>
      <c r="BV189" s="144" t="s">
        <v>301</v>
      </c>
      <c r="BW189" s="144" t="s">
        <v>83</v>
      </c>
      <c r="BX189" s="11" t="s">
        <v>81</v>
      </c>
      <c r="BY189" s="11" t="s">
        <v>32</v>
      </c>
      <c r="BZ189" s="11" t="s">
        <v>74</v>
      </c>
      <c r="CA189" s="144" t="s">
        <v>282</v>
      </c>
    </row>
    <row r="190" spans="2:93" s="12" customFormat="1" x14ac:dyDescent="0.2">
      <c r="B190" s="149"/>
      <c r="D190" s="138" t="s">
        <v>301</v>
      </c>
      <c r="E190" s="150" t="s">
        <v>1</v>
      </c>
      <c r="F190" s="151" t="s">
        <v>1284</v>
      </c>
      <c r="H190" s="152">
        <v>1.605</v>
      </c>
      <c r="I190" s="153"/>
      <c r="L190" s="149"/>
      <c r="N190" s="217">
        <f>12.447*0.1</f>
        <v>1.2446999999999999</v>
      </c>
      <c r="O190" s="218" t="s">
        <v>3698</v>
      </c>
      <c r="Q190" s="332"/>
      <c r="AO190" s="154"/>
      <c r="AV190" s="155"/>
      <c r="BV190" s="150" t="s">
        <v>301</v>
      </c>
      <c r="BW190" s="150" t="s">
        <v>83</v>
      </c>
      <c r="BX190" s="12" t="s">
        <v>83</v>
      </c>
      <c r="BY190" s="12" t="s">
        <v>32</v>
      </c>
      <c r="BZ190" s="12" t="s">
        <v>74</v>
      </c>
      <c r="CA190" s="150" t="s">
        <v>282</v>
      </c>
    </row>
    <row r="191" spans="2:93" s="14" customFormat="1" x14ac:dyDescent="0.2">
      <c r="B191" s="163"/>
      <c r="D191" s="138" t="s">
        <v>301</v>
      </c>
      <c r="E191" s="164" t="s">
        <v>1</v>
      </c>
      <c r="F191" s="165" t="s">
        <v>373</v>
      </c>
      <c r="H191" s="166">
        <v>1.605</v>
      </c>
      <c r="I191" s="167"/>
      <c r="L191" s="163"/>
      <c r="N191" s="221">
        <f>N190</f>
        <v>1.2446999999999999</v>
      </c>
      <c r="O191" s="222"/>
      <c r="Q191" s="333"/>
      <c r="AO191" s="168"/>
      <c r="AV191" s="169"/>
      <c r="BV191" s="164" t="s">
        <v>301</v>
      </c>
      <c r="BW191" s="164" t="s">
        <v>83</v>
      </c>
      <c r="BX191" s="14" t="s">
        <v>90</v>
      </c>
      <c r="BY191" s="14" t="s">
        <v>32</v>
      </c>
      <c r="BZ191" s="14" t="s">
        <v>74</v>
      </c>
      <c r="CA191" s="164" t="s">
        <v>282</v>
      </c>
    </row>
    <row r="192" spans="2:93" s="11" customFormat="1" x14ac:dyDescent="0.2">
      <c r="B192" s="143"/>
      <c r="D192" s="138" t="s">
        <v>301</v>
      </c>
      <c r="E192" s="144" t="s">
        <v>1</v>
      </c>
      <c r="F192" s="145" t="s">
        <v>1102</v>
      </c>
      <c r="H192" s="144" t="s">
        <v>1</v>
      </c>
      <c r="I192" s="146"/>
      <c r="L192" s="143"/>
      <c r="N192" s="215"/>
      <c r="O192" s="216"/>
      <c r="Q192" s="331"/>
      <c r="AO192" s="147"/>
      <c r="AV192" s="148"/>
      <c r="BV192" s="144" t="s">
        <v>301</v>
      </c>
      <c r="BW192" s="144" t="s">
        <v>83</v>
      </c>
      <c r="BX192" s="11" t="s">
        <v>81</v>
      </c>
      <c r="BY192" s="11" t="s">
        <v>32</v>
      </c>
      <c r="BZ192" s="11" t="s">
        <v>74</v>
      </c>
      <c r="CA192" s="144" t="s">
        <v>282</v>
      </c>
    </row>
    <row r="193" spans="2:93" s="12" customFormat="1" x14ac:dyDescent="0.2">
      <c r="B193" s="149"/>
      <c r="D193" s="138" t="s">
        <v>301</v>
      </c>
      <c r="E193" s="150" t="s">
        <v>1</v>
      </c>
      <c r="F193" s="151" t="s">
        <v>1287</v>
      </c>
      <c r="H193" s="152">
        <v>8.2929999999999993</v>
      </c>
      <c r="I193" s="153"/>
      <c r="L193" s="149"/>
      <c r="N193" s="217">
        <f>41.49*1*(2.2-0.1-0.45-0.1)*0.1</f>
        <v>6.4309500000000002</v>
      </c>
      <c r="O193" s="218" t="s">
        <v>3700</v>
      </c>
      <c r="Q193" s="332"/>
      <c r="AO193" s="154"/>
      <c r="AV193" s="155"/>
      <c r="BV193" s="150" t="s">
        <v>301</v>
      </c>
      <c r="BW193" s="150" t="s">
        <v>83</v>
      </c>
      <c r="BX193" s="12" t="s">
        <v>83</v>
      </c>
      <c r="BY193" s="12" t="s">
        <v>32</v>
      </c>
      <c r="BZ193" s="12" t="s">
        <v>74</v>
      </c>
      <c r="CA193" s="150" t="s">
        <v>282</v>
      </c>
    </row>
    <row r="194" spans="2:93" s="14" customFormat="1" x14ac:dyDescent="0.2">
      <c r="B194" s="163"/>
      <c r="D194" s="138" t="s">
        <v>301</v>
      </c>
      <c r="E194" s="164" t="s">
        <v>1</v>
      </c>
      <c r="F194" s="165" t="s">
        <v>373</v>
      </c>
      <c r="H194" s="166">
        <v>8.2929999999999993</v>
      </c>
      <c r="I194" s="167"/>
      <c r="L194" s="163"/>
      <c r="N194" s="221">
        <f>N193</f>
        <v>6.4309500000000002</v>
      </c>
      <c r="O194" s="222"/>
      <c r="Q194" s="333"/>
      <c r="AO194" s="168"/>
      <c r="AV194" s="169"/>
      <c r="BV194" s="164" t="s">
        <v>301</v>
      </c>
      <c r="BW194" s="164" t="s">
        <v>83</v>
      </c>
      <c r="BX194" s="14" t="s">
        <v>90</v>
      </c>
      <c r="BY194" s="14" t="s">
        <v>32</v>
      </c>
      <c r="BZ194" s="14" t="s">
        <v>74</v>
      </c>
      <c r="CA194" s="164" t="s">
        <v>282</v>
      </c>
    </row>
    <row r="195" spans="2:93" s="13" customFormat="1" x14ac:dyDescent="0.2">
      <c r="B195" s="156"/>
      <c r="D195" s="138" t="s">
        <v>301</v>
      </c>
      <c r="E195" s="157" t="s">
        <v>1</v>
      </c>
      <c r="F195" s="158" t="s">
        <v>305</v>
      </c>
      <c r="H195" s="159">
        <v>9.8979999999999997</v>
      </c>
      <c r="I195" s="160"/>
      <c r="L195" s="156"/>
      <c r="N195" s="219">
        <f>N191+N194</f>
        <v>7.6756500000000001</v>
      </c>
      <c r="O195" s="220"/>
      <c r="Q195" s="334"/>
      <c r="AO195" s="161"/>
      <c r="AV195" s="162"/>
      <c r="BV195" s="157" t="s">
        <v>301</v>
      </c>
      <c r="BW195" s="157" t="s">
        <v>83</v>
      </c>
      <c r="BX195" s="13" t="s">
        <v>95</v>
      </c>
      <c r="BY195" s="13" t="s">
        <v>32</v>
      </c>
      <c r="BZ195" s="13" t="s">
        <v>81</v>
      </c>
      <c r="CA195" s="157" t="s">
        <v>282</v>
      </c>
    </row>
    <row r="196" spans="2:93" s="13" customFormat="1" x14ac:dyDescent="0.2">
      <c r="B196" s="156"/>
      <c r="D196" s="138"/>
      <c r="E196" s="157"/>
      <c r="F196" s="158"/>
      <c r="H196" s="159"/>
      <c r="I196" s="160"/>
      <c r="L196" s="156"/>
      <c r="N196" s="311">
        <f>N195-H195</f>
        <v>-2.2223499999999996</v>
      </c>
      <c r="O196" s="220"/>
      <c r="Q196" s="334"/>
      <c r="AO196" s="161"/>
      <c r="AV196" s="162"/>
      <c r="BV196" s="157"/>
      <c r="BW196" s="157"/>
      <c r="CA196" s="157"/>
    </row>
    <row r="197" spans="2:93" s="1" customFormat="1" ht="24.2" customHeight="1" x14ac:dyDescent="0.2">
      <c r="B197" s="124"/>
      <c r="C197" s="125" t="s">
        <v>8</v>
      </c>
      <c r="D197" s="125" t="s">
        <v>284</v>
      </c>
      <c r="E197" s="126" t="s">
        <v>410</v>
      </c>
      <c r="F197" s="127" t="s">
        <v>411</v>
      </c>
      <c r="G197" s="128" t="s">
        <v>287</v>
      </c>
      <c r="H197" s="129">
        <v>58.75</v>
      </c>
      <c r="I197" s="130">
        <v>6.3644601414457247</v>
      </c>
      <c r="J197" s="131">
        <f>ROUND(I197*H197,2)</f>
        <v>373.91</v>
      </c>
      <c r="K197" s="127" t="s">
        <v>293</v>
      </c>
      <c r="L197" s="268">
        <f>S197</f>
        <v>0</v>
      </c>
      <c r="M197" s="272">
        <f>ROUND(L197*I197,2)</f>
        <v>0</v>
      </c>
      <c r="N197" s="243">
        <f>N203</f>
        <v>-15.759999999999998</v>
      </c>
      <c r="O197" s="294">
        <f>ROUND(N197*I197,2)</f>
        <v>-100.3</v>
      </c>
      <c r="P197" s="273">
        <f>H197-L197-N197</f>
        <v>74.509999999999991</v>
      </c>
      <c r="Q197" s="268">
        <f>ROUND(P197*I197,2)</f>
        <v>474.22</v>
      </c>
      <c r="R197" s="137"/>
      <c r="S197" s="269">
        <f>W197+Y197+AA197+AC197+AE197+AG197</f>
        <v>0</v>
      </c>
      <c r="T197" s="269">
        <f>ROUND(S197*I197,2)</f>
        <v>0</v>
      </c>
      <c r="U197" s="269">
        <f>H197-S197</f>
        <v>58.75</v>
      </c>
      <c r="V197" s="269">
        <f>ROUND(U197*I197,2)</f>
        <v>373.91</v>
      </c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O197" s="132" t="s">
        <v>1</v>
      </c>
      <c r="AP197" s="133" t="s">
        <v>40</v>
      </c>
      <c r="AR197" s="134">
        <f>AQ197*H197</f>
        <v>0</v>
      </c>
      <c r="AS197" s="134">
        <v>0</v>
      </c>
      <c r="AT197" s="134">
        <f>AS197*H197</f>
        <v>0</v>
      </c>
      <c r="AU197" s="134">
        <v>0</v>
      </c>
      <c r="AV197" s="135">
        <f>AU197*H197</f>
        <v>0</v>
      </c>
      <c r="BT197" s="136" t="s">
        <v>95</v>
      </c>
      <c r="BV197" s="136" t="s">
        <v>284</v>
      </c>
      <c r="BW197" s="136" t="s">
        <v>83</v>
      </c>
      <c r="CA197" s="16" t="s">
        <v>282</v>
      </c>
      <c r="CG197" s="137">
        <f>IF(AP197="základní",J197,0)</f>
        <v>373.91</v>
      </c>
      <c r="CH197" s="137">
        <f>IF(AP197="snížená",J197,0)</f>
        <v>0</v>
      </c>
      <c r="CI197" s="137">
        <f>IF(AP197="zákl. přenesená",J197,0)</f>
        <v>0</v>
      </c>
      <c r="CJ197" s="137">
        <f>IF(AP197="sníž. přenesená",J197,0)</f>
        <v>0</v>
      </c>
      <c r="CK197" s="137">
        <f>IF(AP197="nulová",J197,0)</f>
        <v>0</v>
      </c>
      <c r="CL197" s="16" t="s">
        <v>81</v>
      </c>
      <c r="CM197" s="137">
        <f>ROUND(I197*H197,2)</f>
        <v>373.91</v>
      </c>
      <c r="CN197" s="16" t="s">
        <v>95</v>
      </c>
      <c r="CO197" s="136" t="s">
        <v>412</v>
      </c>
    </row>
    <row r="198" spans="2:93" s="1" customFormat="1" ht="19.5" x14ac:dyDescent="0.2">
      <c r="B198" s="31"/>
      <c r="D198" s="138" t="s">
        <v>289</v>
      </c>
      <c r="F198" s="139" t="s">
        <v>413</v>
      </c>
      <c r="I198" s="140"/>
      <c r="L198" s="31"/>
      <c r="N198" s="213"/>
      <c r="O198" s="214"/>
      <c r="Q198" s="330"/>
      <c r="AO198" s="141"/>
      <c r="AV198" s="50"/>
      <c r="BV198" s="16" t="s">
        <v>289</v>
      </c>
      <c r="BW198" s="16" t="s">
        <v>83</v>
      </c>
    </row>
    <row r="199" spans="2:93" s="1" customFormat="1" ht="19.5" x14ac:dyDescent="0.2">
      <c r="B199" s="31"/>
      <c r="D199" s="138" t="s">
        <v>299</v>
      </c>
      <c r="F199" s="142" t="s">
        <v>317</v>
      </c>
      <c r="I199" s="140"/>
      <c r="L199" s="31"/>
      <c r="N199" s="213"/>
      <c r="O199" s="214"/>
      <c r="Q199" s="330"/>
      <c r="AO199" s="141"/>
      <c r="AV199" s="50"/>
      <c r="BV199" s="16" t="s">
        <v>299</v>
      </c>
      <c r="BW199" s="16" t="s">
        <v>83</v>
      </c>
    </row>
    <row r="200" spans="2:93" s="12" customFormat="1" x14ac:dyDescent="0.2">
      <c r="B200" s="149"/>
      <c r="D200" s="138" t="s">
        <v>301</v>
      </c>
      <c r="E200" s="150" t="s">
        <v>1</v>
      </c>
      <c r="F200" s="151" t="s">
        <v>1288</v>
      </c>
      <c r="H200" s="152">
        <v>53.5</v>
      </c>
      <c r="I200" s="153"/>
      <c r="L200" s="149"/>
      <c r="N200" s="217">
        <f>41.49*1</f>
        <v>41.49</v>
      </c>
      <c r="O200" s="218" t="s">
        <v>3689</v>
      </c>
      <c r="Q200" s="332"/>
      <c r="AO200" s="154"/>
      <c r="AV200" s="155"/>
      <c r="BV200" s="150" t="s">
        <v>301</v>
      </c>
      <c r="BW200" s="150" t="s">
        <v>83</v>
      </c>
      <c r="BX200" s="12" t="s">
        <v>83</v>
      </c>
      <c r="BY200" s="12" t="s">
        <v>32</v>
      </c>
      <c r="BZ200" s="12" t="s">
        <v>74</v>
      </c>
      <c r="CA200" s="150" t="s">
        <v>282</v>
      </c>
    </row>
    <row r="201" spans="2:93" s="12" customFormat="1" x14ac:dyDescent="0.2">
      <c r="B201" s="149"/>
      <c r="D201" s="138" t="s">
        <v>301</v>
      </c>
      <c r="E201" s="150" t="s">
        <v>1</v>
      </c>
      <c r="F201" s="151" t="s">
        <v>1274</v>
      </c>
      <c r="H201" s="152">
        <v>5.25</v>
      </c>
      <c r="I201" s="153"/>
      <c r="L201" s="149"/>
      <c r="N201" s="217">
        <f>1.5*1.5*2-1.5*1*2</f>
        <v>1.5</v>
      </c>
      <c r="O201" s="218" t="s">
        <v>3701</v>
      </c>
      <c r="Q201" s="332"/>
      <c r="AO201" s="154"/>
      <c r="AV201" s="155"/>
      <c r="BV201" s="150" t="s">
        <v>301</v>
      </c>
      <c r="BW201" s="150" t="s">
        <v>83</v>
      </c>
      <c r="BX201" s="12" t="s">
        <v>83</v>
      </c>
      <c r="BY201" s="12" t="s">
        <v>32</v>
      </c>
      <c r="BZ201" s="12" t="s">
        <v>74</v>
      </c>
      <c r="CA201" s="150" t="s">
        <v>282</v>
      </c>
    </row>
    <row r="202" spans="2:93" s="13" customFormat="1" x14ac:dyDescent="0.2">
      <c r="B202" s="156"/>
      <c r="D202" s="138" t="s">
        <v>301</v>
      </c>
      <c r="E202" s="157" t="s">
        <v>1</v>
      </c>
      <c r="F202" s="158" t="s">
        <v>305</v>
      </c>
      <c r="H202" s="159">
        <v>58.75</v>
      </c>
      <c r="I202" s="160"/>
      <c r="L202" s="156"/>
      <c r="N202" s="219">
        <f>N200+N201</f>
        <v>42.99</v>
      </c>
      <c r="O202" s="220"/>
      <c r="Q202" s="334"/>
      <c r="AO202" s="161"/>
      <c r="AV202" s="162"/>
      <c r="BV202" s="157" t="s">
        <v>301</v>
      </c>
      <c r="BW202" s="157" t="s">
        <v>83</v>
      </c>
      <c r="BX202" s="13" t="s">
        <v>95</v>
      </c>
      <c r="BY202" s="13" t="s">
        <v>32</v>
      </c>
      <c r="BZ202" s="13" t="s">
        <v>81</v>
      </c>
      <c r="CA202" s="157" t="s">
        <v>282</v>
      </c>
    </row>
    <row r="203" spans="2:93" s="13" customFormat="1" x14ac:dyDescent="0.2">
      <c r="B203" s="156"/>
      <c r="D203" s="138"/>
      <c r="E203" s="157"/>
      <c r="F203" s="158"/>
      <c r="H203" s="159"/>
      <c r="I203" s="160"/>
      <c r="L203" s="156"/>
      <c r="N203" s="311">
        <f>N202-H202</f>
        <v>-15.759999999999998</v>
      </c>
      <c r="O203" s="220"/>
      <c r="Q203" s="334"/>
      <c r="AO203" s="161"/>
      <c r="AV203" s="162"/>
      <c r="BV203" s="157"/>
      <c r="BW203" s="157"/>
      <c r="CA203" s="157"/>
    </row>
    <row r="204" spans="2:93" s="1" customFormat="1" ht="24.2" customHeight="1" x14ac:dyDescent="0.2">
      <c r="B204" s="124"/>
      <c r="C204" s="125" t="s">
        <v>379</v>
      </c>
      <c r="D204" s="125" t="s">
        <v>284</v>
      </c>
      <c r="E204" s="126" t="s">
        <v>416</v>
      </c>
      <c r="F204" s="127" t="s">
        <v>417</v>
      </c>
      <c r="G204" s="128" t="s">
        <v>418</v>
      </c>
      <c r="H204" s="129">
        <v>179.17699999999999</v>
      </c>
      <c r="I204" s="130">
        <v>110.6455721</v>
      </c>
      <c r="J204" s="131">
        <f>ROUND(I204*H204,2)</f>
        <v>19825.14</v>
      </c>
      <c r="K204" s="127" t="s">
        <v>293</v>
      </c>
      <c r="L204" s="268">
        <f>S204</f>
        <v>0</v>
      </c>
      <c r="M204" s="272">
        <f>ROUND(L204*I204,2)</f>
        <v>0</v>
      </c>
      <c r="N204" s="243">
        <f>N212</f>
        <v>-51.103399999999993</v>
      </c>
      <c r="O204" s="294">
        <f>ROUND(N204*I204,2)</f>
        <v>-5654.36</v>
      </c>
      <c r="P204" s="273">
        <f>H204-L204-N204</f>
        <v>230.28039999999999</v>
      </c>
      <c r="Q204" s="268">
        <f>ROUND(P204*I204,2)</f>
        <v>25479.51</v>
      </c>
      <c r="R204" s="137"/>
      <c r="S204" s="269">
        <f>W204+Y204+AA204+AC204+AE204+AG204</f>
        <v>0</v>
      </c>
      <c r="T204" s="269">
        <f>ROUND(S204*I204,2)</f>
        <v>0</v>
      </c>
      <c r="U204" s="269">
        <f>H204-S204</f>
        <v>179.17699999999999</v>
      </c>
      <c r="V204" s="269">
        <f>ROUND(U204*I204,2)</f>
        <v>19825.14</v>
      </c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O204" s="132" t="s">
        <v>1</v>
      </c>
      <c r="AP204" s="133" t="s">
        <v>40</v>
      </c>
      <c r="AR204" s="134">
        <f>AQ204*H204</f>
        <v>0</v>
      </c>
      <c r="AS204" s="134">
        <v>0</v>
      </c>
      <c r="AT204" s="134">
        <f>AS204*H204</f>
        <v>0</v>
      </c>
      <c r="AU204" s="134">
        <v>0</v>
      </c>
      <c r="AV204" s="135">
        <f>AU204*H204</f>
        <v>0</v>
      </c>
      <c r="BT204" s="136" t="s">
        <v>95</v>
      </c>
      <c r="BV204" s="136" t="s">
        <v>284</v>
      </c>
      <c r="BW204" s="136" t="s">
        <v>83</v>
      </c>
      <c r="CA204" s="16" t="s">
        <v>282</v>
      </c>
      <c r="CG204" s="137">
        <f>IF(AP204="základní",J204,0)</f>
        <v>19825.14</v>
      </c>
      <c r="CH204" s="137">
        <f>IF(AP204="snížená",J204,0)</f>
        <v>0</v>
      </c>
      <c r="CI204" s="137">
        <f>IF(AP204="zákl. přenesená",J204,0)</f>
        <v>0</v>
      </c>
      <c r="CJ204" s="137">
        <f>IF(AP204="sníž. přenesená",J204,0)</f>
        <v>0</v>
      </c>
      <c r="CK204" s="137">
        <f>IF(AP204="nulová",J204,0)</f>
        <v>0</v>
      </c>
      <c r="CL204" s="16" t="s">
        <v>81</v>
      </c>
      <c r="CM204" s="137">
        <f>ROUND(I204*H204,2)</f>
        <v>19825.14</v>
      </c>
      <c r="CN204" s="16" t="s">
        <v>95</v>
      </c>
      <c r="CO204" s="136" t="s">
        <v>419</v>
      </c>
    </row>
    <row r="205" spans="2:93" s="1" customFormat="1" ht="29.25" x14ac:dyDescent="0.2">
      <c r="B205" s="31"/>
      <c r="D205" s="138" t="s">
        <v>289</v>
      </c>
      <c r="F205" s="139" t="s">
        <v>420</v>
      </c>
      <c r="I205" s="140"/>
      <c r="L205" s="31"/>
      <c r="N205" s="213"/>
      <c r="O205" s="214"/>
      <c r="Q205" s="330"/>
      <c r="AO205" s="141"/>
      <c r="AV205" s="50"/>
      <c r="BV205" s="16" t="s">
        <v>289</v>
      </c>
      <c r="BW205" s="16" t="s">
        <v>83</v>
      </c>
    </row>
    <row r="206" spans="2:93" s="11" customFormat="1" x14ac:dyDescent="0.2">
      <c r="B206" s="143"/>
      <c r="D206" s="138" t="s">
        <v>301</v>
      </c>
      <c r="E206" s="144" t="s">
        <v>1</v>
      </c>
      <c r="F206" s="145" t="s">
        <v>996</v>
      </c>
      <c r="H206" s="144" t="s">
        <v>1</v>
      </c>
      <c r="I206" s="146"/>
      <c r="L206" s="143"/>
      <c r="N206" s="215"/>
      <c r="O206" s="216"/>
      <c r="Q206" s="331"/>
      <c r="AO206" s="147"/>
      <c r="AV206" s="148"/>
      <c r="BV206" s="144" t="s">
        <v>301</v>
      </c>
      <c r="BW206" s="144" t="s">
        <v>83</v>
      </c>
      <c r="BX206" s="11" t="s">
        <v>81</v>
      </c>
      <c r="BY206" s="11" t="s">
        <v>32</v>
      </c>
      <c r="BZ206" s="11" t="s">
        <v>74</v>
      </c>
      <c r="CA206" s="144" t="s">
        <v>282</v>
      </c>
    </row>
    <row r="207" spans="2:93" s="12" customFormat="1" x14ac:dyDescent="0.2">
      <c r="B207" s="149"/>
      <c r="D207" s="138" t="s">
        <v>301</v>
      </c>
      <c r="E207" s="150" t="s">
        <v>1</v>
      </c>
      <c r="F207" s="151" t="s">
        <v>1289</v>
      </c>
      <c r="H207" s="152">
        <v>109.441</v>
      </c>
      <c r="I207" s="153"/>
      <c r="L207" s="149"/>
      <c r="N207" s="217">
        <v>78.828000000000003</v>
      </c>
      <c r="O207" s="218"/>
      <c r="Q207" s="332"/>
      <c r="AO207" s="154"/>
      <c r="AV207" s="155"/>
      <c r="BV207" s="150" t="s">
        <v>301</v>
      </c>
      <c r="BW207" s="150" t="s">
        <v>83</v>
      </c>
      <c r="BX207" s="12" t="s">
        <v>83</v>
      </c>
      <c r="BY207" s="12" t="s">
        <v>32</v>
      </c>
      <c r="BZ207" s="12" t="s">
        <v>74</v>
      </c>
      <c r="CA207" s="150" t="s">
        <v>282</v>
      </c>
    </row>
    <row r="208" spans="2:93" s="11" customFormat="1" x14ac:dyDescent="0.2">
      <c r="B208" s="143"/>
      <c r="D208" s="138" t="s">
        <v>301</v>
      </c>
      <c r="E208" s="144" t="s">
        <v>1</v>
      </c>
      <c r="F208" s="145" t="s">
        <v>998</v>
      </c>
      <c r="H208" s="144" t="s">
        <v>1</v>
      </c>
      <c r="I208" s="146"/>
      <c r="L208" s="143"/>
      <c r="N208" s="215"/>
      <c r="O208" s="216"/>
      <c r="Q208" s="331"/>
      <c r="AO208" s="147"/>
      <c r="AV208" s="148"/>
      <c r="BV208" s="144" t="s">
        <v>301</v>
      </c>
      <c r="BW208" s="144" t="s">
        <v>83</v>
      </c>
      <c r="BX208" s="11" t="s">
        <v>81</v>
      </c>
      <c r="BY208" s="11" t="s">
        <v>32</v>
      </c>
      <c r="BZ208" s="11" t="s">
        <v>74</v>
      </c>
      <c r="CA208" s="144" t="s">
        <v>282</v>
      </c>
    </row>
    <row r="209" spans="2:93" s="12" customFormat="1" x14ac:dyDescent="0.2">
      <c r="B209" s="149"/>
      <c r="D209" s="138" t="s">
        <v>301</v>
      </c>
      <c r="E209" s="150" t="s">
        <v>1</v>
      </c>
      <c r="F209" s="151" t="s">
        <v>1290</v>
      </c>
      <c r="H209" s="152">
        <v>-9.8979999999999997</v>
      </c>
      <c r="I209" s="153"/>
      <c r="L209" s="149"/>
      <c r="N209" s="217">
        <v>-7.6760000000000002</v>
      </c>
      <c r="O209" s="218"/>
      <c r="Q209" s="332"/>
      <c r="AO209" s="154"/>
      <c r="AV209" s="155"/>
      <c r="BV209" s="150" t="s">
        <v>301</v>
      </c>
      <c r="BW209" s="150" t="s">
        <v>83</v>
      </c>
      <c r="BX209" s="12" t="s">
        <v>83</v>
      </c>
      <c r="BY209" s="12" t="s">
        <v>32</v>
      </c>
      <c r="BZ209" s="12" t="s">
        <v>74</v>
      </c>
      <c r="CA209" s="150" t="s">
        <v>282</v>
      </c>
    </row>
    <row r="210" spans="2:93" s="13" customFormat="1" x14ac:dyDescent="0.2">
      <c r="B210" s="156"/>
      <c r="D210" s="138" t="s">
        <v>301</v>
      </c>
      <c r="E210" s="157" t="s">
        <v>1</v>
      </c>
      <c r="F210" s="158" t="s">
        <v>305</v>
      </c>
      <c r="H210" s="159">
        <v>99.543000000000006</v>
      </c>
      <c r="I210" s="160"/>
      <c r="L210" s="156"/>
      <c r="N210" s="219">
        <f>N207+N209</f>
        <v>71.152000000000001</v>
      </c>
      <c r="O210" s="220"/>
      <c r="Q210" s="334"/>
      <c r="AO210" s="161"/>
      <c r="AV210" s="162"/>
      <c r="BV210" s="157" t="s">
        <v>301</v>
      </c>
      <c r="BW210" s="157" t="s">
        <v>83</v>
      </c>
      <c r="BX210" s="13" t="s">
        <v>95</v>
      </c>
      <c r="BY210" s="13" t="s">
        <v>32</v>
      </c>
      <c r="BZ210" s="13" t="s">
        <v>81</v>
      </c>
      <c r="CA210" s="157" t="s">
        <v>282</v>
      </c>
    </row>
    <row r="211" spans="2:93" s="12" customFormat="1" x14ac:dyDescent="0.2">
      <c r="B211" s="149"/>
      <c r="D211" s="138" t="s">
        <v>301</v>
      </c>
      <c r="F211" s="151" t="s">
        <v>1291</v>
      </c>
      <c r="H211" s="152">
        <v>179.17699999999999</v>
      </c>
      <c r="I211" s="153"/>
      <c r="L211" s="149"/>
      <c r="N211" s="217">
        <f>N210*1.8</f>
        <v>128.0736</v>
      </c>
      <c r="O211" s="218"/>
      <c r="Q211" s="332"/>
      <c r="AO211" s="154"/>
      <c r="AV211" s="155"/>
      <c r="BV211" s="150" t="s">
        <v>301</v>
      </c>
      <c r="BW211" s="150" t="s">
        <v>83</v>
      </c>
      <c r="BX211" s="12" t="s">
        <v>83</v>
      </c>
      <c r="BY211" s="12" t="s">
        <v>3</v>
      </c>
      <c r="BZ211" s="12" t="s">
        <v>81</v>
      </c>
      <c r="CA211" s="150" t="s">
        <v>282</v>
      </c>
    </row>
    <row r="212" spans="2:93" s="12" customFormat="1" x14ac:dyDescent="0.2">
      <c r="B212" s="149"/>
      <c r="D212" s="138"/>
      <c r="F212" s="151"/>
      <c r="H212" s="152"/>
      <c r="I212" s="153"/>
      <c r="L212" s="149"/>
      <c r="N212" s="310">
        <f>N211-H211</f>
        <v>-51.103399999999993</v>
      </c>
      <c r="O212" s="218"/>
      <c r="Q212" s="332"/>
      <c r="AO212" s="154"/>
      <c r="AV212" s="155"/>
      <c r="BV212" s="150"/>
      <c r="BW212" s="150"/>
      <c r="CA212" s="150"/>
    </row>
    <row r="213" spans="2:93" s="1" customFormat="1" ht="24.2" customHeight="1" x14ac:dyDescent="0.2">
      <c r="B213" s="124"/>
      <c r="C213" s="125" t="s">
        <v>386</v>
      </c>
      <c r="D213" s="125" t="s">
        <v>284</v>
      </c>
      <c r="E213" s="126" t="s">
        <v>423</v>
      </c>
      <c r="F213" s="127" t="s">
        <v>424</v>
      </c>
      <c r="G213" s="128" t="s">
        <v>366</v>
      </c>
      <c r="H213" s="129">
        <v>82.022000000000006</v>
      </c>
      <c r="I213" s="130">
        <v>140.64048227116101</v>
      </c>
      <c r="J213" s="131">
        <f>ROUND(I213*H213,2)</f>
        <v>11535.61</v>
      </c>
      <c r="K213" s="127" t="s">
        <v>293</v>
      </c>
      <c r="L213" s="268">
        <f>S213</f>
        <v>0</v>
      </c>
      <c r="M213" s="272">
        <f>ROUND(L213*I213,2)</f>
        <v>0</v>
      </c>
      <c r="N213" s="243">
        <f>N228</f>
        <v>-20.973527999999988</v>
      </c>
      <c r="O213" s="294">
        <f>ROUND(N213*I213,2)</f>
        <v>-2949.73</v>
      </c>
      <c r="P213" s="273">
        <f>H213-L213-N213</f>
        <v>102.99552799999999</v>
      </c>
      <c r="Q213" s="268">
        <f>ROUND(P213*I213,2)</f>
        <v>14485.34</v>
      </c>
      <c r="R213" s="137"/>
      <c r="S213" s="269">
        <f>W213+Y213+AA213+AC213+AE213+AG213</f>
        <v>0</v>
      </c>
      <c r="T213" s="269">
        <f>ROUND(S213*I213,2)</f>
        <v>0</v>
      </c>
      <c r="U213" s="269">
        <f>H213-S213</f>
        <v>82.022000000000006</v>
      </c>
      <c r="V213" s="269">
        <f>ROUND(U213*I213,2)</f>
        <v>11535.61</v>
      </c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O213" s="132" t="s">
        <v>1</v>
      </c>
      <c r="AP213" s="133" t="s">
        <v>40</v>
      </c>
      <c r="AR213" s="134">
        <f>AQ213*H213</f>
        <v>0</v>
      </c>
      <c r="AS213" s="134">
        <v>0</v>
      </c>
      <c r="AT213" s="134">
        <f>AS213*H213</f>
        <v>0</v>
      </c>
      <c r="AU213" s="134">
        <v>0</v>
      </c>
      <c r="AV213" s="135">
        <f>AU213*H213</f>
        <v>0</v>
      </c>
      <c r="BT213" s="136" t="s">
        <v>95</v>
      </c>
      <c r="BV213" s="136" t="s">
        <v>284</v>
      </c>
      <c r="BW213" s="136" t="s">
        <v>83</v>
      </c>
      <c r="CA213" s="16" t="s">
        <v>282</v>
      </c>
      <c r="CG213" s="137">
        <f>IF(AP213="základní",J213,0)</f>
        <v>11535.61</v>
      </c>
      <c r="CH213" s="137">
        <f>IF(AP213="snížená",J213,0)</f>
        <v>0</v>
      </c>
      <c r="CI213" s="137">
        <f>IF(AP213="zákl. přenesená",J213,0)</f>
        <v>0</v>
      </c>
      <c r="CJ213" s="137">
        <f>IF(AP213="sníž. přenesená",J213,0)</f>
        <v>0</v>
      </c>
      <c r="CK213" s="137">
        <f>IF(AP213="nulová",J213,0)</f>
        <v>0</v>
      </c>
      <c r="CL213" s="16" t="s">
        <v>81</v>
      </c>
      <c r="CM213" s="137">
        <f>ROUND(I213*H213,2)</f>
        <v>11535.61</v>
      </c>
      <c r="CN213" s="16" t="s">
        <v>95</v>
      </c>
      <c r="CO213" s="136" t="s">
        <v>425</v>
      </c>
    </row>
    <row r="214" spans="2:93" s="1" customFormat="1" ht="29.25" x14ac:dyDescent="0.2">
      <c r="B214" s="31"/>
      <c r="D214" s="138" t="s">
        <v>289</v>
      </c>
      <c r="F214" s="139" t="s">
        <v>426</v>
      </c>
      <c r="I214" s="140"/>
      <c r="L214" s="31"/>
      <c r="N214" s="213"/>
      <c r="O214" s="214"/>
      <c r="Q214" s="330"/>
      <c r="AO214" s="141"/>
      <c r="AV214" s="50"/>
      <c r="BV214" s="16" t="s">
        <v>289</v>
      </c>
      <c r="BW214" s="16" t="s">
        <v>83</v>
      </c>
    </row>
    <row r="215" spans="2:93" s="11" customFormat="1" x14ac:dyDescent="0.2">
      <c r="B215" s="143"/>
      <c r="D215" s="138" t="s">
        <v>301</v>
      </c>
      <c r="E215" s="144" t="s">
        <v>1</v>
      </c>
      <c r="F215" s="145" t="s">
        <v>427</v>
      </c>
      <c r="H215" s="144" t="s">
        <v>1</v>
      </c>
      <c r="I215" s="146"/>
      <c r="L215" s="143"/>
      <c r="N215" s="215"/>
      <c r="O215" s="216"/>
      <c r="Q215" s="331"/>
      <c r="AO215" s="147"/>
      <c r="AV215" s="148"/>
      <c r="BV215" s="144" t="s">
        <v>301</v>
      </c>
      <c r="BW215" s="144" t="s">
        <v>83</v>
      </c>
      <c r="BX215" s="11" t="s">
        <v>81</v>
      </c>
      <c r="BY215" s="11" t="s">
        <v>32</v>
      </c>
      <c r="BZ215" s="11" t="s">
        <v>74</v>
      </c>
      <c r="CA215" s="144" t="s">
        <v>282</v>
      </c>
    </row>
    <row r="216" spans="2:93" s="12" customFormat="1" x14ac:dyDescent="0.2">
      <c r="B216" s="149"/>
      <c r="D216" s="138" t="s">
        <v>301</v>
      </c>
      <c r="E216" s="150" t="s">
        <v>1</v>
      </c>
      <c r="F216" s="151" t="s">
        <v>1283</v>
      </c>
      <c r="H216" s="152">
        <v>107.836</v>
      </c>
      <c r="I216" s="153"/>
      <c r="L216" s="149"/>
      <c r="N216" s="217">
        <f>38.792+38.792</f>
        <v>77.584000000000003</v>
      </c>
      <c r="O216" s="218" t="s">
        <v>3697</v>
      </c>
      <c r="Q216" s="332"/>
      <c r="AO216" s="154"/>
      <c r="AV216" s="155"/>
      <c r="BV216" s="150" t="s">
        <v>301</v>
      </c>
      <c r="BW216" s="150" t="s">
        <v>83</v>
      </c>
      <c r="BX216" s="12" t="s">
        <v>83</v>
      </c>
      <c r="BY216" s="12" t="s">
        <v>32</v>
      </c>
      <c r="BZ216" s="12" t="s">
        <v>74</v>
      </c>
      <c r="CA216" s="150" t="s">
        <v>282</v>
      </c>
    </row>
    <row r="217" spans="2:93" s="11" customFormat="1" x14ac:dyDescent="0.2">
      <c r="B217" s="143"/>
      <c r="D217" s="138" t="s">
        <v>301</v>
      </c>
      <c r="E217" s="144" t="s">
        <v>1</v>
      </c>
      <c r="F217" s="145" t="s">
        <v>428</v>
      </c>
      <c r="H217" s="144" t="s">
        <v>1</v>
      </c>
      <c r="I217" s="146"/>
      <c r="L217" s="143"/>
      <c r="N217" s="215"/>
      <c r="O217" s="216"/>
      <c r="Q217" s="331"/>
      <c r="AO217" s="147"/>
      <c r="AV217" s="148"/>
      <c r="BV217" s="144" t="s">
        <v>301</v>
      </c>
      <c r="BW217" s="144" t="s">
        <v>83</v>
      </c>
      <c r="BX217" s="11" t="s">
        <v>81</v>
      </c>
      <c r="BY217" s="11" t="s">
        <v>32</v>
      </c>
      <c r="BZ217" s="11" t="s">
        <v>74</v>
      </c>
      <c r="CA217" s="144" t="s">
        <v>282</v>
      </c>
    </row>
    <row r="218" spans="2:93" s="12" customFormat="1" x14ac:dyDescent="0.2">
      <c r="B218" s="149"/>
      <c r="D218" s="138" t="s">
        <v>301</v>
      </c>
      <c r="E218" s="150" t="s">
        <v>1</v>
      </c>
      <c r="F218" s="151" t="s">
        <v>1292</v>
      </c>
      <c r="H218" s="152">
        <v>-24.074999999999999</v>
      </c>
      <c r="I218" s="153"/>
      <c r="L218" s="149"/>
      <c r="N218" s="217">
        <f>-N244</f>
        <v>-18.670500000000001</v>
      </c>
      <c r="O218" s="218"/>
      <c r="Q218" s="332"/>
      <c r="AO218" s="154"/>
      <c r="AV218" s="155"/>
      <c r="BV218" s="150" t="s">
        <v>301</v>
      </c>
      <c r="BW218" s="150" t="s">
        <v>83</v>
      </c>
      <c r="BX218" s="12" t="s">
        <v>83</v>
      </c>
      <c r="BY218" s="12" t="s">
        <v>32</v>
      </c>
      <c r="BZ218" s="12" t="s">
        <v>74</v>
      </c>
      <c r="CA218" s="150" t="s">
        <v>282</v>
      </c>
    </row>
    <row r="219" spans="2:93" s="11" customFormat="1" x14ac:dyDescent="0.2">
      <c r="B219" s="143"/>
      <c r="D219" s="138" t="s">
        <v>301</v>
      </c>
      <c r="E219" s="144" t="s">
        <v>1</v>
      </c>
      <c r="F219" s="145" t="s">
        <v>430</v>
      </c>
      <c r="H219" s="144" t="s">
        <v>1</v>
      </c>
      <c r="I219" s="146"/>
      <c r="L219" s="143"/>
      <c r="N219" s="215"/>
      <c r="O219" s="216"/>
      <c r="Q219" s="331"/>
      <c r="AO219" s="147"/>
      <c r="AV219" s="148"/>
      <c r="BV219" s="144" t="s">
        <v>301</v>
      </c>
      <c r="BW219" s="144" t="s">
        <v>83</v>
      </c>
      <c r="BX219" s="11" t="s">
        <v>81</v>
      </c>
      <c r="BY219" s="11" t="s">
        <v>32</v>
      </c>
      <c r="BZ219" s="11" t="s">
        <v>74</v>
      </c>
      <c r="CA219" s="144" t="s">
        <v>282</v>
      </c>
    </row>
    <row r="220" spans="2:93" s="12" customFormat="1" x14ac:dyDescent="0.2">
      <c r="B220" s="149"/>
      <c r="D220" s="138" t="s">
        <v>301</v>
      </c>
      <c r="E220" s="150" t="s">
        <v>1</v>
      </c>
      <c r="F220" s="151" t="s">
        <v>1293</v>
      </c>
      <c r="H220" s="152">
        <v>-7.5250000000000004</v>
      </c>
      <c r="I220" s="153"/>
      <c r="L220" s="149"/>
      <c r="N220" s="217">
        <f>-N269-N278</f>
        <v>-5.5990000000000002</v>
      </c>
      <c r="O220" s="218"/>
      <c r="Q220" s="332"/>
      <c r="AO220" s="154"/>
      <c r="AV220" s="155"/>
      <c r="BV220" s="150" t="s">
        <v>301</v>
      </c>
      <c r="BW220" s="150" t="s">
        <v>83</v>
      </c>
      <c r="BX220" s="12" t="s">
        <v>83</v>
      </c>
      <c r="BY220" s="12" t="s">
        <v>32</v>
      </c>
      <c r="BZ220" s="12" t="s">
        <v>74</v>
      </c>
      <c r="CA220" s="150" t="s">
        <v>282</v>
      </c>
    </row>
    <row r="221" spans="2:93" s="11" customFormat="1" x14ac:dyDescent="0.2">
      <c r="B221" s="143"/>
      <c r="D221" s="138" t="s">
        <v>301</v>
      </c>
      <c r="E221" s="144" t="s">
        <v>1</v>
      </c>
      <c r="F221" s="145" t="s">
        <v>432</v>
      </c>
      <c r="H221" s="144" t="s">
        <v>1</v>
      </c>
      <c r="I221" s="146"/>
      <c r="L221" s="143"/>
      <c r="N221" s="215"/>
      <c r="O221" s="216"/>
      <c r="Q221" s="331"/>
      <c r="AO221" s="147"/>
      <c r="AV221" s="148"/>
      <c r="BV221" s="144" t="s">
        <v>301</v>
      </c>
      <c r="BW221" s="144" t="s">
        <v>83</v>
      </c>
      <c r="BX221" s="11" t="s">
        <v>81</v>
      </c>
      <c r="BY221" s="11" t="s">
        <v>32</v>
      </c>
      <c r="BZ221" s="11" t="s">
        <v>74</v>
      </c>
      <c r="CA221" s="144" t="s">
        <v>282</v>
      </c>
    </row>
    <row r="222" spans="2:93" s="12" customFormat="1" x14ac:dyDescent="0.2">
      <c r="B222" s="149"/>
      <c r="D222" s="138" t="s">
        <v>301</v>
      </c>
      <c r="E222" s="150" t="s">
        <v>1</v>
      </c>
      <c r="F222" s="151" t="s">
        <v>1294</v>
      </c>
      <c r="H222" s="152">
        <v>-1.4470000000000001</v>
      </c>
      <c r="I222" s="153"/>
      <c r="L222" s="149"/>
      <c r="N222" s="217">
        <f>-N287</f>
        <v>-1.242</v>
      </c>
      <c r="O222" s="218"/>
      <c r="Q222" s="332"/>
      <c r="AO222" s="154"/>
      <c r="AV222" s="155"/>
      <c r="BV222" s="150" t="s">
        <v>301</v>
      </c>
      <c r="BW222" s="150" t="s">
        <v>83</v>
      </c>
      <c r="BX222" s="12" t="s">
        <v>83</v>
      </c>
      <c r="BY222" s="12" t="s">
        <v>32</v>
      </c>
      <c r="BZ222" s="12" t="s">
        <v>74</v>
      </c>
      <c r="CA222" s="150" t="s">
        <v>282</v>
      </c>
    </row>
    <row r="223" spans="2:93" s="12" customFormat="1" x14ac:dyDescent="0.2">
      <c r="B223" s="149"/>
      <c r="D223" s="138" t="s">
        <v>301</v>
      </c>
      <c r="E223" s="150" t="s">
        <v>1</v>
      </c>
      <c r="F223" s="151" t="s">
        <v>1295</v>
      </c>
      <c r="H223" s="152">
        <v>-1.8280000000000001</v>
      </c>
      <c r="I223" s="153"/>
      <c r="L223" s="149"/>
      <c r="N223" s="217">
        <f>-3.14*0.21*0.21*2.2*10</f>
        <v>-3.0464279999999997</v>
      </c>
      <c r="O223" s="218" t="s">
        <v>3707</v>
      </c>
      <c r="Q223" s="332"/>
      <c r="AO223" s="154"/>
      <c r="AV223" s="155"/>
      <c r="BV223" s="150" t="s">
        <v>301</v>
      </c>
      <c r="BW223" s="150" t="s">
        <v>83</v>
      </c>
      <c r="BX223" s="12" t="s">
        <v>83</v>
      </c>
      <c r="BY223" s="12" t="s">
        <v>32</v>
      </c>
      <c r="BZ223" s="12" t="s">
        <v>74</v>
      </c>
      <c r="CA223" s="150" t="s">
        <v>282</v>
      </c>
    </row>
    <row r="224" spans="2:93" s="12" customFormat="1" x14ac:dyDescent="0.2">
      <c r="B224" s="149"/>
      <c r="D224" s="138" t="s">
        <v>301</v>
      </c>
      <c r="E224" s="150" t="s">
        <v>1</v>
      </c>
      <c r="F224" s="151" t="s">
        <v>1296</v>
      </c>
      <c r="H224" s="152">
        <v>-12.089</v>
      </c>
      <c r="I224" s="153"/>
      <c r="L224" s="149"/>
      <c r="N224" s="217">
        <f>-3.14*0.5*0.5*2.2*2</f>
        <v>-3.4540000000000006</v>
      </c>
      <c r="O224" s="218" t="s">
        <v>3708</v>
      </c>
      <c r="Q224" s="332"/>
      <c r="AO224" s="154"/>
      <c r="AV224" s="155"/>
      <c r="BV224" s="150" t="s">
        <v>301</v>
      </c>
      <c r="BW224" s="150" t="s">
        <v>83</v>
      </c>
      <c r="BX224" s="12" t="s">
        <v>83</v>
      </c>
      <c r="BY224" s="12" t="s">
        <v>32</v>
      </c>
      <c r="BZ224" s="12" t="s">
        <v>74</v>
      </c>
      <c r="CA224" s="150" t="s">
        <v>282</v>
      </c>
    </row>
    <row r="225" spans="2:93" s="11" customFormat="1" x14ac:dyDescent="0.2">
      <c r="B225" s="143"/>
      <c r="D225" s="138" t="s">
        <v>301</v>
      </c>
      <c r="E225" s="144" t="s">
        <v>1</v>
      </c>
      <c r="F225" s="145" t="s">
        <v>436</v>
      </c>
      <c r="H225" s="144" t="s">
        <v>1</v>
      </c>
      <c r="I225" s="146"/>
      <c r="L225" s="143"/>
      <c r="N225" s="215"/>
      <c r="O225" s="216"/>
      <c r="Q225" s="331"/>
      <c r="AO225" s="147"/>
      <c r="AV225" s="148"/>
      <c r="BV225" s="144" t="s">
        <v>301</v>
      </c>
      <c r="BW225" s="144" t="s">
        <v>83</v>
      </c>
      <c r="BX225" s="11" t="s">
        <v>81</v>
      </c>
      <c r="BY225" s="11" t="s">
        <v>32</v>
      </c>
      <c r="BZ225" s="11" t="s">
        <v>74</v>
      </c>
      <c r="CA225" s="144" t="s">
        <v>282</v>
      </c>
    </row>
    <row r="226" spans="2:93" s="12" customFormat="1" x14ac:dyDescent="0.2">
      <c r="B226" s="149"/>
      <c r="D226" s="138" t="s">
        <v>301</v>
      </c>
      <c r="E226" s="150" t="s">
        <v>1</v>
      </c>
      <c r="F226" s="151" t="s">
        <v>1297</v>
      </c>
      <c r="H226" s="152">
        <v>21.15</v>
      </c>
      <c r="I226" s="153"/>
      <c r="L226" s="149"/>
      <c r="N226" s="217">
        <f>38.691*(0.45-0.05)</f>
        <v>15.476400000000002</v>
      </c>
      <c r="O226" s="218" t="s">
        <v>3709</v>
      </c>
      <c r="Q226" s="332"/>
      <c r="AO226" s="154"/>
      <c r="AV226" s="155"/>
      <c r="BV226" s="150" t="s">
        <v>301</v>
      </c>
      <c r="BW226" s="150" t="s">
        <v>83</v>
      </c>
      <c r="BX226" s="12" t="s">
        <v>83</v>
      </c>
      <c r="BY226" s="12" t="s">
        <v>32</v>
      </c>
      <c r="BZ226" s="12" t="s">
        <v>74</v>
      </c>
      <c r="CA226" s="150" t="s">
        <v>282</v>
      </c>
    </row>
    <row r="227" spans="2:93" s="13" customFormat="1" x14ac:dyDescent="0.2">
      <c r="B227" s="156"/>
      <c r="D227" s="138" t="s">
        <v>301</v>
      </c>
      <c r="E227" s="157" t="s">
        <v>1</v>
      </c>
      <c r="F227" s="158" t="s">
        <v>305</v>
      </c>
      <c r="H227" s="159">
        <v>82.021999999999991</v>
      </c>
      <c r="I227" s="160"/>
      <c r="L227" s="156"/>
      <c r="N227" s="219">
        <f>N216+N218+N220+N222+N223+N224+N226</f>
        <v>61.048472000000004</v>
      </c>
      <c r="O227" s="220"/>
      <c r="Q227" s="334"/>
      <c r="AO227" s="161"/>
      <c r="AV227" s="162"/>
      <c r="BV227" s="157" t="s">
        <v>301</v>
      </c>
      <c r="BW227" s="157" t="s">
        <v>83</v>
      </c>
      <c r="BX227" s="13" t="s">
        <v>95</v>
      </c>
      <c r="BY227" s="13" t="s">
        <v>32</v>
      </c>
      <c r="BZ227" s="13" t="s">
        <v>81</v>
      </c>
      <c r="CA227" s="157" t="s">
        <v>282</v>
      </c>
    </row>
    <row r="228" spans="2:93" s="13" customFormat="1" x14ac:dyDescent="0.2">
      <c r="B228" s="156"/>
      <c r="D228" s="138"/>
      <c r="E228" s="157"/>
      <c r="F228" s="158"/>
      <c r="H228" s="159"/>
      <c r="I228" s="160"/>
      <c r="L228" s="156"/>
      <c r="N228" s="311">
        <f>N227-H227</f>
        <v>-20.973527999999988</v>
      </c>
      <c r="O228" s="220"/>
      <c r="Q228" s="334"/>
      <c r="AO228" s="161"/>
      <c r="AV228" s="162"/>
      <c r="BV228" s="157"/>
      <c r="BW228" s="157"/>
      <c r="CA228" s="157"/>
    </row>
    <row r="229" spans="2:93" s="1" customFormat="1" ht="14.45" customHeight="1" x14ac:dyDescent="0.2">
      <c r="B229" s="124"/>
      <c r="C229" s="170" t="s">
        <v>392</v>
      </c>
      <c r="D229" s="170" t="s">
        <v>439</v>
      </c>
      <c r="E229" s="171" t="s">
        <v>440</v>
      </c>
      <c r="F229" s="172" t="s">
        <v>441</v>
      </c>
      <c r="G229" s="173" t="s">
        <v>418</v>
      </c>
      <c r="H229" s="174">
        <v>147.458</v>
      </c>
      <c r="I229" s="175">
        <v>390.0974172</v>
      </c>
      <c r="J229" s="176">
        <f>ROUND(I229*H229,2)</f>
        <v>57522.98</v>
      </c>
      <c r="K229" s="172" t="s">
        <v>293</v>
      </c>
      <c r="L229" s="268">
        <f>S229</f>
        <v>0</v>
      </c>
      <c r="M229" s="272">
        <f>ROUND(L229*I229,2)</f>
        <v>0</v>
      </c>
      <c r="N229" s="243">
        <f>N240</f>
        <v>-12.500100000000003</v>
      </c>
      <c r="O229" s="294">
        <f>ROUND(N229*I229,2)</f>
        <v>-4876.26</v>
      </c>
      <c r="P229" s="273">
        <f>H229-L229-N229</f>
        <v>159.9581</v>
      </c>
      <c r="Q229" s="268">
        <f>ROUND(P229*I229,2)</f>
        <v>62399.24</v>
      </c>
      <c r="R229" s="137"/>
      <c r="S229" s="269">
        <f>W229+Y229+AA229+AC229+AE229+AG229</f>
        <v>0</v>
      </c>
      <c r="T229" s="269">
        <f>ROUND(S229*I229,2)</f>
        <v>0</v>
      </c>
      <c r="U229" s="269">
        <f>H229-S229</f>
        <v>147.458</v>
      </c>
      <c r="V229" s="269">
        <f>ROUND(U229*I229,2)</f>
        <v>57522.98</v>
      </c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189"/>
      <c r="AJ229" s="189"/>
      <c r="AK229" s="189"/>
      <c r="AL229" s="189"/>
      <c r="AM229" s="189"/>
      <c r="AN229" s="189"/>
      <c r="AO229" s="177" t="s">
        <v>1</v>
      </c>
      <c r="AP229" s="178" t="s">
        <v>40</v>
      </c>
      <c r="AR229" s="134">
        <f>AQ229*H229</f>
        <v>0</v>
      </c>
      <c r="AS229" s="134">
        <v>1</v>
      </c>
      <c r="AT229" s="134">
        <f>AS229*H229</f>
        <v>147.458</v>
      </c>
      <c r="AU229" s="134">
        <v>0</v>
      </c>
      <c r="AV229" s="135">
        <f>AU229*H229</f>
        <v>0</v>
      </c>
      <c r="BT229" s="136" t="s">
        <v>328</v>
      </c>
      <c r="BV229" s="136" t="s">
        <v>439</v>
      </c>
      <c r="BW229" s="136" t="s">
        <v>83</v>
      </c>
      <c r="CA229" s="16" t="s">
        <v>282</v>
      </c>
      <c r="CG229" s="137">
        <f>IF(AP229="základní",J229,0)</f>
        <v>57522.98</v>
      </c>
      <c r="CH229" s="137">
        <f>IF(AP229="snížená",J229,0)</f>
        <v>0</v>
      </c>
      <c r="CI229" s="137">
        <f>IF(AP229="zákl. přenesená",J229,0)</f>
        <v>0</v>
      </c>
      <c r="CJ229" s="137">
        <f>IF(AP229="sníž. přenesená",J229,0)</f>
        <v>0</v>
      </c>
      <c r="CK229" s="137">
        <f>IF(AP229="nulová",J229,0)</f>
        <v>0</v>
      </c>
      <c r="CL229" s="16" t="s">
        <v>81</v>
      </c>
      <c r="CM229" s="137">
        <f>ROUND(I229*H229,2)</f>
        <v>57522.98</v>
      </c>
      <c r="CN229" s="16" t="s">
        <v>95</v>
      </c>
      <c r="CO229" s="136" t="s">
        <v>442</v>
      </c>
    </row>
    <row r="230" spans="2:93" s="1" customFormat="1" x14ac:dyDescent="0.2">
      <c r="B230" s="31"/>
      <c r="D230" s="138" t="s">
        <v>289</v>
      </c>
      <c r="F230" s="139" t="s">
        <v>441</v>
      </c>
      <c r="I230" s="140"/>
      <c r="L230" s="31"/>
      <c r="N230" s="213"/>
      <c r="O230" s="214"/>
      <c r="Q230" s="330"/>
      <c r="AO230" s="141"/>
      <c r="AV230" s="50"/>
      <c r="BV230" s="16" t="s">
        <v>289</v>
      </c>
      <c r="BW230" s="16" t="s">
        <v>83</v>
      </c>
    </row>
    <row r="231" spans="2:93" s="1" customFormat="1" ht="19.5" x14ac:dyDescent="0.2">
      <c r="B231" s="31"/>
      <c r="D231" s="138" t="s">
        <v>299</v>
      </c>
      <c r="F231" s="142" t="s">
        <v>443</v>
      </c>
      <c r="I231" s="140"/>
      <c r="L231" s="31"/>
      <c r="N231" s="213"/>
      <c r="O231" s="214"/>
      <c r="Q231" s="330"/>
      <c r="AO231" s="141"/>
      <c r="AV231" s="50"/>
      <c r="BV231" s="16" t="s">
        <v>299</v>
      </c>
      <c r="BW231" s="16" t="s">
        <v>83</v>
      </c>
    </row>
    <row r="232" spans="2:93" s="11" customFormat="1" x14ac:dyDescent="0.2">
      <c r="B232" s="143"/>
      <c r="D232" s="138" t="s">
        <v>301</v>
      </c>
      <c r="E232" s="144" t="s">
        <v>1</v>
      </c>
      <c r="F232" s="145" t="s">
        <v>1006</v>
      </c>
      <c r="H232" s="144" t="s">
        <v>1</v>
      </c>
      <c r="I232" s="146"/>
      <c r="L232" s="143"/>
      <c r="N232" s="215"/>
      <c r="O232" s="216"/>
      <c r="Q232" s="331"/>
      <c r="AO232" s="147"/>
      <c r="AV232" s="148"/>
      <c r="BV232" s="144" t="s">
        <v>301</v>
      </c>
      <c r="BW232" s="144" t="s">
        <v>83</v>
      </c>
      <c r="BX232" s="11" t="s">
        <v>81</v>
      </c>
      <c r="BY232" s="11" t="s">
        <v>32</v>
      </c>
      <c r="BZ232" s="11" t="s">
        <v>74</v>
      </c>
      <c r="CA232" s="144" t="s">
        <v>282</v>
      </c>
    </row>
    <row r="233" spans="2:93" s="12" customFormat="1" x14ac:dyDescent="0.2">
      <c r="B233" s="149"/>
      <c r="D233" s="138" t="s">
        <v>301</v>
      </c>
      <c r="E233" s="150" t="s">
        <v>1</v>
      </c>
      <c r="F233" s="151" t="s">
        <v>1298</v>
      </c>
      <c r="H233" s="152">
        <v>82.022000000000006</v>
      </c>
      <c r="I233" s="153"/>
      <c r="L233" s="149"/>
      <c r="N233" s="217">
        <v>61.048000000000002</v>
      </c>
      <c r="O233" s="218"/>
      <c r="Q233" s="332"/>
      <c r="AO233" s="154"/>
      <c r="AV233" s="155"/>
      <c r="BV233" s="150" t="s">
        <v>301</v>
      </c>
      <c r="BW233" s="150" t="s">
        <v>83</v>
      </c>
      <c r="BX233" s="12" t="s">
        <v>83</v>
      </c>
      <c r="BY233" s="12" t="s">
        <v>32</v>
      </c>
      <c r="BZ233" s="12" t="s">
        <v>74</v>
      </c>
      <c r="CA233" s="150" t="s">
        <v>282</v>
      </c>
    </row>
    <row r="234" spans="2:93" s="14" customFormat="1" x14ac:dyDescent="0.2">
      <c r="B234" s="163"/>
      <c r="D234" s="138" t="s">
        <v>301</v>
      </c>
      <c r="E234" s="164" t="s">
        <v>1</v>
      </c>
      <c r="F234" s="165" t="s">
        <v>373</v>
      </c>
      <c r="H234" s="166">
        <v>82.022000000000006</v>
      </c>
      <c r="I234" s="167"/>
      <c r="L234" s="163"/>
      <c r="N234" s="221">
        <f>N233</f>
        <v>61.048000000000002</v>
      </c>
      <c r="O234" s="222"/>
      <c r="Q234" s="333"/>
      <c r="AO234" s="168"/>
      <c r="AV234" s="169"/>
      <c r="BV234" s="164" t="s">
        <v>301</v>
      </c>
      <c r="BW234" s="164" t="s">
        <v>83</v>
      </c>
      <c r="BX234" s="14" t="s">
        <v>90</v>
      </c>
      <c r="BY234" s="14" t="s">
        <v>32</v>
      </c>
      <c r="BZ234" s="14" t="s">
        <v>74</v>
      </c>
      <c r="CA234" s="164" t="s">
        <v>282</v>
      </c>
    </row>
    <row r="235" spans="2:93" s="11" customFormat="1" x14ac:dyDescent="0.2">
      <c r="B235" s="143"/>
      <c r="D235" s="138" t="s">
        <v>301</v>
      </c>
      <c r="E235" s="144" t="s">
        <v>1</v>
      </c>
      <c r="F235" s="145" t="s">
        <v>1102</v>
      </c>
      <c r="H235" s="144" t="s">
        <v>1</v>
      </c>
      <c r="I235" s="146"/>
      <c r="L235" s="143"/>
      <c r="N235" s="215"/>
      <c r="O235" s="216"/>
      <c r="Q235" s="331"/>
      <c r="AO235" s="147"/>
      <c r="AV235" s="148"/>
      <c r="BV235" s="144" t="s">
        <v>301</v>
      </c>
      <c r="BW235" s="144" t="s">
        <v>83</v>
      </c>
      <c r="BX235" s="11" t="s">
        <v>81</v>
      </c>
      <c r="BY235" s="11" t="s">
        <v>32</v>
      </c>
      <c r="BZ235" s="11" t="s">
        <v>74</v>
      </c>
      <c r="CA235" s="144" t="s">
        <v>282</v>
      </c>
    </row>
    <row r="236" spans="2:93" s="12" customFormat="1" x14ac:dyDescent="0.2">
      <c r="B236" s="149"/>
      <c r="D236" s="138" t="s">
        <v>301</v>
      </c>
      <c r="E236" s="150" t="s">
        <v>1</v>
      </c>
      <c r="F236" s="151" t="s">
        <v>1287</v>
      </c>
      <c r="H236" s="152">
        <v>8.2929999999999993</v>
      </c>
      <c r="I236" s="153"/>
      <c r="L236" s="149"/>
      <c r="N236" s="217">
        <f>41.49*1*(2.2-0.1-0.45-0.1)*0.1</f>
        <v>6.4309500000000002</v>
      </c>
      <c r="O236" s="218" t="s">
        <v>3700</v>
      </c>
      <c r="Q236" s="332"/>
      <c r="AO236" s="154"/>
      <c r="AV236" s="155"/>
      <c r="BV236" s="150" t="s">
        <v>301</v>
      </c>
      <c r="BW236" s="150" t="s">
        <v>83</v>
      </c>
      <c r="BX236" s="12" t="s">
        <v>83</v>
      </c>
      <c r="BY236" s="12" t="s">
        <v>32</v>
      </c>
      <c r="BZ236" s="12" t="s">
        <v>74</v>
      </c>
      <c r="CA236" s="150" t="s">
        <v>282</v>
      </c>
    </row>
    <row r="237" spans="2:93" s="14" customFormat="1" x14ac:dyDescent="0.2">
      <c r="B237" s="163"/>
      <c r="D237" s="138" t="s">
        <v>301</v>
      </c>
      <c r="E237" s="164" t="s">
        <v>1</v>
      </c>
      <c r="F237" s="165" t="s">
        <v>373</v>
      </c>
      <c r="H237" s="166">
        <v>8.2929999999999993</v>
      </c>
      <c r="I237" s="167"/>
      <c r="L237" s="163"/>
      <c r="N237" s="221">
        <f>N236</f>
        <v>6.4309500000000002</v>
      </c>
      <c r="O237" s="222"/>
      <c r="Q237" s="333"/>
      <c r="AO237" s="168"/>
      <c r="AV237" s="169"/>
      <c r="BV237" s="164" t="s">
        <v>301</v>
      </c>
      <c r="BW237" s="164" t="s">
        <v>83</v>
      </c>
      <c r="BX237" s="14" t="s">
        <v>90</v>
      </c>
      <c r="BY237" s="14" t="s">
        <v>32</v>
      </c>
      <c r="BZ237" s="14" t="s">
        <v>74</v>
      </c>
      <c r="CA237" s="164" t="s">
        <v>282</v>
      </c>
    </row>
    <row r="238" spans="2:93" s="12" customFormat="1" x14ac:dyDescent="0.2">
      <c r="B238" s="149"/>
      <c r="D238" s="138" t="s">
        <v>301</v>
      </c>
      <c r="E238" s="150" t="s">
        <v>1</v>
      </c>
      <c r="F238" s="151" t="s">
        <v>1299</v>
      </c>
      <c r="H238" s="152">
        <v>73.728999999999999</v>
      </c>
      <c r="I238" s="153"/>
      <c r="L238" s="149"/>
      <c r="N238" s="217">
        <f>N234+N237</f>
        <v>67.478949999999998</v>
      </c>
      <c r="O238" s="218"/>
      <c r="Q238" s="332"/>
      <c r="AO238" s="154"/>
      <c r="AV238" s="155"/>
      <c r="BV238" s="150" t="s">
        <v>301</v>
      </c>
      <c r="BW238" s="150" t="s">
        <v>83</v>
      </c>
      <c r="BX238" s="12" t="s">
        <v>83</v>
      </c>
      <c r="BY238" s="12" t="s">
        <v>32</v>
      </c>
      <c r="BZ238" s="12" t="s">
        <v>81</v>
      </c>
      <c r="CA238" s="150" t="s">
        <v>282</v>
      </c>
    </row>
    <row r="239" spans="2:93" s="12" customFormat="1" x14ac:dyDescent="0.2">
      <c r="B239" s="149"/>
      <c r="D239" s="138" t="s">
        <v>301</v>
      </c>
      <c r="F239" s="151" t="s">
        <v>1300</v>
      </c>
      <c r="H239" s="152">
        <v>147.458</v>
      </c>
      <c r="I239" s="153"/>
      <c r="L239" s="149"/>
      <c r="N239" s="217">
        <f>N238*2</f>
        <v>134.9579</v>
      </c>
      <c r="O239" s="218"/>
      <c r="Q239" s="332"/>
      <c r="AO239" s="154"/>
      <c r="AV239" s="155"/>
      <c r="BV239" s="150" t="s">
        <v>301</v>
      </c>
      <c r="BW239" s="150" t="s">
        <v>83</v>
      </c>
      <c r="BX239" s="12" t="s">
        <v>83</v>
      </c>
      <c r="BY239" s="12" t="s">
        <v>3</v>
      </c>
      <c r="BZ239" s="12" t="s">
        <v>81</v>
      </c>
      <c r="CA239" s="150" t="s">
        <v>282</v>
      </c>
    </row>
    <row r="240" spans="2:93" s="12" customFormat="1" x14ac:dyDescent="0.2">
      <c r="B240" s="149"/>
      <c r="D240" s="138"/>
      <c r="F240" s="151"/>
      <c r="H240" s="152"/>
      <c r="I240" s="153"/>
      <c r="L240" s="149"/>
      <c r="N240" s="310">
        <f>N239-H239</f>
        <v>-12.500100000000003</v>
      </c>
      <c r="O240" s="218"/>
      <c r="Q240" s="332"/>
      <c r="AO240" s="154"/>
      <c r="AV240" s="155"/>
      <c r="BV240" s="150"/>
      <c r="BW240" s="150"/>
      <c r="CA240" s="150"/>
    </row>
    <row r="241" spans="2:93" s="1" customFormat="1" ht="24.2" customHeight="1" x14ac:dyDescent="0.2">
      <c r="B241" s="124"/>
      <c r="C241" s="125" t="s">
        <v>397</v>
      </c>
      <c r="D241" s="125" t="s">
        <v>284</v>
      </c>
      <c r="E241" s="126" t="s">
        <v>446</v>
      </c>
      <c r="F241" s="127" t="s">
        <v>447</v>
      </c>
      <c r="G241" s="128" t="s">
        <v>366</v>
      </c>
      <c r="H241" s="129">
        <v>24.074999999999999</v>
      </c>
      <c r="I241" s="130">
        <v>510.38291484661499</v>
      </c>
      <c r="J241" s="131">
        <f>ROUND(I241*H241,2)</f>
        <v>12287.47</v>
      </c>
      <c r="K241" s="127" t="s">
        <v>293</v>
      </c>
      <c r="L241" s="268">
        <f>S241</f>
        <v>0</v>
      </c>
      <c r="M241" s="272">
        <f>ROUND(L241*I241,2)</f>
        <v>0</v>
      </c>
      <c r="N241" s="243">
        <f>N245</f>
        <v>-5.4044999999999987</v>
      </c>
      <c r="O241" s="294">
        <f>ROUND(N241*I241,2)</f>
        <v>-2758.36</v>
      </c>
      <c r="P241" s="273">
        <f>H241-L241-N241</f>
        <v>29.479499999999998</v>
      </c>
      <c r="Q241" s="268">
        <f>ROUND(P241*I241,2)</f>
        <v>15045.83</v>
      </c>
      <c r="R241" s="137"/>
      <c r="S241" s="269">
        <f>W241+Y241+AA241+AC241+AE241+AG241</f>
        <v>0</v>
      </c>
      <c r="T241" s="269">
        <f>ROUND(S241*I241,2)</f>
        <v>0</v>
      </c>
      <c r="U241" s="269">
        <f>H241-S241</f>
        <v>24.074999999999999</v>
      </c>
      <c r="V241" s="269">
        <f>ROUND(U241*I241,2)</f>
        <v>12287.47</v>
      </c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O241" s="132" t="s">
        <v>1</v>
      </c>
      <c r="AP241" s="133" t="s">
        <v>40</v>
      </c>
      <c r="AR241" s="134">
        <f>AQ241*H241</f>
        <v>0</v>
      </c>
      <c r="AS241" s="134">
        <v>0</v>
      </c>
      <c r="AT241" s="134">
        <f>AS241*H241</f>
        <v>0</v>
      </c>
      <c r="AU241" s="134">
        <v>0</v>
      </c>
      <c r="AV241" s="135">
        <f>AU241*H241</f>
        <v>0</v>
      </c>
      <c r="BT241" s="136" t="s">
        <v>95</v>
      </c>
      <c r="BV241" s="136" t="s">
        <v>284</v>
      </c>
      <c r="BW241" s="136" t="s">
        <v>83</v>
      </c>
      <c r="CA241" s="16" t="s">
        <v>282</v>
      </c>
      <c r="CG241" s="137">
        <f>IF(AP241="základní",J241,0)</f>
        <v>12287.47</v>
      </c>
      <c r="CH241" s="137">
        <f>IF(AP241="snížená",J241,0)</f>
        <v>0</v>
      </c>
      <c r="CI241" s="137">
        <f>IF(AP241="zákl. přenesená",J241,0)</f>
        <v>0</v>
      </c>
      <c r="CJ241" s="137">
        <f>IF(AP241="sníž. přenesená",J241,0)</f>
        <v>0</v>
      </c>
      <c r="CK241" s="137">
        <f>IF(AP241="nulová",J241,0)</f>
        <v>0</v>
      </c>
      <c r="CL241" s="16" t="s">
        <v>81</v>
      </c>
      <c r="CM241" s="137">
        <f>ROUND(I241*H241,2)</f>
        <v>12287.47</v>
      </c>
      <c r="CN241" s="16" t="s">
        <v>95</v>
      </c>
      <c r="CO241" s="136" t="s">
        <v>448</v>
      </c>
    </row>
    <row r="242" spans="2:93" s="1" customFormat="1" ht="39" x14ac:dyDescent="0.2">
      <c r="B242" s="31"/>
      <c r="D242" s="138" t="s">
        <v>289</v>
      </c>
      <c r="F242" s="139" t="s">
        <v>449</v>
      </c>
      <c r="I242" s="140"/>
      <c r="L242" s="31"/>
      <c r="N242" s="213"/>
      <c r="O242" s="214"/>
      <c r="Q242" s="330"/>
      <c r="AO242" s="141"/>
      <c r="AV242" s="50"/>
      <c r="BV242" s="16" t="s">
        <v>289</v>
      </c>
      <c r="BW242" s="16" t="s">
        <v>83</v>
      </c>
    </row>
    <row r="243" spans="2:93" s="1" customFormat="1" ht="29.25" x14ac:dyDescent="0.2">
      <c r="B243" s="31"/>
      <c r="D243" s="138" t="s">
        <v>299</v>
      </c>
      <c r="F243" s="142" t="s">
        <v>1083</v>
      </c>
      <c r="I243" s="140"/>
      <c r="L243" s="31"/>
      <c r="N243" s="213"/>
      <c r="O243" s="214"/>
      <c r="Q243" s="330"/>
      <c r="AO243" s="141"/>
      <c r="AV243" s="50"/>
      <c r="BV243" s="16" t="s">
        <v>299</v>
      </c>
      <c r="BW243" s="16" t="s">
        <v>83</v>
      </c>
    </row>
    <row r="244" spans="2:93" s="12" customFormat="1" x14ac:dyDescent="0.2">
      <c r="B244" s="149"/>
      <c r="D244" s="138" t="s">
        <v>301</v>
      </c>
      <c r="E244" s="150" t="s">
        <v>1</v>
      </c>
      <c r="F244" s="151" t="s">
        <v>1301</v>
      </c>
      <c r="H244" s="152">
        <v>24.074999999999999</v>
      </c>
      <c r="I244" s="153"/>
      <c r="L244" s="149"/>
      <c r="N244" s="217">
        <f>41.49*1*0.45</f>
        <v>18.670500000000001</v>
      </c>
      <c r="O244" s="218" t="s">
        <v>3702</v>
      </c>
      <c r="Q244" s="332"/>
      <c r="AO244" s="154"/>
      <c r="AV244" s="155"/>
      <c r="BV244" s="150" t="s">
        <v>301</v>
      </c>
      <c r="BW244" s="150" t="s">
        <v>83</v>
      </c>
      <c r="BX244" s="12" t="s">
        <v>83</v>
      </c>
      <c r="BY244" s="12" t="s">
        <v>32</v>
      </c>
      <c r="BZ244" s="12" t="s">
        <v>81</v>
      </c>
      <c r="CA244" s="150" t="s">
        <v>282</v>
      </c>
    </row>
    <row r="245" spans="2:93" s="12" customFormat="1" x14ac:dyDescent="0.2">
      <c r="B245" s="149"/>
      <c r="D245" s="138"/>
      <c r="E245" s="150"/>
      <c r="F245" s="151"/>
      <c r="H245" s="152"/>
      <c r="I245" s="153"/>
      <c r="L245" s="149"/>
      <c r="N245" s="310">
        <f>N244-H244</f>
        <v>-5.4044999999999987</v>
      </c>
      <c r="O245" s="218"/>
      <c r="Q245" s="332"/>
      <c r="AO245" s="154"/>
      <c r="AV245" s="155"/>
      <c r="BV245" s="150"/>
      <c r="BW245" s="150"/>
      <c r="CA245" s="150"/>
    </row>
    <row r="246" spans="2:93" s="1" customFormat="1" ht="14.45" customHeight="1" x14ac:dyDescent="0.2">
      <c r="B246" s="124"/>
      <c r="C246" s="170" t="s">
        <v>404</v>
      </c>
      <c r="D246" s="170" t="s">
        <v>439</v>
      </c>
      <c r="E246" s="171" t="s">
        <v>452</v>
      </c>
      <c r="F246" s="172" t="s">
        <v>453</v>
      </c>
      <c r="G246" s="173" t="s">
        <v>418</v>
      </c>
      <c r="H246" s="174">
        <v>48.15</v>
      </c>
      <c r="I246" s="175">
        <v>380.62816190000001</v>
      </c>
      <c r="J246" s="176">
        <f>ROUND(I246*H246,2)</f>
        <v>18327.25</v>
      </c>
      <c r="K246" s="172" t="s">
        <v>293</v>
      </c>
      <c r="L246" s="268">
        <f>S246</f>
        <v>0</v>
      </c>
      <c r="M246" s="272">
        <f>ROUND(L246*I246,2)</f>
        <v>0</v>
      </c>
      <c r="N246" s="243">
        <f>N248</f>
        <v>-10.8</v>
      </c>
      <c r="O246" s="294">
        <f>ROUND(N246*I246,2)</f>
        <v>-4110.78</v>
      </c>
      <c r="P246" s="273">
        <f>H246-L246-N246</f>
        <v>58.95</v>
      </c>
      <c r="Q246" s="268">
        <f>ROUND(P246*I246,2)</f>
        <v>22438.03</v>
      </c>
      <c r="R246" s="137"/>
      <c r="S246" s="269">
        <f>W246+Y246+AA246+AC246+AE246+AG246</f>
        <v>0</v>
      </c>
      <c r="T246" s="269">
        <f>ROUND(S246*I246,2)</f>
        <v>0</v>
      </c>
      <c r="U246" s="269">
        <f>H246-S246</f>
        <v>48.15</v>
      </c>
      <c r="V246" s="269">
        <f>ROUND(U246*I246,2)</f>
        <v>18327.25</v>
      </c>
      <c r="W246" s="290"/>
      <c r="X246" s="290"/>
      <c r="Y246" s="290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189"/>
      <c r="AJ246" s="189"/>
      <c r="AK246" s="189"/>
      <c r="AL246" s="189"/>
      <c r="AM246" s="189"/>
      <c r="AN246" s="189"/>
      <c r="AO246" s="177" t="s">
        <v>1</v>
      </c>
      <c r="AP246" s="178" t="s">
        <v>40</v>
      </c>
      <c r="AR246" s="134">
        <f>AQ246*H246</f>
        <v>0</v>
      </c>
      <c r="AS246" s="134">
        <v>1</v>
      </c>
      <c r="AT246" s="134">
        <f>AS246*H246</f>
        <v>48.15</v>
      </c>
      <c r="AU246" s="134">
        <v>0</v>
      </c>
      <c r="AV246" s="135">
        <f>AU246*H246</f>
        <v>0</v>
      </c>
      <c r="BT246" s="136" t="s">
        <v>328</v>
      </c>
      <c r="BV246" s="136" t="s">
        <v>439</v>
      </c>
      <c r="BW246" s="136" t="s">
        <v>83</v>
      </c>
      <c r="CA246" s="16" t="s">
        <v>282</v>
      </c>
      <c r="CG246" s="137">
        <f>IF(AP246="základní",J246,0)</f>
        <v>18327.25</v>
      </c>
      <c r="CH246" s="137">
        <f>IF(AP246="snížená",J246,0)</f>
        <v>0</v>
      </c>
      <c r="CI246" s="137">
        <f>IF(AP246="zákl. přenesená",J246,0)</f>
        <v>0</v>
      </c>
      <c r="CJ246" s="137">
        <f>IF(AP246="sníž. přenesená",J246,0)</f>
        <v>0</v>
      </c>
      <c r="CK246" s="137">
        <f>IF(AP246="nulová",J246,0)</f>
        <v>0</v>
      </c>
      <c r="CL246" s="16" t="s">
        <v>81</v>
      </c>
      <c r="CM246" s="137">
        <f>ROUND(I246*H246,2)</f>
        <v>18327.25</v>
      </c>
      <c r="CN246" s="16" t="s">
        <v>95</v>
      </c>
      <c r="CO246" s="136" t="s">
        <v>454</v>
      </c>
    </row>
    <row r="247" spans="2:93" s="1" customFormat="1" x14ac:dyDescent="0.2">
      <c r="B247" s="31"/>
      <c r="D247" s="138" t="s">
        <v>289</v>
      </c>
      <c r="F247" s="139" t="s">
        <v>453</v>
      </c>
      <c r="I247" s="140"/>
      <c r="L247" s="31"/>
      <c r="N247" s="213"/>
      <c r="O247" s="214"/>
      <c r="Q247" s="330"/>
      <c r="AO247" s="141"/>
      <c r="AV247" s="50"/>
      <c r="BV247" s="16" t="s">
        <v>289</v>
      </c>
      <c r="BW247" s="16" t="s">
        <v>83</v>
      </c>
    </row>
    <row r="248" spans="2:93" s="12" customFormat="1" x14ac:dyDescent="0.2">
      <c r="B248" s="149"/>
      <c r="D248" s="138" t="s">
        <v>301</v>
      </c>
      <c r="F248" s="151" t="s">
        <v>1302</v>
      </c>
      <c r="H248" s="152">
        <v>48.15</v>
      </c>
      <c r="I248" s="153"/>
      <c r="L248" s="149"/>
      <c r="N248" s="217">
        <f>-5.4*2</f>
        <v>-10.8</v>
      </c>
      <c r="O248" s="218" t="s">
        <v>3703</v>
      </c>
      <c r="Q248" s="332"/>
      <c r="AO248" s="154"/>
      <c r="AV248" s="155"/>
      <c r="BV248" s="150" t="s">
        <v>301</v>
      </c>
      <c r="BW248" s="150" t="s">
        <v>83</v>
      </c>
      <c r="BX248" s="12" t="s">
        <v>83</v>
      </c>
      <c r="BY248" s="12" t="s">
        <v>3</v>
      </c>
      <c r="BZ248" s="12" t="s">
        <v>81</v>
      </c>
      <c r="CA248" s="150" t="s">
        <v>282</v>
      </c>
    </row>
    <row r="249" spans="2:93" s="1" customFormat="1" ht="24.2" customHeight="1" x14ac:dyDescent="0.2">
      <c r="B249" s="124"/>
      <c r="C249" s="125" t="s">
        <v>7</v>
      </c>
      <c r="D249" s="125" t="s">
        <v>284</v>
      </c>
      <c r="E249" s="126" t="s">
        <v>1012</v>
      </c>
      <c r="F249" s="127" t="s">
        <v>1013</v>
      </c>
      <c r="G249" s="128" t="s">
        <v>287</v>
      </c>
      <c r="H249" s="129">
        <v>16.05</v>
      </c>
      <c r="I249" s="130">
        <v>64.410667599999996</v>
      </c>
      <c r="J249" s="131">
        <f>ROUND(I249*H249,2)</f>
        <v>1033.79</v>
      </c>
      <c r="K249" s="127" t="s">
        <v>1</v>
      </c>
      <c r="L249" s="268">
        <f>S249</f>
        <v>0</v>
      </c>
      <c r="M249" s="272">
        <f>ROUND(L249*I249,2)</f>
        <v>0</v>
      </c>
      <c r="N249" s="243">
        <f>N251</f>
        <v>-3.6029999999999998</v>
      </c>
      <c r="O249" s="294">
        <f>ROUND(N249*I249,2)</f>
        <v>-232.07</v>
      </c>
      <c r="P249" s="273">
        <f>H249-L249-N249</f>
        <v>19.652999999999999</v>
      </c>
      <c r="Q249" s="268">
        <f>ROUND(P249*I249,2)</f>
        <v>1265.8599999999999</v>
      </c>
      <c r="R249" s="137"/>
      <c r="S249" s="269">
        <f>W249+Y249+AA249+AC249+AE249+AG249</f>
        <v>0</v>
      </c>
      <c r="T249" s="269">
        <f>ROUND(S249*I249,2)</f>
        <v>0</v>
      </c>
      <c r="U249" s="269">
        <f>H249-S249</f>
        <v>16.05</v>
      </c>
      <c r="V249" s="269">
        <f>ROUND(U249*I249,2)</f>
        <v>1033.79</v>
      </c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O249" s="132" t="s">
        <v>1</v>
      </c>
      <c r="AP249" s="133" t="s">
        <v>40</v>
      </c>
      <c r="AR249" s="134">
        <f>AQ249*H249</f>
        <v>0</v>
      </c>
      <c r="AS249" s="134">
        <v>0</v>
      </c>
      <c r="AT249" s="134">
        <f>AS249*H249</f>
        <v>0</v>
      </c>
      <c r="AU249" s="134">
        <v>0</v>
      </c>
      <c r="AV249" s="135">
        <f>AU249*H249</f>
        <v>0</v>
      </c>
      <c r="BT249" s="136" t="s">
        <v>95</v>
      </c>
      <c r="BV249" s="136" t="s">
        <v>284</v>
      </c>
      <c r="BW249" s="136" t="s">
        <v>83</v>
      </c>
      <c r="CA249" s="16" t="s">
        <v>282</v>
      </c>
      <c r="CG249" s="137">
        <f>IF(AP249="základní",J249,0)</f>
        <v>1033.79</v>
      </c>
      <c r="CH249" s="137">
        <f>IF(AP249="snížená",J249,0)</f>
        <v>0</v>
      </c>
      <c r="CI249" s="137">
        <f>IF(AP249="zákl. přenesená",J249,0)</f>
        <v>0</v>
      </c>
      <c r="CJ249" s="137">
        <f>IF(AP249="sníž. přenesená",J249,0)</f>
        <v>0</v>
      </c>
      <c r="CK249" s="137">
        <f>IF(AP249="nulová",J249,0)</f>
        <v>0</v>
      </c>
      <c r="CL249" s="16" t="s">
        <v>81</v>
      </c>
      <c r="CM249" s="137">
        <f>ROUND(I249*H249,2)</f>
        <v>1033.79</v>
      </c>
      <c r="CN249" s="16" t="s">
        <v>95</v>
      </c>
      <c r="CO249" s="136" t="s">
        <v>1014</v>
      </c>
    </row>
    <row r="250" spans="2:93" s="1" customFormat="1" x14ac:dyDescent="0.2">
      <c r="B250" s="31"/>
      <c r="D250" s="138" t="s">
        <v>289</v>
      </c>
      <c r="F250" s="139" t="s">
        <v>1013</v>
      </c>
      <c r="I250" s="140"/>
      <c r="L250" s="31"/>
      <c r="N250" s="213"/>
      <c r="O250" s="214"/>
      <c r="Q250" s="330"/>
      <c r="AO250" s="141"/>
      <c r="AV250" s="50"/>
      <c r="BV250" s="16" t="s">
        <v>289</v>
      </c>
      <c r="BW250" s="16" t="s">
        <v>83</v>
      </c>
    </row>
    <row r="251" spans="2:93" s="1" customFormat="1" ht="24.2" customHeight="1" x14ac:dyDescent="0.2">
      <c r="B251" s="124"/>
      <c r="C251" s="125" t="s">
        <v>415</v>
      </c>
      <c r="D251" s="125" t="s">
        <v>284</v>
      </c>
      <c r="E251" s="126" t="s">
        <v>1015</v>
      </c>
      <c r="F251" s="127" t="s">
        <v>1016</v>
      </c>
      <c r="G251" s="128" t="s">
        <v>287</v>
      </c>
      <c r="H251" s="129">
        <v>16.05</v>
      </c>
      <c r="I251" s="130">
        <v>48.300657632010001</v>
      </c>
      <c r="J251" s="131">
        <f>ROUND(I251*H251,2)</f>
        <v>775.23</v>
      </c>
      <c r="K251" s="127" t="s">
        <v>293</v>
      </c>
      <c r="L251" s="268">
        <f>S251</f>
        <v>0</v>
      </c>
      <c r="M251" s="272">
        <f>ROUND(L251*I251,2)</f>
        <v>0</v>
      </c>
      <c r="N251" s="243">
        <f>N256</f>
        <v>-3.6029999999999998</v>
      </c>
      <c r="O251" s="294">
        <f>ROUND(N251*I251,2)</f>
        <v>-174.03</v>
      </c>
      <c r="P251" s="273">
        <f>H251-L251-N251</f>
        <v>19.652999999999999</v>
      </c>
      <c r="Q251" s="268">
        <f>ROUND(P251*I251,2)</f>
        <v>949.25</v>
      </c>
      <c r="R251" s="137"/>
      <c r="S251" s="269">
        <f>W251+Y251+AA251+AC251+AE251+AG251</f>
        <v>0</v>
      </c>
      <c r="T251" s="269">
        <f>ROUND(S251*I251,2)</f>
        <v>0</v>
      </c>
      <c r="U251" s="269">
        <f>H251-S251</f>
        <v>16.05</v>
      </c>
      <c r="V251" s="269">
        <f>ROUND(U251*I251,2)</f>
        <v>775.23</v>
      </c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O251" s="132" t="s">
        <v>1</v>
      </c>
      <c r="AP251" s="133" t="s">
        <v>40</v>
      </c>
      <c r="AR251" s="134">
        <f>AQ251*H251</f>
        <v>0</v>
      </c>
      <c r="AS251" s="134">
        <v>0</v>
      </c>
      <c r="AT251" s="134">
        <f>AS251*H251</f>
        <v>0</v>
      </c>
      <c r="AU251" s="134">
        <v>0</v>
      </c>
      <c r="AV251" s="135">
        <f>AU251*H251</f>
        <v>0</v>
      </c>
      <c r="BT251" s="136" t="s">
        <v>95</v>
      </c>
      <c r="BV251" s="136" t="s">
        <v>284</v>
      </c>
      <c r="BW251" s="136" t="s">
        <v>83</v>
      </c>
      <c r="CA251" s="16" t="s">
        <v>282</v>
      </c>
      <c r="CG251" s="137">
        <f>IF(AP251="základní",J251,0)</f>
        <v>775.23</v>
      </c>
      <c r="CH251" s="137">
        <f>IF(AP251="snížená",J251,0)</f>
        <v>0</v>
      </c>
      <c r="CI251" s="137">
        <f>IF(AP251="zákl. přenesená",J251,0)</f>
        <v>0</v>
      </c>
      <c r="CJ251" s="137">
        <f>IF(AP251="sníž. přenesená",J251,0)</f>
        <v>0</v>
      </c>
      <c r="CK251" s="137">
        <f>IF(AP251="nulová",J251,0)</f>
        <v>0</v>
      </c>
      <c r="CL251" s="16" t="s">
        <v>81</v>
      </c>
      <c r="CM251" s="137">
        <f>ROUND(I251*H251,2)</f>
        <v>775.23</v>
      </c>
      <c r="CN251" s="16" t="s">
        <v>95</v>
      </c>
      <c r="CO251" s="136" t="s">
        <v>1017</v>
      </c>
    </row>
    <row r="252" spans="2:93" s="1" customFormat="1" ht="29.25" x14ac:dyDescent="0.2">
      <c r="B252" s="31"/>
      <c r="D252" s="138" t="s">
        <v>289</v>
      </c>
      <c r="F252" s="139" t="s">
        <v>1018</v>
      </c>
      <c r="I252" s="140"/>
      <c r="L252" s="31"/>
      <c r="N252" s="213"/>
      <c r="O252" s="214"/>
      <c r="Q252" s="330"/>
      <c r="AO252" s="141"/>
      <c r="AV252" s="50"/>
      <c r="BV252" s="16" t="s">
        <v>289</v>
      </c>
      <c r="BW252" s="16" t="s">
        <v>83</v>
      </c>
    </row>
    <row r="253" spans="2:93" s="1" customFormat="1" ht="29.25" x14ac:dyDescent="0.2">
      <c r="B253" s="31"/>
      <c r="D253" s="138" t="s">
        <v>299</v>
      </c>
      <c r="F253" s="142" t="s">
        <v>1083</v>
      </c>
      <c r="I253" s="140"/>
      <c r="L253" s="31"/>
      <c r="N253" s="213"/>
      <c r="O253" s="214"/>
      <c r="Q253" s="330"/>
      <c r="AO253" s="141"/>
      <c r="AV253" s="50"/>
      <c r="BV253" s="16" t="s">
        <v>299</v>
      </c>
      <c r="BW253" s="16" t="s">
        <v>83</v>
      </c>
    </row>
    <row r="254" spans="2:93" s="11" customFormat="1" x14ac:dyDescent="0.2">
      <c r="B254" s="143"/>
      <c r="D254" s="138" t="s">
        <v>301</v>
      </c>
      <c r="E254" s="144" t="s">
        <v>1</v>
      </c>
      <c r="F254" s="145" t="s">
        <v>1088</v>
      </c>
      <c r="H254" s="144" t="s">
        <v>1</v>
      </c>
      <c r="I254" s="146"/>
      <c r="L254" s="143"/>
      <c r="N254" s="215"/>
      <c r="O254" s="216"/>
      <c r="Q254" s="331"/>
      <c r="AO254" s="147"/>
      <c r="AV254" s="148"/>
      <c r="BV254" s="144" t="s">
        <v>301</v>
      </c>
      <c r="BW254" s="144" t="s">
        <v>83</v>
      </c>
      <c r="BX254" s="11" t="s">
        <v>81</v>
      </c>
      <c r="BY254" s="11" t="s">
        <v>32</v>
      </c>
      <c r="BZ254" s="11" t="s">
        <v>74</v>
      </c>
      <c r="CA254" s="144" t="s">
        <v>282</v>
      </c>
    </row>
    <row r="255" spans="2:93" s="12" customFormat="1" x14ac:dyDescent="0.2">
      <c r="B255" s="149"/>
      <c r="D255" s="138" t="s">
        <v>301</v>
      </c>
      <c r="E255" s="150" t="s">
        <v>1</v>
      </c>
      <c r="F255" s="151" t="s">
        <v>1276</v>
      </c>
      <c r="H255" s="152">
        <v>16.05</v>
      </c>
      <c r="I255" s="153"/>
      <c r="L255" s="149"/>
      <c r="N255" s="217">
        <f>41.49*3*0.1</f>
        <v>12.447000000000001</v>
      </c>
      <c r="O255" s="218" t="s">
        <v>3691</v>
      </c>
      <c r="Q255" s="332"/>
      <c r="AO255" s="154"/>
      <c r="AV255" s="155"/>
      <c r="BV255" s="150" t="s">
        <v>301</v>
      </c>
      <c r="BW255" s="150" t="s">
        <v>83</v>
      </c>
      <c r="BX255" s="12" t="s">
        <v>83</v>
      </c>
      <c r="BY255" s="12" t="s">
        <v>32</v>
      </c>
      <c r="BZ255" s="12" t="s">
        <v>81</v>
      </c>
      <c r="CA255" s="150" t="s">
        <v>282</v>
      </c>
    </row>
    <row r="256" spans="2:93" s="12" customFormat="1" x14ac:dyDescent="0.2">
      <c r="B256" s="149"/>
      <c r="D256" s="138"/>
      <c r="E256" s="150"/>
      <c r="F256" s="151"/>
      <c r="H256" s="152"/>
      <c r="I256" s="153"/>
      <c r="L256" s="149"/>
      <c r="N256" s="310">
        <f>N255-H255</f>
        <v>-3.6029999999999998</v>
      </c>
      <c r="O256" s="218"/>
      <c r="Q256" s="332"/>
      <c r="AO256" s="154"/>
      <c r="AV256" s="155"/>
      <c r="BV256" s="150"/>
      <c r="BW256" s="150"/>
      <c r="CA256" s="150"/>
    </row>
    <row r="257" spans="2:93" s="1" customFormat="1" ht="24.2" customHeight="1" x14ac:dyDescent="0.2">
      <c r="B257" s="124"/>
      <c r="C257" s="125" t="s">
        <v>422</v>
      </c>
      <c r="D257" s="125" t="s">
        <v>284</v>
      </c>
      <c r="E257" s="126" t="s">
        <v>457</v>
      </c>
      <c r="F257" s="127" t="s">
        <v>458</v>
      </c>
      <c r="G257" s="128" t="s">
        <v>418</v>
      </c>
      <c r="H257" s="129">
        <v>195.608</v>
      </c>
      <c r="I257" s="130">
        <v>61.737071122597108</v>
      </c>
      <c r="J257" s="131">
        <f>ROUND(I257*H257,2)</f>
        <v>12076.27</v>
      </c>
      <c r="K257" s="127" t="s">
        <v>293</v>
      </c>
      <c r="L257" s="268">
        <f>S257</f>
        <v>0</v>
      </c>
      <c r="M257" s="272">
        <f>ROUND(L257*I257,2)</f>
        <v>0</v>
      </c>
      <c r="N257" s="243">
        <f>N259</f>
        <v>-23.3</v>
      </c>
      <c r="O257" s="294">
        <f>ROUND(N257*I257,2)</f>
        <v>-1438.47</v>
      </c>
      <c r="P257" s="273">
        <f>H257-L257-N257</f>
        <v>218.90800000000002</v>
      </c>
      <c r="Q257" s="268">
        <f>ROUND(P257*I257,2)</f>
        <v>13514.74</v>
      </c>
      <c r="R257" s="137"/>
      <c r="S257" s="269">
        <f>W257+Y257+AA257+AC257+AE257+AG257</f>
        <v>0</v>
      </c>
      <c r="T257" s="269">
        <f>ROUND(S257*I257,2)</f>
        <v>0</v>
      </c>
      <c r="U257" s="269">
        <f>H257-S257</f>
        <v>195.608</v>
      </c>
      <c r="V257" s="269">
        <f>ROUND(U257*I257,2)</f>
        <v>12076.27</v>
      </c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O257" s="132" t="s">
        <v>1</v>
      </c>
      <c r="AP257" s="133" t="s">
        <v>40</v>
      </c>
      <c r="AR257" s="134">
        <f>AQ257*H257</f>
        <v>0</v>
      </c>
      <c r="AS257" s="134">
        <v>0</v>
      </c>
      <c r="AT257" s="134">
        <f>AS257*H257</f>
        <v>0</v>
      </c>
      <c r="AU257" s="134">
        <v>0</v>
      </c>
      <c r="AV257" s="135">
        <f>AU257*H257</f>
        <v>0</v>
      </c>
      <c r="BT257" s="136" t="s">
        <v>95</v>
      </c>
      <c r="BV257" s="136" t="s">
        <v>284</v>
      </c>
      <c r="BW257" s="136" t="s">
        <v>83</v>
      </c>
      <c r="CA257" s="16" t="s">
        <v>282</v>
      </c>
      <c r="CG257" s="137">
        <f>IF(AP257="základní",J257,0)</f>
        <v>12076.27</v>
      </c>
      <c r="CH257" s="137">
        <f>IF(AP257="snížená",J257,0)</f>
        <v>0</v>
      </c>
      <c r="CI257" s="137">
        <f>IF(AP257="zákl. přenesená",J257,0)</f>
        <v>0</v>
      </c>
      <c r="CJ257" s="137">
        <f>IF(AP257="sníž. přenesená",J257,0)</f>
        <v>0</v>
      </c>
      <c r="CK257" s="137">
        <f>IF(AP257="nulová",J257,0)</f>
        <v>0</v>
      </c>
      <c r="CL257" s="16" t="s">
        <v>81</v>
      </c>
      <c r="CM257" s="137">
        <f>ROUND(I257*H257,2)</f>
        <v>12076.27</v>
      </c>
      <c r="CN257" s="16" t="s">
        <v>95</v>
      </c>
      <c r="CO257" s="136" t="s">
        <v>459</v>
      </c>
    </row>
    <row r="258" spans="2:93" s="1" customFormat="1" ht="29.25" x14ac:dyDescent="0.2">
      <c r="B258" s="31"/>
      <c r="D258" s="138" t="s">
        <v>289</v>
      </c>
      <c r="F258" s="139" t="s">
        <v>460</v>
      </c>
      <c r="I258" s="140"/>
      <c r="L258" s="31"/>
      <c r="N258" s="213"/>
      <c r="O258" s="214"/>
      <c r="Q258" s="330"/>
      <c r="AO258" s="141"/>
      <c r="AV258" s="50"/>
      <c r="BV258" s="16" t="s">
        <v>289</v>
      </c>
      <c r="BW258" s="16" t="s">
        <v>83</v>
      </c>
    </row>
    <row r="259" spans="2:93" s="12" customFormat="1" x14ac:dyDescent="0.2">
      <c r="B259" s="149"/>
      <c r="D259" s="138" t="s">
        <v>301</v>
      </c>
      <c r="E259" s="150" t="s">
        <v>1</v>
      </c>
      <c r="F259" s="151" t="s">
        <v>1303</v>
      </c>
      <c r="H259" s="152">
        <v>195.608</v>
      </c>
      <c r="I259" s="153"/>
      <c r="L259" s="149"/>
      <c r="N259" s="217">
        <f>-12.5-10.8</f>
        <v>-23.3</v>
      </c>
      <c r="O259" s="218" t="s">
        <v>3710</v>
      </c>
      <c r="Q259" s="332"/>
      <c r="AO259" s="154"/>
      <c r="AV259" s="155"/>
      <c r="BV259" s="150" t="s">
        <v>301</v>
      </c>
      <c r="BW259" s="150" t="s">
        <v>83</v>
      </c>
      <c r="BX259" s="12" t="s">
        <v>83</v>
      </c>
      <c r="BY259" s="12" t="s">
        <v>32</v>
      </c>
      <c r="BZ259" s="12" t="s">
        <v>81</v>
      </c>
      <c r="CA259" s="150" t="s">
        <v>282</v>
      </c>
    </row>
    <row r="260" spans="2:93" s="10" customFormat="1" ht="22.9" customHeight="1" x14ac:dyDescent="0.2">
      <c r="B260" s="112"/>
      <c r="D260" s="113" t="s">
        <v>73</v>
      </c>
      <c r="E260" s="122" t="s">
        <v>83</v>
      </c>
      <c r="F260" s="122" t="s">
        <v>462</v>
      </c>
      <c r="I260" s="115"/>
      <c r="J260" s="123">
        <f>CM260</f>
        <v>14127.65</v>
      </c>
      <c r="L260" s="112"/>
      <c r="M260" s="270">
        <f>M261</f>
        <v>0</v>
      </c>
      <c r="N260" s="301"/>
      <c r="O260" s="302">
        <f t="shared" ref="O260:V260" si="3">O261</f>
        <v>-3171.46</v>
      </c>
      <c r="P260" s="270"/>
      <c r="Q260" s="335">
        <f t="shared" si="3"/>
        <v>17299.12</v>
      </c>
      <c r="R260" s="270"/>
      <c r="S260" s="270"/>
      <c r="T260" s="270">
        <f t="shared" si="3"/>
        <v>0</v>
      </c>
      <c r="U260" s="270"/>
      <c r="V260" s="270">
        <f t="shared" si="3"/>
        <v>14127.65</v>
      </c>
      <c r="AO260" s="117"/>
      <c r="AR260" s="118">
        <f>SUM(AR261:AR264)</f>
        <v>0</v>
      </c>
      <c r="AT260" s="118">
        <f>SUM(AT261:AT264)</f>
        <v>10.950915</v>
      </c>
      <c r="AV260" s="119">
        <f>SUM(AV261:AV264)</f>
        <v>0</v>
      </c>
      <c r="BT260" s="113" t="s">
        <v>81</v>
      </c>
      <c r="BV260" s="120" t="s">
        <v>73</v>
      </c>
      <c r="BW260" s="120" t="s">
        <v>81</v>
      </c>
      <c r="CA260" s="113" t="s">
        <v>282</v>
      </c>
      <c r="CM260" s="121">
        <f>SUM(CM261:CM264)</f>
        <v>14127.65</v>
      </c>
    </row>
    <row r="261" spans="2:93" s="1" customFormat="1" ht="37.9" customHeight="1" x14ac:dyDescent="0.2">
      <c r="B261" s="124"/>
      <c r="C261" s="125" t="s">
        <v>438</v>
      </c>
      <c r="D261" s="125" t="s">
        <v>284</v>
      </c>
      <c r="E261" s="126" t="s">
        <v>464</v>
      </c>
      <c r="F261" s="127" t="s">
        <v>465</v>
      </c>
      <c r="G261" s="128" t="s">
        <v>344</v>
      </c>
      <c r="H261" s="129">
        <v>53.5</v>
      </c>
      <c r="I261" s="130">
        <v>264.06831423630393</v>
      </c>
      <c r="J261" s="131">
        <f>ROUND(I261*H261,2)</f>
        <v>14127.65</v>
      </c>
      <c r="K261" s="127" t="s">
        <v>293</v>
      </c>
      <c r="L261" s="268">
        <f>S261</f>
        <v>0</v>
      </c>
      <c r="M261" s="272">
        <f>ROUND(L261*I261,2)</f>
        <v>0</v>
      </c>
      <c r="N261" s="243">
        <f>N264</f>
        <v>-12.009999999999998</v>
      </c>
      <c r="O261" s="294">
        <f>ROUND(N261*I261,2)</f>
        <v>-3171.46</v>
      </c>
      <c r="P261" s="273">
        <f>H261-L261-N261</f>
        <v>65.509999999999991</v>
      </c>
      <c r="Q261" s="268">
        <f>ROUND(P261*I261,2)</f>
        <v>17299.12</v>
      </c>
      <c r="R261" s="137"/>
      <c r="S261" s="269">
        <f>W261+Y261+AA261+AC261+AE261+AG261</f>
        <v>0</v>
      </c>
      <c r="T261" s="269">
        <f>ROUND(S261*I261,2)</f>
        <v>0</v>
      </c>
      <c r="U261" s="269">
        <f>H261-S261</f>
        <v>53.5</v>
      </c>
      <c r="V261" s="269">
        <f>ROUND(U261*I261,2)</f>
        <v>14127.65</v>
      </c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O261" s="132" t="s">
        <v>1</v>
      </c>
      <c r="AP261" s="133" t="s">
        <v>40</v>
      </c>
      <c r="AR261" s="134">
        <f>AQ261*H261</f>
        <v>0</v>
      </c>
      <c r="AS261" s="134">
        <v>0.20469000000000001</v>
      </c>
      <c r="AT261" s="134">
        <f>AS261*H261</f>
        <v>10.950915</v>
      </c>
      <c r="AU261" s="134">
        <v>0</v>
      </c>
      <c r="AV261" s="135">
        <f>AU261*H261</f>
        <v>0</v>
      </c>
      <c r="BT261" s="136" t="s">
        <v>95</v>
      </c>
      <c r="BV261" s="136" t="s">
        <v>284</v>
      </c>
      <c r="BW261" s="136" t="s">
        <v>83</v>
      </c>
      <c r="CA261" s="16" t="s">
        <v>282</v>
      </c>
      <c r="CG261" s="137">
        <f>IF(AP261="základní",J261,0)</f>
        <v>14127.65</v>
      </c>
      <c r="CH261" s="137">
        <f>IF(AP261="snížená",J261,0)</f>
        <v>0</v>
      </c>
      <c r="CI261" s="137">
        <f>IF(AP261="zákl. přenesená",J261,0)</f>
        <v>0</v>
      </c>
      <c r="CJ261" s="137">
        <f>IF(AP261="sníž. přenesená",J261,0)</f>
        <v>0</v>
      </c>
      <c r="CK261" s="137">
        <f>IF(AP261="nulová",J261,0)</f>
        <v>0</v>
      </c>
      <c r="CL261" s="16" t="s">
        <v>81</v>
      </c>
      <c r="CM261" s="137">
        <f>ROUND(I261*H261,2)</f>
        <v>14127.65</v>
      </c>
      <c r="CN261" s="16" t="s">
        <v>95</v>
      </c>
      <c r="CO261" s="136" t="s">
        <v>466</v>
      </c>
    </row>
    <row r="262" spans="2:93" s="1" customFormat="1" ht="39" x14ac:dyDescent="0.2">
      <c r="B262" s="31"/>
      <c r="D262" s="138" t="s">
        <v>289</v>
      </c>
      <c r="F262" s="139" t="s">
        <v>467</v>
      </c>
      <c r="I262" s="140"/>
      <c r="L262" s="31"/>
      <c r="N262" s="213"/>
      <c r="O262" s="214"/>
      <c r="Q262" s="330"/>
      <c r="AO262" s="141"/>
      <c r="AV262" s="50"/>
      <c r="BV262" s="16" t="s">
        <v>289</v>
      </c>
      <c r="BW262" s="16" t="s">
        <v>83</v>
      </c>
    </row>
    <row r="263" spans="2:93" s="1" customFormat="1" ht="29.25" x14ac:dyDescent="0.2">
      <c r="B263" s="31"/>
      <c r="D263" s="138" t="s">
        <v>299</v>
      </c>
      <c r="F263" s="142" t="s">
        <v>1083</v>
      </c>
      <c r="I263" s="140"/>
      <c r="L263" s="31"/>
      <c r="N263" s="213"/>
      <c r="O263" s="214"/>
      <c r="Q263" s="330"/>
      <c r="AO263" s="141"/>
      <c r="AV263" s="50"/>
      <c r="BV263" s="16" t="s">
        <v>299</v>
      </c>
      <c r="BW263" s="16" t="s">
        <v>83</v>
      </c>
    </row>
    <row r="264" spans="2:93" s="12" customFormat="1" x14ac:dyDescent="0.2">
      <c r="B264" s="149"/>
      <c r="D264" s="138" t="s">
        <v>301</v>
      </c>
      <c r="E264" s="150" t="s">
        <v>1</v>
      </c>
      <c r="F264" s="151" t="s">
        <v>1304</v>
      </c>
      <c r="H264" s="152">
        <v>53.5</v>
      </c>
      <c r="I264" s="153"/>
      <c r="L264" s="149"/>
      <c r="N264" s="217">
        <f>41.49-53.5</f>
        <v>-12.009999999999998</v>
      </c>
      <c r="O264" s="218" t="s">
        <v>3704</v>
      </c>
      <c r="Q264" s="332"/>
      <c r="AO264" s="154"/>
      <c r="AV264" s="155"/>
      <c r="BV264" s="150" t="s">
        <v>301</v>
      </c>
      <c r="BW264" s="150" t="s">
        <v>83</v>
      </c>
      <c r="BX264" s="12" t="s">
        <v>83</v>
      </c>
      <c r="BY264" s="12" t="s">
        <v>32</v>
      </c>
      <c r="BZ264" s="12" t="s">
        <v>81</v>
      </c>
      <c r="CA264" s="150" t="s">
        <v>282</v>
      </c>
    </row>
    <row r="265" spans="2:93" s="10" customFormat="1" ht="22.9" customHeight="1" x14ac:dyDescent="0.2">
      <c r="B265" s="112"/>
      <c r="D265" s="113" t="s">
        <v>73</v>
      </c>
      <c r="E265" s="122" t="s">
        <v>95</v>
      </c>
      <c r="F265" s="122" t="s">
        <v>469</v>
      </c>
      <c r="I265" s="115"/>
      <c r="J265" s="123">
        <f>CM265</f>
        <v>13220.45</v>
      </c>
      <c r="L265" s="112"/>
      <c r="M265" s="270">
        <f>M266+M271+M280</f>
        <v>0</v>
      </c>
      <c r="N265" s="301"/>
      <c r="O265" s="302">
        <f t="shared" ref="O265:V265" si="4">O266+O271+O280</f>
        <v>-2905.0200000000004</v>
      </c>
      <c r="P265" s="270"/>
      <c r="Q265" s="335">
        <f t="shared" si="4"/>
        <v>16125.48</v>
      </c>
      <c r="R265" s="270"/>
      <c r="S265" s="270"/>
      <c r="T265" s="270">
        <f t="shared" si="4"/>
        <v>0</v>
      </c>
      <c r="U265" s="270"/>
      <c r="V265" s="270">
        <f t="shared" si="4"/>
        <v>13220.45</v>
      </c>
      <c r="AO265" s="117"/>
      <c r="AR265" s="118">
        <f>SUM(AR266:AR287)</f>
        <v>0</v>
      </c>
      <c r="AT265" s="118">
        <f>SUM(AT266:AT287)</f>
        <v>0</v>
      </c>
      <c r="AV265" s="119">
        <f>SUM(AV266:AV287)</f>
        <v>0</v>
      </c>
      <c r="BT265" s="113" t="s">
        <v>81</v>
      </c>
      <c r="BV265" s="120" t="s">
        <v>73</v>
      </c>
      <c r="BW265" s="120" t="s">
        <v>81</v>
      </c>
      <c r="CA265" s="113" t="s">
        <v>282</v>
      </c>
      <c r="CM265" s="121">
        <f>SUM(CM266:CM287)</f>
        <v>13220.45</v>
      </c>
    </row>
    <row r="266" spans="2:93" s="1" customFormat="1" ht="14.45" customHeight="1" x14ac:dyDescent="0.2">
      <c r="B266" s="124"/>
      <c r="C266" s="125" t="s">
        <v>445</v>
      </c>
      <c r="D266" s="125" t="s">
        <v>284</v>
      </c>
      <c r="E266" s="126" t="s">
        <v>471</v>
      </c>
      <c r="F266" s="127" t="s">
        <v>472</v>
      </c>
      <c r="G266" s="128" t="s">
        <v>366</v>
      </c>
      <c r="H266" s="129">
        <v>5.35</v>
      </c>
      <c r="I266" s="130">
        <v>1200.17173250368</v>
      </c>
      <c r="J266" s="131">
        <f>ROUND(I266*H266,2)</f>
        <v>6420.92</v>
      </c>
      <c r="K266" s="127" t="s">
        <v>293</v>
      </c>
      <c r="L266" s="268">
        <f>S266</f>
        <v>0</v>
      </c>
      <c r="M266" s="272">
        <f>ROUND(L266*I266,2)</f>
        <v>0</v>
      </c>
      <c r="N266" s="243">
        <f>N270</f>
        <v>-1.2009999999999996</v>
      </c>
      <c r="O266" s="294">
        <f>ROUND(N266*I266,2)</f>
        <v>-1441.41</v>
      </c>
      <c r="P266" s="273">
        <f>H266-L266-N266</f>
        <v>6.5509999999999993</v>
      </c>
      <c r="Q266" s="268">
        <f>ROUND(P266*I266,2)</f>
        <v>7862.33</v>
      </c>
      <c r="R266" s="137"/>
      <c r="S266" s="269">
        <f>W266+Y266+AA266+AC266+AE266+AG266</f>
        <v>0</v>
      </c>
      <c r="T266" s="269">
        <f>ROUND(S266*I266,2)</f>
        <v>0</v>
      </c>
      <c r="U266" s="269">
        <f>H266-S266</f>
        <v>5.35</v>
      </c>
      <c r="V266" s="269">
        <f>ROUND(U266*I266,2)</f>
        <v>6420.92</v>
      </c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O266" s="132" t="s">
        <v>1</v>
      </c>
      <c r="AP266" s="133" t="s">
        <v>40</v>
      </c>
      <c r="AR266" s="134">
        <f>AQ266*H266</f>
        <v>0</v>
      </c>
      <c r="AS266" s="134">
        <v>0</v>
      </c>
      <c r="AT266" s="134">
        <f>AS266*H266</f>
        <v>0</v>
      </c>
      <c r="AU266" s="134">
        <v>0</v>
      </c>
      <c r="AV266" s="135">
        <f>AU266*H266</f>
        <v>0</v>
      </c>
      <c r="BT266" s="136" t="s">
        <v>95</v>
      </c>
      <c r="BV266" s="136" t="s">
        <v>284</v>
      </c>
      <c r="BW266" s="136" t="s">
        <v>83</v>
      </c>
      <c r="CA266" s="16" t="s">
        <v>282</v>
      </c>
      <c r="CG266" s="137">
        <f>IF(AP266="základní",J266,0)</f>
        <v>6420.92</v>
      </c>
      <c r="CH266" s="137">
        <f>IF(AP266="snížená",J266,0)</f>
        <v>0</v>
      </c>
      <c r="CI266" s="137">
        <f>IF(AP266="zákl. přenesená",J266,0)</f>
        <v>0</v>
      </c>
      <c r="CJ266" s="137">
        <f>IF(AP266="sníž. přenesená",J266,0)</f>
        <v>0</v>
      </c>
      <c r="CK266" s="137">
        <f>IF(AP266="nulová",J266,0)</f>
        <v>0</v>
      </c>
      <c r="CL266" s="16" t="s">
        <v>81</v>
      </c>
      <c r="CM266" s="137">
        <f>ROUND(I266*H266,2)</f>
        <v>6420.92</v>
      </c>
      <c r="CN266" s="16" t="s">
        <v>95</v>
      </c>
      <c r="CO266" s="136" t="s">
        <v>473</v>
      </c>
    </row>
    <row r="267" spans="2:93" s="1" customFormat="1" ht="19.5" x14ac:dyDescent="0.2">
      <c r="B267" s="31"/>
      <c r="D267" s="138" t="s">
        <v>289</v>
      </c>
      <c r="F267" s="139" t="s">
        <v>474</v>
      </c>
      <c r="I267" s="140"/>
      <c r="L267" s="31"/>
      <c r="N267" s="213"/>
      <c r="O267" s="214"/>
      <c r="Q267" s="330"/>
      <c r="AO267" s="141"/>
      <c r="AV267" s="50"/>
      <c r="BV267" s="16" t="s">
        <v>289</v>
      </c>
      <c r="BW267" s="16" t="s">
        <v>83</v>
      </c>
    </row>
    <row r="268" spans="2:93" s="1" customFormat="1" ht="29.25" x14ac:dyDescent="0.2">
      <c r="B268" s="31"/>
      <c r="D268" s="138" t="s">
        <v>299</v>
      </c>
      <c r="F268" s="142" t="s">
        <v>1083</v>
      </c>
      <c r="I268" s="140"/>
      <c r="L268" s="31"/>
      <c r="N268" s="213"/>
      <c r="O268" s="214"/>
      <c r="Q268" s="330"/>
      <c r="AO268" s="141"/>
      <c r="AV268" s="50"/>
      <c r="BV268" s="16" t="s">
        <v>299</v>
      </c>
      <c r="BW268" s="16" t="s">
        <v>83</v>
      </c>
    </row>
    <row r="269" spans="2:93" s="12" customFormat="1" x14ac:dyDescent="0.2">
      <c r="B269" s="149"/>
      <c r="D269" s="138" t="s">
        <v>301</v>
      </c>
      <c r="E269" s="150" t="s">
        <v>1</v>
      </c>
      <c r="F269" s="151" t="s">
        <v>1305</v>
      </c>
      <c r="H269" s="152">
        <v>5.35</v>
      </c>
      <c r="I269" s="153"/>
      <c r="L269" s="149"/>
      <c r="N269" s="217">
        <f>41.49*1*0.1</f>
        <v>4.149</v>
      </c>
      <c r="O269" s="218" t="s">
        <v>3705</v>
      </c>
      <c r="Q269" s="332"/>
      <c r="AO269" s="154"/>
      <c r="AV269" s="155"/>
      <c r="BV269" s="150" t="s">
        <v>301</v>
      </c>
      <c r="BW269" s="150" t="s">
        <v>83</v>
      </c>
      <c r="BX269" s="12" t="s">
        <v>83</v>
      </c>
      <c r="BY269" s="12" t="s">
        <v>32</v>
      </c>
      <c r="BZ269" s="12" t="s">
        <v>81</v>
      </c>
      <c r="CA269" s="150" t="s">
        <v>282</v>
      </c>
    </row>
    <row r="270" spans="2:93" s="12" customFormat="1" x14ac:dyDescent="0.2">
      <c r="B270" s="149"/>
      <c r="D270" s="138"/>
      <c r="E270" s="150"/>
      <c r="F270" s="151"/>
      <c r="H270" s="152"/>
      <c r="I270" s="153"/>
      <c r="L270" s="149"/>
      <c r="N270" s="310">
        <f>N269-H269</f>
        <v>-1.2009999999999996</v>
      </c>
      <c r="O270" s="218"/>
      <c r="Q270" s="332"/>
      <c r="AO270" s="154"/>
      <c r="AV270" s="155"/>
      <c r="BV270" s="150"/>
      <c r="BW270" s="150"/>
      <c r="CA270" s="150"/>
    </row>
    <row r="271" spans="2:93" s="1" customFormat="1" ht="14.45" customHeight="1" x14ac:dyDescent="0.2">
      <c r="B271" s="124"/>
      <c r="C271" s="125" t="s">
        <v>451</v>
      </c>
      <c r="D271" s="125" t="s">
        <v>284</v>
      </c>
      <c r="E271" s="126" t="s">
        <v>477</v>
      </c>
      <c r="F271" s="127" t="s">
        <v>478</v>
      </c>
      <c r="G271" s="128" t="s">
        <v>366</v>
      </c>
      <c r="H271" s="129">
        <v>2.1749999999999998</v>
      </c>
      <c r="I271" s="130">
        <v>1200.17173250368</v>
      </c>
      <c r="J271" s="131">
        <f>ROUND(I271*H271,2)</f>
        <v>2610.37</v>
      </c>
      <c r="K271" s="127" t="s">
        <v>1</v>
      </c>
      <c r="L271" s="268">
        <f>S271</f>
        <v>0</v>
      </c>
      <c r="M271" s="272">
        <f>ROUND(L271*I271,2)</f>
        <v>0</v>
      </c>
      <c r="N271" s="243">
        <f>N279</f>
        <v>-0.72499999999999987</v>
      </c>
      <c r="O271" s="294">
        <f>ROUND(N271*I271,2)</f>
        <v>-870.12</v>
      </c>
      <c r="P271" s="273">
        <f>H271-L271-N271</f>
        <v>2.8999999999999995</v>
      </c>
      <c r="Q271" s="268">
        <f>ROUND(P271*I271,2)</f>
        <v>3480.5</v>
      </c>
      <c r="R271" s="137"/>
      <c r="S271" s="269">
        <f>W271+Y271+AA271+AC271+AE271+AG271</f>
        <v>0</v>
      </c>
      <c r="T271" s="269">
        <f>ROUND(S271*I271,2)</f>
        <v>0</v>
      </c>
      <c r="U271" s="269">
        <f>H271-S271</f>
        <v>2.1749999999999998</v>
      </c>
      <c r="V271" s="269">
        <f>ROUND(U271*I271,2)</f>
        <v>2610.37</v>
      </c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O271" s="132" t="s">
        <v>1</v>
      </c>
      <c r="AP271" s="133" t="s">
        <v>40</v>
      </c>
      <c r="AR271" s="134">
        <f>AQ271*H271</f>
        <v>0</v>
      </c>
      <c r="AS271" s="134">
        <v>0</v>
      </c>
      <c r="AT271" s="134">
        <f>AS271*H271</f>
        <v>0</v>
      </c>
      <c r="AU271" s="134">
        <v>0</v>
      </c>
      <c r="AV271" s="135">
        <f>AU271*H271</f>
        <v>0</v>
      </c>
      <c r="BT271" s="136" t="s">
        <v>95</v>
      </c>
      <c r="BV271" s="136" t="s">
        <v>284</v>
      </c>
      <c r="BW271" s="136" t="s">
        <v>83</v>
      </c>
      <c r="CA271" s="16" t="s">
        <v>282</v>
      </c>
      <c r="CG271" s="137">
        <f>IF(AP271="základní",J271,0)</f>
        <v>2610.37</v>
      </c>
      <c r="CH271" s="137">
        <f>IF(AP271="snížená",J271,0)</f>
        <v>0</v>
      </c>
      <c r="CI271" s="137">
        <f>IF(AP271="zákl. přenesená",J271,0)</f>
        <v>0</v>
      </c>
      <c r="CJ271" s="137">
        <f>IF(AP271="sníž. přenesená",J271,0)</f>
        <v>0</v>
      </c>
      <c r="CK271" s="137">
        <f>IF(AP271="nulová",J271,0)</f>
        <v>0</v>
      </c>
      <c r="CL271" s="16" t="s">
        <v>81</v>
      </c>
      <c r="CM271" s="137">
        <f>ROUND(I271*H271,2)</f>
        <v>2610.37</v>
      </c>
      <c r="CN271" s="16" t="s">
        <v>95</v>
      </c>
      <c r="CO271" s="136" t="s">
        <v>479</v>
      </c>
    </row>
    <row r="272" spans="2:93" s="1" customFormat="1" ht="19.5" x14ac:dyDescent="0.2">
      <c r="B272" s="31"/>
      <c r="D272" s="138" t="s">
        <v>289</v>
      </c>
      <c r="F272" s="139" t="s">
        <v>474</v>
      </c>
      <c r="I272" s="140"/>
      <c r="L272" s="31"/>
      <c r="N272" s="213"/>
      <c r="O272" s="214"/>
      <c r="Q272" s="330"/>
      <c r="AO272" s="141"/>
      <c r="AV272" s="50"/>
      <c r="BV272" s="16" t="s">
        <v>289</v>
      </c>
      <c r="BW272" s="16" t="s">
        <v>83</v>
      </c>
    </row>
    <row r="273" spans="2:93" s="1" customFormat="1" ht="29.25" x14ac:dyDescent="0.2">
      <c r="B273" s="31"/>
      <c r="D273" s="138" t="s">
        <v>299</v>
      </c>
      <c r="F273" s="142" t="s">
        <v>1083</v>
      </c>
      <c r="I273" s="140"/>
      <c r="L273" s="31"/>
      <c r="N273" s="213"/>
      <c r="O273" s="214"/>
      <c r="Q273" s="330"/>
      <c r="AO273" s="141"/>
      <c r="AV273" s="50"/>
      <c r="BV273" s="16" t="s">
        <v>299</v>
      </c>
      <c r="BW273" s="16" t="s">
        <v>83</v>
      </c>
    </row>
    <row r="274" spans="2:93" s="11" customFormat="1" x14ac:dyDescent="0.2">
      <c r="B274" s="143"/>
      <c r="D274" s="138" t="s">
        <v>301</v>
      </c>
      <c r="E274" s="144" t="s">
        <v>1</v>
      </c>
      <c r="F274" s="145" t="s">
        <v>1122</v>
      </c>
      <c r="H274" s="144" t="s">
        <v>1</v>
      </c>
      <c r="I274" s="146"/>
      <c r="L274" s="143"/>
      <c r="N274" s="215"/>
      <c r="O274" s="216"/>
      <c r="Q274" s="331"/>
      <c r="AO274" s="147"/>
      <c r="AV274" s="148"/>
      <c r="BV274" s="144" t="s">
        <v>301</v>
      </c>
      <c r="BW274" s="144" t="s">
        <v>83</v>
      </c>
      <c r="BX274" s="11" t="s">
        <v>81</v>
      </c>
      <c r="BY274" s="11" t="s">
        <v>32</v>
      </c>
      <c r="BZ274" s="11" t="s">
        <v>74</v>
      </c>
      <c r="CA274" s="144" t="s">
        <v>282</v>
      </c>
    </row>
    <row r="275" spans="2:93" s="12" customFormat="1" x14ac:dyDescent="0.2">
      <c r="B275" s="149"/>
      <c r="D275" s="138" t="s">
        <v>301</v>
      </c>
      <c r="E275" s="150" t="s">
        <v>1</v>
      </c>
      <c r="F275" s="151" t="s">
        <v>1264</v>
      </c>
      <c r="H275" s="152">
        <v>0.6</v>
      </c>
      <c r="I275" s="153"/>
      <c r="L275" s="149"/>
      <c r="N275" s="217">
        <f>1*1*0.1*10</f>
        <v>1</v>
      </c>
      <c r="O275" s="218" t="s">
        <v>3706</v>
      </c>
      <c r="Q275" s="332"/>
      <c r="AO275" s="154"/>
      <c r="AV275" s="155"/>
      <c r="BV275" s="150" t="s">
        <v>301</v>
      </c>
      <c r="BW275" s="150" t="s">
        <v>83</v>
      </c>
      <c r="BX275" s="12" t="s">
        <v>83</v>
      </c>
      <c r="BY275" s="12" t="s">
        <v>32</v>
      </c>
      <c r="BZ275" s="12" t="s">
        <v>74</v>
      </c>
      <c r="CA275" s="150" t="s">
        <v>282</v>
      </c>
    </row>
    <row r="276" spans="2:93" s="11" customFormat="1" x14ac:dyDescent="0.2">
      <c r="B276" s="143"/>
      <c r="D276" s="138" t="s">
        <v>301</v>
      </c>
      <c r="E276" s="144" t="s">
        <v>1</v>
      </c>
      <c r="F276" s="145" t="s">
        <v>916</v>
      </c>
      <c r="H276" s="144" t="s">
        <v>1</v>
      </c>
      <c r="I276" s="146"/>
      <c r="L276" s="143"/>
      <c r="N276" s="215"/>
      <c r="O276" s="216"/>
      <c r="Q276" s="331"/>
      <c r="AO276" s="147"/>
      <c r="AV276" s="148"/>
      <c r="BV276" s="144" t="s">
        <v>301</v>
      </c>
      <c r="BW276" s="144" t="s">
        <v>83</v>
      </c>
      <c r="BX276" s="11" t="s">
        <v>81</v>
      </c>
      <c r="BY276" s="11" t="s">
        <v>32</v>
      </c>
      <c r="BZ276" s="11" t="s">
        <v>74</v>
      </c>
      <c r="CA276" s="144" t="s">
        <v>282</v>
      </c>
    </row>
    <row r="277" spans="2:93" s="12" customFormat="1" x14ac:dyDescent="0.2">
      <c r="B277" s="149"/>
      <c r="D277" s="138" t="s">
        <v>301</v>
      </c>
      <c r="E277" s="150" t="s">
        <v>1</v>
      </c>
      <c r="F277" s="151" t="s">
        <v>1306</v>
      </c>
      <c r="H277" s="152">
        <v>1.575</v>
      </c>
      <c r="I277" s="153"/>
      <c r="L277" s="149"/>
      <c r="N277" s="217">
        <f>1.5*1.5*0.1*2</f>
        <v>0.45</v>
      </c>
      <c r="O277" s="218" t="s">
        <v>1071</v>
      </c>
      <c r="Q277" s="332"/>
      <c r="AO277" s="154"/>
      <c r="AV277" s="155"/>
      <c r="BV277" s="150" t="s">
        <v>301</v>
      </c>
      <c r="BW277" s="150" t="s">
        <v>83</v>
      </c>
      <c r="BX277" s="12" t="s">
        <v>83</v>
      </c>
      <c r="BY277" s="12" t="s">
        <v>32</v>
      </c>
      <c r="BZ277" s="12" t="s">
        <v>74</v>
      </c>
      <c r="CA277" s="150" t="s">
        <v>282</v>
      </c>
    </row>
    <row r="278" spans="2:93" s="13" customFormat="1" x14ac:dyDescent="0.2">
      <c r="B278" s="156"/>
      <c r="D278" s="138" t="s">
        <v>301</v>
      </c>
      <c r="E278" s="157" t="s">
        <v>1</v>
      </c>
      <c r="F278" s="158" t="s">
        <v>305</v>
      </c>
      <c r="H278" s="159">
        <v>2.1749999999999998</v>
      </c>
      <c r="I278" s="160"/>
      <c r="L278" s="156"/>
      <c r="N278" s="219">
        <f>N275+N277</f>
        <v>1.45</v>
      </c>
      <c r="O278" s="220"/>
      <c r="Q278" s="334"/>
      <c r="AO278" s="161"/>
      <c r="AV278" s="162"/>
      <c r="BV278" s="157" t="s">
        <v>301</v>
      </c>
      <c r="BW278" s="157" t="s">
        <v>83</v>
      </c>
      <c r="BX278" s="13" t="s">
        <v>95</v>
      </c>
      <c r="BY278" s="13" t="s">
        <v>32</v>
      </c>
      <c r="BZ278" s="13" t="s">
        <v>81</v>
      </c>
      <c r="CA278" s="157" t="s">
        <v>282</v>
      </c>
    </row>
    <row r="279" spans="2:93" s="13" customFormat="1" x14ac:dyDescent="0.2">
      <c r="B279" s="156"/>
      <c r="D279" s="138"/>
      <c r="E279" s="157"/>
      <c r="F279" s="158"/>
      <c r="H279" s="159"/>
      <c r="I279" s="160"/>
      <c r="L279" s="156"/>
      <c r="N279" s="311">
        <f>N278-H278</f>
        <v>-0.72499999999999987</v>
      </c>
      <c r="O279" s="220"/>
      <c r="Q279" s="334"/>
      <c r="AO279" s="161"/>
      <c r="AV279" s="162"/>
      <c r="BV279" s="157"/>
      <c r="BW279" s="157"/>
      <c r="CA279" s="157"/>
    </row>
    <row r="280" spans="2:93" s="1" customFormat="1" ht="24.2" customHeight="1" x14ac:dyDescent="0.2">
      <c r="B280" s="124"/>
      <c r="C280" s="125" t="s">
        <v>456</v>
      </c>
      <c r="D280" s="125" t="s">
        <v>284</v>
      </c>
      <c r="E280" s="126" t="s">
        <v>515</v>
      </c>
      <c r="F280" s="127" t="s">
        <v>516</v>
      </c>
      <c r="G280" s="128" t="s">
        <v>366</v>
      </c>
      <c r="H280" s="129">
        <v>1.4470000000000001</v>
      </c>
      <c r="I280" s="130">
        <v>2895.0660868876225</v>
      </c>
      <c r="J280" s="131">
        <f>ROUND(I280*H280,2)</f>
        <v>4189.16</v>
      </c>
      <c r="K280" s="127" t="s">
        <v>293</v>
      </c>
      <c r="L280" s="268">
        <f>S280</f>
        <v>0</v>
      </c>
      <c r="M280" s="272">
        <f>ROUND(L280*I280,2)</f>
        <v>0</v>
      </c>
      <c r="N280" s="243">
        <f>N288</f>
        <v>-0.20500000000000007</v>
      </c>
      <c r="O280" s="294">
        <f>ROUND(N280*I280,2)</f>
        <v>-593.49</v>
      </c>
      <c r="P280" s="273">
        <f>H280-L280-N280</f>
        <v>1.6520000000000001</v>
      </c>
      <c r="Q280" s="268">
        <f>ROUND(P280*I280,2)</f>
        <v>4782.6499999999996</v>
      </c>
      <c r="R280" s="137"/>
      <c r="S280" s="269">
        <f>W280+Y280+AA280+AC280+AE280+AG280</f>
        <v>0</v>
      </c>
      <c r="T280" s="269">
        <f>ROUND(S280*I280,2)</f>
        <v>0</v>
      </c>
      <c r="U280" s="269">
        <f>H280-S280</f>
        <v>1.4470000000000001</v>
      </c>
      <c r="V280" s="269">
        <f>ROUND(U280*I280,2)</f>
        <v>4189.16</v>
      </c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O280" s="132" t="s">
        <v>1</v>
      </c>
      <c r="AP280" s="133" t="s">
        <v>40</v>
      </c>
      <c r="AR280" s="134">
        <f>AQ280*H280</f>
        <v>0</v>
      </c>
      <c r="AS280" s="134">
        <v>0</v>
      </c>
      <c r="AT280" s="134">
        <f>AS280*H280</f>
        <v>0</v>
      </c>
      <c r="AU280" s="134">
        <v>0</v>
      </c>
      <c r="AV280" s="135">
        <f>AU280*H280</f>
        <v>0</v>
      </c>
      <c r="BT280" s="136" t="s">
        <v>95</v>
      </c>
      <c r="BV280" s="136" t="s">
        <v>284</v>
      </c>
      <c r="BW280" s="136" t="s">
        <v>83</v>
      </c>
      <c r="CA280" s="16" t="s">
        <v>282</v>
      </c>
      <c r="CG280" s="137">
        <f>IF(AP280="základní",J280,0)</f>
        <v>4189.16</v>
      </c>
      <c r="CH280" s="137">
        <f>IF(AP280="snížená",J280,0)</f>
        <v>0</v>
      </c>
      <c r="CI280" s="137">
        <f>IF(AP280="zákl. přenesená",J280,0)</f>
        <v>0</v>
      </c>
      <c r="CJ280" s="137">
        <f>IF(AP280="sníž. přenesená",J280,0)</f>
        <v>0</v>
      </c>
      <c r="CK280" s="137">
        <f>IF(AP280="nulová",J280,0)</f>
        <v>0</v>
      </c>
      <c r="CL280" s="16" t="s">
        <v>81</v>
      </c>
      <c r="CM280" s="137">
        <f>ROUND(I280*H280,2)</f>
        <v>4189.16</v>
      </c>
      <c r="CN280" s="16" t="s">
        <v>95</v>
      </c>
      <c r="CO280" s="136" t="s">
        <v>517</v>
      </c>
    </row>
    <row r="281" spans="2:93" s="1" customFormat="1" ht="29.25" x14ac:dyDescent="0.2">
      <c r="B281" s="31"/>
      <c r="D281" s="138" t="s">
        <v>289</v>
      </c>
      <c r="F281" s="139" t="s">
        <v>518</v>
      </c>
      <c r="I281" s="140"/>
      <c r="L281" s="31"/>
      <c r="N281" s="213"/>
      <c r="O281" s="214"/>
      <c r="Q281" s="330"/>
      <c r="AO281" s="141"/>
      <c r="AV281" s="50"/>
      <c r="BV281" s="16" t="s">
        <v>289</v>
      </c>
      <c r="BW281" s="16" t="s">
        <v>83</v>
      </c>
    </row>
    <row r="282" spans="2:93" s="1" customFormat="1" ht="29.25" x14ac:dyDescent="0.2">
      <c r="B282" s="31"/>
      <c r="D282" s="138" t="s">
        <v>299</v>
      </c>
      <c r="F282" s="142" t="s">
        <v>1083</v>
      </c>
      <c r="I282" s="140"/>
      <c r="L282" s="31"/>
      <c r="N282" s="213"/>
      <c r="O282" s="214"/>
      <c r="Q282" s="330"/>
      <c r="AO282" s="141"/>
      <c r="AV282" s="50"/>
      <c r="BV282" s="16" t="s">
        <v>299</v>
      </c>
      <c r="BW282" s="16" t="s">
        <v>83</v>
      </c>
    </row>
    <row r="283" spans="2:93" s="11" customFormat="1" x14ac:dyDescent="0.2">
      <c r="B283" s="143"/>
      <c r="D283" s="138" t="s">
        <v>301</v>
      </c>
      <c r="E283" s="144" t="s">
        <v>1</v>
      </c>
      <c r="F283" s="145" t="s">
        <v>1122</v>
      </c>
      <c r="H283" s="144" t="s">
        <v>1</v>
      </c>
      <c r="I283" s="146"/>
      <c r="L283" s="143"/>
      <c r="N283" s="215"/>
      <c r="O283" s="216"/>
      <c r="Q283" s="331"/>
      <c r="AO283" s="147"/>
      <c r="AV283" s="148"/>
      <c r="BV283" s="144" t="s">
        <v>301</v>
      </c>
      <c r="BW283" s="144" t="s">
        <v>83</v>
      </c>
      <c r="BX283" s="11" t="s">
        <v>81</v>
      </c>
      <c r="BY283" s="11" t="s">
        <v>32</v>
      </c>
      <c r="BZ283" s="11" t="s">
        <v>74</v>
      </c>
      <c r="CA283" s="144" t="s">
        <v>282</v>
      </c>
    </row>
    <row r="284" spans="2:93" s="12" customFormat="1" x14ac:dyDescent="0.2">
      <c r="B284" s="149"/>
      <c r="D284" s="138" t="s">
        <v>301</v>
      </c>
      <c r="E284" s="150" t="s">
        <v>1</v>
      </c>
      <c r="F284" s="151" t="s">
        <v>1264</v>
      </c>
      <c r="H284" s="152">
        <v>0.6</v>
      </c>
      <c r="I284" s="153"/>
      <c r="L284" s="149"/>
      <c r="N284" s="217">
        <f>1*1*0.1*10</f>
        <v>1</v>
      </c>
      <c r="O284" s="218" t="s">
        <v>3706</v>
      </c>
      <c r="Q284" s="332"/>
      <c r="AO284" s="154"/>
      <c r="AV284" s="155"/>
      <c r="BV284" s="150" t="s">
        <v>301</v>
      </c>
      <c r="BW284" s="150" t="s">
        <v>83</v>
      </c>
      <c r="BX284" s="12" t="s">
        <v>83</v>
      </c>
      <c r="BY284" s="12" t="s">
        <v>32</v>
      </c>
      <c r="BZ284" s="12" t="s">
        <v>74</v>
      </c>
      <c r="CA284" s="150" t="s">
        <v>282</v>
      </c>
    </row>
    <row r="285" spans="2:93" s="11" customFormat="1" x14ac:dyDescent="0.2">
      <c r="B285" s="143"/>
      <c r="D285" s="138" t="s">
        <v>301</v>
      </c>
      <c r="E285" s="144" t="s">
        <v>1</v>
      </c>
      <c r="F285" s="145" t="s">
        <v>916</v>
      </c>
      <c r="H285" s="144" t="s">
        <v>1</v>
      </c>
      <c r="I285" s="146"/>
      <c r="L285" s="143"/>
      <c r="N285" s="215"/>
      <c r="O285" s="216"/>
      <c r="Q285" s="331"/>
      <c r="AO285" s="147"/>
      <c r="AV285" s="148"/>
      <c r="BV285" s="144" t="s">
        <v>301</v>
      </c>
      <c r="BW285" s="144" t="s">
        <v>83</v>
      </c>
      <c r="BX285" s="11" t="s">
        <v>81</v>
      </c>
      <c r="BY285" s="11" t="s">
        <v>32</v>
      </c>
      <c r="BZ285" s="11" t="s">
        <v>74</v>
      </c>
      <c r="CA285" s="144" t="s">
        <v>282</v>
      </c>
    </row>
    <row r="286" spans="2:93" s="12" customFormat="1" x14ac:dyDescent="0.2">
      <c r="B286" s="149"/>
      <c r="D286" s="138" t="s">
        <v>301</v>
      </c>
      <c r="E286" s="150" t="s">
        <v>1</v>
      </c>
      <c r="F286" s="151" t="s">
        <v>1307</v>
      </c>
      <c r="H286" s="152">
        <v>0.84699999999999998</v>
      </c>
      <c r="I286" s="153"/>
      <c r="L286" s="149"/>
      <c r="N286" s="217">
        <f>1.1*1.1*0.1*2</f>
        <v>0.24200000000000005</v>
      </c>
      <c r="O286" s="218" t="s">
        <v>1072</v>
      </c>
      <c r="Q286" s="332"/>
      <c r="AO286" s="154"/>
      <c r="AV286" s="155"/>
      <c r="BV286" s="150" t="s">
        <v>301</v>
      </c>
      <c r="BW286" s="150" t="s">
        <v>83</v>
      </c>
      <c r="BX286" s="12" t="s">
        <v>83</v>
      </c>
      <c r="BY286" s="12" t="s">
        <v>32</v>
      </c>
      <c r="BZ286" s="12" t="s">
        <v>74</v>
      </c>
      <c r="CA286" s="150" t="s">
        <v>282</v>
      </c>
    </row>
    <row r="287" spans="2:93" s="13" customFormat="1" x14ac:dyDescent="0.2">
      <c r="B287" s="156"/>
      <c r="D287" s="138" t="s">
        <v>301</v>
      </c>
      <c r="E287" s="157" t="s">
        <v>1</v>
      </c>
      <c r="F287" s="158" t="s">
        <v>305</v>
      </c>
      <c r="H287" s="159">
        <v>1.4470000000000001</v>
      </c>
      <c r="I287" s="160"/>
      <c r="L287" s="156"/>
      <c r="N287" s="219">
        <f>N284+N286</f>
        <v>1.242</v>
      </c>
      <c r="O287" s="220"/>
      <c r="Q287" s="334"/>
      <c r="AO287" s="161"/>
      <c r="AV287" s="162"/>
      <c r="BV287" s="157" t="s">
        <v>301</v>
      </c>
      <c r="BW287" s="157" t="s">
        <v>83</v>
      </c>
      <c r="BX287" s="13" t="s">
        <v>95</v>
      </c>
      <c r="BY287" s="13" t="s">
        <v>32</v>
      </c>
      <c r="BZ287" s="13" t="s">
        <v>81</v>
      </c>
      <c r="CA287" s="157" t="s">
        <v>282</v>
      </c>
    </row>
    <row r="288" spans="2:93" s="13" customFormat="1" x14ac:dyDescent="0.2">
      <c r="B288" s="156"/>
      <c r="D288" s="138"/>
      <c r="E288" s="157"/>
      <c r="F288" s="158"/>
      <c r="H288" s="159"/>
      <c r="I288" s="160"/>
      <c r="L288" s="156"/>
      <c r="N288" s="311">
        <f>N287-H287</f>
        <v>-0.20500000000000007</v>
      </c>
      <c r="O288" s="220"/>
      <c r="Q288" s="334"/>
      <c r="AO288" s="161"/>
      <c r="AV288" s="162"/>
      <c r="BV288" s="157"/>
      <c r="BW288" s="157"/>
      <c r="CA288" s="157"/>
    </row>
    <row r="289" spans="2:93" s="10" customFormat="1" ht="22.9" customHeight="1" x14ac:dyDescent="0.2">
      <c r="B289" s="112"/>
      <c r="D289" s="113" t="s">
        <v>73</v>
      </c>
      <c r="E289" s="122" t="s">
        <v>312</v>
      </c>
      <c r="F289" s="122" t="s">
        <v>520</v>
      </c>
      <c r="I289" s="115"/>
      <c r="J289" s="123">
        <f>CM289</f>
        <v>38848.410000000003</v>
      </c>
      <c r="L289" s="112"/>
      <c r="M289" s="270">
        <f>M290+M292+M294+M296</f>
        <v>0</v>
      </c>
      <c r="N289" s="301"/>
      <c r="O289" s="302">
        <f t="shared" ref="O289:V289" si="5">O290+O292+O294+O296</f>
        <v>-10421.279999999999</v>
      </c>
      <c r="P289" s="270"/>
      <c r="Q289" s="335">
        <f t="shared" si="5"/>
        <v>49269.700000000004</v>
      </c>
      <c r="R289" s="270"/>
      <c r="S289" s="270"/>
      <c r="T289" s="270">
        <f t="shared" si="5"/>
        <v>0</v>
      </c>
      <c r="U289" s="270"/>
      <c r="V289" s="270">
        <f t="shared" si="5"/>
        <v>38848.410000000003</v>
      </c>
      <c r="AO289" s="117"/>
      <c r="AR289" s="118">
        <f>SUM(AR290:AR300)</f>
        <v>0</v>
      </c>
      <c r="AT289" s="118">
        <f>SUM(AT290:AT300)</f>
        <v>0</v>
      </c>
      <c r="AV289" s="119">
        <f>SUM(AV290:AV300)</f>
        <v>0</v>
      </c>
      <c r="BT289" s="113" t="s">
        <v>81</v>
      </c>
      <c r="BV289" s="120" t="s">
        <v>73</v>
      </c>
      <c r="BW289" s="120" t="s">
        <v>81</v>
      </c>
      <c r="CA289" s="113" t="s">
        <v>282</v>
      </c>
      <c r="CM289" s="121">
        <f>SUM(CM290:CM300)</f>
        <v>38848.410000000003</v>
      </c>
    </row>
    <row r="290" spans="2:93" s="1" customFormat="1" ht="24.2" customHeight="1" x14ac:dyDescent="0.2">
      <c r="B290" s="124"/>
      <c r="C290" s="125" t="s">
        <v>463</v>
      </c>
      <c r="D290" s="125" t="s">
        <v>284</v>
      </c>
      <c r="E290" s="126" t="s">
        <v>522</v>
      </c>
      <c r="F290" s="127" t="s">
        <v>523</v>
      </c>
      <c r="G290" s="128" t="s">
        <v>287</v>
      </c>
      <c r="H290" s="129">
        <v>52.875</v>
      </c>
      <c r="I290" s="130">
        <v>130.95617506780872</v>
      </c>
      <c r="J290" s="131">
        <f>ROUND(I290*H290,2)</f>
        <v>6924.31</v>
      </c>
      <c r="K290" s="127" t="s">
        <v>293</v>
      </c>
      <c r="L290" s="268">
        <f>S290</f>
        <v>0</v>
      </c>
      <c r="M290" s="272">
        <f>ROUND(L290*I290,2)</f>
        <v>0</v>
      </c>
      <c r="N290" s="243">
        <f>N128</f>
        <v>-14.183999999999997</v>
      </c>
      <c r="O290" s="294">
        <f>ROUND(N290*I290,2)</f>
        <v>-1857.48</v>
      </c>
      <c r="P290" s="273">
        <f>H290-L290-N290</f>
        <v>67.058999999999997</v>
      </c>
      <c r="Q290" s="268">
        <f>ROUND(P290*I290,2)</f>
        <v>8781.7900000000009</v>
      </c>
      <c r="R290" s="137"/>
      <c r="S290" s="269">
        <f>W290+Y290+AA290+AC290+AE290+AG290</f>
        <v>0</v>
      </c>
      <c r="T290" s="269">
        <f>ROUND(S290*I290,2)</f>
        <v>0</v>
      </c>
      <c r="U290" s="269">
        <f>H290-S290</f>
        <v>52.875</v>
      </c>
      <c r="V290" s="269">
        <f>ROUND(U290*I290,2)</f>
        <v>6924.31</v>
      </c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O290" s="132" t="s">
        <v>1</v>
      </c>
      <c r="AP290" s="133" t="s">
        <v>40</v>
      </c>
      <c r="AR290" s="134">
        <f>AQ290*H290</f>
        <v>0</v>
      </c>
      <c r="AS290" s="134">
        <v>0</v>
      </c>
      <c r="AT290" s="134">
        <f>AS290*H290</f>
        <v>0</v>
      </c>
      <c r="AU290" s="134">
        <v>0</v>
      </c>
      <c r="AV290" s="135">
        <f>AU290*H290</f>
        <v>0</v>
      </c>
      <c r="BT290" s="136" t="s">
        <v>95</v>
      </c>
      <c r="BV290" s="136" t="s">
        <v>284</v>
      </c>
      <c r="BW290" s="136" t="s">
        <v>83</v>
      </c>
      <c r="CA290" s="16" t="s">
        <v>282</v>
      </c>
      <c r="CG290" s="137">
        <f>IF(AP290="základní",J290,0)</f>
        <v>6924.31</v>
      </c>
      <c r="CH290" s="137">
        <f>IF(AP290="snížená",J290,0)</f>
        <v>0</v>
      </c>
      <c r="CI290" s="137">
        <f>IF(AP290="zákl. přenesená",J290,0)</f>
        <v>0</v>
      </c>
      <c r="CJ290" s="137">
        <f>IF(AP290="sníž. přenesená",J290,0)</f>
        <v>0</v>
      </c>
      <c r="CK290" s="137">
        <f>IF(AP290="nulová",J290,0)</f>
        <v>0</v>
      </c>
      <c r="CL290" s="16" t="s">
        <v>81</v>
      </c>
      <c r="CM290" s="137">
        <f>ROUND(I290*H290,2)</f>
        <v>6924.31</v>
      </c>
      <c r="CN290" s="16" t="s">
        <v>95</v>
      </c>
      <c r="CO290" s="136" t="s">
        <v>524</v>
      </c>
    </row>
    <row r="291" spans="2:93" s="1" customFormat="1" ht="19.5" x14ac:dyDescent="0.2">
      <c r="B291" s="31"/>
      <c r="D291" s="138" t="s">
        <v>289</v>
      </c>
      <c r="F291" s="139" t="s">
        <v>525</v>
      </c>
      <c r="I291" s="140"/>
      <c r="L291" s="31"/>
      <c r="N291" s="213"/>
      <c r="O291" s="214"/>
      <c r="Q291" s="330"/>
      <c r="AO291" s="141"/>
      <c r="AV291" s="50"/>
      <c r="BV291" s="16" t="s">
        <v>289</v>
      </c>
      <c r="BW291" s="16" t="s">
        <v>83</v>
      </c>
    </row>
    <row r="292" spans="2:93" s="1" customFormat="1" ht="14.45" customHeight="1" x14ac:dyDescent="0.2">
      <c r="B292" s="124"/>
      <c r="C292" s="125" t="s">
        <v>470</v>
      </c>
      <c r="D292" s="125" t="s">
        <v>284</v>
      </c>
      <c r="E292" s="126" t="s">
        <v>527</v>
      </c>
      <c r="F292" s="127" t="s">
        <v>528</v>
      </c>
      <c r="G292" s="128" t="s">
        <v>287</v>
      </c>
      <c r="H292" s="129">
        <v>52.875</v>
      </c>
      <c r="I292" s="130">
        <v>200.20823792465458</v>
      </c>
      <c r="J292" s="131">
        <f>ROUND(I292*H292,2)</f>
        <v>10586.01</v>
      </c>
      <c r="K292" s="127" t="s">
        <v>293</v>
      </c>
      <c r="L292" s="268">
        <f>S292</f>
        <v>0</v>
      </c>
      <c r="M292" s="272">
        <f>ROUND(L292*I292,2)</f>
        <v>0</v>
      </c>
      <c r="N292" s="243">
        <f>N290</f>
        <v>-14.183999999999997</v>
      </c>
      <c r="O292" s="294">
        <f>ROUND(N292*I292,2)</f>
        <v>-2839.75</v>
      </c>
      <c r="P292" s="273">
        <f>H292-L292-N292</f>
        <v>67.058999999999997</v>
      </c>
      <c r="Q292" s="268">
        <f>ROUND(P292*I292,2)</f>
        <v>13425.76</v>
      </c>
      <c r="R292" s="137"/>
      <c r="S292" s="269">
        <f>W292+Y292+AA292+AC292+AE292+AG292</f>
        <v>0</v>
      </c>
      <c r="T292" s="269">
        <f>ROUND(S292*I292,2)</f>
        <v>0</v>
      </c>
      <c r="U292" s="269">
        <f>H292-S292</f>
        <v>52.875</v>
      </c>
      <c r="V292" s="269">
        <f>ROUND(U292*I292,2)</f>
        <v>10586.01</v>
      </c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O292" s="132" t="s">
        <v>1</v>
      </c>
      <c r="AP292" s="133" t="s">
        <v>40</v>
      </c>
      <c r="AR292" s="134">
        <f>AQ292*H292</f>
        <v>0</v>
      </c>
      <c r="AS292" s="134">
        <v>0</v>
      </c>
      <c r="AT292" s="134">
        <f>AS292*H292</f>
        <v>0</v>
      </c>
      <c r="AU292" s="134">
        <v>0</v>
      </c>
      <c r="AV292" s="135">
        <f>AU292*H292</f>
        <v>0</v>
      </c>
      <c r="BT292" s="136" t="s">
        <v>95</v>
      </c>
      <c r="BV292" s="136" t="s">
        <v>284</v>
      </c>
      <c r="BW292" s="136" t="s">
        <v>83</v>
      </c>
      <c r="CA292" s="16" t="s">
        <v>282</v>
      </c>
      <c r="CG292" s="137">
        <f>IF(AP292="základní",J292,0)</f>
        <v>10586.01</v>
      </c>
      <c r="CH292" s="137">
        <f>IF(AP292="snížená",J292,0)</f>
        <v>0</v>
      </c>
      <c r="CI292" s="137">
        <f>IF(AP292="zákl. přenesená",J292,0)</f>
        <v>0</v>
      </c>
      <c r="CJ292" s="137">
        <f>IF(AP292="sníž. přenesená",J292,0)</f>
        <v>0</v>
      </c>
      <c r="CK292" s="137">
        <f>IF(AP292="nulová",J292,0)</f>
        <v>0</v>
      </c>
      <c r="CL292" s="16" t="s">
        <v>81</v>
      </c>
      <c r="CM292" s="137">
        <f>ROUND(I292*H292,2)</f>
        <v>10586.01</v>
      </c>
      <c r="CN292" s="16" t="s">
        <v>95</v>
      </c>
      <c r="CO292" s="136" t="s">
        <v>529</v>
      </c>
    </row>
    <row r="293" spans="2:93" s="1" customFormat="1" ht="19.5" x14ac:dyDescent="0.2">
      <c r="B293" s="31"/>
      <c r="D293" s="138" t="s">
        <v>289</v>
      </c>
      <c r="F293" s="139" t="s">
        <v>530</v>
      </c>
      <c r="I293" s="140"/>
      <c r="L293" s="31"/>
      <c r="N293" s="213"/>
      <c r="O293" s="214"/>
      <c r="Q293" s="330"/>
      <c r="AO293" s="141"/>
      <c r="AV293" s="50"/>
      <c r="BV293" s="16" t="s">
        <v>289</v>
      </c>
      <c r="BW293" s="16" t="s">
        <v>83</v>
      </c>
    </row>
    <row r="294" spans="2:93" s="1" customFormat="1" ht="24.2" customHeight="1" x14ac:dyDescent="0.2">
      <c r="B294" s="124"/>
      <c r="C294" s="125" t="s">
        <v>476</v>
      </c>
      <c r="D294" s="125" t="s">
        <v>284</v>
      </c>
      <c r="E294" s="126" t="s">
        <v>532</v>
      </c>
      <c r="F294" s="127" t="s">
        <v>533</v>
      </c>
      <c r="G294" s="128" t="s">
        <v>287</v>
      </c>
      <c r="H294" s="129">
        <v>52.875</v>
      </c>
      <c r="I294" s="130">
        <v>40.878739778868102</v>
      </c>
      <c r="J294" s="131">
        <f>ROUND(I294*H294,2)</f>
        <v>2161.46</v>
      </c>
      <c r="K294" s="127" t="s">
        <v>293</v>
      </c>
      <c r="L294" s="268">
        <f>S294</f>
        <v>0</v>
      </c>
      <c r="M294" s="272">
        <f>ROUND(L294*I294,2)</f>
        <v>0</v>
      </c>
      <c r="N294" s="243">
        <f>N292</f>
        <v>-14.183999999999997</v>
      </c>
      <c r="O294" s="294">
        <f>ROUND(N294*I294,2)</f>
        <v>-579.82000000000005</v>
      </c>
      <c r="P294" s="273">
        <f>H294-L294-N294</f>
        <v>67.058999999999997</v>
      </c>
      <c r="Q294" s="268">
        <f>ROUND(P294*I294,2)</f>
        <v>2741.29</v>
      </c>
      <c r="R294" s="137"/>
      <c r="S294" s="269">
        <f>W294+Y294+AA294+AC294+AE294+AG294</f>
        <v>0</v>
      </c>
      <c r="T294" s="269">
        <f>ROUND(S294*I294,2)</f>
        <v>0</v>
      </c>
      <c r="U294" s="269">
        <f>H294-S294</f>
        <v>52.875</v>
      </c>
      <c r="V294" s="269">
        <f>ROUND(U294*I294,2)</f>
        <v>2161.46</v>
      </c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O294" s="132" t="s">
        <v>1</v>
      </c>
      <c r="AP294" s="133" t="s">
        <v>40</v>
      </c>
      <c r="AR294" s="134">
        <f>AQ294*H294</f>
        <v>0</v>
      </c>
      <c r="AS294" s="134">
        <v>0</v>
      </c>
      <c r="AT294" s="134">
        <f>AS294*H294</f>
        <v>0</v>
      </c>
      <c r="AU294" s="134">
        <v>0</v>
      </c>
      <c r="AV294" s="135">
        <f>AU294*H294</f>
        <v>0</v>
      </c>
      <c r="BT294" s="136" t="s">
        <v>95</v>
      </c>
      <c r="BV294" s="136" t="s">
        <v>284</v>
      </c>
      <c r="BW294" s="136" t="s">
        <v>83</v>
      </c>
      <c r="CA294" s="16" t="s">
        <v>282</v>
      </c>
      <c r="CG294" s="137">
        <f>IF(AP294="základní",J294,0)</f>
        <v>2161.46</v>
      </c>
      <c r="CH294" s="137">
        <f>IF(AP294="snížená",J294,0)</f>
        <v>0</v>
      </c>
      <c r="CI294" s="137">
        <f>IF(AP294="zákl. přenesená",J294,0)</f>
        <v>0</v>
      </c>
      <c r="CJ294" s="137">
        <f>IF(AP294="sníž. přenesená",J294,0)</f>
        <v>0</v>
      </c>
      <c r="CK294" s="137">
        <f>IF(AP294="nulová",J294,0)</f>
        <v>0</v>
      </c>
      <c r="CL294" s="16" t="s">
        <v>81</v>
      </c>
      <c r="CM294" s="137">
        <f>ROUND(I294*H294,2)</f>
        <v>2161.46</v>
      </c>
      <c r="CN294" s="16" t="s">
        <v>95</v>
      </c>
      <c r="CO294" s="136" t="s">
        <v>534</v>
      </c>
    </row>
    <row r="295" spans="2:93" s="1" customFormat="1" ht="19.5" x14ac:dyDescent="0.2">
      <c r="B295" s="31"/>
      <c r="D295" s="138" t="s">
        <v>289</v>
      </c>
      <c r="F295" s="139" t="s">
        <v>535</v>
      </c>
      <c r="I295" s="140"/>
      <c r="L295" s="31"/>
      <c r="N295" s="213"/>
      <c r="O295" s="214"/>
      <c r="Q295" s="330"/>
      <c r="AO295" s="141"/>
      <c r="AV295" s="50"/>
      <c r="BV295" s="16" t="s">
        <v>289</v>
      </c>
      <c r="BW295" s="16" t="s">
        <v>83</v>
      </c>
    </row>
    <row r="296" spans="2:93" s="1" customFormat="1" ht="24.2" customHeight="1" x14ac:dyDescent="0.2">
      <c r="B296" s="124"/>
      <c r="C296" s="125" t="s">
        <v>482</v>
      </c>
      <c r="D296" s="125" t="s">
        <v>284</v>
      </c>
      <c r="E296" s="126" t="s">
        <v>537</v>
      </c>
      <c r="F296" s="127" t="s">
        <v>538</v>
      </c>
      <c r="G296" s="128" t="s">
        <v>287</v>
      </c>
      <c r="H296" s="129">
        <v>52.875</v>
      </c>
      <c r="I296" s="130">
        <v>362.67856108310502</v>
      </c>
      <c r="J296" s="131">
        <f>ROUND(I296*H296,2)</f>
        <v>19176.63</v>
      </c>
      <c r="K296" s="127" t="s">
        <v>293</v>
      </c>
      <c r="L296" s="268">
        <f>S296</f>
        <v>0</v>
      </c>
      <c r="M296" s="272">
        <f>ROUND(L296*I296,2)</f>
        <v>0</v>
      </c>
      <c r="N296" s="243">
        <f>N294</f>
        <v>-14.183999999999997</v>
      </c>
      <c r="O296" s="294">
        <f>ROUND(N296*I296,2)</f>
        <v>-5144.2299999999996</v>
      </c>
      <c r="P296" s="273">
        <f>H296-L296-N296</f>
        <v>67.058999999999997</v>
      </c>
      <c r="Q296" s="268">
        <f>ROUND(P296*I296,2)</f>
        <v>24320.86</v>
      </c>
      <c r="R296" s="137"/>
      <c r="S296" s="269">
        <f>W296+Y296+AA296+AC296+AE296+AG296</f>
        <v>0</v>
      </c>
      <c r="T296" s="269">
        <f>ROUND(S296*I296,2)</f>
        <v>0</v>
      </c>
      <c r="U296" s="269">
        <f>H296-S296</f>
        <v>52.875</v>
      </c>
      <c r="V296" s="269">
        <f>ROUND(U296*I296,2)</f>
        <v>19176.63</v>
      </c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O296" s="132" t="s">
        <v>1</v>
      </c>
      <c r="AP296" s="133" t="s">
        <v>40</v>
      </c>
      <c r="AR296" s="134">
        <f>AQ296*H296</f>
        <v>0</v>
      </c>
      <c r="AS296" s="134">
        <v>0</v>
      </c>
      <c r="AT296" s="134">
        <f>AS296*H296</f>
        <v>0</v>
      </c>
      <c r="AU296" s="134">
        <v>0</v>
      </c>
      <c r="AV296" s="135">
        <f>AU296*H296</f>
        <v>0</v>
      </c>
      <c r="BT296" s="136" t="s">
        <v>95</v>
      </c>
      <c r="BV296" s="136" t="s">
        <v>284</v>
      </c>
      <c r="BW296" s="136" t="s">
        <v>83</v>
      </c>
      <c r="CA296" s="16" t="s">
        <v>282</v>
      </c>
      <c r="CG296" s="137">
        <f>IF(AP296="základní",J296,0)</f>
        <v>19176.63</v>
      </c>
      <c r="CH296" s="137">
        <f>IF(AP296="snížená",J296,0)</f>
        <v>0</v>
      </c>
      <c r="CI296" s="137">
        <f>IF(AP296="zákl. přenesená",J296,0)</f>
        <v>0</v>
      </c>
      <c r="CJ296" s="137">
        <f>IF(AP296="sníž. přenesená",J296,0)</f>
        <v>0</v>
      </c>
      <c r="CK296" s="137">
        <f>IF(AP296="nulová",J296,0)</f>
        <v>0</v>
      </c>
      <c r="CL296" s="16" t="s">
        <v>81</v>
      </c>
      <c r="CM296" s="137">
        <f>ROUND(I296*H296,2)</f>
        <v>19176.63</v>
      </c>
      <c r="CN296" s="16" t="s">
        <v>95</v>
      </c>
      <c r="CO296" s="136" t="s">
        <v>539</v>
      </c>
    </row>
    <row r="297" spans="2:93" s="1" customFormat="1" ht="29.25" x14ac:dyDescent="0.2">
      <c r="B297" s="31"/>
      <c r="D297" s="138" t="s">
        <v>289</v>
      </c>
      <c r="F297" s="139" t="s">
        <v>540</v>
      </c>
      <c r="I297" s="140"/>
      <c r="L297" s="31"/>
      <c r="N297" s="213"/>
      <c r="O297" s="214"/>
      <c r="Q297" s="330"/>
      <c r="AO297" s="141"/>
      <c r="AV297" s="50"/>
      <c r="BV297" s="16" t="s">
        <v>289</v>
      </c>
      <c r="BW297" s="16" t="s">
        <v>83</v>
      </c>
    </row>
    <row r="298" spans="2:93" s="1" customFormat="1" ht="29.25" x14ac:dyDescent="0.2">
      <c r="B298" s="31"/>
      <c r="D298" s="138" t="s">
        <v>299</v>
      </c>
      <c r="F298" s="142" t="s">
        <v>1083</v>
      </c>
      <c r="I298" s="140"/>
      <c r="L298" s="31"/>
      <c r="N298" s="213"/>
      <c r="O298" s="214"/>
      <c r="Q298" s="330"/>
      <c r="AO298" s="141"/>
      <c r="AV298" s="50"/>
      <c r="BV298" s="16" t="s">
        <v>299</v>
      </c>
      <c r="BW298" s="16" t="s">
        <v>83</v>
      </c>
    </row>
    <row r="299" spans="2:93" s="11" customFormat="1" ht="22.5" x14ac:dyDescent="0.2">
      <c r="B299" s="143"/>
      <c r="D299" s="138" t="s">
        <v>301</v>
      </c>
      <c r="E299" s="144" t="s">
        <v>1</v>
      </c>
      <c r="F299" s="145" t="s">
        <v>1126</v>
      </c>
      <c r="H299" s="144" t="s">
        <v>1</v>
      </c>
      <c r="I299" s="146"/>
      <c r="L299" s="143"/>
      <c r="N299" s="215"/>
      <c r="O299" s="216"/>
      <c r="Q299" s="331"/>
      <c r="AO299" s="147"/>
      <c r="AV299" s="148"/>
      <c r="BV299" s="144" t="s">
        <v>301</v>
      </c>
      <c r="BW299" s="144" t="s">
        <v>83</v>
      </c>
      <c r="BX299" s="11" t="s">
        <v>81</v>
      </c>
      <c r="BY299" s="11" t="s">
        <v>32</v>
      </c>
      <c r="BZ299" s="11" t="s">
        <v>74</v>
      </c>
      <c r="CA299" s="144" t="s">
        <v>282</v>
      </c>
    </row>
    <row r="300" spans="2:93" s="12" customFormat="1" x14ac:dyDescent="0.2">
      <c r="B300" s="149"/>
      <c r="D300" s="138" t="s">
        <v>301</v>
      </c>
      <c r="E300" s="150" t="s">
        <v>1</v>
      </c>
      <c r="F300" s="151" t="s">
        <v>1308</v>
      </c>
      <c r="H300" s="152">
        <v>52.875</v>
      </c>
      <c r="I300" s="153"/>
      <c r="L300" s="149"/>
      <c r="N300" s="217"/>
      <c r="O300" s="218"/>
      <c r="Q300" s="332"/>
      <c r="AO300" s="154"/>
      <c r="AV300" s="155"/>
      <c r="BV300" s="150" t="s">
        <v>301</v>
      </c>
      <c r="BW300" s="150" t="s">
        <v>83</v>
      </c>
      <c r="BX300" s="12" t="s">
        <v>83</v>
      </c>
      <c r="BY300" s="12" t="s">
        <v>32</v>
      </c>
      <c r="BZ300" s="12" t="s">
        <v>81</v>
      </c>
      <c r="CA300" s="150" t="s">
        <v>282</v>
      </c>
    </row>
    <row r="301" spans="2:93" s="10" customFormat="1" ht="22.9" customHeight="1" x14ac:dyDescent="0.2">
      <c r="B301" s="112"/>
      <c r="D301" s="113" t="s">
        <v>73</v>
      </c>
      <c r="E301" s="122" t="s">
        <v>328</v>
      </c>
      <c r="F301" s="122" t="s">
        <v>555</v>
      </c>
      <c r="I301" s="115"/>
      <c r="J301" s="123">
        <f>CM301</f>
        <v>240998.67</v>
      </c>
      <c r="L301" s="112"/>
      <c r="M301" s="270">
        <f>SUM(M302:M351)</f>
        <v>0</v>
      </c>
      <c r="N301" s="301"/>
      <c r="O301" s="302">
        <f t="shared" ref="O301:V301" si="6">SUM(O302:O351)</f>
        <v>-61073.599999999999</v>
      </c>
      <c r="P301" s="270"/>
      <c r="Q301" s="335">
        <f t="shared" si="6"/>
        <v>302072.25</v>
      </c>
      <c r="R301" s="270"/>
      <c r="S301" s="270"/>
      <c r="T301" s="270">
        <f t="shared" si="6"/>
        <v>0</v>
      </c>
      <c r="U301" s="270"/>
      <c r="V301" s="270">
        <f t="shared" si="6"/>
        <v>240998.67</v>
      </c>
      <c r="AO301" s="117"/>
      <c r="AR301" s="118">
        <f>SUM(AR302:AR352)</f>
        <v>0</v>
      </c>
      <c r="AT301" s="118">
        <f>SUM(AT302:AT352)</f>
        <v>3.4142899999999998</v>
      </c>
      <c r="AV301" s="119">
        <f>SUM(AV302:AV352)</f>
        <v>0</v>
      </c>
      <c r="BT301" s="113" t="s">
        <v>81</v>
      </c>
      <c r="BV301" s="120" t="s">
        <v>73</v>
      </c>
      <c r="BW301" s="120" t="s">
        <v>81</v>
      </c>
      <c r="CA301" s="113" t="s">
        <v>282</v>
      </c>
      <c r="CM301" s="121">
        <f>SUM(CM302:CM352)</f>
        <v>240998.67</v>
      </c>
    </row>
    <row r="302" spans="2:93" s="1" customFormat="1" ht="24.2" customHeight="1" x14ac:dyDescent="0.2">
      <c r="B302" s="124"/>
      <c r="C302" s="125" t="s">
        <v>489</v>
      </c>
      <c r="D302" s="125" t="s">
        <v>284</v>
      </c>
      <c r="E302" s="126" t="s">
        <v>1128</v>
      </c>
      <c r="F302" s="127" t="s">
        <v>1129</v>
      </c>
      <c r="G302" s="128" t="s">
        <v>344</v>
      </c>
      <c r="H302" s="129">
        <v>53.5</v>
      </c>
      <c r="I302" s="130">
        <v>617.16852473597498</v>
      </c>
      <c r="J302" s="131">
        <f>ROUND(I302*H302,2)</f>
        <v>33018.519999999997</v>
      </c>
      <c r="K302" s="127" t="s">
        <v>293</v>
      </c>
      <c r="L302" s="268">
        <f>S302</f>
        <v>0</v>
      </c>
      <c r="M302" s="272">
        <f>ROUND(L302*I302,2)</f>
        <v>0</v>
      </c>
      <c r="N302" s="243">
        <f>N305</f>
        <v>-12.009999999999998</v>
      </c>
      <c r="O302" s="294">
        <f>ROUND(N302*I302,2)</f>
        <v>-7412.19</v>
      </c>
      <c r="P302" s="273">
        <f>H302-L302-N302</f>
        <v>65.509999999999991</v>
      </c>
      <c r="Q302" s="268">
        <f>ROUND(P302*I302,2)</f>
        <v>40430.71</v>
      </c>
      <c r="R302" s="137"/>
      <c r="S302" s="269">
        <f>W302+Y302+AA302+AC302+AE302+AG302</f>
        <v>0</v>
      </c>
      <c r="T302" s="269">
        <f>ROUND(S302*I302,2)</f>
        <v>0</v>
      </c>
      <c r="U302" s="269">
        <f>H302-S302</f>
        <v>53.5</v>
      </c>
      <c r="V302" s="269">
        <f>ROUND(U302*I302,2)</f>
        <v>33018.519999999997</v>
      </c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O302" s="132" t="s">
        <v>1</v>
      </c>
      <c r="AP302" s="133" t="s">
        <v>40</v>
      </c>
      <c r="AR302" s="134">
        <f>AQ302*H302</f>
        <v>0</v>
      </c>
      <c r="AS302" s="134">
        <v>4.2199999999999998E-3</v>
      </c>
      <c r="AT302" s="134">
        <f>AS302*H302</f>
        <v>0.22577</v>
      </c>
      <c r="AU302" s="134">
        <v>0</v>
      </c>
      <c r="AV302" s="135">
        <f>AU302*H302</f>
        <v>0</v>
      </c>
      <c r="BT302" s="136" t="s">
        <v>95</v>
      </c>
      <c r="BV302" s="136" t="s">
        <v>284</v>
      </c>
      <c r="BW302" s="136" t="s">
        <v>83</v>
      </c>
      <c r="CA302" s="16" t="s">
        <v>282</v>
      </c>
      <c r="CG302" s="137">
        <f>IF(AP302="základní",J302,0)</f>
        <v>33018.519999999997</v>
      </c>
      <c r="CH302" s="137">
        <f>IF(AP302="snížená",J302,0)</f>
        <v>0</v>
      </c>
      <c r="CI302" s="137">
        <f>IF(AP302="zákl. přenesená",J302,0)</f>
        <v>0</v>
      </c>
      <c r="CJ302" s="137">
        <f>IF(AP302="sníž. přenesená",J302,0)</f>
        <v>0</v>
      </c>
      <c r="CK302" s="137">
        <f>IF(AP302="nulová",J302,0)</f>
        <v>0</v>
      </c>
      <c r="CL302" s="16" t="s">
        <v>81</v>
      </c>
      <c r="CM302" s="137">
        <f>ROUND(I302*H302,2)</f>
        <v>33018.519999999997</v>
      </c>
      <c r="CN302" s="16" t="s">
        <v>95</v>
      </c>
      <c r="CO302" s="136" t="s">
        <v>1130</v>
      </c>
    </row>
    <row r="303" spans="2:93" s="1" customFormat="1" ht="29.25" x14ac:dyDescent="0.2">
      <c r="B303" s="31"/>
      <c r="D303" s="138" t="s">
        <v>289</v>
      </c>
      <c r="F303" s="139" t="s">
        <v>1131</v>
      </c>
      <c r="I303" s="140"/>
      <c r="L303" s="31"/>
      <c r="N303" s="213"/>
      <c r="O303" s="214"/>
      <c r="Q303" s="330"/>
      <c r="AO303" s="141"/>
      <c r="AV303" s="50"/>
      <c r="BV303" s="16" t="s">
        <v>289</v>
      </c>
      <c r="BW303" s="16" t="s">
        <v>83</v>
      </c>
    </row>
    <row r="304" spans="2:93" s="1" customFormat="1" ht="29.25" x14ac:dyDescent="0.2">
      <c r="B304" s="31"/>
      <c r="D304" s="138" t="s">
        <v>299</v>
      </c>
      <c r="F304" s="142" t="s">
        <v>1083</v>
      </c>
      <c r="I304" s="140"/>
      <c r="L304" s="31"/>
      <c r="N304" s="213"/>
      <c r="O304" s="214"/>
      <c r="Q304" s="330"/>
      <c r="AO304" s="141"/>
      <c r="AV304" s="50"/>
      <c r="BV304" s="16" t="s">
        <v>299</v>
      </c>
      <c r="BW304" s="16" t="s">
        <v>83</v>
      </c>
    </row>
    <row r="305" spans="2:93" s="12" customFormat="1" x14ac:dyDescent="0.2">
      <c r="B305" s="149"/>
      <c r="D305" s="138" t="s">
        <v>301</v>
      </c>
      <c r="E305" s="150" t="s">
        <v>1</v>
      </c>
      <c r="F305" s="151" t="s">
        <v>1304</v>
      </c>
      <c r="H305" s="152">
        <v>53.5</v>
      </c>
      <c r="I305" s="153"/>
      <c r="L305" s="149"/>
      <c r="N305" s="217">
        <f>41.49-53.5</f>
        <v>-12.009999999999998</v>
      </c>
      <c r="O305" s="218" t="s">
        <v>3704</v>
      </c>
      <c r="Q305" s="332"/>
      <c r="AO305" s="154"/>
      <c r="AV305" s="155"/>
      <c r="BV305" s="150" t="s">
        <v>301</v>
      </c>
      <c r="BW305" s="150" t="s">
        <v>83</v>
      </c>
      <c r="BX305" s="12" t="s">
        <v>83</v>
      </c>
      <c r="BY305" s="12" t="s">
        <v>32</v>
      </c>
      <c r="BZ305" s="12" t="s">
        <v>81</v>
      </c>
      <c r="CA305" s="150" t="s">
        <v>282</v>
      </c>
    </row>
    <row r="306" spans="2:93" s="1" customFormat="1" ht="24.2" customHeight="1" x14ac:dyDescent="0.2">
      <c r="B306" s="124"/>
      <c r="C306" s="125" t="s">
        <v>493</v>
      </c>
      <c r="D306" s="125" t="s">
        <v>284</v>
      </c>
      <c r="E306" s="126" t="s">
        <v>1132</v>
      </c>
      <c r="F306" s="127" t="s">
        <v>1133</v>
      </c>
      <c r="G306" s="128" t="s">
        <v>485</v>
      </c>
      <c r="H306" s="129">
        <v>38</v>
      </c>
      <c r="I306" s="130">
        <v>214.24530512569368</v>
      </c>
      <c r="J306" s="131">
        <f>ROUND(I306*H306,2)</f>
        <v>8141.32</v>
      </c>
      <c r="K306" s="127" t="s">
        <v>293</v>
      </c>
      <c r="L306" s="268">
        <f>S306</f>
        <v>0</v>
      </c>
      <c r="M306" s="272">
        <f>ROUND(L306*I306,2)</f>
        <v>0</v>
      </c>
      <c r="N306" s="243"/>
      <c r="O306" s="294">
        <f>ROUND(N306*I306,2)</f>
        <v>0</v>
      </c>
      <c r="P306" s="273">
        <f>H306-L306-N306</f>
        <v>38</v>
      </c>
      <c r="Q306" s="268">
        <f>ROUND(P306*I306,2)</f>
        <v>8141.32</v>
      </c>
      <c r="R306" s="137"/>
      <c r="S306" s="269">
        <f>W306+Y306+AA306+AC306+AE306+AG306</f>
        <v>0</v>
      </c>
      <c r="T306" s="269">
        <f>ROUND(S306*I306,2)</f>
        <v>0</v>
      </c>
      <c r="U306" s="269">
        <f>H306-S306</f>
        <v>38</v>
      </c>
      <c r="V306" s="269">
        <f>ROUND(U306*I306,2)</f>
        <v>8141.32</v>
      </c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O306" s="132" t="s">
        <v>1</v>
      </c>
      <c r="AP306" s="133" t="s">
        <v>40</v>
      </c>
      <c r="AR306" s="134">
        <f>AQ306*H306</f>
        <v>0</v>
      </c>
      <c r="AS306" s="134">
        <v>0</v>
      </c>
      <c r="AT306" s="134">
        <f>AS306*H306</f>
        <v>0</v>
      </c>
      <c r="AU306" s="134">
        <v>0</v>
      </c>
      <c r="AV306" s="135">
        <f>AU306*H306</f>
        <v>0</v>
      </c>
      <c r="BT306" s="136" t="s">
        <v>95</v>
      </c>
      <c r="BV306" s="136" t="s">
        <v>284</v>
      </c>
      <c r="BW306" s="136" t="s">
        <v>83</v>
      </c>
      <c r="CA306" s="16" t="s">
        <v>282</v>
      </c>
      <c r="CG306" s="137">
        <f>IF(AP306="základní",J306,0)</f>
        <v>8141.32</v>
      </c>
      <c r="CH306" s="137">
        <f>IF(AP306="snížená",J306,0)</f>
        <v>0</v>
      </c>
      <c r="CI306" s="137">
        <f>IF(AP306="zákl. přenesená",J306,0)</f>
        <v>0</v>
      </c>
      <c r="CJ306" s="137">
        <f>IF(AP306="sníž. přenesená",J306,0)</f>
        <v>0</v>
      </c>
      <c r="CK306" s="137">
        <f>IF(AP306="nulová",J306,0)</f>
        <v>0</v>
      </c>
      <c r="CL306" s="16" t="s">
        <v>81</v>
      </c>
      <c r="CM306" s="137">
        <f>ROUND(I306*H306,2)</f>
        <v>8141.32</v>
      </c>
      <c r="CN306" s="16" t="s">
        <v>95</v>
      </c>
      <c r="CO306" s="136" t="s">
        <v>1134</v>
      </c>
    </row>
    <row r="307" spans="2:93" s="1" customFormat="1" ht="19.5" x14ac:dyDescent="0.2">
      <c r="B307" s="31"/>
      <c r="D307" s="138" t="s">
        <v>289</v>
      </c>
      <c r="F307" s="139" t="s">
        <v>1135</v>
      </c>
      <c r="I307" s="140"/>
      <c r="L307" s="31"/>
      <c r="N307" s="213"/>
      <c r="O307" s="214"/>
      <c r="Q307" s="330"/>
      <c r="AO307" s="141"/>
      <c r="AV307" s="50"/>
      <c r="BV307" s="16" t="s">
        <v>289</v>
      </c>
      <c r="BW307" s="16" t="s">
        <v>83</v>
      </c>
    </row>
    <row r="308" spans="2:93" s="1" customFormat="1" ht="29.25" x14ac:dyDescent="0.2">
      <c r="B308" s="31"/>
      <c r="D308" s="138" t="s">
        <v>299</v>
      </c>
      <c r="F308" s="142" t="s">
        <v>1083</v>
      </c>
      <c r="I308" s="140"/>
      <c r="L308" s="31"/>
      <c r="N308" s="213"/>
      <c r="O308" s="214"/>
      <c r="Q308" s="330"/>
      <c r="AO308" s="141"/>
      <c r="AV308" s="50"/>
      <c r="BV308" s="16" t="s">
        <v>299</v>
      </c>
      <c r="BW308" s="16" t="s">
        <v>83</v>
      </c>
    </row>
    <row r="309" spans="2:93" s="11" customFormat="1" x14ac:dyDescent="0.2">
      <c r="B309" s="143"/>
      <c r="D309" s="138" t="s">
        <v>301</v>
      </c>
      <c r="E309" s="144" t="s">
        <v>1</v>
      </c>
      <c r="F309" s="145" t="s">
        <v>1136</v>
      </c>
      <c r="H309" s="144" t="s">
        <v>1</v>
      </c>
      <c r="I309" s="146"/>
      <c r="L309" s="143"/>
      <c r="N309" s="215"/>
      <c r="O309" s="216"/>
      <c r="Q309" s="331"/>
      <c r="AO309" s="147"/>
      <c r="AV309" s="148"/>
      <c r="BV309" s="144" t="s">
        <v>301</v>
      </c>
      <c r="BW309" s="144" t="s">
        <v>83</v>
      </c>
      <c r="BX309" s="11" t="s">
        <v>81</v>
      </c>
      <c r="BY309" s="11" t="s">
        <v>32</v>
      </c>
      <c r="BZ309" s="11" t="s">
        <v>74</v>
      </c>
      <c r="CA309" s="144" t="s">
        <v>282</v>
      </c>
    </row>
    <row r="310" spans="2:93" s="12" customFormat="1" x14ac:dyDescent="0.2">
      <c r="B310" s="149"/>
      <c r="D310" s="138" t="s">
        <v>301</v>
      </c>
      <c r="E310" s="150" t="s">
        <v>1</v>
      </c>
      <c r="F310" s="151" t="s">
        <v>1309</v>
      </c>
      <c r="H310" s="152">
        <v>10</v>
      </c>
      <c r="I310" s="153"/>
      <c r="L310" s="149"/>
      <c r="N310" s="217"/>
      <c r="O310" s="218"/>
      <c r="Q310" s="332"/>
      <c r="AO310" s="154"/>
      <c r="AV310" s="155"/>
      <c r="BV310" s="150" t="s">
        <v>301</v>
      </c>
      <c r="BW310" s="150" t="s">
        <v>83</v>
      </c>
      <c r="BX310" s="12" t="s">
        <v>83</v>
      </c>
      <c r="BY310" s="12" t="s">
        <v>32</v>
      </c>
      <c r="BZ310" s="12" t="s">
        <v>74</v>
      </c>
      <c r="CA310" s="150" t="s">
        <v>282</v>
      </c>
    </row>
    <row r="311" spans="2:93" s="11" customFormat="1" x14ac:dyDescent="0.2">
      <c r="B311" s="143"/>
      <c r="D311" s="138" t="s">
        <v>301</v>
      </c>
      <c r="E311" s="144" t="s">
        <v>1</v>
      </c>
      <c r="F311" s="145" t="s">
        <v>1138</v>
      </c>
      <c r="H311" s="144" t="s">
        <v>1</v>
      </c>
      <c r="I311" s="146"/>
      <c r="L311" s="143"/>
      <c r="N311" s="215"/>
      <c r="O311" s="216"/>
      <c r="Q311" s="331"/>
      <c r="AO311" s="147"/>
      <c r="AV311" s="148"/>
      <c r="BV311" s="144" t="s">
        <v>301</v>
      </c>
      <c r="BW311" s="144" t="s">
        <v>83</v>
      </c>
      <c r="BX311" s="11" t="s">
        <v>81</v>
      </c>
      <c r="BY311" s="11" t="s">
        <v>32</v>
      </c>
      <c r="BZ311" s="11" t="s">
        <v>74</v>
      </c>
      <c r="CA311" s="144" t="s">
        <v>282</v>
      </c>
    </row>
    <row r="312" spans="2:93" s="12" customFormat="1" x14ac:dyDescent="0.2">
      <c r="B312" s="149"/>
      <c r="D312" s="138" t="s">
        <v>301</v>
      </c>
      <c r="E312" s="150" t="s">
        <v>1</v>
      </c>
      <c r="F312" s="151" t="s">
        <v>1139</v>
      </c>
      <c r="H312" s="152">
        <v>4</v>
      </c>
      <c r="I312" s="153"/>
      <c r="L312" s="149"/>
      <c r="N312" s="217"/>
      <c r="O312" s="218"/>
      <c r="Q312" s="332"/>
      <c r="AO312" s="154"/>
      <c r="AV312" s="155"/>
      <c r="BV312" s="150" t="s">
        <v>301</v>
      </c>
      <c r="BW312" s="150" t="s">
        <v>83</v>
      </c>
      <c r="BX312" s="12" t="s">
        <v>83</v>
      </c>
      <c r="BY312" s="12" t="s">
        <v>32</v>
      </c>
      <c r="BZ312" s="12" t="s">
        <v>74</v>
      </c>
      <c r="CA312" s="150" t="s">
        <v>282</v>
      </c>
    </row>
    <row r="313" spans="2:93" s="14" customFormat="1" x14ac:dyDescent="0.2">
      <c r="B313" s="163"/>
      <c r="D313" s="138" t="s">
        <v>301</v>
      </c>
      <c r="E313" s="164" t="s">
        <v>1</v>
      </c>
      <c r="F313" s="165" t="s">
        <v>373</v>
      </c>
      <c r="H313" s="166">
        <v>14</v>
      </c>
      <c r="I313" s="167"/>
      <c r="L313" s="163"/>
      <c r="N313" s="221"/>
      <c r="O313" s="222"/>
      <c r="Q313" s="333"/>
      <c r="AO313" s="168"/>
      <c r="AV313" s="169"/>
      <c r="BV313" s="164" t="s">
        <v>301</v>
      </c>
      <c r="BW313" s="164" t="s">
        <v>83</v>
      </c>
      <c r="BX313" s="14" t="s">
        <v>90</v>
      </c>
      <c r="BY313" s="14" t="s">
        <v>32</v>
      </c>
      <c r="BZ313" s="14" t="s">
        <v>74</v>
      </c>
      <c r="CA313" s="164" t="s">
        <v>282</v>
      </c>
    </row>
    <row r="314" spans="2:93" s="11" customFormat="1" x14ac:dyDescent="0.2">
      <c r="B314" s="143"/>
      <c r="D314" s="138" t="s">
        <v>301</v>
      </c>
      <c r="E314" s="144" t="s">
        <v>1</v>
      </c>
      <c r="F314" s="145" t="s">
        <v>1140</v>
      </c>
      <c r="H314" s="144" t="s">
        <v>1</v>
      </c>
      <c r="I314" s="146"/>
      <c r="L314" s="143"/>
      <c r="N314" s="215"/>
      <c r="O314" s="216"/>
      <c r="Q314" s="331"/>
      <c r="AO314" s="147"/>
      <c r="AV314" s="148"/>
      <c r="BV314" s="144" t="s">
        <v>301</v>
      </c>
      <c r="BW314" s="144" t="s">
        <v>83</v>
      </c>
      <c r="BX314" s="11" t="s">
        <v>81</v>
      </c>
      <c r="BY314" s="11" t="s">
        <v>32</v>
      </c>
      <c r="BZ314" s="11" t="s">
        <v>74</v>
      </c>
      <c r="CA314" s="144" t="s">
        <v>282</v>
      </c>
    </row>
    <row r="315" spans="2:93" s="12" customFormat="1" x14ac:dyDescent="0.2">
      <c r="B315" s="149"/>
      <c r="D315" s="138" t="s">
        <v>301</v>
      </c>
      <c r="E315" s="150" t="s">
        <v>1</v>
      </c>
      <c r="F315" s="151" t="s">
        <v>1310</v>
      </c>
      <c r="H315" s="152">
        <v>24</v>
      </c>
      <c r="I315" s="153"/>
      <c r="L315" s="149"/>
      <c r="N315" s="217"/>
      <c r="O315" s="218"/>
      <c r="Q315" s="332"/>
      <c r="AO315" s="154"/>
      <c r="AV315" s="155"/>
      <c r="BV315" s="150" t="s">
        <v>301</v>
      </c>
      <c r="BW315" s="150" t="s">
        <v>83</v>
      </c>
      <c r="BX315" s="12" t="s">
        <v>83</v>
      </c>
      <c r="BY315" s="12" t="s">
        <v>32</v>
      </c>
      <c r="BZ315" s="12" t="s">
        <v>74</v>
      </c>
      <c r="CA315" s="150" t="s">
        <v>282</v>
      </c>
    </row>
    <row r="316" spans="2:93" s="13" customFormat="1" x14ac:dyDescent="0.2">
      <c r="B316" s="156"/>
      <c r="D316" s="138" t="s">
        <v>301</v>
      </c>
      <c r="E316" s="157" t="s">
        <v>1</v>
      </c>
      <c r="F316" s="158" t="s">
        <v>305</v>
      </c>
      <c r="H316" s="159">
        <v>38</v>
      </c>
      <c r="I316" s="160"/>
      <c r="L316" s="156"/>
      <c r="N316" s="219"/>
      <c r="O316" s="220"/>
      <c r="Q316" s="334"/>
      <c r="AO316" s="161"/>
      <c r="AV316" s="162"/>
      <c r="BV316" s="157" t="s">
        <v>301</v>
      </c>
      <c r="BW316" s="157" t="s">
        <v>83</v>
      </c>
      <c r="BX316" s="13" t="s">
        <v>95</v>
      </c>
      <c r="BY316" s="13" t="s">
        <v>32</v>
      </c>
      <c r="BZ316" s="13" t="s">
        <v>81</v>
      </c>
      <c r="CA316" s="157" t="s">
        <v>282</v>
      </c>
    </row>
    <row r="317" spans="2:93" s="1" customFormat="1" ht="14.45" customHeight="1" x14ac:dyDescent="0.2">
      <c r="B317" s="124"/>
      <c r="C317" s="170" t="s">
        <v>497</v>
      </c>
      <c r="D317" s="170" t="s">
        <v>439</v>
      </c>
      <c r="E317" s="171" t="s">
        <v>1142</v>
      </c>
      <c r="F317" s="172" t="s">
        <v>1143</v>
      </c>
      <c r="G317" s="173" t="s">
        <v>485</v>
      </c>
      <c r="H317" s="174">
        <v>14</v>
      </c>
      <c r="I317" s="175">
        <v>100.40486420000001</v>
      </c>
      <c r="J317" s="176">
        <f>ROUND(I317*H317,2)</f>
        <v>1405.67</v>
      </c>
      <c r="K317" s="172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14</v>
      </c>
      <c r="Q317" s="268">
        <f>ROUND(P317*I317,2)</f>
        <v>1405.67</v>
      </c>
      <c r="R317" s="137"/>
      <c r="S317" s="269">
        <f>W317+Y317+AA317+AC317+AE317+AG317</f>
        <v>0</v>
      </c>
      <c r="T317" s="269">
        <f>ROUND(S317*I317,2)</f>
        <v>0</v>
      </c>
      <c r="U317" s="269">
        <f>H317-S317</f>
        <v>14</v>
      </c>
      <c r="V317" s="269">
        <f>ROUND(U317*I317,2)</f>
        <v>1405.67</v>
      </c>
      <c r="W317" s="290"/>
      <c r="X317" s="290"/>
      <c r="Y317" s="290"/>
      <c r="Z317" s="290"/>
      <c r="AA317" s="290"/>
      <c r="AB317" s="290"/>
      <c r="AC317" s="290"/>
      <c r="AD317" s="290"/>
      <c r="AE317" s="290"/>
      <c r="AF317" s="290"/>
      <c r="AG317" s="290"/>
      <c r="AH317" s="290"/>
      <c r="AI317" s="189"/>
      <c r="AJ317" s="189"/>
      <c r="AK317" s="189"/>
      <c r="AL317" s="189"/>
      <c r="AM317" s="189"/>
      <c r="AN317" s="189"/>
      <c r="AO317" s="177" t="s">
        <v>1</v>
      </c>
      <c r="AP317" s="178" t="s">
        <v>40</v>
      </c>
      <c r="AR317" s="134">
        <f>AQ317*H317</f>
        <v>0</v>
      </c>
      <c r="AS317" s="134">
        <v>6.4999999999999997E-4</v>
      </c>
      <c r="AT317" s="134">
        <f>AS317*H317</f>
        <v>9.1000000000000004E-3</v>
      </c>
      <c r="AU317" s="134">
        <v>0</v>
      </c>
      <c r="AV317" s="135">
        <f>AU317*H317</f>
        <v>0</v>
      </c>
      <c r="BT317" s="136" t="s">
        <v>328</v>
      </c>
      <c r="BV317" s="136" t="s">
        <v>439</v>
      </c>
      <c r="BW317" s="136" t="s">
        <v>83</v>
      </c>
      <c r="CA317" s="16" t="s">
        <v>282</v>
      </c>
      <c r="CG317" s="137">
        <f>IF(AP317="základní",J317,0)</f>
        <v>1405.67</v>
      </c>
      <c r="CH317" s="137">
        <f>IF(AP317="snížená",J317,0)</f>
        <v>0</v>
      </c>
      <c r="CI317" s="137">
        <f>IF(AP317="zákl. přenesená",J317,0)</f>
        <v>0</v>
      </c>
      <c r="CJ317" s="137">
        <f>IF(AP317="sníž. přenesená",J317,0)</f>
        <v>0</v>
      </c>
      <c r="CK317" s="137">
        <f>IF(AP317="nulová",J317,0)</f>
        <v>0</v>
      </c>
      <c r="CL317" s="16" t="s">
        <v>81</v>
      </c>
      <c r="CM317" s="137">
        <f>ROUND(I317*H317,2)</f>
        <v>1405.67</v>
      </c>
      <c r="CN317" s="16" t="s">
        <v>95</v>
      </c>
      <c r="CO317" s="136" t="s">
        <v>1144</v>
      </c>
    </row>
    <row r="318" spans="2:93" s="1" customFormat="1" x14ac:dyDescent="0.2">
      <c r="B318" s="31"/>
      <c r="D318" s="138" t="s">
        <v>289</v>
      </c>
      <c r="F318" s="139" t="s">
        <v>1145</v>
      </c>
      <c r="I318" s="140"/>
      <c r="L318" s="31"/>
      <c r="N318" s="213"/>
      <c r="O318" s="214"/>
      <c r="Q318" s="330"/>
      <c r="AO318" s="141"/>
      <c r="AV318" s="50"/>
      <c r="BV318" s="16" t="s">
        <v>289</v>
      </c>
      <c r="BW318" s="16" t="s">
        <v>83</v>
      </c>
    </row>
    <row r="319" spans="2:93" s="1" customFormat="1" ht="14.45" customHeight="1" x14ac:dyDescent="0.2">
      <c r="B319" s="124"/>
      <c r="C319" s="170" t="s">
        <v>501</v>
      </c>
      <c r="D319" s="170" t="s">
        <v>439</v>
      </c>
      <c r="E319" s="171" t="s">
        <v>1146</v>
      </c>
      <c r="F319" s="172" t="s">
        <v>1147</v>
      </c>
      <c r="G319" s="173" t="s">
        <v>485</v>
      </c>
      <c r="H319" s="174">
        <v>24</v>
      </c>
      <c r="I319" s="175">
        <v>236.80392499999999</v>
      </c>
      <c r="J319" s="176">
        <f>ROUND(I319*H319,2)</f>
        <v>5683.29</v>
      </c>
      <c r="K319" s="172" t="s">
        <v>1</v>
      </c>
      <c r="L319" s="268">
        <f>S319</f>
        <v>0</v>
      </c>
      <c r="M319" s="272">
        <f>ROUND(L319*I319,2)</f>
        <v>0</v>
      </c>
      <c r="N319" s="243"/>
      <c r="O319" s="294">
        <f>ROUND(N319*I319,2)</f>
        <v>0</v>
      </c>
      <c r="P319" s="273">
        <f>H319-L319-N319</f>
        <v>24</v>
      </c>
      <c r="Q319" s="268">
        <f>ROUND(P319*I319,2)</f>
        <v>5683.29</v>
      </c>
      <c r="R319" s="137"/>
      <c r="S319" s="269">
        <f>W319+Y319+AA319+AC319+AE319+AG319</f>
        <v>0</v>
      </c>
      <c r="T319" s="269">
        <f>ROUND(S319*I319,2)</f>
        <v>0</v>
      </c>
      <c r="U319" s="269">
        <f>H319-S319</f>
        <v>24</v>
      </c>
      <c r="V319" s="269">
        <f>ROUND(U319*I319,2)</f>
        <v>5683.29</v>
      </c>
      <c r="W319" s="290"/>
      <c r="X319" s="290"/>
      <c r="Y319" s="290"/>
      <c r="Z319" s="290"/>
      <c r="AA319" s="290"/>
      <c r="AB319" s="290"/>
      <c r="AC319" s="290"/>
      <c r="AD319" s="290"/>
      <c r="AE319" s="290"/>
      <c r="AF319" s="290"/>
      <c r="AG319" s="290"/>
      <c r="AH319" s="290"/>
      <c r="AI319" s="189"/>
      <c r="AJ319" s="189"/>
      <c r="AK319" s="189"/>
      <c r="AL319" s="189"/>
      <c r="AM319" s="189"/>
      <c r="AN319" s="189"/>
      <c r="AO319" s="177" t="s">
        <v>1</v>
      </c>
      <c r="AP319" s="178" t="s">
        <v>40</v>
      </c>
      <c r="AR319" s="134">
        <f>AQ319*H319</f>
        <v>0</v>
      </c>
      <c r="AS319" s="134">
        <v>6.4999999999999997E-4</v>
      </c>
      <c r="AT319" s="134">
        <f>AS319*H319</f>
        <v>1.5599999999999999E-2</v>
      </c>
      <c r="AU319" s="134">
        <v>0</v>
      </c>
      <c r="AV319" s="135">
        <f>AU319*H319</f>
        <v>0</v>
      </c>
      <c r="BT319" s="136" t="s">
        <v>328</v>
      </c>
      <c r="BV319" s="136" t="s">
        <v>439</v>
      </c>
      <c r="BW319" s="136" t="s">
        <v>83</v>
      </c>
      <c r="CA319" s="16" t="s">
        <v>282</v>
      </c>
      <c r="CG319" s="137">
        <f>IF(AP319="základní",J319,0)</f>
        <v>5683.29</v>
      </c>
      <c r="CH319" s="137">
        <f>IF(AP319="snížená",J319,0)</f>
        <v>0</v>
      </c>
      <c r="CI319" s="137">
        <f>IF(AP319="zákl. přenesená",J319,0)</f>
        <v>0</v>
      </c>
      <c r="CJ319" s="137">
        <f>IF(AP319="sníž. přenesená",J319,0)</f>
        <v>0</v>
      </c>
      <c r="CK319" s="137">
        <f>IF(AP319="nulová",J319,0)</f>
        <v>0</v>
      </c>
      <c r="CL319" s="16" t="s">
        <v>81</v>
      </c>
      <c r="CM319" s="137">
        <f>ROUND(I319*H319,2)</f>
        <v>5683.29</v>
      </c>
      <c r="CN319" s="16" t="s">
        <v>95</v>
      </c>
      <c r="CO319" s="136" t="s">
        <v>1148</v>
      </c>
    </row>
    <row r="320" spans="2:93" s="1" customFormat="1" x14ac:dyDescent="0.2">
      <c r="B320" s="31"/>
      <c r="D320" s="138" t="s">
        <v>289</v>
      </c>
      <c r="F320" s="139" t="s">
        <v>1147</v>
      </c>
      <c r="I320" s="140"/>
      <c r="L320" s="31"/>
      <c r="N320" s="213"/>
      <c r="O320" s="214"/>
      <c r="Q320" s="330"/>
      <c r="AO320" s="141"/>
      <c r="AV320" s="50"/>
      <c r="BV320" s="16" t="s">
        <v>289</v>
      </c>
      <c r="BW320" s="16" t="s">
        <v>83</v>
      </c>
    </row>
    <row r="321" spans="2:93" s="1" customFormat="1" ht="14.45" customHeight="1" x14ac:dyDescent="0.2">
      <c r="B321" s="124"/>
      <c r="C321" s="125" t="s">
        <v>505</v>
      </c>
      <c r="D321" s="125" t="s">
        <v>284</v>
      </c>
      <c r="E321" s="126" t="s">
        <v>1149</v>
      </c>
      <c r="F321" s="127" t="s">
        <v>1150</v>
      </c>
      <c r="G321" s="128" t="s">
        <v>485</v>
      </c>
      <c r="H321" s="129">
        <v>12</v>
      </c>
      <c r="I321" s="130">
        <v>214.24530512569368</v>
      </c>
      <c r="J321" s="131">
        <f>ROUND(I321*H321,2)</f>
        <v>2570.94</v>
      </c>
      <c r="K321" s="127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12</v>
      </c>
      <c r="Q321" s="268">
        <f>ROUND(P321*I321,2)</f>
        <v>2570.94</v>
      </c>
      <c r="R321" s="137"/>
      <c r="S321" s="269">
        <f>W321+Y321+AA321+AC321+AE321+AG321</f>
        <v>0</v>
      </c>
      <c r="T321" s="269">
        <f>ROUND(S321*I321,2)</f>
        <v>0</v>
      </c>
      <c r="U321" s="269">
        <f>H321-S321</f>
        <v>12</v>
      </c>
      <c r="V321" s="269">
        <f>ROUND(U321*I321,2)</f>
        <v>2570.94</v>
      </c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O321" s="132" t="s">
        <v>1</v>
      </c>
      <c r="AP321" s="133" t="s">
        <v>40</v>
      </c>
      <c r="AR321" s="134">
        <f>AQ321*H321</f>
        <v>0</v>
      </c>
      <c r="AS321" s="134">
        <v>0</v>
      </c>
      <c r="AT321" s="134">
        <f>AS321*H321</f>
        <v>0</v>
      </c>
      <c r="AU321" s="134">
        <v>0</v>
      </c>
      <c r="AV321" s="135">
        <f>AU321*H321</f>
        <v>0</v>
      </c>
      <c r="BT321" s="136" t="s">
        <v>95</v>
      </c>
      <c r="BV321" s="136" t="s">
        <v>284</v>
      </c>
      <c r="BW321" s="136" t="s">
        <v>83</v>
      </c>
      <c r="CA321" s="16" t="s">
        <v>282</v>
      </c>
      <c r="CG321" s="137">
        <f>IF(AP321="základní",J321,0)</f>
        <v>2570.94</v>
      </c>
      <c r="CH321" s="137">
        <f>IF(AP321="snížená",J321,0)</f>
        <v>0</v>
      </c>
      <c r="CI321" s="137">
        <f>IF(AP321="zákl. přenesená",J321,0)</f>
        <v>0</v>
      </c>
      <c r="CJ321" s="137">
        <f>IF(AP321="sníž. přenesená",J321,0)</f>
        <v>0</v>
      </c>
      <c r="CK321" s="137">
        <f>IF(AP321="nulová",J321,0)</f>
        <v>0</v>
      </c>
      <c r="CL321" s="16" t="s">
        <v>81</v>
      </c>
      <c r="CM321" s="137">
        <f>ROUND(I321*H321,2)</f>
        <v>2570.94</v>
      </c>
      <c r="CN321" s="16" t="s">
        <v>95</v>
      </c>
      <c r="CO321" s="136" t="s">
        <v>1151</v>
      </c>
    </row>
    <row r="322" spans="2:93" s="1" customFormat="1" ht="19.5" x14ac:dyDescent="0.2">
      <c r="B322" s="31"/>
      <c r="D322" s="138" t="s">
        <v>289</v>
      </c>
      <c r="F322" s="139" t="s">
        <v>1152</v>
      </c>
      <c r="I322" s="140"/>
      <c r="L322" s="31"/>
      <c r="N322" s="213"/>
      <c r="O322" s="214"/>
      <c r="Q322" s="330"/>
      <c r="AO322" s="141"/>
      <c r="AV322" s="50"/>
      <c r="BV322" s="16" t="s">
        <v>289</v>
      </c>
      <c r="BW322" s="16" t="s">
        <v>83</v>
      </c>
    </row>
    <row r="323" spans="2:93" s="1" customFormat="1" ht="29.25" x14ac:dyDescent="0.2">
      <c r="B323" s="31"/>
      <c r="D323" s="138" t="s">
        <v>299</v>
      </c>
      <c r="F323" s="142" t="s">
        <v>1083</v>
      </c>
      <c r="I323" s="140"/>
      <c r="L323" s="31"/>
      <c r="N323" s="213"/>
      <c r="O323" s="214"/>
      <c r="Q323" s="330"/>
      <c r="AO323" s="141"/>
      <c r="AV323" s="50"/>
      <c r="BV323" s="16" t="s">
        <v>299</v>
      </c>
      <c r="BW323" s="16" t="s">
        <v>83</v>
      </c>
    </row>
    <row r="324" spans="2:93" s="11" customFormat="1" x14ac:dyDescent="0.2">
      <c r="B324" s="143"/>
      <c r="D324" s="138" t="s">
        <v>301</v>
      </c>
      <c r="E324" s="144" t="s">
        <v>1</v>
      </c>
      <c r="F324" s="145" t="s">
        <v>1153</v>
      </c>
      <c r="H324" s="144" t="s">
        <v>1</v>
      </c>
      <c r="I324" s="146"/>
      <c r="L324" s="143"/>
      <c r="N324" s="215"/>
      <c r="O324" s="216"/>
      <c r="Q324" s="331"/>
      <c r="AO324" s="147"/>
      <c r="AV324" s="148"/>
      <c r="BV324" s="144" t="s">
        <v>301</v>
      </c>
      <c r="BW324" s="144" t="s">
        <v>83</v>
      </c>
      <c r="BX324" s="11" t="s">
        <v>81</v>
      </c>
      <c r="BY324" s="11" t="s">
        <v>32</v>
      </c>
      <c r="BZ324" s="11" t="s">
        <v>74</v>
      </c>
      <c r="CA324" s="144" t="s">
        <v>282</v>
      </c>
    </row>
    <row r="325" spans="2:93" s="12" customFormat="1" x14ac:dyDescent="0.2">
      <c r="B325" s="149"/>
      <c r="D325" s="138" t="s">
        <v>301</v>
      </c>
      <c r="E325" s="150" t="s">
        <v>1</v>
      </c>
      <c r="F325" s="151" t="s">
        <v>327</v>
      </c>
      <c r="H325" s="152">
        <v>12</v>
      </c>
      <c r="I325" s="153"/>
      <c r="L325" s="149"/>
      <c r="N325" s="217"/>
      <c r="O325" s="218"/>
      <c r="Q325" s="332"/>
      <c r="AO325" s="154"/>
      <c r="AV325" s="155"/>
      <c r="BV325" s="150" t="s">
        <v>301</v>
      </c>
      <c r="BW325" s="150" t="s">
        <v>83</v>
      </c>
      <c r="BX325" s="12" t="s">
        <v>83</v>
      </c>
      <c r="BY325" s="12" t="s">
        <v>32</v>
      </c>
      <c r="BZ325" s="12" t="s">
        <v>81</v>
      </c>
      <c r="CA325" s="150" t="s">
        <v>282</v>
      </c>
    </row>
    <row r="326" spans="2:93" s="1" customFormat="1" ht="14.45" customHeight="1" x14ac:dyDescent="0.2">
      <c r="B326" s="124"/>
      <c r="C326" s="170" t="s">
        <v>510</v>
      </c>
      <c r="D326" s="170" t="s">
        <v>439</v>
      </c>
      <c r="E326" s="171" t="s">
        <v>1154</v>
      </c>
      <c r="F326" s="172" t="s">
        <v>1155</v>
      </c>
      <c r="G326" s="173" t="s">
        <v>485</v>
      </c>
      <c r="H326" s="174">
        <v>12</v>
      </c>
      <c r="I326" s="175">
        <v>59.200981249999998</v>
      </c>
      <c r="J326" s="176">
        <f>ROUND(I326*H326,2)</f>
        <v>710.41</v>
      </c>
      <c r="K326" s="172" t="s">
        <v>293</v>
      </c>
      <c r="L326" s="268">
        <f>S326</f>
        <v>0</v>
      </c>
      <c r="M326" s="272">
        <f>ROUND(L326*I326,2)</f>
        <v>0</v>
      </c>
      <c r="N326" s="243"/>
      <c r="O326" s="294">
        <f>ROUND(N326*I326,2)</f>
        <v>0</v>
      </c>
      <c r="P326" s="273">
        <f>H326-L326-N326</f>
        <v>12</v>
      </c>
      <c r="Q326" s="268">
        <f>ROUND(P326*I326,2)</f>
        <v>710.41</v>
      </c>
      <c r="R326" s="137"/>
      <c r="S326" s="269">
        <f>W326+Y326+AA326+AC326+AE326+AG326</f>
        <v>0</v>
      </c>
      <c r="T326" s="269">
        <f>ROUND(S326*I326,2)</f>
        <v>0</v>
      </c>
      <c r="U326" s="269">
        <f>H326-S326</f>
        <v>12</v>
      </c>
      <c r="V326" s="269">
        <f>ROUND(U326*I326,2)</f>
        <v>710.41</v>
      </c>
      <c r="W326" s="290"/>
      <c r="X326" s="290"/>
      <c r="Y326" s="290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189"/>
      <c r="AJ326" s="189"/>
      <c r="AK326" s="189"/>
      <c r="AL326" s="189"/>
      <c r="AM326" s="189"/>
      <c r="AN326" s="189"/>
      <c r="AO326" s="177" t="s">
        <v>1</v>
      </c>
      <c r="AP326" s="178" t="s">
        <v>40</v>
      </c>
      <c r="AR326" s="134">
        <f>AQ326*H326</f>
        <v>0</v>
      </c>
      <c r="AS326" s="134">
        <v>2.9E-4</v>
      </c>
      <c r="AT326" s="134">
        <f>AS326*H326</f>
        <v>3.48E-3</v>
      </c>
      <c r="AU326" s="134">
        <v>0</v>
      </c>
      <c r="AV326" s="135">
        <f>AU326*H326</f>
        <v>0</v>
      </c>
      <c r="BT326" s="136" t="s">
        <v>328</v>
      </c>
      <c r="BV326" s="136" t="s">
        <v>439</v>
      </c>
      <c r="BW326" s="136" t="s">
        <v>83</v>
      </c>
      <c r="CA326" s="16" t="s">
        <v>282</v>
      </c>
      <c r="CG326" s="137">
        <f>IF(AP326="základní",J326,0)</f>
        <v>710.41</v>
      </c>
      <c r="CH326" s="137">
        <f>IF(AP326="snížená",J326,0)</f>
        <v>0</v>
      </c>
      <c r="CI326" s="137">
        <f>IF(AP326="zákl. přenesená",J326,0)</f>
        <v>0</v>
      </c>
      <c r="CJ326" s="137">
        <f>IF(AP326="sníž. přenesená",J326,0)</f>
        <v>0</v>
      </c>
      <c r="CK326" s="137">
        <f>IF(AP326="nulová",J326,0)</f>
        <v>0</v>
      </c>
      <c r="CL326" s="16" t="s">
        <v>81</v>
      </c>
      <c r="CM326" s="137">
        <f>ROUND(I326*H326,2)</f>
        <v>710.41</v>
      </c>
      <c r="CN326" s="16" t="s">
        <v>95</v>
      </c>
      <c r="CO326" s="136" t="s">
        <v>1156</v>
      </c>
    </row>
    <row r="327" spans="2:93" s="1" customFormat="1" x14ac:dyDescent="0.2">
      <c r="B327" s="31"/>
      <c r="D327" s="138" t="s">
        <v>289</v>
      </c>
      <c r="F327" s="139" t="s">
        <v>1155</v>
      </c>
      <c r="I327" s="140"/>
      <c r="L327" s="31"/>
      <c r="N327" s="213"/>
      <c r="O327" s="214"/>
      <c r="Q327" s="330"/>
      <c r="AO327" s="141"/>
      <c r="AV327" s="50"/>
      <c r="BV327" s="16" t="s">
        <v>289</v>
      </c>
      <c r="BW327" s="16" t="s">
        <v>83</v>
      </c>
    </row>
    <row r="328" spans="2:93" s="1" customFormat="1" ht="14.45" customHeight="1" x14ac:dyDescent="0.2">
      <c r="B328" s="124"/>
      <c r="C328" s="125" t="s">
        <v>514</v>
      </c>
      <c r="D328" s="125" t="s">
        <v>284</v>
      </c>
      <c r="E328" s="126" t="s">
        <v>776</v>
      </c>
      <c r="F328" s="127" t="s">
        <v>1157</v>
      </c>
      <c r="G328" s="128" t="s">
        <v>344</v>
      </c>
      <c r="H328" s="129">
        <v>53.5</v>
      </c>
      <c r="I328" s="130">
        <v>21.984104604889872</v>
      </c>
      <c r="J328" s="131">
        <f>ROUND(I328*H328,2)</f>
        <v>1176.1500000000001</v>
      </c>
      <c r="K328" s="127" t="s">
        <v>293</v>
      </c>
      <c r="L328" s="268">
        <f>S328</f>
        <v>0</v>
      </c>
      <c r="M328" s="272">
        <f>ROUND(L328*I328,2)</f>
        <v>0</v>
      </c>
      <c r="N328" s="243">
        <f>N302</f>
        <v>-12.009999999999998</v>
      </c>
      <c r="O328" s="294">
        <f>ROUND(N328*I328,2)</f>
        <v>-264.02999999999997</v>
      </c>
      <c r="P328" s="273">
        <f>H328-L328-N328</f>
        <v>65.509999999999991</v>
      </c>
      <c r="Q328" s="268">
        <f>ROUND(P328*I328,2)</f>
        <v>1440.18</v>
      </c>
      <c r="R328" s="137"/>
      <c r="S328" s="269">
        <f>W328+Y328+AA328+AC328+AE328+AG328</f>
        <v>0</v>
      </c>
      <c r="T328" s="269">
        <f>ROUND(S328*I328,2)</f>
        <v>0</v>
      </c>
      <c r="U328" s="269">
        <f>H328-S328</f>
        <v>53.5</v>
      </c>
      <c r="V328" s="269">
        <f>ROUND(U328*I328,2)</f>
        <v>1176.1500000000001</v>
      </c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O328" s="132" t="s">
        <v>1</v>
      </c>
      <c r="AP328" s="133" t="s">
        <v>40</v>
      </c>
      <c r="AR328" s="134">
        <f>AQ328*H328</f>
        <v>0</v>
      </c>
      <c r="AS328" s="134">
        <v>0</v>
      </c>
      <c r="AT328" s="134">
        <f>AS328*H328</f>
        <v>0</v>
      </c>
      <c r="AU328" s="134">
        <v>0</v>
      </c>
      <c r="AV328" s="135">
        <f>AU328*H328</f>
        <v>0</v>
      </c>
      <c r="BT328" s="136" t="s">
        <v>95</v>
      </c>
      <c r="BV328" s="136" t="s">
        <v>284</v>
      </c>
      <c r="BW328" s="136" t="s">
        <v>83</v>
      </c>
      <c r="CA328" s="16" t="s">
        <v>282</v>
      </c>
      <c r="CG328" s="137">
        <f>IF(AP328="základní",J328,0)</f>
        <v>1176.1500000000001</v>
      </c>
      <c r="CH328" s="137">
        <f>IF(AP328="snížená",J328,0)</f>
        <v>0</v>
      </c>
      <c r="CI328" s="137">
        <f>IF(AP328="zákl. přenesená",J328,0)</f>
        <v>0</v>
      </c>
      <c r="CJ328" s="137">
        <f>IF(AP328="sníž. přenesená",J328,0)</f>
        <v>0</v>
      </c>
      <c r="CK328" s="137">
        <f>IF(AP328="nulová",J328,0)</f>
        <v>0</v>
      </c>
      <c r="CL328" s="16" t="s">
        <v>81</v>
      </c>
      <c r="CM328" s="137">
        <f>ROUND(I328*H328,2)</f>
        <v>1176.1500000000001</v>
      </c>
      <c r="CN328" s="16" t="s">
        <v>95</v>
      </c>
      <c r="CO328" s="136" t="s">
        <v>1158</v>
      </c>
    </row>
    <row r="329" spans="2:93" s="1" customFormat="1" x14ac:dyDescent="0.2">
      <c r="B329" s="31"/>
      <c r="D329" s="138" t="s">
        <v>289</v>
      </c>
      <c r="F329" s="139" t="s">
        <v>779</v>
      </c>
      <c r="I329" s="140"/>
      <c r="L329" s="31"/>
      <c r="N329" s="213"/>
      <c r="O329" s="214"/>
      <c r="Q329" s="330"/>
      <c r="AO329" s="141"/>
      <c r="AV329" s="50"/>
      <c r="BV329" s="16" t="s">
        <v>289</v>
      </c>
      <c r="BW329" s="16" t="s">
        <v>83</v>
      </c>
    </row>
    <row r="330" spans="2:93" s="1" customFormat="1" ht="19.5" x14ac:dyDescent="0.2">
      <c r="B330" s="31"/>
      <c r="D330" s="138" t="s">
        <v>299</v>
      </c>
      <c r="F330" s="142" t="s">
        <v>587</v>
      </c>
      <c r="I330" s="140"/>
      <c r="L330" s="31"/>
      <c r="N330" s="213"/>
      <c r="O330" s="214"/>
      <c r="Q330" s="330"/>
      <c r="AO330" s="141"/>
      <c r="AV330" s="50"/>
      <c r="BV330" s="16" t="s">
        <v>299</v>
      </c>
      <c r="BW330" s="16" t="s">
        <v>83</v>
      </c>
    </row>
    <row r="331" spans="2:93" s="1" customFormat="1" ht="24.2" customHeight="1" x14ac:dyDescent="0.2">
      <c r="B331" s="124"/>
      <c r="C331" s="125" t="s">
        <v>521</v>
      </c>
      <c r="D331" s="125" t="s">
        <v>284</v>
      </c>
      <c r="E331" s="126" t="s">
        <v>1159</v>
      </c>
      <c r="F331" s="127" t="s">
        <v>1160</v>
      </c>
      <c r="G331" s="128" t="s">
        <v>485</v>
      </c>
      <c r="H331" s="129">
        <v>6</v>
      </c>
      <c r="I331" s="130">
        <v>3029.9958423936168</v>
      </c>
      <c r="J331" s="131">
        <f>ROUND(I331*H331,2)</f>
        <v>18179.98</v>
      </c>
      <c r="K331" s="127" t="s">
        <v>293</v>
      </c>
      <c r="L331" s="268">
        <f>S331</f>
        <v>0</v>
      </c>
      <c r="M331" s="272">
        <f>ROUND(L331*I331,2)</f>
        <v>0</v>
      </c>
      <c r="N331" s="243">
        <f>N333</f>
        <v>4</v>
      </c>
      <c r="O331" s="294">
        <f>ROUND(N331*I331,2)</f>
        <v>12119.98</v>
      </c>
      <c r="P331" s="273">
        <f>H331-L331-N331</f>
        <v>2</v>
      </c>
      <c r="Q331" s="268">
        <f>ROUND(P331*I331,2)</f>
        <v>6059.99</v>
      </c>
      <c r="R331" s="137"/>
      <c r="S331" s="269">
        <f>W331+Y331+AA331+AC331+AE331+AG331</f>
        <v>0</v>
      </c>
      <c r="T331" s="269">
        <f>ROUND(S331*I331,2)</f>
        <v>0</v>
      </c>
      <c r="U331" s="269">
        <f>H331-S331</f>
        <v>6</v>
      </c>
      <c r="V331" s="269">
        <f>ROUND(U331*I331,2)</f>
        <v>18179.98</v>
      </c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O331" s="132" t="s">
        <v>1</v>
      </c>
      <c r="AP331" s="133" t="s">
        <v>40</v>
      </c>
      <c r="AR331" s="134">
        <f>AQ331*H331</f>
        <v>0</v>
      </c>
      <c r="AS331" s="134">
        <v>5.8029999999999998E-2</v>
      </c>
      <c r="AT331" s="134">
        <f>AS331*H331</f>
        <v>0.34817999999999999</v>
      </c>
      <c r="AU331" s="134">
        <v>0</v>
      </c>
      <c r="AV331" s="135">
        <f>AU331*H331</f>
        <v>0</v>
      </c>
      <c r="BT331" s="136" t="s">
        <v>95</v>
      </c>
      <c r="BV331" s="136" t="s">
        <v>284</v>
      </c>
      <c r="BW331" s="136" t="s">
        <v>83</v>
      </c>
      <c r="CA331" s="16" t="s">
        <v>282</v>
      </c>
      <c r="CG331" s="137">
        <f>IF(AP331="základní",J331,0)</f>
        <v>18179.98</v>
      </c>
      <c r="CH331" s="137">
        <f>IF(AP331="snížená",J331,0)</f>
        <v>0</v>
      </c>
      <c r="CI331" s="137">
        <f>IF(AP331="zákl. přenesená",J331,0)</f>
        <v>0</v>
      </c>
      <c r="CJ331" s="137">
        <f>IF(AP331="sníž. přenesená",J331,0)</f>
        <v>0</v>
      </c>
      <c r="CK331" s="137">
        <f>IF(AP331="nulová",J331,0)</f>
        <v>0</v>
      </c>
      <c r="CL331" s="16" t="s">
        <v>81</v>
      </c>
      <c r="CM331" s="137">
        <f>ROUND(I331*H331,2)</f>
        <v>18179.98</v>
      </c>
      <c r="CN331" s="16" t="s">
        <v>95</v>
      </c>
      <c r="CO331" s="136" t="s">
        <v>1161</v>
      </c>
    </row>
    <row r="332" spans="2:93" s="1" customFormat="1" ht="29.25" x14ac:dyDescent="0.2">
      <c r="B332" s="31"/>
      <c r="D332" s="138" t="s">
        <v>289</v>
      </c>
      <c r="F332" s="139" t="s">
        <v>1162</v>
      </c>
      <c r="I332" s="140"/>
      <c r="L332" s="31"/>
      <c r="N332" s="213"/>
      <c r="O332" s="214"/>
      <c r="Q332" s="330"/>
      <c r="AO332" s="141"/>
      <c r="AV332" s="50"/>
      <c r="BV332" s="16" t="s">
        <v>289</v>
      </c>
      <c r="BW332" s="16" t="s">
        <v>83</v>
      </c>
    </row>
    <row r="333" spans="2:93" s="1" customFormat="1" ht="29.25" x14ac:dyDescent="0.2">
      <c r="B333" s="31"/>
      <c r="D333" s="138" t="s">
        <v>299</v>
      </c>
      <c r="F333" s="142" t="s">
        <v>1083</v>
      </c>
      <c r="I333" s="140"/>
      <c r="L333" s="31"/>
      <c r="N333" s="213">
        <v>4</v>
      </c>
      <c r="O333" s="372"/>
      <c r="Q333" s="330"/>
      <c r="AO333" s="141"/>
      <c r="AV333" s="50"/>
      <c r="BV333" s="16" t="s">
        <v>299</v>
      </c>
      <c r="BW333" s="16" t="s">
        <v>83</v>
      </c>
    </row>
    <row r="334" spans="2:93" s="12" customFormat="1" x14ac:dyDescent="0.2">
      <c r="B334" s="149"/>
      <c r="D334" s="138" t="s">
        <v>301</v>
      </c>
      <c r="E334" s="150" t="s">
        <v>1</v>
      </c>
      <c r="F334" s="151" t="s">
        <v>318</v>
      </c>
      <c r="H334" s="152">
        <v>6</v>
      </c>
      <c r="I334" s="153"/>
      <c r="L334" s="149"/>
      <c r="N334" s="217"/>
      <c r="O334" s="371"/>
      <c r="Q334" s="332"/>
      <c r="AO334" s="154"/>
      <c r="AV334" s="155"/>
      <c r="BV334" s="150" t="s">
        <v>301</v>
      </c>
      <c r="BW334" s="150" t="s">
        <v>83</v>
      </c>
      <c r="BX334" s="12" t="s">
        <v>83</v>
      </c>
      <c r="BY334" s="12" t="s">
        <v>32</v>
      </c>
      <c r="BZ334" s="12" t="s">
        <v>81</v>
      </c>
      <c r="CA334" s="150" t="s">
        <v>282</v>
      </c>
    </row>
    <row r="335" spans="2:93" s="1" customFormat="1" ht="24.2" customHeight="1" x14ac:dyDescent="0.2">
      <c r="B335" s="124"/>
      <c r="C335" s="125" t="s">
        <v>526</v>
      </c>
      <c r="D335" s="125" t="s">
        <v>284</v>
      </c>
      <c r="E335" s="126" t="s">
        <v>1163</v>
      </c>
      <c r="F335" s="127" t="s">
        <v>1164</v>
      </c>
      <c r="G335" s="128" t="s">
        <v>485</v>
      </c>
      <c r="H335" s="129">
        <v>6</v>
      </c>
      <c r="I335" s="130">
        <v>1731.8858985723084</v>
      </c>
      <c r="J335" s="131">
        <f>ROUND(I335*H335,2)</f>
        <v>10391.32</v>
      </c>
      <c r="K335" s="127" t="s">
        <v>293</v>
      </c>
      <c r="L335" s="268">
        <f>S335</f>
        <v>0</v>
      </c>
      <c r="M335" s="272">
        <f>ROUND(L335*I335,2)</f>
        <v>0</v>
      </c>
      <c r="N335" s="243">
        <f>N331</f>
        <v>4</v>
      </c>
      <c r="O335" s="294">
        <f>ROUND(N335*I335,2)</f>
        <v>6927.54</v>
      </c>
      <c r="P335" s="273">
        <f>H335-L335-N335</f>
        <v>2</v>
      </c>
      <c r="Q335" s="268">
        <f>ROUND(P335*I335,2)</f>
        <v>3463.77</v>
      </c>
      <c r="R335" s="137"/>
      <c r="S335" s="269">
        <f>W335+Y335+AA335+AC335+AE335+AG335</f>
        <v>0</v>
      </c>
      <c r="T335" s="269">
        <f>ROUND(S335*I335,2)</f>
        <v>0</v>
      </c>
      <c r="U335" s="269">
        <f>H335-S335</f>
        <v>6</v>
      </c>
      <c r="V335" s="269">
        <f>ROUND(U335*I335,2)</f>
        <v>10391.32</v>
      </c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O335" s="132" t="s">
        <v>1</v>
      </c>
      <c r="AP335" s="133" t="s">
        <v>40</v>
      </c>
      <c r="AR335" s="134">
        <f>AQ335*H335</f>
        <v>0</v>
      </c>
      <c r="AS335" s="134">
        <v>1.136E-2</v>
      </c>
      <c r="AT335" s="134">
        <f>AS335*H335</f>
        <v>6.8159999999999998E-2</v>
      </c>
      <c r="AU335" s="134">
        <v>0</v>
      </c>
      <c r="AV335" s="135">
        <f>AU335*H335</f>
        <v>0</v>
      </c>
      <c r="BT335" s="136" t="s">
        <v>95</v>
      </c>
      <c r="BV335" s="136" t="s">
        <v>284</v>
      </c>
      <c r="BW335" s="136" t="s">
        <v>83</v>
      </c>
      <c r="CA335" s="16" t="s">
        <v>282</v>
      </c>
      <c r="CG335" s="137">
        <f>IF(AP335="základní",J335,0)</f>
        <v>10391.32</v>
      </c>
      <c r="CH335" s="137">
        <f>IF(AP335="snížená",J335,0)</f>
        <v>0</v>
      </c>
      <c r="CI335" s="137">
        <f>IF(AP335="zákl. přenesená",J335,0)</f>
        <v>0</v>
      </c>
      <c r="CJ335" s="137">
        <f>IF(AP335="sníž. přenesená",J335,0)</f>
        <v>0</v>
      </c>
      <c r="CK335" s="137">
        <f>IF(AP335="nulová",J335,0)</f>
        <v>0</v>
      </c>
      <c r="CL335" s="16" t="s">
        <v>81</v>
      </c>
      <c r="CM335" s="137">
        <f>ROUND(I335*H335,2)</f>
        <v>10391.32</v>
      </c>
      <c r="CN335" s="16" t="s">
        <v>95</v>
      </c>
      <c r="CO335" s="136" t="s">
        <v>1165</v>
      </c>
    </row>
    <row r="336" spans="2:93" s="1" customFormat="1" ht="19.5" x14ac:dyDescent="0.2">
      <c r="B336" s="31"/>
      <c r="D336" s="138" t="s">
        <v>289</v>
      </c>
      <c r="F336" s="139" t="s">
        <v>1166</v>
      </c>
      <c r="I336" s="140"/>
      <c r="L336" s="31"/>
      <c r="N336" s="213"/>
      <c r="O336" s="214"/>
      <c r="Q336" s="330"/>
      <c r="AO336" s="141"/>
      <c r="AV336" s="50"/>
      <c r="BV336" s="16" t="s">
        <v>289</v>
      </c>
      <c r="BW336" s="16" t="s">
        <v>83</v>
      </c>
    </row>
    <row r="337" spans="2:93" s="1" customFormat="1" ht="24.2" customHeight="1" x14ac:dyDescent="0.2">
      <c r="B337" s="124"/>
      <c r="C337" s="125" t="s">
        <v>531</v>
      </c>
      <c r="D337" s="125" t="s">
        <v>284</v>
      </c>
      <c r="E337" s="126" t="s">
        <v>1167</v>
      </c>
      <c r="F337" s="127" t="s">
        <v>1168</v>
      </c>
      <c r="G337" s="128" t="s">
        <v>485</v>
      </c>
      <c r="H337" s="129">
        <v>6</v>
      </c>
      <c r="I337" s="130">
        <v>769.70783374577138</v>
      </c>
      <c r="J337" s="131">
        <f>ROUND(I337*H337,2)</f>
        <v>4618.25</v>
      </c>
      <c r="K337" s="127" t="s">
        <v>293</v>
      </c>
      <c r="L337" s="268">
        <f>S337</f>
        <v>0</v>
      </c>
      <c r="M337" s="272">
        <f>ROUND(L337*I337,2)</f>
        <v>0</v>
      </c>
      <c r="N337" s="243">
        <f>N331</f>
        <v>4</v>
      </c>
      <c r="O337" s="294">
        <f>ROUND(N337*I337,2)</f>
        <v>3078.83</v>
      </c>
      <c r="P337" s="273">
        <f>H337-L337-N337</f>
        <v>2</v>
      </c>
      <c r="Q337" s="268">
        <f>ROUND(P337*I337,2)</f>
        <v>1539.42</v>
      </c>
      <c r="R337" s="137"/>
      <c r="S337" s="269">
        <f>W337+Y337+AA337+AC337+AE337+AG337</f>
        <v>0</v>
      </c>
      <c r="T337" s="269">
        <f>ROUND(S337*I337,2)</f>
        <v>0</v>
      </c>
      <c r="U337" s="269">
        <f>H337-S337</f>
        <v>6</v>
      </c>
      <c r="V337" s="269">
        <f>ROUND(U337*I337,2)</f>
        <v>4618.25</v>
      </c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O337" s="132" t="s">
        <v>1</v>
      </c>
      <c r="AP337" s="133" t="s">
        <v>40</v>
      </c>
      <c r="AR337" s="134">
        <f>AQ337*H337</f>
        <v>0</v>
      </c>
      <c r="AS337" s="134">
        <v>6.2199999999999998E-3</v>
      </c>
      <c r="AT337" s="134">
        <f>AS337*H337</f>
        <v>3.7319999999999999E-2</v>
      </c>
      <c r="AU337" s="134">
        <v>0</v>
      </c>
      <c r="AV337" s="135">
        <f>AU337*H337</f>
        <v>0</v>
      </c>
      <c r="BT337" s="136" t="s">
        <v>95</v>
      </c>
      <c r="BV337" s="136" t="s">
        <v>284</v>
      </c>
      <c r="BW337" s="136" t="s">
        <v>83</v>
      </c>
      <c r="CA337" s="16" t="s">
        <v>282</v>
      </c>
      <c r="CG337" s="137">
        <f>IF(AP337="základní",J337,0)</f>
        <v>4618.25</v>
      </c>
      <c r="CH337" s="137">
        <f>IF(AP337="snížená",J337,0)</f>
        <v>0</v>
      </c>
      <c r="CI337" s="137">
        <f>IF(AP337="zákl. přenesená",J337,0)</f>
        <v>0</v>
      </c>
      <c r="CJ337" s="137">
        <f>IF(AP337="sníž. přenesená",J337,0)</f>
        <v>0</v>
      </c>
      <c r="CK337" s="137">
        <f>IF(AP337="nulová",J337,0)</f>
        <v>0</v>
      </c>
      <c r="CL337" s="16" t="s">
        <v>81</v>
      </c>
      <c r="CM337" s="137">
        <f>ROUND(I337*H337,2)</f>
        <v>4618.25</v>
      </c>
      <c r="CN337" s="16" t="s">
        <v>95</v>
      </c>
      <c r="CO337" s="136" t="s">
        <v>1169</v>
      </c>
    </row>
    <row r="338" spans="2:93" s="1" customFormat="1" ht="29.25" x14ac:dyDescent="0.2">
      <c r="B338" s="31"/>
      <c r="D338" s="138" t="s">
        <v>289</v>
      </c>
      <c r="F338" s="139" t="s">
        <v>1170</v>
      </c>
      <c r="I338" s="140"/>
      <c r="L338" s="31"/>
      <c r="N338" s="213"/>
      <c r="O338" s="214"/>
      <c r="Q338" s="330"/>
      <c r="AO338" s="141"/>
      <c r="AV338" s="50"/>
      <c r="BV338" s="16" t="s">
        <v>289</v>
      </c>
      <c r="BW338" s="16" t="s">
        <v>83</v>
      </c>
    </row>
    <row r="339" spans="2:93" s="1" customFormat="1" ht="24.2" customHeight="1" x14ac:dyDescent="0.2">
      <c r="B339" s="124"/>
      <c r="C339" s="125" t="s">
        <v>536</v>
      </c>
      <c r="D339" s="125" t="s">
        <v>284</v>
      </c>
      <c r="E339" s="126" t="s">
        <v>1171</v>
      </c>
      <c r="F339" s="127" t="s">
        <v>1172</v>
      </c>
      <c r="G339" s="128" t="s">
        <v>485</v>
      </c>
      <c r="H339" s="129">
        <v>6</v>
      </c>
      <c r="I339" s="130">
        <v>809.35201412271431</v>
      </c>
      <c r="J339" s="131">
        <f>ROUND(I339*H339,2)</f>
        <v>4856.1099999999997</v>
      </c>
      <c r="K339" s="127" t="s">
        <v>293</v>
      </c>
      <c r="L339" s="268">
        <f>S339</f>
        <v>0</v>
      </c>
      <c r="M339" s="272">
        <f>ROUND(L339*I339,2)</f>
        <v>0</v>
      </c>
      <c r="N339" s="243">
        <f>N331</f>
        <v>4</v>
      </c>
      <c r="O339" s="294">
        <f>ROUND(N339*I339,2)</f>
        <v>3237.41</v>
      </c>
      <c r="P339" s="273">
        <f>H339-L339-N339</f>
        <v>2</v>
      </c>
      <c r="Q339" s="268">
        <f>ROUND(P339*I339,2)</f>
        <v>1618.7</v>
      </c>
      <c r="R339" s="137"/>
      <c r="S339" s="269">
        <f>W339+Y339+AA339+AC339+AE339+AG339</f>
        <v>0</v>
      </c>
      <c r="T339" s="269">
        <f>ROUND(S339*I339,2)</f>
        <v>0</v>
      </c>
      <c r="U339" s="269">
        <f>H339-S339</f>
        <v>6</v>
      </c>
      <c r="V339" s="269">
        <f>ROUND(U339*I339,2)</f>
        <v>4856.1099999999997</v>
      </c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O339" s="132" t="s">
        <v>1</v>
      </c>
      <c r="AP339" s="133" t="s">
        <v>40</v>
      </c>
      <c r="AR339" s="134">
        <f>AQ339*H339</f>
        <v>0</v>
      </c>
      <c r="AS339" s="134">
        <v>0</v>
      </c>
      <c r="AT339" s="134">
        <f>AS339*H339</f>
        <v>0</v>
      </c>
      <c r="AU339" s="134">
        <v>0</v>
      </c>
      <c r="AV339" s="135">
        <f>AU339*H339</f>
        <v>0</v>
      </c>
      <c r="BT339" s="136" t="s">
        <v>95</v>
      </c>
      <c r="BV339" s="136" t="s">
        <v>284</v>
      </c>
      <c r="BW339" s="136" t="s">
        <v>83</v>
      </c>
      <c r="CA339" s="16" t="s">
        <v>282</v>
      </c>
      <c r="CG339" s="137">
        <f>IF(AP339="základní",J339,0)</f>
        <v>4856.1099999999997</v>
      </c>
      <c r="CH339" s="137">
        <f>IF(AP339="snížená",J339,0)</f>
        <v>0</v>
      </c>
      <c r="CI339" s="137">
        <f>IF(AP339="zákl. přenesená",J339,0)</f>
        <v>0</v>
      </c>
      <c r="CJ339" s="137">
        <f>IF(AP339="sníž. přenesená",J339,0)</f>
        <v>0</v>
      </c>
      <c r="CK339" s="137">
        <f>IF(AP339="nulová",J339,0)</f>
        <v>0</v>
      </c>
      <c r="CL339" s="16" t="s">
        <v>81</v>
      </c>
      <c r="CM339" s="137">
        <f>ROUND(I339*H339,2)</f>
        <v>4856.1099999999997</v>
      </c>
      <c r="CN339" s="16" t="s">
        <v>95</v>
      </c>
      <c r="CO339" s="136" t="s">
        <v>1173</v>
      </c>
    </row>
    <row r="340" spans="2:93" s="1" customFormat="1" ht="29.25" x14ac:dyDescent="0.2">
      <c r="B340" s="31"/>
      <c r="D340" s="138" t="s">
        <v>289</v>
      </c>
      <c r="F340" s="139" t="s">
        <v>1174</v>
      </c>
      <c r="I340" s="140"/>
      <c r="L340" s="31"/>
      <c r="N340" s="213"/>
      <c r="O340" s="214"/>
      <c r="Q340" s="330"/>
      <c r="AO340" s="141"/>
      <c r="AV340" s="50"/>
      <c r="BV340" s="16" t="s">
        <v>289</v>
      </c>
      <c r="BW340" s="16" t="s">
        <v>83</v>
      </c>
    </row>
    <row r="341" spans="2:93" s="1" customFormat="1" ht="24.2" customHeight="1" x14ac:dyDescent="0.2">
      <c r="B341" s="124"/>
      <c r="C341" s="125" t="s">
        <v>543</v>
      </c>
      <c r="D341" s="125" t="s">
        <v>284</v>
      </c>
      <c r="E341" s="126" t="s">
        <v>1175</v>
      </c>
      <c r="F341" s="127" t="s">
        <v>1176</v>
      </c>
      <c r="G341" s="128" t="s">
        <v>485</v>
      </c>
      <c r="H341" s="129">
        <v>6</v>
      </c>
      <c r="I341" s="130">
        <v>3446.6463092111458</v>
      </c>
      <c r="J341" s="131">
        <f>ROUND(I341*H341,2)</f>
        <v>20679.88</v>
      </c>
      <c r="K341" s="127" t="s">
        <v>293</v>
      </c>
      <c r="L341" s="268">
        <f>S341</f>
        <v>0</v>
      </c>
      <c r="M341" s="272">
        <f>ROUND(L341*I341,2)</f>
        <v>0</v>
      </c>
      <c r="N341" s="243">
        <f>N331</f>
        <v>4</v>
      </c>
      <c r="O341" s="294">
        <f>ROUND(N341*I341,2)</f>
        <v>13786.59</v>
      </c>
      <c r="P341" s="273">
        <f>H341-L341-N341</f>
        <v>2</v>
      </c>
      <c r="Q341" s="268">
        <f>ROUND(P341*I341,2)</f>
        <v>6893.29</v>
      </c>
      <c r="R341" s="137"/>
      <c r="S341" s="269">
        <f>W341+Y341+AA341+AC341+AE341+AG341</f>
        <v>0</v>
      </c>
      <c r="T341" s="269">
        <f>ROUND(S341*I341,2)</f>
        <v>0</v>
      </c>
      <c r="U341" s="269">
        <f>H341-S341</f>
        <v>6</v>
      </c>
      <c r="V341" s="269">
        <f>ROUND(U341*I341,2)</f>
        <v>20679.88</v>
      </c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O341" s="132" t="s">
        <v>1</v>
      </c>
      <c r="AP341" s="133" t="s">
        <v>40</v>
      </c>
      <c r="AR341" s="134">
        <f>AQ341*H341</f>
        <v>0</v>
      </c>
      <c r="AS341" s="134">
        <v>5.4539999999999998E-2</v>
      </c>
      <c r="AT341" s="134">
        <f>AS341*H341</f>
        <v>0.32723999999999998</v>
      </c>
      <c r="AU341" s="134">
        <v>0</v>
      </c>
      <c r="AV341" s="135">
        <f>AU341*H341</f>
        <v>0</v>
      </c>
      <c r="BT341" s="136" t="s">
        <v>95</v>
      </c>
      <c r="BV341" s="136" t="s">
        <v>284</v>
      </c>
      <c r="BW341" s="136" t="s">
        <v>83</v>
      </c>
      <c r="CA341" s="16" t="s">
        <v>282</v>
      </c>
      <c r="CG341" s="137">
        <f>IF(AP341="základní",J341,0)</f>
        <v>20679.88</v>
      </c>
      <c r="CH341" s="137">
        <f>IF(AP341="snížená",J341,0)</f>
        <v>0</v>
      </c>
      <c r="CI341" s="137">
        <f>IF(AP341="zákl. přenesená",J341,0)</f>
        <v>0</v>
      </c>
      <c r="CJ341" s="137">
        <f>IF(AP341="sníž. přenesená",J341,0)</f>
        <v>0</v>
      </c>
      <c r="CK341" s="137">
        <f>IF(AP341="nulová",J341,0)</f>
        <v>0</v>
      </c>
      <c r="CL341" s="16" t="s">
        <v>81</v>
      </c>
      <c r="CM341" s="137">
        <f>ROUND(I341*H341,2)</f>
        <v>20679.88</v>
      </c>
      <c r="CN341" s="16" t="s">
        <v>95</v>
      </c>
      <c r="CO341" s="136" t="s">
        <v>1177</v>
      </c>
    </row>
    <row r="342" spans="2:93" s="1" customFormat="1" ht="29.25" x14ac:dyDescent="0.2">
      <c r="B342" s="31"/>
      <c r="D342" s="138" t="s">
        <v>289</v>
      </c>
      <c r="F342" s="139" t="s">
        <v>1178</v>
      </c>
      <c r="I342" s="140"/>
      <c r="L342" s="31"/>
      <c r="N342" s="213"/>
      <c r="O342" s="214"/>
      <c r="Q342" s="330"/>
      <c r="AO342" s="141"/>
      <c r="AV342" s="50"/>
      <c r="BV342" s="16" t="s">
        <v>289</v>
      </c>
      <c r="BW342" s="16" t="s">
        <v>83</v>
      </c>
    </row>
    <row r="343" spans="2:93" s="1" customFormat="1" ht="24.2" customHeight="1" x14ac:dyDescent="0.2">
      <c r="B343" s="124"/>
      <c r="C343" s="125" t="s">
        <v>548</v>
      </c>
      <c r="D343" s="125" t="s">
        <v>284</v>
      </c>
      <c r="E343" s="126" t="s">
        <v>1179</v>
      </c>
      <c r="F343" s="127" t="s">
        <v>1180</v>
      </c>
      <c r="G343" s="128" t="s">
        <v>485</v>
      </c>
      <c r="H343" s="129">
        <v>7</v>
      </c>
      <c r="I343" s="130">
        <v>4973.6339388584802</v>
      </c>
      <c r="J343" s="131">
        <f>ROUND(I343*H343,2)</f>
        <v>34815.440000000002</v>
      </c>
      <c r="K343" s="127" t="s">
        <v>293</v>
      </c>
      <c r="L343" s="268">
        <f>S343</f>
        <v>0</v>
      </c>
      <c r="M343" s="272">
        <f>ROUND(L343*I343,2)</f>
        <v>0</v>
      </c>
      <c r="N343" s="243">
        <v>-5</v>
      </c>
      <c r="O343" s="294">
        <f>ROUND(N343*I343,2)</f>
        <v>-24868.17</v>
      </c>
      <c r="P343" s="273">
        <f>H343-L343-N343</f>
        <v>12</v>
      </c>
      <c r="Q343" s="268">
        <f>ROUND(P343*I343,2)</f>
        <v>59683.61</v>
      </c>
      <c r="R343" s="137"/>
      <c r="S343" s="269">
        <f>W343+Y343+AA343+AC343+AE343+AG343</f>
        <v>0</v>
      </c>
      <c r="T343" s="269">
        <f>ROUND(S343*I343,2)</f>
        <v>0</v>
      </c>
      <c r="U343" s="269">
        <f>H343-S343</f>
        <v>7</v>
      </c>
      <c r="V343" s="269">
        <f>ROUND(U343*I343,2)</f>
        <v>34815.440000000002</v>
      </c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O343" s="132" t="s">
        <v>1</v>
      </c>
      <c r="AP343" s="133" t="s">
        <v>40</v>
      </c>
      <c r="AR343" s="134">
        <f>AQ343*H343</f>
        <v>0</v>
      </c>
      <c r="AS343" s="134">
        <v>0.1056</v>
      </c>
      <c r="AT343" s="134">
        <f>AS343*H343</f>
        <v>0.73919999999999997</v>
      </c>
      <c r="AU343" s="134">
        <v>0</v>
      </c>
      <c r="AV343" s="135">
        <f>AU343*H343</f>
        <v>0</v>
      </c>
      <c r="BT343" s="136" t="s">
        <v>95</v>
      </c>
      <c r="BV343" s="136" t="s">
        <v>284</v>
      </c>
      <c r="BW343" s="136" t="s">
        <v>83</v>
      </c>
      <c r="CA343" s="16" t="s">
        <v>282</v>
      </c>
      <c r="CG343" s="137">
        <f>IF(AP343="základní",J343,0)</f>
        <v>34815.440000000002</v>
      </c>
      <c r="CH343" s="137">
        <f>IF(AP343="snížená",J343,0)</f>
        <v>0</v>
      </c>
      <c r="CI343" s="137">
        <f>IF(AP343="zákl. přenesená",J343,0)</f>
        <v>0</v>
      </c>
      <c r="CJ343" s="137">
        <f>IF(AP343="sníž. přenesená",J343,0)</f>
        <v>0</v>
      </c>
      <c r="CK343" s="137">
        <f>IF(AP343="nulová",J343,0)</f>
        <v>0</v>
      </c>
      <c r="CL343" s="16" t="s">
        <v>81</v>
      </c>
      <c r="CM343" s="137">
        <f>ROUND(I343*H343,2)</f>
        <v>34815.440000000002</v>
      </c>
      <c r="CN343" s="16" t="s">
        <v>95</v>
      </c>
      <c r="CO343" s="136" t="s">
        <v>1181</v>
      </c>
    </row>
    <row r="344" spans="2:93" s="1" customFormat="1" ht="29.25" x14ac:dyDescent="0.2">
      <c r="B344" s="31"/>
      <c r="D344" s="138" t="s">
        <v>289</v>
      </c>
      <c r="F344" s="139" t="s">
        <v>1182</v>
      </c>
      <c r="I344" s="140"/>
      <c r="L344" s="31"/>
      <c r="N344" s="213"/>
      <c r="O344" s="214"/>
      <c r="Q344" s="330"/>
      <c r="AO344" s="141"/>
      <c r="AV344" s="50"/>
      <c r="BV344" s="16" t="s">
        <v>289</v>
      </c>
      <c r="BW344" s="16" t="s">
        <v>83</v>
      </c>
    </row>
    <row r="345" spans="2:93" s="1" customFormat="1" ht="29.25" x14ac:dyDescent="0.2">
      <c r="B345" s="31"/>
      <c r="D345" s="138" t="s">
        <v>299</v>
      </c>
      <c r="F345" s="142" t="s">
        <v>1083</v>
      </c>
      <c r="I345" s="140"/>
      <c r="L345" s="31"/>
      <c r="N345" s="213"/>
      <c r="O345" s="214"/>
      <c r="Q345" s="330"/>
      <c r="AO345" s="141"/>
      <c r="AV345" s="50"/>
      <c r="BV345" s="16" t="s">
        <v>299</v>
      </c>
      <c r="BW345" s="16" t="s">
        <v>83</v>
      </c>
    </row>
    <row r="346" spans="2:93" s="12" customFormat="1" x14ac:dyDescent="0.2">
      <c r="B346" s="149"/>
      <c r="D346" s="138" t="s">
        <v>301</v>
      </c>
      <c r="E346" s="150" t="s">
        <v>1</v>
      </c>
      <c r="F346" s="151" t="s">
        <v>323</v>
      </c>
      <c r="H346" s="152">
        <v>7</v>
      </c>
      <c r="I346" s="153"/>
      <c r="L346" s="149"/>
      <c r="N346" s="217"/>
      <c r="O346" s="218"/>
      <c r="Q346" s="332"/>
      <c r="AO346" s="154"/>
      <c r="AV346" s="155"/>
      <c r="BV346" s="150" t="s">
        <v>301</v>
      </c>
      <c r="BW346" s="150" t="s">
        <v>83</v>
      </c>
      <c r="BX346" s="12" t="s">
        <v>83</v>
      </c>
      <c r="BY346" s="12" t="s">
        <v>32</v>
      </c>
      <c r="BZ346" s="12" t="s">
        <v>81</v>
      </c>
      <c r="CA346" s="150" t="s">
        <v>282</v>
      </c>
    </row>
    <row r="347" spans="2:93" s="1" customFormat="1" ht="24.2" customHeight="1" x14ac:dyDescent="0.2">
      <c r="B347" s="124"/>
      <c r="C347" s="125" t="s">
        <v>556</v>
      </c>
      <c r="D347" s="125" t="s">
        <v>284</v>
      </c>
      <c r="E347" s="126" t="s">
        <v>932</v>
      </c>
      <c r="F347" s="127" t="s">
        <v>933</v>
      </c>
      <c r="G347" s="128" t="s">
        <v>485</v>
      </c>
      <c r="H347" s="129">
        <v>7</v>
      </c>
      <c r="I347" s="130">
        <v>3593.8097854433977</v>
      </c>
      <c r="J347" s="131">
        <f>ROUND(I347*H347,2)</f>
        <v>25156.67</v>
      </c>
      <c r="K347" s="127" t="s">
        <v>293</v>
      </c>
      <c r="L347" s="268">
        <f>S347</f>
        <v>0</v>
      </c>
      <c r="M347" s="272">
        <f>ROUND(L347*I347,2)</f>
        <v>0</v>
      </c>
      <c r="N347" s="243">
        <v>-5</v>
      </c>
      <c r="O347" s="294">
        <f>ROUND(N347*I347,2)</f>
        <v>-17969.05</v>
      </c>
      <c r="P347" s="273">
        <f>H347-L347-N347</f>
        <v>12</v>
      </c>
      <c r="Q347" s="268">
        <f>ROUND(P347*I347,2)</f>
        <v>43125.72</v>
      </c>
      <c r="R347" s="137"/>
      <c r="S347" s="269">
        <f>W347+Y347+AA347+AC347+AE347+AG347</f>
        <v>0</v>
      </c>
      <c r="T347" s="269">
        <f>ROUND(S347*I347,2)</f>
        <v>0</v>
      </c>
      <c r="U347" s="269">
        <f>H347-S347</f>
        <v>7</v>
      </c>
      <c r="V347" s="269">
        <f>ROUND(U347*I347,2)</f>
        <v>25156.67</v>
      </c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O347" s="132" t="s">
        <v>1</v>
      </c>
      <c r="AP347" s="133" t="s">
        <v>40</v>
      </c>
      <c r="AR347" s="134">
        <f>AQ347*H347</f>
        <v>0</v>
      </c>
      <c r="AS347" s="134">
        <v>2.4240000000000001E-2</v>
      </c>
      <c r="AT347" s="134">
        <f>AS347*H347</f>
        <v>0.16968</v>
      </c>
      <c r="AU347" s="134">
        <v>0</v>
      </c>
      <c r="AV347" s="135">
        <f>AU347*H347</f>
        <v>0</v>
      </c>
      <c r="BT347" s="136" t="s">
        <v>95</v>
      </c>
      <c r="BV347" s="136" t="s">
        <v>284</v>
      </c>
      <c r="BW347" s="136" t="s">
        <v>83</v>
      </c>
      <c r="CA347" s="16" t="s">
        <v>282</v>
      </c>
      <c r="CG347" s="137">
        <f>IF(AP347="základní",J347,0)</f>
        <v>25156.67</v>
      </c>
      <c r="CH347" s="137">
        <f>IF(AP347="snížená",J347,0)</f>
        <v>0</v>
      </c>
      <c r="CI347" s="137">
        <f>IF(AP347="zákl. přenesená",J347,0)</f>
        <v>0</v>
      </c>
      <c r="CJ347" s="137">
        <f>IF(AP347="sníž. přenesená",J347,0)</f>
        <v>0</v>
      </c>
      <c r="CK347" s="137">
        <f>IF(AP347="nulová",J347,0)</f>
        <v>0</v>
      </c>
      <c r="CL347" s="16" t="s">
        <v>81</v>
      </c>
      <c r="CM347" s="137">
        <f>ROUND(I347*H347,2)</f>
        <v>25156.67</v>
      </c>
      <c r="CN347" s="16" t="s">
        <v>95</v>
      </c>
      <c r="CO347" s="136" t="s">
        <v>1033</v>
      </c>
    </row>
    <row r="348" spans="2:93" s="1" customFormat="1" ht="19.5" x14ac:dyDescent="0.2">
      <c r="B348" s="31"/>
      <c r="D348" s="138" t="s">
        <v>289</v>
      </c>
      <c r="F348" s="139" t="s">
        <v>935</v>
      </c>
      <c r="I348" s="140"/>
      <c r="L348" s="31"/>
      <c r="N348" s="213"/>
      <c r="O348" s="214"/>
      <c r="Q348" s="330"/>
      <c r="AO348" s="141"/>
      <c r="AV348" s="50"/>
      <c r="BV348" s="16" t="s">
        <v>289</v>
      </c>
      <c r="BW348" s="16" t="s">
        <v>83</v>
      </c>
    </row>
    <row r="349" spans="2:93" s="1" customFormat="1" ht="24.2" customHeight="1" x14ac:dyDescent="0.2">
      <c r="B349" s="124"/>
      <c r="C349" s="125" t="s">
        <v>562</v>
      </c>
      <c r="D349" s="125" t="s">
        <v>284</v>
      </c>
      <c r="E349" s="126" t="s">
        <v>936</v>
      </c>
      <c r="F349" s="127" t="s">
        <v>937</v>
      </c>
      <c r="G349" s="128" t="s">
        <v>485</v>
      </c>
      <c r="H349" s="129">
        <v>7</v>
      </c>
      <c r="I349" s="130">
        <v>1078.0568828114554</v>
      </c>
      <c r="J349" s="131">
        <f>ROUND(I349*H349,2)</f>
        <v>7546.4</v>
      </c>
      <c r="K349" s="127" t="s">
        <v>293</v>
      </c>
      <c r="L349" s="268">
        <f>S349</f>
        <v>0</v>
      </c>
      <c r="M349" s="272">
        <f>ROUND(L349*I349,2)</f>
        <v>0</v>
      </c>
      <c r="N349" s="243">
        <v>-5</v>
      </c>
      <c r="O349" s="294">
        <f>ROUND(N349*I349,2)</f>
        <v>-5390.28</v>
      </c>
      <c r="P349" s="273">
        <f>H349-L349-N349</f>
        <v>12</v>
      </c>
      <c r="Q349" s="268">
        <f>ROUND(P349*I349,2)</f>
        <v>12936.68</v>
      </c>
      <c r="R349" s="137"/>
      <c r="S349" s="269">
        <f>W349+Y349+AA349+AC349+AE349+AG349</f>
        <v>0</v>
      </c>
      <c r="T349" s="269">
        <f>ROUND(S349*I349,2)</f>
        <v>0</v>
      </c>
      <c r="U349" s="269">
        <f>H349-S349</f>
        <v>7</v>
      </c>
      <c r="V349" s="269">
        <f>ROUND(U349*I349,2)</f>
        <v>7546.4</v>
      </c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O349" s="132" t="s">
        <v>1</v>
      </c>
      <c r="AP349" s="133" t="s">
        <v>40</v>
      </c>
      <c r="AR349" s="134">
        <f>AQ349*H349</f>
        <v>0</v>
      </c>
      <c r="AS349" s="134">
        <v>0</v>
      </c>
      <c r="AT349" s="134">
        <f>AS349*H349</f>
        <v>0</v>
      </c>
      <c r="AU349" s="134">
        <v>0</v>
      </c>
      <c r="AV349" s="135">
        <f>AU349*H349</f>
        <v>0</v>
      </c>
      <c r="BT349" s="136" t="s">
        <v>95</v>
      </c>
      <c r="BV349" s="136" t="s">
        <v>284</v>
      </c>
      <c r="BW349" s="136" t="s">
        <v>83</v>
      </c>
      <c r="CA349" s="16" t="s">
        <v>282</v>
      </c>
      <c r="CG349" s="137">
        <f>IF(AP349="základní",J349,0)</f>
        <v>7546.4</v>
      </c>
      <c r="CH349" s="137">
        <f>IF(AP349="snížená",J349,0)</f>
        <v>0</v>
      </c>
      <c r="CI349" s="137">
        <f>IF(AP349="zákl. přenesená",J349,0)</f>
        <v>0</v>
      </c>
      <c r="CJ349" s="137">
        <f>IF(AP349="sníž. přenesená",J349,0)</f>
        <v>0</v>
      </c>
      <c r="CK349" s="137">
        <f>IF(AP349="nulová",J349,0)</f>
        <v>0</v>
      </c>
      <c r="CL349" s="16" t="s">
        <v>81</v>
      </c>
      <c r="CM349" s="137">
        <f>ROUND(I349*H349,2)</f>
        <v>7546.4</v>
      </c>
      <c r="CN349" s="16" t="s">
        <v>95</v>
      </c>
      <c r="CO349" s="136" t="s">
        <v>1038</v>
      </c>
    </row>
    <row r="350" spans="2:93" s="1" customFormat="1" ht="19.5" x14ac:dyDescent="0.2">
      <c r="B350" s="31"/>
      <c r="D350" s="138" t="s">
        <v>289</v>
      </c>
      <c r="F350" s="139" t="s">
        <v>939</v>
      </c>
      <c r="I350" s="140"/>
      <c r="L350" s="31"/>
      <c r="N350" s="213"/>
      <c r="O350" s="214"/>
      <c r="Q350" s="330"/>
      <c r="AO350" s="141"/>
      <c r="AV350" s="50"/>
      <c r="BV350" s="16" t="s">
        <v>289</v>
      </c>
      <c r="BW350" s="16" t="s">
        <v>83</v>
      </c>
    </row>
    <row r="351" spans="2:93" s="1" customFormat="1" ht="24.2" customHeight="1" x14ac:dyDescent="0.2">
      <c r="B351" s="124"/>
      <c r="C351" s="125" t="s">
        <v>568</v>
      </c>
      <c r="D351" s="125" t="s">
        <v>284</v>
      </c>
      <c r="E351" s="126" t="s">
        <v>940</v>
      </c>
      <c r="F351" s="127" t="s">
        <v>941</v>
      </c>
      <c r="G351" s="128" t="s">
        <v>485</v>
      </c>
      <c r="H351" s="129">
        <v>7</v>
      </c>
      <c r="I351" s="130">
        <v>8864.0454366400263</v>
      </c>
      <c r="J351" s="131">
        <f>ROUND(I351*H351,2)</f>
        <v>62048.32</v>
      </c>
      <c r="K351" s="127" t="s">
        <v>293</v>
      </c>
      <c r="L351" s="268">
        <f>S351</f>
        <v>0</v>
      </c>
      <c r="M351" s="272">
        <f>ROUND(L351*I351,2)</f>
        <v>0</v>
      </c>
      <c r="N351" s="243">
        <v>-5</v>
      </c>
      <c r="O351" s="294">
        <f>ROUND(N351*I351,2)</f>
        <v>-44320.23</v>
      </c>
      <c r="P351" s="273">
        <f>H351-L351-N351</f>
        <v>12</v>
      </c>
      <c r="Q351" s="268">
        <f>ROUND(P351*I351,2)</f>
        <v>106368.55</v>
      </c>
      <c r="R351" s="137"/>
      <c r="S351" s="269">
        <f>W351+Y351+AA351+AC351+AE351+AG351</f>
        <v>0</v>
      </c>
      <c r="T351" s="269">
        <f>ROUND(S351*I351,2)</f>
        <v>0</v>
      </c>
      <c r="U351" s="269">
        <f>H351-S351</f>
        <v>7</v>
      </c>
      <c r="V351" s="269">
        <f>ROUND(U351*I351,2)</f>
        <v>62048.32</v>
      </c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O351" s="132" t="s">
        <v>1</v>
      </c>
      <c r="AP351" s="133" t="s">
        <v>40</v>
      </c>
      <c r="AR351" s="134">
        <f>AQ351*H351</f>
        <v>0</v>
      </c>
      <c r="AS351" s="134">
        <v>0.21007999999999999</v>
      </c>
      <c r="AT351" s="134">
        <f>AS351*H351</f>
        <v>1.4705599999999999</v>
      </c>
      <c r="AU351" s="134">
        <v>0</v>
      </c>
      <c r="AV351" s="135">
        <f>AU351*H351</f>
        <v>0</v>
      </c>
      <c r="BT351" s="136" t="s">
        <v>95</v>
      </c>
      <c r="BV351" s="136" t="s">
        <v>284</v>
      </c>
      <c r="BW351" s="136" t="s">
        <v>83</v>
      </c>
      <c r="CA351" s="16" t="s">
        <v>282</v>
      </c>
      <c r="CG351" s="137">
        <f>IF(AP351="základní",J351,0)</f>
        <v>62048.32</v>
      </c>
      <c r="CH351" s="137">
        <f>IF(AP351="snížená",J351,0)</f>
        <v>0</v>
      </c>
      <c r="CI351" s="137">
        <f>IF(AP351="zákl. přenesená",J351,0)</f>
        <v>0</v>
      </c>
      <c r="CJ351" s="137">
        <f>IF(AP351="sníž. přenesená",J351,0)</f>
        <v>0</v>
      </c>
      <c r="CK351" s="137">
        <f>IF(AP351="nulová",J351,0)</f>
        <v>0</v>
      </c>
      <c r="CL351" s="16" t="s">
        <v>81</v>
      </c>
      <c r="CM351" s="137">
        <f>ROUND(I351*H351,2)</f>
        <v>62048.32</v>
      </c>
      <c r="CN351" s="16" t="s">
        <v>95</v>
      </c>
      <c r="CO351" s="136" t="s">
        <v>1039</v>
      </c>
    </row>
    <row r="352" spans="2:93" s="1" customFormat="1" ht="29.25" x14ac:dyDescent="0.2">
      <c r="B352" s="31"/>
      <c r="D352" s="138" t="s">
        <v>289</v>
      </c>
      <c r="F352" s="139" t="s">
        <v>943</v>
      </c>
      <c r="I352" s="140"/>
      <c r="L352" s="31"/>
      <c r="N352" s="213"/>
      <c r="O352" s="214"/>
      <c r="Q352" s="330"/>
      <c r="AO352" s="141"/>
      <c r="AV352" s="50"/>
      <c r="BV352" s="16" t="s">
        <v>289</v>
      </c>
      <c r="BW352" s="16" t="s">
        <v>83</v>
      </c>
    </row>
    <row r="353" spans="2:93" s="10" customFormat="1" ht="22.9" customHeight="1" x14ac:dyDescent="0.2">
      <c r="B353" s="112"/>
      <c r="D353" s="113" t="s">
        <v>73</v>
      </c>
      <c r="E353" s="122" t="s">
        <v>695</v>
      </c>
      <c r="F353" s="122" t="s">
        <v>696</v>
      </c>
      <c r="I353" s="115"/>
      <c r="J353" s="123">
        <f>CM353</f>
        <v>24056.65</v>
      </c>
      <c r="L353" s="112"/>
      <c r="M353" s="270">
        <f>SUM(M354:M370)</f>
        <v>0</v>
      </c>
      <c r="N353" s="301"/>
      <c r="O353" s="302">
        <f t="shared" ref="O353:V353" si="7">SUM(O354:O370)</f>
        <v>-6495.8300000000008</v>
      </c>
      <c r="P353" s="270"/>
      <c r="Q353" s="335">
        <f t="shared" si="7"/>
        <v>30552.460000000003</v>
      </c>
      <c r="R353" s="270"/>
      <c r="S353" s="270"/>
      <c r="T353" s="270">
        <f t="shared" si="7"/>
        <v>0</v>
      </c>
      <c r="U353" s="270"/>
      <c r="V353" s="270">
        <f t="shared" si="7"/>
        <v>24056.65</v>
      </c>
      <c r="AO353" s="117"/>
      <c r="AR353" s="118">
        <f>SUM(AR354:AR372)</f>
        <v>0</v>
      </c>
      <c r="AT353" s="118">
        <f>SUM(AT354:AT372)</f>
        <v>0</v>
      </c>
      <c r="AV353" s="119">
        <f>SUM(AV354:AV372)</f>
        <v>0</v>
      </c>
      <c r="BT353" s="113" t="s">
        <v>81</v>
      </c>
      <c r="BV353" s="120" t="s">
        <v>73</v>
      </c>
      <c r="BW353" s="120" t="s">
        <v>81</v>
      </c>
      <c r="CA353" s="113" t="s">
        <v>282</v>
      </c>
      <c r="CM353" s="121">
        <f>SUM(CM354:CM372)</f>
        <v>24056.65</v>
      </c>
    </row>
    <row r="354" spans="2:93" s="1" customFormat="1" ht="14.45" customHeight="1" x14ac:dyDescent="0.2">
      <c r="B354" s="124"/>
      <c r="C354" s="125" t="s">
        <v>572</v>
      </c>
      <c r="D354" s="125" t="s">
        <v>284</v>
      </c>
      <c r="E354" s="126" t="s">
        <v>698</v>
      </c>
      <c r="F354" s="127" t="s">
        <v>699</v>
      </c>
      <c r="G354" s="128" t="s">
        <v>418</v>
      </c>
      <c r="H354" s="129">
        <v>66.518000000000001</v>
      </c>
      <c r="I354" s="130">
        <v>40.477390926043419</v>
      </c>
      <c r="J354" s="131">
        <f>ROUND(I354*H354,2)</f>
        <v>2692.48</v>
      </c>
      <c r="K354" s="127" t="s">
        <v>293</v>
      </c>
      <c r="L354" s="268">
        <f>S354</f>
        <v>0</v>
      </c>
      <c r="M354" s="272">
        <f>ROUND(L354*I354,2)</f>
        <v>0</v>
      </c>
      <c r="N354" s="243">
        <f>N356</f>
        <v>-18.074239999999996</v>
      </c>
      <c r="O354" s="294">
        <f>ROUND(N354*I354,2)</f>
        <v>-731.6</v>
      </c>
      <c r="P354" s="273">
        <f>H354-L354-N354</f>
        <v>84.592240000000004</v>
      </c>
      <c r="Q354" s="268">
        <f>ROUND(P354*I354,2)</f>
        <v>3424.07</v>
      </c>
      <c r="R354" s="137"/>
      <c r="S354" s="269">
        <f>W354+Y354+AA354+AC354+AE354+AG354</f>
        <v>0</v>
      </c>
      <c r="T354" s="269">
        <f>ROUND(S354*I354,2)</f>
        <v>0</v>
      </c>
      <c r="U354" s="269">
        <f>H354-S354</f>
        <v>66.518000000000001</v>
      </c>
      <c r="V354" s="269">
        <f>ROUND(U354*I354,2)</f>
        <v>2692.48</v>
      </c>
      <c r="W354" s="269"/>
      <c r="X354" s="269"/>
      <c r="Y354" s="269"/>
      <c r="Z354" s="269"/>
      <c r="AA354" s="269"/>
      <c r="AB354" s="269"/>
      <c r="AC354" s="269"/>
      <c r="AD354" s="269"/>
      <c r="AE354" s="269"/>
      <c r="AF354" s="269"/>
      <c r="AG354" s="269"/>
      <c r="AH354" s="269"/>
      <c r="AO354" s="132" t="s">
        <v>1</v>
      </c>
      <c r="AP354" s="133" t="s">
        <v>40</v>
      </c>
      <c r="AR354" s="134">
        <f>AQ354*H354</f>
        <v>0</v>
      </c>
      <c r="AS354" s="134">
        <v>0</v>
      </c>
      <c r="AT354" s="134">
        <f>AS354*H354</f>
        <v>0</v>
      </c>
      <c r="AU354" s="134">
        <v>0</v>
      </c>
      <c r="AV354" s="135">
        <f>AU354*H354</f>
        <v>0</v>
      </c>
      <c r="BT354" s="136" t="s">
        <v>95</v>
      </c>
      <c r="BV354" s="136" t="s">
        <v>284</v>
      </c>
      <c r="BW354" s="136" t="s">
        <v>83</v>
      </c>
      <c r="CA354" s="16" t="s">
        <v>282</v>
      </c>
      <c r="CG354" s="137">
        <f>IF(AP354="základní",J354,0)</f>
        <v>2692.48</v>
      </c>
      <c r="CH354" s="137">
        <f>IF(AP354="snížená",J354,0)</f>
        <v>0</v>
      </c>
      <c r="CI354" s="137">
        <f>IF(AP354="zákl. přenesená",J354,0)</f>
        <v>0</v>
      </c>
      <c r="CJ354" s="137">
        <f>IF(AP354="sníž. přenesená",J354,0)</f>
        <v>0</v>
      </c>
      <c r="CK354" s="137">
        <f>IF(AP354="nulová",J354,0)</f>
        <v>0</v>
      </c>
      <c r="CL354" s="16" t="s">
        <v>81</v>
      </c>
      <c r="CM354" s="137">
        <f>ROUND(I354*H354,2)</f>
        <v>2692.48</v>
      </c>
      <c r="CN354" s="16" t="s">
        <v>95</v>
      </c>
      <c r="CO354" s="136" t="s">
        <v>700</v>
      </c>
    </row>
    <row r="355" spans="2:93" s="1" customFormat="1" ht="19.5" x14ac:dyDescent="0.2">
      <c r="B355" s="31"/>
      <c r="D355" s="138" t="s">
        <v>289</v>
      </c>
      <c r="F355" s="139" t="s">
        <v>701</v>
      </c>
      <c r="I355" s="140"/>
      <c r="L355" s="31"/>
      <c r="N355" s="213">
        <f>0.732*66.18</f>
        <v>48.443760000000005</v>
      </c>
      <c r="O355" s="214" t="s">
        <v>3898</v>
      </c>
      <c r="Q355" s="330"/>
      <c r="AO355" s="141"/>
      <c r="AV355" s="50"/>
      <c r="BV355" s="16" t="s">
        <v>289</v>
      </c>
      <c r="BW355" s="16" t="s">
        <v>83</v>
      </c>
    </row>
    <row r="356" spans="2:93" s="12" customFormat="1" x14ac:dyDescent="0.2">
      <c r="B356" s="149"/>
      <c r="D356" s="138" t="s">
        <v>301</v>
      </c>
      <c r="E356" s="150" t="s">
        <v>1</v>
      </c>
      <c r="F356" s="151" t="s">
        <v>1311</v>
      </c>
      <c r="H356" s="152">
        <v>61.335999999999999</v>
      </c>
      <c r="I356" s="153"/>
      <c r="L356" s="149"/>
      <c r="N356" s="310">
        <f>N355-H358</f>
        <v>-18.074239999999996</v>
      </c>
      <c r="O356" s="218"/>
      <c r="Q356" s="332"/>
      <c r="AO356" s="154"/>
      <c r="AV356" s="155"/>
      <c r="BV356" s="150" t="s">
        <v>301</v>
      </c>
      <c r="BW356" s="150" t="s">
        <v>83</v>
      </c>
      <c r="BX356" s="12" t="s">
        <v>83</v>
      </c>
      <c r="BY356" s="12" t="s">
        <v>32</v>
      </c>
      <c r="BZ356" s="12" t="s">
        <v>74</v>
      </c>
      <c r="CA356" s="150" t="s">
        <v>282</v>
      </c>
    </row>
    <row r="357" spans="2:93" s="12" customFormat="1" x14ac:dyDescent="0.2">
      <c r="B357" s="149"/>
      <c r="D357" s="138" t="s">
        <v>301</v>
      </c>
      <c r="E357" s="150" t="s">
        <v>1</v>
      </c>
      <c r="F357" s="151" t="s">
        <v>1312</v>
      </c>
      <c r="H357" s="152">
        <v>5.1820000000000004</v>
      </c>
      <c r="I357" s="153"/>
      <c r="L357" s="149"/>
      <c r="N357" s="217"/>
      <c r="O357" s="218"/>
      <c r="Q357" s="332"/>
      <c r="AO357" s="154"/>
      <c r="AV357" s="155"/>
      <c r="BV357" s="150" t="s">
        <v>301</v>
      </c>
      <c r="BW357" s="150" t="s">
        <v>83</v>
      </c>
      <c r="BX357" s="12" t="s">
        <v>83</v>
      </c>
      <c r="BY357" s="12" t="s">
        <v>32</v>
      </c>
      <c r="BZ357" s="12" t="s">
        <v>74</v>
      </c>
      <c r="CA357" s="150" t="s">
        <v>282</v>
      </c>
    </row>
    <row r="358" spans="2:93" s="13" customFormat="1" x14ac:dyDescent="0.2">
      <c r="B358" s="156"/>
      <c r="D358" s="138" t="s">
        <v>301</v>
      </c>
      <c r="E358" s="157" t="s">
        <v>1</v>
      </c>
      <c r="F358" s="158" t="s">
        <v>305</v>
      </c>
      <c r="H358" s="159">
        <v>66.518000000000001</v>
      </c>
      <c r="I358" s="160"/>
      <c r="L358" s="156"/>
      <c r="N358" s="219"/>
      <c r="O358" s="220"/>
      <c r="Q358" s="334"/>
      <c r="AO358" s="161"/>
      <c r="AV358" s="162"/>
      <c r="BV358" s="157" t="s">
        <v>301</v>
      </c>
      <c r="BW358" s="157" t="s">
        <v>83</v>
      </c>
      <c r="BX358" s="13" t="s">
        <v>95</v>
      </c>
      <c r="BY358" s="13" t="s">
        <v>32</v>
      </c>
      <c r="BZ358" s="13" t="s">
        <v>81</v>
      </c>
      <c r="CA358" s="157" t="s">
        <v>282</v>
      </c>
    </row>
    <row r="359" spans="2:93" s="1" customFormat="1" ht="24.2" customHeight="1" x14ac:dyDescent="0.2">
      <c r="B359" s="124"/>
      <c r="C359" s="125" t="s">
        <v>576</v>
      </c>
      <c r="D359" s="125" t="s">
        <v>284</v>
      </c>
      <c r="E359" s="126" t="s">
        <v>705</v>
      </c>
      <c r="F359" s="127" t="s">
        <v>706</v>
      </c>
      <c r="G359" s="128" t="s">
        <v>418</v>
      </c>
      <c r="H359" s="129">
        <v>931.25199999999995</v>
      </c>
      <c r="I359" s="130">
        <v>3.1192340975392101</v>
      </c>
      <c r="J359" s="131">
        <f>ROUND(I359*H359,2)</f>
        <v>2904.79</v>
      </c>
      <c r="K359" s="127" t="s">
        <v>293</v>
      </c>
      <c r="L359" s="268">
        <f>S359</f>
        <v>0</v>
      </c>
      <c r="M359" s="272">
        <f>ROUND(L359*I359,2)</f>
        <v>0</v>
      </c>
      <c r="N359" s="243">
        <f>N361</f>
        <v>-249.57553600000006</v>
      </c>
      <c r="O359" s="294">
        <f>ROUND(N359*I359,2)</f>
        <v>-778.48</v>
      </c>
      <c r="P359" s="273">
        <f>H359-L359-N359</f>
        <v>1180.827536</v>
      </c>
      <c r="Q359" s="268">
        <f>ROUND(P359*I359,2)</f>
        <v>3683.28</v>
      </c>
      <c r="R359" s="137"/>
      <c r="S359" s="269">
        <f>W359+Y359+AA359+AC359+AE359+AG359</f>
        <v>0</v>
      </c>
      <c r="T359" s="269">
        <f>ROUND(S359*I359,2)</f>
        <v>0</v>
      </c>
      <c r="U359" s="269">
        <f>H359-S359</f>
        <v>931.25199999999995</v>
      </c>
      <c r="V359" s="269">
        <f>ROUND(U359*I359,2)</f>
        <v>2904.79</v>
      </c>
      <c r="W359" s="269"/>
      <c r="X359" s="269"/>
      <c r="Y359" s="269"/>
      <c r="Z359" s="269"/>
      <c r="AA359" s="269"/>
      <c r="AB359" s="269"/>
      <c r="AC359" s="269"/>
      <c r="AD359" s="269"/>
      <c r="AE359" s="269"/>
      <c r="AF359" s="269"/>
      <c r="AG359" s="269"/>
      <c r="AH359" s="269"/>
      <c r="AO359" s="132" t="s">
        <v>1</v>
      </c>
      <c r="AP359" s="133" t="s">
        <v>40</v>
      </c>
      <c r="AR359" s="134">
        <f>AQ359*H359</f>
        <v>0</v>
      </c>
      <c r="AS359" s="134">
        <v>0</v>
      </c>
      <c r="AT359" s="134">
        <f>AS359*H359</f>
        <v>0</v>
      </c>
      <c r="AU359" s="134">
        <v>0</v>
      </c>
      <c r="AV359" s="135">
        <f>AU359*H359</f>
        <v>0</v>
      </c>
      <c r="BT359" s="136" t="s">
        <v>95</v>
      </c>
      <c r="BV359" s="136" t="s">
        <v>284</v>
      </c>
      <c r="BW359" s="136" t="s">
        <v>83</v>
      </c>
      <c r="CA359" s="16" t="s">
        <v>282</v>
      </c>
      <c r="CG359" s="137">
        <f>IF(AP359="základní",J359,0)</f>
        <v>2904.79</v>
      </c>
      <c r="CH359" s="137">
        <f>IF(AP359="snížená",J359,0)</f>
        <v>0</v>
      </c>
      <c r="CI359" s="137">
        <f>IF(AP359="zákl. přenesená",J359,0)</f>
        <v>0</v>
      </c>
      <c r="CJ359" s="137">
        <f>IF(AP359="sníž. přenesená",J359,0)</f>
        <v>0</v>
      </c>
      <c r="CK359" s="137">
        <f>IF(AP359="nulová",J359,0)</f>
        <v>0</v>
      </c>
      <c r="CL359" s="16" t="s">
        <v>81</v>
      </c>
      <c r="CM359" s="137">
        <f>ROUND(I359*H359,2)</f>
        <v>2904.79</v>
      </c>
      <c r="CN359" s="16" t="s">
        <v>95</v>
      </c>
      <c r="CO359" s="136" t="s">
        <v>707</v>
      </c>
    </row>
    <row r="360" spans="2:93" s="1" customFormat="1" ht="29.25" x14ac:dyDescent="0.2">
      <c r="B360" s="31"/>
      <c r="D360" s="138" t="s">
        <v>289</v>
      </c>
      <c r="F360" s="139" t="s">
        <v>708</v>
      </c>
      <c r="I360" s="140"/>
      <c r="L360" s="31"/>
      <c r="N360" s="213">
        <f>0.732*931.252</f>
        <v>681.6764639999999</v>
      </c>
      <c r="O360" s="214" t="s">
        <v>3899</v>
      </c>
      <c r="Q360" s="330"/>
      <c r="AO360" s="141"/>
      <c r="AV360" s="50"/>
      <c r="BV360" s="16" t="s">
        <v>289</v>
      </c>
      <c r="BW360" s="16" t="s">
        <v>83</v>
      </c>
    </row>
    <row r="361" spans="2:93" s="12" customFormat="1" x14ac:dyDescent="0.2">
      <c r="B361" s="149"/>
      <c r="D361" s="138" t="s">
        <v>301</v>
      </c>
      <c r="E361" s="150" t="s">
        <v>1</v>
      </c>
      <c r="F361" s="151" t="s">
        <v>1311</v>
      </c>
      <c r="H361" s="152">
        <v>61.335999999999999</v>
      </c>
      <c r="I361" s="153"/>
      <c r="L361" s="149"/>
      <c r="N361" s="310">
        <f>N360-H364</f>
        <v>-249.57553600000006</v>
      </c>
      <c r="O361" s="218"/>
      <c r="Q361" s="332"/>
      <c r="AO361" s="154"/>
      <c r="AV361" s="155"/>
      <c r="BV361" s="150" t="s">
        <v>301</v>
      </c>
      <c r="BW361" s="150" t="s">
        <v>83</v>
      </c>
      <c r="BX361" s="12" t="s">
        <v>83</v>
      </c>
      <c r="BY361" s="12" t="s">
        <v>32</v>
      </c>
      <c r="BZ361" s="12" t="s">
        <v>74</v>
      </c>
      <c r="CA361" s="150" t="s">
        <v>282</v>
      </c>
    </row>
    <row r="362" spans="2:93" s="12" customFormat="1" x14ac:dyDescent="0.2">
      <c r="B362" s="149"/>
      <c r="D362" s="138" t="s">
        <v>301</v>
      </c>
      <c r="E362" s="150" t="s">
        <v>1</v>
      </c>
      <c r="F362" s="151" t="s">
        <v>1312</v>
      </c>
      <c r="H362" s="152">
        <v>5.1820000000000004</v>
      </c>
      <c r="I362" s="153"/>
      <c r="L362" s="149"/>
      <c r="N362" s="217"/>
      <c r="O362" s="218"/>
      <c r="Q362" s="332"/>
      <c r="AO362" s="154"/>
      <c r="AV362" s="155"/>
      <c r="BV362" s="150" t="s">
        <v>301</v>
      </c>
      <c r="BW362" s="150" t="s">
        <v>83</v>
      </c>
      <c r="BX362" s="12" t="s">
        <v>83</v>
      </c>
      <c r="BY362" s="12" t="s">
        <v>32</v>
      </c>
      <c r="BZ362" s="12" t="s">
        <v>74</v>
      </c>
      <c r="CA362" s="150" t="s">
        <v>282</v>
      </c>
    </row>
    <row r="363" spans="2:93" s="13" customFormat="1" x14ac:dyDescent="0.2">
      <c r="B363" s="156"/>
      <c r="D363" s="138" t="s">
        <v>301</v>
      </c>
      <c r="E363" s="157" t="s">
        <v>1</v>
      </c>
      <c r="F363" s="158" t="s">
        <v>305</v>
      </c>
      <c r="H363" s="159">
        <v>66.518000000000001</v>
      </c>
      <c r="I363" s="160"/>
      <c r="L363" s="156"/>
      <c r="N363" s="219"/>
      <c r="O363" s="220"/>
      <c r="Q363" s="334"/>
      <c r="AO363" s="161"/>
      <c r="AV363" s="162"/>
      <c r="BV363" s="157" t="s">
        <v>301</v>
      </c>
      <c r="BW363" s="157" t="s">
        <v>83</v>
      </c>
      <c r="BX363" s="13" t="s">
        <v>95</v>
      </c>
      <c r="BY363" s="13" t="s">
        <v>32</v>
      </c>
      <c r="BZ363" s="13" t="s">
        <v>81</v>
      </c>
      <c r="CA363" s="157" t="s">
        <v>282</v>
      </c>
    </row>
    <row r="364" spans="2:93" s="12" customFormat="1" x14ac:dyDescent="0.2">
      <c r="B364" s="149"/>
      <c r="D364" s="138" t="s">
        <v>301</v>
      </c>
      <c r="F364" s="151" t="s">
        <v>1313</v>
      </c>
      <c r="H364" s="152">
        <v>931.25199999999995</v>
      </c>
      <c r="I364" s="153"/>
      <c r="L364" s="149"/>
      <c r="N364" s="217"/>
      <c r="O364" s="218"/>
      <c r="Q364" s="332"/>
      <c r="AO364" s="154"/>
      <c r="AV364" s="155"/>
      <c r="BV364" s="150" t="s">
        <v>301</v>
      </c>
      <c r="BW364" s="150" t="s">
        <v>83</v>
      </c>
      <c r="BX364" s="12" t="s">
        <v>83</v>
      </c>
      <c r="BY364" s="12" t="s">
        <v>3</v>
      </c>
      <c r="BZ364" s="12" t="s">
        <v>81</v>
      </c>
      <c r="CA364" s="150" t="s">
        <v>282</v>
      </c>
    </row>
    <row r="365" spans="2:93" s="1" customFormat="1" ht="24.2" customHeight="1" x14ac:dyDescent="0.2">
      <c r="B365" s="124"/>
      <c r="C365" s="125" t="s">
        <v>581</v>
      </c>
      <c r="D365" s="125" t="s">
        <v>284</v>
      </c>
      <c r="E365" s="126" t="s">
        <v>711</v>
      </c>
      <c r="F365" s="127" t="s">
        <v>712</v>
      </c>
      <c r="G365" s="128" t="s">
        <v>418</v>
      </c>
      <c r="H365" s="129">
        <v>66.516999999999996</v>
      </c>
      <c r="I365" s="130">
        <v>155.98322812074767</v>
      </c>
      <c r="J365" s="131">
        <f>ROUND(I365*H365,2)</f>
        <v>10375.540000000001</v>
      </c>
      <c r="K365" s="127" t="s">
        <v>293</v>
      </c>
      <c r="L365" s="268">
        <f>S365</f>
        <v>0</v>
      </c>
      <c r="M365" s="272">
        <f>ROUND(L365*I365,2)</f>
        <v>0</v>
      </c>
      <c r="N365" s="243">
        <f>N354</f>
        <v>-18.074239999999996</v>
      </c>
      <c r="O365" s="294">
        <f>ROUND(N365*I365,2)</f>
        <v>-2819.28</v>
      </c>
      <c r="P365" s="273">
        <f>H365-L365-N365</f>
        <v>84.591239999999999</v>
      </c>
      <c r="Q365" s="268">
        <f>ROUND(P365*I365,2)</f>
        <v>13194.81</v>
      </c>
      <c r="R365" s="137"/>
      <c r="S365" s="269">
        <f>W365+Y365+AA365+AC365+AE365+AG365</f>
        <v>0</v>
      </c>
      <c r="T365" s="269">
        <f>ROUND(S365*I365,2)</f>
        <v>0</v>
      </c>
      <c r="U365" s="269">
        <f>H365-S365</f>
        <v>66.516999999999996</v>
      </c>
      <c r="V365" s="269">
        <f>ROUND(U365*I365,2)</f>
        <v>10375.540000000001</v>
      </c>
      <c r="W365" s="269"/>
      <c r="X365" s="269"/>
      <c r="Y365" s="269"/>
      <c r="Z365" s="269"/>
      <c r="AA365" s="269"/>
      <c r="AB365" s="269"/>
      <c r="AC365" s="269"/>
      <c r="AD365" s="269"/>
      <c r="AE365" s="269"/>
      <c r="AF365" s="269"/>
      <c r="AG365" s="269"/>
      <c r="AH365" s="269"/>
      <c r="AO365" s="132" t="s">
        <v>1</v>
      </c>
      <c r="AP365" s="133" t="s">
        <v>40</v>
      </c>
      <c r="AR365" s="134">
        <f>AQ365*H365</f>
        <v>0</v>
      </c>
      <c r="AS365" s="134">
        <v>0</v>
      </c>
      <c r="AT365" s="134">
        <f>AS365*H365</f>
        <v>0</v>
      </c>
      <c r="AU365" s="134">
        <v>0</v>
      </c>
      <c r="AV365" s="135">
        <f>AU365*H365</f>
        <v>0</v>
      </c>
      <c r="BT365" s="136" t="s">
        <v>95</v>
      </c>
      <c r="BV365" s="136" t="s">
        <v>284</v>
      </c>
      <c r="BW365" s="136" t="s">
        <v>83</v>
      </c>
      <c r="CA365" s="16" t="s">
        <v>282</v>
      </c>
      <c r="CG365" s="137">
        <f>IF(AP365="základní",J365,0)</f>
        <v>10375.540000000001</v>
      </c>
      <c r="CH365" s="137">
        <f>IF(AP365="snížená",J365,0)</f>
        <v>0</v>
      </c>
      <c r="CI365" s="137">
        <f>IF(AP365="zákl. přenesená",J365,0)</f>
        <v>0</v>
      </c>
      <c r="CJ365" s="137">
        <f>IF(AP365="sníž. přenesená",J365,0)</f>
        <v>0</v>
      </c>
      <c r="CK365" s="137">
        <f>IF(AP365="nulová",J365,0)</f>
        <v>0</v>
      </c>
      <c r="CL365" s="16" t="s">
        <v>81</v>
      </c>
      <c r="CM365" s="137">
        <f>ROUND(I365*H365,2)</f>
        <v>10375.540000000001</v>
      </c>
      <c r="CN365" s="16" t="s">
        <v>95</v>
      </c>
      <c r="CO365" s="136" t="s">
        <v>713</v>
      </c>
    </row>
    <row r="366" spans="2:93" s="1" customFormat="1" x14ac:dyDescent="0.2">
      <c r="B366" s="31"/>
      <c r="D366" s="138" t="s">
        <v>289</v>
      </c>
      <c r="F366" s="139" t="s">
        <v>714</v>
      </c>
      <c r="I366" s="140"/>
      <c r="L366" s="31"/>
      <c r="N366" s="213"/>
      <c r="O366" s="214"/>
      <c r="Q366" s="330"/>
      <c r="AO366" s="141"/>
      <c r="AV366" s="50"/>
      <c r="BV366" s="16" t="s">
        <v>289</v>
      </c>
      <c r="BW366" s="16" t="s">
        <v>83</v>
      </c>
    </row>
    <row r="367" spans="2:93" s="1" customFormat="1" ht="37.9" customHeight="1" x14ac:dyDescent="0.2">
      <c r="B367" s="124"/>
      <c r="C367" s="125" t="s">
        <v>589</v>
      </c>
      <c r="D367" s="125" t="s">
        <v>284</v>
      </c>
      <c r="E367" s="126" t="s">
        <v>716</v>
      </c>
      <c r="F367" s="127" t="s">
        <v>420</v>
      </c>
      <c r="G367" s="128" t="s">
        <v>418</v>
      </c>
      <c r="H367" s="129">
        <v>61.335999999999999</v>
      </c>
      <c r="I367" s="130">
        <v>110.6455721</v>
      </c>
      <c r="J367" s="131">
        <f>ROUND(I367*H367,2)</f>
        <v>6786.56</v>
      </c>
      <c r="K367" s="127" t="s">
        <v>293</v>
      </c>
      <c r="L367" s="268">
        <f>S367</f>
        <v>0</v>
      </c>
      <c r="M367" s="272">
        <f>ROUND(L367*I367,2)</f>
        <v>0</v>
      </c>
      <c r="N367" s="243">
        <f>N369</f>
        <v>-16.438048000000002</v>
      </c>
      <c r="O367" s="294">
        <f>ROUND(N367*I367,2)</f>
        <v>-1818.8</v>
      </c>
      <c r="P367" s="273">
        <f>H367-L367-N367</f>
        <v>77.774047999999993</v>
      </c>
      <c r="Q367" s="268">
        <f>ROUND(P367*I367,2)</f>
        <v>8605.35</v>
      </c>
      <c r="R367" s="137"/>
      <c r="S367" s="269">
        <f>W367+Y367+AA367+AC367+AE367+AG367</f>
        <v>0</v>
      </c>
      <c r="T367" s="269">
        <f>ROUND(S367*I367,2)</f>
        <v>0</v>
      </c>
      <c r="U367" s="269">
        <f>H367-S367</f>
        <v>61.335999999999999</v>
      </c>
      <c r="V367" s="269">
        <f>ROUND(U367*I367,2)</f>
        <v>6786.56</v>
      </c>
      <c r="W367" s="269"/>
      <c r="X367" s="269"/>
      <c r="Y367" s="269"/>
      <c r="Z367" s="269"/>
      <c r="AA367" s="269"/>
      <c r="AB367" s="269"/>
      <c r="AC367" s="269"/>
      <c r="AD367" s="269"/>
      <c r="AE367" s="269"/>
      <c r="AF367" s="269"/>
      <c r="AG367" s="269"/>
      <c r="AH367" s="269"/>
      <c r="AO367" s="132" t="s">
        <v>1</v>
      </c>
      <c r="AP367" s="133" t="s">
        <v>40</v>
      </c>
      <c r="AR367" s="134">
        <f>AQ367*H367</f>
        <v>0</v>
      </c>
      <c r="AS367" s="134">
        <v>0</v>
      </c>
      <c r="AT367" s="134">
        <f>AS367*H367</f>
        <v>0</v>
      </c>
      <c r="AU367" s="134">
        <v>0</v>
      </c>
      <c r="AV367" s="135">
        <f>AU367*H367</f>
        <v>0</v>
      </c>
      <c r="BT367" s="136" t="s">
        <v>95</v>
      </c>
      <c r="BV367" s="136" t="s">
        <v>284</v>
      </c>
      <c r="BW367" s="136" t="s">
        <v>83</v>
      </c>
      <c r="CA367" s="16" t="s">
        <v>282</v>
      </c>
      <c r="CG367" s="137">
        <f>IF(AP367="základní",J367,0)</f>
        <v>6786.56</v>
      </c>
      <c r="CH367" s="137">
        <f>IF(AP367="snížená",J367,0)</f>
        <v>0</v>
      </c>
      <c r="CI367" s="137">
        <f>IF(AP367="zákl. přenesená",J367,0)</f>
        <v>0</v>
      </c>
      <c r="CJ367" s="137">
        <f>IF(AP367="sníž. přenesená",J367,0)</f>
        <v>0</v>
      </c>
      <c r="CK367" s="137">
        <f>IF(AP367="nulová",J367,0)</f>
        <v>0</v>
      </c>
      <c r="CL367" s="16" t="s">
        <v>81</v>
      </c>
      <c r="CM367" s="137">
        <f>ROUND(I367*H367,2)</f>
        <v>6786.56</v>
      </c>
      <c r="CN367" s="16" t="s">
        <v>95</v>
      </c>
      <c r="CO367" s="136" t="s">
        <v>717</v>
      </c>
    </row>
    <row r="368" spans="2:93" s="1" customFormat="1" ht="29.25" x14ac:dyDescent="0.2">
      <c r="B368" s="31"/>
      <c r="D368" s="138" t="s">
        <v>289</v>
      </c>
      <c r="F368" s="139" t="s">
        <v>420</v>
      </c>
      <c r="I368" s="140"/>
      <c r="L368" s="31"/>
      <c r="N368" s="213">
        <f>0.732*61.336</f>
        <v>44.897951999999997</v>
      </c>
      <c r="O368" s="214" t="s">
        <v>3900</v>
      </c>
      <c r="Q368" s="330"/>
      <c r="AO368" s="141"/>
      <c r="AV368" s="50"/>
      <c r="BV368" s="16" t="s">
        <v>289</v>
      </c>
      <c r="BW368" s="16" t="s">
        <v>83</v>
      </c>
    </row>
    <row r="369" spans="2:93" s="12" customFormat="1" x14ac:dyDescent="0.2">
      <c r="B369" s="149"/>
      <c r="D369" s="138" t="s">
        <v>301</v>
      </c>
      <c r="E369" s="150" t="s">
        <v>1</v>
      </c>
      <c r="F369" s="151" t="s">
        <v>1311</v>
      </c>
      <c r="H369" s="152">
        <v>61.335999999999999</v>
      </c>
      <c r="I369" s="153"/>
      <c r="L369" s="149"/>
      <c r="N369" s="310">
        <f>N368-H369</f>
        <v>-16.438048000000002</v>
      </c>
      <c r="O369" s="218"/>
      <c r="Q369" s="332"/>
      <c r="AO369" s="154"/>
      <c r="AV369" s="155"/>
      <c r="BV369" s="150" t="s">
        <v>301</v>
      </c>
      <c r="BW369" s="150" t="s">
        <v>83</v>
      </c>
      <c r="BX369" s="12" t="s">
        <v>83</v>
      </c>
      <c r="BY369" s="12" t="s">
        <v>32</v>
      </c>
      <c r="BZ369" s="12" t="s">
        <v>81</v>
      </c>
      <c r="CA369" s="150" t="s">
        <v>282</v>
      </c>
    </row>
    <row r="370" spans="2:93" s="1" customFormat="1" ht="37.9" customHeight="1" x14ac:dyDescent="0.2">
      <c r="B370" s="124"/>
      <c r="C370" s="125" t="s">
        <v>594</v>
      </c>
      <c r="D370" s="125" t="s">
        <v>284</v>
      </c>
      <c r="E370" s="126" t="s">
        <v>719</v>
      </c>
      <c r="F370" s="127" t="s">
        <v>720</v>
      </c>
      <c r="G370" s="128" t="s">
        <v>418</v>
      </c>
      <c r="H370" s="129">
        <v>5.1820000000000004</v>
      </c>
      <c r="I370" s="130">
        <v>250.3439285</v>
      </c>
      <c r="J370" s="131">
        <f>ROUND(I370*H370,2)</f>
        <v>1297.28</v>
      </c>
      <c r="K370" s="127" t="s">
        <v>293</v>
      </c>
      <c r="L370" s="268">
        <f>S370</f>
        <v>0</v>
      </c>
      <c r="M370" s="272">
        <f>ROUND(L370*I370,2)</f>
        <v>0</v>
      </c>
      <c r="N370" s="243">
        <f>N372</f>
        <v>-1.388776</v>
      </c>
      <c r="O370" s="294">
        <f>ROUND(N370*I370,2)</f>
        <v>-347.67</v>
      </c>
      <c r="P370" s="273">
        <f>H370-L370-N370</f>
        <v>6.5707760000000004</v>
      </c>
      <c r="Q370" s="268">
        <f>ROUND(P370*I370,2)</f>
        <v>1644.95</v>
      </c>
      <c r="R370" s="137"/>
      <c r="S370" s="269">
        <f>W370+Y370+AA370+AC370+AE370+AG370</f>
        <v>0</v>
      </c>
      <c r="T370" s="269">
        <f>ROUND(S370*I370,2)</f>
        <v>0</v>
      </c>
      <c r="U370" s="269">
        <f>H370-S370</f>
        <v>5.1820000000000004</v>
      </c>
      <c r="V370" s="269">
        <f>ROUND(U370*I370,2)</f>
        <v>1297.28</v>
      </c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O370" s="132" t="s">
        <v>1</v>
      </c>
      <c r="AP370" s="133" t="s">
        <v>40</v>
      </c>
      <c r="AR370" s="134">
        <f>AQ370*H370</f>
        <v>0</v>
      </c>
      <c r="AS370" s="134">
        <v>0</v>
      </c>
      <c r="AT370" s="134">
        <f>AS370*H370</f>
        <v>0</v>
      </c>
      <c r="AU370" s="134">
        <v>0</v>
      </c>
      <c r="AV370" s="135">
        <f>AU370*H370</f>
        <v>0</v>
      </c>
      <c r="BT370" s="136" t="s">
        <v>95</v>
      </c>
      <c r="BV370" s="136" t="s">
        <v>284</v>
      </c>
      <c r="BW370" s="136" t="s">
        <v>83</v>
      </c>
      <c r="CA370" s="16" t="s">
        <v>282</v>
      </c>
      <c r="CG370" s="137">
        <f>IF(AP370="základní",J370,0)</f>
        <v>1297.28</v>
      </c>
      <c r="CH370" s="137">
        <f>IF(AP370="snížená",J370,0)</f>
        <v>0</v>
      </c>
      <c r="CI370" s="137">
        <f>IF(AP370="zákl. přenesená",J370,0)</f>
        <v>0</v>
      </c>
      <c r="CJ370" s="137">
        <f>IF(AP370="sníž. přenesená",J370,0)</f>
        <v>0</v>
      </c>
      <c r="CK370" s="137">
        <f>IF(AP370="nulová",J370,0)</f>
        <v>0</v>
      </c>
      <c r="CL370" s="16" t="s">
        <v>81</v>
      </c>
      <c r="CM370" s="137">
        <f>ROUND(I370*H370,2)</f>
        <v>1297.28</v>
      </c>
      <c r="CN370" s="16" t="s">
        <v>95</v>
      </c>
      <c r="CO370" s="136" t="s">
        <v>721</v>
      </c>
    </row>
    <row r="371" spans="2:93" s="1" customFormat="1" ht="29.25" x14ac:dyDescent="0.2">
      <c r="B371" s="31"/>
      <c r="D371" s="138" t="s">
        <v>289</v>
      </c>
      <c r="F371" s="139" t="s">
        <v>720</v>
      </c>
      <c r="I371" s="140"/>
      <c r="L371" s="31"/>
      <c r="N371" s="213">
        <f>0.732*5.182</f>
        <v>3.7932240000000004</v>
      </c>
      <c r="O371" s="214" t="s">
        <v>3901</v>
      </c>
      <c r="Q371" s="330"/>
      <c r="AO371" s="141"/>
      <c r="AV371" s="50"/>
      <c r="BV371" s="16" t="s">
        <v>289</v>
      </c>
      <c r="BW371" s="16" t="s">
        <v>83</v>
      </c>
    </row>
    <row r="372" spans="2:93" s="12" customFormat="1" x14ac:dyDescent="0.2">
      <c r="B372" s="149"/>
      <c r="D372" s="138" t="s">
        <v>301</v>
      </c>
      <c r="E372" s="150" t="s">
        <v>1</v>
      </c>
      <c r="F372" s="151" t="s">
        <v>1312</v>
      </c>
      <c r="H372" s="152">
        <v>5.1820000000000004</v>
      </c>
      <c r="I372" s="153"/>
      <c r="L372" s="149"/>
      <c r="N372" s="310">
        <f>N371-H372</f>
        <v>-1.388776</v>
      </c>
      <c r="O372" s="218"/>
      <c r="Q372" s="332"/>
      <c r="AO372" s="154"/>
      <c r="AV372" s="155"/>
      <c r="BV372" s="150" t="s">
        <v>301</v>
      </c>
      <c r="BW372" s="150" t="s">
        <v>83</v>
      </c>
      <c r="BX372" s="12" t="s">
        <v>83</v>
      </c>
      <c r="BY372" s="12" t="s">
        <v>32</v>
      </c>
      <c r="BZ372" s="12" t="s">
        <v>81</v>
      </c>
      <c r="CA372" s="150" t="s">
        <v>282</v>
      </c>
    </row>
    <row r="373" spans="2:93" s="10" customFormat="1" ht="22.9" customHeight="1" x14ac:dyDescent="0.2">
      <c r="B373" s="112"/>
      <c r="D373" s="113" t="s">
        <v>73</v>
      </c>
      <c r="E373" s="122" t="s">
        <v>722</v>
      </c>
      <c r="F373" s="122" t="s">
        <v>723</v>
      </c>
      <c r="I373" s="115"/>
      <c r="J373" s="123">
        <f>CM373</f>
        <v>13122.95</v>
      </c>
      <c r="L373" s="112"/>
      <c r="M373" s="270">
        <f>M374</f>
        <v>0</v>
      </c>
      <c r="N373" s="301"/>
      <c r="O373" s="302">
        <f t="shared" ref="O373:V373" si="8">O374</f>
        <v>-3516.95</v>
      </c>
      <c r="P373" s="270"/>
      <c r="Q373" s="335">
        <f t="shared" si="8"/>
        <v>16639.900000000001</v>
      </c>
      <c r="R373" s="270"/>
      <c r="S373" s="270"/>
      <c r="T373" s="270">
        <f t="shared" si="8"/>
        <v>0</v>
      </c>
      <c r="U373" s="270"/>
      <c r="V373" s="270">
        <f t="shared" si="8"/>
        <v>13122.95</v>
      </c>
      <c r="AO373" s="117"/>
      <c r="AR373" s="118">
        <f>SUM(AR374:AR377)</f>
        <v>0</v>
      </c>
      <c r="AT373" s="118">
        <f>SUM(AT374:AT377)</f>
        <v>0</v>
      </c>
      <c r="AV373" s="119">
        <f>SUM(AV374:AV377)</f>
        <v>0</v>
      </c>
      <c r="BT373" s="113" t="s">
        <v>81</v>
      </c>
      <c r="BV373" s="120" t="s">
        <v>73</v>
      </c>
      <c r="BW373" s="120" t="s">
        <v>81</v>
      </c>
      <c r="CA373" s="113" t="s">
        <v>282</v>
      </c>
      <c r="CM373" s="121">
        <f>SUM(CM374:CM377)</f>
        <v>13122.95</v>
      </c>
    </row>
    <row r="374" spans="2:93" s="1" customFormat="1" ht="24.2" customHeight="1" x14ac:dyDescent="0.2">
      <c r="B374" s="124"/>
      <c r="C374" s="125" t="s">
        <v>599</v>
      </c>
      <c r="D374" s="125" t="s">
        <v>284</v>
      </c>
      <c r="E374" s="126" t="s">
        <v>725</v>
      </c>
      <c r="F374" s="127" t="s">
        <v>726</v>
      </c>
      <c r="G374" s="128" t="s">
        <v>418</v>
      </c>
      <c r="H374" s="129">
        <v>14.504</v>
      </c>
      <c r="I374" s="130">
        <v>904.78117744148574</v>
      </c>
      <c r="J374" s="131">
        <f>ROUND(I374*H374,2)</f>
        <v>13122.95</v>
      </c>
      <c r="K374" s="127" t="s">
        <v>293</v>
      </c>
      <c r="L374" s="268">
        <f>S374</f>
        <v>0</v>
      </c>
      <c r="M374" s="272">
        <f>ROUND(L374*I374,2)</f>
        <v>0</v>
      </c>
      <c r="N374" s="243">
        <f>N376</f>
        <v>-3.8870719999999999</v>
      </c>
      <c r="O374" s="294">
        <f>ROUND(N374*I374,2)</f>
        <v>-3516.95</v>
      </c>
      <c r="P374" s="273">
        <f>H374-L374-N374</f>
        <v>18.391072000000001</v>
      </c>
      <c r="Q374" s="268">
        <f>ROUND(P374*I374,2)</f>
        <v>16639.900000000001</v>
      </c>
      <c r="R374" s="137"/>
      <c r="S374" s="269">
        <f>W374+Y374+AA374+AC374+AE374+AG374</f>
        <v>0</v>
      </c>
      <c r="T374" s="269">
        <f>ROUND(S374*I374,2)</f>
        <v>0</v>
      </c>
      <c r="U374" s="269">
        <f>H374-S374</f>
        <v>14.504</v>
      </c>
      <c r="V374" s="269">
        <f>ROUND(U374*I374,2)</f>
        <v>13122.95</v>
      </c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O374" s="132" t="s">
        <v>1</v>
      </c>
      <c r="AP374" s="133" t="s">
        <v>40</v>
      </c>
      <c r="AR374" s="134">
        <f>AQ374*H374</f>
        <v>0</v>
      </c>
      <c r="AS374" s="134">
        <v>0</v>
      </c>
      <c r="AT374" s="134">
        <f>AS374*H374</f>
        <v>0</v>
      </c>
      <c r="AU374" s="134">
        <v>0</v>
      </c>
      <c r="AV374" s="135">
        <f>AU374*H374</f>
        <v>0</v>
      </c>
      <c r="BT374" s="136" t="s">
        <v>95</v>
      </c>
      <c r="BV374" s="136" t="s">
        <v>284</v>
      </c>
      <c r="BW374" s="136" t="s">
        <v>83</v>
      </c>
      <c r="CA374" s="16" t="s">
        <v>282</v>
      </c>
      <c r="CG374" s="137">
        <f>IF(AP374="základní",J374,0)</f>
        <v>13122.95</v>
      </c>
      <c r="CH374" s="137">
        <f>IF(AP374="snížená",J374,0)</f>
        <v>0</v>
      </c>
      <c r="CI374" s="137">
        <f>IF(AP374="zákl. přenesená",J374,0)</f>
        <v>0</v>
      </c>
      <c r="CJ374" s="137">
        <f>IF(AP374="sníž. přenesená",J374,0)</f>
        <v>0</v>
      </c>
      <c r="CK374" s="137">
        <f>IF(AP374="nulová",J374,0)</f>
        <v>0</v>
      </c>
      <c r="CL374" s="16" t="s">
        <v>81</v>
      </c>
      <c r="CM374" s="137">
        <f>ROUND(I374*H374,2)</f>
        <v>13122.95</v>
      </c>
      <c r="CN374" s="16" t="s">
        <v>95</v>
      </c>
      <c r="CO374" s="136" t="s">
        <v>1044</v>
      </c>
    </row>
    <row r="375" spans="2:93" s="1" customFormat="1" ht="29.25" x14ac:dyDescent="0.2">
      <c r="B375" s="31"/>
      <c r="D375" s="138" t="s">
        <v>289</v>
      </c>
      <c r="F375" s="139" t="s">
        <v>728</v>
      </c>
      <c r="I375" s="140"/>
      <c r="L375" s="31"/>
      <c r="N375" s="213">
        <f>0.732*14.504</f>
        <v>10.616928</v>
      </c>
      <c r="O375" s="214" t="s">
        <v>3902</v>
      </c>
      <c r="Q375" s="330"/>
      <c r="AO375" s="141"/>
      <c r="AV375" s="50"/>
      <c r="BV375" s="16" t="s">
        <v>289</v>
      </c>
      <c r="BW375" s="16" t="s">
        <v>83</v>
      </c>
    </row>
    <row r="376" spans="2:93" s="11" customFormat="1" x14ac:dyDescent="0.2">
      <c r="B376" s="143"/>
      <c r="D376" s="138" t="s">
        <v>301</v>
      </c>
      <c r="E376" s="144" t="s">
        <v>1</v>
      </c>
      <c r="F376" s="145" t="s">
        <v>729</v>
      </c>
      <c r="H376" s="144" t="s">
        <v>1</v>
      </c>
      <c r="I376" s="146"/>
      <c r="L376" s="143"/>
      <c r="N376" s="319">
        <f>N375-H374</f>
        <v>-3.8870719999999999</v>
      </c>
      <c r="O376" s="216"/>
      <c r="Q376" s="331"/>
      <c r="AO376" s="147"/>
      <c r="AV376" s="148"/>
      <c r="BV376" s="144" t="s">
        <v>301</v>
      </c>
      <c r="BW376" s="144" t="s">
        <v>83</v>
      </c>
      <c r="BX376" s="11" t="s">
        <v>81</v>
      </c>
      <c r="BY376" s="11" t="s">
        <v>32</v>
      </c>
      <c r="BZ376" s="11" t="s">
        <v>74</v>
      </c>
      <c r="CA376" s="144" t="s">
        <v>282</v>
      </c>
    </row>
    <row r="377" spans="2:93" s="12" customFormat="1" x14ac:dyDescent="0.2">
      <c r="B377" s="149"/>
      <c r="D377" s="138" t="s">
        <v>301</v>
      </c>
      <c r="E377" s="150" t="s">
        <v>1</v>
      </c>
      <c r="F377" s="151" t="s">
        <v>1314</v>
      </c>
      <c r="H377" s="152">
        <v>14.504</v>
      </c>
      <c r="I377" s="153"/>
      <c r="L377" s="149"/>
      <c r="N377" s="217"/>
      <c r="O377" s="218"/>
      <c r="Q377" s="332"/>
      <c r="AO377" s="179"/>
      <c r="AP377" s="180"/>
      <c r="AQ377" s="180"/>
      <c r="AR377" s="180"/>
      <c r="AS377" s="180"/>
      <c r="AT377" s="180"/>
      <c r="AU377" s="180"/>
      <c r="AV377" s="181"/>
      <c r="BV377" s="150" t="s">
        <v>301</v>
      </c>
      <c r="BW377" s="150" t="s">
        <v>83</v>
      </c>
      <c r="BX377" s="12" t="s">
        <v>83</v>
      </c>
      <c r="BY377" s="12" t="s">
        <v>32</v>
      </c>
      <c r="BZ377" s="12" t="s">
        <v>81</v>
      </c>
      <c r="CA377" s="150" t="s">
        <v>282</v>
      </c>
    </row>
    <row r="378" spans="2:93" s="1" customFormat="1" ht="6.95" customHeight="1" thickBot="1" x14ac:dyDescent="0.25">
      <c r="B378" s="43"/>
      <c r="C378" s="44"/>
      <c r="D378" s="44"/>
      <c r="E378" s="44"/>
      <c r="F378" s="44"/>
      <c r="G378" s="44"/>
      <c r="H378" s="44"/>
      <c r="I378" s="44"/>
      <c r="J378" s="44"/>
      <c r="K378" s="44"/>
      <c r="L378" s="268"/>
      <c r="M378" s="272"/>
      <c r="N378" s="304"/>
      <c r="O378" s="305"/>
      <c r="P378" s="273"/>
      <c r="Q378" s="268"/>
      <c r="R378" s="137"/>
      <c r="S378" s="269"/>
      <c r="T378" s="269"/>
      <c r="U378" s="269"/>
      <c r="V378" s="269"/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</row>
  </sheetData>
  <autoFilter ref="C119:K377"/>
  <mergeCells count="25">
    <mergeCell ref="E116:H116"/>
    <mergeCell ref="L2:AX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  <mergeCell ref="S120:T120"/>
    <mergeCell ref="U120:V120"/>
    <mergeCell ref="W120:X120"/>
    <mergeCell ref="G118:K118"/>
    <mergeCell ref="L119:Q119"/>
    <mergeCell ref="L120:M120"/>
    <mergeCell ref="N120:O120"/>
    <mergeCell ref="P120:Q120"/>
    <mergeCell ref="Y120:Z120"/>
    <mergeCell ref="AA120:AB120"/>
    <mergeCell ref="AC120:AD120"/>
    <mergeCell ref="AE120:AF120"/>
    <mergeCell ref="AG120:AH12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U354"/>
  <sheetViews>
    <sheetView windowProtection="1" showGridLines="0" topLeftCell="A325" zoomScale="80" zoomScaleNormal="80" workbookViewId="0">
      <selection activeCell="P325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83203125" customWidth="1"/>
    <col min="13" max="13" width="14.6640625" customWidth="1"/>
    <col min="14" max="14" width="12.83203125" customWidth="1"/>
    <col min="15" max="15" width="15.33203125" customWidth="1"/>
    <col min="16" max="16" width="12.83203125" hidden="1" customWidth="1"/>
    <col min="17" max="17" width="16" hidden="1" customWidth="1"/>
    <col min="18" max="98" width="12.83203125" customWidth="1"/>
    <col min="99" max="99" width="10.83203125" customWidth="1"/>
    <col min="101" max="106" width="14.1640625" customWidth="1"/>
    <col min="107" max="107" width="16.33203125" customWidth="1"/>
    <col min="108" max="108" width="12.33203125" customWidth="1"/>
    <col min="109" max="109" width="16.33203125" customWidth="1"/>
    <col min="110" max="110" width="12.33203125" customWidth="1"/>
    <col min="111" max="111" width="15" customWidth="1"/>
    <col min="112" max="112" width="11" customWidth="1"/>
    <col min="113" max="113" width="15" customWidth="1"/>
    <col min="114" max="114" width="16.33203125" customWidth="1"/>
    <col min="115" max="115" width="11" customWidth="1"/>
    <col min="116" max="116" width="15" customWidth="1"/>
    <col min="117" max="117" width="16.33203125" customWidth="1"/>
    <col min="130" max="151" width="9.33203125" hidden="1"/>
  </cols>
  <sheetData>
    <row r="1" spans="2:132" hidden="1" x14ac:dyDescent="0.2"/>
    <row r="2" spans="2:132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9"/>
      <c r="CV2" s="399"/>
      <c r="CW2" s="399"/>
      <c r="CX2" s="399"/>
      <c r="CY2" s="399"/>
      <c r="CZ2" s="399"/>
      <c r="DA2" s="399"/>
      <c r="DB2" s="399"/>
      <c r="DC2" s="399"/>
      <c r="DD2" s="399"/>
      <c r="EB2" s="16" t="s">
        <v>127</v>
      </c>
    </row>
    <row r="3" spans="2:132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B3" s="16" t="s">
        <v>83</v>
      </c>
    </row>
    <row r="4" spans="2:132" ht="24.95" hidden="1" customHeight="1" x14ac:dyDescent="0.2">
      <c r="B4" s="19"/>
      <c r="D4" s="20" t="s">
        <v>243</v>
      </c>
      <c r="L4" s="19"/>
      <c r="CU4" s="79" t="s">
        <v>10</v>
      </c>
      <c r="EB4" s="16" t="s">
        <v>3</v>
      </c>
    </row>
    <row r="5" spans="2:132" ht="6.95" hidden="1" customHeight="1" x14ac:dyDescent="0.2">
      <c r="B5" s="19"/>
      <c r="L5" s="19"/>
    </row>
    <row r="6" spans="2:132" ht="12" hidden="1" customHeight="1" x14ac:dyDescent="0.2">
      <c r="B6" s="19"/>
      <c r="D6" s="26" t="s">
        <v>16</v>
      </c>
      <c r="L6" s="19"/>
    </row>
    <row r="7" spans="2:132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32" ht="12.75" hidden="1" x14ac:dyDescent="0.2">
      <c r="B8" s="19"/>
      <c r="D8" s="26" t="s">
        <v>244</v>
      </c>
      <c r="L8" s="19"/>
    </row>
    <row r="9" spans="2:132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32" ht="12" hidden="1" customHeight="1" x14ac:dyDescent="0.2">
      <c r="B10" s="19"/>
      <c r="D10" s="26" t="s">
        <v>246</v>
      </c>
      <c r="L10" s="19"/>
    </row>
    <row r="11" spans="2:132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32" s="1" customFormat="1" ht="12" hidden="1" customHeight="1" x14ac:dyDescent="0.2">
      <c r="B12" s="31"/>
      <c r="D12" s="26" t="s">
        <v>248</v>
      </c>
      <c r="L12" s="31"/>
    </row>
    <row r="13" spans="2:132" s="1" customFormat="1" ht="16.5" hidden="1" customHeight="1" x14ac:dyDescent="0.2">
      <c r="B13" s="31"/>
      <c r="E13" s="432" t="s">
        <v>1315</v>
      </c>
      <c r="F13" s="433"/>
      <c r="G13" s="433"/>
      <c r="H13" s="433"/>
      <c r="L13" s="31"/>
    </row>
    <row r="14" spans="2:132" s="1" customFormat="1" hidden="1" x14ac:dyDescent="0.2">
      <c r="B14" s="31"/>
      <c r="L14" s="31"/>
    </row>
    <row r="15" spans="2:132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32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417869.73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ROUND((SUM(EM121:EM353)),  2)</f>
        <v>417869.73</v>
      </c>
      <c r="I37" s="84">
        <v>0.21</v>
      </c>
      <c r="J37" s="71">
        <f>ROUND(((SUM(EM121:EM353))*I37),  2)</f>
        <v>87752.639999999999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ROUND((SUM(EN121:EN353)),  2)</f>
        <v>0</v>
      </c>
      <c r="I38" s="84">
        <v>0.15</v>
      </c>
      <c r="J38" s="71">
        <f>ROUND(((SUM(EN121:EN353))*I38),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ROUND((SUM(EO121:EO353)),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ROUND((SUM(EP121:EP353)),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ROUND((SUM(EQ121:EQ353)),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505622.37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00005 - DSO 01.1.1e Kanalizační odbočení Stoky A4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33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33" s="1" customFormat="1" ht="10.35" hidden="1" customHeight="1" x14ac:dyDescent="0.2">
      <c r="B98" s="31"/>
      <c r="L98" s="31"/>
    </row>
    <row r="99" spans="2:133" s="1" customFormat="1" ht="22.9" hidden="1" customHeight="1" x14ac:dyDescent="0.2">
      <c r="B99" s="31"/>
      <c r="C99" s="95" t="s">
        <v>256</v>
      </c>
      <c r="J99" s="58">
        <f>J121</f>
        <v>417869.73000000004</v>
      </c>
      <c r="L99" s="31"/>
      <c r="EC99" s="16" t="s">
        <v>257</v>
      </c>
    </row>
    <row r="100" spans="2:133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417869.73000000004</v>
      </c>
      <c r="L100" s="96"/>
    </row>
    <row r="101" spans="2:133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197918.28000000003</v>
      </c>
      <c r="L101" s="100"/>
    </row>
    <row r="102" spans="2:133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J254</f>
        <v>10298.66</v>
      </c>
      <c r="L102" s="100"/>
      <c r="AR102" s="309">
        <f>'Odbočení stoka A4'!O123</f>
        <v>-24257.700000000008</v>
      </c>
    </row>
    <row r="103" spans="2:133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J259</f>
        <v>9185.43</v>
      </c>
      <c r="L103" s="100"/>
    </row>
    <row r="104" spans="2:133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J275</f>
        <v>25788.730000000003</v>
      </c>
      <c r="L104" s="100"/>
    </row>
    <row r="105" spans="2:133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J287</f>
        <v>149926.51</v>
      </c>
      <c r="L105" s="100"/>
    </row>
    <row r="106" spans="2:133" s="8" customFormat="1" ht="19.899999999999999" hidden="1" customHeight="1" x14ac:dyDescent="0.2">
      <c r="B106" s="100"/>
      <c r="D106" s="101" t="s">
        <v>265</v>
      </c>
      <c r="E106" s="102"/>
      <c r="F106" s="102"/>
      <c r="G106" s="102"/>
      <c r="H106" s="102"/>
      <c r="I106" s="102"/>
      <c r="J106" s="103">
        <f>J329</f>
        <v>15969.41</v>
      </c>
      <c r="L106" s="100"/>
    </row>
    <row r="107" spans="2:133" s="8" customFormat="1" ht="19.899999999999999" hidden="1" customHeight="1" x14ac:dyDescent="0.2">
      <c r="B107" s="100"/>
      <c r="D107" s="101" t="s">
        <v>266</v>
      </c>
      <c r="E107" s="102"/>
      <c r="F107" s="102"/>
      <c r="G107" s="102"/>
      <c r="H107" s="102"/>
      <c r="I107" s="102"/>
      <c r="J107" s="103">
        <f>J349</f>
        <v>8782.7099999999991</v>
      </c>
      <c r="L107" s="100"/>
    </row>
    <row r="108" spans="2:133" s="1" customFormat="1" ht="21.75" hidden="1" customHeight="1" x14ac:dyDescent="0.2">
      <c r="B108" s="31"/>
      <c r="L108" s="31"/>
    </row>
    <row r="109" spans="2:133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0" spans="2:133" hidden="1" x14ac:dyDescent="0.2"/>
    <row r="111" spans="2:133" hidden="1" x14ac:dyDescent="0.2"/>
    <row r="113" spans="2:151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151" s="1" customFormat="1" ht="24.95" customHeight="1" x14ac:dyDescent="0.2">
      <c r="B114" s="31"/>
      <c r="C114" s="20" t="s">
        <v>3330</v>
      </c>
      <c r="L114" s="31"/>
    </row>
    <row r="115" spans="2:151" s="1" customFormat="1" ht="6.95" customHeight="1" x14ac:dyDescent="0.2">
      <c r="B115" s="31"/>
      <c r="L115" s="31"/>
    </row>
    <row r="116" spans="2:151" s="1" customFormat="1" ht="16.5" customHeight="1" x14ac:dyDescent="0.2">
      <c r="B116" s="31"/>
      <c r="E116" s="432" t="str">
        <f>E13</f>
        <v>00005 - DSO 01.1.1e Kanalizační odbočení Stoky A4</v>
      </c>
      <c r="F116" s="433"/>
      <c r="G116" s="433"/>
      <c r="H116" s="433"/>
      <c r="L116" s="31"/>
    </row>
    <row r="117" spans="2:151" s="1" customFormat="1" ht="12.75" customHeight="1" x14ac:dyDescent="0.2">
      <c r="B117" s="31"/>
      <c r="L117" s="31"/>
    </row>
    <row r="118" spans="2:151" s="1" customFormat="1" ht="15.2" customHeight="1" x14ac:dyDescent="0.2">
      <c r="B118" s="31"/>
      <c r="C118" s="26"/>
      <c r="F118" s="24"/>
      <c r="I118" s="26"/>
      <c r="J118" s="29"/>
      <c r="L118" s="31"/>
    </row>
    <row r="119" spans="2:151" s="1" customFormat="1" ht="19.5" customHeight="1" x14ac:dyDescent="0.2">
      <c r="B119" s="31"/>
      <c r="I119" s="430" t="s">
        <v>3305</v>
      </c>
      <c r="J119" s="430"/>
      <c r="K119" s="431"/>
      <c r="L119" s="31"/>
    </row>
    <row r="120" spans="2:151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CU120" s="52" t="s">
        <v>1</v>
      </c>
      <c r="CV120" s="53" t="s">
        <v>39</v>
      </c>
      <c r="CW120" s="53" t="s">
        <v>273</v>
      </c>
      <c r="CX120" s="53" t="s">
        <v>274</v>
      </c>
      <c r="CY120" s="53" t="s">
        <v>275</v>
      </c>
      <c r="CZ120" s="53" t="s">
        <v>276</v>
      </c>
      <c r="DA120" s="53" t="s">
        <v>277</v>
      </c>
      <c r="DB120" s="54" t="s">
        <v>278</v>
      </c>
    </row>
    <row r="121" spans="2:151" s="1" customFormat="1" ht="22.9" customHeight="1" x14ac:dyDescent="0.25">
      <c r="B121" s="31"/>
      <c r="C121" s="57" t="s">
        <v>279</v>
      </c>
      <c r="G121" s="1" t="s">
        <v>3306</v>
      </c>
      <c r="J121" s="108">
        <f>ES121</f>
        <v>417869.73000000004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3319</v>
      </c>
      <c r="X121" s="444"/>
      <c r="Y121" s="444" t="s">
        <v>3320</v>
      </c>
      <c r="Z121" s="444"/>
      <c r="AA121" s="444" t="s">
        <v>3321</v>
      </c>
      <c r="AB121" s="444"/>
      <c r="AC121" s="444" t="s">
        <v>3322</v>
      </c>
      <c r="AD121" s="444"/>
      <c r="AE121" s="444" t="s">
        <v>3323</v>
      </c>
      <c r="AF121" s="444"/>
      <c r="AG121" s="444" t="s">
        <v>3324</v>
      </c>
      <c r="AH121" s="444"/>
      <c r="AI121" s="444" t="s">
        <v>3325</v>
      </c>
      <c r="AJ121" s="444"/>
      <c r="AK121" s="444" t="s">
        <v>3326</v>
      </c>
      <c r="AL121" s="444"/>
      <c r="AM121" s="444" t="s">
        <v>3327</v>
      </c>
      <c r="AN121" s="445"/>
      <c r="CU121" s="55"/>
      <c r="CV121" s="49"/>
      <c r="CW121" s="49"/>
      <c r="CX121" s="109">
        <f>CX122</f>
        <v>0</v>
      </c>
      <c r="CY121" s="49"/>
      <c r="CZ121" s="109">
        <f>CZ122</f>
        <v>146.026974</v>
      </c>
      <c r="DA121" s="49"/>
      <c r="DB121" s="110">
        <f>DB122</f>
        <v>44.155799999999999</v>
      </c>
      <c r="EB121" s="16" t="s">
        <v>73</v>
      </c>
      <c r="EC121" s="16" t="s">
        <v>257</v>
      </c>
      <c r="ES121" s="111">
        <f>ES122</f>
        <v>417869.73000000004</v>
      </c>
    </row>
    <row r="122" spans="2:151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ES122</f>
        <v>417869.73000000004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4" t="s">
        <v>3328</v>
      </c>
      <c r="AI122" s="194" t="s">
        <v>270</v>
      </c>
      <c r="AJ122" s="194" t="s">
        <v>3328</v>
      </c>
      <c r="AK122" s="194" t="s">
        <v>270</v>
      </c>
      <c r="AL122" s="194" t="s">
        <v>3328</v>
      </c>
      <c r="AM122" s="194" t="s">
        <v>270</v>
      </c>
      <c r="AN122" s="195" t="s">
        <v>3328</v>
      </c>
      <c r="CU122" s="117"/>
      <c r="CX122" s="118">
        <f>CX124+CX254+CX259+CX275+CX287+CX329+CX349</f>
        <v>0</v>
      </c>
      <c r="CZ122" s="118">
        <f>CZ124+CZ254+CZ259+CZ275+CZ287+CZ329+CZ349</f>
        <v>146.026974</v>
      </c>
      <c r="DB122" s="119">
        <f>DB124+DB254+DB259+DB275+DB287+DB329+DB349</f>
        <v>44.155799999999999</v>
      </c>
      <c r="DZ122" s="113" t="s">
        <v>81</v>
      </c>
      <c r="EB122" s="120" t="s">
        <v>73</v>
      </c>
      <c r="EC122" s="120" t="s">
        <v>74</v>
      </c>
      <c r="EG122" s="113" t="s">
        <v>282</v>
      </c>
      <c r="ES122" s="121">
        <f>ES124+ES254+ES259+ES275+ES287+ES329+ES349</f>
        <v>417869.73000000004</v>
      </c>
    </row>
    <row r="123" spans="2:151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M124+M254+M259+M275+M287+M329+M349</f>
        <v>0</v>
      </c>
      <c r="N123" s="192"/>
      <c r="O123" s="192">
        <f t="shared" ref="O123:Q123" si="0">O124+O254+O259+O275+O287+O329+O349</f>
        <v>-24257.700000000008</v>
      </c>
      <c r="P123" s="192"/>
      <c r="Q123" s="192">
        <f t="shared" si="0"/>
        <v>442127.39999999997</v>
      </c>
      <c r="S123" s="196"/>
      <c r="T123" s="197">
        <f>T124+T254+T259+T275+T287+T329+T349</f>
        <v>0</v>
      </c>
      <c r="U123" s="197"/>
      <c r="V123" s="197">
        <f t="shared" ref="V123:AN123" si="1">V124+V254+V259+V275+V287+V329+V349</f>
        <v>417869.73000000004</v>
      </c>
      <c r="W123" s="197"/>
      <c r="X123" s="197">
        <f t="shared" si="1"/>
        <v>0</v>
      </c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AE123" s="197"/>
      <c r="AF123" s="197">
        <f t="shared" si="1"/>
        <v>0</v>
      </c>
      <c r="AG123" s="197"/>
      <c r="AH123" s="197">
        <f t="shared" si="1"/>
        <v>0</v>
      </c>
      <c r="AI123" s="197"/>
      <c r="AJ123" s="197">
        <f t="shared" si="1"/>
        <v>0</v>
      </c>
      <c r="AK123" s="197"/>
      <c r="AL123" s="197">
        <f t="shared" si="1"/>
        <v>0</v>
      </c>
      <c r="AM123" s="197"/>
      <c r="AN123" s="242">
        <f t="shared" si="1"/>
        <v>0</v>
      </c>
      <c r="CU123" s="117"/>
      <c r="CX123" s="118"/>
      <c r="CZ123" s="118"/>
      <c r="DB123" s="119"/>
      <c r="DZ123" s="113"/>
      <c r="EB123" s="120"/>
      <c r="EC123" s="120"/>
      <c r="EG123" s="113"/>
      <c r="ES123" s="121"/>
    </row>
    <row r="124" spans="2:151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ES124</f>
        <v>197918.28000000003</v>
      </c>
      <c r="L124" s="112"/>
      <c r="M124" s="291">
        <f>SUM(M125:M251)</f>
        <v>0</v>
      </c>
      <c r="N124" s="292"/>
      <c r="O124" s="293">
        <f t="shared" ref="O124:V124" si="2">SUM(O125:O251)</f>
        <v>-16745.510000000002</v>
      </c>
      <c r="P124" s="291"/>
      <c r="Q124" s="297">
        <f t="shared" si="2"/>
        <v>214663.74999999997</v>
      </c>
      <c r="R124" s="291"/>
      <c r="S124" s="291"/>
      <c r="T124" s="291">
        <f t="shared" si="2"/>
        <v>0</v>
      </c>
      <c r="U124" s="291"/>
      <c r="V124" s="291">
        <f t="shared" si="2"/>
        <v>197918.28000000003</v>
      </c>
      <c r="CU124" s="117"/>
      <c r="CX124" s="118">
        <f>SUM(CX125:CX253)</f>
        <v>0</v>
      </c>
      <c r="CZ124" s="118">
        <f>SUM(CZ125:CZ253)</f>
        <v>136.421244</v>
      </c>
      <c r="DB124" s="119">
        <f>SUM(DB125:DB253)</f>
        <v>44.155799999999999</v>
      </c>
      <c r="DZ124" s="113" t="s">
        <v>81</v>
      </c>
      <c r="EB124" s="120" t="s">
        <v>73</v>
      </c>
      <c r="EC124" s="120" t="s">
        <v>81</v>
      </c>
      <c r="EG124" s="113" t="s">
        <v>282</v>
      </c>
      <c r="ES124" s="121">
        <f>SUM(ES125:ES253)</f>
        <v>197918.28000000003</v>
      </c>
    </row>
    <row r="125" spans="2:151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35.1</v>
      </c>
      <c r="I125" s="130">
        <v>68.767172335543137</v>
      </c>
      <c r="J125" s="131">
        <f>ROUND(I125*H125,2)</f>
        <v>2413.73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N127</f>
        <v>-2.9160000000000039</v>
      </c>
      <c r="O125" s="294">
        <f>ROUND(N125*I125,2)</f>
        <v>-200.53</v>
      </c>
      <c r="P125" s="273">
        <f>H125-L125-N125</f>
        <v>38.016000000000005</v>
      </c>
      <c r="Q125" s="287">
        <f>ROUND(P125*I125,2)</f>
        <v>2614.25</v>
      </c>
      <c r="R125" s="137"/>
      <c r="S125" s="269">
        <f>W125+Y125+AA125+AC125+AE125+AG125+AI125+AK125+AM125</f>
        <v>0</v>
      </c>
      <c r="T125" s="269">
        <f>ROUND(S125*I125,2)</f>
        <v>0</v>
      </c>
      <c r="U125" s="269">
        <f>H125-S125</f>
        <v>35.1</v>
      </c>
      <c r="V125" s="269">
        <f>ROUND(U125*I125,2)</f>
        <v>2413.73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CU125" s="132" t="s">
        <v>1</v>
      </c>
      <c r="CV125" s="133" t="s">
        <v>40</v>
      </c>
      <c r="CX125" s="134">
        <f>CW125*H125</f>
        <v>0</v>
      </c>
      <c r="CY125" s="134">
        <v>0</v>
      </c>
      <c r="CZ125" s="134">
        <f>CY125*H125</f>
        <v>0</v>
      </c>
      <c r="DA125" s="134">
        <v>0.57999999999999996</v>
      </c>
      <c r="DB125" s="135">
        <f>DA125*H125</f>
        <v>20.358000000000001</v>
      </c>
      <c r="DZ125" s="136" t="s">
        <v>95</v>
      </c>
      <c r="EB125" s="136" t="s">
        <v>284</v>
      </c>
      <c r="EC125" s="136" t="s">
        <v>83</v>
      </c>
      <c r="EG125" s="16" t="s">
        <v>282</v>
      </c>
      <c r="EM125" s="137">
        <f>IF(CV125="základní",J125,0)</f>
        <v>2413.73</v>
      </c>
      <c r="EN125" s="137">
        <f>IF(CV125="snížená",J125,0)</f>
        <v>0</v>
      </c>
      <c r="EO125" s="137">
        <f>IF(CV125="zákl. přenesená",J125,0)</f>
        <v>0</v>
      </c>
      <c r="EP125" s="137">
        <f>IF(CV125="sníž. přenesená",J125,0)</f>
        <v>0</v>
      </c>
      <c r="EQ125" s="137">
        <f>IF(CV125="nulová",J125,0)</f>
        <v>0</v>
      </c>
      <c r="ER125" s="16" t="s">
        <v>81</v>
      </c>
      <c r="ES125" s="137">
        <f>ROUND(I125*H125,2)</f>
        <v>2413.73</v>
      </c>
      <c r="ET125" s="16" t="s">
        <v>95</v>
      </c>
      <c r="EU125" s="136" t="s">
        <v>288</v>
      </c>
    </row>
    <row r="126" spans="2:151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CU126" s="141"/>
      <c r="DB126" s="50"/>
      <c r="EB126" s="16" t="s">
        <v>289</v>
      </c>
      <c r="EC126" s="16" t="s">
        <v>83</v>
      </c>
    </row>
    <row r="127" spans="2:151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35.1</v>
      </c>
      <c r="I127" s="130">
        <v>68.767172335543137</v>
      </c>
      <c r="J127" s="131">
        <f>ROUND(I127*H127,2)</f>
        <v>2413.73</v>
      </c>
      <c r="K127" s="127" t="s">
        <v>293</v>
      </c>
      <c r="L127" s="268">
        <f>S127</f>
        <v>0</v>
      </c>
      <c r="M127" s="272">
        <f>ROUND(L127*I127,2)</f>
        <v>0</v>
      </c>
      <c r="N127" s="243">
        <f>N129</f>
        <v>-2.9160000000000039</v>
      </c>
      <c r="O127" s="294">
        <f>ROUND(N127*I127,2)</f>
        <v>-200.53</v>
      </c>
      <c r="P127" s="273">
        <f>H127-L127-N127</f>
        <v>38.016000000000005</v>
      </c>
      <c r="Q127" s="287">
        <f>ROUND(P127*I127,2)</f>
        <v>2614.25</v>
      </c>
      <c r="R127" s="137"/>
      <c r="S127" s="269">
        <f>W127+Y127+AA127+AC127+AE127+AG127+AI127+AK127+AM127</f>
        <v>0</v>
      </c>
      <c r="T127" s="269">
        <f>ROUND(S127*I127,2)</f>
        <v>0</v>
      </c>
      <c r="U127" s="269">
        <f>H127-S127</f>
        <v>35.1</v>
      </c>
      <c r="V127" s="269">
        <f>ROUND(U127*I127,2)</f>
        <v>2413.73</v>
      </c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CU127" s="132" t="s">
        <v>1</v>
      </c>
      <c r="CV127" s="133" t="s">
        <v>40</v>
      </c>
      <c r="CX127" s="134">
        <f>CW127*H127</f>
        <v>0</v>
      </c>
      <c r="CY127" s="134">
        <v>0</v>
      </c>
      <c r="CZ127" s="134">
        <f>CY127*H127</f>
        <v>0</v>
      </c>
      <c r="DA127" s="134">
        <v>0.57999999999999996</v>
      </c>
      <c r="DB127" s="135">
        <f>DA127*H127</f>
        <v>20.358000000000001</v>
      </c>
      <c r="DZ127" s="136" t="s">
        <v>95</v>
      </c>
      <c r="EB127" s="136" t="s">
        <v>284</v>
      </c>
      <c r="EC127" s="136" t="s">
        <v>83</v>
      </c>
      <c r="EG127" s="16" t="s">
        <v>282</v>
      </c>
      <c r="EM127" s="137">
        <f>IF(CV127="základní",J127,0)</f>
        <v>2413.73</v>
      </c>
      <c r="EN127" s="137">
        <f>IF(CV127="snížená",J127,0)</f>
        <v>0</v>
      </c>
      <c r="EO127" s="137">
        <f>IF(CV127="zákl. přenesená",J127,0)</f>
        <v>0</v>
      </c>
      <c r="EP127" s="137">
        <f>IF(CV127="sníž. přenesená",J127,0)</f>
        <v>0</v>
      </c>
      <c r="EQ127" s="137">
        <f>IF(CV127="nulová",J127,0)</f>
        <v>0</v>
      </c>
      <c r="ER127" s="16" t="s">
        <v>81</v>
      </c>
      <c r="ES127" s="137">
        <f>ROUND(I127*H127,2)</f>
        <v>2413.73</v>
      </c>
      <c r="ET127" s="16" t="s">
        <v>95</v>
      </c>
      <c r="EU127" s="136" t="s">
        <v>294</v>
      </c>
    </row>
    <row r="128" spans="2:151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CU128" s="141"/>
      <c r="DB128" s="50"/>
      <c r="EB128" s="16" t="s">
        <v>289</v>
      </c>
      <c r="EC128" s="16" t="s">
        <v>83</v>
      </c>
    </row>
    <row r="129" spans="2:151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732</v>
      </c>
      <c r="G129" s="128" t="s">
        <v>287</v>
      </c>
      <c r="H129" s="129">
        <v>35.1</v>
      </c>
      <c r="I129" s="130">
        <v>27.886826761540966</v>
      </c>
      <c r="J129" s="131">
        <f>ROUND(I129*H129,2)</f>
        <v>978.83</v>
      </c>
      <c r="K129" s="127" t="s">
        <v>293</v>
      </c>
      <c r="L129" s="268">
        <f>S129</f>
        <v>0</v>
      </c>
      <c r="M129" s="272">
        <f>ROUND(L129*I129,2)</f>
        <v>0</v>
      </c>
      <c r="N129" s="243">
        <f>N135</f>
        <v>-2.9160000000000039</v>
      </c>
      <c r="O129" s="294">
        <f>ROUND(N129*I129,2)</f>
        <v>-81.319999999999993</v>
      </c>
      <c r="P129" s="273">
        <f>H129-L129-N129</f>
        <v>38.016000000000005</v>
      </c>
      <c r="Q129" s="287">
        <f>ROUND(P129*I129,2)</f>
        <v>1060.1500000000001</v>
      </c>
      <c r="R129" s="137"/>
      <c r="S129" s="269">
        <f>W129+Y129+AA129+AC129+AE129+AG129+AI129+AK129+AM129</f>
        <v>0</v>
      </c>
      <c r="T129" s="269">
        <f>ROUND(S129*I129,2)</f>
        <v>0</v>
      </c>
      <c r="U129" s="269">
        <f>H129-S129</f>
        <v>35.1</v>
      </c>
      <c r="V129" s="269">
        <f>ROUND(U129*I129,2)</f>
        <v>978.83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CU129" s="132" t="s">
        <v>1</v>
      </c>
      <c r="CV129" s="133" t="s">
        <v>40</v>
      </c>
      <c r="CX129" s="134">
        <f>CW129*H129</f>
        <v>0</v>
      </c>
      <c r="CY129" s="134">
        <v>0</v>
      </c>
      <c r="CZ129" s="134">
        <f>CY129*H129</f>
        <v>0</v>
      </c>
      <c r="DA129" s="134">
        <v>9.8000000000000004E-2</v>
      </c>
      <c r="DB129" s="135">
        <f>DA129*H129</f>
        <v>3.4398000000000004</v>
      </c>
      <c r="DZ129" s="136" t="s">
        <v>95</v>
      </c>
      <c r="EB129" s="136" t="s">
        <v>284</v>
      </c>
      <c r="EC129" s="136" t="s">
        <v>83</v>
      </c>
      <c r="EG129" s="16" t="s">
        <v>282</v>
      </c>
      <c r="EM129" s="137">
        <f>IF(CV129="základní",J129,0)</f>
        <v>978.83</v>
      </c>
      <c r="EN129" s="137">
        <f>IF(CV129="snížená",J129,0)</f>
        <v>0</v>
      </c>
      <c r="EO129" s="137">
        <f>IF(CV129="zákl. přenesená",J129,0)</f>
        <v>0</v>
      </c>
      <c r="EP129" s="137">
        <f>IF(CV129="sníž. přenesená",J129,0)</f>
        <v>0</v>
      </c>
      <c r="EQ129" s="137">
        <f>IF(CV129="nulová",J129,0)</f>
        <v>0</v>
      </c>
      <c r="ER129" s="16" t="s">
        <v>81</v>
      </c>
      <c r="ES129" s="137">
        <f>ROUND(I129*H129,2)</f>
        <v>978.83</v>
      </c>
      <c r="ET129" s="16" t="s">
        <v>95</v>
      </c>
      <c r="EU129" s="136" t="s">
        <v>297</v>
      </c>
    </row>
    <row r="130" spans="2:151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CU130" s="141"/>
      <c r="DB130" s="50"/>
      <c r="EB130" s="16" t="s">
        <v>289</v>
      </c>
      <c r="EC130" s="16" t="s">
        <v>83</v>
      </c>
    </row>
    <row r="131" spans="2:151" s="1" customFormat="1" ht="29.25" x14ac:dyDescent="0.2">
      <c r="B131" s="31"/>
      <c r="D131" s="138" t="s">
        <v>299</v>
      </c>
      <c r="F131" s="142" t="s">
        <v>1083</v>
      </c>
      <c r="I131" s="140"/>
      <c r="L131" s="31"/>
      <c r="N131" s="213"/>
      <c r="O131" s="214"/>
      <c r="Q131" s="229"/>
      <c r="CU131" s="141"/>
      <c r="DB131" s="50"/>
      <c r="EB131" s="16" t="s">
        <v>299</v>
      </c>
      <c r="EC131" s="16" t="s">
        <v>83</v>
      </c>
    </row>
    <row r="132" spans="2:151" s="11" customFormat="1" x14ac:dyDescent="0.2">
      <c r="B132" s="143"/>
      <c r="D132" s="138" t="s">
        <v>301</v>
      </c>
      <c r="E132" s="144" t="s">
        <v>1</v>
      </c>
      <c r="F132" s="145" t="s">
        <v>1084</v>
      </c>
      <c r="H132" s="144" t="s">
        <v>1</v>
      </c>
      <c r="I132" s="146"/>
      <c r="L132" s="143"/>
      <c r="N132" s="215"/>
      <c r="O132" s="216"/>
      <c r="Q132" s="230"/>
      <c r="CU132" s="147"/>
      <c r="DB132" s="148"/>
      <c r="EB132" s="144" t="s">
        <v>301</v>
      </c>
      <c r="EC132" s="144" t="s">
        <v>83</v>
      </c>
      <c r="ED132" s="11" t="s">
        <v>81</v>
      </c>
      <c r="EE132" s="11" t="s">
        <v>32</v>
      </c>
      <c r="EF132" s="11" t="s">
        <v>74</v>
      </c>
      <c r="EG132" s="144" t="s">
        <v>282</v>
      </c>
    </row>
    <row r="133" spans="2:151" s="11" customFormat="1" x14ac:dyDescent="0.2">
      <c r="B133" s="143"/>
      <c r="D133" s="138" t="s">
        <v>301</v>
      </c>
      <c r="E133" s="144" t="s">
        <v>1</v>
      </c>
      <c r="F133" s="145" t="s">
        <v>302</v>
      </c>
      <c r="H133" s="144" t="s">
        <v>1</v>
      </c>
      <c r="I133" s="146"/>
      <c r="L133" s="143"/>
      <c r="N133" s="215"/>
      <c r="O133" s="216"/>
      <c r="Q133" s="230"/>
      <c r="CU133" s="147"/>
      <c r="DB133" s="148"/>
      <c r="EB133" s="144" t="s">
        <v>301</v>
      </c>
      <c r="EC133" s="144" t="s">
        <v>83</v>
      </c>
      <c r="ED133" s="11" t="s">
        <v>81</v>
      </c>
      <c r="EE133" s="11" t="s">
        <v>32</v>
      </c>
      <c r="EF133" s="11" t="s">
        <v>74</v>
      </c>
      <c r="EG133" s="144" t="s">
        <v>282</v>
      </c>
    </row>
    <row r="134" spans="2:151" s="12" customFormat="1" x14ac:dyDescent="0.2">
      <c r="B134" s="149"/>
      <c r="D134" s="138" t="s">
        <v>301</v>
      </c>
      <c r="E134" s="150" t="s">
        <v>1</v>
      </c>
      <c r="F134" s="151" t="s">
        <v>1316</v>
      </c>
      <c r="H134" s="152">
        <v>35.1</v>
      </c>
      <c r="I134" s="153"/>
      <c r="L134" s="149"/>
      <c r="N134" s="217">
        <f>35.76*1*0.9</f>
        <v>32.183999999999997</v>
      </c>
      <c r="O134" s="218" t="s">
        <v>3711</v>
      </c>
      <c r="Q134" s="231"/>
      <c r="CU134" s="154"/>
      <c r="DB134" s="155"/>
      <c r="EB134" s="150" t="s">
        <v>301</v>
      </c>
      <c r="EC134" s="150" t="s">
        <v>83</v>
      </c>
      <c r="ED134" s="12" t="s">
        <v>83</v>
      </c>
      <c r="EE134" s="12" t="s">
        <v>32</v>
      </c>
      <c r="EF134" s="12" t="s">
        <v>81</v>
      </c>
      <c r="EG134" s="150" t="s">
        <v>282</v>
      </c>
    </row>
    <row r="135" spans="2:151" s="12" customFormat="1" x14ac:dyDescent="0.2">
      <c r="B135" s="149"/>
      <c r="D135" s="138"/>
      <c r="E135" s="150"/>
      <c r="F135" s="151"/>
      <c r="H135" s="152"/>
      <c r="I135" s="153"/>
      <c r="L135" s="149"/>
      <c r="N135" s="310">
        <f>N134-H134</f>
        <v>-2.9160000000000039</v>
      </c>
      <c r="O135" s="218"/>
      <c r="Q135" s="231"/>
      <c r="CU135" s="154"/>
      <c r="DB135" s="155"/>
      <c r="EB135" s="150"/>
      <c r="EC135" s="150"/>
      <c r="EG135" s="150"/>
    </row>
    <row r="136" spans="2:151" s="1" customFormat="1" ht="24.2" customHeight="1" x14ac:dyDescent="0.2">
      <c r="B136" s="124"/>
      <c r="C136" s="125" t="s">
        <v>95</v>
      </c>
      <c r="D136" s="125" t="s">
        <v>284</v>
      </c>
      <c r="E136" s="126" t="s">
        <v>958</v>
      </c>
      <c r="F136" s="127" t="s">
        <v>959</v>
      </c>
      <c r="G136" s="128" t="s">
        <v>287</v>
      </c>
      <c r="H136" s="129">
        <v>11.7</v>
      </c>
      <c r="I136" s="130">
        <v>23.091823190584471</v>
      </c>
      <c r="J136" s="131">
        <f>ROUND(I136*H136,2)</f>
        <v>270.17</v>
      </c>
      <c r="K136" s="127" t="s">
        <v>293</v>
      </c>
      <c r="L136" s="268">
        <f>S136</f>
        <v>0</v>
      </c>
      <c r="M136" s="272">
        <f>ROUND(L136*I136,2)</f>
        <v>0</v>
      </c>
      <c r="N136" s="243">
        <f>N141</f>
        <v>-0.97199999999999775</v>
      </c>
      <c r="O136" s="294">
        <f>ROUND(N136*I136,2)</f>
        <v>-22.45</v>
      </c>
      <c r="P136" s="273">
        <f>H136-L136-N136</f>
        <v>12.671999999999997</v>
      </c>
      <c r="Q136" s="287">
        <f>ROUND(P136*I136,2)</f>
        <v>292.62</v>
      </c>
      <c r="R136" s="137"/>
      <c r="S136" s="269">
        <f>W136+Y136+AA136+AC136+AE136+AG136+AI136+AK136+AM136</f>
        <v>0</v>
      </c>
      <c r="T136" s="269">
        <f>ROUND(S136*I136,2)</f>
        <v>0</v>
      </c>
      <c r="U136" s="269">
        <f>H136-S136</f>
        <v>11.7</v>
      </c>
      <c r="V136" s="269">
        <f>ROUND(U136*I136,2)</f>
        <v>270.17</v>
      </c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CU136" s="132" t="s">
        <v>1</v>
      </c>
      <c r="CV136" s="133" t="s">
        <v>40</v>
      </c>
      <c r="CX136" s="134">
        <f>CW136*H136</f>
        <v>0</v>
      </c>
      <c r="CY136" s="134">
        <v>0</v>
      </c>
      <c r="CZ136" s="134">
        <f>CY136*H136</f>
        <v>0</v>
      </c>
      <c r="DA136" s="134">
        <v>0</v>
      </c>
      <c r="DB136" s="135">
        <f>DA136*H136</f>
        <v>0</v>
      </c>
      <c r="DZ136" s="136" t="s">
        <v>95</v>
      </c>
      <c r="EB136" s="136" t="s">
        <v>284</v>
      </c>
      <c r="EC136" s="136" t="s">
        <v>83</v>
      </c>
      <c r="EG136" s="16" t="s">
        <v>282</v>
      </c>
      <c r="EM136" s="137">
        <f>IF(CV136="základní",J136,0)</f>
        <v>270.17</v>
      </c>
      <c r="EN136" s="137">
        <f>IF(CV136="snížená",J136,0)</f>
        <v>0</v>
      </c>
      <c r="EO136" s="137">
        <f>IF(CV136="zákl. přenesená",J136,0)</f>
        <v>0</v>
      </c>
      <c r="EP136" s="137">
        <f>IF(CV136="sníž. přenesená",J136,0)</f>
        <v>0</v>
      </c>
      <c r="EQ136" s="137">
        <f>IF(CV136="nulová",J136,0)</f>
        <v>0</v>
      </c>
      <c r="ER136" s="16" t="s">
        <v>81</v>
      </c>
      <c r="ES136" s="137">
        <f>ROUND(I136*H136,2)</f>
        <v>270.17</v>
      </c>
      <c r="ET136" s="16" t="s">
        <v>95</v>
      </c>
      <c r="EU136" s="136" t="s">
        <v>960</v>
      </c>
    </row>
    <row r="137" spans="2:151" s="1" customFormat="1" ht="19.5" x14ac:dyDescent="0.2">
      <c r="B137" s="31"/>
      <c r="D137" s="138" t="s">
        <v>289</v>
      </c>
      <c r="F137" s="139" t="s">
        <v>961</v>
      </c>
      <c r="I137" s="140"/>
      <c r="L137" s="31"/>
      <c r="N137" s="213"/>
      <c r="O137" s="214"/>
      <c r="Q137" s="229"/>
      <c r="CU137" s="141"/>
      <c r="DB137" s="50"/>
      <c r="EB137" s="16" t="s">
        <v>289</v>
      </c>
      <c r="EC137" s="16" t="s">
        <v>83</v>
      </c>
    </row>
    <row r="138" spans="2:151" s="1" customFormat="1" ht="29.25" x14ac:dyDescent="0.2">
      <c r="B138" s="31"/>
      <c r="D138" s="138" t="s">
        <v>299</v>
      </c>
      <c r="F138" s="142" t="s">
        <v>1083</v>
      </c>
      <c r="I138" s="140"/>
      <c r="L138" s="31"/>
      <c r="N138" s="213"/>
      <c r="O138" s="214"/>
      <c r="Q138" s="229"/>
      <c r="CU138" s="141"/>
      <c r="DB138" s="50"/>
      <c r="EB138" s="16" t="s">
        <v>299</v>
      </c>
      <c r="EC138" s="16" t="s">
        <v>83</v>
      </c>
    </row>
    <row r="139" spans="2:151" s="11" customFormat="1" x14ac:dyDescent="0.2">
      <c r="B139" s="143"/>
      <c r="D139" s="138" t="s">
        <v>301</v>
      </c>
      <c r="E139" s="144" t="s">
        <v>1</v>
      </c>
      <c r="F139" s="145" t="s">
        <v>1088</v>
      </c>
      <c r="H139" s="144" t="s">
        <v>1</v>
      </c>
      <c r="I139" s="146"/>
      <c r="L139" s="143"/>
      <c r="N139" s="215"/>
      <c r="O139" s="216"/>
      <c r="Q139" s="230"/>
      <c r="CU139" s="147"/>
      <c r="DB139" s="148"/>
      <c r="EB139" s="144" t="s">
        <v>301</v>
      </c>
      <c r="EC139" s="144" t="s">
        <v>83</v>
      </c>
      <c r="ED139" s="11" t="s">
        <v>81</v>
      </c>
      <c r="EE139" s="11" t="s">
        <v>32</v>
      </c>
      <c r="EF139" s="11" t="s">
        <v>74</v>
      </c>
      <c r="EG139" s="144" t="s">
        <v>282</v>
      </c>
    </row>
    <row r="140" spans="2:151" s="12" customFormat="1" x14ac:dyDescent="0.2">
      <c r="B140" s="149"/>
      <c r="D140" s="138" t="s">
        <v>301</v>
      </c>
      <c r="E140" s="150" t="s">
        <v>1</v>
      </c>
      <c r="F140" s="151" t="s">
        <v>1317</v>
      </c>
      <c r="H140" s="152">
        <v>11.7</v>
      </c>
      <c r="I140" s="153"/>
      <c r="L140" s="149"/>
      <c r="N140" s="217">
        <f>35.76*3*0.1</f>
        <v>10.728000000000002</v>
      </c>
      <c r="O140" s="218" t="s">
        <v>3712</v>
      </c>
      <c r="Q140" s="231"/>
      <c r="CU140" s="154"/>
      <c r="DB140" s="155"/>
      <c r="EB140" s="150" t="s">
        <v>301</v>
      </c>
      <c r="EC140" s="150" t="s">
        <v>83</v>
      </c>
      <c r="ED140" s="12" t="s">
        <v>83</v>
      </c>
      <c r="EE140" s="12" t="s">
        <v>32</v>
      </c>
      <c r="EF140" s="12" t="s">
        <v>81</v>
      </c>
      <c r="EG140" s="150" t="s">
        <v>282</v>
      </c>
    </row>
    <row r="141" spans="2:151" s="12" customFormat="1" x14ac:dyDescent="0.2">
      <c r="B141" s="149"/>
      <c r="D141" s="138"/>
      <c r="E141" s="150"/>
      <c r="F141" s="151"/>
      <c r="H141" s="152"/>
      <c r="I141" s="153"/>
      <c r="L141" s="149"/>
      <c r="N141" s="310">
        <f>N140-H140</f>
        <v>-0.97199999999999775</v>
      </c>
      <c r="O141" s="218"/>
      <c r="Q141" s="231"/>
      <c r="CU141" s="154"/>
      <c r="DB141" s="155"/>
      <c r="EB141" s="150"/>
      <c r="EC141" s="150"/>
      <c r="EG141" s="150"/>
    </row>
    <row r="142" spans="2:151" s="1" customFormat="1" ht="24.2" customHeight="1" x14ac:dyDescent="0.2">
      <c r="B142" s="124"/>
      <c r="C142" s="125" t="s">
        <v>312</v>
      </c>
      <c r="D142" s="125" t="s">
        <v>284</v>
      </c>
      <c r="E142" s="126" t="s">
        <v>364</v>
      </c>
      <c r="F142" s="127" t="s">
        <v>365</v>
      </c>
      <c r="G142" s="128" t="s">
        <v>366</v>
      </c>
      <c r="H142" s="129">
        <v>34.808</v>
      </c>
      <c r="I142" s="130">
        <v>285.201942457955</v>
      </c>
      <c r="J142" s="131">
        <f>ROUND(I142*H142,2)</f>
        <v>9927.31</v>
      </c>
      <c r="K142" s="127" t="s">
        <v>293</v>
      </c>
      <c r="L142" s="268">
        <f>S142</f>
        <v>0</v>
      </c>
      <c r="M142" s="272">
        <f>ROUND(L142*I142,2)</f>
        <v>0</v>
      </c>
      <c r="N142" s="243">
        <f>N151</f>
        <v>-2.892199999999999</v>
      </c>
      <c r="O142" s="294">
        <f>ROUND(N142*I142,2)</f>
        <v>-824.86</v>
      </c>
      <c r="P142" s="273">
        <f>H142-L142-N142</f>
        <v>37.700199999999995</v>
      </c>
      <c r="Q142" s="287">
        <f>ROUND(P142*I142,2)</f>
        <v>10752.17</v>
      </c>
      <c r="R142" s="137"/>
      <c r="S142" s="269">
        <f>W142+Y142+AA142+AC142+AE142+AG142+AI142+AK142+AM142</f>
        <v>0</v>
      </c>
      <c r="T142" s="269">
        <f>ROUND(S142*I142,2)</f>
        <v>0</v>
      </c>
      <c r="U142" s="269">
        <f>H142-S142</f>
        <v>34.808</v>
      </c>
      <c r="V142" s="269">
        <f>ROUND(U142*I142,2)</f>
        <v>9927.31</v>
      </c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CU142" s="132" t="s">
        <v>1</v>
      </c>
      <c r="CV142" s="133" t="s">
        <v>40</v>
      </c>
      <c r="CX142" s="134">
        <f>CW142*H142</f>
        <v>0</v>
      </c>
      <c r="CY142" s="134">
        <v>0</v>
      </c>
      <c r="CZ142" s="134">
        <f>CY142*H142</f>
        <v>0</v>
      </c>
      <c r="DA142" s="134">
        <v>0</v>
      </c>
      <c r="DB142" s="135">
        <f>DA142*H142</f>
        <v>0</v>
      </c>
      <c r="DZ142" s="136" t="s">
        <v>95</v>
      </c>
      <c r="EB142" s="136" t="s">
        <v>284</v>
      </c>
      <c r="EC142" s="136" t="s">
        <v>83</v>
      </c>
      <c r="EG142" s="16" t="s">
        <v>282</v>
      </c>
      <c r="EM142" s="137">
        <f>IF(CV142="základní",J142,0)</f>
        <v>9927.31</v>
      </c>
      <c r="EN142" s="137">
        <f>IF(CV142="snížená",J142,0)</f>
        <v>0</v>
      </c>
      <c r="EO142" s="137">
        <f>IF(CV142="zákl. přenesená",J142,0)</f>
        <v>0</v>
      </c>
      <c r="EP142" s="137">
        <f>IF(CV142="sníž. přenesená",J142,0)</f>
        <v>0</v>
      </c>
      <c r="EQ142" s="137">
        <f>IF(CV142="nulová",J142,0)</f>
        <v>0</v>
      </c>
      <c r="ER142" s="16" t="s">
        <v>81</v>
      </c>
      <c r="ES142" s="137">
        <f>ROUND(I142*H142,2)</f>
        <v>9927.31</v>
      </c>
      <c r="ET142" s="16" t="s">
        <v>95</v>
      </c>
      <c r="EU142" s="136" t="s">
        <v>367</v>
      </c>
    </row>
    <row r="143" spans="2:151" s="1" customFormat="1" ht="39" x14ac:dyDescent="0.2">
      <c r="B143" s="31"/>
      <c r="D143" s="138" t="s">
        <v>289</v>
      </c>
      <c r="F143" s="139" t="s">
        <v>368</v>
      </c>
      <c r="I143" s="140"/>
      <c r="L143" s="31"/>
      <c r="N143" s="213"/>
      <c r="O143" s="214"/>
      <c r="Q143" s="229"/>
      <c r="CU143" s="141"/>
      <c r="DB143" s="50"/>
      <c r="EB143" s="16" t="s">
        <v>289</v>
      </c>
      <c r="EC143" s="16" t="s">
        <v>83</v>
      </c>
    </row>
    <row r="144" spans="2:151" s="1" customFormat="1" ht="39" x14ac:dyDescent="0.2">
      <c r="B144" s="31"/>
      <c r="D144" s="138" t="s">
        <v>299</v>
      </c>
      <c r="F144" s="142" t="s">
        <v>1090</v>
      </c>
      <c r="I144" s="140"/>
      <c r="L144" s="31"/>
      <c r="N144" s="213"/>
      <c r="O144" s="214"/>
      <c r="Q144" s="229"/>
      <c r="CU144" s="141"/>
      <c r="DB144" s="50"/>
      <c r="EB144" s="16" t="s">
        <v>299</v>
      </c>
      <c r="EC144" s="16" t="s">
        <v>83</v>
      </c>
    </row>
    <row r="145" spans="2:151" s="11" customFormat="1" ht="22.5" x14ac:dyDescent="0.2">
      <c r="B145" s="143"/>
      <c r="D145" s="138" t="s">
        <v>301</v>
      </c>
      <c r="E145" s="144" t="s">
        <v>1</v>
      </c>
      <c r="F145" s="145" t="s">
        <v>1091</v>
      </c>
      <c r="H145" s="144" t="s">
        <v>1</v>
      </c>
      <c r="I145" s="146"/>
      <c r="L145" s="143"/>
      <c r="N145" s="215"/>
      <c r="O145" s="216"/>
      <c r="Q145" s="230"/>
      <c r="CU145" s="147"/>
      <c r="DB145" s="148"/>
      <c r="EB145" s="144" t="s">
        <v>301</v>
      </c>
      <c r="EC145" s="144" t="s">
        <v>83</v>
      </c>
      <c r="ED145" s="11" t="s">
        <v>81</v>
      </c>
      <c r="EE145" s="11" t="s">
        <v>32</v>
      </c>
      <c r="EF145" s="11" t="s">
        <v>74</v>
      </c>
      <c r="EG145" s="144" t="s">
        <v>282</v>
      </c>
    </row>
    <row r="146" spans="2:151" s="12" customFormat="1" x14ac:dyDescent="0.2">
      <c r="B146" s="149"/>
      <c r="D146" s="138" t="s">
        <v>301</v>
      </c>
      <c r="E146" s="150" t="s">
        <v>1</v>
      </c>
      <c r="F146" s="151" t="s">
        <v>1318</v>
      </c>
      <c r="H146" s="152">
        <v>61.424999999999997</v>
      </c>
      <c r="I146" s="153"/>
      <c r="L146" s="149"/>
      <c r="N146" s="217">
        <f>35.76*1*(2.2-0.45)*0.9</f>
        <v>56.322000000000003</v>
      </c>
      <c r="O146" s="218" t="s">
        <v>3713</v>
      </c>
      <c r="Q146" s="231"/>
      <c r="CU146" s="154"/>
      <c r="DB146" s="155"/>
      <c r="EB146" s="150" t="s">
        <v>301</v>
      </c>
      <c r="EC146" s="150" t="s">
        <v>83</v>
      </c>
      <c r="ED146" s="12" t="s">
        <v>83</v>
      </c>
      <c r="EE146" s="12" t="s">
        <v>32</v>
      </c>
      <c r="EF146" s="12" t="s">
        <v>74</v>
      </c>
      <c r="EG146" s="150" t="s">
        <v>282</v>
      </c>
    </row>
    <row r="147" spans="2:151" s="11" customFormat="1" x14ac:dyDescent="0.2">
      <c r="B147" s="143"/>
      <c r="D147" s="138" t="s">
        <v>301</v>
      </c>
      <c r="E147" s="144" t="s">
        <v>1</v>
      </c>
      <c r="F147" s="145" t="s">
        <v>968</v>
      </c>
      <c r="H147" s="144" t="s">
        <v>1</v>
      </c>
      <c r="I147" s="146"/>
      <c r="L147" s="143"/>
      <c r="N147" s="215"/>
      <c r="O147" s="216"/>
      <c r="Q147" s="230"/>
      <c r="CU147" s="147"/>
      <c r="DB147" s="148"/>
      <c r="EB147" s="144" t="s">
        <v>301</v>
      </c>
      <c r="EC147" s="144" t="s">
        <v>83</v>
      </c>
      <c r="ED147" s="11" t="s">
        <v>81</v>
      </c>
      <c r="EE147" s="11" t="s">
        <v>32</v>
      </c>
      <c r="EF147" s="11" t="s">
        <v>74</v>
      </c>
      <c r="EG147" s="144" t="s">
        <v>282</v>
      </c>
    </row>
    <row r="148" spans="2:151" s="12" customFormat="1" x14ac:dyDescent="0.2">
      <c r="B148" s="149"/>
      <c r="D148" s="138" t="s">
        <v>301</v>
      </c>
      <c r="E148" s="150" t="s">
        <v>1</v>
      </c>
      <c r="F148" s="151" t="s">
        <v>1319</v>
      </c>
      <c r="H148" s="152">
        <v>8.19</v>
      </c>
      <c r="I148" s="153"/>
      <c r="L148" s="149"/>
      <c r="N148" s="217">
        <f>35.76*1*(2.2-0.1)*0.1</f>
        <v>7.5096000000000007</v>
      </c>
      <c r="O148" s="218" t="s">
        <v>3714</v>
      </c>
      <c r="Q148" s="231"/>
      <c r="CU148" s="154"/>
      <c r="DB148" s="155"/>
      <c r="EB148" s="150" t="s">
        <v>301</v>
      </c>
      <c r="EC148" s="150" t="s">
        <v>83</v>
      </c>
      <c r="ED148" s="12" t="s">
        <v>83</v>
      </c>
      <c r="EE148" s="12" t="s">
        <v>32</v>
      </c>
      <c r="EF148" s="12" t="s">
        <v>74</v>
      </c>
      <c r="EG148" s="150" t="s">
        <v>282</v>
      </c>
    </row>
    <row r="149" spans="2:151" s="14" customFormat="1" x14ac:dyDescent="0.2">
      <c r="B149" s="163"/>
      <c r="D149" s="138" t="s">
        <v>301</v>
      </c>
      <c r="E149" s="164" t="s">
        <v>1</v>
      </c>
      <c r="F149" s="165" t="s">
        <v>373</v>
      </c>
      <c r="H149" s="166">
        <v>69.614999999999995</v>
      </c>
      <c r="I149" s="167"/>
      <c r="L149" s="163"/>
      <c r="N149" s="221">
        <f>N146+N148</f>
        <v>63.831600000000002</v>
      </c>
      <c r="O149" s="222"/>
      <c r="Q149" s="233"/>
      <c r="CU149" s="168"/>
      <c r="DB149" s="169"/>
      <c r="EB149" s="164" t="s">
        <v>301</v>
      </c>
      <c r="EC149" s="164" t="s">
        <v>83</v>
      </c>
      <c r="ED149" s="14" t="s">
        <v>90</v>
      </c>
      <c r="EE149" s="14" t="s">
        <v>32</v>
      </c>
      <c r="EF149" s="14" t="s">
        <v>74</v>
      </c>
      <c r="EG149" s="164" t="s">
        <v>282</v>
      </c>
    </row>
    <row r="150" spans="2:151" s="12" customFormat="1" x14ac:dyDescent="0.2">
      <c r="B150" s="149"/>
      <c r="D150" s="138" t="s">
        <v>301</v>
      </c>
      <c r="E150" s="150" t="s">
        <v>1</v>
      </c>
      <c r="F150" s="151" t="s">
        <v>1320</v>
      </c>
      <c r="H150" s="152">
        <v>34.808</v>
      </c>
      <c r="I150" s="153"/>
      <c r="L150" s="149"/>
      <c r="N150" s="217">
        <f>N149*0.5</f>
        <v>31.915800000000001</v>
      </c>
      <c r="O150" s="218"/>
      <c r="Q150" s="231"/>
      <c r="CU150" s="154"/>
      <c r="DB150" s="155"/>
      <c r="EB150" s="150" t="s">
        <v>301</v>
      </c>
      <c r="EC150" s="150" t="s">
        <v>83</v>
      </c>
      <c r="ED150" s="12" t="s">
        <v>83</v>
      </c>
      <c r="EE150" s="12" t="s">
        <v>32</v>
      </c>
      <c r="EF150" s="12" t="s">
        <v>81</v>
      </c>
      <c r="EG150" s="150" t="s">
        <v>282</v>
      </c>
    </row>
    <row r="151" spans="2:151" s="12" customFormat="1" x14ac:dyDescent="0.2">
      <c r="B151" s="149"/>
      <c r="D151" s="138"/>
      <c r="E151" s="150"/>
      <c r="F151" s="151"/>
      <c r="H151" s="152"/>
      <c r="I151" s="153"/>
      <c r="L151" s="149"/>
      <c r="N151" s="310">
        <f>N150-H150</f>
        <v>-2.892199999999999</v>
      </c>
      <c r="O151" s="218"/>
      <c r="Q151" s="231"/>
      <c r="CU151" s="154"/>
      <c r="DB151" s="155"/>
      <c r="EB151" s="150"/>
      <c r="EC151" s="150"/>
      <c r="EG151" s="150"/>
    </row>
    <row r="152" spans="2:151" s="1" customFormat="1" ht="24.2" customHeight="1" x14ac:dyDescent="0.2">
      <c r="B152" s="124"/>
      <c r="C152" s="125" t="s">
        <v>318</v>
      </c>
      <c r="D152" s="125" t="s">
        <v>284</v>
      </c>
      <c r="E152" s="126" t="s">
        <v>375</v>
      </c>
      <c r="F152" s="127" t="s">
        <v>376</v>
      </c>
      <c r="G152" s="128" t="s">
        <v>366</v>
      </c>
      <c r="H152" s="129">
        <v>34.808</v>
      </c>
      <c r="I152" s="130">
        <v>390.55963566140201</v>
      </c>
      <c r="J152" s="131">
        <f>ROUND(I152*H152,2)</f>
        <v>13594.6</v>
      </c>
      <c r="K152" s="127" t="s">
        <v>293</v>
      </c>
      <c r="L152" s="268">
        <f>S152</f>
        <v>0</v>
      </c>
      <c r="M152" s="272">
        <f>ROUND(L152*I152,2)</f>
        <v>0</v>
      </c>
      <c r="N152" s="243">
        <f>N142</f>
        <v>-2.892199999999999</v>
      </c>
      <c r="O152" s="294">
        <f>ROUND(N152*I152,2)</f>
        <v>-1129.58</v>
      </c>
      <c r="P152" s="273">
        <f>H152-L152-N152</f>
        <v>37.700199999999995</v>
      </c>
      <c r="Q152" s="287">
        <f>ROUND(P152*I152,2)</f>
        <v>14724.18</v>
      </c>
      <c r="R152" s="137"/>
      <c r="S152" s="269">
        <f>W152+Y152+AA152+AC152+AE152+AG152+AI152+AK152+AM152</f>
        <v>0</v>
      </c>
      <c r="T152" s="269">
        <f>ROUND(S152*I152,2)</f>
        <v>0</v>
      </c>
      <c r="U152" s="269">
        <f>H152-S152</f>
        <v>34.808</v>
      </c>
      <c r="V152" s="269">
        <f>ROUND(U152*I152,2)</f>
        <v>13594.6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CU152" s="132" t="s">
        <v>1</v>
      </c>
      <c r="CV152" s="133" t="s">
        <v>40</v>
      </c>
      <c r="CX152" s="134">
        <f>CW152*H152</f>
        <v>0</v>
      </c>
      <c r="CY152" s="134">
        <v>0</v>
      </c>
      <c r="CZ152" s="134">
        <f>CY152*H152</f>
        <v>0</v>
      </c>
      <c r="DA152" s="134">
        <v>0</v>
      </c>
      <c r="DB152" s="135">
        <f>DA152*H152</f>
        <v>0</v>
      </c>
      <c r="DZ152" s="136" t="s">
        <v>95</v>
      </c>
      <c r="EB152" s="136" t="s">
        <v>284</v>
      </c>
      <c r="EC152" s="136" t="s">
        <v>83</v>
      </c>
      <c r="EG152" s="16" t="s">
        <v>282</v>
      </c>
      <c r="EM152" s="137">
        <f>IF(CV152="základní",J152,0)</f>
        <v>13594.6</v>
      </c>
      <c r="EN152" s="137">
        <f>IF(CV152="snížená",J152,0)</f>
        <v>0</v>
      </c>
      <c r="EO152" s="137">
        <f>IF(CV152="zákl. přenesená",J152,0)</f>
        <v>0</v>
      </c>
      <c r="EP152" s="137">
        <f>IF(CV152="sníž. přenesená",J152,0)</f>
        <v>0</v>
      </c>
      <c r="EQ152" s="137">
        <f>IF(CV152="nulová",J152,0)</f>
        <v>0</v>
      </c>
      <c r="ER152" s="16" t="s">
        <v>81</v>
      </c>
      <c r="ES152" s="137">
        <f>ROUND(I152*H152,2)</f>
        <v>13594.6</v>
      </c>
      <c r="ET152" s="16" t="s">
        <v>95</v>
      </c>
      <c r="EU152" s="136" t="s">
        <v>377</v>
      </c>
    </row>
    <row r="153" spans="2:151" s="1" customFormat="1" ht="39" x14ac:dyDescent="0.2">
      <c r="B153" s="31"/>
      <c r="D153" s="138" t="s">
        <v>289</v>
      </c>
      <c r="F153" s="139" t="s">
        <v>378</v>
      </c>
      <c r="I153" s="140"/>
      <c r="L153" s="31"/>
      <c r="N153" s="213"/>
      <c r="O153" s="214"/>
      <c r="Q153" s="229"/>
      <c r="CU153" s="141"/>
      <c r="DB153" s="50"/>
      <c r="EB153" s="16" t="s">
        <v>289</v>
      </c>
      <c r="EC153" s="16" t="s">
        <v>83</v>
      </c>
    </row>
    <row r="154" spans="2:151" s="1" customFormat="1" ht="39" x14ac:dyDescent="0.2">
      <c r="B154" s="31"/>
      <c r="D154" s="138" t="s">
        <v>299</v>
      </c>
      <c r="F154" s="142" t="s">
        <v>1090</v>
      </c>
      <c r="I154" s="140"/>
      <c r="L154" s="31"/>
      <c r="N154" s="213"/>
      <c r="O154" s="214"/>
      <c r="Q154" s="229"/>
      <c r="CU154" s="141"/>
      <c r="DB154" s="50"/>
      <c r="EB154" s="16" t="s">
        <v>299</v>
      </c>
      <c r="EC154" s="16" t="s">
        <v>83</v>
      </c>
    </row>
    <row r="155" spans="2:151" s="1" customFormat="1" ht="24.2" customHeight="1" x14ac:dyDescent="0.2">
      <c r="B155" s="124"/>
      <c r="C155" s="125" t="s">
        <v>323</v>
      </c>
      <c r="D155" s="125" t="s">
        <v>284</v>
      </c>
      <c r="E155" s="126" t="s">
        <v>380</v>
      </c>
      <c r="F155" s="127" t="s">
        <v>381</v>
      </c>
      <c r="G155" s="128" t="s">
        <v>366</v>
      </c>
      <c r="H155" s="129">
        <v>13.923</v>
      </c>
      <c r="I155" s="130">
        <v>650.27058629099099</v>
      </c>
      <c r="J155" s="131">
        <f>ROUND(I155*H155,2)</f>
        <v>9053.7199999999993</v>
      </c>
      <c r="K155" s="127" t="s">
        <v>293</v>
      </c>
      <c r="L155" s="268">
        <f>S155</f>
        <v>0</v>
      </c>
      <c r="M155" s="272">
        <f>ROUND(L155*I155,2)</f>
        <v>0</v>
      </c>
      <c r="N155" s="243">
        <f>N159</f>
        <v>-1.1565999999999992</v>
      </c>
      <c r="O155" s="294">
        <f>ROUND(N155*I155,2)</f>
        <v>-752.1</v>
      </c>
      <c r="P155" s="273">
        <f>H155-L155-N155</f>
        <v>15.079599999999999</v>
      </c>
      <c r="Q155" s="287">
        <f>ROUND(P155*I155,2)</f>
        <v>9805.82</v>
      </c>
      <c r="R155" s="137"/>
      <c r="S155" s="269">
        <f>W155+Y155+AA155+AC155+AE155+AG155+AI155+AK155+AM155</f>
        <v>0</v>
      </c>
      <c r="T155" s="269">
        <f>ROUND(S155*I155,2)</f>
        <v>0</v>
      </c>
      <c r="U155" s="269">
        <f>H155-S155</f>
        <v>13.923</v>
      </c>
      <c r="V155" s="269">
        <f>ROUND(U155*I155,2)</f>
        <v>9053.7199999999993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CU155" s="132" t="s">
        <v>1</v>
      </c>
      <c r="CV155" s="133" t="s">
        <v>40</v>
      </c>
      <c r="CX155" s="134">
        <f>CW155*H155</f>
        <v>0</v>
      </c>
      <c r="CY155" s="134">
        <v>0</v>
      </c>
      <c r="CZ155" s="134">
        <f>CY155*H155</f>
        <v>0</v>
      </c>
      <c r="DA155" s="134">
        <v>0</v>
      </c>
      <c r="DB155" s="135">
        <f>DA155*H155</f>
        <v>0</v>
      </c>
      <c r="DZ155" s="136" t="s">
        <v>95</v>
      </c>
      <c r="EB155" s="136" t="s">
        <v>284</v>
      </c>
      <c r="EC155" s="136" t="s">
        <v>83</v>
      </c>
      <c r="EG155" s="16" t="s">
        <v>282</v>
      </c>
      <c r="EM155" s="137">
        <f>IF(CV155="základní",J155,0)</f>
        <v>9053.7199999999993</v>
      </c>
      <c r="EN155" s="137">
        <f>IF(CV155="snížená",J155,0)</f>
        <v>0</v>
      </c>
      <c r="EO155" s="137">
        <f>IF(CV155="zákl. přenesená",J155,0)</f>
        <v>0</v>
      </c>
      <c r="EP155" s="137">
        <f>IF(CV155="sníž. přenesená",J155,0)</f>
        <v>0</v>
      </c>
      <c r="EQ155" s="137">
        <f>IF(CV155="nulová",J155,0)</f>
        <v>0</v>
      </c>
      <c r="ER155" s="16" t="s">
        <v>81</v>
      </c>
      <c r="ES155" s="137">
        <f>ROUND(I155*H155,2)</f>
        <v>9053.7199999999993</v>
      </c>
      <c r="ET155" s="16" t="s">
        <v>95</v>
      </c>
      <c r="EU155" s="136" t="s">
        <v>382</v>
      </c>
    </row>
    <row r="156" spans="2:151" s="1" customFormat="1" ht="29.25" x14ac:dyDescent="0.2">
      <c r="B156" s="31"/>
      <c r="D156" s="138" t="s">
        <v>289</v>
      </c>
      <c r="F156" s="139" t="s">
        <v>383</v>
      </c>
      <c r="I156" s="140"/>
      <c r="L156" s="31"/>
      <c r="N156" s="213"/>
      <c r="O156" s="214"/>
      <c r="Q156" s="229"/>
      <c r="CU156" s="141"/>
      <c r="DB156" s="50"/>
      <c r="EB156" s="16" t="s">
        <v>289</v>
      </c>
      <c r="EC156" s="16" t="s">
        <v>83</v>
      </c>
    </row>
    <row r="157" spans="2:151" s="11" customFormat="1" x14ac:dyDescent="0.2">
      <c r="B157" s="143"/>
      <c r="D157" s="138" t="s">
        <v>301</v>
      </c>
      <c r="E157" s="144" t="s">
        <v>1</v>
      </c>
      <c r="F157" s="145" t="s">
        <v>384</v>
      </c>
      <c r="H157" s="144" t="s">
        <v>1</v>
      </c>
      <c r="I157" s="146"/>
      <c r="L157" s="143"/>
      <c r="N157" s="215"/>
      <c r="O157" s="216"/>
      <c r="Q157" s="230"/>
      <c r="CU157" s="147"/>
      <c r="DB157" s="148"/>
      <c r="EB157" s="144" t="s">
        <v>301</v>
      </c>
      <c r="EC157" s="144" t="s">
        <v>83</v>
      </c>
      <c r="ED157" s="11" t="s">
        <v>81</v>
      </c>
      <c r="EE157" s="11" t="s">
        <v>32</v>
      </c>
      <c r="EF157" s="11" t="s">
        <v>74</v>
      </c>
      <c r="EG157" s="144" t="s">
        <v>282</v>
      </c>
    </row>
    <row r="158" spans="2:151" s="12" customFormat="1" x14ac:dyDescent="0.2">
      <c r="B158" s="149"/>
      <c r="D158" s="138" t="s">
        <v>301</v>
      </c>
      <c r="E158" s="150" t="s">
        <v>1</v>
      </c>
      <c r="F158" s="151" t="s">
        <v>1321</v>
      </c>
      <c r="H158" s="152">
        <v>13.923</v>
      </c>
      <c r="I158" s="153"/>
      <c r="L158" s="149"/>
      <c r="N158" s="217">
        <f>(31.916+31.916)*0.2</f>
        <v>12.766400000000001</v>
      </c>
      <c r="O158" s="218" t="s">
        <v>3715</v>
      </c>
      <c r="Q158" s="231"/>
      <c r="CU158" s="154"/>
      <c r="DB158" s="155"/>
      <c r="EB158" s="150" t="s">
        <v>301</v>
      </c>
      <c r="EC158" s="150" t="s">
        <v>83</v>
      </c>
      <c r="ED158" s="12" t="s">
        <v>83</v>
      </c>
      <c r="EE158" s="12" t="s">
        <v>32</v>
      </c>
      <c r="EF158" s="12" t="s">
        <v>81</v>
      </c>
      <c r="EG158" s="150" t="s">
        <v>282</v>
      </c>
    </row>
    <row r="159" spans="2:151" s="12" customFormat="1" x14ac:dyDescent="0.2">
      <c r="B159" s="149"/>
      <c r="D159" s="138"/>
      <c r="E159" s="150"/>
      <c r="F159" s="151"/>
      <c r="H159" s="152"/>
      <c r="I159" s="153"/>
      <c r="L159" s="149"/>
      <c r="N159" s="310">
        <f>N158-H158</f>
        <v>-1.1565999999999992</v>
      </c>
      <c r="O159" s="218"/>
      <c r="Q159" s="231"/>
      <c r="CU159" s="154"/>
      <c r="DB159" s="155"/>
      <c r="EB159" s="150"/>
      <c r="EC159" s="150"/>
      <c r="EG159" s="150"/>
    </row>
    <row r="160" spans="2:151" s="1" customFormat="1" ht="14.45" customHeight="1" x14ac:dyDescent="0.2">
      <c r="B160" s="124"/>
      <c r="C160" s="125" t="s">
        <v>328</v>
      </c>
      <c r="D160" s="125" t="s">
        <v>284</v>
      </c>
      <c r="E160" s="126" t="s">
        <v>387</v>
      </c>
      <c r="F160" s="127" t="s">
        <v>388</v>
      </c>
      <c r="G160" s="128" t="s">
        <v>287</v>
      </c>
      <c r="H160" s="129">
        <v>171.6</v>
      </c>
      <c r="I160" s="130">
        <v>156.6895922457376</v>
      </c>
      <c r="J160" s="131">
        <f>ROUND(I160*H160,2)</f>
        <v>26887.93</v>
      </c>
      <c r="K160" s="127" t="s">
        <v>293</v>
      </c>
      <c r="L160" s="268">
        <f>S160</f>
        <v>0</v>
      </c>
      <c r="M160" s="272">
        <f>ROUND(L160*I160,2)</f>
        <v>0</v>
      </c>
      <c r="N160" s="243">
        <f>N164</f>
        <v>-14.256</v>
      </c>
      <c r="O160" s="294">
        <f>ROUND(N160*I160,2)</f>
        <v>-2233.77</v>
      </c>
      <c r="P160" s="273">
        <f>H160-L160-N160</f>
        <v>185.85599999999999</v>
      </c>
      <c r="Q160" s="287">
        <f>ROUND(P160*I160,2)</f>
        <v>29121.7</v>
      </c>
      <c r="R160" s="137"/>
      <c r="S160" s="269">
        <f>W160+Y160+AA160+AC160+AE160+AG160+AI160+AK160+AM160</f>
        <v>0</v>
      </c>
      <c r="T160" s="269">
        <f>ROUND(S160*I160,2)</f>
        <v>0</v>
      </c>
      <c r="U160" s="269">
        <f>H160-S160</f>
        <v>171.6</v>
      </c>
      <c r="V160" s="269">
        <f>ROUND(U160*I160,2)</f>
        <v>26887.93</v>
      </c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CU160" s="132" t="s">
        <v>1</v>
      </c>
      <c r="CV160" s="133" t="s">
        <v>40</v>
      </c>
      <c r="CX160" s="134">
        <f>CW160*H160</f>
        <v>0</v>
      </c>
      <c r="CY160" s="134">
        <v>5.9000000000000003E-4</v>
      </c>
      <c r="CZ160" s="134">
        <f>CY160*H160</f>
        <v>0.101244</v>
      </c>
      <c r="DA160" s="134">
        <v>0</v>
      </c>
      <c r="DB160" s="135">
        <f>DA160*H160</f>
        <v>0</v>
      </c>
      <c r="DZ160" s="136" t="s">
        <v>95</v>
      </c>
      <c r="EB160" s="136" t="s">
        <v>284</v>
      </c>
      <c r="EC160" s="136" t="s">
        <v>83</v>
      </c>
      <c r="EG160" s="16" t="s">
        <v>282</v>
      </c>
      <c r="EM160" s="137">
        <f>IF(CV160="základní",J160,0)</f>
        <v>26887.93</v>
      </c>
      <c r="EN160" s="137">
        <f>IF(CV160="snížená",J160,0)</f>
        <v>0</v>
      </c>
      <c r="EO160" s="137">
        <f>IF(CV160="zákl. přenesená",J160,0)</f>
        <v>0</v>
      </c>
      <c r="EP160" s="137">
        <f>IF(CV160="sníž. přenesená",J160,0)</f>
        <v>0</v>
      </c>
      <c r="EQ160" s="137">
        <f>IF(CV160="nulová",J160,0)</f>
        <v>0</v>
      </c>
      <c r="ER160" s="16" t="s">
        <v>81</v>
      </c>
      <c r="ES160" s="137">
        <f>ROUND(I160*H160,2)</f>
        <v>26887.93</v>
      </c>
      <c r="ET160" s="16" t="s">
        <v>95</v>
      </c>
      <c r="EU160" s="136" t="s">
        <v>389</v>
      </c>
    </row>
    <row r="161" spans="2:151" s="1" customFormat="1" ht="19.5" x14ac:dyDescent="0.2">
      <c r="B161" s="31"/>
      <c r="D161" s="138" t="s">
        <v>289</v>
      </c>
      <c r="F161" s="139" t="s">
        <v>390</v>
      </c>
      <c r="I161" s="140"/>
      <c r="L161" s="31"/>
      <c r="N161" s="213"/>
      <c r="O161" s="214"/>
      <c r="Q161" s="229"/>
      <c r="CU161" s="141"/>
      <c r="DB161" s="50"/>
      <c r="EB161" s="16" t="s">
        <v>289</v>
      </c>
      <c r="EC161" s="16" t="s">
        <v>83</v>
      </c>
    </row>
    <row r="162" spans="2:151" s="1" customFormat="1" ht="29.25" x14ac:dyDescent="0.2">
      <c r="B162" s="31"/>
      <c r="D162" s="138" t="s">
        <v>299</v>
      </c>
      <c r="F162" s="142" t="s">
        <v>1083</v>
      </c>
      <c r="I162" s="140"/>
      <c r="L162" s="31"/>
      <c r="N162" s="213"/>
      <c r="O162" s="214"/>
      <c r="Q162" s="229"/>
      <c r="CU162" s="141"/>
      <c r="DB162" s="50"/>
      <c r="EB162" s="16" t="s">
        <v>299</v>
      </c>
      <c r="EC162" s="16" t="s">
        <v>83</v>
      </c>
    </row>
    <row r="163" spans="2:151" s="12" customFormat="1" x14ac:dyDescent="0.2">
      <c r="B163" s="149"/>
      <c r="D163" s="138" t="s">
        <v>301</v>
      </c>
      <c r="E163" s="150" t="s">
        <v>1</v>
      </c>
      <c r="F163" s="151" t="s">
        <v>1322</v>
      </c>
      <c r="H163" s="152">
        <v>171.6</v>
      </c>
      <c r="I163" s="153"/>
      <c r="L163" s="149"/>
      <c r="N163" s="217">
        <f>35.76*2.2*2</f>
        <v>157.34399999999999</v>
      </c>
      <c r="O163" s="218" t="s">
        <v>3716</v>
      </c>
      <c r="Q163" s="231"/>
      <c r="CU163" s="154"/>
      <c r="DB163" s="155"/>
      <c r="EB163" s="150" t="s">
        <v>301</v>
      </c>
      <c r="EC163" s="150" t="s">
        <v>83</v>
      </c>
      <c r="ED163" s="12" t="s">
        <v>83</v>
      </c>
      <c r="EE163" s="12" t="s">
        <v>32</v>
      </c>
      <c r="EF163" s="12" t="s">
        <v>81</v>
      </c>
      <c r="EG163" s="150" t="s">
        <v>282</v>
      </c>
    </row>
    <row r="164" spans="2:151" s="12" customFormat="1" x14ac:dyDescent="0.2">
      <c r="B164" s="149"/>
      <c r="D164" s="138"/>
      <c r="E164" s="150"/>
      <c r="F164" s="151"/>
      <c r="H164" s="152"/>
      <c r="I164" s="153"/>
      <c r="L164" s="149"/>
      <c r="N164" s="310">
        <f>N163-H163</f>
        <v>-14.256</v>
      </c>
      <c r="O164" s="218"/>
      <c r="Q164" s="231"/>
      <c r="CU164" s="154"/>
      <c r="DB164" s="155"/>
      <c r="EB164" s="150"/>
      <c r="EC164" s="150"/>
      <c r="EG164" s="150"/>
    </row>
    <row r="165" spans="2:151" s="1" customFormat="1" ht="14.45" customHeight="1" x14ac:dyDescent="0.2">
      <c r="B165" s="124"/>
      <c r="C165" s="125" t="s">
        <v>335</v>
      </c>
      <c r="D165" s="125" t="s">
        <v>284</v>
      </c>
      <c r="E165" s="126" t="s">
        <v>393</v>
      </c>
      <c r="F165" s="127" t="s">
        <v>394</v>
      </c>
      <c r="G165" s="128" t="s">
        <v>287</v>
      </c>
      <c r="H165" s="129">
        <v>171.6</v>
      </c>
      <c r="I165" s="130">
        <v>103.33666316345877</v>
      </c>
      <c r="J165" s="131">
        <f>ROUND(I165*H165,2)</f>
        <v>17732.57</v>
      </c>
      <c r="K165" s="127" t="s">
        <v>293</v>
      </c>
      <c r="L165" s="268">
        <f>S165</f>
        <v>0</v>
      </c>
      <c r="M165" s="272">
        <f>ROUND(L165*I165,2)</f>
        <v>0</v>
      </c>
      <c r="N165" s="243">
        <f>N160</f>
        <v>-14.256</v>
      </c>
      <c r="O165" s="294">
        <f>ROUND(N165*I165,2)</f>
        <v>-1473.17</v>
      </c>
      <c r="P165" s="273">
        <f>H165-L165-N165</f>
        <v>185.85599999999999</v>
      </c>
      <c r="Q165" s="287">
        <f>ROUND(P165*I165,2)</f>
        <v>19205.740000000002</v>
      </c>
      <c r="R165" s="137"/>
      <c r="S165" s="269">
        <f>W165+Y165+AA165+AC165+AE165+AG165+AI165+AK165+AM165</f>
        <v>0</v>
      </c>
      <c r="T165" s="269">
        <f>ROUND(S165*I165,2)</f>
        <v>0</v>
      </c>
      <c r="U165" s="269">
        <f>H165-S165</f>
        <v>171.6</v>
      </c>
      <c r="V165" s="269">
        <f>ROUND(U165*I165,2)</f>
        <v>17732.57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CU165" s="132" t="s">
        <v>1</v>
      </c>
      <c r="CV165" s="133" t="s">
        <v>40</v>
      </c>
      <c r="CX165" s="134">
        <f>CW165*H165</f>
        <v>0</v>
      </c>
      <c r="CY165" s="134">
        <v>0</v>
      </c>
      <c r="CZ165" s="134">
        <f>CY165*H165</f>
        <v>0</v>
      </c>
      <c r="DA165" s="134">
        <v>0</v>
      </c>
      <c r="DB165" s="135">
        <f>DA165*H165</f>
        <v>0</v>
      </c>
      <c r="DZ165" s="136" t="s">
        <v>95</v>
      </c>
      <c r="EB165" s="136" t="s">
        <v>284</v>
      </c>
      <c r="EC165" s="136" t="s">
        <v>83</v>
      </c>
      <c r="EG165" s="16" t="s">
        <v>282</v>
      </c>
      <c r="EM165" s="137">
        <f>IF(CV165="základní",J165,0)</f>
        <v>17732.57</v>
      </c>
      <c r="EN165" s="137">
        <f>IF(CV165="snížená",J165,0)</f>
        <v>0</v>
      </c>
      <c r="EO165" s="137">
        <f>IF(CV165="zákl. přenesená",J165,0)</f>
        <v>0</v>
      </c>
      <c r="EP165" s="137">
        <f>IF(CV165="sníž. přenesená",J165,0)</f>
        <v>0</v>
      </c>
      <c r="EQ165" s="137">
        <f>IF(CV165="nulová",J165,0)</f>
        <v>0</v>
      </c>
      <c r="ER165" s="16" t="s">
        <v>81</v>
      </c>
      <c r="ES165" s="137">
        <f>ROUND(I165*H165,2)</f>
        <v>17732.57</v>
      </c>
      <c r="ET165" s="16" t="s">
        <v>95</v>
      </c>
      <c r="EU165" s="136" t="s">
        <v>395</v>
      </c>
    </row>
    <row r="166" spans="2:151" s="1" customFormat="1" ht="19.5" x14ac:dyDescent="0.2">
      <c r="B166" s="31"/>
      <c r="D166" s="138" t="s">
        <v>289</v>
      </c>
      <c r="F166" s="139" t="s">
        <v>396</v>
      </c>
      <c r="I166" s="140"/>
      <c r="L166" s="31"/>
      <c r="N166" s="213"/>
      <c r="O166" s="214"/>
      <c r="Q166" s="229"/>
      <c r="CU166" s="141"/>
      <c r="DB166" s="50"/>
      <c r="EB166" s="16" t="s">
        <v>289</v>
      </c>
      <c r="EC166" s="16" t="s">
        <v>83</v>
      </c>
    </row>
    <row r="167" spans="2:151" s="1" customFormat="1" ht="37.9" customHeight="1" x14ac:dyDescent="0.2">
      <c r="B167" s="124"/>
      <c r="C167" s="125" t="s">
        <v>341</v>
      </c>
      <c r="D167" s="125" t="s">
        <v>284</v>
      </c>
      <c r="E167" s="126" t="s">
        <v>398</v>
      </c>
      <c r="F167" s="127" t="s">
        <v>399</v>
      </c>
      <c r="G167" s="128" t="s">
        <v>366</v>
      </c>
      <c r="H167" s="129">
        <v>70.786000000000001</v>
      </c>
      <c r="I167" s="130">
        <v>262.06861194786097</v>
      </c>
      <c r="J167" s="131">
        <f>ROUND(I167*H167,2)</f>
        <v>18550.79</v>
      </c>
      <c r="K167" s="127" t="s">
        <v>293</v>
      </c>
      <c r="L167" s="268">
        <f>S167</f>
        <v>0</v>
      </c>
      <c r="M167" s="272">
        <f>ROUND(L167*I167,2)</f>
        <v>0</v>
      </c>
      <c r="N167" s="243">
        <f>N174</f>
        <v>-5.8812000000000069</v>
      </c>
      <c r="O167" s="294">
        <f>ROUND(N167*I167,2)</f>
        <v>-1541.28</v>
      </c>
      <c r="P167" s="273">
        <f>H167-L167-N167</f>
        <v>76.667200000000008</v>
      </c>
      <c r="Q167" s="287">
        <f>ROUND(P167*I167,2)</f>
        <v>20092.07</v>
      </c>
      <c r="R167" s="137"/>
      <c r="S167" s="269">
        <f>W167+Y167+AA167+AC167+AE167+AG167+AI167+AK167+AM167</f>
        <v>0</v>
      </c>
      <c r="T167" s="269">
        <f>ROUND(S167*I167,2)</f>
        <v>0</v>
      </c>
      <c r="U167" s="269">
        <f>H167-S167</f>
        <v>70.786000000000001</v>
      </c>
      <c r="V167" s="269">
        <f>ROUND(U167*I167,2)</f>
        <v>18550.79</v>
      </c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CU167" s="132" t="s">
        <v>1</v>
      </c>
      <c r="CV167" s="133" t="s">
        <v>40</v>
      </c>
      <c r="CX167" s="134">
        <f>CW167*H167</f>
        <v>0</v>
      </c>
      <c r="CY167" s="134">
        <v>0</v>
      </c>
      <c r="CZ167" s="134">
        <f>CY167*H167</f>
        <v>0</v>
      </c>
      <c r="DA167" s="134">
        <v>0</v>
      </c>
      <c r="DB167" s="135">
        <f>DA167*H167</f>
        <v>0</v>
      </c>
      <c r="DZ167" s="136" t="s">
        <v>95</v>
      </c>
      <c r="EB167" s="136" t="s">
        <v>284</v>
      </c>
      <c r="EC167" s="136" t="s">
        <v>83</v>
      </c>
      <c r="EG167" s="16" t="s">
        <v>282</v>
      </c>
      <c r="EM167" s="137">
        <f>IF(CV167="základní",J167,0)</f>
        <v>18550.79</v>
      </c>
      <c r="EN167" s="137">
        <f>IF(CV167="snížená",J167,0)</f>
        <v>0</v>
      </c>
      <c r="EO167" s="137">
        <f>IF(CV167="zákl. přenesená",J167,0)</f>
        <v>0</v>
      </c>
      <c r="EP167" s="137">
        <f>IF(CV167="sníž. přenesená",J167,0)</f>
        <v>0</v>
      </c>
      <c r="EQ167" s="137">
        <f>IF(CV167="nulová",J167,0)</f>
        <v>0</v>
      </c>
      <c r="ER167" s="16" t="s">
        <v>81</v>
      </c>
      <c r="ES167" s="137">
        <f>ROUND(I167*H167,2)</f>
        <v>18550.79</v>
      </c>
      <c r="ET167" s="16" t="s">
        <v>95</v>
      </c>
      <c r="EU167" s="136" t="s">
        <v>400</v>
      </c>
    </row>
    <row r="168" spans="2:151" s="1" customFormat="1" ht="39" x14ac:dyDescent="0.2">
      <c r="B168" s="31"/>
      <c r="D168" s="138" t="s">
        <v>289</v>
      </c>
      <c r="F168" s="139" t="s">
        <v>401</v>
      </c>
      <c r="I168" s="140"/>
      <c r="L168" s="31"/>
      <c r="N168" s="213"/>
      <c r="O168" s="214"/>
      <c r="Q168" s="229"/>
      <c r="CU168" s="141"/>
      <c r="DB168" s="50"/>
      <c r="EB168" s="16" t="s">
        <v>289</v>
      </c>
      <c r="EC168" s="16" t="s">
        <v>83</v>
      </c>
    </row>
    <row r="169" spans="2:151" s="11" customFormat="1" x14ac:dyDescent="0.2">
      <c r="B169" s="143"/>
      <c r="D169" s="138" t="s">
        <v>301</v>
      </c>
      <c r="E169" s="144" t="s">
        <v>1</v>
      </c>
      <c r="F169" s="145" t="s">
        <v>402</v>
      </c>
      <c r="H169" s="144" t="s">
        <v>1</v>
      </c>
      <c r="I169" s="146"/>
      <c r="L169" s="143"/>
      <c r="N169" s="215"/>
      <c r="O169" s="216"/>
      <c r="Q169" s="230"/>
      <c r="CU169" s="147"/>
      <c r="DB169" s="148"/>
      <c r="EB169" s="144" t="s">
        <v>301</v>
      </c>
      <c r="EC169" s="144" t="s">
        <v>83</v>
      </c>
      <c r="ED169" s="11" t="s">
        <v>81</v>
      </c>
      <c r="EE169" s="11" t="s">
        <v>32</v>
      </c>
      <c r="EF169" s="11" t="s">
        <v>74</v>
      </c>
      <c r="EG169" s="144" t="s">
        <v>282</v>
      </c>
    </row>
    <row r="170" spans="2:151" s="12" customFormat="1" x14ac:dyDescent="0.2">
      <c r="B170" s="149"/>
      <c r="D170" s="138" t="s">
        <v>301</v>
      </c>
      <c r="E170" s="150" t="s">
        <v>1</v>
      </c>
      <c r="F170" s="151" t="s">
        <v>1323</v>
      </c>
      <c r="H170" s="152">
        <v>69.616</v>
      </c>
      <c r="I170" s="153"/>
      <c r="L170" s="149"/>
      <c r="N170" s="217">
        <f>31.916+31.916</f>
        <v>63.832000000000001</v>
      </c>
      <c r="O170" s="218" t="s">
        <v>3717</v>
      </c>
      <c r="Q170" s="231"/>
      <c r="CU170" s="154"/>
      <c r="DB170" s="155"/>
      <c r="EB170" s="150" t="s">
        <v>301</v>
      </c>
      <c r="EC170" s="150" t="s">
        <v>83</v>
      </c>
      <c r="ED170" s="12" t="s">
        <v>83</v>
      </c>
      <c r="EE170" s="12" t="s">
        <v>32</v>
      </c>
      <c r="EF170" s="12" t="s">
        <v>74</v>
      </c>
      <c r="EG170" s="150" t="s">
        <v>282</v>
      </c>
    </row>
    <row r="171" spans="2:151" s="11" customFormat="1" x14ac:dyDescent="0.2">
      <c r="B171" s="143"/>
      <c r="D171" s="138" t="s">
        <v>301</v>
      </c>
      <c r="E171" s="144" t="s">
        <v>1</v>
      </c>
      <c r="F171" s="145" t="s">
        <v>976</v>
      </c>
      <c r="H171" s="144" t="s">
        <v>1</v>
      </c>
      <c r="I171" s="146"/>
      <c r="L171" s="143"/>
      <c r="N171" s="215"/>
      <c r="O171" s="216"/>
      <c r="Q171" s="230"/>
      <c r="CU171" s="147"/>
      <c r="DB171" s="148"/>
      <c r="EB171" s="144" t="s">
        <v>301</v>
      </c>
      <c r="EC171" s="144" t="s">
        <v>83</v>
      </c>
      <c r="ED171" s="11" t="s">
        <v>81</v>
      </c>
      <c r="EE171" s="11" t="s">
        <v>32</v>
      </c>
      <c r="EF171" s="11" t="s">
        <v>74</v>
      </c>
      <c r="EG171" s="144" t="s">
        <v>282</v>
      </c>
    </row>
    <row r="172" spans="2:151" s="12" customFormat="1" x14ac:dyDescent="0.2">
      <c r="B172" s="149"/>
      <c r="D172" s="138" t="s">
        <v>301</v>
      </c>
      <c r="E172" s="150" t="s">
        <v>1</v>
      </c>
      <c r="F172" s="151" t="s">
        <v>1324</v>
      </c>
      <c r="H172" s="152">
        <v>1.17</v>
      </c>
      <c r="I172" s="153"/>
      <c r="L172" s="149"/>
      <c r="N172" s="217">
        <f>10.728*0.1</f>
        <v>1.0728</v>
      </c>
      <c r="O172" s="218" t="s">
        <v>3718</v>
      </c>
      <c r="Q172" s="231"/>
      <c r="CU172" s="154"/>
      <c r="DB172" s="155"/>
      <c r="EB172" s="150" t="s">
        <v>301</v>
      </c>
      <c r="EC172" s="150" t="s">
        <v>83</v>
      </c>
      <c r="ED172" s="12" t="s">
        <v>83</v>
      </c>
      <c r="EE172" s="12" t="s">
        <v>32</v>
      </c>
      <c r="EF172" s="12" t="s">
        <v>74</v>
      </c>
      <c r="EG172" s="150" t="s">
        <v>282</v>
      </c>
    </row>
    <row r="173" spans="2:151" s="13" customFormat="1" x14ac:dyDescent="0.2">
      <c r="B173" s="156"/>
      <c r="D173" s="138" t="s">
        <v>301</v>
      </c>
      <c r="E173" s="157" t="s">
        <v>1</v>
      </c>
      <c r="F173" s="158" t="s">
        <v>305</v>
      </c>
      <c r="H173" s="159">
        <v>70.786000000000001</v>
      </c>
      <c r="I173" s="160"/>
      <c r="L173" s="156"/>
      <c r="N173" s="219">
        <f>N170+N172</f>
        <v>64.904799999999994</v>
      </c>
      <c r="O173" s="220"/>
      <c r="Q173" s="232"/>
      <c r="CU173" s="161"/>
      <c r="DB173" s="162"/>
      <c r="EB173" s="157" t="s">
        <v>301</v>
      </c>
      <c r="EC173" s="157" t="s">
        <v>83</v>
      </c>
      <c r="ED173" s="13" t="s">
        <v>95</v>
      </c>
      <c r="EE173" s="13" t="s">
        <v>32</v>
      </c>
      <c r="EF173" s="13" t="s">
        <v>81</v>
      </c>
      <c r="EG173" s="157" t="s">
        <v>282</v>
      </c>
    </row>
    <row r="174" spans="2:151" s="13" customFormat="1" x14ac:dyDescent="0.2">
      <c r="B174" s="156"/>
      <c r="D174" s="138"/>
      <c r="E174" s="157"/>
      <c r="F174" s="158"/>
      <c r="H174" s="159"/>
      <c r="I174" s="160"/>
      <c r="L174" s="156"/>
      <c r="N174" s="311">
        <f>N173-H173</f>
        <v>-5.8812000000000069</v>
      </c>
      <c r="O174" s="220"/>
      <c r="Q174" s="232"/>
      <c r="CU174" s="161"/>
      <c r="DB174" s="162"/>
      <c r="EB174" s="157"/>
      <c r="EC174" s="157"/>
      <c r="EG174" s="157"/>
    </row>
    <row r="175" spans="2:151" s="1" customFormat="1" ht="37.9" customHeight="1" x14ac:dyDescent="0.2">
      <c r="B175" s="124"/>
      <c r="C175" s="125" t="s">
        <v>348</v>
      </c>
      <c r="D175" s="125" t="s">
        <v>284</v>
      </c>
      <c r="E175" s="126" t="s">
        <v>978</v>
      </c>
      <c r="F175" s="127" t="s">
        <v>979</v>
      </c>
      <c r="G175" s="128" t="s">
        <v>366</v>
      </c>
      <c r="H175" s="129">
        <v>7.2149999999999999</v>
      </c>
      <c r="I175" s="130">
        <v>282.06861194786097</v>
      </c>
      <c r="J175" s="131">
        <f>ROUND(I175*H175,2)</f>
        <v>2035.13</v>
      </c>
      <c r="K175" s="127" t="s">
        <v>1</v>
      </c>
      <c r="L175" s="268">
        <f>S175</f>
        <v>0</v>
      </c>
      <c r="M175" s="272">
        <f>ROUND(L175*I175,2)</f>
        <v>0</v>
      </c>
      <c r="N175" s="243"/>
      <c r="O175" s="294">
        <f>ROUND(N175*I175,2)</f>
        <v>0</v>
      </c>
      <c r="P175" s="273">
        <f>H175-L175-N175</f>
        <v>7.2149999999999999</v>
      </c>
      <c r="Q175" s="287">
        <f>ROUND(P175*I175,2)</f>
        <v>2035.13</v>
      </c>
      <c r="R175" s="137"/>
      <c r="S175" s="269">
        <f>W175+Y175+AA175+AC175+AE175+AG175+AI175+AK175+AM175</f>
        <v>0</v>
      </c>
      <c r="T175" s="269">
        <f>ROUND(S175*I175,2)</f>
        <v>0</v>
      </c>
      <c r="U175" s="269">
        <f>H175-S175</f>
        <v>7.2149999999999999</v>
      </c>
      <c r="V175" s="269">
        <f>ROUND(U175*I175,2)</f>
        <v>2035.13</v>
      </c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CU175" s="132" t="s">
        <v>1</v>
      </c>
      <c r="CV175" s="133" t="s">
        <v>40</v>
      </c>
      <c r="CX175" s="134">
        <f>CW175*H175</f>
        <v>0</v>
      </c>
      <c r="CY175" s="134">
        <v>0</v>
      </c>
      <c r="CZ175" s="134">
        <f>CY175*H175</f>
        <v>0</v>
      </c>
      <c r="DA175" s="134">
        <v>0</v>
      </c>
      <c r="DB175" s="135">
        <f>DA175*H175</f>
        <v>0</v>
      </c>
      <c r="DZ175" s="136" t="s">
        <v>95</v>
      </c>
      <c r="EB175" s="136" t="s">
        <v>284</v>
      </c>
      <c r="EC175" s="136" t="s">
        <v>83</v>
      </c>
      <c r="EG175" s="16" t="s">
        <v>282</v>
      </c>
      <c r="EM175" s="137">
        <f>IF(CV175="základní",J175,0)</f>
        <v>2035.13</v>
      </c>
      <c r="EN175" s="137">
        <f>IF(CV175="snížená",J175,0)</f>
        <v>0</v>
      </c>
      <c r="EO175" s="137">
        <f>IF(CV175="zákl. přenesená",J175,0)</f>
        <v>0</v>
      </c>
      <c r="EP175" s="137">
        <f>IF(CV175="sníž. přenesená",J175,0)</f>
        <v>0</v>
      </c>
      <c r="EQ175" s="137">
        <f>IF(CV175="nulová",J175,0)</f>
        <v>0</v>
      </c>
      <c r="ER175" s="16" t="s">
        <v>81</v>
      </c>
      <c r="ES175" s="137">
        <f>ROUND(I175*H175,2)</f>
        <v>2035.13</v>
      </c>
      <c r="ET175" s="16" t="s">
        <v>95</v>
      </c>
      <c r="EU175" s="136" t="s">
        <v>980</v>
      </c>
    </row>
    <row r="176" spans="2:151" s="1" customFormat="1" ht="39" x14ac:dyDescent="0.2">
      <c r="B176" s="31"/>
      <c r="D176" s="138" t="s">
        <v>289</v>
      </c>
      <c r="F176" s="139" t="s">
        <v>401</v>
      </c>
      <c r="I176" s="140"/>
      <c r="L176" s="31"/>
      <c r="N176" s="213"/>
      <c r="O176" s="214"/>
      <c r="Q176" s="229"/>
      <c r="CU176" s="141"/>
      <c r="DB176" s="50"/>
      <c r="EB176" s="16" t="s">
        <v>289</v>
      </c>
      <c r="EC176" s="16" t="s">
        <v>83</v>
      </c>
    </row>
    <row r="177" spans="2:151" s="1" customFormat="1" ht="37.9" customHeight="1" x14ac:dyDescent="0.2">
      <c r="B177" s="124"/>
      <c r="C177" s="125" t="s">
        <v>327</v>
      </c>
      <c r="D177" s="125" t="s">
        <v>284</v>
      </c>
      <c r="E177" s="126" t="s">
        <v>405</v>
      </c>
      <c r="F177" s="127" t="s">
        <v>406</v>
      </c>
      <c r="G177" s="128" t="s">
        <v>366</v>
      </c>
      <c r="H177" s="129">
        <v>353.93</v>
      </c>
      <c r="I177" s="130">
        <v>3.4208109177592001</v>
      </c>
      <c r="J177" s="131">
        <f>ROUND(I177*H177,2)</f>
        <v>1210.73</v>
      </c>
      <c r="K177" s="127" t="s">
        <v>293</v>
      </c>
      <c r="L177" s="268">
        <f>S177</f>
        <v>0</v>
      </c>
      <c r="M177" s="272">
        <f>ROUND(L177*I177,2)</f>
        <v>0</v>
      </c>
      <c r="N177" s="243">
        <f>N180</f>
        <v>-29.40500000000003</v>
      </c>
      <c r="O177" s="294">
        <f>ROUND(N177*I177,2)</f>
        <v>-100.59</v>
      </c>
      <c r="P177" s="273">
        <f>H177-L177-N177</f>
        <v>383.33500000000004</v>
      </c>
      <c r="Q177" s="287">
        <f>ROUND(P177*I177,2)</f>
        <v>1311.32</v>
      </c>
      <c r="R177" s="137"/>
      <c r="S177" s="269">
        <f>W177+Y177+AA177+AC177+AE177+AG177+AI177+AK177+AM177</f>
        <v>0</v>
      </c>
      <c r="T177" s="269">
        <f>ROUND(S177*I177,2)</f>
        <v>0</v>
      </c>
      <c r="U177" s="269">
        <f>H177-S177</f>
        <v>353.93</v>
      </c>
      <c r="V177" s="269">
        <f>ROUND(U177*I177,2)</f>
        <v>1210.73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CU177" s="132" t="s">
        <v>1</v>
      </c>
      <c r="CV177" s="133" t="s">
        <v>40</v>
      </c>
      <c r="CX177" s="134">
        <f>CW177*H177</f>
        <v>0</v>
      </c>
      <c r="CY177" s="134">
        <v>0</v>
      </c>
      <c r="CZ177" s="134">
        <f>CY177*H177</f>
        <v>0</v>
      </c>
      <c r="DA177" s="134">
        <v>0</v>
      </c>
      <c r="DB177" s="135">
        <f>DA177*H177</f>
        <v>0</v>
      </c>
      <c r="DZ177" s="136" t="s">
        <v>95</v>
      </c>
      <c r="EB177" s="136" t="s">
        <v>284</v>
      </c>
      <c r="EC177" s="136" t="s">
        <v>83</v>
      </c>
      <c r="EG177" s="16" t="s">
        <v>282</v>
      </c>
      <c r="EM177" s="137">
        <f>IF(CV177="základní",J177,0)</f>
        <v>1210.73</v>
      </c>
      <c r="EN177" s="137">
        <f>IF(CV177="snížená",J177,0)</f>
        <v>0</v>
      </c>
      <c r="EO177" s="137">
        <f>IF(CV177="zákl. přenesená",J177,0)</f>
        <v>0</v>
      </c>
      <c r="EP177" s="137">
        <f>IF(CV177="sníž. přenesená",J177,0)</f>
        <v>0</v>
      </c>
      <c r="EQ177" s="137">
        <f>IF(CV177="nulová",J177,0)</f>
        <v>0</v>
      </c>
      <c r="ER177" s="16" t="s">
        <v>81</v>
      </c>
      <c r="ES177" s="137">
        <f>ROUND(I177*H177,2)</f>
        <v>1210.73</v>
      </c>
      <c r="ET177" s="16" t="s">
        <v>95</v>
      </c>
      <c r="EU177" s="136" t="s">
        <v>407</v>
      </c>
    </row>
    <row r="178" spans="2:151" s="1" customFormat="1" ht="48.75" x14ac:dyDescent="0.2">
      <c r="B178" s="31"/>
      <c r="D178" s="138" t="s">
        <v>289</v>
      </c>
      <c r="F178" s="139" t="s">
        <v>408</v>
      </c>
      <c r="I178" s="140"/>
      <c r="L178" s="31"/>
      <c r="N178" s="213"/>
      <c r="O178" s="214"/>
      <c r="Q178" s="229"/>
      <c r="CU178" s="141"/>
      <c r="DB178" s="50"/>
      <c r="EB178" s="16" t="s">
        <v>289</v>
      </c>
      <c r="EC178" s="16" t="s">
        <v>83</v>
      </c>
    </row>
    <row r="179" spans="2:151" s="12" customFormat="1" x14ac:dyDescent="0.2">
      <c r="B179" s="149"/>
      <c r="D179" s="138" t="s">
        <v>301</v>
      </c>
      <c r="F179" s="151" t="s">
        <v>1325</v>
      </c>
      <c r="H179" s="152">
        <v>353.93</v>
      </c>
      <c r="I179" s="153"/>
      <c r="L179" s="149"/>
      <c r="N179" s="217">
        <f>64.905*5</f>
        <v>324.52499999999998</v>
      </c>
      <c r="O179" s="218" t="s">
        <v>3719</v>
      </c>
      <c r="Q179" s="231"/>
      <c r="CU179" s="154"/>
      <c r="DB179" s="155"/>
      <c r="EB179" s="150" t="s">
        <v>301</v>
      </c>
      <c r="EC179" s="150" t="s">
        <v>83</v>
      </c>
      <c r="ED179" s="12" t="s">
        <v>83</v>
      </c>
      <c r="EE179" s="12" t="s">
        <v>3</v>
      </c>
      <c r="EF179" s="12" t="s">
        <v>81</v>
      </c>
      <c r="EG179" s="150" t="s">
        <v>282</v>
      </c>
    </row>
    <row r="180" spans="2:151" s="12" customFormat="1" x14ac:dyDescent="0.2">
      <c r="B180" s="149"/>
      <c r="D180" s="138"/>
      <c r="F180" s="151"/>
      <c r="H180" s="152"/>
      <c r="I180" s="153"/>
      <c r="L180" s="149"/>
      <c r="N180" s="310">
        <f>N179-H179</f>
        <v>-29.40500000000003</v>
      </c>
      <c r="O180" s="218"/>
      <c r="Q180" s="231"/>
      <c r="CU180" s="154"/>
      <c r="DB180" s="155"/>
      <c r="EB180" s="150"/>
      <c r="EC180" s="150"/>
      <c r="EG180" s="150"/>
    </row>
    <row r="181" spans="2:151" s="1" customFormat="1" ht="37.9" customHeight="1" x14ac:dyDescent="0.2">
      <c r="B181" s="124"/>
      <c r="C181" s="125" t="s">
        <v>359</v>
      </c>
      <c r="D181" s="125" t="s">
        <v>284</v>
      </c>
      <c r="E181" s="126" t="s">
        <v>982</v>
      </c>
      <c r="F181" s="127" t="s">
        <v>983</v>
      </c>
      <c r="G181" s="128" t="s">
        <v>366</v>
      </c>
      <c r="H181" s="129">
        <v>36.075000000000003</v>
      </c>
      <c r="I181" s="130">
        <v>3.4208109177592001</v>
      </c>
      <c r="J181" s="131">
        <f>ROUND(I181*H181,2)</f>
        <v>123.41</v>
      </c>
      <c r="K181" s="127" t="s">
        <v>1</v>
      </c>
      <c r="L181" s="268">
        <f>S181</f>
        <v>0</v>
      </c>
      <c r="M181" s="272">
        <f>ROUND(L181*I181,2)</f>
        <v>0</v>
      </c>
      <c r="N181" s="243"/>
      <c r="O181" s="294">
        <f>ROUND(N181*I181,2)</f>
        <v>0</v>
      </c>
      <c r="P181" s="273">
        <f>H181-L181-N181</f>
        <v>36.075000000000003</v>
      </c>
      <c r="Q181" s="287">
        <f>ROUND(P181*I181,2)</f>
        <v>123.41</v>
      </c>
      <c r="R181" s="137"/>
      <c r="S181" s="269">
        <f>W181+Y181+AA181+AC181+AE181+AG181+AI181+AK181+AM181</f>
        <v>0</v>
      </c>
      <c r="T181" s="269">
        <f>ROUND(S181*I181,2)</f>
        <v>0</v>
      </c>
      <c r="U181" s="269">
        <f>H181-S181</f>
        <v>36.075000000000003</v>
      </c>
      <c r="V181" s="269">
        <f>ROUND(U181*I181,2)</f>
        <v>123.41</v>
      </c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CU181" s="132" t="s">
        <v>1</v>
      </c>
      <c r="CV181" s="133" t="s">
        <v>40</v>
      </c>
      <c r="CX181" s="134">
        <f>CW181*H181</f>
        <v>0</v>
      </c>
      <c r="CY181" s="134">
        <v>0</v>
      </c>
      <c r="CZ181" s="134">
        <f>CY181*H181</f>
        <v>0</v>
      </c>
      <c r="DA181" s="134">
        <v>0</v>
      </c>
      <c r="DB181" s="135">
        <f>DA181*H181</f>
        <v>0</v>
      </c>
      <c r="DZ181" s="136" t="s">
        <v>95</v>
      </c>
      <c r="EB181" s="136" t="s">
        <v>284</v>
      </c>
      <c r="EC181" s="136" t="s">
        <v>83</v>
      </c>
      <c r="EG181" s="16" t="s">
        <v>282</v>
      </c>
      <c r="EM181" s="137">
        <f>IF(CV181="základní",J181,0)</f>
        <v>123.41</v>
      </c>
      <c r="EN181" s="137">
        <f>IF(CV181="snížená",J181,0)</f>
        <v>0</v>
      </c>
      <c r="EO181" s="137">
        <f>IF(CV181="zákl. přenesená",J181,0)</f>
        <v>0</v>
      </c>
      <c r="EP181" s="137">
        <f>IF(CV181="sníž. přenesená",J181,0)</f>
        <v>0</v>
      </c>
      <c r="EQ181" s="137">
        <f>IF(CV181="nulová",J181,0)</f>
        <v>0</v>
      </c>
      <c r="ER181" s="16" t="s">
        <v>81</v>
      </c>
      <c r="ES181" s="137">
        <f>ROUND(I181*H181,2)</f>
        <v>123.41</v>
      </c>
      <c r="ET181" s="16" t="s">
        <v>95</v>
      </c>
      <c r="EU181" s="136" t="s">
        <v>984</v>
      </c>
    </row>
    <row r="182" spans="2:151" s="1" customFormat="1" ht="48.75" x14ac:dyDescent="0.2">
      <c r="B182" s="31"/>
      <c r="D182" s="138" t="s">
        <v>289</v>
      </c>
      <c r="F182" s="139" t="s">
        <v>408</v>
      </c>
      <c r="I182" s="140"/>
      <c r="L182" s="31"/>
      <c r="N182" s="213"/>
      <c r="O182" s="214"/>
      <c r="Q182" s="229"/>
      <c r="CU182" s="141"/>
      <c r="DB182" s="50"/>
      <c r="EB182" s="16" t="s">
        <v>289</v>
      </c>
      <c r="EC182" s="16" t="s">
        <v>83</v>
      </c>
    </row>
    <row r="183" spans="2:151" s="12" customFormat="1" x14ac:dyDescent="0.2">
      <c r="B183" s="149"/>
      <c r="D183" s="138" t="s">
        <v>301</v>
      </c>
      <c r="F183" s="151" t="s">
        <v>1326</v>
      </c>
      <c r="H183" s="152">
        <v>36.075000000000003</v>
      </c>
      <c r="I183" s="153"/>
      <c r="L183" s="149"/>
      <c r="N183" s="217"/>
      <c r="O183" s="218"/>
      <c r="Q183" s="231"/>
      <c r="CU183" s="154"/>
      <c r="DB183" s="155"/>
      <c r="EB183" s="150" t="s">
        <v>301</v>
      </c>
      <c r="EC183" s="150" t="s">
        <v>83</v>
      </c>
      <c r="ED183" s="12" t="s">
        <v>83</v>
      </c>
      <c r="EE183" s="12" t="s">
        <v>3</v>
      </c>
      <c r="EF183" s="12" t="s">
        <v>81</v>
      </c>
      <c r="EG183" s="150" t="s">
        <v>282</v>
      </c>
    </row>
    <row r="184" spans="2:151" s="1" customFormat="1" ht="24.2" customHeight="1" x14ac:dyDescent="0.2">
      <c r="B184" s="124"/>
      <c r="C184" s="125" t="s">
        <v>363</v>
      </c>
      <c r="D184" s="125" t="s">
        <v>284</v>
      </c>
      <c r="E184" s="126" t="s">
        <v>986</v>
      </c>
      <c r="F184" s="127" t="s">
        <v>987</v>
      </c>
      <c r="G184" s="128" t="s">
        <v>366</v>
      </c>
      <c r="H184" s="129">
        <v>7.2149999999999999</v>
      </c>
      <c r="I184" s="130">
        <v>43.080493951075745</v>
      </c>
      <c r="J184" s="131">
        <f>ROUND(I184*H184,2)</f>
        <v>310.83</v>
      </c>
      <c r="K184" s="127" t="s">
        <v>293</v>
      </c>
      <c r="L184" s="268">
        <f>S184</f>
        <v>0</v>
      </c>
      <c r="M184" s="272">
        <f>ROUND(L184*I184,2)</f>
        <v>0</v>
      </c>
      <c r="N184" s="243">
        <f>N193</f>
        <v>-0.59940000000000015</v>
      </c>
      <c r="O184" s="294">
        <f>ROUND(N184*I184,2)</f>
        <v>-25.82</v>
      </c>
      <c r="P184" s="273">
        <f>H184-L184-N184</f>
        <v>7.8144</v>
      </c>
      <c r="Q184" s="287">
        <f>ROUND(P184*I184,2)</f>
        <v>336.65</v>
      </c>
      <c r="R184" s="137"/>
      <c r="S184" s="269">
        <f>W184+Y184+AA184+AC184+AE184+AG184+AI184+AK184+AM184</f>
        <v>0</v>
      </c>
      <c r="T184" s="269">
        <f>ROUND(S184*I184,2)</f>
        <v>0</v>
      </c>
      <c r="U184" s="269">
        <f>H184-S184</f>
        <v>7.2149999999999999</v>
      </c>
      <c r="V184" s="269">
        <f>ROUND(U184*I184,2)</f>
        <v>310.83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CU184" s="132" t="s">
        <v>1</v>
      </c>
      <c r="CV184" s="133" t="s">
        <v>40</v>
      </c>
      <c r="CX184" s="134">
        <f>CW184*H184</f>
        <v>0</v>
      </c>
      <c r="CY184" s="134">
        <v>0</v>
      </c>
      <c r="CZ184" s="134">
        <f>CY184*H184</f>
        <v>0</v>
      </c>
      <c r="DA184" s="134">
        <v>0</v>
      </c>
      <c r="DB184" s="135">
        <f>DA184*H184</f>
        <v>0</v>
      </c>
      <c r="DZ184" s="136" t="s">
        <v>95</v>
      </c>
      <c r="EB184" s="136" t="s">
        <v>284</v>
      </c>
      <c r="EC184" s="136" t="s">
        <v>83</v>
      </c>
      <c r="EG184" s="16" t="s">
        <v>282</v>
      </c>
      <c r="EM184" s="137">
        <f>IF(CV184="základní",J184,0)</f>
        <v>310.83</v>
      </c>
      <c r="EN184" s="137">
        <f>IF(CV184="snížená",J184,0)</f>
        <v>0</v>
      </c>
      <c r="EO184" s="137">
        <f>IF(CV184="zákl. přenesená",J184,0)</f>
        <v>0</v>
      </c>
      <c r="EP184" s="137">
        <f>IF(CV184="sníž. přenesená",J184,0)</f>
        <v>0</v>
      </c>
      <c r="EQ184" s="137">
        <f>IF(CV184="nulová",J184,0)</f>
        <v>0</v>
      </c>
      <c r="ER184" s="16" t="s">
        <v>81</v>
      </c>
      <c r="ES184" s="137">
        <f>ROUND(I184*H184,2)</f>
        <v>310.83</v>
      </c>
      <c r="ET184" s="16" t="s">
        <v>95</v>
      </c>
      <c r="EU184" s="136" t="s">
        <v>988</v>
      </c>
    </row>
    <row r="185" spans="2:151" s="1" customFormat="1" ht="29.25" x14ac:dyDescent="0.2">
      <c r="B185" s="31"/>
      <c r="D185" s="138" t="s">
        <v>289</v>
      </c>
      <c r="F185" s="139" t="s">
        <v>989</v>
      </c>
      <c r="I185" s="140"/>
      <c r="L185" s="31"/>
      <c r="N185" s="213"/>
      <c r="O185" s="214"/>
      <c r="Q185" s="229"/>
      <c r="CU185" s="141"/>
      <c r="DB185" s="50"/>
      <c r="EB185" s="16" t="s">
        <v>289</v>
      </c>
      <c r="EC185" s="16" t="s">
        <v>83</v>
      </c>
    </row>
    <row r="186" spans="2:151" s="11" customFormat="1" x14ac:dyDescent="0.2">
      <c r="B186" s="143"/>
      <c r="D186" s="138" t="s">
        <v>301</v>
      </c>
      <c r="E186" s="144" t="s">
        <v>1</v>
      </c>
      <c r="F186" s="145" t="s">
        <v>976</v>
      </c>
      <c r="H186" s="144" t="s">
        <v>1</v>
      </c>
      <c r="I186" s="146"/>
      <c r="L186" s="143"/>
      <c r="N186" s="215"/>
      <c r="O186" s="216"/>
      <c r="Q186" s="230"/>
      <c r="CU186" s="147"/>
      <c r="DB186" s="148"/>
      <c r="EB186" s="144" t="s">
        <v>301</v>
      </c>
      <c r="EC186" s="144" t="s">
        <v>83</v>
      </c>
      <c r="ED186" s="11" t="s">
        <v>81</v>
      </c>
      <c r="EE186" s="11" t="s">
        <v>32</v>
      </c>
      <c r="EF186" s="11" t="s">
        <v>74</v>
      </c>
      <c r="EG186" s="144" t="s">
        <v>282</v>
      </c>
    </row>
    <row r="187" spans="2:151" s="12" customFormat="1" x14ac:dyDescent="0.2">
      <c r="B187" s="149"/>
      <c r="D187" s="138" t="s">
        <v>301</v>
      </c>
      <c r="E187" s="150" t="s">
        <v>1</v>
      </c>
      <c r="F187" s="151" t="s">
        <v>1324</v>
      </c>
      <c r="H187" s="152">
        <v>1.17</v>
      </c>
      <c r="I187" s="153"/>
      <c r="L187" s="149"/>
      <c r="N187" s="217">
        <f>10.728*0.1</f>
        <v>1.0728</v>
      </c>
      <c r="O187" s="218" t="s">
        <v>3718</v>
      </c>
      <c r="Q187" s="231"/>
      <c r="CU187" s="154"/>
      <c r="DB187" s="155"/>
      <c r="EB187" s="150" t="s">
        <v>301</v>
      </c>
      <c r="EC187" s="150" t="s">
        <v>83</v>
      </c>
      <c r="ED187" s="12" t="s">
        <v>83</v>
      </c>
      <c r="EE187" s="12" t="s">
        <v>32</v>
      </c>
      <c r="EF187" s="12" t="s">
        <v>74</v>
      </c>
      <c r="EG187" s="150" t="s">
        <v>282</v>
      </c>
    </row>
    <row r="188" spans="2:151" s="14" customFormat="1" x14ac:dyDescent="0.2">
      <c r="B188" s="163"/>
      <c r="D188" s="138" t="s">
        <v>301</v>
      </c>
      <c r="E188" s="164" t="s">
        <v>1</v>
      </c>
      <c r="F188" s="165" t="s">
        <v>373</v>
      </c>
      <c r="H188" s="166">
        <v>1.17</v>
      </c>
      <c r="I188" s="167"/>
      <c r="L188" s="163"/>
      <c r="N188" s="221">
        <f>N187</f>
        <v>1.0728</v>
      </c>
      <c r="O188" s="222"/>
      <c r="Q188" s="233"/>
      <c r="CU188" s="168"/>
      <c r="DB188" s="169"/>
      <c r="EB188" s="164" t="s">
        <v>301</v>
      </c>
      <c r="EC188" s="164" t="s">
        <v>83</v>
      </c>
      <c r="ED188" s="14" t="s">
        <v>90</v>
      </c>
      <c r="EE188" s="14" t="s">
        <v>32</v>
      </c>
      <c r="EF188" s="14" t="s">
        <v>74</v>
      </c>
      <c r="EG188" s="164" t="s">
        <v>282</v>
      </c>
    </row>
    <row r="189" spans="2:151" s="11" customFormat="1" x14ac:dyDescent="0.2">
      <c r="B189" s="143"/>
      <c r="D189" s="138" t="s">
        <v>301</v>
      </c>
      <c r="E189" s="144" t="s">
        <v>1</v>
      </c>
      <c r="F189" s="145" t="s">
        <v>1102</v>
      </c>
      <c r="H189" s="144" t="s">
        <v>1</v>
      </c>
      <c r="I189" s="146"/>
      <c r="L189" s="143"/>
      <c r="N189" s="215"/>
      <c r="O189" s="216"/>
      <c r="Q189" s="230"/>
      <c r="CU189" s="147"/>
      <c r="DB189" s="148"/>
      <c r="EB189" s="144" t="s">
        <v>301</v>
      </c>
      <c r="EC189" s="144" t="s">
        <v>83</v>
      </c>
      <c r="ED189" s="11" t="s">
        <v>81</v>
      </c>
      <c r="EE189" s="11" t="s">
        <v>32</v>
      </c>
      <c r="EF189" s="11" t="s">
        <v>74</v>
      </c>
      <c r="EG189" s="144" t="s">
        <v>282</v>
      </c>
    </row>
    <row r="190" spans="2:151" s="12" customFormat="1" x14ac:dyDescent="0.2">
      <c r="B190" s="149"/>
      <c r="D190" s="138" t="s">
        <v>301</v>
      </c>
      <c r="E190" s="150" t="s">
        <v>1</v>
      </c>
      <c r="F190" s="151" t="s">
        <v>1327</v>
      </c>
      <c r="H190" s="152">
        <v>6.0449999999999999</v>
      </c>
      <c r="I190" s="153"/>
      <c r="L190" s="149"/>
      <c r="N190" s="217">
        <f>35.76*1*(2.2-0.1-0.45-0.1)*0.1</f>
        <v>5.5427999999999997</v>
      </c>
      <c r="O190" s="218" t="s">
        <v>3720</v>
      </c>
      <c r="Q190" s="231"/>
      <c r="CU190" s="154"/>
      <c r="DB190" s="155"/>
      <c r="EB190" s="150" t="s">
        <v>301</v>
      </c>
      <c r="EC190" s="150" t="s">
        <v>83</v>
      </c>
      <c r="ED190" s="12" t="s">
        <v>83</v>
      </c>
      <c r="EE190" s="12" t="s">
        <v>32</v>
      </c>
      <c r="EF190" s="12" t="s">
        <v>74</v>
      </c>
      <c r="EG190" s="150" t="s">
        <v>282</v>
      </c>
    </row>
    <row r="191" spans="2:151" s="14" customFormat="1" x14ac:dyDescent="0.2">
      <c r="B191" s="163"/>
      <c r="D191" s="138" t="s">
        <v>301</v>
      </c>
      <c r="E191" s="164" t="s">
        <v>1</v>
      </c>
      <c r="F191" s="165" t="s">
        <v>373</v>
      </c>
      <c r="H191" s="166">
        <v>6.0449999999999999</v>
      </c>
      <c r="I191" s="167"/>
      <c r="L191" s="163"/>
      <c r="N191" s="221">
        <f>N190</f>
        <v>5.5427999999999997</v>
      </c>
      <c r="O191" s="222"/>
      <c r="Q191" s="233"/>
      <c r="CU191" s="168"/>
      <c r="DB191" s="169"/>
      <c r="EB191" s="164" t="s">
        <v>301</v>
      </c>
      <c r="EC191" s="164" t="s">
        <v>83</v>
      </c>
      <c r="ED191" s="14" t="s">
        <v>90</v>
      </c>
      <c r="EE191" s="14" t="s">
        <v>32</v>
      </c>
      <c r="EF191" s="14" t="s">
        <v>74</v>
      </c>
      <c r="EG191" s="164" t="s">
        <v>282</v>
      </c>
    </row>
    <row r="192" spans="2:151" s="13" customFormat="1" x14ac:dyDescent="0.2">
      <c r="B192" s="156"/>
      <c r="D192" s="138" t="s">
        <v>301</v>
      </c>
      <c r="E192" s="157" t="s">
        <v>1</v>
      </c>
      <c r="F192" s="158" t="s">
        <v>305</v>
      </c>
      <c r="H192" s="159">
        <v>7.2149999999999999</v>
      </c>
      <c r="I192" s="160"/>
      <c r="L192" s="156"/>
      <c r="N192" s="219">
        <f>N188+N191</f>
        <v>6.6155999999999997</v>
      </c>
      <c r="O192" s="220"/>
      <c r="Q192" s="232"/>
      <c r="CU192" s="161"/>
      <c r="DB192" s="162"/>
      <c r="EB192" s="157" t="s">
        <v>301</v>
      </c>
      <c r="EC192" s="157" t="s">
        <v>83</v>
      </c>
      <c r="ED192" s="13" t="s">
        <v>95</v>
      </c>
      <c r="EE192" s="13" t="s">
        <v>32</v>
      </c>
      <c r="EF192" s="13" t="s">
        <v>81</v>
      </c>
      <c r="EG192" s="157" t="s">
        <v>282</v>
      </c>
    </row>
    <row r="193" spans="2:151" s="13" customFormat="1" x14ac:dyDescent="0.2">
      <c r="B193" s="156"/>
      <c r="D193" s="138"/>
      <c r="E193" s="157"/>
      <c r="F193" s="158"/>
      <c r="H193" s="159"/>
      <c r="I193" s="160"/>
      <c r="L193" s="156"/>
      <c r="N193" s="311">
        <f>N192-H192</f>
        <v>-0.59940000000000015</v>
      </c>
      <c r="O193" s="220"/>
      <c r="Q193" s="232"/>
      <c r="CU193" s="161"/>
      <c r="DB193" s="162"/>
      <c r="EB193" s="157"/>
      <c r="EC193" s="157"/>
      <c r="EG193" s="157"/>
    </row>
    <row r="194" spans="2:151" s="1" customFormat="1" ht="24.2" customHeight="1" x14ac:dyDescent="0.2">
      <c r="B194" s="124"/>
      <c r="C194" s="125" t="s">
        <v>8</v>
      </c>
      <c r="D194" s="125" t="s">
        <v>284</v>
      </c>
      <c r="E194" s="126" t="s">
        <v>410</v>
      </c>
      <c r="F194" s="127" t="s">
        <v>411</v>
      </c>
      <c r="G194" s="128" t="s">
        <v>287</v>
      </c>
      <c r="H194" s="129">
        <v>39</v>
      </c>
      <c r="I194" s="130">
        <v>6.3644601414457247</v>
      </c>
      <c r="J194" s="131">
        <f>ROUND(I194*H194,2)</f>
        <v>248.21</v>
      </c>
      <c r="K194" s="127" t="s">
        <v>293</v>
      </c>
      <c r="L194" s="268">
        <f>S194</f>
        <v>0</v>
      </c>
      <c r="M194" s="272">
        <f>ROUND(L194*I194,2)</f>
        <v>0</v>
      </c>
      <c r="N194" s="243">
        <f>N198</f>
        <v>-3.240000000000002</v>
      </c>
      <c r="O194" s="294">
        <f>ROUND(N194*I194,2)</f>
        <v>-20.62</v>
      </c>
      <c r="P194" s="273">
        <f>H194-L194-N194</f>
        <v>42.24</v>
      </c>
      <c r="Q194" s="287">
        <f>ROUND(P194*I194,2)</f>
        <v>268.83</v>
      </c>
      <c r="R194" s="137"/>
      <c r="S194" s="269">
        <f>W194+Y194+AA194+AC194+AE194+AG194+AI194+AK194+AM194</f>
        <v>0</v>
      </c>
      <c r="T194" s="269">
        <f>ROUND(S194*I194,2)</f>
        <v>0</v>
      </c>
      <c r="U194" s="269">
        <f>H194-S194</f>
        <v>39</v>
      </c>
      <c r="V194" s="269">
        <f>ROUND(U194*I194,2)</f>
        <v>248.21</v>
      </c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CU194" s="132" t="s">
        <v>1</v>
      </c>
      <c r="CV194" s="133" t="s">
        <v>40</v>
      </c>
      <c r="CX194" s="134">
        <f>CW194*H194</f>
        <v>0</v>
      </c>
      <c r="CY194" s="134">
        <v>0</v>
      </c>
      <c r="CZ194" s="134">
        <f>CY194*H194</f>
        <v>0</v>
      </c>
      <c r="DA194" s="134">
        <v>0</v>
      </c>
      <c r="DB194" s="135">
        <f>DA194*H194</f>
        <v>0</v>
      </c>
      <c r="DZ194" s="136" t="s">
        <v>95</v>
      </c>
      <c r="EB194" s="136" t="s">
        <v>284</v>
      </c>
      <c r="EC194" s="136" t="s">
        <v>83</v>
      </c>
      <c r="EG194" s="16" t="s">
        <v>282</v>
      </c>
      <c r="EM194" s="137">
        <f>IF(CV194="základní",J194,0)</f>
        <v>248.21</v>
      </c>
      <c r="EN194" s="137">
        <f>IF(CV194="snížená",J194,0)</f>
        <v>0</v>
      </c>
      <c r="EO194" s="137">
        <f>IF(CV194="zákl. přenesená",J194,0)</f>
        <v>0</v>
      </c>
      <c r="EP194" s="137">
        <f>IF(CV194="sníž. přenesená",J194,0)</f>
        <v>0</v>
      </c>
      <c r="EQ194" s="137">
        <f>IF(CV194="nulová",J194,0)</f>
        <v>0</v>
      </c>
      <c r="ER194" s="16" t="s">
        <v>81</v>
      </c>
      <c r="ES194" s="137">
        <f>ROUND(I194*H194,2)</f>
        <v>248.21</v>
      </c>
      <c r="ET194" s="16" t="s">
        <v>95</v>
      </c>
      <c r="EU194" s="136" t="s">
        <v>412</v>
      </c>
    </row>
    <row r="195" spans="2:151" s="1" customFormat="1" ht="19.5" x14ac:dyDescent="0.2">
      <c r="B195" s="31"/>
      <c r="D195" s="138" t="s">
        <v>289</v>
      </c>
      <c r="F195" s="139" t="s">
        <v>413</v>
      </c>
      <c r="I195" s="140"/>
      <c r="L195" s="31"/>
      <c r="N195" s="213"/>
      <c r="O195" s="214"/>
      <c r="Q195" s="229"/>
      <c r="CU195" s="141"/>
      <c r="DB195" s="50"/>
      <c r="EB195" s="16" t="s">
        <v>289</v>
      </c>
      <c r="EC195" s="16" t="s">
        <v>83</v>
      </c>
    </row>
    <row r="196" spans="2:151" s="1" customFormat="1" ht="19.5" x14ac:dyDescent="0.2">
      <c r="B196" s="31"/>
      <c r="D196" s="138" t="s">
        <v>299</v>
      </c>
      <c r="F196" s="142" t="s">
        <v>317</v>
      </c>
      <c r="I196" s="140"/>
      <c r="L196" s="31"/>
      <c r="N196" s="213"/>
      <c r="O196" s="214"/>
      <c r="Q196" s="229"/>
      <c r="CU196" s="141"/>
      <c r="DB196" s="50"/>
      <c r="EB196" s="16" t="s">
        <v>299</v>
      </c>
      <c r="EC196" s="16" t="s">
        <v>83</v>
      </c>
    </row>
    <row r="197" spans="2:151" s="12" customFormat="1" x14ac:dyDescent="0.2">
      <c r="B197" s="149"/>
      <c r="D197" s="138" t="s">
        <v>301</v>
      </c>
      <c r="E197" s="150" t="s">
        <v>1</v>
      </c>
      <c r="F197" s="151" t="s">
        <v>1328</v>
      </c>
      <c r="H197" s="152">
        <v>39</v>
      </c>
      <c r="I197" s="153"/>
      <c r="L197" s="149"/>
      <c r="N197" s="217">
        <f>35.76*1</f>
        <v>35.76</v>
      </c>
      <c r="O197" s="218" t="s">
        <v>3721</v>
      </c>
      <c r="Q197" s="231"/>
      <c r="CU197" s="154"/>
      <c r="DB197" s="155"/>
      <c r="EB197" s="150" t="s">
        <v>301</v>
      </c>
      <c r="EC197" s="150" t="s">
        <v>83</v>
      </c>
      <c r="ED197" s="12" t="s">
        <v>83</v>
      </c>
      <c r="EE197" s="12" t="s">
        <v>32</v>
      </c>
      <c r="EF197" s="12" t="s">
        <v>81</v>
      </c>
      <c r="EG197" s="150" t="s">
        <v>282</v>
      </c>
    </row>
    <row r="198" spans="2:151" s="12" customFormat="1" x14ac:dyDescent="0.2">
      <c r="B198" s="149"/>
      <c r="D198" s="138"/>
      <c r="E198" s="150"/>
      <c r="F198" s="151"/>
      <c r="H198" s="152"/>
      <c r="I198" s="153"/>
      <c r="L198" s="149"/>
      <c r="N198" s="310">
        <f>N197-H197</f>
        <v>-3.240000000000002</v>
      </c>
      <c r="O198" s="218"/>
      <c r="Q198" s="231"/>
      <c r="CU198" s="154"/>
      <c r="DB198" s="155"/>
      <c r="EB198" s="150"/>
      <c r="EC198" s="150"/>
      <c r="EG198" s="150"/>
    </row>
    <row r="199" spans="2:151" s="1" customFormat="1" ht="24.2" customHeight="1" x14ac:dyDescent="0.2">
      <c r="B199" s="124"/>
      <c r="C199" s="125" t="s">
        <v>379</v>
      </c>
      <c r="D199" s="125" t="s">
        <v>284</v>
      </c>
      <c r="E199" s="126" t="s">
        <v>416</v>
      </c>
      <c r="F199" s="127" t="s">
        <v>417</v>
      </c>
      <c r="G199" s="128" t="s">
        <v>418</v>
      </c>
      <c r="H199" s="129">
        <v>114.428</v>
      </c>
      <c r="I199" s="130">
        <v>110.6455721</v>
      </c>
      <c r="J199" s="131">
        <f>ROUND(I199*H199,2)</f>
        <v>12660.95</v>
      </c>
      <c r="K199" s="127" t="s">
        <v>293</v>
      </c>
      <c r="L199" s="268">
        <f>S199</f>
        <v>0</v>
      </c>
      <c r="M199" s="272">
        <f>ROUND(L199*I199,2)</f>
        <v>0</v>
      </c>
      <c r="N199" s="243">
        <f>N207</f>
        <v>-9.5077999999999889</v>
      </c>
      <c r="O199" s="294">
        <f>ROUND(N199*I199,2)</f>
        <v>-1052</v>
      </c>
      <c r="P199" s="273">
        <f>H199-L199-N199</f>
        <v>123.93579999999999</v>
      </c>
      <c r="Q199" s="287">
        <f>ROUND(P199*I199,2)</f>
        <v>13712.95</v>
      </c>
      <c r="R199" s="137"/>
      <c r="S199" s="269">
        <f>W199+Y199+AA199+AC199+AE199+AG199+AI199+AK199+AM199</f>
        <v>0</v>
      </c>
      <c r="T199" s="269">
        <f>ROUND(S199*I199,2)</f>
        <v>0</v>
      </c>
      <c r="U199" s="269">
        <f>H199-S199</f>
        <v>114.428</v>
      </c>
      <c r="V199" s="269">
        <f>ROUND(U199*I199,2)</f>
        <v>12660.95</v>
      </c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CU199" s="132" t="s">
        <v>1</v>
      </c>
      <c r="CV199" s="133" t="s">
        <v>40</v>
      </c>
      <c r="CX199" s="134">
        <f>CW199*H199</f>
        <v>0</v>
      </c>
      <c r="CY199" s="134">
        <v>0</v>
      </c>
      <c r="CZ199" s="134">
        <f>CY199*H199</f>
        <v>0</v>
      </c>
      <c r="DA199" s="134">
        <v>0</v>
      </c>
      <c r="DB199" s="135">
        <f>DA199*H199</f>
        <v>0</v>
      </c>
      <c r="DZ199" s="136" t="s">
        <v>95</v>
      </c>
      <c r="EB199" s="136" t="s">
        <v>284</v>
      </c>
      <c r="EC199" s="136" t="s">
        <v>83</v>
      </c>
      <c r="EG199" s="16" t="s">
        <v>282</v>
      </c>
      <c r="EM199" s="137">
        <f>IF(CV199="základní",J199,0)</f>
        <v>12660.95</v>
      </c>
      <c r="EN199" s="137">
        <f>IF(CV199="snížená",J199,0)</f>
        <v>0</v>
      </c>
      <c r="EO199" s="137">
        <f>IF(CV199="zákl. přenesená",J199,0)</f>
        <v>0</v>
      </c>
      <c r="EP199" s="137">
        <f>IF(CV199="sníž. přenesená",J199,0)</f>
        <v>0</v>
      </c>
      <c r="EQ199" s="137">
        <f>IF(CV199="nulová",J199,0)</f>
        <v>0</v>
      </c>
      <c r="ER199" s="16" t="s">
        <v>81</v>
      </c>
      <c r="ES199" s="137">
        <f>ROUND(I199*H199,2)</f>
        <v>12660.95</v>
      </c>
      <c r="ET199" s="16" t="s">
        <v>95</v>
      </c>
      <c r="EU199" s="136" t="s">
        <v>419</v>
      </c>
    </row>
    <row r="200" spans="2:151" s="1" customFormat="1" ht="29.25" x14ac:dyDescent="0.2">
      <c r="B200" s="31"/>
      <c r="D200" s="138" t="s">
        <v>289</v>
      </c>
      <c r="F200" s="139" t="s">
        <v>420</v>
      </c>
      <c r="I200" s="140"/>
      <c r="L200" s="31"/>
      <c r="N200" s="213"/>
      <c r="O200" s="214"/>
      <c r="Q200" s="229"/>
      <c r="CU200" s="141"/>
      <c r="DB200" s="50"/>
      <c r="EB200" s="16" t="s">
        <v>289</v>
      </c>
      <c r="EC200" s="16" t="s">
        <v>83</v>
      </c>
    </row>
    <row r="201" spans="2:151" s="11" customFormat="1" x14ac:dyDescent="0.2">
      <c r="B201" s="143"/>
      <c r="D201" s="138" t="s">
        <v>301</v>
      </c>
      <c r="E201" s="144" t="s">
        <v>1</v>
      </c>
      <c r="F201" s="145" t="s">
        <v>996</v>
      </c>
      <c r="H201" s="144" t="s">
        <v>1</v>
      </c>
      <c r="I201" s="146"/>
      <c r="L201" s="143"/>
      <c r="N201" s="215"/>
      <c r="O201" s="216"/>
      <c r="Q201" s="230"/>
      <c r="CU201" s="147"/>
      <c r="DB201" s="148"/>
      <c r="EB201" s="144" t="s">
        <v>301</v>
      </c>
      <c r="EC201" s="144" t="s">
        <v>83</v>
      </c>
      <c r="ED201" s="11" t="s">
        <v>81</v>
      </c>
      <c r="EE201" s="11" t="s">
        <v>32</v>
      </c>
      <c r="EF201" s="11" t="s">
        <v>74</v>
      </c>
      <c r="EG201" s="144" t="s">
        <v>282</v>
      </c>
    </row>
    <row r="202" spans="2:151" s="12" customFormat="1" x14ac:dyDescent="0.2">
      <c r="B202" s="149"/>
      <c r="D202" s="138" t="s">
        <v>301</v>
      </c>
      <c r="E202" s="150" t="s">
        <v>1</v>
      </c>
      <c r="F202" s="151" t="s">
        <v>1329</v>
      </c>
      <c r="H202" s="152">
        <v>70.786000000000001</v>
      </c>
      <c r="I202" s="153"/>
      <c r="L202" s="149"/>
      <c r="N202" s="217">
        <v>64.905000000000001</v>
      </c>
      <c r="O202" s="218"/>
      <c r="Q202" s="231"/>
      <c r="CU202" s="154"/>
      <c r="DB202" s="155"/>
      <c r="EB202" s="150" t="s">
        <v>301</v>
      </c>
      <c r="EC202" s="150" t="s">
        <v>83</v>
      </c>
      <c r="ED202" s="12" t="s">
        <v>83</v>
      </c>
      <c r="EE202" s="12" t="s">
        <v>32</v>
      </c>
      <c r="EF202" s="12" t="s">
        <v>74</v>
      </c>
      <c r="EG202" s="150" t="s">
        <v>282</v>
      </c>
    </row>
    <row r="203" spans="2:151" s="11" customFormat="1" x14ac:dyDescent="0.2">
      <c r="B203" s="143"/>
      <c r="D203" s="138" t="s">
        <v>301</v>
      </c>
      <c r="E203" s="144" t="s">
        <v>1</v>
      </c>
      <c r="F203" s="145" t="s">
        <v>998</v>
      </c>
      <c r="H203" s="144" t="s">
        <v>1</v>
      </c>
      <c r="I203" s="146"/>
      <c r="L203" s="143"/>
      <c r="N203" s="215"/>
      <c r="O203" s="216"/>
      <c r="Q203" s="230"/>
      <c r="CU203" s="147"/>
      <c r="DB203" s="148"/>
      <c r="EB203" s="144" t="s">
        <v>301</v>
      </c>
      <c r="EC203" s="144" t="s">
        <v>83</v>
      </c>
      <c r="ED203" s="11" t="s">
        <v>81</v>
      </c>
      <c r="EE203" s="11" t="s">
        <v>32</v>
      </c>
      <c r="EF203" s="11" t="s">
        <v>74</v>
      </c>
      <c r="EG203" s="144" t="s">
        <v>282</v>
      </c>
    </row>
    <row r="204" spans="2:151" s="12" customFormat="1" x14ac:dyDescent="0.2">
      <c r="B204" s="149"/>
      <c r="D204" s="138" t="s">
        <v>301</v>
      </c>
      <c r="E204" s="150" t="s">
        <v>1</v>
      </c>
      <c r="F204" s="151" t="s">
        <v>1330</v>
      </c>
      <c r="H204" s="152">
        <v>-7.2149999999999999</v>
      </c>
      <c r="I204" s="153"/>
      <c r="L204" s="149"/>
      <c r="N204" s="217">
        <v>-6.6159999999999997</v>
      </c>
      <c r="O204" s="218"/>
      <c r="Q204" s="231"/>
      <c r="CU204" s="154"/>
      <c r="DB204" s="155"/>
      <c r="EB204" s="150" t="s">
        <v>301</v>
      </c>
      <c r="EC204" s="150" t="s">
        <v>83</v>
      </c>
      <c r="ED204" s="12" t="s">
        <v>83</v>
      </c>
      <c r="EE204" s="12" t="s">
        <v>32</v>
      </c>
      <c r="EF204" s="12" t="s">
        <v>74</v>
      </c>
      <c r="EG204" s="150" t="s">
        <v>282</v>
      </c>
    </row>
    <row r="205" spans="2:151" s="13" customFormat="1" x14ac:dyDescent="0.2">
      <c r="B205" s="156"/>
      <c r="D205" s="138" t="s">
        <v>301</v>
      </c>
      <c r="E205" s="157" t="s">
        <v>1</v>
      </c>
      <c r="F205" s="158" t="s">
        <v>305</v>
      </c>
      <c r="H205" s="159">
        <v>63.570999999999998</v>
      </c>
      <c r="I205" s="160"/>
      <c r="L205" s="156"/>
      <c r="N205" s="219">
        <f>N202+N204</f>
        <v>58.289000000000001</v>
      </c>
      <c r="O205" s="220"/>
      <c r="Q205" s="232"/>
      <c r="CU205" s="161"/>
      <c r="DB205" s="162"/>
      <c r="EB205" s="157" t="s">
        <v>301</v>
      </c>
      <c r="EC205" s="157" t="s">
        <v>83</v>
      </c>
      <c r="ED205" s="13" t="s">
        <v>95</v>
      </c>
      <c r="EE205" s="13" t="s">
        <v>32</v>
      </c>
      <c r="EF205" s="13" t="s">
        <v>81</v>
      </c>
      <c r="EG205" s="157" t="s">
        <v>282</v>
      </c>
    </row>
    <row r="206" spans="2:151" s="12" customFormat="1" x14ac:dyDescent="0.2">
      <c r="B206" s="149"/>
      <c r="D206" s="138" t="s">
        <v>301</v>
      </c>
      <c r="F206" s="151" t="s">
        <v>1331</v>
      </c>
      <c r="H206" s="152">
        <v>114.428</v>
      </c>
      <c r="I206" s="153"/>
      <c r="L206" s="149"/>
      <c r="N206" s="217">
        <f>N205*1.8</f>
        <v>104.92020000000001</v>
      </c>
      <c r="O206" s="218"/>
      <c r="Q206" s="231"/>
      <c r="CU206" s="154"/>
      <c r="DB206" s="155"/>
      <c r="EB206" s="150" t="s">
        <v>301</v>
      </c>
      <c r="EC206" s="150" t="s">
        <v>83</v>
      </c>
      <c r="ED206" s="12" t="s">
        <v>83</v>
      </c>
      <c r="EE206" s="12" t="s">
        <v>3</v>
      </c>
      <c r="EF206" s="12" t="s">
        <v>81</v>
      </c>
      <c r="EG206" s="150" t="s">
        <v>282</v>
      </c>
    </row>
    <row r="207" spans="2:151" s="12" customFormat="1" x14ac:dyDescent="0.2">
      <c r="B207" s="149"/>
      <c r="D207" s="138"/>
      <c r="F207" s="151"/>
      <c r="H207" s="152"/>
      <c r="I207" s="153"/>
      <c r="L207" s="149"/>
      <c r="N207" s="310">
        <f>N206-H206</f>
        <v>-9.5077999999999889</v>
      </c>
      <c r="O207" s="218"/>
      <c r="Q207" s="231"/>
      <c r="CU207" s="154"/>
      <c r="DB207" s="155"/>
      <c r="EB207" s="150"/>
      <c r="EC207" s="150"/>
      <c r="EG207" s="150"/>
    </row>
    <row r="208" spans="2:151" s="1" customFormat="1" ht="24.2" customHeight="1" x14ac:dyDescent="0.2">
      <c r="B208" s="124"/>
      <c r="C208" s="125" t="s">
        <v>386</v>
      </c>
      <c r="D208" s="125" t="s">
        <v>284</v>
      </c>
      <c r="E208" s="126" t="s">
        <v>423</v>
      </c>
      <c r="F208" s="127" t="s">
        <v>424</v>
      </c>
      <c r="G208" s="128" t="s">
        <v>366</v>
      </c>
      <c r="H208" s="129">
        <v>56.655000000000001</v>
      </c>
      <c r="I208" s="130">
        <v>140.64048227116101</v>
      </c>
      <c r="J208" s="131">
        <f>ROUND(I208*H208,2)</f>
        <v>7967.99</v>
      </c>
      <c r="K208" s="127" t="s">
        <v>293</v>
      </c>
      <c r="L208" s="268">
        <f>S208</f>
        <v>0</v>
      </c>
      <c r="M208" s="272">
        <f>ROUND(L208*I208,2)</f>
        <v>0</v>
      </c>
      <c r="N208" s="243">
        <f>N222</f>
        <v>-5.1684000000000054</v>
      </c>
      <c r="O208" s="294">
        <f>ROUND(N208*I208,2)</f>
        <v>-726.89</v>
      </c>
      <c r="P208" s="273">
        <f>H208-L208-N208</f>
        <v>61.823400000000007</v>
      </c>
      <c r="Q208" s="287">
        <f>ROUND(P208*I208,2)</f>
        <v>8694.8700000000008</v>
      </c>
      <c r="R208" s="137"/>
      <c r="S208" s="269">
        <f>W208+Y208+AA208+AC208+AE208+AG208+AI208+AK208+AM208</f>
        <v>0</v>
      </c>
      <c r="T208" s="269">
        <f>ROUND(S208*I208,2)</f>
        <v>0</v>
      </c>
      <c r="U208" s="269">
        <f>H208-S208</f>
        <v>56.655000000000001</v>
      </c>
      <c r="V208" s="269">
        <f>ROUND(U208*I208,2)</f>
        <v>7967.99</v>
      </c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CU208" s="132" t="s">
        <v>1</v>
      </c>
      <c r="CV208" s="133" t="s">
        <v>40</v>
      </c>
      <c r="CX208" s="134">
        <f>CW208*H208</f>
        <v>0</v>
      </c>
      <c r="CY208" s="134">
        <v>0</v>
      </c>
      <c r="CZ208" s="134">
        <f>CY208*H208</f>
        <v>0</v>
      </c>
      <c r="DA208" s="134">
        <v>0</v>
      </c>
      <c r="DB208" s="135">
        <f>DA208*H208</f>
        <v>0</v>
      </c>
      <c r="DZ208" s="136" t="s">
        <v>95</v>
      </c>
      <c r="EB208" s="136" t="s">
        <v>284</v>
      </c>
      <c r="EC208" s="136" t="s">
        <v>83</v>
      </c>
      <c r="EG208" s="16" t="s">
        <v>282</v>
      </c>
      <c r="EM208" s="137">
        <f>IF(CV208="základní",J208,0)</f>
        <v>7967.99</v>
      </c>
      <c r="EN208" s="137">
        <f>IF(CV208="snížená",J208,0)</f>
        <v>0</v>
      </c>
      <c r="EO208" s="137">
        <f>IF(CV208="zákl. přenesená",J208,0)</f>
        <v>0</v>
      </c>
      <c r="EP208" s="137">
        <f>IF(CV208="sníž. přenesená",J208,0)</f>
        <v>0</v>
      </c>
      <c r="EQ208" s="137">
        <f>IF(CV208="nulová",J208,0)</f>
        <v>0</v>
      </c>
      <c r="ER208" s="16" t="s">
        <v>81</v>
      </c>
      <c r="ES208" s="137">
        <f>ROUND(I208*H208,2)</f>
        <v>7967.99</v>
      </c>
      <c r="ET208" s="16" t="s">
        <v>95</v>
      </c>
      <c r="EU208" s="136" t="s">
        <v>425</v>
      </c>
    </row>
    <row r="209" spans="2:151" s="1" customFormat="1" ht="29.25" x14ac:dyDescent="0.2">
      <c r="B209" s="31"/>
      <c r="D209" s="138" t="s">
        <v>289</v>
      </c>
      <c r="F209" s="139" t="s">
        <v>426</v>
      </c>
      <c r="I209" s="140"/>
      <c r="L209" s="31"/>
      <c r="N209" s="213"/>
      <c r="O209" s="214"/>
      <c r="Q209" s="229"/>
      <c r="CU209" s="141"/>
      <c r="DB209" s="50"/>
      <c r="EB209" s="16" t="s">
        <v>289</v>
      </c>
      <c r="EC209" s="16" t="s">
        <v>83</v>
      </c>
    </row>
    <row r="210" spans="2:151" s="11" customFormat="1" x14ac:dyDescent="0.2">
      <c r="B210" s="143"/>
      <c r="D210" s="138" t="s">
        <v>301</v>
      </c>
      <c r="E210" s="144" t="s">
        <v>1</v>
      </c>
      <c r="F210" s="145" t="s">
        <v>427</v>
      </c>
      <c r="H210" s="144" t="s">
        <v>1</v>
      </c>
      <c r="I210" s="146"/>
      <c r="L210" s="143"/>
      <c r="N210" s="215"/>
      <c r="O210" s="216"/>
      <c r="Q210" s="230"/>
      <c r="CU210" s="147"/>
      <c r="DB210" s="148"/>
      <c r="EB210" s="144" t="s">
        <v>301</v>
      </c>
      <c r="EC210" s="144" t="s">
        <v>83</v>
      </c>
      <c r="ED210" s="11" t="s">
        <v>81</v>
      </c>
      <c r="EE210" s="11" t="s">
        <v>32</v>
      </c>
      <c r="EF210" s="11" t="s">
        <v>74</v>
      </c>
      <c r="EG210" s="144" t="s">
        <v>282</v>
      </c>
    </row>
    <row r="211" spans="2:151" s="12" customFormat="1" x14ac:dyDescent="0.2">
      <c r="B211" s="149"/>
      <c r="D211" s="138" t="s">
        <v>301</v>
      </c>
      <c r="E211" s="150" t="s">
        <v>1</v>
      </c>
      <c r="F211" s="151" t="s">
        <v>1323</v>
      </c>
      <c r="H211" s="152">
        <v>69.616</v>
      </c>
      <c r="I211" s="153"/>
      <c r="L211" s="149"/>
      <c r="N211" s="217">
        <f>31.916+31.916</f>
        <v>63.832000000000001</v>
      </c>
      <c r="O211" s="218" t="s">
        <v>3717</v>
      </c>
      <c r="Q211" s="231"/>
      <c r="CU211" s="154"/>
      <c r="DB211" s="155"/>
      <c r="EB211" s="150" t="s">
        <v>301</v>
      </c>
      <c r="EC211" s="150" t="s">
        <v>83</v>
      </c>
      <c r="ED211" s="12" t="s">
        <v>83</v>
      </c>
      <c r="EE211" s="12" t="s">
        <v>32</v>
      </c>
      <c r="EF211" s="12" t="s">
        <v>74</v>
      </c>
      <c r="EG211" s="150" t="s">
        <v>282</v>
      </c>
    </row>
    <row r="212" spans="2:151" s="11" customFormat="1" x14ac:dyDescent="0.2">
      <c r="B212" s="143"/>
      <c r="D212" s="138" t="s">
        <v>301</v>
      </c>
      <c r="E212" s="144" t="s">
        <v>1</v>
      </c>
      <c r="F212" s="145" t="s">
        <v>428</v>
      </c>
      <c r="H212" s="144" t="s">
        <v>1</v>
      </c>
      <c r="I212" s="146"/>
      <c r="L212" s="143"/>
      <c r="N212" s="215"/>
      <c r="O212" s="216"/>
      <c r="Q212" s="230"/>
      <c r="CU212" s="147"/>
      <c r="DB212" s="148"/>
      <c r="EB212" s="144" t="s">
        <v>301</v>
      </c>
      <c r="EC212" s="144" t="s">
        <v>83</v>
      </c>
      <c r="ED212" s="11" t="s">
        <v>81</v>
      </c>
      <c r="EE212" s="11" t="s">
        <v>32</v>
      </c>
      <c r="EF212" s="11" t="s">
        <v>74</v>
      </c>
      <c r="EG212" s="144" t="s">
        <v>282</v>
      </c>
    </row>
    <row r="213" spans="2:151" s="12" customFormat="1" x14ac:dyDescent="0.2">
      <c r="B213" s="149"/>
      <c r="D213" s="138" t="s">
        <v>301</v>
      </c>
      <c r="E213" s="150" t="s">
        <v>1</v>
      </c>
      <c r="F213" s="151" t="s">
        <v>1332</v>
      </c>
      <c r="H213" s="152">
        <v>-17.55</v>
      </c>
      <c r="I213" s="153"/>
      <c r="L213" s="149"/>
      <c r="N213" s="217">
        <f>-N238</f>
        <v>-16.091999999999999</v>
      </c>
      <c r="O213" s="218"/>
      <c r="Q213" s="231"/>
      <c r="CU213" s="154"/>
      <c r="DB213" s="155"/>
      <c r="EB213" s="150" t="s">
        <v>301</v>
      </c>
      <c r="EC213" s="150" t="s">
        <v>83</v>
      </c>
      <c r="ED213" s="12" t="s">
        <v>83</v>
      </c>
      <c r="EE213" s="12" t="s">
        <v>32</v>
      </c>
      <c r="EF213" s="12" t="s">
        <v>74</v>
      </c>
      <c r="EG213" s="150" t="s">
        <v>282</v>
      </c>
    </row>
    <row r="214" spans="2:151" s="11" customFormat="1" x14ac:dyDescent="0.2">
      <c r="B214" s="143"/>
      <c r="D214" s="138" t="s">
        <v>301</v>
      </c>
      <c r="E214" s="144" t="s">
        <v>1</v>
      </c>
      <c r="F214" s="145" t="s">
        <v>430</v>
      </c>
      <c r="H214" s="144" t="s">
        <v>1</v>
      </c>
      <c r="I214" s="146"/>
      <c r="L214" s="143"/>
      <c r="N214" s="215"/>
      <c r="O214" s="216"/>
      <c r="Q214" s="230"/>
      <c r="CU214" s="147"/>
      <c r="DB214" s="148"/>
      <c r="EB214" s="144" t="s">
        <v>301</v>
      </c>
      <c r="EC214" s="144" t="s">
        <v>83</v>
      </c>
      <c r="ED214" s="11" t="s">
        <v>81</v>
      </c>
      <c r="EE214" s="11" t="s">
        <v>32</v>
      </c>
      <c r="EF214" s="11" t="s">
        <v>74</v>
      </c>
      <c r="EG214" s="144" t="s">
        <v>282</v>
      </c>
    </row>
    <row r="215" spans="2:151" s="12" customFormat="1" x14ac:dyDescent="0.2">
      <c r="B215" s="149"/>
      <c r="D215" s="138" t="s">
        <v>301</v>
      </c>
      <c r="E215" s="150" t="s">
        <v>1</v>
      </c>
      <c r="F215" s="151" t="s">
        <v>1333</v>
      </c>
      <c r="H215" s="152">
        <v>-5</v>
      </c>
      <c r="I215" s="153"/>
      <c r="L215" s="149"/>
      <c r="N215" s="217">
        <f>-N263-1.1</f>
        <v>-4.6760000000000002</v>
      </c>
      <c r="O215" s="218"/>
      <c r="Q215" s="231"/>
      <c r="CU215" s="154"/>
      <c r="DB215" s="155"/>
      <c r="EB215" s="150" t="s">
        <v>301</v>
      </c>
      <c r="EC215" s="150" t="s">
        <v>83</v>
      </c>
      <c r="ED215" s="12" t="s">
        <v>83</v>
      </c>
      <c r="EE215" s="12" t="s">
        <v>32</v>
      </c>
      <c r="EF215" s="12" t="s">
        <v>74</v>
      </c>
      <c r="EG215" s="150" t="s">
        <v>282</v>
      </c>
    </row>
    <row r="216" spans="2:151" s="11" customFormat="1" x14ac:dyDescent="0.2">
      <c r="B216" s="143"/>
      <c r="D216" s="138" t="s">
        <v>301</v>
      </c>
      <c r="E216" s="144" t="s">
        <v>1</v>
      </c>
      <c r="F216" s="145" t="s">
        <v>432</v>
      </c>
      <c r="H216" s="144" t="s">
        <v>1</v>
      </c>
      <c r="I216" s="146"/>
      <c r="L216" s="143"/>
      <c r="N216" s="215"/>
      <c r="O216" s="216"/>
      <c r="Q216" s="230"/>
      <c r="CU216" s="147"/>
      <c r="DB216" s="148"/>
      <c r="EB216" s="144" t="s">
        <v>301</v>
      </c>
      <c r="EC216" s="144" t="s">
        <v>83</v>
      </c>
      <c r="ED216" s="11" t="s">
        <v>81</v>
      </c>
      <c r="EE216" s="11" t="s">
        <v>32</v>
      </c>
      <c r="EF216" s="11" t="s">
        <v>74</v>
      </c>
      <c r="EG216" s="144" t="s">
        <v>282</v>
      </c>
    </row>
    <row r="217" spans="2:151" s="12" customFormat="1" x14ac:dyDescent="0.2">
      <c r="B217" s="149"/>
      <c r="D217" s="138" t="s">
        <v>301</v>
      </c>
      <c r="E217" s="150" t="s">
        <v>1</v>
      </c>
      <c r="F217" s="151" t="s">
        <v>1334</v>
      </c>
      <c r="H217" s="152">
        <v>-1.1000000000000001</v>
      </c>
      <c r="I217" s="153"/>
      <c r="L217" s="149"/>
      <c r="N217" s="310">
        <f>H217</f>
        <v>-1.1000000000000001</v>
      </c>
      <c r="O217" s="218"/>
      <c r="Q217" s="231"/>
      <c r="CU217" s="154"/>
      <c r="DB217" s="155"/>
      <c r="EB217" s="150" t="s">
        <v>301</v>
      </c>
      <c r="EC217" s="150" t="s">
        <v>83</v>
      </c>
      <c r="ED217" s="12" t="s">
        <v>83</v>
      </c>
      <c r="EE217" s="12" t="s">
        <v>32</v>
      </c>
      <c r="EF217" s="12" t="s">
        <v>74</v>
      </c>
      <c r="EG217" s="150" t="s">
        <v>282</v>
      </c>
    </row>
    <row r="218" spans="2:151" s="12" customFormat="1" x14ac:dyDescent="0.2">
      <c r="B218" s="149"/>
      <c r="D218" s="138" t="s">
        <v>301</v>
      </c>
      <c r="E218" s="150" t="s">
        <v>1</v>
      </c>
      <c r="F218" s="151" t="s">
        <v>1335</v>
      </c>
      <c r="H218" s="152">
        <v>-3.351</v>
      </c>
      <c r="I218" s="153"/>
      <c r="L218" s="149"/>
      <c r="N218" s="310">
        <f>H218</f>
        <v>-3.351</v>
      </c>
      <c r="O218" s="218"/>
      <c r="Q218" s="231"/>
      <c r="CU218" s="154"/>
      <c r="DB218" s="155"/>
      <c r="EB218" s="150" t="s">
        <v>301</v>
      </c>
      <c r="EC218" s="150" t="s">
        <v>83</v>
      </c>
      <c r="ED218" s="12" t="s">
        <v>83</v>
      </c>
      <c r="EE218" s="12" t="s">
        <v>32</v>
      </c>
      <c r="EF218" s="12" t="s">
        <v>74</v>
      </c>
      <c r="EG218" s="150" t="s">
        <v>282</v>
      </c>
    </row>
    <row r="219" spans="2:151" s="11" customFormat="1" x14ac:dyDescent="0.2">
      <c r="B219" s="143"/>
      <c r="D219" s="138" t="s">
        <v>301</v>
      </c>
      <c r="E219" s="144" t="s">
        <v>1</v>
      </c>
      <c r="F219" s="145" t="s">
        <v>436</v>
      </c>
      <c r="H219" s="144" t="s">
        <v>1</v>
      </c>
      <c r="I219" s="146"/>
      <c r="L219" s="143"/>
      <c r="N219" s="215"/>
      <c r="O219" s="216"/>
      <c r="Q219" s="230"/>
      <c r="CU219" s="147"/>
      <c r="DB219" s="148"/>
      <c r="EB219" s="144" t="s">
        <v>301</v>
      </c>
      <c r="EC219" s="144" t="s">
        <v>83</v>
      </c>
      <c r="ED219" s="11" t="s">
        <v>81</v>
      </c>
      <c r="EE219" s="11" t="s">
        <v>32</v>
      </c>
      <c r="EF219" s="11" t="s">
        <v>74</v>
      </c>
      <c r="EG219" s="144" t="s">
        <v>282</v>
      </c>
    </row>
    <row r="220" spans="2:151" s="12" customFormat="1" x14ac:dyDescent="0.2">
      <c r="B220" s="149"/>
      <c r="D220" s="138" t="s">
        <v>301</v>
      </c>
      <c r="E220" s="150" t="s">
        <v>1</v>
      </c>
      <c r="F220" s="151" t="s">
        <v>1336</v>
      </c>
      <c r="H220" s="152">
        <v>14.04</v>
      </c>
      <c r="I220" s="153"/>
      <c r="L220" s="149"/>
      <c r="N220" s="217">
        <f>32.184*(0.45-0.05)</f>
        <v>12.8736</v>
      </c>
      <c r="O220" s="218" t="s">
        <v>3725</v>
      </c>
      <c r="Q220" s="231"/>
      <c r="CU220" s="154"/>
      <c r="DB220" s="155"/>
      <c r="EB220" s="150" t="s">
        <v>301</v>
      </c>
      <c r="EC220" s="150" t="s">
        <v>83</v>
      </c>
      <c r="ED220" s="12" t="s">
        <v>83</v>
      </c>
      <c r="EE220" s="12" t="s">
        <v>32</v>
      </c>
      <c r="EF220" s="12" t="s">
        <v>74</v>
      </c>
      <c r="EG220" s="150" t="s">
        <v>282</v>
      </c>
    </row>
    <row r="221" spans="2:151" s="13" customFormat="1" x14ac:dyDescent="0.2">
      <c r="B221" s="156"/>
      <c r="D221" s="138" t="s">
        <v>301</v>
      </c>
      <c r="E221" s="157" t="s">
        <v>1</v>
      </c>
      <c r="F221" s="158" t="s">
        <v>305</v>
      </c>
      <c r="H221" s="159">
        <v>56.655000000000001</v>
      </c>
      <c r="I221" s="160"/>
      <c r="L221" s="156"/>
      <c r="N221" s="311">
        <f>N211+N213+N215+N217+N218+N220</f>
        <v>51.486599999999996</v>
      </c>
      <c r="O221" s="220"/>
      <c r="Q221" s="232"/>
      <c r="CU221" s="161"/>
      <c r="DB221" s="162"/>
      <c r="EB221" s="157" t="s">
        <v>301</v>
      </c>
      <c r="EC221" s="157" t="s">
        <v>83</v>
      </c>
      <c r="ED221" s="13" t="s">
        <v>95</v>
      </c>
      <c r="EE221" s="13" t="s">
        <v>32</v>
      </c>
      <c r="EF221" s="13" t="s">
        <v>81</v>
      </c>
      <c r="EG221" s="157" t="s">
        <v>282</v>
      </c>
    </row>
    <row r="222" spans="2:151" s="13" customFormat="1" x14ac:dyDescent="0.2">
      <c r="B222" s="156"/>
      <c r="D222" s="138"/>
      <c r="E222" s="157"/>
      <c r="F222" s="158"/>
      <c r="H222" s="159"/>
      <c r="I222" s="160"/>
      <c r="L222" s="156"/>
      <c r="N222" s="311">
        <f>N221-H221</f>
        <v>-5.1684000000000054</v>
      </c>
      <c r="O222" s="220"/>
      <c r="Q222" s="232"/>
      <c r="CU222" s="161"/>
      <c r="DB222" s="162"/>
      <c r="EB222" s="157"/>
      <c r="EC222" s="157"/>
      <c r="EG222" s="157"/>
    </row>
    <row r="223" spans="2:151" s="1" customFormat="1" ht="14.45" customHeight="1" x14ac:dyDescent="0.2">
      <c r="B223" s="124"/>
      <c r="C223" s="170" t="s">
        <v>392</v>
      </c>
      <c r="D223" s="170" t="s">
        <v>439</v>
      </c>
      <c r="E223" s="171" t="s">
        <v>440</v>
      </c>
      <c r="F223" s="172" t="s">
        <v>441</v>
      </c>
      <c r="G223" s="173" t="s">
        <v>418</v>
      </c>
      <c r="H223" s="174">
        <v>101.22</v>
      </c>
      <c r="I223" s="175">
        <v>390.0974172</v>
      </c>
      <c r="J223" s="176">
        <f>ROUND(I223*H223,2)</f>
        <v>39485.660000000003</v>
      </c>
      <c r="K223" s="172" t="s">
        <v>293</v>
      </c>
      <c r="L223" s="268">
        <f>S223</f>
        <v>0</v>
      </c>
      <c r="M223" s="272">
        <f>ROUND(L223*I223,2)</f>
        <v>0</v>
      </c>
      <c r="N223" s="243">
        <f>N234</f>
        <v>-9.3315999999999946</v>
      </c>
      <c r="O223" s="294">
        <f>ROUND(N223*I223,2)</f>
        <v>-3640.23</v>
      </c>
      <c r="P223" s="273">
        <f>H223-L223-N223</f>
        <v>110.55159999999999</v>
      </c>
      <c r="Q223" s="287">
        <f>ROUND(P223*I223,2)</f>
        <v>43125.89</v>
      </c>
      <c r="R223" s="137"/>
      <c r="S223" s="269">
        <f>W223+Y223+AA223+AC223+AE223+AG223+AI223+AK223+AM223</f>
        <v>0</v>
      </c>
      <c r="T223" s="269">
        <f>ROUND(S223*I223,2)</f>
        <v>0</v>
      </c>
      <c r="U223" s="269">
        <f>H223-S223</f>
        <v>101.22</v>
      </c>
      <c r="V223" s="269">
        <f>ROUND(U223*I223,2)</f>
        <v>39485.660000000003</v>
      </c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  <c r="AJ223" s="290"/>
      <c r="AK223" s="290"/>
      <c r="AL223" s="290"/>
      <c r="AM223" s="290"/>
      <c r="AN223" s="290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77" t="s">
        <v>1</v>
      </c>
      <c r="CV223" s="178" t="s">
        <v>40</v>
      </c>
      <c r="CX223" s="134">
        <f>CW223*H223</f>
        <v>0</v>
      </c>
      <c r="CY223" s="134">
        <v>1</v>
      </c>
      <c r="CZ223" s="134">
        <f>CY223*H223</f>
        <v>101.22</v>
      </c>
      <c r="DA223" s="134">
        <v>0</v>
      </c>
      <c r="DB223" s="135">
        <f>DA223*H223</f>
        <v>0</v>
      </c>
      <c r="DZ223" s="136" t="s">
        <v>328</v>
      </c>
      <c r="EB223" s="136" t="s">
        <v>439</v>
      </c>
      <c r="EC223" s="136" t="s">
        <v>83</v>
      </c>
      <c r="EG223" s="16" t="s">
        <v>282</v>
      </c>
      <c r="EM223" s="137">
        <f>IF(CV223="základní",J223,0)</f>
        <v>39485.660000000003</v>
      </c>
      <c r="EN223" s="137">
        <f>IF(CV223="snížená",J223,0)</f>
        <v>0</v>
      </c>
      <c r="EO223" s="137">
        <f>IF(CV223="zákl. přenesená",J223,0)</f>
        <v>0</v>
      </c>
      <c r="EP223" s="137">
        <f>IF(CV223="sníž. přenesená",J223,0)</f>
        <v>0</v>
      </c>
      <c r="EQ223" s="137">
        <f>IF(CV223="nulová",J223,0)</f>
        <v>0</v>
      </c>
      <c r="ER223" s="16" t="s">
        <v>81</v>
      </c>
      <c r="ES223" s="137">
        <f>ROUND(I223*H223,2)</f>
        <v>39485.660000000003</v>
      </c>
      <c r="ET223" s="16" t="s">
        <v>95</v>
      </c>
      <c r="EU223" s="136" t="s">
        <v>442</v>
      </c>
    </row>
    <row r="224" spans="2:151" s="1" customFormat="1" x14ac:dyDescent="0.2">
      <c r="B224" s="31"/>
      <c r="D224" s="138" t="s">
        <v>289</v>
      </c>
      <c r="F224" s="139" t="s">
        <v>441</v>
      </c>
      <c r="I224" s="140"/>
      <c r="L224" s="31"/>
      <c r="N224" s="213"/>
      <c r="O224" s="214"/>
      <c r="Q224" s="229"/>
      <c r="CU224" s="141"/>
      <c r="DB224" s="50"/>
      <c r="EB224" s="16" t="s">
        <v>289</v>
      </c>
      <c r="EC224" s="16" t="s">
        <v>83</v>
      </c>
    </row>
    <row r="225" spans="2:151" s="1" customFormat="1" ht="19.5" x14ac:dyDescent="0.2">
      <c r="B225" s="31"/>
      <c r="D225" s="138" t="s">
        <v>299</v>
      </c>
      <c r="F225" s="142" t="s">
        <v>443</v>
      </c>
      <c r="I225" s="140"/>
      <c r="L225" s="31"/>
      <c r="N225" s="213"/>
      <c r="O225" s="214"/>
      <c r="Q225" s="229"/>
      <c r="CU225" s="141"/>
      <c r="DB225" s="50"/>
      <c r="EB225" s="16" t="s">
        <v>299</v>
      </c>
      <c r="EC225" s="16" t="s">
        <v>83</v>
      </c>
    </row>
    <row r="226" spans="2:151" s="11" customFormat="1" x14ac:dyDescent="0.2">
      <c r="B226" s="143"/>
      <c r="D226" s="138" t="s">
        <v>301</v>
      </c>
      <c r="E226" s="144" t="s">
        <v>1</v>
      </c>
      <c r="F226" s="145" t="s">
        <v>1006</v>
      </c>
      <c r="H226" s="144" t="s">
        <v>1</v>
      </c>
      <c r="I226" s="146"/>
      <c r="L226" s="143"/>
      <c r="N226" s="215"/>
      <c r="O226" s="216"/>
      <c r="Q226" s="230"/>
      <c r="CU226" s="147"/>
      <c r="DB226" s="148"/>
      <c r="EB226" s="144" t="s">
        <v>301</v>
      </c>
      <c r="EC226" s="144" t="s">
        <v>83</v>
      </c>
      <c r="ED226" s="11" t="s">
        <v>81</v>
      </c>
      <c r="EE226" s="11" t="s">
        <v>32</v>
      </c>
      <c r="EF226" s="11" t="s">
        <v>74</v>
      </c>
      <c r="EG226" s="144" t="s">
        <v>282</v>
      </c>
    </row>
    <row r="227" spans="2:151" s="12" customFormat="1" x14ac:dyDescent="0.2">
      <c r="B227" s="149"/>
      <c r="D227" s="138" t="s">
        <v>301</v>
      </c>
      <c r="E227" s="150" t="s">
        <v>1</v>
      </c>
      <c r="F227" s="151" t="s">
        <v>1337</v>
      </c>
      <c r="H227" s="152">
        <v>56.655000000000001</v>
      </c>
      <c r="I227" s="153"/>
      <c r="L227" s="149"/>
      <c r="N227" s="217">
        <v>51.487000000000002</v>
      </c>
      <c r="O227" s="218"/>
      <c r="Q227" s="231"/>
      <c r="CU227" s="154"/>
      <c r="DB227" s="155"/>
      <c r="EB227" s="150" t="s">
        <v>301</v>
      </c>
      <c r="EC227" s="150" t="s">
        <v>83</v>
      </c>
      <c r="ED227" s="12" t="s">
        <v>83</v>
      </c>
      <c r="EE227" s="12" t="s">
        <v>32</v>
      </c>
      <c r="EF227" s="12" t="s">
        <v>74</v>
      </c>
      <c r="EG227" s="150" t="s">
        <v>282</v>
      </c>
    </row>
    <row r="228" spans="2:151" s="14" customFormat="1" x14ac:dyDescent="0.2">
      <c r="B228" s="163"/>
      <c r="D228" s="138" t="s">
        <v>301</v>
      </c>
      <c r="E228" s="164" t="s">
        <v>1</v>
      </c>
      <c r="F228" s="165" t="s">
        <v>373</v>
      </c>
      <c r="H228" s="166">
        <v>56.655000000000001</v>
      </c>
      <c r="I228" s="167"/>
      <c r="L228" s="163"/>
      <c r="N228" s="221">
        <f>N227</f>
        <v>51.487000000000002</v>
      </c>
      <c r="O228" s="222"/>
      <c r="Q228" s="233"/>
      <c r="CU228" s="168"/>
      <c r="DB228" s="169"/>
      <c r="EB228" s="164" t="s">
        <v>301</v>
      </c>
      <c r="EC228" s="164" t="s">
        <v>83</v>
      </c>
      <c r="ED228" s="14" t="s">
        <v>90</v>
      </c>
      <c r="EE228" s="14" t="s">
        <v>32</v>
      </c>
      <c r="EF228" s="14" t="s">
        <v>74</v>
      </c>
      <c r="EG228" s="164" t="s">
        <v>282</v>
      </c>
    </row>
    <row r="229" spans="2:151" s="11" customFormat="1" x14ac:dyDescent="0.2">
      <c r="B229" s="143"/>
      <c r="D229" s="138" t="s">
        <v>301</v>
      </c>
      <c r="E229" s="144" t="s">
        <v>1</v>
      </c>
      <c r="F229" s="145" t="s">
        <v>1102</v>
      </c>
      <c r="H229" s="144" t="s">
        <v>1</v>
      </c>
      <c r="I229" s="146"/>
      <c r="L229" s="143"/>
      <c r="N229" s="215"/>
      <c r="O229" s="216"/>
      <c r="Q229" s="230"/>
      <c r="CU229" s="147"/>
      <c r="DB229" s="148"/>
      <c r="EB229" s="144" t="s">
        <v>301</v>
      </c>
      <c r="EC229" s="144" t="s">
        <v>83</v>
      </c>
      <c r="ED229" s="11" t="s">
        <v>81</v>
      </c>
      <c r="EE229" s="11" t="s">
        <v>32</v>
      </c>
      <c r="EF229" s="11" t="s">
        <v>74</v>
      </c>
      <c r="EG229" s="144" t="s">
        <v>282</v>
      </c>
    </row>
    <row r="230" spans="2:151" s="12" customFormat="1" x14ac:dyDescent="0.2">
      <c r="B230" s="149"/>
      <c r="D230" s="138" t="s">
        <v>301</v>
      </c>
      <c r="E230" s="150" t="s">
        <v>1</v>
      </c>
      <c r="F230" s="151" t="s">
        <v>1327</v>
      </c>
      <c r="H230" s="152">
        <v>6.0449999999999999</v>
      </c>
      <c r="I230" s="153"/>
      <c r="L230" s="149"/>
      <c r="N230" s="217">
        <f>35.76*1*(2.2-0.1-0.45-0.1)*0.1</f>
        <v>5.5427999999999997</v>
      </c>
      <c r="O230" s="218" t="s">
        <v>3726</v>
      </c>
      <c r="Q230" s="231"/>
      <c r="CU230" s="154"/>
      <c r="DB230" s="155"/>
      <c r="EB230" s="150" t="s">
        <v>301</v>
      </c>
      <c r="EC230" s="150" t="s">
        <v>83</v>
      </c>
      <c r="ED230" s="12" t="s">
        <v>83</v>
      </c>
      <c r="EE230" s="12" t="s">
        <v>32</v>
      </c>
      <c r="EF230" s="12" t="s">
        <v>74</v>
      </c>
      <c r="EG230" s="150" t="s">
        <v>282</v>
      </c>
    </row>
    <row r="231" spans="2:151" s="14" customFormat="1" x14ac:dyDescent="0.2">
      <c r="B231" s="163"/>
      <c r="D231" s="138" t="s">
        <v>301</v>
      </c>
      <c r="E231" s="164" t="s">
        <v>1</v>
      </c>
      <c r="F231" s="165" t="s">
        <v>373</v>
      </c>
      <c r="H231" s="166">
        <v>6.0449999999999999</v>
      </c>
      <c r="I231" s="167"/>
      <c r="L231" s="163"/>
      <c r="N231" s="221">
        <f>N230</f>
        <v>5.5427999999999997</v>
      </c>
      <c r="O231" s="222"/>
      <c r="Q231" s="233"/>
      <c r="CU231" s="168"/>
      <c r="DB231" s="169"/>
      <c r="EB231" s="164" t="s">
        <v>301</v>
      </c>
      <c r="EC231" s="164" t="s">
        <v>83</v>
      </c>
      <c r="ED231" s="14" t="s">
        <v>90</v>
      </c>
      <c r="EE231" s="14" t="s">
        <v>32</v>
      </c>
      <c r="EF231" s="14" t="s">
        <v>74</v>
      </c>
      <c r="EG231" s="164" t="s">
        <v>282</v>
      </c>
    </row>
    <row r="232" spans="2:151" s="12" customFormat="1" x14ac:dyDescent="0.2">
      <c r="B232" s="149"/>
      <c r="D232" s="138" t="s">
        <v>301</v>
      </c>
      <c r="E232" s="150" t="s">
        <v>1</v>
      </c>
      <c r="F232" s="151" t="s">
        <v>1338</v>
      </c>
      <c r="H232" s="152">
        <v>50.61</v>
      </c>
      <c r="I232" s="153"/>
      <c r="L232" s="149"/>
      <c r="N232" s="217">
        <f>N228-N231</f>
        <v>45.944200000000002</v>
      </c>
      <c r="O232" s="218"/>
      <c r="Q232" s="231"/>
      <c r="CU232" s="154"/>
      <c r="DB232" s="155"/>
      <c r="EB232" s="150" t="s">
        <v>301</v>
      </c>
      <c r="EC232" s="150" t="s">
        <v>83</v>
      </c>
      <c r="ED232" s="12" t="s">
        <v>83</v>
      </c>
      <c r="EE232" s="12" t="s">
        <v>32</v>
      </c>
      <c r="EF232" s="12" t="s">
        <v>81</v>
      </c>
      <c r="EG232" s="150" t="s">
        <v>282</v>
      </c>
    </row>
    <row r="233" spans="2:151" s="12" customFormat="1" x14ac:dyDescent="0.2">
      <c r="B233" s="149"/>
      <c r="D233" s="138" t="s">
        <v>301</v>
      </c>
      <c r="F233" s="151" t="s">
        <v>1339</v>
      </c>
      <c r="H233" s="152">
        <v>101.22</v>
      </c>
      <c r="I233" s="153"/>
      <c r="L233" s="149"/>
      <c r="N233" s="217">
        <f>N232*2</f>
        <v>91.888400000000004</v>
      </c>
      <c r="O233" s="218"/>
      <c r="Q233" s="231"/>
      <c r="CU233" s="154"/>
      <c r="DB233" s="155"/>
      <c r="EB233" s="150" t="s">
        <v>301</v>
      </c>
      <c r="EC233" s="150" t="s">
        <v>83</v>
      </c>
      <c r="ED233" s="12" t="s">
        <v>83</v>
      </c>
      <c r="EE233" s="12" t="s">
        <v>3</v>
      </c>
      <c r="EF233" s="12" t="s">
        <v>81</v>
      </c>
      <c r="EG233" s="150" t="s">
        <v>282</v>
      </c>
    </row>
    <row r="234" spans="2:151" s="12" customFormat="1" x14ac:dyDescent="0.2">
      <c r="B234" s="149"/>
      <c r="D234" s="138"/>
      <c r="F234" s="151"/>
      <c r="H234" s="152"/>
      <c r="I234" s="153"/>
      <c r="L234" s="149"/>
      <c r="N234" s="310">
        <f>N233-H233</f>
        <v>-9.3315999999999946</v>
      </c>
      <c r="O234" s="218"/>
      <c r="Q234" s="231"/>
      <c r="CU234" s="154"/>
      <c r="DB234" s="155"/>
      <c r="EB234" s="150"/>
      <c r="EC234" s="150"/>
      <c r="EG234" s="150"/>
    </row>
    <row r="235" spans="2:151" s="1" customFormat="1" ht="24.2" customHeight="1" x14ac:dyDescent="0.2">
      <c r="B235" s="124"/>
      <c r="C235" s="125" t="s">
        <v>397</v>
      </c>
      <c r="D235" s="125" t="s">
        <v>284</v>
      </c>
      <c r="E235" s="126" t="s">
        <v>446</v>
      </c>
      <c r="F235" s="127" t="s">
        <v>447</v>
      </c>
      <c r="G235" s="128" t="s">
        <v>366</v>
      </c>
      <c r="H235" s="129">
        <v>17.55</v>
      </c>
      <c r="I235" s="130">
        <v>510.38291484661499</v>
      </c>
      <c r="J235" s="131">
        <f>ROUND(I235*H235,2)</f>
        <v>8957.2199999999993</v>
      </c>
      <c r="K235" s="127" t="s">
        <v>293</v>
      </c>
      <c r="L235" s="268">
        <f>S235</f>
        <v>0</v>
      </c>
      <c r="M235" s="272">
        <f>ROUND(L235*I235,2)</f>
        <v>0</v>
      </c>
      <c r="N235" s="243">
        <f>N239</f>
        <v>-1.458000000000002</v>
      </c>
      <c r="O235" s="294">
        <f>ROUND(N235*I235,2)</f>
        <v>-744.14</v>
      </c>
      <c r="P235" s="273">
        <f>H235-L235-N235</f>
        <v>19.008000000000003</v>
      </c>
      <c r="Q235" s="287">
        <f>ROUND(P235*I235,2)</f>
        <v>9701.36</v>
      </c>
      <c r="R235" s="137"/>
      <c r="S235" s="269">
        <f>W235+Y235+AA235+AC235+AE235+AG235+AI235+AK235+AM235</f>
        <v>0</v>
      </c>
      <c r="T235" s="269">
        <f>ROUND(S235*I235,2)</f>
        <v>0</v>
      </c>
      <c r="U235" s="269">
        <f>H235-S235</f>
        <v>17.55</v>
      </c>
      <c r="V235" s="269">
        <f>ROUND(U235*I235,2)</f>
        <v>8957.2199999999993</v>
      </c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CU235" s="132" t="s">
        <v>1</v>
      </c>
      <c r="CV235" s="133" t="s">
        <v>40</v>
      </c>
      <c r="CX235" s="134">
        <f>CW235*H235</f>
        <v>0</v>
      </c>
      <c r="CY235" s="134">
        <v>0</v>
      </c>
      <c r="CZ235" s="134">
        <f>CY235*H235</f>
        <v>0</v>
      </c>
      <c r="DA235" s="134">
        <v>0</v>
      </c>
      <c r="DB235" s="135">
        <f>DA235*H235</f>
        <v>0</v>
      </c>
      <c r="DZ235" s="136" t="s">
        <v>95</v>
      </c>
      <c r="EB235" s="136" t="s">
        <v>284</v>
      </c>
      <c r="EC235" s="136" t="s">
        <v>83</v>
      </c>
      <c r="EG235" s="16" t="s">
        <v>282</v>
      </c>
      <c r="EM235" s="137">
        <f>IF(CV235="základní",J235,0)</f>
        <v>8957.2199999999993</v>
      </c>
      <c r="EN235" s="137">
        <f>IF(CV235="snížená",J235,0)</f>
        <v>0</v>
      </c>
      <c r="EO235" s="137">
        <f>IF(CV235="zákl. přenesená",J235,0)</f>
        <v>0</v>
      </c>
      <c r="EP235" s="137">
        <f>IF(CV235="sníž. přenesená",J235,0)</f>
        <v>0</v>
      </c>
      <c r="EQ235" s="137">
        <f>IF(CV235="nulová",J235,0)</f>
        <v>0</v>
      </c>
      <c r="ER235" s="16" t="s">
        <v>81</v>
      </c>
      <c r="ES235" s="137">
        <f>ROUND(I235*H235,2)</f>
        <v>8957.2199999999993</v>
      </c>
      <c r="ET235" s="16" t="s">
        <v>95</v>
      </c>
      <c r="EU235" s="136" t="s">
        <v>448</v>
      </c>
    </row>
    <row r="236" spans="2:151" s="1" customFormat="1" ht="39" x14ac:dyDescent="0.2">
      <c r="B236" s="31"/>
      <c r="D236" s="138" t="s">
        <v>289</v>
      </c>
      <c r="F236" s="139" t="s">
        <v>449</v>
      </c>
      <c r="I236" s="140"/>
      <c r="L236" s="31"/>
      <c r="N236" s="213"/>
      <c r="O236" s="214"/>
      <c r="Q236" s="229"/>
      <c r="CU236" s="141"/>
      <c r="DB236" s="50"/>
      <c r="EB236" s="16" t="s">
        <v>289</v>
      </c>
      <c r="EC236" s="16" t="s">
        <v>83</v>
      </c>
    </row>
    <row r="237" spans="2:151" s="1" customFormat="1" ht="29.25" x14ac:dyDescent="0.2">
      <c r="B237" s="31"/>
      <c r="D237" s="138" t="s">
        <v>299</v>
      </c>
      <c r="F237" s="142" t="s">
        <v>1083</v>
      </c>
      <c r="I237" s="140"/>
      <c r="L237" s="31"/>
      <c r="N237" s="213"/>
      <c r="O237" s="214"/>
      <c r="Q237" s="229"/>
      <c r="CU237" s="141"/>
      <c r="DB237" s="50"/>
      <c r="EB237" s="16" t="s">
        <v>299</v>
      </c>
      <c r="EC237" s="16" t="s">
        <v>83</v>
      </c>
    </row>
    <row r="238" spans="2:151" s="12" customFormat="1" x14ac:dyDescent="0.2">
      <c r="B238" s="149"/>
      <c r="D238" s="138" t="s">
        <v>301</v>
      </c>
      <c r="E238" s="150" t="s">
        <v>1</v>
      </c>
      <c r="F238" s="151" t="s">
        <v>1340</v>
      </c>
      <c r="H238" s="152">
        <v>17.55</v>
      </c>
      <c r="I238" s="153"/>
      <c r="L238" s="149"/>
      <c r="N238" s="217">
        <f>35.76*1*0.45</f>
        <v>16.091999999999999</v>
      </c>
      <c r="O238" s="218" t="s">
        <v>3722</v>
      </c>
      <c r="Q238" s="231"/>
      <c r="CU238" s="154"/>
      <c r="DB238" s="155"/>
      <c r="EB238" s="150" t="s">
        <v>301</v>
      </c>
      <c r="EC238" s="150" t="s">
        <v>83</v>
      </c>
      <c r="ED238" s="12" t="s">
        <v>83</v>
      </c>
      <c r="EE238" s="12" t="s">
        <v>32</v>
      </c>
      <c r="EF238" s="12" t="s">
        <v>81</v>
      </c>
      <c r="EG238" s="150" t="s">
        <v>282</v>
      </c>
    </row>
    <row r="239" spans="2:151" s="12" customFormat="1" x14ac:dyDescent="0.2">
      <c r="B239" s="149"/>
      <c r="D239" s="138"/>
      <c r="E239" s="150"/>
      <c r="F239" s="151"/>
      <c r="H239" s="152"/>
      <c r="I239" s="153"/>
      <c r="L239" s="149"/>
      <c r="N239" s="310">
        <f>N238-H238</f>
        <v>-1.458000000000002</v>
      </c>
      <c r="O239" s="218"/>
      <c r="Q239" s="231"/>
      <c r="CU239" s="154"/>
      <c r="DB239" s="155"/>
      <c r="EB239" s="150"/>
      <c r="EC239" s="150"/>
      <c r="EG239" s="150"/>
    </row>
    <row r="240" spans="2:151" s="1" customFormat="1" ht="14.45" customHeight="1" x14ac:dyDescent="0.2">
      <c r="B240" s="124"/>
      <c r="C240" s="170" t="s">
        <v>404</v>
      </c>
      <c r="D240" s="170" t="s">
        <v>439</v>
      </c>
      <c r="E240" s="171" t="s">
        <v>452</v>
      </c>
      <c r="F240" s="172" t="s">
        <v>453</v>
      </c>
      <c r="G240" s="173" t="s">
        <v>418</v>
      </c>
      <c r="H240" s="174">
        <v>35.1</v>
      </c>
      <c r="I240" s="175">
        <v>380.62816190000001</v>
      </c>
      <c r="J240" s="176">
        <f>ROUND(I240*H240,2)</f>
        <v>13360.05</v>
      </c>
      <c r="K240" s="172" t="s">
        <v>293</v>
      </c>
      <c r="L240" s="268">
        <f>S240</f>
        <v>0</v>
      </c>
      <c r="M240" s="272">
        <f>ROUND(L240*I240,2)</f>
        <v>0</v>
      </c>
      <c r="N240" s="243">
        <f>N242</f>
        <v>-2.9159999999999999</v>
      </c>
      <c r="O240" s="294">
        <f>ROUND(N240*I240,2)</f>
        <v>-1109.9100000000001</v>
      </c>
      <c r="P240" s="273">
        <f>H240-L240-N240</f>
        <v>38.015999999999998</v>
      </c>
      <c r="Q240" s="287">
        <f>ROUND(P240*I240,2)</f>
        <v>14469.96</v>
      </c>
      <c r="R240" s="137"/>
      <c r="S240" s="269">
        <f>W240+Y240+AA240+AC240+AE240+AG240+AI240+AK240+AM240</f>
        <v>0</v>
      </c>
      <c r="T240" s="269">
        <f>ROUND(S240*I240,2)</f>
        <v>0</v>
      </c>
      <c r="U240" s="269">
        <f>H240-S240</f>
        <v>35.1</v>
      </c>
      <c r="V240" s="269">
        <f>ROUND(U240*I240,2)</f>
        <v>13360.05</v>
      </c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  <c r="AL240" s="290"/>
      <c r="AM240" s="290"/>
      <c r="AN240" s="290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77" t="s">
        <v>1</v>
      </c>
      <c r="CV240" s="178" t="s">
        <v>40</v>
      </c>
      <c r="CX240" s="134">
        <f>CW240*H240</f>
        <v>0</v>
      </c>
      <c r="CY240" s="134">
        <v>1</v>
      </c>
      <c r="CZ240" s="134">
        <f>CY240*H240</f>
        <v>35.1</v>
      </c>
      <c r="DA240" s="134">
        <v>0</v>
      </c>
      <c r="DB240" s="135">
        <f>DA240*H240</f>
        <v>0</v>
      </c>
      <c r="DZ240" s="136" t="s">
        <v>328</v>
      </c>
      <c r="EB240" s="136" t="s">
        <v>439</v>
      </c>
      <c r="EC240" s="136" t="s">
        <v>83</v>
      </c>
      <c r="EG240" s="16" t="s">
        <v>282</v>
      </c>
      <c r="EM240" s="137">
        <f>IF(CV240="základní",J240,0)</f>
        <v>13360.05</v>
      </c>
      <c r="EN240" s="137">
        <f>IF(CV240="snížená",J240,0)</f>
        <v>0</v>
      </c>
      <c r="EO240" s="137">
        <f>IF(CV240="zákl. přenesená",J240,0)</f>
        <v>0</v>
      </c>
      <c r="EP240" s="137">
        <f>IF(CV240="sníž. přenesená",J240,0)</f>
        <v>0</v>
      </c>
      <c r="EQ240" s="137">
        <f>IF(CV240="nulová",J240,0)</f>
        <v>0</v>
      </c>
      <c r="ER240" s="16" t="s">
        <v>81</v>
      </c>
      <c r="ES240" s="137">
        <f>ROUND(I240*H240,2)</f>
        <v>13360.05</v>
      </c>
      <c r="ET240" s="16" t="s">
        <v>95</v>
      </c>
      <c r="EU240" s="136" t="s">
        <v>454</v>
      </c>
    </row>
    <row r="241" spans="2:151" s="1" customFormat="1" x14ac:dyDescent="0.2">
      <c r="B241" s="31"/>
      <c r="D241" s="138" t="s">
        <v>289</v>
      </c>
      <c r="F241" s="139" t="s">
        <v>453</v>
      </c>
      <c r="I241" s="140"/>
      <c r="L241" s="31"/>
      <c r="N241" s="213"/>
      <c r="O241" s="214"/>
      <c r="Q241" s="229"/>
      <c r="CU241" s="141"/>
      <c r="DB241" s="50"/>
      <c r="EB241" s="16" t="s">
        <v>289</v>
      </c>
      <c r="EC241" s="16" t="s">
        <v>83</v>
      </c>
    </row>
    <row r="242" spans="2:151" s="12" customFormat="1" x14ac:dyDescent="0.2">
      <c r="B242" s="149"/>
      <c r="D242" s="138" t="s">
        <v>301</v>
      </c>
      <c r="F242" s="151" t="s">
        <v>1341</v>
      </c>
      <c r="H242" s="152">
        <v>35.1</v>
      </c>
      <c r="I242" s="153"/>
      <c r="L242" s="149"/>
      <c r="N242" s="217">
        <f>-1.458*2</f>
        <v>-2.9159999999999999</v>
      </c>
      <c r="O242" s="218" t="s">
        <v>3727</v>
      </c>
      <c r="Q242" s="231"/>
      <c r="CU242" s="154"/>
      <c r="DB242" s="155"/>
      <c r="EB242" s="150" t="s">
        <v>301</v>
      </c>
      <c r="EC242" s="150" t="s">
        <v>83</v>
      </c>
      <c r="ED242" s="12" t="s">
        <v>83</v>
      </c>
      <c r="EE242" s="12" t="s">
        <v>3</v>
      </c>
      <c r="EF242" s="12" t="s">
        <v>81</v>
      </c>
      <c r="EG242" s="150" t="s">
        <v>282</v>
      </c>
    </row>
    <row r="243" spans="2:151" s="1" customFormat="1" ht="24.2" customHeight="1" x14ac:dyDescent="0.2">
      <c r="B243" s="124"/>
      <c r="C243" s="125" t="s">
        <v>7</v>
      </c>
      <c r="D243" s="125" t="s">
        <v>284</v>
      </c>
      <c r="E243" s="126" t="s">
        <v>1012</v>
      </c>
      <c r="F243" s="127" t="s">
        <v>1013</v>
      </c>
      <c r="G243" s="128" t="s">
        <v>287</v>
      </c>
      <c r="H243" s="129">
        <v>11.7</v>
      </c>
      <c r="I243" s="130">
        <v>64.410667599999996</v>
      </c>
      <c r="J243" s="131">
        <f>ROUND(I243*H243,2)</f>
        <v>753.6</v>
      </c>
      <c r="K243" s="127" t="s">
        <v>1</v>
      </c>
      <c r="L243" s="268">
        <f>S243</f>
        <v>0</v>
      </c>
      <c r="M243" s="272">
        <f>ROUND(L243*I243,2)</f>
        <v>0</v>
      </c>
      <c r="N243" s="243">
        <f>N245</f>
        <v>-0.97199999999999775</v>
      </c>
      <c r="O243" s="294">
        <f>ROUND(N243*I243,2)</f>
        <v>-62.61</v>
      </c>
      <c r="P243" s="273">
        <f>H243-L243-N243</f>
        <v>12.671999999999997</v>
      </c>
      <c r="Q243" s="287">
        <f>ROUND(P243*I243,2)</f>
        <v>816.21</v>
      </c>
      <c r="R243" s="137"/>
      <c r="S243" s="269">
        <f>W243+Y243+AA243+AC243+AE243+AG243+AI243+AK243+AM243</f>
        <v>0</v>
      </c>
      <c r="T243" s="269">
        <f>ROUND(S243*I243,2)</f>
        <v>0</v>
      </c>
      <c r="U243" s="269">
        <f>H243-S243</f>
        <v>11.7</v>
      </c>
      <c r="V243" s="269">
        <f>ROUND(U243*I243,2)</f>
        <v>753.6</v>
      </c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CU243" s="132" t="s">
        <v>1</v>
      </c>
      <c r="CV243" s="133" t="s">
        <v>40</v>
      </c>
      <c r="CX243" s="134">
        <f>CW243*H243</f>
        <v>0</v>
      </c>
      <c r="CY243" s="134">
        <v>0</v>
      </c>
      <c r="CZ243" s="134">
        <f>CY243*H243</f>
        <v>0</v>
      </c>
      <c r="DA243" s="134">
        <v>0</v>
      </c>
      <c r="DB243" s="135">
        <f>DA243*H243</f>
        <v>0</v>
      </c>
      <c r="DZ243" s="136" t="s">
        <v>95</v>
      </c>
      <c r="EB243" s="136" t="s">
        <v>284</v>
      </c>
      <c r="EC243" s="136" t="s">
        <v>83</v>
      </c>
      <c r="EG243" s="16" t="s">
        <v>282</v>
      </c>
      <c r="EM243" s="137">
        <f>IF(CV243="základní",J243,0)</f>
        <v>753.6</v>
      </c>
      <c r="EN243" s="137">
        <f>IF(CV243="snížená",J243,0)</f>
        <v>0</v>
      </c>
      <c r="EO243" s="137">
        <f>IF(CV243="zákl. přenesená",J243,0)</f>
        <v>0</v>
      </c>
      <c r="EP243" s="137">
        <f>IF(CV243="sníž. přenesená",J243,0)</f>
        <v>0</v>
      </c>
      <c r="EQ243" s="137">
        <f>IF(CV243="nulová",J243,0)</f>
        <v>0</v>
      </c>
      <c r="ER243" s="16" t="s">
        <v>81</v>
      </c>
      <c r="ES243" s="137">
        <f>ROUND(I243*H243,2)</f>
        <v>753.6</v>
      </c>
      <c r="ET243" s="16" t="s">
        <v>95</v>
      </c>
      <c r="EU243" s="136" t="s">
        <v>1014</v>
      </c>
    </row>
    <row r="244" spans="2:151" s="1" customFormat="1" x14ac:dyDescent="0.2">
      <c r="B244" s="31"/>
      <c r="D244" s="138" t="s">
        <v>289</v>
      </c>
      <c r="F244" s="139" t="s">
        <v>1013</v>
      </c>
      <c r="I244" s="140"/>
      <c r="L244" s="31"/>
      <c r="N244" s="213"/>
      <c r="O244" s="214"/>
      <c r="Q244" s="229"/>
      <c r="CU244" s="141"/>
      <c r="DB244" s="50"/>
      <c r="EB244" s="16" t="s">
        <v>289</v>
      </c>
      <c r="EC244" s="16" t="s">
        <v>83</v>
      </c>
    </row>
    <row r="245" spans="2:151" s="1" customFormat="1" ht="24.2" customHeight="1" x14ac:dyDescent="0.2">
      <c r="B245" s="124"/>
      <c r="C245" s="125" t="s">
        <v>415</v>
      </c>
      <c r="D245" s="125" t="s">
        <v>284</v>
      </c>
      <c r="E245" s="126" t="s">
        <v>1015</v>
      </c>
      <c r="F245" s="127" t="s">
        <v>1016</v>
      </c>
      <c r="G245" s="128" t="s">
        <v>287</v>
      </c>
      <c r="H245" s="129">
        <v>11.7</v>
      </c>
      <c r="I245" s="130">
        <v>48.300657632010001</v>
      </c>
      <c r="J245" s="131">
        <f>ROUND(I245*H245,2)</f>
        <v>565.12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N250</f>
        <v>-0.97199999999999775</v>
      </c>
      <c r="O245" s="294">
        <f>ROUND(N245*I245,2)</f>
        <v>-46.95</v>
      </c>
      <c r="P245" s="273">
        <f>H245-L245-N245</f>
        <v>12.671999999999997</v>
      </c>
      <c r="Q245" s="287">
        <f>ROUND(P245*I245,2)</f>
        <v>612.07000000000005</v>
      </c>
      <c r="R245" s="137"/>
      <c r="S245" s="269">
        <f>W245+Y245+AA245+AC245+AE245+AG245+AI245+AK245+AM245</f>
        <v>0</v>
      </c>
      <c r="T245" s="269">
        <f>ROUND(S245*I245,2)</f>
        <v>0</v>
      </c>
      <c r="U245" s="269">
        <f>H245-S245</f>
        <v>11.7</v>
      </c>
      <c r="V245" s="269">
        <f>ROUND(U245*I245,2)</f>
        <v>565.12</v>
      </c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CU245" s="132" t="s">
        <v>1</v>
      </c>
      <c r="CV245" s="133" t="s">
        <v>40</v>
      </c>
      <c r="CX245" s="134">
        <f>CW245*H245</f>
        <v>0</v>
      </c>
      <c r="CY245" s="134">
        <v>0</v>
      </c>
      <c r="CZ245" s="134">
        <f>CY245*H245</f>
        <v>0</v>
      </c>
      <c r="DA245" s="134">
        <v>0</v>
      </c>
      <c r="DB245" s="135">
        <f>DA245*H245</f>
        <v>0</v>
      </c>
      <c r="DZ245" s="136" t="s">
        <v>95</v>
      </c>
      <c r="EB245" s="136" t="s">
        <v>284</v>
      </c>
      <c r="EC245" s="136" t="s">
        <v>83</v>
      </c>
      <c r="EG245" s="16" t="s">
        <v>282</v>
      </c>
      <c r="EM245" s="137">
        <f>IF(CV245="základní",J245,0)</f>
        <v>565.12</v>
      </c>
      <c r="EN245" s="137">
        <f>IF(CV245="snížená",J245,0)</f>
        <v>0</v>
      </c>
      <c r="EO245" s="137">
        <f>IF(CV245="zákl. přenesená",J245,0)</f>
        <v>0</v>
      </c>
      <c r="EP245" s="137">
        <f>IF(CV245="sníž. přenesená",J245,0)</f>
        <v>0</v>
      </c>
      <c r="EQ245" s="137">
        <f>IF(CV245="nulová",J245,0)</f>
        <v>0</v>
      </c>
      <c r="ER245" s="16" t="s">
        <v>81</v>
      </c>
      <c r="ES245" s="137">
        <f>ROUND(I245*H245,2)</f>
        <v>565.12</v>
      </c>
      <c r="ET245" s="16" t="s">
        <v>95</v>
      </c>
      <c r="EU245" s="136" t="s">
        <v>1017</v>
      </c>
    </row>
    <row r="246" spans="2:151" s="1" customFormat="1" ht="29.25" x14ac:dyDescent="0.2">
      <c r="B246" s="31"/>
      <c r="D246" s="138" t="s">
        <v>289</v>
      </c>
      <c r="F246" s="139" t="s">
        <v>1018</v>
      </c>
      <c r="I246" s="140"/>
      <c r="L246" s="31"/>
      <c r="N246" s="213"/>
      <c r="O246" s="214"/>
      <c r="Q246" s="229"/>
      <c r="CU246" s="141"/>
      <c r="DB246" s="50"/>
      <c r="EB246" s="16" t="s">
        <v>289</v>
      </c>
      <c r="EC246" s="16" t="s">
        <v>83</v>
      </c>
    </row>
    <row r="247" spans="2:151" s="1" customFormat="1" ht="29.25" x14ac:dyDescent="0.2">
      <c r="B247" s="31"/>
      <c r="D247" s="138" t="s">
        <v>299</v>
      </c>
      <c r="F247" s="142" t="s">
        <v>1083</v>
      </c>
      <c r="I247" s="140"/>
      <c r="L247" s="31"/>
      <c r="N247" s="213"/>
      <c r="O247" s="214"/>
      <c r="Q247" s="229"/>
      <c r="CU247" s="141"/>
      <c r="DB247" s="50"/>
      <c r="EB247" s="16" t="s">
        <v>299</v>
      </c>
      <c r="EC247" s="16" t="s">
        <v>83</v>
      </c>
    </row>
    <row r="248" spans="2:151" s="11" customFormat="1" x14ac:dyDescent="0.2">
      <c r="B248" s="143"/>
      <c r="D248" s="138" t="s">
        <v>301</v>
      </c>
      <c r="E248" s="144" t="s">
        <v>1</v>
      </c>
      <c r="F248" s="145" t="s">
        <v>1088</v>
      </c>
      <c r="H248" s="144" t="s">
        <v>1</v>
      </c>
      <c r="I248" s="146"/>
      <c r="L248" s="143"/>
      <c r="N248" s="215"/>
      <c r="O248" s="216"/>
      <c r="Q248" s="230"/>
      <c r="CU248" s="147"/>
      <c r="DB248" s="148"/>
      <c r="EB248" s="144" t="s">
        <v>301</v>
      </c>
      <c r="EC248" s="144" t="s">
        <v>83</v>
      </c>
      <c r="ED248" s="11" t="s">
        <v>81</v>
      </c>
      <c r="EE248" s="11" t="s">
        <v>32</v>
      </c>
      <c r="EF248" s="11" t="s">
        <v>74</v>
      </c>
      <c r="EG248" s="144" t="s">
        <v>282</v>
      </c>
    </row>
    <row r="249" spans="2:151" s="12" customFormat="1" x14ac:dyDescent="0.2">
      <c r="B249" s="149"/>
      <c r="D249" s="138" t="s">
        <v>301</v>
      </c>
      <c r="E249" s="150" t="s">
        <v>1</v>
      </c>
      <c r="F249" s="151" t="s">
        <v>1317</v>
      </c>
      <c r="H249" s="152">
        <v>11.7</v>
      </c>
      <c r="I249" s="153"/>
      <c r="L249" s="149"/>
      <c r="N249" s="217">
        <f>35.76*3*0.1</f>
        <v>10.728000000000002</v>
      </c>
      <c r="O249" s="218" t="s">
        <v>3712</v>
      </c>
      <c r="Q249" s="231"/>
      <c r="CU249" s="154"/>
      <c r="DB249" s="155"/>
      <c r="EB249" s="150" t="s">
        <v>301</v>
      </c>
      <c r="EC249" s="150" t="s">
        <v>83</v>
      </c>
      <c r="ED249" s="12" t="s">
        <v>83</v>
      </c>
      <c r="EE249" s="12" t="s">
        <v>32</v>
      </c>
      <c r="EF249" s="12" t="s">
        <v>81</v>
      </c>
      <c r="EG249" s="150" t="s">
        <v>282</v>
      </c>
    </row>
    <row r="250" spans="2:151" s="12" customFormat="1" x14ac:dyDescent="0.2">
      <c r="B250" s="149"/>
      <c r="D250" s="138"/>
      <c r="E250" s="150"/>
      <c r="F250" s="151"/>
      <c r="H250" s="152"/>
      <c r="I250" s="153"/>
      <c r="L250" s="149"/>
      <c r="N250" s="310">
        <f>N249-H249</f>
        <v>-0.97199999999999775</v>
      </c>
      <c r="O250" s="218"/>
      <c r="Q250" s="231"/>
      <c r="CU250" s="154"/>
      <c r="DB250" s="155"/>
      <c r="EB250" s="150"/>
      <c r="EC250" s="150"/>
      <c r="EG250" s="150"/>
    </row>
    <row r="251" spans="2:151" s="1" customFormat="1" ht="24.2" customHeight="1" x14ac:dyDescent="0.2">
      <c r="B251" s="124"/>
      <c r="C251" s="125" t="s">
        <v>422</v>
      </c>
      <c r="D251" s="125" t="s">
        <v>284</v>
      </c>
      <c r="E251" s="126" t="s">
        <v>457</v>
      </c>
      <c r="F251" s="127" t="s">
        <v>458</v>
      </c>
      <c r="G251" s="128" t="s">
        <v>418</v>
      </c>
      <c r="H251" s="129">
        <v>136.32</v>
      </c>
      <c r="I251" s="130">
        <v>61.737071122597108</v>
      </c>
      <c r="J251" s="131">
        <f>ROUND(I251*H251,2)</f>
        <v>8416</v>
      </c>
      <c r="K251" s="127" t="s">
        <v>293</v>
      </c>
      <c r="L251" s="268">
        <f>S251</f>
        <v>0</v>
      </c>
      <c r="M251" s="272">
        <f>ROUND(L251*I251,2)</f>
        <v>0</v>
      </c>
      <c r="N251" s="243">
        <f>N253</f>
        <v>-12.248000000000001</v>
      </c>
      <c r="O251" s="294">
        <f>ROUND(N251*I251,2)</f>
        <v>-756.16</v>
      </c>
      <c r="P251" s="273">
        <f>H251-L251-N251</f>
        <v>148.56799999999998</v>
      </c>
      <c r="Q251" s="287">
        <f>ROUND(P251*I251,2)</f>
        <v>9172.15</v>
      </c>
      <c r="R251" s="137"/>
      <c r="S251" s="269">
        <f>W251+Y251+AA251+AC251+AE251+AG251+AI251+AK251+AM251</f>
        <v>0</v>
      </c>
      <c r="T251" s="269">
        <f>ROUND(S251*I251,2)</f>
        <v>0</v>
      </c>
      <c r="U251" s="269">
        <f>H251-S251</f>
        <v>136.32</v>
      </c>
      <c r="V251" s="269">
        <f>ROUND(U251*I251,2)</f>
        <v>8416</v>
      </c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CU251" s="132" t="s">
        <v>1</v>
      </c>
      <c r="CV251" s="133" t="s">
        <v>40</v>
      </c>
      <c r="CX251" s="134">
        <f>CW251*H251</f>
        <v>0</v>
      </c>
      <c r="CY251" s="134">
        <v>0</v>
      </c>
      <c r="CZ251" s="134">
        <f>CY251*H251</f>
        <v>0</v>
      </c>
      <c r="DA251" s="134">
        <v>0</v>
      </c>
      <c r="DB251" s="135">
        <f>DA251*H251</f>
        <v>0</v>
      </c>
      <c r="DZ251" s="136" t="s">
        <v>95</v>
      </c>
      <c r="EB251" s="136" t="s">
        <v>284</v>
      </c>
      <c r="EC251" s="136" t="s">
        <v>83</v>
      </c>
      <c r="EG251" s="16" t="s">
        <v>282</v>
      </c>
      <c r="EM251" s="137">
        <f>IF(CV251="základní",J251,0)</f>
        <v>8416</v>
      </c>
      <c r="EN251" s="137">
        <f>IF(CV251="snížená",J251,0)</f>
        <v>0</v>
      </c>
      <c r="EO251" s="137">
        <f>IF(CV251="zákl. přenesená",J251,0)</f>
        <v>0</v>
      </c>
      <c r="EP251" s="137">
        <f>IF(CV251="sníž. přenesená",J251,0)</f>
        <v>0</v>
      </c>
      <c r="EQ251" s="137">
        <f>IF(CV251="nulová",J251,0)</f>
        <v>0</v>
      </c>
      <c r="ER251" s="16" t="s">
        <v>81</v>
      </c>
      <c r="ES251" s="137">
        <f>ROUND(I251*H251,2)</f>
        <v>8416</v>
      </c>
      <c r="ET251" s="16" t="s">
        <v>95</v>
      </c>
      <c r="EU251" s="136" t="s">
        <v>459</v>
      </c>
    </row>
    <row r="252" spans="2:151" s="1" customFormat="1" ht="29.25" x14ac:dyDescent="0.2">
      <c r="B252" s="31"/>
      <c r="D252" s="138" t="s">
        <v>289</v>
      </c>
      <c r="F252" s="139" t="s">
        <v>460</v>
      </c>
      <c r="I252" s="140"/>
      <c r="L252" s="31"/>
      <c r="N252" s="213"/>
      <c r="O252" s="214"/>
      <c r="Q252" s="229"/>
      <c r="CU252" s="141"/>
      <c r="DB252" s="50"/>
      <c r="EB252" s="16" t="s">
        <v>289</v>
      </c>
      <c r="EC252" s="16" t="s">
        <v>83</v>
      </c>
    </row>
    <row r="253" spans="2:151" s="12" customFormat="1" x14ac:dyDescent="0.2">
      <c r="B253" s="149"/>
      <c r="D253" s="138" t="s">
        <v>301</v>
      </c>
      <c r="E253" s="150" t="s">
        <v>1</v>
      </c>
      <c r="F253" s="151" t="s">
        <v>1342</v>
      </c>
      <c r="H253" s="152">
        <v>136.32</v>
      </c>
      <c r="I253" s="153"/>
      <c r="L253" s="149"/>
      <c r="N253" s="217">
        <f>-9.332-2.916</f>
        <v>-12.248000000000001</v>
      </c>
      <c r="O253" s="218" t="s">
        <v>3728</v>
      </c>
      <c r="Q253" s="231"/>
      <c r="CU253" s="154"/>
      <c r="DB253" s="155"/>
      <c r="EB253" s="150" t="s">
        <v>301</v>
      </c>
      <c r="EC253" s="150" t="s">
        <v>83</v>
      </c>
      <c r="ED253" s="12" t="s">
        <v>83</v>
      </c>
      <c r="EE253" s="12" t="s">
        <v>32</v>
      </c>
      <c r="EF253" s="12" t="s">
        <v>81</v>
      </c>
      <c r="EG253" s="150" t="s">
        <v>282</v>
      </c>
    </row>
    <row r="254" spans="2:151" s="10" customFormat="1" ht="22.9" customHeight="1" x14ac:dyDescent="0.2">
      <c r="B254" s="112"/>
      <c r="D254" s="113" t="s">
        <v>73</v>
      </c>
      <c r="E254" s="122" t="s">
        <v>83</v>
      </c>
      <c r="F254" s="122" t="s">
        <v>462</v>
      </c>
      <c r="I254" s="115"/>
      <c r="J254" s="123">
        <f>ES254</f>
        <v>10298.66</v>
      </c>
      <c r="L254" s="112"/>
      <c r="M254" s="291">
        <f>M255</f>
        <v>0</v>
      </c>
      <c r="N254" s="295"/>
      <c r="O254" s="296">
        <f t="shared" ref="O254:V254" si="3">O255</f>
        <v>-855.58</v>
      </c>
      <c r="P254" s="291"/>
      <c r="Q254" s="298">
        <f t="shared" si="3"/>
        <v>11154.25</v>
      </c>
      <c r="R254" s="291"/>
      <c r="S254" s="291"/>
      <c r="T254" s="291">
        <f t="shared" si="3"/>
        <v>0</v>
      </c>
      <c r="U254" s="291"/>
      <c r="V254" s="291">
        <f t="shared" si="3"/>
        <v>10298.66</v>
      </c>
      <c r="CU254" s="117"/>
      <c r="CX254" s="118">
        <f>SUM(CX255:CX258)</f>
        <v>0</v>
      </c>
      <c r="CZ254" s="118">
        <f>SUM(CZ255:CZ258)</f>
        <v>7.9829100000000004</v>
      </c>
      <c r="DB254" s="119">
        <f>SUM(DB255:DB258)</f>
        <v>0</v>
      </c>
      <c r="DZ254" s="113" t="s">
        <v>81</v>
      </c>
      <c r="EB254" s="120" t="s">
        <v>73</v>
      </c>
      <c r="EC254" s="120" t="s">
        <v>81</v>
      </c>
      <c r="EG254" s="113" t="s">
        <v>282</v>
      </c>
      <c r="ES254" s="121">
        <f>SUM(ES255:ES258)</f>
        <v>10298.66</v>
      </c>
    </row>
    <row r="255" spans="2:151" s="1" customFormat="1" ht="37.9" customHeight="1" x14ac:dyDescent="0.2">
      <c r="B255" s="124"/>
      <c r="C255" s="125" t="s">
        <v>438</v>
      </c>
      <c r="D255" s="125" t="s">
        <v>284</v>
      </c>
      <c r="E255" s="126" t="s">
        <v>464</v>
      </c>
      <c r="F255" s="127" t="s">
        <v>465</v>
      </c>
      <c r="G255" s="128" t="s">
        <v>344</v>
      </c>
      <c r="H255" s="129">
        <v>39</v>
      </c>
      <c r="I255" s="130">
        <v>264.06831423630393</v>
      </c>
      <c r="J255" s="131">
        <f>ROUND(I255*H255,2)</f>
        <v>10298.66</v>
      </c>
      <c r="K255" s="127" t="s">
        <v>293</v>
      </c>
      <c r="L255" s="268">
        <f>S255</f>
        <v>0</v>
      </c>
      <c r="M255" s="272">
        <f>ROUND(L255*I255,2)</f>
        <v>0</v>
      </c>
      <c r="N255" s="243">
        <f>N258</f>
        <v>-3.240000000000002</v>
      </c>
      <c r="O255" s="294">
        <f>ROUND(N255*I255,2)</f>
        <v>-855.58</v>
      </c>
      <c r="P255" s="273">
        <f>H255-L255-N255</f>
        <v>42.24</v>
      </c>
      <c r="Q255" s="287">
        <f>ROUND(P255*I255,2)</f>
        <v>11154.25</v>
      </c>
      <c r="R255" s="137"/>
      <c r="S255" s="269">
        <f>W255+Y255+AA255+AC255+AE255+AG255+AI255+AK255+AM255</f>
        <v>0</v>
      </c>
      <c r="T255" s="269">
        <f>ROUND(S255*I255,2)</f>
        <v>0</v>
      </c>
      <c r="U255" s="269">
        <f>H255-S255</f>
        <v>39</v>
      </c>
      <c r="V255" s="269">
        <f>ROUND(U255*I255,2)</f>
        <v>10298.66</v>
      </c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CU255" s="132" t="s">
        <v>1</v>
      </c>
      <c r="CV255" s="133" t="s">
        <v>40</v>
      </c>
      <c r="CX255" s="134">
        <f>CW255*H255</f>
        <v>0</v>
      </c>
      <c r="CY255" s="134">
        <v>0.20469000000000001</v>
      </c>
      <c r="CZ255" s="134">
        <f>CY255*H255</f>
        <v>7.9829100000000004</v>
      </c>
      <c r="DA255" s="134">
        <v>0</v>
      </c>
      <c r="DB255" s="135">
        <f>DA255*H255</f>
        <v>0</v>
      </c>
      <c r="DZ255" s="136" t="s">
        <v>95</v>
      </c>
      <c r="EB255" s="136" t="s">
        <v>284</v>
      </c>
      <c r="EC255" s="136" t="s">
        <v>83</v>
      </c>
      <c r="EG255" s="16" t="s">
        <v>282</v>
      </c>
      <c r="EM255" s="137">
        <f>IF(CV255="základní",J255,0)</f>
        <v>10298.66</v>
      </c>
      <c r="EN255" s="137">
        <f>IF(CV255="snížená",J255,0)</f>
        <v>0</v>
      </c>
      <c r="EO255" s="137">
        <f>IF(CV255="zákl. přenesená",J255,0)</f>
        <v>0</v>
      </c>
      <c r="EP255" s="137">
        <f>IF(CV255="sníž. přenesená",J255,0)</f>
        <v>0</v>
      </c>
      <c r="EQ255" s="137">
        <f>IF(CV255="nulová",J255,0)</f>
        <v>0</v>
      </c>
      <c r="ER255" s="16" t="s">
        <v>81</v>
      </c>
      <c r="ES255" s="137">
        <f>ROUND(I255*H255,2)</f>
        <v>10298.66</v>
      </c>
      <c r="ET255" s="16" t="s">
        <v>95</v>
      </c>
      <c r="EU255" s="136" t="s">
        <v>466</v>
      </c>
    </row>
    <row r="256" spans="2:151" s="1" customFormat="1" ht="39" x14ac:dyDescent="0.2">
      <c r="B256" s="31"/>
      <c r="D256" s="138" t="s">
        <v>289</v>
      </c>
      <c r="F256" s="139" t="s">
        <v>467</v>
      </c>
      <c r="I256" s="140"/>
      <c r="L256" s="31"/>
      <c r="N256" s="213"/>
      <c r="O256" s="214"/>
      <c r="Q256" s="229"/>
      <c r="CU256" s="141"/>
      <c r="DB256" s="50"/>
      <c r="EB256" s="16" t="s">
        <v>289</v>
      </c>
      <c r="EC256" s="16" t="s">
        <v>83</v>
      </c>
    </row>
    <row r="257" spans="2:151" s="1" customFormat="1" ht="29.25" x14ac:dyDescent="0.2">
      <c r="B257" s="31"/>
      <c r="D257" s="138" t="s">
        <v>299</v>
      </c>
      <c r="F257" s="142" t="s">
        <v>1083</v>
      </c>
      <c r="I257" s="140"/>
      <c r="L257" s="31"/>
      <c r="N257" s="213"/>
      <c r="O257" s="214"/>
      <c r="Q257" s="229"/>
      <c r="CU257" s="141"/>
      <c r="DB257" s="50"/>
      <c r="EB257" s="16" t="s">
        <v>299</v>
      </c>
      <c r="EC257" s="16" t="s">
        <v>83</v>
      </c>
    </row>
    <row r="258" spans="2:151" s="12" customFormat="1" x14ac:dyDescent="0.2">
      <c r="B258" s="149"/>
      <c r="D258" s="138" t="s">
        <v>301</v>
      </c>
      <c r="E258" s="150" t="s">
        <v>1</v>
      </c>
      <c r="F258" s="151" t="s">
        <v>521</v>
      </c>
      <c r="H258" s="152">
        <v>39</v>
      </c>
      <c r="I258" s="153"/>
      <c r="L258" s="149"/>
      <c r="N258" s="217">
        <f>35.76-39</f>
        <v>-3.240000000000002</v>
      </c>
      <c r="O258" s="218" t="s">
        <v>3723</v>
      </c>
      <c r="Q258" s="231"/>
      <c r="CU258" s="154"/>
      <c r="DB258" s="155"/>
      <c r="EB258" s="150" t="s">
        <v>301</v>
      </c>
      <c r="EC258" s="150" t="s">
        <v>83</v>
      </c>
      <c r="ED258" s="12" t="s">
        <v>83</v>
      </c>
      <c r="EE258" s="12" t="s">
        <v>32</v>
      </c>
      <c r="EF258" s="12" t="s">
        <v>81</v>
      </c>
      <c r="EG258" s="150" t="s">
        <v>282</v>
      </c>
    </row>
    <row r="259" spans="2:151" s="10" customFormat="1" ht="22.9" customHeight="1" x14ac:dyDescent="0.2">
      <c r="B259" s="112"/>
      <c r="D259" s="113" t="s">
        <v>73</v>
      </c>
      <c r="E259" s="122" t="s">
        <v>95</v>
      </c>
      <c r="F259" s="122" t="s">
        <v>469</v>
      </c>
      <c r="I259" s="115"/>
      <c r="J259" s="123">
        <f>ES259</f>
        <v>9185.43</v>
      </c>
      <c r="L259" s="112"/>
      <c r="M259" s="291">
        <f>M260+M265+M270</f>
        <v>0</v>
      </c>
      <c r="N259" s="295"/>
      <c r="O259" s="296">
        <f t="shared" ref="O259:V259" si="4">O260+O265+O270</f>
        <v>-388.86</v>
      </c>
      <c r="P259" s="291"/>
      <c r="Q259" s="298">
        <f t="shared" si="4"/>
        <v>9574.2899999999991</v>
      </c>
      <c r="R259" s="291"/>
      <c r="S259" s="291"/>
      <c r="T259" s="291">
        <f t="shared" si="4"/>
        <v>0</v>
      </c>
      <c r="U259" s="291"/>
      <c r="V259" s="291">
        <f t="shared" si="4"/>
        <v>9185.43</v>
      </c>
      <c r="CU259" s="117"/>
      <c r="CX259" s="118">
        <f>SUM(CX260:CX274)</f>
        <v>0</v>
      </c>
      <c r="CZ259" s="118">
        <f>SUM(CZ260:CZ274)</f>
        <v>0</v>
      </c>
      <c r="DB259" s="119">
        <f>SUM(DB260:DB274)</f>
        <v>0</v>
      </c>
      <c r="DZ259" s="113" t="s">
        <v>81</v>
      </c>
      <c r="EB259" s="120" t="s">
        <v>73</v>
      </c>
      <c r="EC259" s="120" t="s">
        <v>81</v>
      </c>
      <c r="EG259" s="113" t="s">
        <v>282</v>
      </c>
      <c r="ES259" s="121">
        <f>SUM(ES260:ES274)</f>
        <v>9185.43</v>
      </c>
    </row>
    <row r="260" spans="2:151" s="1" customFormat="1" ht="14.45" customHeight="1" x14ac:dyDescent="0.2">
      <c r="B260" s="124"/>
      <c r="C260" s="125" t="s">
        <v>445</v>
      </c>
      <c r="D260" s="125" t="s">
        <v>284</v>
      </c>
      <c r="E260" s="126" t="s">
        <v>471</v>
      </c>
      <c r="F260" s="127" t="s">
        <v>472</v>
      </c>
      <c r="G260" s="128" t="s">
        <v>366</v>
      </c>
      <c r="H260" s="129">
        <v>3.9</v>
      </c>
      <c r="I260" s="130">
        <v>1200.17173250368</v>
      </c>
      <c r="J260" s="131">
        <f>ROUND(I260*H260,2)</f>
        <v>4680.67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N264</f>
        <v>-0.32399999999999984</v>
      </c>
      <c r="O260" s="294">
        <f>ROUND(N260*I260,2)</f>
        <v>-388.86</v>
      </c>
      <c r="P260" s="273">
        <f>H260-L260-N260</f>
        <v>4.2240000000000002</v>
      </c>
      <c r="Q260" s="287">
        <f>ROUND(P260*I260,2)</f>
        <v>5069.53</v>
      </c>
      <c r="R260" s="137"/>
      <c r="S260" s="269">
        <f>W260+Y260+AA260+AC260+AE260+AG260+AI260+AK260+AM260</f>
        <v>0</v>
      </c>
      <c r="T260" s="269">
        <f>ROUND(S260*I260,2)</f>
        <v>0</v>
      </c>
      <c r="U260" s="269">
        <f>H260-S260</f>
        <v>3.9</v>
      </c>
      <c r="V260" s="269">
        <f>ROUND(U260*I260,2)</f>
        <v>4680.67</v>
      </c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CU260" s="132" t="s">
        <v>1</v>
      </c>
      <c r="CV260" s="133" t="s">
        <v>40</v>
      </c>
      <c r="CX260" s="134">
        <f>CW260*H260</f>
        <v>0</v>
      </c>
      <c r="CY260" s="134">
        <v>0</v>
      </c>
      <c r="CZ260" s="134">
        <f>CY260*H260</f>
        <v>0</v>
      </c>
      <c r="DA260" s="134">
        <v>0</v>
      </c>
      <c r="DB260" s="135">
        <f>DA260*H260</f>
        <v>0</v>
      </c>
      <c r="DZ260" s="136" t="s">
        <v>95</v>
      </c>
      <c r="EB260" s="136" t="s">
        <v>284</v>
      </c>
      <c r="EC260" s="136" t="s">
        <v>83</v>
      </c>
      <c r="EG260" s="16" t="s">
        <v>282</v>
      </c>
      <c r="EM260" s="137">
        <f>IF(CV260="základní",J260,0)</f>
        <v>4680.67</v>
      </c>
      <c r="EN260" s="137">
        <f>IF(CV260="snížená",J260,0)</f>
        <v>0</v>
      </c>
      <c r="EO260" s="137">
        <f>IF(CV260="zákl. přenesená",J260,0)</f>
        <v>0</v>
      </c>
      <c r="EP260" s="137">
        <f>IF(CV260="sníž. přenesená",J260,0)</f>
        <v>0</v>
      </c>
      <c r="EQ260" s="137">
        <f>IF(CV260="nulová",J260,0)</f>
        <v>0</v>
      </c>
      <c r="ER260" s="16" t="s">
        <v>81</v>
      </c>
      <c r="ES260" s="137">
        <f>ROUND(I260*H260,2)</f>
        <v>4680.67</v>
      </c>
      <c r="ET260" s="16" t="s">
        <v>95</v>
      </c>
      <c r="EU260" s="136" t="s">
        <v>473</v>
      </c>
    </row>
    <row r="261" spans="2:151" s="1" customFormat="1" ht="19.5" x14ac:dyDescent="0.2">
      <c r="B261" s="31"/>
      <c r="D261" s="138" t="s">
        <v>289</v>
      </c>
      <c r="F261" s="139" t="s">
        <v>474</v>
      </c>
      <c r="I261" s="140"/>
      <c r="L261" s="31"/>
      <c r="N261" s="213"/>
      <c r="O261" s="214"/>
      <c r="Q261" s="229"/>
      <c r="CU261" s="141"/>
      <c r="DB261" s="50"/>
      <c r="EB261" s="16" t="s">
        <v>289</v>
      </c>
      <c r="EC261" s="16" t="s">
        <v>83</v>
      </c>
    </row>
    <row r="262" spans="2:151" s="1" customFormat="1" ht="29.25" x14ac:dyDescent="0.2">
      <c r="B262" s="31"/>
      <c r="D262" s="138" t="s">
        <v>299</v>
      </c>
      <c r="F262" s="142" t="s">
        <v>1083</v>
      </c>
      <c r="I262" s="140"/>
      <c r="L262" s="31"/>
      <c r="N262" s="213"/>
      <c r="O262" s="214"/>
      <c r="Q262" s="229"/>
      <c r="CU262" s="141"/>
      <c r="DB262" s="50"/>
      <c r="EB262" s="16" t="s">
        <v>299</v>
      </c>
      <c r="EC262" s="16" t="s">
        <v>83</v>
      </c>
    </row>
    <row r="263" spans="2:151" s="12" customFormat="1" x14ac:dyDescent="0.2">
      <c r="B263" s="149"/>
      <c r="D263" s="138" t="s">
        <v>301</v>
      </c>
      <c r="E263" s="150" t="s">
        <v>1</v>
      </c>
      <c r="F263" s="151" t="s">
        <v>1343</v>
      </c>
      <c r="H263" s="152">
        <v>3.9</v>
      </c>
      <c r="I263" s="153"/>
      <c r="L263" s="149"/>
      <c r="N263" s="217">
        <f>35.76*1*0.1</f>
        <v>3.5760000000000001</v>
      </c>
      <c r="O263" s="218" t="s">
        <v>3724</v>
      </c>
      <c r="Q263" s="231"/>
      <c r="CU263" s="154"/>
      <c r="DB263" s="155"/>
      <c r="EB263" s="150" t="s">
        <v>301</v>
      </c>
      <c r="EC263" s="150" t="s">
        <v>83</v>
      </c>
      <c r="ED263" s="12" t="s">
        <v>83</v>
      </c>
      <c r="EE263" s="12" t="s">
        <v>32</v>
      </c>
      <c r="EF263" s="12" t="s">
        <v>81</v>
      </c>
      <c r="EG263" s="150" t="s">
        <v>282</v>
      </c>
    </row>
    <row r="264" spans="2:151" s="12" customFormat="1" x14ac:dyDescent="0.2">
      <c r="B264" s="149"/>
      <c r="D264" s="138"/>
      <c r="E264" s="150"/>
      <c r="F264" s="151"/>
      <c r="H264" s="152"/>
      <c r="I264" s="153"/>
      <c r="L264" s="149"/>
      <c r="N264" s="310">
        <f>N263-H263</f>
        <v>-0.32399999999999984</v>
      </c>
      <c r="O264" s="218"/>
      <c r="Q264" s="231"/>
      <c r="CU264" s="154"/>
      <c r="DB264" s="155"/>
      <c r="EB264" s="150"/>
      <c r="EC264" s="150"/>
      <c r="EG264" s="150"/>
    </row>
    <row r="265" spans="2:151" s="1" customFormat="1" ht="14.45" customHeight="1" x14ac:dyDescent="0.2">
      <c r="B265" s="124"/>
      <c r="C265" s="125" t="s">
        <v>451</v>
      </c>
      <c r="D265" s="125" t="s">
        <v>284</v>
      </c>
      <c r="E265" s="126" t="s">
        <v>477</v>
      </c>
      <c r="F265" s="127" t="s">
        <v>478</v>
      </c>
      <c r="G265" s="128" t="s">
        <v>366</v>
      </c>
      <c r="H265" s="129">
        <v>1.1000000000000001</v>
      </c>
      <c r="I265" s="130">
        <v>1200.17173250368</v>
      </c>
      <c r="J265" s="131">
        <f>ROUND(I265*H265,2)</f>
        <v>1320.19</v>
      </c>
      <c r="K265" s="127" t="s">
        <v>1</v>
      </c>
      <c r="L265" s="268">
        <f>S265</f>
        <v>0</v>
      </c>
      <c r="M265" s="272">
        <f>ROUND(L265*I265,2)</f>
        <v>0</v>
      </c>
      <c r="N265" s="243"/>
      <c r="O265" s="294">
        <f>ROUND(N265*I265,2)</f>
        <v>0</v>
      </c>
      <c r="P265" s="273">
        <f>H265-L265-N265</f>
        <v>1.1000000000000001</v>
      </c>
      <c r="Q265" s="287">
        <f>ROUND(P265*I265,2)</f>
        <v>1320.19</v>
      </c>
      <c r="R265" s="137"/>
      <c r="S265" s="269">
        <f>W265+Y265+AA265+AC265+AE265+AG265+AI265+AK265+AM265</f>
        <v>0</v>
      </c>
      <c r="T265" s="269">
        <f>ROUND(S265*I265,2)</f>
        <v>0</v>
      </c>
      <c r="U265" s="269">
        <f>H265-S265</f>
        <v>1.1000000000000001</v>
      </c>
      <c r="V265" s="269">
        <f>ROUND(U265*I265,2)</f>
        <v>1320.19</v>
      </c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  <c r="AL265" s="269"/>
      <c r="AM265" s="269"/>
      <c r="AN265" s="269"/>
      <c r="CU265" s="132" t="s">
        <v>1</v>
      </c>
      <c r="CV265" s="133" t="s">
        <v>40</v>
      </c>
      <c r="CX265" s="134">
        <f>CW265*H265</f>
        <v>0</v>
      </c>
      <c r="CY265" s="134">
        <v>0</v>
      </c>
      <c r="CZ265" s="134">
        <f>CY265*H265</f>
        <v>0</v>
      </c>
      <c r="DA265" s="134">
        <v>0</v>
      </c>
      <c r="DB265" s="135">
        <f>DA265*H265</f>
        <v>0</v>
      </c>
      <c r="DZ265" s="136" t="s">
        <v>95</v>
      </c>
      <c r="EB265" s="136" t="s">
        <v>284</v>
      </c>
      <c r="EC265" s="136" t="s">
        <v>83</v>
      </c>
      <c r="EG265" s="16" t="s">
        <v>282</v>
      </c>
      <c r="EM265" s="137">
        <f>IF(CV265="základní",J265,0)</f>
        <v>1320.19</v>
      </c>
      <c r="EN265" s="137">
        <f>IF(CV265="snížená",J265,0)</f>
        <v>0</v>
      </c>
      <c r="EO265" s="137">
        <f>IF(CV265="zákl. přenesená",J265,0)</f>
        <v>0</v>
      </c>
      <c r="EP265" s="137">
        <f>IF(CV265="sníž. přenesená",J265,0)</f>
        <v>0</v>
      </c>
      <c r="EQ265" s="137">
        <f>IF(CV265="nulová",J265,0)</f>
        <v>0</v>
      </c>
      <c r="ER265" s="16" t="s">
        <v>81</v>
      </c>
      <c r="ES265" s="137">
        <f>ROUND(I265*H265,2)</f>
        <v>1320.19</v>
      </c>
      <c r="ET265" s="16" t="s">
        <v>95</v>
      </c>
      <c r="EU265" s="136" t="s">
        <v>479</v>
      </c>
    </row>
    <row r="266" spans="2:151" s="1" customFormat="1" ht="19.5" x14ac:dyDescent="0.2">
      <c r="B266" s="31"/>
      <c r="D266" s="138" t="s">
        <v>289</v>
      </c>
      <c r="F266" s="139" t="s">
        <v>474</v>
      </c>
      <c r="I266" s="140"/>
      <c r="L266" s="31"/>
      <c r="N266" s="213"/>
      <c r="O266" s="214"/>
      <c r="Q266" s="229"/>
      <c r="CU266" s="141"/>
      <c r="DB266" s="50"/>
      <c r="EB266" s="16" t="s">
        <v>289</v>
      </c>
      <c r="EC266" s="16" t="s">
        <v>83</v>
      </c>
    </row>
    <row r="267" spans="2:151" s="1" customFormat="1" ht="29.25" x14ac:dyDescent="0.2">
      <c r="B267" s="31"/>
      <c r="D267" s="138" t="s">
        <v>299</v>
      </c>
      <c r="F267" s="142" t="s">
        <v>1083</v>
      </c>
      <c r="I267" s="140"/>
      <c r="L267" s="31"/>
      <c r="N267" s="213"/>
      <c r="O267" s="214"/>
      <c r="Q267" s="229"/>
      <c r="CU267" s="141"/>
      <c r="DB267" s="50"/>
      <c r="EB267" s="16" t="s">
        <v>299</v>
      </c>
      <c r="EC267" s="16" t="s">
        <v>83</v>
      </c>
    </row>
    <row r="268" spans="2:151" s="11" customFormat="1" x14ac:dyDescent="0.2">
      <c r="B268" s="143"/>
      <c r="D268" s="138" t="s">
        <v>301</v>
      </c>
      <c r="E268" s="144" t="s">
        <v>1</v>
      </c>
      <c r="F268" s="145" t="s">
        <v>1122</v>
      </c>
      <c r="H268" s="144" t="s">
        <v>1</v>
      </c>
      <c r="I268" s="146"/>
      <c r="L268" s="143"/>
      <c r="N268" s="215"/>
      <c r="O268" s="216"/>
      <c r="Q268" s="230"/>
      <c r="CU268" s="147"/>
      <c r="DB268" s="148"/>
      <c r="EB268" s="144" t="s">
        <v>301</v>
      </c>
      <c r="EC268" s="144" t="s">
        <v>83</v>
      </c>
      <c r="ED268" s="11" t="s">
        <v>81</v>
      </c>
      <c r="EE268" s="11" t="s">
        <v>32</v>
      </c>
      <c r="EF268" s="11" t="s">
        <v>74</v>
      </c>
      <c r="EG268" s="144" t="s">
        <v>282</v>
      </c>
    </row>
    <row r="269" spans="2:151" s="12" customFormat="1" x14ac:dyDescent="0.2">
      <c r="B269" s="149"/>
      <c r="D269" s="138" t="s">
        <v>301</v>
      </c>
      <c r="E269" s="150" t="s">
        <v>1</v>
      </c>
      <c r="F269" s="151" t="s">
        <v>1344</v>
      </c>
      <c r="H269" s="152">
        <v>1.1000000000000001</v>
      </c>
      <c r="I269" s="153"/>
      <c r="L269" s="149"/>
      <c r="N269" s="217"/>
      <c r="O269" s="218"/>
      <c r="Q269" s="231"/>
      <c r="CU269" s="154"/>
      <c r="DB269" s="155"/>
      <c r="EB269" s="150" t="s">
        <v>301</v>
      </c>
      <c r="EC269" s="150" t="s">
        <v>83</v>
      </c>
      <c r="ED269" s="12" t="s">
        <v>83</v>
      </c>
      <c r="EE269" s="12" t="s">
        <v>32</v>
      </c>
      <c r="EF269" s="12" t="s">
        <v>81</v>
      </c>
      <c r="EG269" s="150" t="s">
        <v>282</v>
      </c>
    </row>
    <row r="270" spans="2:151" s="1" customFormat="1" ht="24.2" customHeight="1" x14ac:dyDescent="0.2">
      <c r="B270" s="124"/>
      <c r="C270" s="125" t="s">
        <v>456</v>
      </c>
      <c r="D270" s="125" t="s">
        <v>284</v>
      </c>
      <c r="E270" s="126" t="s">
        <v>515</v>
      </c>
      <c r="F270" s="127" t="s">
        <v>516</v>
      </c>
      <c r="G270" s="128" t="s">
        <v>366</v>
      </c>
      <c r="H270" s="129">
        <v>1.1000000000000001</v>
      </c>
      <c r="I270" s="130">
        <v>2895.0660868876225</v>
      </c>
      <c r="J270" s="131">
        <f>ROUND(I270*H270,2)</f>
        <v>3184.57</v>
      </c>
      <c r="K270" s="127" t="s">
        <v>293</v>
      </c>
      <c r="L270" s="268">
        <f>S270</f>
        <v>0</v>
      </c>
      <c r="M270" s="272">
        <f>ROUND(L270*I270,2)</f>
        <v>0</v>
      </c>
      <c r="N270" s="243"/>
      <c r="O270" s="294">
        <f>ROUND(N270*I270,2)</f>
        <v>0</v>
      </c>
      <c r="P270" s="273">
        <f>H270-L270-N270</f>
        <v>1.1000000000000001</v>
      </c>
      <c r="Q270" s="287">
        <f>ROUND(P270*I270,2)</f>
        <v>3184.57</v>
      </c>
      <c r="R270" s="137"/>
      <c r="S270" s="269">
        <f>W270+Y270+AA270+AC270+AE270+AG270+AI270+AK270+AM270</f>
        <v>0</v>
      </c>
      <c r="T270" s="269">
        <f>ROUND(S270*I270,2)</f>
        <v>0</v>
      </c>
      <c r="U270" s="269">
        <f>H270-S270</f>
        <v>1.1000000000000001</v>
      </c>
      <c r="V270" s="269">
        <f>ROUND(U270*I270,2)</f>
        <v>3184.57</v>
      </c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CU270" s="132" t="s">
        <v>1</v>
      </c>
      <c r="CV270" s="133" t="s">
        <v>40</v>
      </c>
      <c r="CX270" s="134">
        <f>CW270*H270</f>
        <v>0</v>
      </c>
      <c r="CY270" s="134">
        <v>0</v>
      </c>
      <c r="CZ270" s="134">
        <f>CY270*H270</f>
        <v>0</v>
      </c>
      <c r="DA270" s="134">
        <v>0</v>
      </c>
      <c r="DB270" s="135">
        <f>DA270*H270</f>
        <v>0</v>
      </c>
      <c r="DZ270" s="136" t="s">
        <v>95</v>
      </c>
      <c r="EB270" s="136" t="s">
        <v>284</v>
      </c>
      <c r="EC270" s="136" t="s">
        <v>83</v>
      </c>
      <c r="EG270" s="16" t="s">
        <v>282</v>
      </c>
      <c r="EM270" s="137">
        <f>IF(CV270="základní",J270,0)</f>
        <v>3184.57</v>
      </c>
      <c r="EN270" s="137">
        <f>IF(CV270="snížená",J270,0)</f>
        <v>0</v>
      </c>
      <c r="EO270" s="137">
        <f>IF(CV270="zákl. přenesená",J270,0)</f>
        <v>0</v>
      </c>
      <c r="EP270" s="137">
        <f>IF(CV270="sníž. přenesená",J270,0)</f>
        <v>0</v>
      </c>
      <c r="EQ270" s="137">
        <f>IF(CV270="nulová",J270,0)</f>
        <v>0</v>
      </c>
      <c r="ER270" s="16" t="s">
        <v>81</v>
      </c>
      <c r="ES270" s="137">
        <f>ROUND(I270*H270,2)</f>
        <v>3184.57</v>
      </c>
      <c r="ET270" s="16" t="s">
        <v>95</v>
      </c>
      <c r="EU270" s="136" t="s">
        <v>517</v>
      </c>
    </row>
    <row r="271" spans="2:151" s="1" customFormat="1" ht="29.25" x14ac:dyDescent="0.2">
      <c r="B271" s="31"/>
      <c r="D271" s="138" t="s">
        <v>289</v>
      </c>
      <c r="F271" s="139" t="s">
        <v>518</v>
      </c>
      <c r="I271" s="140"/>
      <c r="L271" s="31"/>
      <c r="N271" s="213"/>
      <c r="O271" s="214"/>
      <c r="Q271" s="229"/>
      <c r="CU271" s="141"/>
      <c r="DB271" s="50"/>
      <c r="EB271" s="16" t="s">
        <v>289</v>
      </c>
      <c r="EC271" s="16" t="s">
        <v>83</v>
      </c>
    </row>
    <row r="272" spans="2:151" s="1" customFormat="1" ht="29.25" x14ac:dyDescent="0.2">
      <c r="B272" s="31"/>
      <c r="D272" s="138" t="s">
        <v>299</v>
      </c>
      <c r="F272" s="142" t="s">
        <v>1083</v>
      </c>
      <c r="I272" s="140"/>
      <c r="L272" s="31"/>
      <c r="N272" s="213"/>
      <c r="O272" s="214"/>
      <c r="Q272" s="229"/>
      <c r="CU272" s="141"/>
      <c r="DB272" s="50"/>
      <c r="EB272" s="16" t="s">
        <v>299</v>
      </c>
      <c r="EC272" s="16" t="s">
        <v>83</v>
      </c>
    </row>
    <row r="273" spans="2:151" s="11" customFormat="1" x14ac:dyDescent="0.2">
      <c r="B273" s="143"/>
      <c r="D273" s="138" t="s">
        <v>301</v>
      </c>
      <c r="E273" s="144" t="s">
        <v>1</v>
      </c>
      <c r="F273" s="145" t="s">
        <v>1122</v>
      </c>
      <c r="H273" s="144" t="s">
        <v>1</v>
      </c>
      <c r="I273" s="146"/>
      <c r="L273" s="143"/>
      <c r="N273" s="215"/>
      <c r="O273" s="216"/>
      <c r="Q273" s="230"/>
      <c r="CU273" s="147"/>
      <c r="DB273" s="148"/>
      <c r="EB273" s="144" t="s">
        <v>301</v>
      </c>
      <c r="EC273" s="144" t="s">
        <v>83</v>
      </c>
      <c r="ED273" s="11" t="s">
        <v>81</v>
      </c>
      <c r="EE273" s="11" t="s">
        <v>32</v>
      </c>
      <c r="EF273" s="11" t="s">
        <v>74</v>
      </c>
      <c r="EG273" s="144" t="s">
        <v>282</v>
      </c>
    </row>
    <row r="274" spans="2:151" s="12" customFormat="1" x14ac:dyDescent="0.2">
      <c r="B274" s="149"/>
      <c r="D274" s="138" t="s">
        <v>301</v>
      </c>
      <c r="E274" s="150" t="s">
        <v>1</v>
      </c>
      <c r="F274" s="151" t="s">
        <v>1344</v>
      </c>
      <c r="H274" s="152">
        <v>1.1000000000000001</v>
      </c>
      <c r="I274" s="153"/>
      <c r="L274" s="149"/>
      <c r="N274" s="217"/>
      <c r="O274" s="218"/>
      <c r="Q274" s="231"/>
      <c r="CU274" s="154"/>
      <c r="DB274" s="155"/>
      <c r="EB274" s="150" t="s">
        <v>301</v>
      </c>
      <c r="EC274" s="150" t="s">
        <v>83</v>
      </c>
      <c r="ED274" s="12" t="s">
        <v>83</v>
      </c>
      <c r="EE274" s="12" t="s">
        <v>32</v>
      </c>
      <c r="EF274" s="12" t="s">
        <v>81</v>
      </c>
      <c r="EG274" s="150" t="s">
        <v>282</v>
      </c>
    </row>
    <row r="275" spans="2:151" s="10" customFormat="1" ht="22.9" customHeight="1" x14ac:dyDescent="0.2">
      <c r="B275" s="112"/>
      <c r="D275" s="113" t="s">
        <v>73</v>
      </c>
      <c r="E275" s="122" t="s">
        <v>312</v>
      </c>
      <c r="F275" s="122" t="s">
        <v>520</v>
      </c>
      <c r="I275" s="115"/>
      <c r="J275" s="123">
        <f>ES275</f>
        <v>25788.730000000003</v>
      </c>
      <c r="L275" s="112"/>
      <c r="M275" s="291">
        <f>M276+M278+M280+M282</f>
        <v>0</v>
      </c>
      <c r="N275" s="307"/>
      <c r="O275" s="308">
        <f t="shared" ref="O275:V275" si="5">O276+O278+O280+O282</f>
        <v>-2142.4499999999998</v>
      </c>
      <c r="P275" s="291"/>
      <c r="Q275" s="291">
        <f t="shared" si="5"/>
        <v>27931.19</v>
      </c>
      <c r="R275" s="291"/>
      <c r="S275" s="291"/>
      <c r="T275" s="291">
        <f t="shared" si="5"/>
        <v>0</v>
      </c>
      <c r="U275" s="291"/>
      <c r="V275" s="291">
        <f t="shared" si="5"/>
        <v>25788.730000000003</v>
      </c>
      <c r="CU275" s="117"/>
      <c r="CX275" s="118">
        <f>SUM(CX276:CX286)</f>
        <v>0</v>
      </c>
      <c r="CZ275" s="118">
        <f>SUM(CZ276:CZ286)</f>
        <v>0</v>
      </c>
      <c r="DB275" s="119">
        <f>SUM(DB276:DB286)</f>
        <v>0</v>
      </c>
      <c r="DZ275" s="113" t="s">
        <v>81</v>
      </c>
      <c r="EB275" s="120" t="s">
        <v>73</v>
      </c>
      <c r="EC275" s="120" t="s">
        <v>81</v>
      </c>
      <c r="EG275" s="113" t="s">
        <v>282</v>
      </c>
      <c r="ES275" s="121">
        <f>SUM(ES276:ES286)</f>
        <v>25788.730000000003</v>
      </c>
    </row>
    <row r="276" spans="2:151" s="1" customFormat="1" ht="24.2" customHeight="1" x14ac:dyDescent="0.2">
      <c r="B276" s="124"/>
      <c r="C276" s="125" t="s">
        <v>463</v>
      </c>
      <c r="D276" s="125" t="s">
        <v>284</v>
      </c>
      <c r="E276" s="126" t="s">
        <v>522</v>
      </c>
      <c r="F276" s="127" t="s">
        <v>523</v>
      </c>
      <c r="G276" s="128" t="s">
        <v>287</v>
      </c>
      <c r="H276" s="129">
        <v>35.1</v>
      </c>
      <c r="I276" s="130">
        <v>130.95617506780872</v>
      </c>
      <c r="J276" s="131">
        <f>ROUND(I276*H276,2)</f>
        <v>4596.5600000000004</v>
      </c>
      <c r="K276" s="127" t="s">
        <v>293</v>
      </c>
      <c r="L276" s="268">
        <f>S276</f>
        <v>0</v>
      </c>
      <c r="M276" s="272">
        <f>ROUND(L276*I276,2)</f>
        <v>0</v>
      </c>
      <c r="N276" s="243">
        <f>N125</f>
        <v>-2.9160000000000039</v>
      </c>
      <c r="O276" s="294">
        <f>ROUND(N276*I276,2)</f>
        <v>-381.87</v>
      </c>
      <c r="P276" s="273">
        <f>H276-L276-N276</f>
        <v>38.016000000000005</v>
      </c>
      <c r="Q276" s="287">
        <f>ROUND(P276*I276,2)</f>
        <v>4978.43</v>
      </c>
      <c r="R276" s="137"/>
      <c r="S276" s="269">
        <f>W276+Y276+AA276+AC276+AE276+AG276+AI276+AK276+AM276</f>
        <v>0</v>
      </c>
      <c r="T276" s="269">
        <f>ROUND(S276*I276,2)</f>
        <v>0</v>
      </c>
      <c r="U276" s="269">
        <f>H276-S276</f>
        <v>35.1</v>
      </c>
      <c r="V276" s="269">
        <f>ROUND(U276*I276,2)</f>
        <v>4596.5600000000004</v>
      </c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CU276" s="132" t="s">
        <v>1</v>
      </c>
      <c r="CV276" s="133" t="s">
        <v>40</v>
      </c>
      <c r="CX276" s="134">
        <f>CW276*H276</f>
        <v>0</v>
      </c>
      <c r="CY276" s="134">
        <v>0</v>
      </c>
      <c r="CZ276" s="134">
        <f>CY276*H276</f>
        <v>0</v>
      </c>
      <c r="DA276" s="134">
        <v>0</v>
      </c>
      <c r="DB276" s="135">
        <f>DA276*H276</f>
        <v>0</v>
      </c>
      <c r="DZ276" s="136" t="s">
        <v>95</v>
      </c>
      <c r="EB276" s="136" t="s">
        <v>284</v>
      </c>
      <c r="EC276" s="136" t="s">
        <v>83</v>
      </c>
      <c r="EG276" s="16" t="s">
        <v>282</v>
      </c>
      <c r="EM276" s="137">
        <f>IF(CV276="základní",J276,0)</f>
        <v>4596.5600000000004</v>
      </c>
      <c r="EN276" s="137">
        <f>IF(CV276="snížená",J276,0)</f>
        <v>0</v>
      </c>
      <c r="EO276" s="137">
        <f>IF(CV276="zákl. přenesená",J276,0)</f>
        <v>0</v>
      </c>
      <c r="EP276" s="137">
        <f>IF(CV276="sníž. přenesená",J276,0)</f>
        <v>0</v>
      </c>
      <c r="EQ276" s="137">
        <f>IF(CV276="nulová",J276,0)</f>
        <v>0</v>
      </c>
      <c r="ER276" s="16" t="s">
        <v>81</v>
      </c>
      <c r="ES276" s="137">
        <f>ROUND(I276*H276,2)</f>
        <v>4596.5600000000004</v>
      </c>
      <c r="ET276" s="16" t="s">
        <v>95</v>
      </c>
      <c r="EU276" s="136" t="s">
        <v>524</v>
      </c>
    </row>
    <row r="277" spans="2:151" s="1" customFormat="1" ht="19.5" x14ac:dyDescent="0.2">
      <c r="B277" s="31"/>
      <c r="D277" s="138" t="s">
        <v>289</v>
      </c>
      <c r="F277" s="139" t="s">
        <v>525</v>
      </c>
      <c r="I277" s="140"/>
      <c r="L277" s="31"/>
      <c r="N277" s="213"/>
      <c r="O277" s="214"/>
      <c r="Q277" s="229"/>
      <c r="CU277" s="141"/>
      <c r="DB277" s="50"/>
      <c r="EB277" s="16" t="s">
        <v>289</v>
      </c>
      <c r="EC277" s="16" t="s">
        <v>83</v>
      </c>
    </row>
    <row r="278" spans="2:151" s="1" customFormat="1" ht="14.45" customHeight="1" x14ac:dyDescent="0.2">
      <c r="B278" s="124"/>
      <c r="C278" s="125" t="s">
        <v>470</v>
      </c>
      <c r="D278" s="125" t="s">
        <v>284</v>
      </c>
      <c r="E278" s="126" t="s">
        <v>527</v>
      </c>
      <c r="F278" s="127" t="s">
        <v>528</v>
      </c>
      <c r="G278" s="128" t="s">
        <v>287</v>
      </c>
      <c r="H278" s="129">
        <v>35.1</v>
      </c>
      <c r="I278" s="130">
        <v>200.20823792465458</v>
      </c>
      <c r="J278" s="131">
        <f>ROUND(I278*H278,2)</f>
        <v>7027.31</v>
      </c>
      <c r="K278" s="127" t="s">
        <v>293</v>
      </c>
      <c r="L278" s="268">
        <f>S278</f>
        <v>0</v>
      </c>
      <c r="M278" s="272">
        <f>ROUND(L278*I278,2)</f>
        <v>0</v>
      </c>
      <c r="N278" s="243">
        <f>N276</f>
        <v>-2.9160000000000039</v>
      </c>
      <c r="O278" s="294">
        <f>ROUND(N278*I278,2)</f>
        <v>-583.80999999999995</v>
      </c>
      <c r="P278" s="273">
        <f>H278-L278-N278</f>
        <v>38.016000000000005</v>
      </c>
      <c r="Q278" s="287">
        <f>ROUND(P278*I278,2)</f>
        <v>7611.12</v>
      </c>
      <c r="R278" s="137"/>
      <c r="S278" s="269">
        <f>W278+Y278+AA278+AC278+AE278+AG278+AI278+AK278+AM278</f>
        <v>0</v>
      </c>
      <c r="T278" s="269">
        <f>ROUND(S278*I278,2)</f>
        <v>0</v>
      </c>
      <c r="U278" s="269">
        <f>H278-S278</f>
        <v>35.1</v>
      </c>
      <c r="V278" s="269">
        <f>ROUND(U278*I278,2)</f>
        <v>7027.31</v>
      </c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269"/>
      <c r="AL278" s="269"/>
      <c r="AM278" s="269"/>
      <c r="AN278" s="269"/>
      <c r="CU278" s="132" t="s">
        <v>1</v>
      </c>
      <c r="CV278" s="133" t="s">
        <v>40</v>
      </c>
      <c r="CX278" s="134">
        <f>CW278*H278</f>
        <v>0</v>
      </c>
      <c r="CY278" s="134">
        <v>0</v>
      </c>
      <c r="CZ278" s="134">
        <f>CY278*H278</f>
        <v>0</v>
      </c>
      <c r="DA278" s="134">
        <v>0</v>
      </c>
      <c r="DB278" s="135">
        <f>DA278*H278</f>
        <v>0</v>
      </c>
      <c r="DZ278" s="136" t="s">
        <v>95</v>
      </c>
      <c r="EB278" s="136" t="s">
        <v>284</v>
      </c>
      <c r="EC278" s="136" t="s">
        <v>83</v>
      </c>
      <c r="EG278" s="16" t="s">
        <v>282</v>
      </c>
      <c r="EM278" s="137">
        <f>IF(CV278="základní",J278,0)</f>
        <v>7027.31</v>
      </c>
      <c r="EN278" s="137">
        <f>IF(CV278="snížená",J278,0)</f>
        <v>0</v>
      </c>
      <c r="EO278" s="137">
        <f>IF(CV278="zákl. přenesená",J278,0)</f>
        <v>0</v>
      </c>
      <c r="EP278" s="137">
        <f>IF(CV278="sníž. přenesená",J278,0)</f>
        <v>0</v>
      </c>
      <c r="EQ278" s="137">
        <f>IF(CV278="nulová",J278,0)</f>
        <v>0</v>
      </c>
      <c r="ER278" s="16" t="s">
        <v>81</v>
      </c>
      <c r="ES278" s="137">
        <f>ROUND(I278*H278,2)</f>
        <v>7027.31</v>
      </c>
      <c r="ET278" s="16" t="s">
        <v>95</v>
      </c>
      <c r="EU278" s="136" t="s">
        <v>529</v>
      </c>
    </row>
    <row r="279" spans="2:151" s="1" customFormat="1" ht="19.5" x14ac:dyDescent="0.2">
      <c r="B279" s="31"/>
      <c r="D279" s="138" t="s">
        <v>289</v>
      </c>
      <c r="F279" s="139" t="s">
        <v>530</v>
      </c>
      <c r="I279" s="140"/>
      <c r="L279" s="31"/>
      <c r="N279" s="213"/>
      <c r="O279" s="214"/>
      <c r="Q279" s="229"/>
      <c r="CU279" s="141"/>
      <c r="DB279" s="50"/>
      <c r="EB279" s="16" t="s">
        <v>289</v>
      </c>
      <c r="EC279" s="16" t="s">
        <v>83</v>
      </c>
    </row>
    <row r="280" spans="2:151" s="1" customFormat="1" ht="24.2" customHeight="1" x14ac:dyDescent="0.2">
      <c r="B280" s="124"/>
      <c r="C280" s="125" t="s">
        <v>476</v>
      </c>
      <c r="D280" s="125" t="s">
        <v>284</v>
      </c>
      <c r="E280" s="126" t="s">
        <v>532</v>
      </c>
      <c r="F280" s="127" t="s">
        <v>533</v>
      </c>
      <c r="G280" s="128" t="s">
        <v>287</v>
      </c>
      <c r="H280" s="129">
        <v>35.1</v>
      </c>
      <c r="I280" s="130">
        <v>40.878739778868102</v>
      </c>
      <c r="J280" s="131">
        <f>ROUND(I280*H280,2)</f>
        <v>1434.84</v>
      </c>
      <c r="K280" s="127" t="s">
        <v>293</v>
      </c>
      <c r="L280" s="268">
        <f>S280</f>
        <v>0</v>
      </c>
      <c r="M280" s="272">
        <f>ROUND(L280*I280,2)</f>
        <v>0</v>
      </c>
      <c r="N280" s="243">
        <f>N276</f>
        <v>-2.9160000000000039</v>
      </c>
      <c r="O280" s="294">
        <f>ROUND(N280*I280,2)</f>
        <v>-119.2</v>
      </c>
      <c r="P280" s="273">
        <f>H280-L280-N280</f>
        <v>38.016000000000005</v>
      </c>
      <c r="Q280" s="287">
        <f>ROUND(P280*I280,2)</f>
        <v>1554.05</v>
      </c>
      <c r="R280" s="137"/>
      <c r="S280" s="269">
        <f>W280+Y280+AA280+AC280+AE280+AG280+AI280+AK280+AM280</f>
        <v>0</v>
      </c>
      <c r="T280" s="269">
        <f>ROUND(S280*I280,2)</f>
        <v>0</v>
      </c>
      <c r="U280" s="269">
        <f>H280-S280</f>
        <v>35.1</v>
      </c>
      <c r="V280" s="269">
        <f>ROUND(U280*I280,2)</f>
        <v>1434.84</v>
      </c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AK280" s="269"/>
      <c r="AL280" s="269"/>
      <c r="AM280" s="269"/>
      <c r="AN280" s="269"/>
      <c r="CU280" s="132" t="s">
        <v>1</v>
      </c>
      <c r="CV280" s="133" t="s">
        <v>40</v>
      </c>
      <c r="CX280" s="134">
        <f>CW280*H280</f>
        <v>0</v>
      </c>
      <c r="CY280" s="134">
        <v>0</v>
      </c>
      <c r="CZ280" s="134">
        <f>CY280*H280</f>
        <v>0</v>
      </c>
      <c r="DA280" s="134">
        <v>0</v>
      </c>
      <c r="DB280" s="135">
        <f>DA280*H280</f>
        <v>0</v>
      </c>
      <c r="DZ280" s="136" t="s">
        <v>95</v>
      </c>
      <c r="EB280" s="136" t="s">
        <v>284</v>
      </c>
      <c r="EC280" s="136" t="s">
        <v>83</v>
      </c>
      <c r="EG280" s="16" t="s">
        <v>282</v>
      </c>
      <c r="EM280" s="137">
        <f>IF(CV280="základní",J280,0)</f>
        <v>1434.84</v>
      </c>
      <c r="EN280" s="137">
        <f>IF(CV280="snížená",J280,0)</f>
        <v>0</v>
      </c>
      <c r="EO280" s="137">
        <f>IF(CV280="zákl. přenesená",J280,0)</f>
        <v>0</v>
      </c>
      <c r="EP280" s="137">
        <f>IF(CV280="sníž. přenesená",J280,0)</f>
        <v>0</v>
      </c>
      <c r="EQ280" s="137">
        <f>IF(CV280="nulová",J280,0)</f>
        <v>0</v>
      </c>
      <c r="ER280" s="16" t="s">
        <v>81</v>
      </c>
      <c r="ES280" s="137">
        <f>ROUND(I280*H280,2)</f>
        <v>1434.84</v>
      </c>
      <c r="ET280" s="16" t="s">
        <v>95</v>
      </c>
      <c r="EU280" s="136" t="s">
        <v>534</v>
      </c>
    </row>
    <row r="281" spans="2:151" s="1" customFormat="1" ht="19.5" x14ac:dyDescent="0.2">
      <c r="B281" s="31"/>
      <c r="D281" s="138" t="s">
        <v>289</v>
      </c>
      <c r="F281" s="139" t="s">
        <v>535</v>
      </c>
      <c r="I281" s="140"/>
      <c r="L281" s="31"/>
      <c r="N281" s="213"/>
      <c r="O281" s="214"/>
      <c r="Q281" s="229"/>
      <c r="CU281" s="141"/>
      <c r="DB281" s="50"/>
      <c r="EB281" s="16" t="s">
        <v>289</v>
      </c>
      <c r="EC281" s="16" t="s">
        <v>83</v>
      </c>
    </row>
    <row r="282" spans="2:151" s="1" customFormat="1" ht="24.2" customHeight="1" x14ac:dyDescent="0.2">
      <c r="B282" s="124"/>
      <c r="C282" s="125" t="s">
        <v>482</v>
      </c>
      <c r="D282" s="125" t="s">
        <v>284</v>
      </c>
      <c r="E282" s="126" t="s">
        <v>537</v>
      </c>
      <c r="F282" s="127" t="s">
        <v>538</v>
      </c>
      <c r="G282" s="128" t="s">
        <v>287</v>
      </c>
      <c r="H282" s="129">
        <v>35.1</v>
      </c>
      <c r="I282" s="130">
        <v>362.67856108310502</v>
      </c>
      <c r="J282" s="131">
        <f>ROUND(I282*H282,2)</f>
        <v>12730.02</v>
      </c>
      <c r="K282" s="127" t="s">
        <v>293</v>
      </c>
      <c r="L282" s="268">
        <f>S282</f>
        <v>0</v>
      </c>
      <c r="M282" s="272">
        <f>ROUND(L282*I282,2)</f>
        <v>0</v>
      </c>
      <c r="N282" s="243">
        <f>N276</f>
        <v>-2.9160000000000039</v>
      </c>
      <c r="O282" s="294">
        <f>ROUND(N282*I282,2)</f>
        <v>-1057.57</v>
      </c>
      <c r="P282" s="273">
        <f>H282-L282-N282</f>
        <v>38.016000000000005</v>
      </c>
      <c r="Q282" s="287">
        <f>ROUND(P282*I282,2)</f>
        <v>13787.59</v>
      </c>
      <c r="R282" s="137"/>
      <c r="S282" s="269">
        <f>W282+Y282+AA282+AC282+AE282+AG282+AI282+AK282+AM282</f>
        <v>0</v>
      </c>
      <c r="T282" s="269">
        <f>ROUND(S282*I282,2)</f>
        <v>0</v>
      </c>
      <c r="U282" s="269">
        <f>H282-S282</f>
        <v>35.1</v>
      </c>
      <c r="V282" s="269">
        <f>ROUND(U282*I282,2)</f>
        <v>12730.02</v>
      </c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CU282" s="132" t="s">
        <v>1</v>
      </c>
      <c r="CV282" s="133" t="s">
        <v>40</v>
      </c>
      <c r="CX282" s="134">
        <f>CW282*H282</f>
        <v>0</v>
      </c>
      <c r="CY282" s="134">
        <v>0</v>
      </c>
      <c r="CZ282" s="134">
        <f>CY282*H282</f>
        <v>0</v>
      </c>
      <c r="DA282" s="134">
        <v>0</v>
      </c>
      <c r="DB282" s="135">
        <f>DA282*H282</f>
        <v>0</v>
      </c>
      <c r="DZ282" s="136" t="s">
        <v>95</v>
      </c>
      <c r="EB282" s="136" t="s">
        <v>284</v>
      </c>
      <c r="EC282" s="136" t="s">
        <v>83</v>
      </c>
      <c r="EG282" s="16" t="s">
        <v>282</v>
      </c>
      <c r="EM282" s="137">
        <f>IF(CV282="základní",J282,0)</f>
        <v>12730.02</v>
      </c>
      <c r="EN282" s="137">
        <f>IF(CV282="snížená",J282,0)</f>
        <v>0</v>
      </c>
      <c r="EO282" s="137">
        <f>IF(CV282="zákl. přenesená",J282,0)</f>
        <v>0</v>
      </c>
      <c r="EP282" s="137">
        <f>IF(CV282="sníž. přenesená",J282,0)</f>
        <v>0</v>
      </c>
      <c r="EQ282" s="137">
        <f>IF(CV282="nulová",J282,0)</f>
        <v>0</v>
      </c>
      <c r="ER282" s="16" t="s">
        <v>81</v>
      </c>
      <c r="ES282" s="137">
        <f>ROUND(I282*H282,2)</f>
        <v>12730.02</v>
      </c>
      <c r="ET282" s="16" t="s">
        <v>95</v>
      </c>
      <c r="EU282" s="136" t="s">
        <v>539</v>
      </c>
    </row>
    <row r="283" spans="2:151" s="1" customFormat="1" ht="29.25" x14ac:dyDescent="0.2">
      <c r="B283" s="31"/>
      <c r="D283" s="138" t="s">
        <v>289</v>
      </c>
      <c r="F283" s="139" t="s">
        <v>540</v>
      </c>
      <c r="I283" s="140"/>
      <c r="L283" s="31"/>
      <c r="N283" s="213"/>
      <c r="O283" s="214"/>
      <c r="Q283" s="229"/>
      <c r="CU283" s="141"/>
      <c r="DB283" s="50"/>
      <c r="EB283" s="16" t="s">
        <v>289</v>
      </c>
      <c r="EC283" s="16" t="s">
        <v>83</v>
      </c>
    </row>
    <row r="284" spans="2:151" s="1" customFormat="1" ht="29.25" x14ac:dyDescent="0.2">
      <c r="B284" s="31"/>
      <c r="D284" s="138" t="s">
        <v>299</v>
      </c>
      <c r="F284" s="142" t="s">
        <v>1083</v>
      </c>
      <c r="I284" s="140"/>
      <c r="L284" s="31"/>
      <c r="N284" s="213"/>
      <c r="O284" s="214"/>
      <c r="Q284" s="229"/>
      <c r="CU284" s="141"/>
      <c r="DB284" s="50"/>
      <c r="EB284" s="16" t="s">
        <v>299</v>
      </c>
      <c r="EC284" s="16" t="s">
        <v>83</v>
      </c>
    </row>
    <row r="285" spans="2:151" s="11" customFormat="1" ht="22.5" x14ac:dyDescent="0.2">
      <c r="B285" s="143"/>
      <c r="D285" s="138" t="s">
        <v>301</v>
      </c>
      <c r="E285" s="144" t="s">
        <v>1</v>
      </c>
      <c r="F285" s="145" t="s">
        <v>1126</v>
      </c>
      <c r="H285" s="144" t="s">
        <v>1</v>
      </c>
      <c r="I285" s="146"/>
      <c r="L285" s="143"/>
      <c r="N285" s="215"/>
      <c r="O285" s="216"/>
      <c r="Q285" s="230"/>
      <c r="CU285" s="147"/>
      <c r="DB285" s="148"/>
      <c r="EB285" s="144" t="s">
        <v>301</v>
      </c>
      <c r="EC285" s="144" t="s">
        <v>83</v>
      </c>
      <c r="ED285" s="11" t="s">
        <v>81</v>
      </c>
      <c r="EE285" s="11" t="s">
        <v>32</v>
      </c>
      <c r="EF285" s="11" t="s">
        <v>74</v>
      </c>
      <c r="EG285" s="144" t="s">
        <v>282</v>
      </c>
    </row>
    <row r="286" spans="2:151" s="12" customFormat="1" x14ac:dyDescent="0.2">
      <c r="B286" s="149"/>
      <c r="D286" s="138" t="s">
        <v>301</v>
      </c>
      <c r="E286" s="150" t="s">
        <v>1</v>
      </c>
      <c r="F286" s="151" t="s">
        <v>1345</v>
      </c>
      <c r="H286" s="152">
        <v>35.1</v>
      </c>
      <c r="I286" s="153"/>
      <c r="L286" s="149"/>
      <c r="N286" s="217"/>
      <c r="O286" s="218"/>
      <c r="Q286" s="231"/>
      <c r="CU286" s="154"/>
      <c r="DB286" s="155"/>
      <c r="EB286" s="150" t="s">
        <v>301</v>
      </c>
      <c r="EC286" s="150" t="s">
        <v>83</v>
      </c>
      <c r="ED286" s="12" t="s">
        <v>83</v>
      </c>
      <c r="EE286" s="12" t="s">
        <v>32</v>
      </c>
      <c r="EF286" s="12" t="s">
        <v>81</v>
      </c>
      <c r="EG286" s="150" t="s">
        <v>282</v>
      </c>
    </row>
    <row r="287" spans="2:151" s="10" customFormat="1" ht="22.9" customHeight="1" x14ac:dyDescent="0.2">
      <c r="B287" s="112"/>
      <c r="D287" s="113" t="s">
        <v>73</v>
      </c>
      <c r="E287" s="122" t="s">
        <v>328</v>
      </c>
      <c r="F287" s="122" t="s">
        <v>555</v>
      </c>
      <c r="I287" s="115"/>
      <c r="J287" s="123">
        <f>ES287</f>
        <v>149926.51</v>
      </c>
      <c r="L287" s="112"/>
      <c r="M287" s="291">
        <f>SUM(M288:M327)</f>
        <v>0</v>
      </c>
      <c r="N287" s="295"/>
      <c r="O287" s="296">
        <f t="shared" ref="O287:V287" si="6">SUM(O288:O327)</f>
        <v>-2070.86</v>
      </c>
      <c r="P287" s="291"/>
      <c r="Q287" s="298">
        <f t="shared" si="6"/>
        <v>151997.37</v>
      </c>
      <c r="R287" s="291"/>
      <c r="S287" s="291"/>
      <c r="T287" s="291">
        <f t="shared" si="6"/>
        <v>0</v>
      </c>
      <c r="U287" s="291"/>
      <c r="V287" s="291">
        <f t="shared" si="6"/>
        <v>149926.51</v>
      </c>
      <c r="CU287" s="117"/>
      <c r="CX287" s="118">
        <f>SUM(CX288:CX328)</f>
        <v>0</v>
      </c>
      <c r="CZ287" s="118">
        <f>SUM(CZ288:CZ328)</f>
        <v>1.6228199999999999</v>
      </c>
      <c r="DB287" s="119">
        <f>SUM(DB288:DB328)</f>
        <v>0</v>
      </c>
      <c r="DZ287" s="113" t="s">
        <v>81</v>
      </c>
      <c r="EB287" s="120" t="s">
        <v>73</v>
      </c>
      <c r="EC287" s="120" t="s">
        <v>81</v>
      </c>
      <c r="EG287" s="113" t="s">
        <v>282</v>
      </c>
      <c r="ES287" s="121">
        <f>SUM(ES288:ES328)</f>
        <v>149926.51</v>
      </c>
    </row>
    <row r="288" spans="2:151" s="1" customFormat="1" ht="24.2" customHeight="1" x14ac:dyDescent="0.2">
      <c r="B288" s="124"/>
      <c r="C288" s="125" t="s">
        <v>489</v>
      </c>
      <c r="D288" s="125" t="s">
        <v>284</v>
      </c>
      <c r="E288" s="126" t="s">
        <v>1128</v>
      </c>
      <c r="F288" s="127" t="s">
        <v>1129</v>
      </c>
      <c r="G288" s="128" t="s">
        <v>344</v>
      </c>
      <c r="H288" s="129">
        <v>39</v>
      </c>
      <c r="I288" s="130">
        <v>617.16852473597498</v>
      </c>
      <c r="J288" s="131">
        <f>ROUND(I288*H288,2)</f>
        <v>24069.57</v>
      </c>
      <c r="K288" s="127" t="s">
        <v>293</v>
      </c>
      <c r="L288" s="268">
        <f>S288</f>
        <v>0</v>
      </c>
      <c r="M288" s="272">
        <f>ROUND(L288*I288,2)</f>
        <v>0</v>
      </c>
      <c r="N288" s="243">
        <f>N290</f>
        <v>-3.240000000000002</v>
      </c>
      <c r="O288" s="294">
        <f>ROUND(N288*I288,2)</f>
        <v>-1999.63</v>
      </c>
      <c r="P288" s="273">
        <f>H288-L288-N288</f>
        <v>42.24</v>
      </c>
      <c r="Q288" s="287">
        <f>ROUND(P288*I288,2)</f>
        <v>26069.200000000001</v>
      </c>
      <c r="R288" s="137"/>
      <c r="S288" s="269">
        <f>W288+Y288+AA288+AC288+AE288+AG288+AI288+AK288+AM288</f>
        <v>0</v>
      </c>
      <c r="T288" s="269">
        <f>ROUND(S288*I288,2)</f>
        <v>0</v>
      </c>
      <c r="U288" s="269">
        <f>H288-S288</f>
        <v>39</v>
      </c>
      <c r="V288" s="269">
        <f>ROUND(U288*I288,2)</f>
        <v>24069.57</v>
      </c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CU288" s="132" t="s">
        <v>1</v>
      </c>
      <c r="CV288" s="133" t="s">
        <v>40</v>
      </c>
      <c r="CX288" s="134">
        <f>CW288*H288</f>
        <v>0</v>
      </c>
      <c r="CY288" s="134">
        <v>4.2199999999999998E-3</v>
      </c>
      <c r="CZ288" s="134">
        <f>CY288*H288</f>
        <v>0.16458</v>
      </c>
      <c r="DA288" s="134">
        <v>0</v>
      </c>
      <c r="DB288" s="135">
        <f>DA288*H288</f>
        <v>0</v>
      </c>
      <c r="DZ288" s="136" t="s">
        <v>95</v>
      </c>
      <c r="EB288" s="136" t="s">
        <v>284</v>
      </c>
      <c r="EC288" s="136" t="s">
        <v>83</v>
      </c>
      <c r="EG288" s="16" t="s">
        <v>282</v>
      </c>
      <c r="EM288" s="137">
        <f>IF(CV288="základní",J288,0)</f>
        <v>24069.57</v>
      </c>
      <c r="EN288" s="137">
        <f>IF(CV288="snížená",J288,0)</f>
        <v>0</v>
      </c>
      <c r="EO288" s="137">
        <f>IF(CV288="zákl. přenesená",J288,0)</f>
        <v>0</v>
      </c>
      <c r="EP288" s="137">
        <f>IF(CV288="sníž. přenesená",J288,0)</f>
        <v>0</v>
      </c>
      <c r="EQ288" s="137">
        <f>IF(CV288="nulová",J288,0)</f>
        <v>0</v>
      </c>
      <c r="ER288" s="16" t="s">
        <v>81</v>
      </c>
      <c r="ES288" s="137">
        <f>ROUND(I288*H288,2)</f>
        <v>24069.57</v>
      </c>
      <c r="ET288" s="16" t="s">
        <v>95</v>
      </c>
      <c r="EU288" s="136" t="s">
        <v>1130</v>
      </c>
    </row>
    <row r="289" spans="2:151" s="1" customFormat="1" ht="29.25" x14ac:dyDescent="0.2">
      <c r="B289" s="31"/>
      <c r="D289" s="138" t="s">
        <v>289</v>
      </c>
      <c r="F289" s="139" t="s">
        <v>1131</v>
      </c>
      <c r="I289" s="140"/>
      <c r="L289" s="31"/>
      <c r="N289" s="213"/>
      <c r="O289" s="214"/>
      <c r="Q289" s="229"/>
      <c r="CU289" s="141"/>
      <c r="DB289" s="50"/>
      <c r="EB289" s="16" t="s">
        <v>289</v>
      </c>
      <c r="EC289" s="16" t="s">
        <v>83</v>
      </c>
    </row>
    <row r="290" spans="2:151" s="1" customFormat="1" ht="29.25" x14ac:dyDescent="0.2">
      <c r="B290" s="31"/>
      <c r="D290" s="138" t="s">
        <v>299</v>
      </c>
      <c r="F290" s="142" t="s">
        <v>1083</v>
      </c>
      <c r="I290" s="140"/>
      <c r="L290" s="31"/>
      <c r="N290" s="213">
        <f>35.76-39</f>
        <v>-3.240000000000002</v>
      </c>
      <c r="O290" s="214" t="s">
        <v>3723</v>
      </c>
      <c r="Q290" s="229"/>
      <c r="CU290" s="141"/>
      <c r="DB290" s="50"/>
      <c r="EB290" s="16" t="s">
        <v>299</v>
      </c>
      <c r="EC290" s="16" t="s">
        <v>83</v>
      </c>
    </row>
    <row r="291" spans="2:151" s="12" customFormat="1" x14ac:dyDescent="0.2">
      <c r="B291" s="149"/>
      <c r="D291" s="138" t="s">
        <v>301</v>
      </c>
      <c r="E291" s="150" t="s">
        <v>1</v>
      </c>
      <c r="F291" s="151" t="s">
        <v>521</v>
      </c>
      <c r="H291" s="152">
        <v>39</v>
      </c>
      <c r="I291" s="153"/>
      <c r="L291" s="149"/>
      <c r="N291" s="217"/>
      <c r="O291" s="218"/>
      <c r="Q291" s="231"/>
      <c r="CU291" s="154"/>
      <c r="DB291" s="155"/>
      <c r="EB291" s="150" t="s">
        <v>301</v>
      </c>
      <c r="EC291" s="150" t="s">
        <v>83</v>
      </c>
      <c r="ED291" s="12" t="s">
        <v>83</v>
      </c>
      <c r="EE291" s="12" t="s">
        <v>32</v>
      </c>
      <c r="EF291" s="12" t="s">
        <v>81</v>
      </c>
      <c r="EG291" s="150" t="s">
        <v>282</v>
      </c>
    </row>
    <row r="292" spans="2:151" s="1" customFormat="1" ht="24.2" customHeight="1" x14ac:dyDescent="0.2">
      <c r="B292" s="124"/>
      <c r="C292" s="125" t="s">
        <v>493</v>
      </c>
      <c r="D292" s="125" t="s">
        <v>284</v>
      </c>
      <c r="E292" s="126" t="s">
        <v>1132</v>
      </c>
      <c r="F292" s="127" t="s">
        <v>1133</v>
      </c>
      <c r="G292" s="128" t="s">
        <v>485</v>
      </c>
      <c r="H292" s="129">
        <v>36</v>
      </c>
      <c r="I292" s="130">
        <v>214.24530512569368</v>
      </c>
      <c r="J292" s="131">
        <f>ROUND(I292*H292,2)</f>
        <v>7712.83</v>
      </c>
      <c r="K292" s="127" t="s">
        <v>293</v>
      </c>
      <c r="L292" s="268">
        <f>S292</f>
        <v>0</v>
      </c>
      <c r="M292" s="272">
        <f>ROUND(L292*I292,2)</f>
        <v>0</v>
      </c>
      <c r="N292" s="243"/>
      <c r="O292" s="294">
        <f>ROUND(N292*I292,2)</f>
        <v>0</v>
      </c>
      <c r="P292" s="273">
        <f>H292-L292-N292</f>
        <v>36</v>
      </c>
      <c r="Q292" s="287">
        <f>ROUND(P292*I292,2)</f>
        <v>7712.83</v>
      </c>
      <c r="R292" s="137"/>
      <c r="S292" s="269">
        <f>W292+Y292+AA292+AC292+AE292+AG292+AI292+AK292+AM292</f>
        <v>0</v>
      </c>
      <c r="T292" s="269">
        <f>ROUND(S292*I292,2)</f>
        <v>0</v>
      </c>
      <c r="U292" s="269">
        <f>H292-S292</f>
        <v>36</v>
      </c>
      <c r="V292" s="269">
        <f>ROUND(U292*I292,2)</f>
        <v>7712.83</v>
      </c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AK292" s="269"/>
      <c r="AL292" s="269"/>
      <c r="AM292" s="269"/>
      <c r="AN292" s="269"/>
      <c r="CU292" s="132" t="s">
        <v>1</v>
      </c>
      <c r="CV292" s="133" t="s">
        <v>40</v>
      </c>
      <c r="CX292" s="134">
        <f>CW292*H292</f>
        <v>0</v>
      </c>
      <c r="CY292" s="134">
        <v>0</v>
      </c>
      <c r="CZ292" s="134">
        <f>CY292*H292</f>
        <v>0</v>
      </c>
      <c r="DA292" s="134">
        <v>0</v>
      </c>
      <c r="DB292" s="135">
        <f>DA292*H292</f>
        <v>0</v>
      </c>
      <c r="DZ292" s="136" t="s">
        <v>95</v>
      </c>
      <c r="EB292" s="136" t="s">
        <v>284</v>
      </c>
      <c r="EC292" s="136" t="s">
        <v>83</v>
      </c>
      <c r="EG292" s="16" t="s">
        <v>282</v>
      </c>
      <c r="EM292" s="137">
        <f>IF(CV292="základní",J292,0)</f>
        <v>7712.83</v>
      </c>
      <c r="EN292" s="137">
        <f>IF(CV292="snížená",J292,0)</f>
        <v>0</v>
      </c>
      <c r="EO292" s="137">
        <f>IF(CV292="zákl. přenesená",J292,0)</f>
        <v>0</v>
      </c>
      <c r="EP292" s="137">
        <f>IF(CV292="sníž. přenesená",J292,0)</f>
        <v>0</v>
      </c>
      <c r="EQ292" s="137">
        <f>IF(CV292="nulová",J292,0)</f>
        <v>0</v>
      </c>
      <c r="ER292" s="16" t="s">
        <v>81</v>
      </c>
      <c r="ES292" s="137">
        <f>ROUND(I292*H292,2)</f>
        <v>7712.83</v>
      </c>
      <c r="ET292" s="16" t="s">
        <v>95</v>
      </c>
      <c r="EU292" s="136" t="s">
        <v>1134</v>
      </c>
    </row>
    <row r="293" spans="2:151" s="1" customFormat="1" ht="19.5" x14ac:dyDescent="0.2">
      <c r="B293" s="31"/>
      <c r="D293" s="138" t="s">
        <v>289</v>
      </c>
      <c r="F293" s="139" t="s">
        <v>1135</v>
      </c>
      <c r="I293" s="140"/>
      <c r="L293" s="31"/>
      <c r="N293" s="213"/>
      <c r="O293" s="214"/>
      <c r="Q293" s="229"/>
      <c r="CU293" s="141"/>
      <c r="DB293" s="50"/>
      <c r="EB293" s="16" t="s">
        <v>289</v>
      </c>
      <c r="EC293" s="16" t="s">
        <v>83</v>
      </c>
    </row>
    <row r="294" spans="2:151" s="1" customFormat="1" ht="29.25" x14ac:dyDescent="0.2">
      <c r="B294" s="31"/>
      <c r="D294" s="138" t="s">
        <v>299</v>
      </c>
      <c r="F294" s="142" t="s">
        <v>1083</v>
      </c>
      <c r="I294" s="140"/>
      <c r="L294" s="31"/>
      <c r="N294" s="213"/>
      <c r="O294" s="214"/>
      <c r="Q294" s="229"/>
      <c r="CU294" s="141"/>
      <c r="DB294" s="50"/>
      <c r="EB294" s="16" t="s">
        <v>299</v>
      </c>
      <c r="EC294" s="16" t="s">
        <v>83</v>
      </c>
    </row>
    <row r="295" spans="2:151" s="11" customFormat="1" x14ac:dyDescent="0.2">
      <c r="B295" s="143"/>
      <c r="D295" s="138" t="s">
        <v>301</v>
      </c>
      <c r="E295" s="144" t="s">
        <v>1</v>
      </c>
      <c r="F295" s="145" t="s">
        <v>1136</v>
      </c>
      <c r="H295" s="144" t="s">
        <v>1</v>
      </c>
      <c r="I295" s="146"/>
      <c r="L295" s="143"/>
      <c r="N295" s="215"/>
      <c r="O295" s="216"/>
      <c r="Q295" s="230"/>
      <c r="CU295" s="147"/>
      <c r="DB295" s="148"/>
      <c r="EB295" s="144" t="s">
        <v>301</v>
      </c>
      <c r="EC295" s="144" t="s">
        <v>83</v>
      </c>
      <c r="ED295" s="11" t="s">
        <v>81</v>
      </c>
      <c r="EE295" s="11" t="s">
        <v>32</v>
      </c>
      <c r="EF295" s="11" t="s">
        <v>74</v>
      </c>
      <c r="EG295" s="144" t="s">
        <v>282</v>
      </c>
    </row>
    <row r="296" spans="2:151" s="12" customFormat="1" x14ac:dyDescent="0.2">
      <c r="B296" s="149"/>
      <c r="D296" s="138" t="s">
        <v>301</v>
      </c>
      <c r="E296" s="150" t="s">
        <v>1</v>
      </c>
      <c r="F296" s="151" t="s">
        <v>1346</v>
      </c>
      <c r="H296" s="152">
        <v>8</v>
      </c>
      <c r="I296" s="153"/>
      <c r="L296" s="149"/>
      <c r="N296" s="217"/>
      <c r="O296" s="218"/>
      <c r="Q296" s="231"/>
      <c r="CU296" s="154"/>
      <c r="DB296" s="155"/>
      <c r="EB296" s="150" t="s">
        <v>301</v>
      </c>
      <c r="EC296" s="150" t="s">
        <v>83</v>
      </c>
      <c r="ED296" s="12" t="s">
        <v>83</v>
      </c>
      <c r="EE296" s="12" t="s">
        <v>32</v>
      </c>
      <c r="EF296" s="12" t="s">
        <v>74</v>
      </c>
      <c r="EG296" s="150" t="s">
        <v>282</v>
      </c>
    </row>
    <row r="297" spans="2:151" s="11" customFormat="1" x14ac:dyDescent="0.2">
      <c r="B297" s="143"/>
      <c r="D297" s="138" t="s">
        <v>301</v>
      </c>
      <c r="E297" s="144" t="s">
        <v>1</v>
      </c>
      <c r="F297" s="145" t="s">
        <v>1138</v>
      </c>
      <c r="H297" s="144" t="s">
        <v>1</v>
      </c>
      <c r="I297" s="146"/>
      <c r="L297" s="143"/>
      <c r="N297" s="215"/>
      <c r="O297" s="216"/>
      <c r="Q297" s="230"/>
      <c r="CU297" s="147"/>
      <c r="DB297" s="148"/>
      <c r="EB297" s="144" t="s">
        <v>301</v>
      </c>
      <c r="EC297" s="144" t="s">
        <v>83</v>
      </c>
      <c r="ED297" s="11" t="s">
        <v>81</v>
      </c>
      <c r="EE297" s="11" t="s">
        <v>32</v>
      </c>
      <c r="EF297" s="11" t="s">
        <v>74</v>
      </c>
      <c r="EG297" s="144" t="s">
        <v>282</v>
      </c>
    </row>
    <row r="298" spans="2:151" s="12" customFormat="1" x14ac:dyDescent="0.2">
      <c r="B298" s="149"/>
      <c r="D298" s="138" t="s">
        <v>301</v>
      </c>
      <c r="E298" s="150" t="s">
        <v>1</v>
      </c>
      <c r="F298" s="151" t="s">
        <v>837</v>
      </c>
      <c r="H298" s="152">
        <v>6</v>
      </c>
      <c r="I298" s="153"/>
      <c r="L298" s="149"/>
      <c r="N298" s="217"/>
      <c r="O298" s="218"/>
      <c r="Q298" s="231"/>
      <c r="CU298" s="154"/>
      <c r="DB298" s="155"/>
      <c r="EB298" s="150" t="s">
        <v>301</v>
      </c>
      <c r="EC298" s="150" t="s">
        <v>83</v>
      </c>
      <c r="ED298" s="12" t="s">
        <v>83</v>
      </c>
      <c r="EE298" s="12" t="s">
        <v>32</v>
      </c>
      <c r="EF298" s="12" t="s">
        <v>74</v>
      </c>
      <c r="EG298" s="150" t="s">
        <v>282</v>
      </c>
    </row>
    <row r="299" spans="2:151" s="14" customFormat="1" x14ac:dyDescent="0.2">
      <c r="B299" s="163"/>
      <c r="D299" s="138" t="s">
        <v>301</v>
      </c>
      <c r="E299" s="164" t="s">
        <v>1</v>
      </c>
      <c r="F299" s="165" t="s">
        <v>373</v>
      </c>
      <c r="H299" s="166">
        <v>14</v>
      </c>
      <c r="I299" s="167"/>
      <c r="L299" s="163"/>
      <c r="N299" s="221"/>
      <c r="O299" s="222"/>
      <c r="Q299" s="233"/>
      <c r="CU299" s="168"/>
      <c r="DB299" s="169"/>
      <c r="EB299" s="164" t="s">
        <v>301</v>
      </c>
      <c r="EC299" s="164" t="s">
        <v>83</v>
      </c>
      <c r="ED299" s="14" t="s">
        <v>90</v>
      </c>
      <c r="EE299" s="14" t="s">
        <v>32</v>
      </c>
      <c r="EF299" s="14" t="s">
        <v>74</v>
      </c>
      <c r="EG299" s="164" t="s">
        <v>282</v>
      </c>
    </row>
    <row r="300" spans="2:151" s="11" customFormat="1" x14ac:dyDescent="0.2">
      <c r="B300" s="143"/>
      <c r="D300" s="138" t="s">
        <v>301</v>
      </c>
      <c r="E300" s="144" t="s">
        <v>1</v>
      </c>
      <c r="F300" s="145" t="s">
        <v>1140</v>
      </c>
      <c r="H300" s="144" t="s">
        <v>1</v>
      </c>
      <c r="I300" s="146"/>
      <c r="L300" s="143"/>
      <c r="N300" s="215"/>
      <c r="O300" s="216"/>
      <c r="Q300" s="230"/>
      <c r="CU300" s="147"/>
      <c r="DB300" s="148"/>
      <c r="EB300" s="144" t="s">
        <v>301</v>
      </c>
      <c r="EC300" s="144" t="s">
        <v>83</v>
      </c>
      <c r="ED300" s="11" t="s">
        <v>81</v>
      </c>
      <c r="EE300" s="11" t="s">
        <v>32</v>
      </c>
      <c r="EF300" s="11" t="s">
        <v>74</v>
      </c>
      <c r="EG300" s="144" t="s">
        <v>282</v>
      </c>
    </row>
    <row r="301" spans="2:151" s="12" customFormat="1" x14ac:dyDescent="0.2">
      <c r="B301" s="149"/>
      <c r="D301" s="138" t="s">
        <v>301</v>
      </c>
      <c r="E301" s="150" t="s">
        <v>1</v>
      </c>
      <c r="F301" s="151" t="s">
        <v>1347</v>
      </c>
      <c r="H301" s="152">
        <v>22</v>
      </c>
      <c r="I301" s="153"/>
      <c r="L301" s="149"/>
      <c r="N301" s="217"/>
      <c r="O301" s="218"/>
      <c r="Q301" s="231"/>
      <c r="CU301" s="154"/>
      <c r="DB301" s="155"/>
      <c r="EB301" s="150" t="s">
        <v>301</v>
      </c>
      <c r="EC301" s="150" t="s">
        <v>83</v>
      </c>
      <c r="ED301" s="12" t="s">
        <v>83</v>
      </c>
      <c r="EE301" s="12" t="s">
        <v>32</v>
      </c>
      <c r="EF301" s="12" t="s">
        <v>74</v>
      </c>
      <c r="EG301" s="150" t="s">
        <v>282</v>
      </c>
    </row>
    <row r="302" spans="2:151" s="13" customFormat="1" x14ac:dyDescent="0.2">
      <c r="B302" s="156"/>
      <c r="D302" s="138" t="s">
        <v>301</v>
      </c>
      <c r="E302" s="157" t="s">
        <v>1</v>
      </c>
      <c r="F302" s="158" t="s">
        <v>305</v>
      </c>
      <c r="H302" s="159">
        <v>36</v>
      </c>
      <c r="I302" s="160"/>
      <c r="L302" s="156"/>
      <c r="N302" s="219"/>
      <c r="O302" s="220"/>
      <c r="Q302" s="232"/>
      <c r="CU302" s="161"/>
      <c r="DB302" s="162"/>
      <c r="EB302" s="157" t="s">
        <v>301</v>
      </c>
      <c r="EC302" s="157" t="s">
        <v>83</v>
      </c>
      <c r="ED302" s="13" t="s">
        <v>95</v>
      </c>
      <c r="EE302" s="13" t="s">
        <v>32</v>
      </c>
      <c r="EF302" s="13" t="s">
        <v>81</v>
      </c>
      <c r="EG302" s="157" t="s">
        <v>282</v>
      </c>
    </row>
    <row r="303" spans="2:151" s="1" customFormat="1" ht="14.45" customHeight="1" x14ac:dyDescent="0.2">
      <c r="B303" s="124"/>
      <c r="C303" s="170" t="s">
        <v>497</v>
      </c>
      <c r="D303" s="170" t="s">
        <v>439</v>
      </c>
      <c r="E303" s="171" t="s">
        <v>1142</v>
      </c>
      <c r="F303" s="172" t="s">
        <v>1143</v>
      </c>
      <c r="G303" s="173" t="s">
        <v>485</v>
      </c>
      <c r="H303" s="174">
        <v>14</v>
      </c>
      <c r="I303" s="175">
        <v>100.40486420000001</v>
      </c>
      <c r="J303" s="176">
        <f>ROUND(I303*H303,2)</f>
        <v>1405.67</v>
      </c>
      <c r="K303" s="172" t="s">
        <v>293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14</v>
      </c>
      <c r="Q303" s="287">
        <f>ROUND(P303*I303,2)</f>
        <v>1405.67</v>
      </c>
      <c r="R303" s="137"/>
      <c r="S303" s="269">
        <f>W303+Y303+AA303+AC303+AE303+AG303+AI303+AK303+AM303</f>
        <v>0</v>
      </c>
      <c r="T303" s="269">
        <f>ROUND(S303*I303,2)</f>
        <v>0</v>
      </c>
      <c r="U303" s="269">
        <f>H303-S303</f>
        <v>14</v>
      </c>
      <c r="V303" s="269">
        <f>ROUND(U303*I303,2)</f>
        <v>1405.67</v>
      </c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77" t="s">
        <v>1</v>
      </c>
      <c r="CV303" s="178" t="s">
        <v>40</v>
      </c>
      <c r="CX303" s="134">
        <f>CW303*H303</f>
        <v>0</v>
      </c>
      <c r="CY303" s="134">
        <v>6.4999999999999997E-4</v>
      </c>
      <c r="CZ303" s="134">
        <f>CY303*H303</f>
        <v>9.1000000000000004E-3</v>
      </c>
      <c r="DA303" s="134">
        <v>0</v>
      </c>
      <c r="DB303" s="135">
        <f>DA303*H303</f>
        <v>0</v>
      </c>
      <c r="DZ303" s="136" t="s">
        <v>328</v>
      </c>
      <c r="EB303" s="136" t="s">
        <v>439</v>
      </c>
      <c r="EC303" s="136" t="s">
        <v>83</v>
      </c>
      <c r="EG303" s="16" t="s">
        <v>282</v>
      </c>
      <c r="EM303" s="137">
        <f>IF(CV303="základní",J303,0)</f>
        <v>1405.67</v>
      </c>
      <c r="EN303" s="137">
        <f>IF(CV303="snížená",J303,0)</f>
        <v>0</v>
      </c>
      <c r="EO303" s="137">
        <f>IF(CV303="zákl. přenesená",J303,0)</f>
        <v>0</v>
      </c>
      <c r="EP303" s="137">
        <f>IF(CV303="sníž. přenesená",J303,0)</f>
        <v>0</v>
      </c>
      <c r="EQ303" s="137">
        <f>IF(CV303="nulová",J303,0)</f>
        <v>0</v>
      </c>
      <c r="ER303" s="16" t="s">
        <v>81</v>
      </c>
      <c r="ES303" s="137">
        <f>ROUND(I303*H303,2)</f>
        <v>1405.67</v>
      </c>
      <c r="ET303" s="16" t="s">
        <v>95</v>
      </c>
      <c r="EU303" s="136" t="s">
        <v>1144</v>
      </c>
    </row>
    <row r="304" spans="2:151" s="1" customFormat="1" x14ac:dyDescent="0.2">
      <c r="B304" s="31"/>
      <c r="D304" s="138" t="s">
        <v>289</v>
      </c>
      <c r="F304" s="139" t="s">
        <v>1145</v>
      </c>
      <c r="I304" s="140"/>
      <c r="L304" s="31"/>
      <c r="N304" s="213"/>
      <c r="O304" s="214"/>
      <c r="Q304" s="229"/>
      <c r="CU304" s="141"/>
      <c r="DB304" s="50"/>
      <c r="EB304" s="16" t="s">
        <v>289</v>
      </c>
      <c r="EC304" s="16" t="s">
        <v>83</v>
      </c>
    </row>
    <row r="305" spans="2:151" s="1" customFormat="1" ht="14.45" customHeight="1" x14ac:dyDescent="0.2">
      <c r="B305" s="124"/>
      <c r="C305" s="170" t="s">
        <v>501</v>
      </c>
      <c r="D305" s="170" t="s">
        <v>439</v>
      </c>
      <c r="E305" s="171" t="s">
        <v>1146</v>
      </c>
      <c r="F305" s="172" t="s">
        <v>1147</v>
      </c>
      <c r="G305" s="173" t="s">
        <v>485</v>
      </c>
      <c r="H305" s="174">
        <v>22</v>
      </c>
      <c r="I305" s="175">
        <v>236.80392499999999</v>
      </c>
      <c r="J305" s="176">
        <f>ROUND(I305*H305,2)</f>
        <v>5209.6899999999996</v>
      </c>
      <c r="K305" s="172" t="s">
        <v>1</v>
      </c>
      <c r="L305" s="268">
        <f>S305</f>
        <v>0</v>
      </c>
      <c r="M305" s="272">
        <f>ROUND(L305*I305,2)</f>
        <v>0</v>
      </c>
      <c r="N305" s="243"/>
      <c r="O305" s="294">
        <f>ROUND(N305*I305,2)</f>
        <v>0</v>
      </c>
      <c r="P305" s="273">
        <f>H305-L305-N305</f>
        <v>22</v>
      </c>
      <c r="Q305" s="287">
        <f>ROUND(P305*I305,2)</f>
        <v>5209.6899999999996</v>
      </c>
      <c r="R305" s="137"/>
      <c r="S305" s="269">
        <f>W305+Y305+AA305+AC305+AE305+AG305+AI305+AK305+AM305</f>
        <v>0</v>
      </c>
      <c r="T305" s="269">
        <f>ROUND(S305*I305,2)</f>
        <v>0</v>
      </c>
      <c r="U305" s="269">
        <f>H305-S305</f>
        <v>22</v>
      </c>
      <c r="V305" s="269">
        <f>ROUND(U305*I305,2)</f>
        <v>5209.6899999999996</v>
      </c>
      <c r="W305" s="290"/>
      <c r="X305" s="290"/>
      <c r="Y305" s="290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290"/>
      <c r="AK305" s="290"/>
      <c r="AL305" s="290"/>
      <c r="AM305" s="290"/>
      <c r="AN305" s="290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77" t="s">
        <v>1</v>
      </c>
      <c r="CV305" s="178" t="s">
        <v>40</v>
      </c>
      <c r="CX305" s="134">
        <f>CW305*H305</f>
        <v>0</v>
      </c>
      <c r="CY305" s="134">
        <v>6.4999999999999997E-4</v>
      </c>
      <c r="CZ305" s="134">
        <f>CY305*H305</f>
        <v>1.43E-2</v>
      </c>
      <c r="DA305" s="134">
        <v>0</v>
      </c>
      <c r="DB305" s="135">
        <f>DA305*H305</f>
        <v>0</v>
      </c>
      <c r="DZ305" s="136" t="s">
        <v>328</v>
      </c>
      <c r="EB305" s="136" t="s">
        <v>439</v>
      </c>
      <c r="EC305" s="136" t="s">
        <v>83</v>
      </c>
      <c r="EG305" s="16" t="s">
        <v>282</v>
      </c>
      <c r="EM305" s="137">
        <f>IF(CV305="základní",J305,0)</f>
        <v>5209.6899999999996</v>
      </c>
      <c r="EN305" s="137">
        <f>IF(CV305="snížená",J305,0)</f>
        <v>0</v>
      </c>
      <c r="EO305" s="137">
        <f>IF(CV305="zákl. přenesená",J305,0)</f>
        <v>0</v>
      </c>
      <c r="EP305" s="137">
        <f>IF(CV305="sníž. přenesená",J305,0)</f>
        <v>0</v>
      </c>
      <c r="EQ305" s="137">
        <f>IF(CV305="nulová",J305,0)</f>
        <v>0</v>
      </c>
      <c r="ER305" s="16" t="s">
        <v>81</v>
      </c>
      <c r="ES305" s="137">
        <f>ROUND(I305*H305,2)</f>
        <v>5209.6899999999996</v>
      </c>
      <c r="ET305" s="16" t="s">
        <v>95</v>
      </c>
      <c r="EU305" s="136" t="s">
        <v>1148</v>
      </c>
    </row>
    <row r="306" spans="2:151" s="1" customFormat="1" x14ac:dyDescent="0.2">
      <c r="B306" s="31"/>
      <c r="D306" s="138" t="s">
        <v>289</v>
      </c>
      <c r="F306" s="139" t="s">
        <v>1147</v>
      </c>
      <c r="I306" s="140"/>
      <c r="L306" s="31"/>
      <c r="N306" s="213"/>
      <c r="O306" s="214"/>
      <c r="Q306" s="229"/>
      <c r="CU306" s="141"/>
      <c r="DB306" s="50"/>
      <c r="EB306" s="16" t="s">
        <v>289</v>
      </c>
      <c r="EC306" s="16" t="s">
        <v>83</v>
      </c>
    </row>
    <row r="307" spans="2:151" s="1" customFormat="1" ht="14.45" customHeight="1" x14ac:dyDescent="0.2">
      <c r="B307" s="124"/>
      <c r="C307" s="125" t="s">
        <v>505</v>
      </c>
      <c r="D307" s="125" t="s">
        <v>284</v>
      </c>
      <c r="E307" s="126" t="s">
        <v>1149</v>
      </c>
      <c r="F307" s="127" t="s">
        <v>1150</v>
      </c>
      <c r="G307" s="128" t="s">
        <v>485</v>
      </c>
      <c r="H307" s="129">
        <v>11</v>
      </c>
      <c r="I307" s="130">
        <v>214.24530512569368</v>
      </c>
      <c r="J307" s="131">
        <f>ROUND(I307*H307,2)</f>
        <v>2356.6999999999998</v>
      </c>
      <c r="K307" s="127" t="s">
        <v>293</v>
      </c>
      <c r="L307" s="268">
        <f>S307</f>
        <v>0</v>
      </c>
      <c r="M307" s="272">
        <f>ROUND(L307*I307,2)</f>
        <v>0</v>
      </c>
      <c r="N307" s="243"/>
      <c r="O307" s="294">
        <f>ROUND(N307*I307,2)</f>
        <v>0</v>
      </c>
      <c r="P307" s="273">
        <f>H307-L307-N307</f>
        <v>11</v>
      </c>
      <c r="Q307" s="287">
        <f>ROUND(P307*I307,2)</f>
        <v>2356.6999999999998</v>
      </c>
      <c r="R307" s="137"/>
      <c r="S307" s="269">
        <f>W307+Y307+AA307+AC307+AE307+AG307+AI307+AK307+AM307</f>
        <v>0</v>
      </c>
      <c r="T307" s="269">
        <f>ROUND(S307*I307,2)</f>
        <v>0</v>
      </c>
      <c r="U307" s="269">
        <f>H307-S307</f>
        <v>11</v>
      </c>
      <c r="V307" s="269">
        <f>ROUND(U307*I307,2)</f>
        <v>2356.6999999999998</v>
      </c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AK307" s="269"/>
      <c r="AL307" s="269"/>
      <c r="AM307" s="269"/>
      <c r="AN307" s="269"/>
      <c r="CU307" s="132" t="s">
        <v>1</v>
      </c>
      <c r="CV307" s="133" t="s">
        <v>40</v>
      </c>
      <c r="CX307" s="134">
        <f>CW307*H307</f>
        <v>0</v>
      </c>
      <c r="CY307" s="134">
        <v>0</v>
      </c>
      <c r="CZ307" s="134">
        <f>CY307*H307</f>
        <v>0</v>
      </c>
      <c r="DA307" s="134">
        <v>0</v>
      </c>
      <c r="DB307" s="135">
        <f>DA307*H307</f>
        <v>0</v>
      </c>
      <c r="DZ307" s="136" t="s">
        <v>95</v>
      </c>
      <c r="EB307" s="136" t="s">
        <v>284</v>
      </c>
      <c r="EC307" s="136" t="s">
        <v>83</v>
      </c>
      <c r="EG307" s="16" t="s">
        <v>282</v>
      </c>
      <c r="EM307" s="137">
        <f>IF(CV307="základní",J307,0)</f>
        <v>2356.6999999999998</v>
      </c>
      <c r="EN307" s="137">
        <f>IF(CV307="snížená",J307,0)</f>
        <v>0</v>
      </c>
      <c r="EO307" s="137">
        <f>IF(CV307="zákl. přenesená",J307,0)</f>
        <v>0</v>
      </c>
      <c r="EP307" s="137">
        <f>IF(CV307="sníž. přenesená",J307,0)</f>
        <v>0</v>
      </c>
      <c r="EQ307" s="137">
        <f>IF(CV307="nulová",J307,0)</f>
        <v>0</v>
      </c>
      <c r="ER307" s="16" t="s">
        <v>81</v>
      </c>
      <c r="ES307" s="137">
        <f>ROUND(I307*H307,2)</f>
        <v>2356.6999999999998</v>
      </c>
      <c r="ET307" s="16" t="s">
        <v>95</v>
      </c>
      <c r="EU307" s="136" t="s">
        <v>1151</v>
      </c>
    </row>
    <row r="308" spans="2:151" s="1" customFormat="1" ht="19.5" x14ac:dyDescent="0.2">
      <c r="B308" s="31"/>
      <c r="D308" s="138" t="s">
        <v>289</v>
      </c>
      <c r="F308" s="139" t="s">
        <v>1152</v>
      </c>
      <c r="I308" s="140"/>
      <c r="L308" s="31"/>
      <c r="N308" s="213"/>
      <c r="O308" s="214"/>
      <c r="Q308" s="229"/>
      <c r="CU308" s="141"/>
      <c r="DB308" s="50"/>
      <c r="EB308" s="16" t="s">
        <v>289</v>
      </c>
      <c r="EC308" s="16" t="s">
        <v>83</v>
      </c>
    </row>
    <row r="309" spans="2:151" s="1" customFormat="1" ht="29.25" x14ac:dyDescent="0.2">
      <c r="B309" s="31"/>
      <c r="D309" s="138" t="s">
        <v>299</v>
      </c>
      <c r="F309" s="142" t="s">
        <v>1083</v>
      </c>
      <c r="I309" s="140"/>
      <c r="L309" s="31"/>
      <c r="N309" s="213"/>
      <c r="O309" s="214"/>
      <c r="Q309" s="229"/>
      <c r="CU309" s="141"/>
      <c r="DB309" s="50"/>
      <c r="EB309" s="16" t="s">
        <v>299</v>
      </c>
      <c r="EC309" s="16" t="s">
        <v>83</v>
      </c>
    </row>
    <row r="310" spans="2:151" s="11" customFormat="1" x14ac:dyDescent="0.2">
      <c r="B310" s="143"/>
      <c r="D310" s="138" t="s">
        <v>301</v>
      </c>
      <c r="E310" s="144" t="s">
        <v>1</v>
      </c>
      <c r="F310" s="145" t="s">
        <v>1153</v>
      </c>
      <c r="H310" s="144" t="s">
        <v>1</v>
      </c>
      <c r="I310" s="146"/>
      <c r="L310" s="143"/>
      <c r="N310" s="215"/>
      <c r="O310" s="216"/>
      <c r="Q310" s="230"/>
      <c r="CU310" s="147"/>
      <c r="DB310" s="148"/>
      <c r="EB310" s="144" t="s">
        <v>301</v>
      </c>
      <c r="EC310" s="144" t="s">
        <v>83</v>
      </c>
      <c r="ED310" s="11" t="s">
        <v>81</v>
      </c>
      <c r="EE310" s="11" t="s">
        <v>32</v>
      </c>
      <c r="EF310" s="11" t="s">
        <v>74</v>
      </c>
      <c r="EG310" s="144" t="s">
        <v>282</v>
      </c>
    </row>
    <row r="311" spans="2:151" s="12" customFormat="1" x14ac:dyDescent="0.2">
      <c r="B311" s="149"/>
      <c r="D311" s="138" t="s">
        <v>301</v>
      </c>
      <c r="E311" s="150" t="s">
        <v>1</v>
      </c>
      <c r="F311" s="151" t="s">
        <v>348</v>
      </c>
      <c r="H311" s="152">
        <v>11</v>
      </c>
      <c r="I311" s="153"/>
      <c r="L311" s="149"/>
      <c r="N311" s="217"/>
      <c r="O311" s="218"/>
      <c r="Q311" s="231"/>
      <c r="CU311" s="154"/>
      <c r="DB311" s="155"/>
      <c r="EB311" s="150" t="s">
        <v>301</v>
      </c>
      <c r="EC311" s="150" t="s">
        <v>83</v>
      </c>
      <c r="ED311" s="12" t="s">
        <v>83</v>
      </c>
      <c r="EE311" s="12" t="s">
        <v>32</v>
      </c>
      <c r="EF311" s="12" t="s">
        <v>81</v>
      </c>
      <c r="EG311" s="150" t="s">
        <v>282</v>
      </c>
    </row>
    <row r="312" spans="2:151" s="1" customFormat="1" ht="14.45" customHeight="1" x14ac:dyDescent="0.2">
      <c r="B312" s="124"/>
      <c r="C312" s="170" t="s">
        <v>510</v>
      </c>
      <c r="D312" s="170" t="s">
        <v>439</v>
      </c>
      <c r="E312" s="171" t="s">
        <v>1154</v>
      </c>
      <c r="F312" s="172" t="s">
        <v>1155</v>
      </c>
      <c r="G312" s="173" t="s">
        <v>485</v>
      </c>
      <c r="H312" s="174">
        <v>11</v>
      </c>
      <c r="I312" s="175">
        <v>59.200981249999998</v>
      </c>
      <c r="J312" s="176">
        <f>ROUND(I312*H312,2)</f>
        <v>651.21</v>
      </c>
      <c r="K312" s="172" t="s">
        <v>293</v>
      </c>
      <c r="L312" s="268">
        <f>S312</f>
        <v>0</v>
      </c>
      <c r="M312" s="272">
        <f>ROUND(L312*I312,2)</f>
        <v>0</v>
      </c>
      <c r="N312" s="243"/>
      <c r="O312" s="294">
        <f>ROUND(N312*I312,2)</f>
        <v>0</v>
      </c>
      <c r="P312" s="273">
        <f>H312-L312-N312</f>
        <v>11</v>
      </c>
      <c r="Q312" s="287">
        <f>ROUND(P312*I312,2)</f>
        <v>651.21</v>
      </c>
      <c r="R312" s="137"/>
      <c r="S312" s="269">
        <f>W312+Y312+AA312+AC312+AE312+AG312+AI312+AK312+AM312</f>
        <v>0</v>
      </c>
      <c r="T312" s="269">
        <f>ROUND(S312*I312,2)</f>
        <v>0</v>
      </c>
      <c r="U312" s="269">
        <f>H312-S312</f>
        <v>11</v>
      </c>
      <c r="V312" s="269">
        <f>ROUND(U312*I312,2)</f>
        <v>651.21</v>
      </c>
      <c r="W312" s="290"/>
      <c r="X312" s="290"/>
      <c r="Y312" s="290"/>
      <c r="Z312" s="290"/>
      <c r="AA312" s="290"/>
      <c r="AB312" s="290"/>
      <c r="AC312" s="290"/>
      <c r="AD312" s="290"/>
      <c r="AE312" s="290"/>
      <c r="AF312" s="290"/>
      <c r="AG312" s="290"/>
      <c r="AH312" s="290"/>
      <c r="AI312" s="290"/>
      <c r="AJ312" s="290"/>
      <c r="AK312" s="290"/>
      <c r="AL312" s="290"/>
      <c r="AM312" s="290"/>
      <c r="AN312" s="290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77" t="s">
        <v>1</v>
      </c>
      <c r="CV312" s="178" t="s">
        <v>40</v>
      </c>
      <c r="CX312" s="134">
        <f>CW312*H312</f>
        <v>0</v>
      </c>
      <c r="CY312" s="134">
        <v>2.9E-4</v>
      </c>
      <c r="CZ312" s="134">
        <f>CY312*H312</f>
        <v>3.1900000000000001E-3</v>
      </c>
      <c r="DA312" s="134">
        <v>0</v>
      </c>
      <c r="DB312" s="135">
        <f>DA312*H312</f>
        <v>0</v>
      </c>
      <c r="DZ312" s="136" t="s">
        <v>328</v>
      </c>
      <c r="EB312" s="136" t="s">
        <v>439</v>
      </c>
      <c r="EC312" s="136" t="s">
        <v>83</v>
      </c>
      <c r="EG312" s="16" t="s">
        <v>282</v>
      </c>
      <c r="EM312" s="137">
        <f>IF(CV312="základní",J312,0)</f>
        <v>651.21</v>
      </c>
      <c r="EN312" s="137">
        <f>IF(CV312="snížená",J312,0)</f>
        <v>0</v>
      </c>
      <c r="EO312" s="137">
        <f>IF(CV312="zákl. přenesená",J312,0)</f>
        <v>0</v>
      </c>
      <c r="EP312" s="137">
        <f>IF(CV312="sníž. přenesená",J312,0)</f>
        <v>0</v>
      </c>
      <c r="EQ312" s="137">
        <f>IF(CV312="nulová",J312,0)</f>
        <v>0</v>
      </c>
      <c r="ER312" s="16" t="s">
        <v>81</v>
      </c>
      <c r="ES312" s="137">
        <f>ROUND(I312*H312,2)</f>
        <v>651.21</v>
      </c>
      <c r="ET312" s="16" t="s">
        <v>95</v>
      </c>
      <c r="EU312" s="136" t="s">
        <v>1156</v>
      </c>
    </row>
    <row r="313" spans="2:151" s="1" customFormat="1" x14ac:dyDescent="0.2">
      <c r="B313" s="31"/>
      <c r="D313" s="138" t="s">
        <v>289</v>
      </c>
      <c r="F313" s="139" t="s">
        <v>1155</v>
      </c>
      <c r="I313" s="140"/>
      <c r="L313" s="31"/>
      <c r="N313" s="213"/>
      <c r="O313" s="214"/>
      <c r="Q313" s="229"/>
      <c r="CU313" s="141"/>
      <c r="DB313" s="50"/>
      <c r="EB313" s="16" t="s">
        <v>289</v>
      </c>
      <c r="EC313" s="16" t="s">
        <v>83</v>
      </c>
    </row>
    <row r="314" spans="2:151" s="1" customFormat="1" ht="14.45" customHeight="1" x14ac:dyDescent="0.2">
      <c r="B314" s="124"/>
      <c r="C314" s="125" t="s">
        <v>514</v>
      </c>
      <c r="D314" s="125" t="s">
        <v>284</v>
      </c>
      <c r="E314" s="126" t="s">
        <v>776</v>
      </c>
      <c r="F314" s="127" t="s">
        <v>1157</v>
      </c>
      <c r="G314" s="128" t="s">
        <v>344</v>
      </c>
      <c r="H314" s="129">
        <v>39</v>
      </c>
      <c r="I314" s="130">
        <v>21.984104604889872</v>
      </c>
      <c r="J314" s="131">
        <f>ROUND(I314*H314,2)</f>
        <v>857.38</v>
      </c>
      <c r="K314" s="127" t="s">
        <v>293</v>
      </c>
      <c r="L314" s="268">
        <f>S314</f>
        <v>0</v>
      </c>
      <c r="M314" s="272">
        <f>ROUND(L314*I314,2)</f>
        <v>0</v>
      </c>
      <c r="N314" s="243">
        <f>N288</f>
        <v>-3.240000000000002</v>
      </c>
      <c r="O314" s="294">
        <f>ROUND(N314*I314,2)</f>
        <v>-71.23</v>
      </c>
      <c r="P314" s="273">
        <f>H314-L314-N314</f>
        <v>42.24</v>
      </c>
      <c r="Q314" s="287">
        <f>ROUND(P314*I314,2)</f>
        <v>928.61</v>
      </c>
      <c r="R314" s="137"/>
      <c r="S314" s="269">
        <f>W314+Y314+AA314+AC314+AE314+AG314+AI314+AK314+AM314</f>
        <v>0</v>
      </c>
      <c r="T314" s="269">
        <f>ROUND(S314*I314,2)</f>
        <v>0</v>
      </c>
      <c r="U314" s="269">
        <f>H314-S314</f>
        <v>39</v>
      </c>
      <c r="V314" s="269">
        <f>ROUND(U314*I314,2)</f>
        <v>857.38</v>
      </c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CU314" s="132" t="s">
        <v>1</v>
      </c>
      <c r="CV314" s="133" t="s">
        <v>40</v>
      </c>
      <c r="CX314" s="134">
        <f>CW314*H314</f>
        <v>0</v>
      </c>
      <c r="CY314" s="134">
        <v>0</v>
      </c>
      <c r="CZ314" s="134">
        <f>CY314*H314</f>
        <v>0</v>
      </c>
      <c r="DA314" s="134">
        <v>0</v>
      </c>
      <c r="DB314" s="135">
        <f>DA314*H314</f>
        <v>0</v>
      </c>
      <c r="DZ314" s="136" t="s">
        <v>95</v>
      </c>
      <c r="EB314" s="136" t="s">
        <v>284</v>
      </c>
      <c r="EC314" s="136" t="s">
        <v>83</v>
      </c>
      <c r="EG314" s="16" t="s">
        <v>282</v>
      </c>
      <c r="EM314" s="137">
        <f>IF(CV314="základní",J314,0)</f>
        <v>857.38</v>
      </c>
      <c r="EN314" s="137">
        <f>IF(CV314="snížená",J314,0)</f>
        <v>0</v>
      </c>
      <c r="EO314" s="137">
        <f>IF(CV314="zákl. přenesená",J314,0)</f>
        <v>0</v>
      </c>
      <c r="EP314" s="137">
        <f>IF(CV314="sníž. přenesená",J314,0)</f>
        <v>0</v>
      </c>
      <c r="EQ314" s="137">
        <f>IF(CV314="nulová",J314,0)</f>
        <v>0</v>
      </c>
      <c r="ER314" s="16" t="s">
        <v>81</v>
      </c>
      <c r="ES314" s="137">
        <f>ROUND(I314*H314,2)</f>
        <v>857.38</v>
      </c>
      <c r="ET314" s="16" t="s">
        <v>95</v>
      </c>
      <c r="EU314" s="136" t="s">
        <v>1158</v>
      </c>
    </row>
    <row r="315" spans="2:151" s="1" customFormat="1" x14ac:dyDescent="0.2">
      <c r="B315" s="31"/>
      <c r="D315" s="138" t="s">
        <v>289</v>
      </c>
      <c r="F315" s="139" t="s">
        <v>779</v>
      </c>
      <c r="I315" s="140"/>
      <c r="L315" s="31"/>
      <c r="N315" s="213"/>
      <c r="O315" s="214"/>
      <c r="Q315" s="229"/>
      <c r="CU315" s="141"/>
      <c r="DB315" s="50"/>
      <c r="EB315" s="16" t="s">
        <v>289</v>
      </c>
      <c r="EC315" s="16" t="s">
        <v>83</v>
      </c>
    </row>
    <row r="316" spans="2:151" s="1" customFormat="1" ht="19.5" x14ac:dyDescent="0.2">
      <c r="B316" s="31"/>
      <c r="D316" s="138" t="s">
        <v>299</v>
      </c>
      <c r="F316" s="142" t="s">
        <v>587</v>
      </c>
      <c r="I316" s="140"/>
      <c r="L316" s="31"/>
      <c r="N316" s="213"/>
      <c r="O316" s="214"/>
      <c r="Q316" s="229"/>
      <c r="CU316" s="141"/>
      <c r="DB316" s="50"/>
      <c r="EB316" s="16" t="s">
        <v>299</v>
      </c>
      <c r="EC316" s="16" t="s">
        <v>83</v>
      </c>
    </row>
    <row r="317" spans="2:151" s="1" customFormat="1" ht="24.2" customHeight="1" x14ac:dyDescent="0.2">
      <c r="B317" s="124"/>
      <c r="C317" s="125" t="s">
        <v>521</v>
      </c>
      <c r="D317" s="125" t="s">
        <v>284</v>
      </c>
      <c r="E317" s="126" t="s">
        <v>1159</v>
      </c>
      <c r="F317" s="127" t="s">
        <v>1160</v>
      </c>
      <c r="G317" s="128" t="s">
        <v>485</v>
      </c>
      <c r="H317" s="129">
        <v>11</v>
      </c>
      <c r="I317" s="130">
        <v>3029.9958423936168</v>
      </c>
      <c r="J317" s="131">
        <f>ROUND(I317*H317,2)</f>
        <v>33329.949999999997</v>
      </c>
      <c r="K317" s="127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11</v>
      </c>
      <c r="Q317" s="287">
        <f>ROUND(P317*I317,2)</f>
        <v>33329.949999999997</v>
      </c>
      <c r="R317" s="137"/>
      <c r="S317" s="269">
        <f>W317+Y317+AA317+AC317+AE317+AG317+AI317+AK317+AM317</f>
        <v>0</v>
      </c>
      <c r="T317" s="269">
        <f>ROUND(S317*I317,2)</f>
        <v>0</v>
      </c>
      <c r="U317" s="269">
        <f>H317-S317</f>
        <v>11</v>
      </c>
      <c r="V317" s="269">
        <f>ROUND(U317*I317,2)</f>
        <v>33329.949999999997</v>
      </c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CU317" s="132" t="s">
        <v>1</v>
      </c>
      <c r="CV317" s="133" t="s">
        <v>40</v>
      </c>
      <c r="CX317" s="134">
        <f>CW317*H317</f>
        <v>0</v>
      </c>
      <c r="CY317" s="134">
        <v>5.8029999999999998E-2</v>
      </c>
      <c r="CZ317" s="134">
        <f>CY317*H317</f>
        <v>0.63832999999999995</v>
      </c>
      <c r="DA317" s="134">
        <v>0</v>
      </c>
      <c r="DB317" s="135">
        <f>DA317*H317</f>
        <v>0</v>
      </c>
      <c r="DZ317" s="136" t="s">
        <v>95</v>
      </c>
      <c r="EB317" s="136" t="s">
        <v>284</v>
      </c>
      <c r="EC317" s="136" t="s">
        <v>83</v>
      </c>
      <c r="EG317" s="16" t="s">
        <v>282</v>
      </c>
      <c r="EM317" s="137">
        <f>IF(CV317="základní",J317,0)</f>
        <v>33329.949999999997</v>
      </c>
      <c r="EN317" s="137">
        <f>IF(CV317="snížená",J317,0)</f>
        <v>0</v>
      </c>
      <c r="EO317" s="137">
        <f>IF(CV317="zákl. přenesená",J317,0)</f>
        <v>0</v>
      </c>
      <c r="EP317" s="137">
        <f>IF(CV317="sníž. přenesená",J317,0)</f>
        <v>0</v>
      </c>
      <c r="EQ317" s="137">
        <f>IF(CV317="nulová",J317,0)</f>
        <v>0</v>
      </c>
      <c r="ER317" s="16" t="s">
        <v>81</v>
      </c>
      <c r="ES317" s="137">
        <f>ROUND(I317*H317,2)</f>
        <v>33329.949999999997</v>
      </c>
      <c r="ET317" s="16" t="s">
        <v>95</v>
      </c>
      <c r="EU317" s="136" t="s">
        <v>1161</v>
      </c>
    </row>
    <row r="318" spans="2:151" s="1" customFormat="1" ht="29.25" x14ac:dyDescent="0.2">
      <c r="B318" s="31"/>
      <c r="D318" s="138" t="s">
        <v>289</v>
      </c>
      <c r="F318" s="139" t="s">
        <v>1162</v>
      </c>
      <c r="I318" s="140"/>
      <c r="L318" s="31"/>
      <c r="N318" s="213"/>
      <c r="O318" s="214"/>
      <c r="Q318" s="229"/>
      <c r="CU318" s="141"/>
      <c r="DB318" s="50"/>
      <c r="EB318" s="16" t="s">
        <v>289</v>
      </c>
      <c r="EC318" s="16" t="s">
        <v>83</v>
      </c>
    </row>
    <row r="319" spans="2:151" s="1" customFormat="1" ht="29.25" x14ac:dyDescent="0.2">
      <c r="B319" s="31"/>
      <c r="D319" s="138" t="s">
        <v>299</v>
      </c>
      <c r="F319" s="142" t="s">
        <v>1083</v>
      </c>
      <c r="I319" s="140"/>
      <c r="L319" s="31"/>
      <c r="N319" s="213"/>
      <c r="O319" s="214"/>
      <c r="Q319" s="229"/>
      <c r="CU319" s="141"/>
      <c r="DB319" s="50"/>
      <c r="EB319" s="16" t="s">
        <v>299</v>
      </c>
      <c r="EC319" s="16" t="s">
        <v>83</v>
      </c>
    </row>
    <row r="320" spans="2:151" s="12" customFormat="1" x14ac:dyDescent="0.2">
      <c r="B320" s="149"/>
      <c r="D320" s="138" t="s">
        <v>301</v>
      </c>
      <c r="E320" s="150" t="s">
        <v>1</v>
      </c>
      <c r="F320" s="151" t="s">
        <v>348</v>
      </c>
      <c r="H320" s="152">
        <v>11</v>
      </c>
      <c r="I320" s="153"/>
      <c r="L320" s="149"/>
      <c r="N320" s="217"/>
      <c r="O320" s="218"/>
      <c r="Q320" s="231"/>
      <c r="CU320" s="154"/>
      <c r="DB320" s="155"/>
      <c r="EB320" s="150" t="s">
        <v>301</v>
      </c>
      <c r="EC320" s="150" t="s">
        <v>83</v>
      </c>
      <c r="ED320" s="12" t="s">
        <v>83</v>
      </c>
      <c r="EE320" s="12" t="s">
        <v>32</v>
      </c>
      <c r="EF320" s="12" t="s">
        <v>81</v>
      </c>
      <c r="EG320" s="150" t="s">
        <v>282</v>
      </c>
    </row>
    <row r="321" spans="2:151" s="1" customFormat="1" ht="24.2" customHeight="1" x14ac:dyDescent="0.2">
      <c r="B321" s="124"/>
      <c r="C321" s="125" t="s">
        <v>526</v>
      </c>
      <c r="D321" s="125" t="s">
        <v>284</v>
      </c>
      <c r="E321" s="126" t="s">
        <v>1163</v>
      </c>
      <c r="F321" s="127" t="s">
        <v>1164</v>
      </c>
      <c r="G321" s="128" t="s">
        <v>485</v>
      </c>
      <c r="H321" s="129">
        <v>11</v>
      </c>
      <c r="I321" s="130">
        <v>1731.8858985723084</v>
      </c>
      <c r="J321" s="131">
        <f>ROUND(I321*H321,2)</f>
        <v>19050.740000000002</v>
      </c>
      <c r="K321" s="127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11</v>
      </c>
      <c r="Q321" s="287">
        <f>ROUND(P321*I321,2)</f>
        <v>19050.740000000002</v>
      </c>
      <c r="R321" s="137"/>
      <c r="S321" s="269">
        <f>W321+Y321+AA321+AC321+AE321+AG321+AI321+AK321+AM321</f>
        <v>0</v>
      </c>
      <c r="T321" s="269">
        <f>ROUND(S321*I321,2)</f>
        <v>0</v>
      </c>
      <c r="U321" s="269">
        <f>H321-S321</f>
        <v>11</v>
      </c>
      <c r="V321" s="269">
        <f>ROUND(U321*I321,2)</f>
        <v>19050.740000000002</v>
      </c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I321" s="269"/>
      <c r="AJ321" s="269"/>
      <c r="AK321" s="269"/>
      <c r="AL321" s="269"/>
      <c r="AM321" s="269"/>
      <c r="AN321" s="269"/>
      <c r="CU321" s="132" t="s">
        <v>1</v>
      </c>
      <c r="CV321" s="133" t="s">
        <v>40</v>
      </c>
      <c r="CX321" s="134">
        <f>CW321*H321</f>
        <v>0</v>
      </c>
      <c r="CY321" s="134">
        <v>1.136E-2</v>
      </c>
      <c r="CZ321" s="134">
        <f>CY321*H321</f>
        <v>0.12496</v>
      </c>
      <c r="DA321" s="134">
        <v>0</v>
      </c>
      <c r="DB321" s="135">
        <f>DA321*H321</f>
        <v>0</v>
      </c>
      <c r="DZ321" s="136" t="s">
        <v>95</v>
      </c>
      <c r="EB321" s="136" t="s">
        <v>284</v>
      </c>
      <c r="EC321" s="136" t="s">
        <v>83</v>
      </c>
      <c r="EG321" s="16" t="s">
        <v>282</v>
      </c>
      <c r="EM321" s="137">
        <f>IF(CV321="základní",J321,0)</f>
        <v>19050.740000000002</v>
      </c>
      <c r="EN321" s="137">
        <f>IF(CV321="snížená",J321,0)</f>
        <v>0</v>
      </c>
      <c r="EO321" s="137">
        <f>IF(CV321="zákl. přenesená",J321,0)</f>
        <v>0</v>
      </c>
      <c r="EP321" s="137">
        <f>IF(CV321="sníž. přenesená",J321,0)</f>
        <v>0</v>
      </c>
      <c r="EQ321" s="137">
        <f>IF(CV321="nulová",J321,0)</f>
        <v>0</v>
      </c>
      <c r="ER321" s="16" t="s">
        <v>81</v>
      </c>
      <c r="ES321" s="137">
        <f>ROUND(I321*H321,2)</f>
        <v>19050.740000000002</v>
      </c>
      <c r="ET321" s="16" t="s">
        <v>95</v>
      </c>
      <c r="EU321" s="136" t="s">
        <v>1165</v>
      </c>
    </row>
    <row r="322" spans="2:151" s="1" customFormat="1" ht="19.5" x14ac:dyDescent="0.2">
      <c r="B322" s="31"/>
      <c r="D322" s="138" t="s">
        <v>289</v>
      </c>
      <c r="F322" s="139" t="s">
        <v>1166</v>
      </c>
      <c r="I322" s="140"/>
      <c r="L322" s="31"/>
      <c r="N322" s="213"/>
      <c r="O322" s="214"/>
      <c r="Q322" s="229"/>
      <c r="CU322" s="141"/>
      <c r="DB322" s="50"/>
      <c r="EB322" s="16" t="s">
        <v>289</v>
      </c>
      <c r="EC322" s="16" t="s">
        <v>83</v>
      </c>
    </row>
    <row r="323" spans="2:151" s="1" customFormat="1" ht="24.2" customHeight="1" x14ac:dyDescent="0.2">
      <c r="B323" s="124"/>
      <c r="C323" s="125" t="s">
        <v>531</v>
      </c>
      <c r="D323" s="125" t="s">
        <v>284</v>
      </c>
      <c r="E323" s="126" t="s">
        <v>1167</v>
      </c>
      <c r="F323" s="127" t="s">
        <v>1168</v>
      </c>
      <c r="G323" s="128" t="s">
        <v>485</v>
      </c>
      <c r="H323" s="129">
        <v>11</v>
      </c>
      <c r="I323" s="130">
        <v>769.70783374577138</v>
      </c>
      <c r="J323" s="131">
        <f>ROUND(I323*H323,2)</f>
        <v>8466.7900000000009</v>
      </c>
      <c r="K323" s="127" t="s">
        <v>293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11</v>
      </c>
      <c r="Q323" s="287">
        <f>ROUND(P323*I323,2)</f>
        <v>8466.7900000000009</v>
      </c>
      <c r="R323" s="137"/>
      <c r="S323" s="269">
        <f>W323+Y323+AA323+AC323+AE323+AG323+AI323+AK323+AM323</f>
        <v>0</v>
      </c>
      <c r="T323" s="269">
        <f>ROUND(S323*I323,2)</f>
        <v>0</v>
      </c>
      <c r="U323" s="269">
        <f>H323-S323</f>
        <v>11</v>
      </c>
      <c r="V323" s="269">
        <f>ROUND(U323*I323,2)</f>
        <v>8466.7900000000009</v>
      </c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CU323" s="132" t="s">
        <v>1</v>
      </c>
      <c r="CV323" s="133" t="s">
        <v>40</v>
      </c>
      <c r="CX323" s="134">
        <f>CW323*H323</f>
        <v>0</v>
      </c>
      <c r="CY323" s="134">
        <v>6.2199999999999998E-3</v>
      </c>
      <c r="CZ323" s="134">
        <f>CY323*H323</f>
        <v>6.8419999999999995E-2</v>
      </c>
      <c r="DA323" s="134">
        <v>0</v>
      </c>
      <c r="DB323" s="135">
        <f>DA323*H323</f>
        <v>0</v>
      </c>
      <c r="DZ323" s="136" t="s">
        <v>95</v>
      </c>
      <c r="EB323" s="136" t="s">
        <v>284</v>
      </c>
      <c r="EC323" s="136" t="s">
        <v>83</v>
      </c>
      <c r="EG323" s="16" t="s">
        <v>282</v>
      </c>
      <c r="EM323" s="137">
        <f>IF(CV323="základní",J323,0)</f>
        <v>8466.7900000000009</v>
      </c>
      <c r="EN323" s="137">
        <f>IF(CV323="snížená",J323,0)</f>
        <v>0</v>
      </c>
      <c r="EO323" s="137">
        <f>IF(CV323="zákl. přenesená",J323,0)</f>
        <v>0</v>
      </c>
      <c r="EP323" s="137">
        <f>IF(CV323="sníž. přenesená",J323,0)</f>
        <v>0</v>
      </c>
      <c r="EQ323" s="137">
        <f>IF(CV323="nulová",J323,0)</f>
        <v>0</v>
      </c>
      <c r="ER323" s="16" t="s">
        <v>81</v>
      </c>
      <c r="ES323" s="137">
        <f>ROUND(I323*H323,2)</f>
        <v>8466.7900000000009</v>
      </c>
      <c r="ET323" s="16" t="s">
        <v>95</v>
      </c>
      <c r="EU323" s="136" t="s">
        <v>1169</v>
      </c>
    </row>
    <row r="324" spans="2:151" s="1" customFormat="1" ht="29.25" x14ac:dyDescent="0.2">
      <c r="B324" s="31"/>
      <c r="D324" s="138" t="s">
        <v>289</v>
      </c>
      <c r="F324" s="139" t="s">
        <v>1170</v>
      </c>
      <c r="I324" s="140"/>
      <c r="L324" s="31"/>
      <c r="N324" s="213"/>
      <c r="O324" s="214"/>
      <c r="Q324" s="229"/>
      <c r="CU324" s="141"/>
      <c r="DB324" s="50"/>
      <c r="EB324" s="16" t="s">
        <v>289</v>
      </c>
      <c r="EC324" s="16" t="s">
        <v>83</v>
      </c>
    </row>
    <row r="325" spans="2:151" s="1" customFormat="1" ht="24.2" customHeight="1" x14ac:dyDescent="0.2">
      <c r="B325" s="124"/>
      <c r="C325" s="125" t="s">
        <v>536</v>
      </c>
      <c r="D325" s="125" t="s">
        <v>284</v>
      </c>
      <c r="E325" s="126" t="s">
        <v>1171</v>
      </c>
      <c r="F325" s="127" t="s">
        <v>1172</v>
      </c>
      <c r="G325" s="128" t="s">
        <v>485</v>
      </c>
      <c r="H325" s="129">
        <v>11</v>
      </c>
      <c r="I325" s="130">
        <v>809.35201412271431</v>
      </c>
      <c r="J325" s="131">
        <f>ROUND(I325*H325,2)</f>
        <v>8902.8700000000008</v>
      </c>
      <c r="K325" s="127" t="s">
        <v>293</v>
      </c>
      <c r="L325" s="268">
        <f>S325</f>
        <v>0</v>
      </c>
      <c r="M325" s="272">
        <f>ROUND(L325*I325,2)</f>
        <v>0</v>
      </c>
      <c r="N325" s="243"/>
      <c r="O325" s="294">
        <f>ROUND(N325*I325,2)</f>
        <v>0</v>
      </c>
      <c r="P325" s="273">
        <f>H325-L325-N325</f>
        <v>11</v>
      </c>
      <c r="Q325" s="287">
        <f>ROUND(P325*I325,2)</f>
        <v>8902.8700000000008</v>
      </c>
      <c r="R325" s="137"/>
      <c r="S325" s="269">
        <f>W325+Y325+AA325+AC325+AE325+AG325+AI325+AK325+AM325</f>
        <v>0</v>
      </c>
      <c r="T325" s="269">
        <f>ROUND(S325*I325,2)</f>
        <v>0</v>
      </c>
      <c r="U325" s="269">
        <f>H325-S325</f>
        <v>11</v>
      </c>
      <c r="V325" s="269">
        <f>ROUND(U325*I325,2)</f>
        <v>8902.8700000000008</v>
      </c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  <c r="AL325" s="269"/>
      <c r="AM325" s="269"/>
      <c r="AN325" s="269"/>
      <c r="CU325" s="132" t="s">
        <v>1</v>
      </c>
      <c r="CV325" s="133" t="s">
        <v>40</v>
      </c>
      <c r="CX325" s="134">
        <f>CW325*H325</f>
        <v>0</v>
      </c>
      <c r="CY325" s="134">
        <v>0</v>
      </c>
      <c r="CZ325" s="134">
        <f>CY325*H325</f>
        <v>0</v>
      </c>
      <c r="DA325" s="134">
        <v>0</v>
      </c>
      <c r="DB325" s="135">
        <f>DA325*H325</f>
        <v>0</v>
      </c>
      <c r="DZ325" s="136" t="s">
        <v>95</v>
      </c>
      <c r="EB325" s="136" t="s">
        <v>284</v>
      </c>
      <c r="EC325" s="136" t="s">
        <v>83</v>
      </c>
      <c r="EG325" s="16" t="s">
        <v>282</v>
      </c>
      <c r="EM325" s="137">
        <f>IF(CV325="základní",J325,0)</f>
        <v>8902.8700000000008</v>
      </c>
      <c r="EN325" s="137">
        <f>IF(CV325="snížená",J325,0)</f>
        <v>0</v>
      </c>
      <c r="EO325" s="137">
        <f>IF(CV325="zákl. přenesená",J325,0)</f>
        <v>0</v>
      </c>
      <c r="EP325" s="137">
        <f>IF(CV325="sníž. přenesená",J325,0)</f>
        <v>0</v>
      </c>
      <c r="EQ325" s="137">
        <f>IF(CV325="nulová",J325,0)</f>
        <v>0</v>
      </c>
      <c r="ER325" s="16" t="s">
        <v>81</v>
      </c>
      <c r="ES325" s="137">
        <f>ROUND(I325*H325,2)</f>
        <v>8902.8700000000008</v>
      </c>
      <c r="ET325" s="16" t="s">
        <v>95</v>
      </c>
      <c r="EU325" s="136" t="s">
        <v>1173</v>
      </c>
    </row>
    <row r="326" spans="2:151" s="1" customFormat="1" ht="29.25" x14ac:dyDescent="0.2">
      <c r="B326" s="31"/>
      <c r="D326" s="138" t="s">
        <v>289</v>
      </c>
      <c r="F326" s="139" t="s">
        <v>1174</v>
      </c>
      <c r="I326" s="140"/>
      <c r="L326" s="31"/>
      <c r="N326" s="213"/>
      <c r="O326" s="214"/>
      <c r="Q326" s="229"/>
      <c r="CU326" s="141"/>
      <c r="DB326" s="50"/>
      <c r="EB326" s="16" t="s">
        <v>289</v>
      </c>
      <c r="EC326" s="16" t="s">
        <v>83</v>
      </c>
    </row>
    <row r="327" spans="2:151" s="1" customFormat="1" ht="24.2" customHeight="1" x14ac:dyDescent="0.2">
      <c r="B327" s="124"/>
      <c r="C327" s="125" t="s">
        <v>543</v>
      </c>
      <c r="D327" s="125" t="s">
        <v>284</v>
      </c>
      <c r="E327" s="126" t="s">
        <v>1175</v>
      </c>
      <c r="F327" s="127" t="s">
        <v>1176</v>
      </c>
      <c r="G327" s="128" t="s">
        <v>485</v>
      </c>
      <c r="H327" s="129">
        <v>11</v>
      </c>
      <c r="I327" s="130">
        <v>3446.6463092111458</v>
      </c>
      <c r="J327" s="131">
        <f>ROUND(I327*H327,2)</f>
        <v>37913.11</v>
      </c>
      <c r="K327" s="127" t="s">
        <v>293</v>
      </c>
      <c r="L327" s="268">
        <f>S327</f>
        <v>0</v>
      </c>
      <c r="M327" s="272">
        <f>ROUND(L327*I327,2)</f>
        <v>0</v>
      </c>
      <c r="N327" s="243"/>
      <c r="O327" s="294">
        <f>ROUND(N327*I327,2)</f>
        <v>0</v>
      </c>
      <c r="P327" s="273">
        <f>H327-L327-N327</f>
        <v>11</v>
      </c>
      <c r="Q327" s="287">
        <f>ROUND(P327*I327,2)</f>
        <v>37913.11</v>
      </c>
      <c r="R327" s="137"/>
      <c r="S327" s="269">
        <f>W327+Y327+AA327+AC327+AE327+AG327+AI327+AK327+AM327</f>
        <v>0</v>
      </c>
      <c r="T327" s="269">
        <f>ROUND(S327*I327,2)</f>
        <v>0</v>
      </c>
      <c r="U327" s="269">
        <f>H327-S327</f>
        <v>11</v>
      </c>
      <c r="V327" s="269">
        <f>ROUND(U327*I327,2)</f>
        <v>37913.11</v>
      </c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  <c r="AL327" s="269"/>
      <c r="AM327" s="269"/>
      <c r="AN327" s="269"/>
      <c r="CU327" s="132" t="s">
        <v>1</v>
      </c>
      <c r="CV327" s="133" t="s">
        <v>40</v>
      </c>
      <c r="CX327" s="134">
        <f>CW327*H327</f>
        <v>0</v>
      </c>
      <c r="CY327" s="134">
        <v>5.4539999999999998E-2</v>
      </c>
      <c r="CZ327" s="134">
        <f>CY327*H327</f>
        <v>0.59994000000000003</v>
      </c>
      <c r="DA327" s="134">
        <v>0</v>
      </c>
      <c r="DB327" s="135">
        <f>DA327*H327</f>
        <v>0</v>
      </c>
      <c r="DZ327" s="136" t="s">
        <v>95</v>
      </c>
      <c r="EB327" s="136" t="s">
        <v>284</v>
      </c>
      <c r="EC327" s="136" t="s">
        <v>83</v>
      </c>
      <c r="EG327" s="16" t="s">
        <v>282</v>
      </c>
      <c r="EM327" s="137">
        <f>IF(CV327="základní",J327,0)</f>
        <v>37913.11</v>
      </c>
      <c r="EN327" s="137">
        <f>IF(CV327="snížená",J327,0)</f>
        <v>0</v>
      </c>
      <c r="EO327" s="137">
        <f>IF(CV327="zákl. přenesená",J327,0)</f>
        <v>0</v>
      </c>
      <c r="EP327" s="137">
        <f>IF(CV327="sníž. přenesená",J327,0)</f>
        <v>0</v>
      </c>
      <c r="EQ327" s="137">
        <f>IF(CV327="nulová",J327,0)</f>
        <v>0</v>
      </c>
      <c r="ER327" s="16" t="s">
        <v>81</v>
      </c>
      <c r="ES327" s="137">
        <f>ROUND(I327*H327,2)</f>
        <v>37913.11</v>
      </c>
      <c r="ET327" s="16" t="s">
        <v>95</v>
      </c>
      <c r="EU327" s="136" t="s">
        <v>1177</v>
      </c>
    </row>
    <row r="328" spans="2:151" s="1" customFormat="1" ht="29.25" x14ac:dyDescent="0.2">
      <c r="B328" s="31"/>
      <c r="D328" s="138" t="s">
        <v>289</v>
      </c>
      <c r="F328" s="139" t="s">
        <v>1178</v>
      </c>
      <c r="I328" s="140"/>
      <c r="L328" s="31"/>
      <c r="N328" s="213"/>
      <c r="O328" s="214"/>
      <c r="Q328" s="229"/>
      <c r="CU328" s="141"/>
      <c r="DB328" s="50"/>
      <c r="EB328" s="16" t="s">
        <v>289</v>
      </c>
      <c r="EC328" s="16" t="s">
        <v>83</v>
      </c>
    </row>
    <row r="329" spans="2:151" s="10" customFormat="1" ht="22.9" customHeight="1" x14ac:dyDescent="0.2">
      <c r="B329" s="112"/>
      <c r="D329" s="113" t="s">
        <v>73</v>
      </c>
      <c r="E329" s="122" t="s">
        <v>695</v>
      </c>
      <c r="F329" s="122" t="s">
        <v>696</v>
      </c>
      <c r="I329" s="115"/>
      <c r="J329" s="123">
        <f>ES329</f>
        <v>15969.41</v>
      </c>
      <c r="L329" s="112"/>
      <c r="M329" s="291">
        <f>M330+M335+M341+M343+M346</f>
        <v>0</v>
      </c>
      <c r="N329" s="295"/>
      <c r="O329" s="296">
        <f t="shared" ref="O329:V329" si="7">O330+O335+O341+O343+O346</f>
        <v>-1325.47</v>
      </c>
      <c r="P329" s="291"/>
      <c r="Q329" s="298">
        <f t="shared" si="7"/>
        <v>17294.87</v>
      </c>
      <c r="R329" s="291"/>
      <c r="S329" s="291"/>
      <c r="T329" s="291">
        <f t="shared" si="7"/>
        <v>0</v>
      </c>
      <c r="U329" s="291"/>
      <c r="V329" s="291">
        <f t="shared" si="7"/>
        <v>15969.41</v>
      </c>
      <c r="CU329" s="117"/>
      <c r="CX329" s="118">
        <f>SUM(CX330:CX348)</f>
        <v>0</v>
      </c>
      <c r="CZ329" s="118">
        <f>SUM(CZ330:CZ348)</f>
        <v>0</v>
      </c>
      <c r="DB329" s="119">
        <f>SUM(DB330:DB348)</f>
        <v>0</v>
      </c>
      <c r="DZ329" s="113" t="s">
        <v>81</v>
      </c>
      <c r="EB329" s="120" t="s">
        <v>73</v>
      </c>
      <c r="EC329" s="120" t="s">
        <v>81</v>
      </c>
      <c r="EG329" s="113" t="s">
        <v>282</v>
      </c>
      <c r="ES329" s="121">
        <f>SUM(ES330:ES348)</f>
        <v>15969.41</v>
      </c>
    </row>
    <row r="330" spans="2:151" s="1" customFormat="1" ht="14.45" customHeight="1" x14ac:dyDescent="0.2">
      <c r="B330" s="124"/>
      <c r="C330" s="125" t="s">
        <v>548</v>
      </c>
      <c r="D330" s="125" t="s">
        <v>284</v>
      </c>
      <c r="E330" s="126" t="s">
        <v>698</v>
      </c>
      <c r="F330" s="127" t="s">
        <v>699</v>
      </c>
      <c r="G330" s="128" t="s">
        <v>418</v>
      </c>
      <c r="H330" s="129">
        <v>44.155999999999999</v>
      </c>
      <c r="I330" s="130">
        <v>40.477390926043419</v>
      </c>
      <c r="J330" s="131">
        <f>ROUND(I330*H330,2)</f>
        <v>1787.32</v>
      </c>
      <c r="K330" s="127" t="s">
        <v>293</v>
      </c>
      <c r="L330" s="268">
        <f>S330</f>
        <v>0</v>
      </c>
      <c r="M330" s="272">
        <f>ROUND(L330*I330,2)</f>
        <v>0</v>
      </c>
      <c r="N330" s="243">
        <f>N332</f>
        <v>-3.6649479999999954</v>
      </c>
      <c r="O330" s="294">
        <f>ROUND(N330*I330,2)</f>
        <v>-148.35</v>
      </c>
      <c r="P330" s="273">
        <f>H330-L330-N330</f>
        <v>47.820947999999994</v>
      </c>
      <c r="Q330" s="287">
        <f>ROUND(P330*I330,2)</f>
        <v>1935.67</v>
      </c>
      <c r="R330" s="137"/>
      <c r="S330" s="269">
        <f>W330+Y330+AA330+AC330+AE330+AG330+AI330+AK330+AM330</f>
        <v>0</v>
      </c>
      <c r="T330" s="269">
        <f>ROUND(S330*I330,2)</f>
        <v>0</v>
      </c>
      <c r="U330" s="269">
        <f>H330-S330</f>
        <v>44.155999999999999</v>
      </c>
      <c r="V330" s="269">
        <f>ROUND(U330*I330,2)</f>
        <v>1787.32</v>
      </c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  <c r="AL330" s="269"/>
      <c r="AM330" s="269"/>
      <c r="AN330" s="269"/>
      <c r="CU330" s="132" t="s">
        <v>1</v>
      </c>
      <c r="CV330" s="133" t="s">
        <v>40</v>
      </c>
      <c r="CX330" s="134">
        <f>CW330*H330</f>
        <v>0</v>
      </c>
      <c r="CY330" s="134">
        <v>0</v>
      </c>
      <c r="CZ330" s="134">
        <f>CY330*H330</f>
        <v>0</v>
      </c>
      <c r="DA330" s="134">
        <v>0</v>
      </c>
      <c r="DB330" s="135">
        <f>DA330*H330</f>
        <v>0</v>
      </c>
      <c r="DZ330" s="136" t="s">
        <v>95</v>
      </c>
      <c r="EB330" s="136" t="s">
        <v>284</v>
      </c>
      <c r="EC330" s="136" t="s">
        <v>83</v>
      </c>
      <c r="EG330" s="16" t="s">
        <v>282</v>
      </c>
      <c r="EM330" s="137">
        <f>IF(CV330="základní",J330,0)</f>
        <v>1787.32</v>
      </c>
      <c r="EN330" s="137">
        <f>IF(CV330="snížená",J330,0)</f>
        <v>0</v>
      </c>
      <c r="EO330" s="137">
        <f>IF(CV330="zákl. přenesená",J330,0)</f>
        <v>0</v>
      </c>
      <c r="EP330" s="137">
        <f>IF(CV330="sníž. přenesená",J330,0)</f>
        <v>0</v>
      </c>
      <c r="EQ330" s="137">
        <f>IF(CV330="nulová",J330,0)</f>
        <v>0</v>
      </c>
      <c r="ER330" s="16" t="s">
        <v>81</v>
      </c>
      <c r="ES330" s="137">
        <f>ROUND(I330*H330,2)</f>
        <v>1787.32</v>
      </c>
      <c r="ET330" s="16" t="s">
        <v>95</v>
      </c>
      <c r="EU330" s="136" t="s">
        <v>700</v>
      </c>
    </row>
    <row r="331" spans="2:151" s="1" customFormat="1" ht="19.5" x14ac:dyDescent="0.2">
      <c r="B331" s="31"/>
      <c r="D331" s="138" t="s">
        <v>289</v>
      </c>
      <c r="F331" s="139" t="s">
        <v>701</v>
      </c>
      <c r="I331" s="140"/>
      <c r="L331" s="31"/>
      <c r="N331" s="213">
        <f>0.917*44.156</f>
        <v>40.491052000000003</v>
      </c>
      <c r="O331" s="214" t="s">
        <v>3903</v>
      </c>
      <c r="Q331" s="229"/>
      <c r="CU331" s="141"/>
      <c r="DB331" s="50"/>
      <c r="EB331" s="16" t="s">
        <v>289</v>
      </c>
      <c r="EC331" s="16" t="s">
        <v>83</v>
      </c>
    </row>
    <row r="332" spans="2:151" s="12" customFormat="1" x14ac:dyDescent="0.2">
      <c r="B332" s="149"/>
      <c r="D332" s="138" t="s">
        <v>301</v>
      </c>
      <c r="E332" s="150" t="s">
        <v>1</v>
      </c>
      <c r="F332" s="151" t="s">
        <v>1348</v>
      </c>
      <c r="H332" s="152">
        <v>40.716000000000001</v>
      </c>
      <c r="I332" s="153"/>
      <c r="L332" s="149"/>
      <c r="N332" s="310">
        <f>N331-H334</f>
        <v>-3.6649479999999954</v>
      </c>
      <c r="O332" s="218"/>
      <c r="Q332" s="231"/>
      <c r="CU332" s="154"/>
      <c r="DB332" s="155"/>
      <c r="EB332" s="150" t="s">
        <v>301</v>
      </c>
      <c r="EC332" s="150" t="s">
        <v>83</v>
      </c>
      <c r="ED332" s="12" t="s">
        <v>83</v>
      </c>
      <c r="EE332" s="12" t="s">
        <v>32</v>
      </c>
      <c r="EF332" s="12" t="s">
        <v>74</v>
      </c>
      <c r="EG332" s="150" t="s">
        <v>282</v>
      </c>
    </row>
    <row r="333" spans="2:151" s="12" customFormat="1" x14ac:dyDescent="0.2">
      <c r="B333" s="149"/>
      <c r="D333" s="138" t="s">
        <v>301</v>
      </c>
      <c r="E333" s="150" t="s">
        <v>1</v>
      </c>
      <c r="F333" s="151" t="s">
        <v>1349</v>
      </c>
      <c r="H333" s="152">
        <v>3.44</v>
      </c>
      <c r="I333" s="153"/>
      <c r="L333" s="149"/>
      <c r="N333" s="217"/>
      <c r="O333" s="218"/>
      <c r="Q333" s="231"/>
      <c r="CU333" s="154"/>
      <c r="DB333" s="155"/>
      <c r="EB333" s="150" t="s">
        <v>301</v>
      </c>
      <c r="EC333" s="150" t="s">
        <v>83</v>
      </c>
      <c r="ED333" s="12" t="s">
        <v>83</v>
      </c>
      <c r="EE333" s="12" t="s">
        <v>32</v>
      </c>
      <c r="EF333" s="12" t="s">
        <v>74</v>
      </c>
      <c r="EG333" s="150" t="s">
        <v>282</v>
      </c>
    </row>
    <row r="334" spans="2:151" s="13" customFormat="1" x14ac:dyDescent="0.2">
      <c r="B334" s="156"/>
      <c r="D334" s="138" t="s">
        <v>301</v>
      </c>
      <c r="E334" s="157" t="s">
        <v>1</v>
      </c>
      <c r="F334" s="158" t="s">
        <v>305</v>
      </c>
      <c r="H334" s="159">
        <v>44.155999999999999</v>
      </c>
      <c r="I334" s="160"/>
      <c r="L334" s="156"/>
      <c r="N334" s="219"/>
      <c r="O334" s="220"/>
      <c r="Q334" s="232"/>
      <c r="CU334" s="161"/>
      <c r="DB334" s="162"/>
      <c r="EB334" s="157" t="s">
        <v>301</v>
      </c>
      <c r="EC334" s="157" t="s">
        <v>83</v>
      </c>
      <c r="ED334" s="13" t="s">
        <v>95</v>
      </c>
      <c r="EE334" s="13" t="s">
        <v>32</v>
      </c>
      <c r="EF334" s="13" t="s">
        <v>81</v>
      </c>
      <c r="EG334" s="157" t="s">
        <v>282</v>
      </c>
    </row>
    <row r="335" spans="2:151" s="1" customFormat="1" ht="24.2" customHeight="1" x14ac:dyDescent="0.2">
      <c r="B335" s="124"/>
      <c r="C335" s="125" t="s">
        <v>556</v>
      </c>
      <c r="D335" s="125" t="s">
        <v>284</v>
      </c>
      <c r="E335" s="126" t="s">
        <v>705</v>
      </c>
      <c r="F335" s="127" t="s">
        <v>706</v>
      </c>
      <c r="G335" s="128" t="s">
        <v>418</v>
      </c>
      <c r="H335" s="129">
        <v>618.18399999999997</v>
      </c>
      <c r="I335" s="130">
        <v>3.1192340975392101</v>
      </c>
      <c r="J335" s="131">
        <f>ROUND(I335*H335,2)</f>
        <v>1928.26</v>
      </c>
      <c r="K335" s="127" t="s">
        <v>293</v>
      </c>
      <c r="L335" s="268">
        <f>S335</f>
        <v>0</v>
      </c>
      <c r="M335" s="272">
        <f>ROUND(L335*I335,2)</f>
        <v>0</v>
      </c>
      <c r="N335" s="243">
        <f>N337</f>
        <v>-51.309271999999964</v>
      </c>
      <c r="O335" s="294">
        <f>ROUND(N335*I335,2)</f>
        <v>-160.05000000000001</v>
      </c>
      <c r="P335" s="273">
        <f>H335-L335-N335</f>
        <v>669.49327199999993</v>
      </c>
      <c r="Q335" s="287">
        <f>ROUND(P335*I335,2)</f>
        <v>2088.31</v>
      </c>
      <c r="R335" s="137"/>
      <c r="S335" s="269">
        <f>W335+Y335+AA335+AC335+AE335+AG335+AI335+AK335+AM335</f>
        <v>0</v>
      </c>
      <c r="T335" s="269">
        <f>ROUND(S335*I335,2)</f>
        <v>0</v>
      </c>
      <c r="U335" s="269">
        <f>H335-S335</f>
        <v>618.18399999999997</v>
      </c>
      <c r="V335" s="269">
        <f>ROUND(U335*I335,2)</f>
        <v>1928.26</v>
      </c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  <c r="AL335" s="269"/>
      <c r="AM335" s="269"/>
      <c r="AN335" s="269"/>
      <c r="CU335" s="132" t="s">
        <v>1</v>
      </c>
      <c r="CV335" s="133" t="s">
        <v>40</v>
      </c>
      <c r="CX335" s="134">
        <f>CW335*H335</f>
        <v>0</v>
      </c>
      <c r="CY335" s="134">
        <v>0</v>
      </c>
      <c r="CZ335" s="134">
        <f>CY335*H335</f>
        <v>0</v>
      </c>
      <c r="DA335" s="134">
        <v>0</v>
      </c>
      <c r="DB335" s="135">
        <f>DA335*H335</f>
        <v>0</v>
      </c>
      <c r="DZ335" s="136" t="s">
        <v>95</v>
      </c>
      <c r="EB335" s="136" t="s">
        <v>284</v>
      </c>
      <c r="EC335" s="136" t="s">
        <v>83</v>
      </c>
      <c r="EG335" s="16" t="s">
        <v>282</v>
      </c>
      <c r="EM335" s="137">
        <f>IF(CV335="základní",J335,0)</f>
        <v>1928.26</v>
      </c>
      <c r="EN335" s="137">
        <f>IF(CV335="snížená",J335,0)</f>
        <v>0</v>
      </c>
      <c r="EO335" s="137">
        <f>IF(CV335="zákl. přenesená",J335,0)</f>
        <v>0</v>
      </c>
      <c r="EP335" s="137">
        <f>IF(CV335="sníž. přenesená",J335,0)</f>
        <v>0</v>
      </c>
      <c r="EQ335" s="137">
        <f>IF(CV335="nulová",J335,0)</f>
        <v>0</v>
      </c>
      <c r="ER335" s="16" t="s">
        <v>81</v>
      </c>
      <c r="ES335" s="137">
        <f>ROUND(I335*H335,2)</f>
        <v>1928.26</v>
      </c>
      <c r="ET335" s="16" t="s">
        <v>95</v>
      </c>
      <c r="EU335" s="136" t="s">
        <v>707</v>
      </c>
    </row>
    <row r="336" spans="2:151" s="1" customFormat="1" ht="29.25" x14ac:dyDescent="0.2">
      <c r="B336" s="31"/>
      <c r="D336" s="138" t="s">
        <v>289</v>
      </c>
      <c r="F336" s="139" t="s">
        <v>708</v>
      </c>
      <c r="I336" s="140"/>
      <c r="L336" s="31"/>
      <c r="N336" s="213">
        <f>0.917*618.184</f>
        <v>566.874728</v>
      </c>
      <c r="O336" s="214" t="s">
        <v>3904</v>
      </c>
      <c r="Q336" s="229"/>
      <c r="CU336" s="141"/>
      <c r="DB336" s="50"/>
      <c r="EB336" s="16" t="s">
        <v>289</v>
      </c>
      <c r="EC336" s="16" t="s">
        <v>83</v>
      </c>
    </row>
    <row r="337" spans="2:151" s="12" customFormat="1" x14ac:dyDescent="0.2">
      <c r="B337" s="149"/>
      <c r="D337" s="138" t="s">
        <v>301</v>
      </c>
      <c r="E337" s="150" t="s">
        <v>1</v>
      </c>
      <c r="F337" s="151" t="s">
        <v>1348</v>
      </c>
      <c r="H337" s="152">
        <v>40.716000000000001</v>
      </c>
      <c r="I337" s="153"/>
      <c r="L337" s="149"/>
      <c r="N337" s="310">
        <f>N336-H340</f>
        <v>-51.309271999999964</v>
      </c>
      <c r="O337" s="218"/>
      <c r="Q337" s="231"/>
      <c r="CU337" s="154"/>
      <c r="DB337" s="155"/>
      <c r="EB337" s="150" t="s">
        <v>301</v>
      </c>
      <c r="EC337" s="150" t="s">
        <v>83</v>
      </c>
      <c r="ED337" s="12" t="s">
        <v>83</v>
      </c>
      <c r="EE337" s="12" t="s">
        <v>32</v>
      </c>
      <c r="EF337" s="12" t="s">
        <v>74</v>
      </c>
      <c r="EG337" s="150" t="s">
        <v>282</v>
      </c>
    </row>
    <row r="338" spans="2:151" s="12" customFormat="1" x14ac:dyDescent="0.2">
      <c r="B338" s="149"/>
      <c r="D338" s="138" t="s">
        <v>301</v>
      </c>
      <c r="E338" s="150" t="s">
        <v>1</v>
      </c>
      <c r="F338" s="151" t="s">
        <v>1349</v>
      </c>
      <c r="H338" s="152">
        <v>3.44</v>
      </c>
      <c r="I338" s="153"/>
      <c r="L338" s="149"/>
      <c r="N338" s="217"/>
      <c r="O338" s="218"/>
      <c r="Q338" s="231"/>
      <c r="CU338" s="154"/>
      <c r="DB338" s="155"/>
      <c r="EB338" s="150" t="s">
        <v>301</v>
      </c>
      <c r="EC338" s="150" t="s">
        <v>83</v>
      </c>
      <c r="ED338" s="12" t="s">
        <v>83</v>
      </c>
      <c r="EE338" s="12" t="s">
        <v>32</v>
      </c>
      <c r="EF338" s="12" t="s">
        <v>74</v>
      </c>
      <c r="EG338" s="150" t="s">
        <v>282</v>
      </c>
    </row>
    <row r="339" spans="2:151" s="13" customFormat="1" x14ac:dyDescent="0.2">
      <c r="B339" s="156"/>
      <c r="D339" s="138" t="s">
        <v>301</v>
      </c>
      <c r="E339" s="157" t="s">
        <v>1</v>
      </c>
      <c r="F339" s="158" t="s">
        <v>305</v>
      </c>
      <c r="H339" s="159">
        <v>44.155999999999999</v>
      </c>
      <c r="I339" s="160"/>
      <c r="L339" s="156"/>
      <c r="N339" s="219"/>
      <c r="O339" s="220"/>
      <c r="Q339" s="232"/>
      <c r="CU339" s="161"/>
      <c r="DB339" s="162"/>
      <c r="EB339" s="157" t="s">
        <v>301</v>
      </c>
      <c r="EC339" s="157" t="s">
        <v>83</v>
      </c>
      <c r="ED339" s="13" t="s">
        <v>95</v>
      </c>
      <c r="EE339" s="13" t="s">
        <v>32</v>
      </c>
      <c r="EF339" s="13" t="s">
        <v>81</v>
      </c>
      <c r="EG339" s="157" t="s">
        <v>282</v>
      </c>
    </row>
    <row r="340" spans="2:151" s="12" customFormat="1" x14ac:dyDescent="0.2">
      <c r="B340" s="149"/>
      <c r="D340" s="138" t="s">
        <v>301</v>
      </c>
      <c r="F340" s="151" t="s">
        <v>1350</v>
      </c>
      <c r="H340" s="152">
        <v>618.18399999999997</v>
      </c>
      <c r="I340" s="153"/>
      <c r="L340" s="149"/>
      <c r="N340" s="217"/>
      <c r="O340" s="218"/>
      <c r="Q340" s="231"/>
      <c r="CU340" s="154"/>
      <c r="DB340" s="155"/>
      <c r="EB340" s="150" t="s">
        <v>301</v>
      </c>
      <c r="EC340" s="150" t="s">
        <v>83</v>
      </c>
      <c r="ED340" s="12" t="s">
        <v>83</v>
      </c>
      <c r="EE340" s="12" t="s">
        <v>3</v>
      </c>
      <c r="EF340" s="12" t="s">
        <v>81</v>
      </c>
      <c r="EG340" s="150" t="s">
        <v>282</v>
      </c>
    </row>
    <row r="341" spans="2:151" s="1" customFormat="1" ht="24.2" customHeight="1" x14ac:dyDescent="0.2">
      <c r="B341" s="124"/>
      <c r="C341" s="125" t="s">
        <v>562</v>
      </c>
      <c r="D341" s="125" t="s">
        <v>284</v>
      </c>
      <c r="E341" s="126" t="s">
        <v>711</v>
      </c>
      <c r="F341" s="127" t="s">
        <v>712</v>
      </c>
      <c r="G341" s="128" t="s">
        <v>418</v>
      </c>
      <c r="H341" s="129">
        <v>44.155999999999999</v>
      </c>
      <c r="I341" s="130">
        <v>155.98322812074767</v>
      </c>
      <c r="J341" s="131">
        <f>ROUND(I341*H341,2)</f>
        <v>6887.6</v>
      </c>
      <c r="K341" s="127" t="s">
        <v>293</v>
      </c>
      <c r="L341" s="268">
        <f>S341</f>
        <v>0</v>
      </c>
      <c r="M341" s="272">
        <f>ROUND(L341*I341,2)</f>
        <v>0</v>
      </c>
      <c r="N341" s="243">
        <f>N330</f>
        <v>-3.6649479999999954</v>
      </c>
      <c r="O341" s="294">
        <f>ROUND(N341*I341,2)</f>
        <v>-571.66999999999996</v>
      </c>
      <c r="P341" s="273">
        <f>H341-L341-N341</f>
        <v>47.820947999999994</v>
      </c>
      <c r="Q341" s="287">
        <f>ROUND(P341*I341,2)</f>
        <v>7459.27</v>
      </c>
      <c r="R341" s="137"/>
      <c r="S341" s="269">
        <f>W341+Y341+AA341+AC341+AE341+AG341+AI341+AK341+AM341</f>
        <v>0</v>
      </c>
      <c r="T341" s="269">
        <f>ROUND(S341*I341,2)</f>
        <v>0</v>
      </c>
      <c r="U341" s="269">
        <f>H341-S341</f>
        <v>44.155999999999999</v>
      </c>
      <c r="V341" s="269">
        <f>ROUND(U341*I341,2)</f>
        <v>6887.6</v>
      </c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CU341" s="132" t="s">
        <v>1</v>
      </c>
      <c r="CV341" s="133" t="s">
        <v>40</v>
      </c>
      <c r="CX341" s="134">
        <f>CW341*H341</f>
        <v>0</v>
      </c>
      <c r="CY341" s="134">
        <v>0</v>
      </c>
      <c r="CZ341" s="134">
        <f>CY341*H341</f>
        <v>0</v>
      </c>
      <c r="DA341" s="134">
        <v>0</v>
      </c>
      <c r="DB341" s="135">
        <f>DA341*H341</f>
        <v>0</v>
      </c>
      <c r="DZ341" s="136" t="s">
        <v>95</v>
      </c>
      <c r="EB341" s="136" t="s">
        <v>284</v>
      </c>
      <c r="EC341" s="136" t="s">
        <v>83</v>
      </c>
      <c r="EG341" s="16" t="s">
        <v>282</v>
      </c>
      <c r="EM341" s="137">
        <f>IF(CV341="základní",J341,0)</f>
        <v>6887.6</v>
      </c>
      <c r="EN341" s="137">
        <f>IF(CV341="snížená",J341,0)</f>
        <v>0</v>
      </c>
      <c r="EO341" s="137">
        <f>IF(CV341="zákl. přenesená",J341,0)</f>
        <v>0</v>
      </c>
      <c r="EP341" s="137">
        <f>IF(CV341="sníž. přenesená",J341,0)</f>
        <v>0</v>
      </c>
      <c r="EQ341" s="137">
        <f>IF(CV341="nulová",J341,0)</f>
        <v>0</v>
      </c>
      <c r="ER341" s="16" t="s">
        <v>81</v>
      </c>
      <c r="ES341" s="137">
        <f>ROUND(I341*H341,2)</f>
        <v>6887.6</v>
      </c>
      <c r="ET341" s="16" t="s">
        <v>95</v>
      </c>
      <c r="EU341" s="136" t="s">
        <v>713</v>
      </c>
    </row>
    <row r="342" spans="2:151" s="1" customFormat="1" x14ac:dyDescent="0.2">
      <c r="B342" s="31"/>
      <c r="D342" s="138" t="s">
        <v>289</v>
      </c>
      <c r="F342" s="139" t="s">
        <v>714</v>
      </c>
      <c r="I342" s="140"/>
      <c r="L342" s="31"/>
      <c r="N342" s="213"/>
      <c r="O342" s="214"/>
      <c r="Q342" s="229"/>
      <c r="CU342" s="141"/>
      <c r="DB342" s="50"/>
      <c r="EB342" s="16" t="s">
        <v>289</v>
      </c>
      <c r="EC342" s="16" t="s">
        <v>83</v>
      </c>
    </row>
    <row r="343" spans="2:151" s="1" customFormat="1" ht="37.9" customHeight="1" x14ac:dyDescent="0.2">
      <c r="B343" s="124"/>
      <c r="C343" s="125" t="s">
        <v>568</v>
      </c>
      <c r="D343" s="125" t="s">
        <v>284</v>
      </c>
      <c r="E343" s="126" t="s">
        <v>716</v>
      </c>
      <c r="F343" s="127" t="s">
        <v>420</v>
      </c>
      <c r="G343" s="128" t="s">
        <v>418</v>
      </c>
      <c r="H343" s="129">
        <v>40.716000000000001</v>
      </c>
      <c r="I343" s="130">
        <v>110.6455721</v>
      </c>
      <c r="J343" s="131">
        <f>ROUND(I343*H343,2)</f>
        <v>4505.05</v>
      </c>
      <c r="K343" s="127" t="s">
        <v>293</v>
      </c>
      <c r="L343" s="268">
        <f>S343</f>
        <v>0</v>
      </c>
      <c r="M343" s="272">
        <f>ROUND(L343*I343,2)</f>
        <v>0</v>
      </c>
      <c r="N343" s="243">
        <f>N345</f>
        <v>-3.3794279999999972</v>
      </c>
      <c r="O343" s="294">
        <f>ROUND(N343*I343,2)</f>
        <v>-373.92</v>
      </c>
      <c r="P343" s="273">
        <f>H343-L343-N343</f>
        <v>44.095427999999998</v>
      </c>
      <c r="Q343" s="287">
        <f>ROUND(P343*I343,2)</f>
        <v>4878.96</v>
      </c>
      <c r="R343" s="137"/>
      <c r="S343" s="269">
        <f>W343+Y343+AA343+AC343+AE343+AG343+AI343+AK343+AM343</f>
        <v>0</v>
      </c>
      <c r="T343" s="269">
        <f>ROUND(S343*I343,2)</f>
        <v>0</v>
      </c>
      <c r="U343" s="269">
        <f>H343-S343</f>
        <v>40.716000000000001</v>
      </c>
      <c r="V343" s="269">
        <f>ROUND(U343*I343,2)</f>
        <v>4505.05</v>
      </c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I343" s="269"/>
      <c r="AJ343" s="269"/>
      <c r="AK343" s="269"/>
      <c r="AL343" s="269"/>
      <c r="AM343" s="269"/>
      <c r="AN343" s="269"/>
      <c r="CU343" s="132" t="s">
        <v>1</v>
      </c>
      <c r="CV343" s="133" t="s">
        <v>40</v>
      </c>
      <c r="CX343" s="134">
        <f>CW343*H343</f>
        <v>0</v>
      </c>
      <c r="CY343" s="134">
        <v>0</v>
      </c>
      <c r="CZ343" s="134">
        <f>CY343*H343</f>
        <v>0</v>
      </c>
      <c r="DA343" s="134">
        <v>0</v>
      </c>
      <c r="DB343" s="135">
        <f>DA343*H343</f>
        <v>0</v>
      </c>
      <c r="DZ343" s="136" t="s">
        <v>95</v>
      </c>
      <c r="EB343" s="136" t="s">
        <v>284</v>
      </c>
      <c r="EC343" s="136" t="s">
        <v>83</v>
      </c>
      <c r="EG343" s="16" t="s">
        <v>282</v>
      </c>
      <c r="EM343" s="137">
        <f>IF(CV343="základní",J343,0)</f>
        <v>4505.05</v>
      </c>
      <c r="EN343" s="137">
        <f>IF(CV343="snížená",J343,0)</f>
        <v>0</v>
      </c>
      <c r="EO343" s="137">
        <f>IF(CV343="zákl. přenesená",J343,0)</f>
        <v>0</v>
      </c>
      <c r="EP343" s="137">
        <f>IF(CV343="sníž. přenesená",J343,0)</f>
        <v>0</v>
      </c>
      <c r="EQ343" s="137">
        <f>IF(CV343="nulová",J343,0)</f>
        <v>0</v>
      </c>
      <c r="ER343" s="16" t="s">
        <v>81</v>
      </c>
      <c r="ES343" s="137">
        <f>ROUND(I343*H343,2)</f>
        <v>4505.05</v>
      </c>
      <c r="ET343" s="16" t="s">
        <v>95</v>
      </c>
      <c r="EU343" s="136" t="s">
        <v>717</v>
      </c>
    </row>
    <row r="344" spans="2:151" s="1" customFormat="1" ht="29.25" x14ac:dyDescent="0.2">
      <c r="B344" s="31"/>
      <c r="D344" s="138" t="s">
        <v>289</v>
      </c>
      <c r="F344" s="139" t="s">
        <v>420</v>
      </c>
      <c r="I344" s="140"/>
      <c r="L344" s="31"/>
      <c r="N344" s="213">
        <f>0.917*40.716</f>
        <v>37.336572000000004</v>
      </c>
      <c r="O344" s="214" t="s">
        <v>3905</v>
      </c>
      <c r="Q344" s="229"/>
      <c r="CU344" s="141"/>
      <c r="DB344" s="50"/>
      <c r="EB344" s="16" t="s">
        <v>289</v>
      </c>
      <c r="EC344" s="16" t="s">
        <v>83</v>
      </c>
    </row>
    <row r="345" spans="2:151" s="12" customFormat="1" x14ac:dyDescent="0.2">
      <c r="B345" s="149"/>
      <c r="D345" s="138" t="s">
        <v>301</v>
      </c>
      <c r="E345" s="150" t="s">
        <v>1</v>
      </c>
      <c r="F345" s="151" t="s">
        <v>1348</v>
      </c>
      <c r="H345" s="152">
        <v>40.716000000000001</v>
      </c>
      <c r="I345" s="153"/>
      <c r="L345" s="149"/>
      <c r="N345" s="310">
        <f>N344-H345</f>
        <v>-3.3794279999999972</v>
      </c>
      <c r="O345" s="218"/>
      <c r="Q345" s="231"/>
      <c r="CU345" s="154"/>
      <c r="DB345" s="155"/>
      <c r="EB345" s="150" t="s">
        <v>301</v>
      </c>
      <c r="EC345" s="150" t="s">
        <v>83</v>
      </c>
      <c r="ED345" s="12" t="s">
        <v>83</v>
      </c>
      <c r="EE345" s="12" t="s">
        <v>32</v>
      </c>
      <c r="EF345" s="12" t="s">
        <v>81</v>
      </c>
      <c r="EG345" s="150" t="s">
        <v>282</v>
      </c>
    </row>
    <row r="346" spans="2:151" s="1" customFormat="1" ht="37.9" customHeight="1" x14ac:dyDescent="0.2">
      <c r="B346" s="124"/>
      <c r="C346" s="125" t="s">
        <v>572</v>
      </c>
      <c r="D346" s="125" t="s">
        <v>284</v>
      </c>
      <c r="E346" s="126" t="s">
        <v>719</v>
      </c>
      <c r="F346" s="127" t="s">
        <v>720</v>
      </c>
      <c r="G346" s="128" t="s">
        <v>418</v>
      </c>
      <c r="H346" s="129">
        <v>3.44</v>
      </c>
      <c r="I346" s="130">
        <v>250.3439285</v>
      </c>
      <c r="J346" s="131">
        <f>ROUND(I346*H346,2)</f>
        <v>861.18</v>
      </c>
      <c r="K346" s="127" t="s">
        <v>293</v>
      </c>
      <c r="L346" s="268">
        <f>S346</f>
        <v>0</v>
      </c>
      <c r="M346" s="272">
        <f>ROUND(L346*I346,2)</f>
        <v>0</v>
      </c>
      <c r="N346" s="243">
        <f>N348</f>
        <v>-0.28552</v>
      </c>
      <c r="O346" s="294">
        <f>ROUND(N346*I346,2)</f>
        <v>-71.48</v>
      </c>
      <c r="P346" s="273">
        <f>H346-L346-N346</f>
        <v>3.7255199999999999</v>
      </c>
      <c r="Q346" s="287">
        <f>ROUND(P346*I346,2)</f>
        <v>932.66</v>
      </c>
      <c r="R346" s="137"/>
      <c r="S346" s="269">
        <f>W346+Y346+AA346+AC346+AE346+AG346+AI346+AK346+AM346</f>
        <v>0</v>
      </c>
      <c r="T346" s="269">
        <f>ROUND(S346*I346,2)</f>
        <v>0</v>
      </c>
      <c r="U346" s="269">
        <f>H346-S346</f>
        <v>3.44</v>
      </c>
      <c r="V346" s="269">
        <f>ROUND(U346*I346,2)</f>
        <v>861.18</v>
      </c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CU346" s="132" t="s">
        <v>1</v>
      </c>
      <c r="CV346" s="133" t="s">
        <v>40</v>
      </c>
      <c r="CX346" s="134">
        <f>CW346*H346</f>
        <v>0</v>
      </c>
      <c r="CY346" s="134">
        <v>0</v>
      </c>
      <c r="CZ346" s="134">
        <f>CY346*H346</f>
        <v>0</v>
      </c>
      <c r="DA346" s="134">
        <v>0</v>
      </c>
      <c r="DB346" s="135">
        <f>DA346*H346</f>
        <v>0</v>
      </c>
      <c r="DZ346" s="136" t="s">
        <v>95</v>
      </c>
      <c r="EB346" s="136" t="s">
        <v>284</v>
      </c>
      <c r="EC346" s="136" t="s">
        <v>83</v>
      </c>
      <c r="EG346" s="16" t="s">
        <v>282</v>
      </c>
      <c r="EM346" s="137">
        <f>IF(CV346="základní",J346,0)</f>
        <v>861.18</v>
      </c>
      <c r="EN346" s="137">
        <f>IF(CV346="snížená",J346,0)</f>
        <v>0</v>
      </c>
      <c r="EO346" s="137">
        <f>IF(CV346="zákl. přenesená",J346,0)</f>
        <v>0</v>
      </c>
      <c r="EP346" s="137">
        <f>IF(CV346="sníž. přenesená",J346,0)</f>
        <v>0</v>
      </c>
      <c r="EQ346" s="137">
        <f>IF(CV346="nulová",J346,0)</f>
        <v>0</v>
      </c>
      <c r="ER346" s="16" t="s">
        <v>81</v>
      </c>
      <c r="ES346" s="137">
        <f>ROUND(I346*H346,2)</f>
        <v>861.18</v>
      </c>
      <c r="ET346" s="16" t="s">
        <v>95</v>
      </c>
      <c r="EU346" s="136" t="s">
        <v>721</v>
      </c>
    </row>
    <row r="347" spans="2:151" s="1" customFormat="1" ht="29.25" x14ac:dyDescent="0.2">
      <c r="B347" s="31"/>
      <c r="D347" s="138" t="s">
        <v>289</v>
      </c>
      <c r="F347" s="139" t="s">
        <v>720</v>
      </c>
      <c r="I347" s="140"/>
      <c r="L347" s="31"/>
      <c r="N347" s="213">
        <f>0.917*3.44</f>
        <v>3.15448</v>
      </c>
      <c r="O347" s="214" t="s">
        <v>3906</v>
      </c>
      <c r="Q347" s="229"/>
      <c r="CU347" s="141"/>
      <c r="DB347" s="50"/>
      <c r="EB347" s="16" t="s">
        <v>289</v>
      </c>
      <c r="EC347" s="16" t="s">
        <v>83</v>
      </c>
    </row>
    <row r="348" spans="2:151" s="12" customFormat="1" x14ac:dyDescent="0.2">
      <c r="B348" s="149"/>
      <c r="D348" s="138" t="s">
        <v>301</v>
      </c>
      <c r="E348" s="150" t="s">
        <v>1</v>
      </c>
      <c r="F348" s="151" t="s">
        <v>1349</v>
      </c>
      <c r="H348" s="152">
        <v>3.44</v>
      </c>
      <c r="I348" s="153"/>
      <c r="L348" s="149"/>
      <c r="N348" s="310">
        <f>N347-H348</f>
        <v>-0.28552</v>
      </c>
      <c r="O348" s="218"/>
      <c r="Q348" s="231"/>
      <c r="CU348" s="154"/>
      <c r="DB348" s="155"/>
      <c r="EB348" s="150" t="s">
        <v>301</v>
      </c>
      <c r="EC348" s="150" t="s">
        <v>83</v>
      </c>
      <c r="ED348" s="12" t="s">
        <v>83</v>
      </c>
      <c r="EE348" s="12" t="s">
        <v>32</v>
      </c>
      <c r="EF348" s="12" t="s">
        <v>81</v>
      </c>
      <c r="EG348" s="150" t="s">
        <v>282</v>
      </c>
    </row>
    <row r="349" spans="2:151" s="10" customFormat="1" ht="22.9" customHeight="1" x14ac:dyDescent="0.2">
      <c r="B349" s="112"/>
      <c r="D349" s="113" t="s">
        <v>73</v>
      </c>
      <c r="E349" s="122" t="s">
        <v>722</v>
      </c>
      <c r="F349" s="122" t="s">
        <v>723</v>
      </c>
      <c r="I349" s="115"/>
      <c r="J349" s="123">
        <f>ES349</f>
        <v>8782.7099999999991</v>
      </c>
      <c r="L349" s="112"/>
      <c r="M349" s="291">
        <f>M350</f>
        <v>0</v>
      </c>
      <c r="N349" s="295"/>
      <c r="O349" s="296">
        <f t="shared" ref="O349:V349" si="8">O350</f>
        <v>-728.97</v>
      </c>
      <c r="P349" s="291"/>
      <c r="Q349" s="298">
        <f t="shared" si="8"/>
        <v>9511.68</v>
      </c>
      <c r="R349" s="291"/>
      <c r="S349" s="291"/>
      <c r="T349" s="291">
        <f t="shared" si="8"/>
        <v>0</v>
      </c>
      <c r="U349" s="291"/>
      <c r="V349" s="291">
        <f t="shared" si="8"/>
        <v>8782.7099999999991</v>
      </c>
      <c r="CU349" s="117"/>
      <c r="CX349" s="118">
        <f>SUM(CX350:CX353)</f>
        <v>0</v>
      </c>
      <c r="CZ349" s="118">
        <f>SUM(CZ350:CZ353)</f>
        <v>0</v>
      </c>
      <c r="DB349" s="119">
        <f>SUM(DB350:DB353)</f>
        <v>0</v>
      </c>
      <c r="DZ349" s="113" t="s">
        <v>81</v>
      </c>
      <c r="EB349" s="120" t="s">
        <v>73</v>
      </c>
      <c r="EC349" s="120" t="s">
        <v>81</v>
      </c>
      <c r="EG349" s="113" t="s">
        <v>282</v>
      </c>
      <c r="ES349" s="121">
        <f>SUM(ES350:ES353)</f>
        <v>8782.7099999999991</v>
      </c>
    </row>
    <row r="350" spans="2:151" s="1" customFormat="1" ht="24.2" customHeight="1" x14ac:dyDescent="0.2">
      <c r="B350" s="124"/>
      <c r="C350" s="125" t="s">
        <v>576</v>
      </c>
      <c r="D350" s="125" t="s">
        <v>284</v>
      </c>
      <c r="E350" s="126" t="s">
        <v>725</v>
      </c>
      <c r="F350" s="127" t="s">
        <v>726</v>
      </c>
      <c r="G350" s="128" t="s">
        <v>418</v>
      </c>
      <c r="H350" s="129">
        <v>9.7070000000000007</v>
      </c>
      <c r="I350" s="130">
        <v>904.78117744148574</v>
      </c>
      <c r="J350" s="131">
        <f>ROUND(I350*H350,2)</f>
        <v>8782.7099999999991</v>
      </c>
      <c r="K350" s="127" t="s">
        <v>293</v>
      </c>
      <c r="L350" s="268">
        <f>S350</f>
        <v>0</v>
      </c>
      <c r="M350" s="272">
        <f>ROUND(L350*I350,2)</f>
        <v>0</v>
      </c>
      <c r="N350" s="243">
        <f>N352</f>
        <v>-0.80568099999999987</v>
      </c>
      <c r="O350" s="294">
        <f>ROUND(N350*I350,2)</f>
        <v>-728.97</v>
      </c>
      <c r="P350" s="273">
        <f>H350-L350-N350</f>
        <v>10.512681000000001</v>
      </c>
      <c r="Q350" s="287">
        <f>ROUND(P350*I350,2)</f>
        <v>9511.68</v>
      </c>
      <c r="R350" s="137"/>
      <c r="S350" s="269">
        <f>W350+Y350+AA350+AC350+AE350+AG350+AI350+AK350+AM350</f>
        <v>0</v>
      </c>
      <c r="T350" s="269">
        <f>ROUND(S350*I350,2)</f>
        <v>0</v>
      </c>
      <c r="U350" s="269">
        <f>H350-S350</f>
        <v>9.7070000000000007</v>
      </c>
      <c r="V350" s="269">
        <f>ROUND(U350*I350,2)</f>
        <v>8782.7099999999991</v>
      </c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AI350" s="269"/>
      <c r="AJ350" s="269"/>
      <c r="AK350" s="269"/>
      <c r="AL350" s="269"/>
      <c r="AM350" s="269"/>
      <c r="AN350" s="269"/>
      <c r="CU350" s="132" t="s">
        <v>1</v>
      </c>
      <c r="CV350" s="133" t="s">
        <v>40</v>
      </c>
      <c r="CX350" s="134">
        <f>CW350*H350</f>
        <v>0</v>
      </c>
      <c r="CY350" s="134">
        <v>0</v>
      </c>
      <c r="CZ350" s="134">
        <f>CY350*H350</f>
        <v>0</v>
      </c>
      <c r="DA350" s="134">
        <v>0</v>
      </c>
      <c r="DB350" s="135">
        <f>DA350*H350</f>
        <v>0</v>
      </c>
      <c r="DZ350" s="136" t="s">
        <v>95</v>
      </c>
      <c r="EB350" s="136" t="s">
        <v>284</v>
      </c>
      <c r="EC350" s="136" t="s">
        <v>83</v>
      </c>
      <c r="EG350" s="16" t="s">
        <v>282</v>
      </c>
      <c r="EM350" s="137">
        <f>IF(CV350="základní",J350,0)</f>
        <v>8782.7099999999991</v>
      </c>
      <c r="EN350" s="137">
        <f>IF(CV350="snížená",J350,0)</f>
        <v>0</v>
      </c>
      <c r="EO350" s="137">
        <f>IF(CV350="zákl. přenesená",J350,0)</f>
        <v>0</v>
      </c>
      <c r="EP350" s="137">
        <f>IF(CV350="sníž. přenesená",J350,0)</f>
        <v>0</v>
      </c>
      <c r="EQ350" s="137">
        <f>IF(CV350="nulová",J350,0)</f>
        <v>0</v>
      </c>
      <c r="ER350" s="16" t="s">
        <v>81</v>
      </c>
      <c r="ES350" s="137">
        <f>ROUND(I350*H350,2)</f>
        <v>8782.7099999999991</v>
      </c>
      <c r="ET350" s="16" t="s">
        <v>95</v>
      </c>
      <c r="EU350" s="136" t="s">
        <v>1044</v>
      </c>
    </row>
    <row r="351" spans="2:151" s="1" customFormat="1" ht="29.25" x14ac:dyDescent="0.2">
      <c r="B351" s="31"/>
      <c r="D351" s="138" t="s">
        <v>289</v>
      </c>
      <c r="F351" s="139" t="s">
        <v>728</v>
      </c>
      <c r="I351" s="140"/>
      <c r="L351" s="31"/>
      <c r="N351" s="213">
        <f>0.917*9.707</f>
        <v>8.9013190000000009</v>
      </c>
      <c r="O351" s="214" t="s">
        <v>3907</v>
      </c>
      <c r="Q351" s="229"/>
      <c r="CU351" s="141"/>
      <c r="DB351" s="50"/>
      <c r="EB351" s="16" t="s">
        <v>289</v>
      </c>
      <c r="EC351" s="16" t="s">
        <v>83</v>
      </c>
    </row>
    <row r="352" spans="2:151" s="11" customFormat="1" x14ac:dyDescent="0.2">
      <c r="B352" s="143"/>
      <c r="D352" s="138" t="s">
        <v>301</v>
      </c>
      <c r="E352" s="144" t="s">
        <v>1</v>
      </c>
      <c r="F352" s="145" t="s">
        <v>729</v>
      </c>
      <c r="H352" s="144" t="s">
        <v>1</v>
      </c>
      <c r="I352" s="146"/>
      <c r="L352" s="143"/>
      <c r="N352" s="319">
        <f>N351-H353</f>
        <v>-0.80568099999999987</v>
      </c>
      <c r="O352" s="216"/>
      <c r="Q352" s="230"/>
      <c r="CU352" s="147"/>
      <c r="DB352" s="148"/>
      <c r="EB352" s="144" t="s">
        <v>301</v>
      </c>
      <c r="EC352" s="144" t="s">
        <v>83</v>
      </c>
      <c r="ED352" s="11" t="s">
        <v>81</v>
      </c>
      <c r="EE352" s="11" t="s">
        <v>32</v>
      </c>
      <c r="EF352" s="11" t="s">
        <v>74</v>
      </c>
      <c r="EG352" s="144" t="s">
        <v>282</v>
      </c>
    </row>
    <row r="353" spans="2:137" s="12" customFormat="1" x14ac:dyDescent="0.2">
      <c r="B353" s="149"/>
      <c r="D353" s="138" t="s">
        <v>301</v>
      </c>
      <c r="E353" s="150" t="s">
        <v>1</v>
      </c>
      <c r="F353" s="151" t="s">
        <v>1351</v>
      </c>
      <c r="H353" s="152">
        <v>9.7070000000000007</v>
      </c>
      <c r="I353" s="153"/>
      <c r="L353" s="149"/>
      <c r="N353" s="217"/>
      <c r="O353" s="218"/>
      <c r="Q353" s="231"/>
      <c r="CU353" s="179"/>
      <c r="CV353" s="180"/>
      <c r="CW353" s="180"/>
      <c r="CX353" s="180"/>
      <c r="CY353" s="180"/>
      <c r="CZ353" s="180"/>
      <c r="DA353" s="180"/>
      <c r="DB353" s="181"/>
      <c r="EB353" s="150" t="s">
        <v>301</v>
      </c>
      <c r="EC353" s="150" t="s">
        <v>83</v>
      </c>
      <c r="ED353" s="12" t="s">
        <v>83</v>
      </c>
      <c r="EE353" s="12" t="s">
        <v>32</v>
      </c>
      <c r="EF353" s="12" t="s">
        <v>81</v>
      </c>
      <c r="EG353" s="150" t="s">
        <v>282</v>
      </c>
    </row>
    <row r="354" spans="2:137" s="1" customFormat="1" ht="6.95" customHeight="1" thickBot="1" x14ac:dyDescent="0.25">
      <c r="B354" s="43"/>
      <c r="C354" s="44"/>
      <c r="D354" s="44"/>
      <c r="E354" s="44"/>
      <c r="F354" s="44"/>
      <c r="G354" s="44"/>
      <c r="H354" s="44"/>
      <c r="I354" s="44"/>
      <c r="J354" s="44"/>
      <c r="K354" s="44"/>
      <c r="L354" s="235"/>
      <c r="M354" s="237"/>
      <c r="N354" s="239"/>
      <c r="O354" s="240"/>
      <c r="P354" s="238"/>
      <c r="Q354" s="241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</row>
  </sheetData>
  <autoFilter ref="C120:K353"/>
  <mergeCells count="28">
    <mergeCell ref="I119:K119"/>
    <mergeCell ref="E116:H116"/>
    <mergeCell ref="L2:DD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  <mergeCell ref="L120:Q120"/>
    <mergeCell ref="L121:M121"/>
    <mergeCell ref="N121:O121"/>
    <mergeCell ref="P121:Q121"/>
    <mergeCell ref="S121:T121"/>
    <mergeCell ref="W121:X121"/>
    <mergeCell ref="Y121:Z121"/>
    <mergeCell ref="AA121:AB121"/>
    <mergeCell ref="AC121:AD121"/>
    <mergeCell ref="U121:V121"/>
    <mergeCell ref="AE121:AF121"/>
    <mergeCell ref="AG121:AH121"/>
    <mergeCell ref="AI121:AJ121"/>
    <mergeCell ref="AK121:AL121"/>
    <mergeCell ref="AM121:AN121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F352"/>
  <sheetViews>
    <sheetView windowProtection="1" showGridLines="0" topLeftCell="A322" zoomScale="80" zoomScaleNormal="80" workbookViewId="0">
      <selection activeCell="P322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4" width="12.5" customWidth="1"/>
    <col min="15" max="15" width="17.33203125" customWidth="1"/>
    <col min="16" max="16" width="12.5" hidden="1" customWidth="1"/>
    <col min="17" max="17" width="15.6640625" hidden="1" customWidth="1"/>
    <col min="18" max="57" width="12.5" customWidth="1"/>
    <col min="58" max="58" width="10.83203125" customWidth="1"/>
    <col min="60" max="65" width="14.1640625" customWidth="1"/>
    <col min="66" max="66" width="16.33203125" customWidth="1"/>
    <col min="67" max="67" width="12.33203125" customWidth="1"/>
    <col min="68" max="68" width="16.33203125" customWidth="1"/>
    <col min="69" max="69" width="12.33203125" customWidth="1"/>
    <col min="70" max="70" width="15" customWidth="1"/>
    <col min="71" max="71" width="11" customWidth="1"/>
    <col min="72" max="72" width="15" customWidth="1"/>
    <col min="73" max="73" width="16.33203125" customWidth="1"/>
    <col min="74" max="74" width="11" customWidth="1"/>
    <col min="75" max="75" width="15" customWidth="1"/>
    <col min="76" max="76" width="16.33203125" customWidth="1"/>
    <col min="89" max="110" width="9.33203125" hidden="1"/>
  </cols>
  <sheetData>
    <row r="1" spans="2:91" hidden="1" x14ac:dyDescent="0.2"/>
    <row r="2" spans="2:91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CM2" s="16" t="s">
        <v>129</v>
      </c>
    </row>
    <row r="3" spans="2:91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M3" s="16" t="s">
        <v>83</v>
      </c>
    </row>
    <row r="4" spans="2:91" ht="24.95" hidden="1" customHeight="1" x14ac:dyDescent="0.2">
      <c r="B4" s="19"/>
      <c r="D4" s="20" t="s">
        <v>243</v>
      </c>
      <c r="L4" s="19"/>
      <c r="BF4" s="79" t="s">
        <v>10</v>
      </c>
      <c r="CM4" s="16" t="s">
        <v>3</v>
      </c>
    </row>
    <row r="5" spans="2:91" ht="6.95" hidden="1" customHeight="1" x14ac:dyDescent="0.2">
      <c r="B5" s="19"/>
      <c r="L5" s="19"/>
    </row>
    <row r="6" spans="2:91" ht="12" hidden="1" customHeight="1" x14ac:dyDescent="0.2">
      <c r="B6" s="19"/>
      <c r="D6" s="26" t="s">
        <v>16</v>
      </c>
      <c r="L6" s="19"/>
    </row>
    <row r="7" spans="2:91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91" ht="12.75" hidden="1" x14ac:dyDescent="0.2">
      <c r="B8" s="19"/>
      <c r="D8" s="26" t="s">
        <v>244</v>
      </c>
      <c r="L8" s="19"/>
    </row>
    <row r="9" spans="2:91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91" ht="12" hidden="1" customHeight="1" x14ac:dyDescent="0.2">
      <c r="B10" s="19"/>
      <c r="D10" s="26" t="s">
        <v>246</v>
      </c>
      <c r="L10" s="19"/>
    </row>
    <row r="11" spans="2:91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91" s="1" customFormat="1" ht="12" hidden="1" customHeight="1" x14ac:dyDescent="0.2">
      <c r="B12" s="31"/>
      <c r="D12" s="26" t="s">
        <v>248</v>
      </c>
      <c r="L12" s="31"/>
    </row>
    <row r="13" spans="2:91" s="1" customFormat="1" ht="16.5" hidden="1" customHeight="1" x14ac:dyDescent="0.2">
      <c r="B13" s="31"/>
      <c r="E13" s="432" t="s">
        <v>1352</v>
      </c>
      <c r="F13" s="433"/>
      <c r="G13" s="433"/>
      <c r="H13" s="433"/>
      <c r="L13" s="31"/>
    </row>
    <row r="14" spans="2:91" s="1" customFormat="1" hidden="1" x14ac:dyDescent="0.2">
      <c r="B14" s="31"/>
      <c r="L14" s="31"/>
    </row>
    <row r="15" spans="2:91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91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114186.27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ROUND((SUM(CX121:CX351)),  2)</f>
        <v>114186.27</v>
      </c>
      <c r="I37" s="84">
        <v>0.21</v>
      </c>
      <c r="J37" s="71">
        <f>ROUND(((SUM(CX121:CX351))*I37),  2)</f>
        <v>23979.119999999999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ROUND((SUM(CY121:CY351)),  2)</f>
        <v>0</v>
      </c>
      <c r="I38" s="84">
        <v>0.15</v>
      </c>
      <c r="J38" s="71">
        <f>ROUND(((SUM(CY121:CY351))*I38),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ROUND((SUM(CZ121:CZ351)),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ROUND((SUM(DA121:DA351)),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ROUND((SUM(DB121:DB351)),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138165.39000000001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00006 - DSO 01.1.1f Kanalizační odbočení Stoky A4a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92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92" s="1" customFormat="1" ht="10.35" hidden="1" customHeight="1" x14ac:dyDescent="0.2">
      <c r="B98" s="31"/>
      <c r="L98" s="31"/>
    </row>
    <row r="99" spans="2:92" s="1" customFormat="1" ht="22.9" hidden="1" customHeight="1" x14ac:dyDescent="0.2">
      <c r="B99" s="31"/>
      <c r="C99" s="95" t="s">
        <v>256</v>
      </c>
      <c r="J99" s="58">
        <f>J121</f>
        <v>114186.27</v>
      </c>
      <c r="L99" s="31"/>
      <c r="CN99" s="16" t="s">
        <v>257</v>
      </c>
    </row>
    <row r="100" spans="2:92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114186.27</v>
      </c>
      <c r="L100" s="96"/>
    </row>
    <row r="101" spans="2:92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54310.15</v>
      </c>
      <c r="L101" s="100"/>
    </row>
    <row r="102" spans="2:92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J254</f>
        <v>2825.53</v>
      </c>
      <c r="L102" s="100"/>
    </row>
    <row r="103" spans="2:92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J259</f>
        <v>2512.75</v>
      </c>
      <c r="L103" s="100"/>
    </row>
    <row r="104" spans="2:92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J275</f>
        <v>7075.37</v>
      </c>
      <c r="L104" s="100"/>
    </row>
    <row r="105" spans="2:92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J287</f>
        <v>40672.28</v>
      </c>
      <c r="L105" s="100"/>
    </row>
    <row r="106" spans="2:92" s="8" customFormat="1" ht="19.899999999999999" hidden="1" customHeight="1" x14ac:dyDescent="0.2">
      <c r="B106" s="100"/>
      <c r="D106" s="101" t="s">
        <v>265</v>
      </c>
      <c r="E106" s="102"/>
      <c r="F106" s="102"/>
      <c r="G106" s="102"/>
      <c r="H106" s="102"/>
      <c r="I106" s="102"/>
      <c r="J106" s="103">
        <f>J327</f>
        <v>4381.66</v>
      </c>
      <c r="L106" s="100"/>
    </row>
    <row r="107" spans="2:92" s="8" customFormat="1" ht="19.899999999999999" hidden="1" customHeight="1" x14ac:dyDescent="0.2">
      <c r="B107" s="100"/>
      <c r="D107" s="101" t="s">
        <v>266</v>
      </c>
      <c r="E107" s="102"/>
      <c r="F107" s="102"/>
      <c r="G107" s="102"/>
      <c r="H107" s="102"/>
      <c r="I107" s="102"/>
      <c r="J107" s="103">
        <f>J347</f>
        <v>2408.5300000000002</v>
      </c>
      <c r="L107" s="100"/>
    </row>
    <row r="108" spans="2:92" s="1" customFormat="1" ht="21.75" hidden="1" customHeight="1" x14ac:dyDescent="0.2">
      <c r="B108" s="31"/>
      <c r="L108" s="31"/>
    </row>
    <row r="109" spans="2:92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0" spans="2:92" hidden="1" x14ac:dyDescent="0.2"/>
    <row r="111" spans="2:92" hidden="1" x14ac:dyDescent="0.2"/>
    <row r="113" spans="2:110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110" s="1" customFormat="1" ht="24.95" customHeight="1" x14ac:dyDescent="0.2">
      <c r="B114" s="31"/>
      <c r="C114" s="20" t="s">
        <v>267</v>
      </c>
      <c r="L114" s="31"/>
    </row>
    <row r="115" spans="2:110" s="1" customFormat="1" ht="6.95" customHeight="1" x14ac:dyDescent="0.2">
      <c r="B115" s="31"/>
      <c r="L115" s="31"/>
    </row>
    <row r="116" spans="2:110" s="1" customFormat="1" ht="16.5" customHeight="1" x14ac:dyDescent="0.2">
      <c r="B116" s="31"/>
      <c r="E116" s="432" t="str">
        <f>E13</f>
        <v>00006 - DSO 01.1.1f Kanalizační odbočení Stoky A4a</v>
      </c>
      <c r="F116" s="433"/>
      <c r="G116" s="433"/>
      <c r="H116" s="433"/>
      <c r="L116" s="31"/>
    </row>
    <row r="117" spans="2:110" s="1" customFormat="1" ht="6.95" customHeight="1" x14ac:dyDescent="0.2">
      <c r="B117" s="31"/>
      <c r="L117" s="31"/>
    </row>
    <row r="118" spans="2:110" s="1" customFormat="1" ht="15.2" customHeight="1" x14ac:dyDescent="0.2">
      <c r="B118" s="31"/>
      <c r="C118" s="26"/>
      <c r="F118" s="24"/>
      <c r="I118" s="26"/>
      <c r="J118" s="29"/>
      <c r="L118" s="31"/>
    </row>
    <row r="119" spans="2:110" s="1" customFormat="1" ht="24.75" customHeight="1" x14ac:dyDescent="0.2">
      <c r="B119" s="31"/>
      <c r="G119" s="446" t="s">
        <v>3305</v>
      </c>
      <c r="H119" s="446"/>
      <c r="I119" s="446"/>
      <c r="J119" s="446"/>
      <c r="K119" s="447"/>
      <c r="L119" s="31"/>
    </row>
    <row r="120" spans="2:110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BF120" s="52" t="s">
        <v>1</v>
      </c>
      <c r="BG120" s="53" t="s">
        <v>39</v>
      </c>
      <c r="BH120" s="53" t="s">
        <v>273</v>
      </c>
      <c r="BI120" s="53" t="s">
        <v>274</v>
      </c>
      <c r="BJ120" s="53" t="s">
        <v>275</v>
      </c>
      <c r="BK120" s="53" t="s">
        <v>276</v>
      </c>
      <c r="BL120" s="53" t="s">
        <v>277</v>
      </c>
      <c r="BM120" s="54" t="s">
        <v>278</v>
      </c>
    </row>
    <row r="121" spans="2:110" s="1" customFormat="1" ht="22.9" customHeight="1" x14ac:dyDescent="0.25">
      <c r="B121" s="31"/>
      <c r="C121" s="57" t="s">
        <v>279</v>
      </c>
      <c r="G121" s="1" t="s">
        <v>3306</v>
      </c>
      <c r="J121" s="108">
        <f>DD121</f>
        <v>114186.27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3322</v>
      </c>
      <c r="X121" s="444"/>
      <c r="Y121" s="444" t="s">
        <v>3323</v>
      </c>
      <c r="Z121" s="444"/>
      <c r="AA121" s="444" t="s">
        <v>3324</v>
      </c>
      <c r="AB121" s="444"/>
      <c r="AC121" s="444" t="s">
        <v>3325</v>
      </c>
      <c r="AD121" s="444"/>
      <c r="AE121" s="444" t="s">
        <v>3326</v>
      </c>
      <c r="AF121" s="444"/>
      <c r="AG121" s="444" t="s">
        <v>3327</v>
      </c>
      <c r="AH121" s="445"/>
      <c r="BF121" s="55"/>
      <c r="BG121" s="49"/>
      <c r="BH121" s="49"/>
      <c r="BI121" s="109">
        <f>BI122</f>
        <v>0</v>
      </c>
      <c r="BJ121" s="49"/>
      <c r="BK121" s="109">
        <f>BK122</f>
        <v>40.078284199999999</v>
      </c>
      <c r="BL121" s="49"/>
      <c r="BM121" s="110">
        <f>BM122</f>
        <v>12.11454</v>
      </c>
      <c r="CM121" s="16" t="s">
        <v>73</v>
      </c>
      <c r="CN121" s="16" t="s">
        <v>257</v>
      </c>
      <c r="DD121" s="111">
        <f>DD122</f>
        <v>114186.27</v>
      </c>
    </row>
    <row r="122" spans="2:110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DD122</f>
        <v>114186.27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5" t="s">
        <v>3328</v>
      </c>
      <c r="BF122" s="117"/>
      <c r="BI122" s="118">
        <f>BI124+BI254+BI259+BI275+BI287+BI327+BI347</f>
        <v>0</v>
      </c>
      <c r="BK122" s="118">
        <f>BK124+BK254+BK259+BK275+BK287+BK327+BK347</f>
        <v>40.078284199999999</v>
      </c>
      <c r="BM122" s="119">
        <f>BM124+BM254+BM259+BM275+BM287+BM327+BM347</f>
        <v>12.11454</v>
      </c>
      <c r="CK122" s="113" t="s">
        <v>81</v>
      </c>
      <c r="CM122" s="120" t="s">
        <v>73</v>
      </c>
      <c r="CN122" s="120" t="s">
        <v>74</v>
      </c>
      <c r="CR122" s="113" t="s">
        <v>282</v>
      </c>
      <c r="DD122" s="121">
        <f>DD124+DD254+DD259+DD275+DD287+DD327+DD347</f>
        <v>114186.27</v>
      </c>
    </row>
    <row r="123" spans="2:110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M124+M254+M259+M275+M287+M327+M347</f>
        <v>0</v>
      </c>
      <c r="N123" s="208"/>
      <c r="O123" s="208">
        <f t="shared" ref="O123:Q123" si="0">O124+O254+O259+O275+O287+O327+O347</f>
        <v>-3143</v>
      </c>
      <c r="P123" s="192"/>
      <c r="Q123" s="192">
        <f t="shared" si="0"/>
        <v>117329.27000000002</v>
      </c>
      <c r="S123" s="196"/>
      <c r="T123" s="197">
        <f>T124+T254+T259+T275+T287+T327+T347</f>
        <v>0</v>
      </c>
      <c r="U123" s="197"/>
      <c r="V123" s="197">
        <f t="shared" ref="V123:AH123" si="1">V124+V254+V259+V275+V287+V327+V347</f>
        <v>114186.27</v>
      </c>
      <c r="W123" s="197"/>
      <c r="X123" s="197"/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AE123" s="197"/>
      <c r="AF123" s="197">
        <f t="shared" si="1"/>
        <v>0</v>
      </c>
      <c r="AG123" s="197"/>
      <c r="AH123" s="197">
        <f t="shared" si="1"/>
        <v>0</v>
      </c>
      <c r="BF123" s="117"/>
      <c r="BI123" s="118"/>
      <c r="BK123" s="118"/>
      <c r="BM123" s="119"/>
      <c r="CK123" s="113"/>
      <c r="CM123" s="120"/>
      <c r="CN123" s="120"/>
      <c r="CR123" s="113"/>
      <c r="DD123" s="121"/>
    </row>
    <row r="124" spans="2:110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DD124</f>
        <v>54310.15</v>
      </c>
      <c r="L124" s="112"/>
      <c r="M124" s="270">
        <f>SUM(M125:M251)</f>
        <v>0</v>
      </c>
      <c r="N124" s="299"/>
      <c r="O124" s="300">
        <f t="shared" ref="O124:V124" si="2">SUM(O125:O251)</f>
        <v>-2170.71</v>
      </c>
      <c r="P124" s="270"/>
      <c r="Q124" s="286">
        <f t="shared" si="2"/>
        <v>56480.850000000006</v>
      </c>
      <c r="R124" s="270"/>
      <c r="S124" s="270"/>
      <c r="T124" s="270">
        <f t="shared" si="2"/>
        <v>0</v>
      </c>
      <c r="U124" s="270"/>
      <c r="V124" s="270">
        <f t="shared" si="2"/>
        <v>54310.15</v>
      </c>
      <c r="BF124" s="117"/>
      <c r="BI124" s="118">
        <f>SUM(BI125:BI253)</f>
        <v>0</v>
      </c>
      <c r="BK124" s="118">
        <f>SUM(BK125:BK253)</f>
        <v>37.445777200000002</v>
      </c>
      <c r="BM124" s="119">
        <f>SUM(BM125:BM253)</f>
        <v>12.11454</v>
      </c>
      <c r="CK124" s="113" t="s">
        <v>81</v>
      </c>
      <c r="CM124" s="120" t="s">
        <v>73</v>
      </c>
      <c r="CN124" s="120" t="s">
        <v>81</v>
      </c>
      <c r="CR124" s="113" t="s">
        <v>282</v>
      </c>
      <c r="DD124" s="121">
        <f>SUM(DD125:DD253)</f>
        <v>54310.15</v>
      </c>
    </row>
    <row r="125" spans="2:110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9.6300000000000008</v>
      </c>
      <c r="I125" s="130">
        <v>68.767172335543137</v>
      </c>
      <c r="J125" s="131">
        <f>ROUND(I125*H125,2)</f>
        <v>662.23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N127</f>
        <v>-0.37800000000000189</v>
      </c>
      <c r="O125" s="294">
        <f>ROUND(N125*I125,2)</f>
        <v>-25.99</v>
      </c>
      <c r="P125" s="273">
        <f>H125-L125-N125</f>
        <v>10.008000000000003</v>
      </c>
      <c r="Q125" s="287">
        <f>ROUND(P125*I125,2)</f>
        <v>688.22</v>
      </c>
      <c r="R125" s="137"/>
      <c r="S125" s="269">
        <f>W125+Y125+AA125+AC125+AE125+AG125</f>
        <v>0</v>
      </c>
      <c r="T125" s="269">
        <f>ROUND(S125*I125,2)</f>
        <v>0</v>
      </c>
      <c r="U125" s="269">
        <f>H125-S125</f>
        <v>9.6300000000000008</v>
      </c>
      <c r="V125" s="269">
        <f>ROUND(U125*I125,2)</f>
        <v>662.23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BF125" s="132" t="s">
        <v>1</v>
      </c>
      <c r="BG125" s="133" t="s">
        <v>40</v>
      </c>
      <c r="BI125" s="134">
        <f>BH125*H125</f>
        <v>0</v>
      </c>
      <c r="BJ125" s="134">
        <v>0</v>
      </c>
      <c r="BK125" s="134">
        <f>BJ125*H125</f>
        <v>0</v>
      </c>
      <c r="BL125" s="134">
        <v>0.57999999999999996</v>
      </c>
      <c r="BM125" s="135">
        <f>BL125*H125</f>
        <v>5.5853999999999999</v>
      </c>
      <c r="CK125" s="136" t="s">
        <v>95</v>
      </c>
      <c r="CM125" s="136" t="s">
        <v>284</v>
      </c>
      <c r="CN125" s="136" t="s">
        <v>83</v>
      </c>
      <c r="CR125" s="16" t="s">
        <v>282</v>
      </c>
      <c r="CX125" s="137">
        <f>IF(BG125="základní",J125,0)</f>
        <v>662.23</v>
      </c>
      <c r="CY125" s="137">
        <f>IF(BG125="snížená",J125,0)</f>
        <v>0</v>
      </c>
      <c r="CZ125" s="137">
        <f>IF(BG125="zákl. přenesená",J125,0)</f>
        <v>0</v>
      </c>
      <c r="DA125" s="137">
        <f>IF(BG125="sníž. přenesená",J125,0)</f>
        <v>0</v>
      </c>
      <c r="DB125" s="137">
        <f>IF(BG125="nulová",J125,0)</f>
        <v>0</v>
      </c>
      <c r="DC125" s="16" t="s">
        <v>81</v>
      </c>
      <c r="DD125" s="137">
        <f>ROUND(I125*H125,2)</f>
        <v>662.23</v>
      </c>
      <c r="DE125" s="16" t="s">
        <v>95</v>
      </c>
      <c r="DF125" s="136" t="s">
        <v>288</v>
      </c>
    </row>
    <row r="126" spans="2:110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BF126" s="141"/>
      <c r="BM126" s="50"/>
      <c r="CM126" s="16" t="s">
        <v>289</v>
      </c>
      <c r="CN126" s="16" t="s">
        <v>83</v>
      </c>
    </row>
    <row r="127" spans="2:110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9.6300000000000008</v>
      </c>
      <c r="I127" s="130">
        <v>68.767172335543137</v>
      </c>
      <c r="J127" s="131">
        <f>ROUND(I127*H127,2)</f>
        <v>662.23</v>
      </c>
      <c r="K127" s="127" t="s">
        <v>293</v>
      </c>
      <c r="L127" s="268">
        <f>S127</f>
        <v>0</v>
      </c>
      <c r="M127" s="272">
        <f>ROUND(L127*I127,2)</f>
        <v>0</v>
      </c>
      <c r="N127" s="243">
        <f>N129</f>
        <v>-0.37800000000000189</v>
      </c>
      <c r="O127" s="294">
        <f>ROUND(N127*I127,2)</f>
        <v>-25.99</v>
      </c>
      <c r="P127" s="273">
        <f>H127-L127-N127</f>
        <v>10.008000000000003</v>
      </c>
      <c r="Q127" s="287">
        <f>ROUND(P127*I127,2)</f>
        <v>688.22</v>
      </c>
      <c r="R127" s="137"/>
      <c r="S127" s="269">
        <f>W127+Y127+AA127+AC127+AE127+AG127</f>
        <v>0</v>
      </c>
      <c r="T127" s="269">
        <f>ROUND(S127*I127,2)</f>
        <v>0</v>
      </c>
      <c r="U127" s="269">
        <f>H127-S127</f>
        <v>9.6300000000000008</v>
      </c>
      <c r="V127" s="269">
        <f>ROUND(U127*I127,2)</f>
        <v>662.23</v>
      </c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BF127" s="132" t="s">
        <v>1</v>
      </c>
      <c r="BG127" s="133" t="s">
        <v>40</v>
      </c>
      <c r="BI127" s="134">
        <f>BH127*H127</f>
        <v>0</v>
      </c>
      <c r="BJ127" s="134">
        <v>0</v>
      </c>
      <c r="BK127" s="134">
        <f>BJ127*H127</f>
        <v>0</v>
      </c>
      <c r="BL127" s="134">
        <v>0.57999999999999996</v>
      </c>
      <c r="BM127" s="135">
        <f>BL127*H127</f>
        <v>5.5853999999999999</v>
      </c>
      <c r="CK127" s="136" t="s">
        <v>95</v>
      </c>
      <c r="CM127" s="136" t="s">
        <v>284</v>
      </c>
      <c r="CN127" s="136" t="s">
        <v>83</v>
      </c>
      <c r="CR127" s="16" t="s">
        <v>282</v>
      </c>
      <c r="CX127" s="137">
        <f>IF(BG127="základní",J127,0)</f>
        <v>662.23</v>
      </c>
      <c r="CY127" s="137">
        <f>IF(BG127="snížená",J127,0)</f>
        <v>0</v>
      </c>
      <c r="CZ127" s="137">
        <f>IF(BG127="zákl. přenesená",J127,0)</f>
        <v>0</v>
      </c>
      <c r="DA127" s="137">
        <f>IF(BG127="sníž. přenesená",J127,0)</f>
        <v>0</v>
      </c>
      <c r="DB127" s="137">
        <f>IF(BG127="nulová",J127,0)</f>
        <v>0</v>
      </c>
      <c r="DC127" s="16" t="s">
        <v>81</v>
      </c>
      <c r="DD127" s="137">
        <f>ROUND(I127*H127,2)</f>
        <v>662.23</v>
      </c>
      <c r="DE127" s="16" t="s">
        <v>95</v>
      </c>
      <c r="DF127" s="136" t="s">
        <v>294</v>
      </c>
    </row>
    <row r="128" spans="2:110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BF128" s="141"/>
      <c r="BM128" s="50"/>
      <c r="CM128" s="16" t="s">
        <v>289</v>
      </c>
      <c r="CN128" s="16" t="s">
        <v>83</v>
      </c>
    </row>
    <row r="129" spans="2:110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732</v>
      </c>
      <c r="G129" s="128" t="s">
        <v>287</v>
      </c>
      <c r="H129" s="129">
        <v>9.6300000000000008</v>
      </c>
      <c r="I129" s="130">
        <v>27.886826761540966</v>
      </c>
      <c r="J129" s="131">
        <f>ROUND(I129*H129,2)</f>
        <v>268.55</v>
      </c>
      <c r="K129" s="127" t="s">
        <v>293</v>
      </c>
      <c r="L129" s="268">
        <f>S129</f>
        <v>0</v>
      </c>
      <c r="M129" s="272">
        <f>ROUND(L129*I129,2)</f>
        <v>0</v>
      </c>
      <c r="N129" s="243">
        <f>N135</f>
        <v>-0.37800000000000189</v>
      </c>
      <c r="O129" s="294">
        <f>ROUND(N129*I129,2)</f>
        <v>-10.54</v>
      </c>
      <c r="P129" s="273">
        <f>H129-L129-N129</f>
        <v>10.008000000000003</v>
      </c>
      <c r="Q129" s="287">
        <f>ROUND(P129*I129,2)</f>
        <v>279.08999999999997</v>
      </c>
      <c r="R129" s="137"/>
      <c r="S129" s="269">
        <f>W129+Y129+AA129+AC129+AE129+AG129</f>
        <v>0</v>
      </c>
      <c r="T129" s="269">
        <f>ROUND(S129*I129,2)</f>
        <v>0</v>
      </c>
      <c r="U129" s="269">
        <f>H129-S129</f>
        <v>9.6300000000000008</v>
      </c>
      <c r="V129" s="269">
        <f>ROUND(U129*I129,2)</f>
        <v>268.55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BF129" s="132" t="s">
        <v>1</v>
      </c>
      <c r="BG129" s="133" t="s">
        <v>40</v>
      </c>
      <c r="BI129" s="134">
        <f>BH129*H129</f>
        <v>0</v>
      </c>
      <c r="BJ129" s="134">
        <v>0</v>
      </c>
      <c r="BK129" s="134">
        <f>BJ129*H129</f>
        <v>0</v>
      </c>
      <c r="BL129" s="134">
        <v>9.8000000000000004E-2</v>
      </c>
      <c r="BM129" s="135">
        <f>BL129*H129</f>
        <v>0.94374000000000013</v>
      </c>
      <c r="CK129" s="136" t="s">
        <v>95</v>
      </c>
      <c r="CM129" s="136" t="s">
        <v>284</v>
      </c>
      <c r="CN129" s="136" t="s">
        <v>83</v>
      </c>
      <c r="CR129" s="16" t="s">
        <v>282</v>
      </c>
      <c r="CX129" s="137">
        <f>IF(BG129="základní",J129,0)</f>
        <v>268.55</v>
      </c>
      <c r="CY129" s="137">
        <f>IF(BG129="snížená",J129,0)</f>
        <v>0</v>
      </c>
      <c r="CZ129" s="137">
        <f>IF(BG129="zákl. přenesená",J129,0)</f>
        <v>0</v>
      </c>
      <c r="DA129" s="137">
        <f>IF(BG129="sníž. přenesená",J129,0)</f>
        <v>0</v>
      </c>
      <c r="DB129" s="137">
        <f>IF(BG129="nulová",J129,0)</f>
        <v>0</v>
      </c>
      <c r="DC129" s="16" t="s">
        <v>81</v>
      </c>
      <c r="DD129" s="137">
        <f>ROUND(I129*H129,2)</f>
        <v>268.55</v>
      </c>
      <c r="DE129" s="16" t="s">
        <v>95</v>
      </c>
      <c r="DF129" s="136" t="s">
        <v>297</v>
      </c>
    </row>
    <row r="130" spans="2:110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BF130" s="141"/>
      <c r="BM130" s="50"/>
      <c r="CM130" s="16" t="s">
        <v>289</v>
      </c>
      <c r="CN130" s="16" t="s">
        <v>83</v>
      </c>
    </row>
    <row r="131" spans="2:110" s="1" customFormat="1" ht="29.25" x14ac:dyDescent="0.2">
      <c r="B131" s="31"/>
      <c r="D131" s="138" t="s">
        <v>299</v>
      </c>
      <c r="F131" s="142" t="s">
        <v>1083</v>
      </c>
      <c r="I131" s="140"/>
      <c r="L131" s="31"/>
      <c r="N131" s="213"/>
      <c r="O131" s="214"/>
      <c r="Q131" s="229"/>
      <c r="BF131" s="141"/>
      <c r="BM131" s="50"/>
      <c r="CM131" s="16" t="s">
        <v>299</v>
      </c>
      <c r="CN131" s="16" t="s">
        <v>83</v>
      </c>
    </row>
    <row r="132" spans="2:110" s="11" customFormat="1" x14ac:dyDescent="0.2">
      <c r="B132" s="143"/>
      <c r="D132" s="138" t="s">
        <v>301</v>
      </c>
      <c r="E132" s="144" t="s">
        <v>1</v>
      </c>
      <c r="F132" s="145" t="s">
        <v>1084</v>
      </c>
      <c r="H132" s="144" t="s">
        <v>1</v>
      </c>
      <c r="I132" s="146"/>
      <c r="L132" s="143"/>
      <c r="N132" s="215"/>
      <c r="O132" s="216"/>
      <c r="Q132" s="230"/>
      <c r="BF132" s="147"/>
      <c r="BM132" s="148"/>
      <c r="CM132" s="144" t="s">
        <v>301</v>
      </c>
      <c r="CN132" s="144" t="s">
        <v>83</v>
      </c>
      <c r="CO132" s="11" t="s">
        <v>81</v>
      </c>
      <c r="CP132" s="11" t="s">
        <v>32</v>
      </c>
      <c r="CQ132" s="11" t="s">
        <v>74</v>
      </c>
      <c r="CR132" s="144" t="s">
        <v>282</v>
      </c>
    </row>
    <row r="133" spans="2:110" s="11" customFormat="1" x14ac:dyDescent="0.2">
      <c r="B133" s="143"/>
      <c r="D133" s="138" t="s">
        <v>301</v>
      </c>
      <c r="E133" s="144" t="s">
        <v>1</v>
      </c>
      <c r="F133" s="145" t="s">
        <v>302</v>
      </c>
      <c r="H133" s="144" t="s">
        <v>1</v>
      </c>
      <c r="I133" s="146"/>
      <c r="L133" s="143"/>
      <c r="N133" s="215"/>
      <c r="O133" s="216"/>
      <c r="Q133" s="230"/>
      <c r="BF133" s="147"/>
      <c r="BM133" s="148"/>
      <c r="CM133" s="144" t="s">
        <v>301</v>
      </c>
      <c r="CN133" s="144" t="s">
        <v>83</v>
      </c>
      <c r="CO133" s="11" t="s">
        <v>81</v>
      </c>
      <c r="CP133" s="11" t="s">
        <v>32</v>
      </c>
      <c r="CQ133" s="11" t="s">
        <v>74</v>
      </c>
      <c r="CR133" s="144" t="s">
        <v>282</v>
      </c>
    </row>
    <row r="134" spans="2:110" s="12" customFormat="1" x14ac:dyDescent="0.2">
      <c r="B134" s="149"/>
      <c r="D134" s="138" t="s">
        <v>301</v>
      </c>
      <c r="E134" s="150" t="s">
        <v>1</v>
      </c>
      <c r="F134" s="151" t="s">
        <v>1353</v>
      </c>
      <c r="H134" s="152">
        <v>9.6300000000000008</v>
      </c>
      <c r="I134" s="153"/>
      <c r="L134" s="149"/>
      <c r="N134" s="217">
        <f>10.28*1*0.9</f>
        <v>9.2519999999999989</v>
      </c>
      <c r="O134" s="218" t="s">
        <v>3729</v>
      </c>
      <c r="Q134" s="231"/>
      <c r="BF134" s="154"/>
      <c r="BM134" s="155"/>
      <c r="CM134" s="150" t="s">
        <v>301</v>
      </c>
      <c r="CN134" s="150" t="s">
        <v>83</v>
      </c>
      <c r="CO134" s="12" t="s">
        <v>83</v>
      </c>
      <c r="CP134" s="12" t="s">
        <v>32</v>
      </c>
      <c r="CQ134" s="12" t="s">
        <v>81</v>
      </c>
      <c r="CR134" s="150" t="s">
        <v>282</v>
      </c>
    </row>
    <row r="135" spans="2:110" s="12" customFormat="1" x14ac:dyDescent="0.2">
      <c r="B135" s="149"/>
      <c r="D135" s="138"/>
      <c r="E135" s="150"/>
      <c r="F135" s="151"/>
      <c r="H135" s="152"/>
      <c r="I135" s="153"/>
      <c r="L135" s="149"/>
      <c r="N135" s="310">
        <f>N134-H134</f>
        <v>-0.37800000000000189</v>
      </c>
      <c r="O135" s="218"/>
      <c r="Q135" s="231"/>
      <c r="BF135" s="154"/>
      <c r="BM135" s="155"/>
      <c r="CM135" s="150"/>
      <c r="CN135" s="150"/>
      <c r="CR135" s="150"/>
    </row>
    <row r="136" spans="2:110" s="1" customFormat="1" ht="24.2" customHeight="1" x14ac:dyDescent="0.2">
      <c r="B136" s="124"/>
      <c r="C136" s="125" t="s">
        <v>95</v>
      </c>
      <c r="D136" s="125" t="s">
        <v>284</v>
      </c>
      <c r="E136" s="126" t="s">
        <v>958</v>
      </c>
      <c r="F136" s="127" t="s">
        <v>959</v>
      </c>
      <c r="G136" s="128" t="s">
        <v>287</v>
      </c>
      <c r="H136" s="129">
        <v>3.21</v>
      </c>
      <c r="I136" s="130">
        <v>23.091823190584471</v>
      </c>
      <c r="J136" s="131">
        <f>ROUND(I136*H136,2)</f>
        <v>74.12</v>
      </c>
      <c r="K136" s="127" t="s">
        <v>293</v>
      </c>
      <c r="L136" s="268">
        <f>S136</f>
        <v>0</v>
      </c>
      <c r="M136" s="272">
        <f>ROUND(L136*I136,2)</f>
        <v>0</v>
      </c>
      <c r="N136" s="243">
        <f>N141</f>
        <v>-0.12600000000000033</v>
      </c>
      <c r="O136" s="294">
        <f>ROUND(N136*I136,2)</f>
        <v>-2.91</v>
      </c>
      <c r="P136" s="273">
        <f>H136-L136-N136</f>
        <v>3.3360000000000003</v>
      </c>
      <c r="Q136" s="287">
        <f>ROUND(P136*I136,2)</f>
        <v>77.03</v>
      </c>
      <c r="R136" s="137"/>
      <c r="S136" s="269">
        <f>W136+Y136+AA136+AC136+AE136+AG136</f>
        <v>0</v>
      </c>
      <c r="T136" s="269">
        <f>ROUND(S136*I136,2)</f>
        <v>0</v>
      </c>
      <c r="U136" s="269">
        <f>H136-S136</f>
        <v>3.21</v>
      </c>
      <c r="V136" s="269">
        <f>ROUND(U136*I136,2)</f>
        <v>74.12</v>
      </c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BF136" s="132" t="s">
        <v>1</v>
      </c>
      <c r="BG136" s="133" t="s">
        <v>40</v>
      </c>
      <c r="BI136" s="134">
        <f>BH136*H136</f>
        <v>0</v>
      </c>
      <c r="BJ136" s="134">
        <v>0</v>
      </c>
      <c r="BK136" s="134">
        <f>BJ136*H136</f>
        <v>0</v>
      </c>
      <c r="BL136" s="134">
        <v>0</v>
      </c>
      <c r="BM136" s="135">
        <f>BL136*H136</f>
        <v>0</v>
      </c>
      <c r="CK136" s="136" t="s">
        <v>95</v>
      </c>
      <c r="CM136" s="136" t="s">
        <v>284</v>
      </c>
      <c r="CN136" s="136" t="s">
        <v>83</v>
      </c>
      <c r="CR136" s="16" t="s">
        <v>282</v>
      </c>
      <c r="CX136" s="137">
        <f>IF(BG136="základní",J136,0)</f>
        <v>74.12</v>
      </c>
      <c r="CY136" s="137">
        <f>IF(BG136="snížená",J136,0)</f>
        <v>0</v>
      </c>
      <c r="CZ136" s="137">
        <f>IF(BG136="zákl. přenesená",J136,0)</f>
        <v>0</v>
      </c>
      <c r="DA136" s="137">
        <f>IF(BG136="sníž. přenesená",J136,0)</f>
        <v>0</v>
      </c>
      <c r="DB136" s="137">
        <f>IF(BG136="nulová",J136,0)</f>
        <v>0</v>
      </c>
      <c r="DC136" s="16" t="s">
        <v>81</v>
      </c>
      <c r="DD136" s="137">
        <f>ROUND(I136*H136,2)</f>
        <v>74.12</v>
      </c>
      <c r="DE136" s="16" t="s">
        <v>95</v>
      </c>
      <c r="DF136" s="136" t="s">
        <v>960</v>
      </c>
    </row>
    <row r="137" spans="2:110" s="1" customFormat="1" ht="19.5" x14ac:dyDescent="0.2">
      <c r="B137" s="31"/>
      <c r="D137" s="138" t="s">
        <v>289</v>
      </c>
      <c r="F137" s="139" t="s">
        <v>961</v>
      </c>
      <c r="I137" s="140"/>
      <c r="L137" s="31"/>
      <c r="N137" s="213"/>
      <c r="O137" s="214"/>
      <c r="Q137" s="229"/>
      <c r="BF137" s="141"/>
      <c r="BM137" s="50"/>
      <c r="CM137" s="16" t="s">
        <v>289</v>
      </c>
      <c r="CN137" s="16" t="s">
        <v>83</v>
      </c>
    </row>
    <row r="138" spans="2:110" s="1" customFormat="1" ht="29.25" x14ac:dyDescent="0.2">
      <c r="B138" s="31"/>
      <c r="D138" s="138" t="s">
        <v>299</v>
      </c>
      <c r="F138" s="142" t="s">
        <v>1083</v>
      </c>
      <c r="I138" s="140"/>
      <c r="L138" s="31"/>
      <c r="N138" s="213"/>
      <c r="O138" s="214"/>
      <c r="Q138" s="229"/>
      <c r="BF138" s="141"/>
      <c r="BM138" s="50"/>
      <c r="CM138" s="16" t="s">
        <v>299</v>
      </c>
      <c r="CN138" s="16" t="s">
        <v>83</v>
      </c>
    </row>
    <row r="139" spans="2:110" s="11" customFormat="1" x14ac:dyDescent="0.2">
      <c r="B139" s="143"/>
      <c r="D139" s="138" t="s">
        <v>301</v>
      </c>
      <c r="E139" s="144" t="s">
        <v>1</v>
      </c>
      <c r="F139" s="145" t="s">
        <v>1088</v>
      </c>
      <c r="H139" s="144" t="s">
        <v>1</v>
      </c>
      <c r="I139" s="146"/>
      <c r="L139" s="143"/>
      <c r="N139" s="215"/>
      <c r="O139" s="216"/>
      <c r="Q139" s="230"/>
      <c r="BF139" s="147"/>
      <c r="BM139" s="148"/>
      <c r="CM139" s="144" t="s">
        <v>301</v>
      </c>
      <c r="CN139" s="144" t="s">
        <v>83</v>
      </c>
      <c r="CO139" s="11" t="s">
        <v>81</v>
      </c>
      <c r="CP139" s="11" t="s">
        <v>32</v>
      </c>
      <c r="CQ139" s="11" t="s">
        <v>74</v>
      </c>
      <c r="CR139" s="144" t="s">
        <v>282</v>
      </c>
    </row>
    <row r="140" spans="2:110" s="12" customFormat="1" x14ac:dyDescent="0.2">
      <c r="B140" s="149"/>
      <c r="D140" s="138" t="s">
        <v>301</v>
      </c>
      <c r="E140" s="150" t="s">
        <v>1</v>
      </c>
      <c r="F140" s="151" t="s">
        <v>1354</v>
      </c>
      <c r="H140" s="152">
        <v>3.21</v>
      </c>
      <c r="I140" s="153"/>
      <c r="L140" s="149"/>
      <c r="N140" s="217">
        <f>10.28*3*0.1</f>
        <v>3.0839999999999996</v>
      </c>
      <c r="O140" s="218" t="s">
        <v>3730</v>
      </c>
      <c r="Q140" s="231"/>
      <c r="BF140" s="154"/>
      <c r="BM140" s="155"/>
      <c r="CM140" s="150" t="s">
        <v>301</v>
      </c>
      <c r="CN140" s="150" t="s">
        <v>83</v>
      </c>
      <c r="CO140" s="12" t="s">
        <v>83</v>
      </c>
      <c r="CP140" s="12" t="s">
        <v>32</v>
      </c>
      <c r="CQ140" s="12" t="s">
        <v>81</v>
      </c>
      <c r="CR140" s="150" t="s">
        <v>282</v>
      </c>
    </row>
    <row r="141" spans="2:110" s="12" customFormat="1" x14ac:dyDescent="0.2">
      <c r="B141" s="149"/>
      <c r="D141" s="138"/>
      <c r="E141" s="150"/>
      <c r="F141" s="151"/>
      <c r="H141" s="152"/>
      <c r="I141" s="153"/>
      <c r="L141" s="149"/>
      <c r="N141" s="310">
        <f>N140-H140</f>
        <v>-0.12600000000000033</v>
      </c>
      <c r="O141" s="218"/>
      <c r="Q141" s="231"/>
      <c r="BF141" s="154"/>
      <c r="BM141" s="155"/>
      <c r="CM141" s="150"/>
      <c r="CN141" s="150"/>
      <c r="CR141" s="150"/>
    </row>
    <row r="142" spans="2:110" s="1" customFormat="1" ht="24.2" customHeight="1" x14ac:dyDescent="0.2">
      <c r="B142" s="124"/>
      <c r="C142" s="125" t="s">
        <v>312</v>
      </c>
      <c r="D142" s="125" t="s">
        <v>284</v>
      </c>
      <c r="E142" s="126" t="s">
        <v>364</v>
      </c>
      <c r="F142" s="127" t="s">
        <v>365</v>
      </c>
      <c r="G142" s="128" t="s">
        <v>366</v>
      </c>
      <c r="H142" s="129">
        <v>9.5500000000000007</v>
      </c>
      <c r="I142" s="130">
        <v>285.201942457955</v>
      </c>
      <c r="J142" s="131">
        <f>ROUND(I142*H142,2)</f>
        <v>2723.68</v>
      </c>
      <c r="K142" s="127" t="s">
        <v>293</v>
      </c>
      <c r="L142" s="268">
        <f>S142</f>
        <v>0</v>
      </c>
      <c r="M142" s="272">
        <f>ROUND(L142*I142,2)</f>
        <v>0</v>
      </c>
      <c r="N142" s="243">
        <f>N151</f>
        <v>-0.37509999999999977</v>
      </c>
      <c r="O142" s="294">
        <f>ROUND(N142*I142,2)</f>
        <v>-106.98</v>
      </c>
      <c r="P142" s="273">
        <f>H142-L142-N142</f>
        <v>9.9251000000000005</v>
      </c>
      <c r="Q142" s="287">
        <f>ROUND(P142*I142,2)</f>
        <v>2830.66</v>
      </c>
      <c r="R142" s="137"/>
      <c r="S142" s="269">
        <f>W142+Y142+AA142+AC142+AE142+AG142</f>
        <v>0</v>
      </c>
      <c r="T142" s="269">
        <f>ROUND(S142*I142,2)</f>
        <v>0</v>
      </c>
      <c r="U142" s="269">
        <f>H142-S142</f>
        <v>9.5500000000000007</v>
      </c>
      <c r="V142" s="269">
        <f>ROUND(U142*I142,2)</f>
        <v>2723.68</v>
      </c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BF142" s="132" t="s">
        <v>1</v>
      </c>
      <c r="BG142" s="133" t="s">
        <v>40</v>
      </c>
      <c r="BI142" s="134">
        <f>BH142*H142</f>
        <v>0</v>
      </c>
      <c r="BJ142" s="134">
        <v>0</v>
      </c>
      <c r="BK142" s="134">
        <f>BJ142*H142</f>
        <v>0</v>
      </c>
      <c r="BL142" s="134">
        <v>0</v>
      </c>
      <c r="BM142" s="135">
        <f>BL142*H142</f>
        <v>0</v>
      </c>
      <c r="CK142" s="136" t="s">
        <v>95</v>
      </c>
      <c r="CM142" s="136" t="s">
        <v>284</v>
      </c>
      <c r="CN142" s="136" t="s">
        <v>83</v>
      </c>
      <c r="CR142" s="16" t="s">
        <v>282</v>
      </c>
      <c r="CX142" s="137">
        <f>IF(BG142="základní",J142,0)</f>
        <v>2723.68</v>
      </c>
      <c r="CY142" s="137">
        <f>IF(BG142="snížená",J142,0)</f>
        <v>0</v>
      </c>
      <c r="CZ142" s="137">
        <f>IF(BG142="zákl. přenesená",J142,0)</f>
        <v>0</v>
      </c>
      <c r="DA142" s="137">
        <f>IF(BG142="sníž. přenesená",J142,0)</f>
        <v>0</v>
      </c>
      <c r="DB142" s="137">
        <f>IF(BG142="nulová",J142,0)</f>
        <v>0</v>
      </c>
      <c r="DC142" s="16" t="s">
        <v>81</v>
      </c>
      <c r="DD142" s="137">
        <f>ROUND(I142*H142,2)</f>
        <v>2723.68</v>
      </c>
      <c r="DE142" s="16" t="s">
        <v>95</v>
      </c>
      <c r="DF142" s="136" t="s">
        <v>367</v>
      </c>
    </row>
    <row r="143" spans="2:110" s="1" customFormat="1" ht="39" x14ac:dyDescent="0.2">
      <c r="B143" s="31"/>
      <c r="D143" s="138" t="s">
        <v>289</v>
      </c>
      <c r="F143" s="139" t="s">
        <v>368</v>
      </c>
      <c r="I143" s="140"/>
      <c r="L143" s="31"/>
      <c r="N143" s="213"/>
      <c r="O143" s="214"/>
      <c r="Q143" s="229"/>
      <c r="BF143" s="141"/>
      <c r="BM143" s="50"/>
      <c r="CM143" s="16" t="s">
        <v>289</v>
      </c>
      <c r="CN143" s="16" t="s">
        <v>83</v>
      </c>
    </row>
    <row r="144" spans="2:110" s="1" customFormat="1" ht="39" x14ac:dyDescent="0.2">
      <c r="B144" s="31"/>
      <c r="D144" s="138" t="s">
        <v>299</v>
      </c>
      <c r="F144" s="142" t="s">
        <v>1090</v>
      </c>
      <c r="I144" s="140"/>
      <c r="L144" s="31"/>
      <c r="N144" s="213"/>
      <c r="O144" s="214"/>
      <c r="Q144" s="229"/>
      <c r="BF144" s="141"/>
      <c r="BM144" s="50"/>
      <c r="CM144" s="16" t="s">
        <v>299</v>
      </c>
      <c r="CN144" s="16" t="s">
        <v>83</v>
      </c>
    </row>
    <row r="145" spans="2:110" s="11" customFormat="1" ht="22.5" x14ac:dyDescent="0.2">
      <c r="B145" s="143"/>
      <c r="D145" s="138" t="s">
        <v>301</v>
      </c>
      <c r="E145" s="144" t="s">
        <v>1</v>
      </c>
      <c r="F145" s="145" t="s">
        <v>1091</v>
      </c>
      <c r="H145" s="144" t="s">
        <v>1</v>
      </c>
      <c r="I145" s="146"/>
      <c r="L145" s="143"/>
      <c r="N145" s="215"/>
      <c r="O145" s="216"/>
      <c r="Q145" s="230"/>
      <c r="BF145" s="147"/>
      <c r="BM145" s="148"/>
      <c r="CM145" s="144" t="s">
        <v>301</v>
      </c>
      <c r="CN145" s="144" t="s">
        <v>83</v>
      </c>
      <c r="CO145" s="11" t="s">
        <v>81</v>
      </c>
      <c r="CP145" s="11" t="s">
        <v>32</v>
      </c>
      <c r="CQ145" s="11" t="s">
        <v>74</v>
      </c>
      <c r="CR145" s="144" t="s">
        <v>282</v>
      </c>
    </row>
    <row r="146" spans="2:110" s="12" customFormat="1" x14ac:dyDescent="0.2">
      <c r="B146" s="149"/>
      <c r="D146" s="138" t="s">
        <v>301</v>
      </c>
      <c r="E146" s="150" t="s">
        <v>1</v>
      </c>
      <c r="F146" s="151" t="s">
        <v>1355</v>
      </c>
      <c r="H146" s="152">
        <v>16.853000000000002</v>
      </c>
      <c r="I146" s="153"/>
      <c r="L146" s="149"/>
      <c r="N146" s="217">
        <f>10.28*1*(2.2-0.45)*0.9</f>
        <v>16.191000000000003</v>
      </c>
      <c r="O146" s="218" t="s">
        <v>3731</v>
      </c>
      <c r="Q146" s="231"/>
      <c r="BF146" s="154"/>
      <c r="BM146" s="155"/>
      <c r="CM146" s="150" t="s">
        <v>301</v>
      </c>
      <c r="CN146" s="150" t="s">
        <v>83</v>
      </c>
      <c r="CO146" s="12" t="s">
        <v>83</v>
      </c>
      <c r="CP146" s="12" t="s">
        <v>32</v>
      </c>
      <c r="CQ146" s="12" t="s">
        <v>74</v>
      </c>
      <c r="CR146" s="150" t="s">
        <v>282</v>
      </c>
    </row>
    <row r="147" spans="2:110" s="11" customFormat="1" x14ac:dyDescent="0.2">
      <c r="B147" s="143"/>
      <c r="D147" s="138" t="s">
        <v>301</v>
      </c>
      <c r="E147" s="144" t="s">
        <v>1</v>
      </c>
      <c r="F147" s="145" t="s">
        <v>968</v>
      </c>
      <c r="H147" s="144" t="s">
        <v>1</v>
      </c>
      <c r="I147" s="146"/>
      <c r="L147" s="143"/>
      <c r="N147" s="215"/>
      <c r="O147" s="216"/>
      <c r="Q147" s="230"/>
      <c r="BF147" s="147"/>
      <c r="BM147" s="148"/>
      <c r="CM147" s="144" t="s">
        <v>301</v>
      </c>
      <c r="CN147" s="144" t="s">
        <v>83</v>
      </c>
      <c r="CO147" s="11" t="s">
        <v>81</v>
      </c>
      <c r="CP147" s="11" t="s">
        <v>32</v>
      </c>
      <c r="CQ147" s="11" t="s">
        <v>74</v>
      </c>
      <c r="CR147" s="144" t="s">
        <v>282</v>
      </c>
    </row>
    <row r="148" spans="2:110" s="12" customFormat="1" x14ac:dyDescent="0.2">
      <c r="B148" s="149"/>
      <c r="D148" s="138" t="s">
        <v>301</v>
      </c>
      <c r="E148" s="150" t="s">
        <v>1</v>
      </c>
      <c r="F148" s="151" t="s">
        <v>1356</v>
      </c>
      <c r="H148" s="152">
        <v>2.2469999999999999</v>
      </c>
      <c r="I148" s="153"/>
      <c r="L148" s="149"/>
      <c r="N148" s="217">
        <f>10.28*1*(2.2-0.1)*0.1</f>
        <v>2.1588000000000003</v>
      </c>
      <c r="O148" s="218" t="s">
        <v>3732</v>
      </c>
      <c r="Q148" s="231"/>
      <c r="BF148" s="154"/>
      <c r="BM148" s="155"/>
      <c r="CM148" s="150" t="s">
        <v>301</v>
      </c>
      <c r="CN148" s="150" t="s">
        <v>83</v>
      </c>
      <c r="CO148" s="12" t="s">
        <v>83</v>
      </c>
      <c r="CP148" s="12" t="s">
        <v>32</v>
      </c>
      <c r="CQ148" s="12" t="s">
        <v>74</v>
      </c>
      <c r="CR148" s="150" t="s">
        <v>282</v>
      </c>
    </row>
    <row r="149" spans="2:110" s="14" customFormat="1" x14ac:dyDescent="0.2">
      <c r="B149" s="163"/>
      <c r="D149" s="138" t="s">
        <v>301</v>
      </c>
      <c r="E149" s="164" t="s">
        <v>1</v>
      </c>
      <c r="F149" s="165" t="s">
        <v>373</v>
      </c>
      <c r="H149" s="166">
        <v>19.100000000000001</v>
      </c>
      <c r="I149" s="167"/>
      <c r="L149" s="163"/>
      <c r="N149" s="221">
        <f>N146+N148</f>
        <v>18.349800000000002</v>
      </c>
      <c r="O149" s="222"/>
      <c r="Q149" s="233"/>
      <c r="BF149" s="168"/>
      <c r="BM149" s="169"/>
      <c r="CM149" s="164" t="s">
        <v>301</v>
      </c>
      <c r="CN149" s="164" t="s">
        <v>83</v>
      </c>
      <c r="CO149" s="14" t="s">
        <v>90</v>
      </c>
      <c r="CP149" s="14" t="s">
        <v>32</v>
      </c>
      <c r="CQ149" s="14" t="s">
        <v>74</v>
      </c>
      <c r="CR149" s="164" t="s">
        <v>282</v>
      </c>
    </row>
    <row r="150" spans="2:110" s="12" customFormat="1" x14ac:dyDescent="0.2">
      <c r="B150" s="149"/>
      <c r="D150" s="138" t="s">
        <v>301</v>
      </c>
      <c r="E150" s="150" t="s">
        <v>1</v>
      </c>
      <c r="F150" s="151" t="s">
        <v>1357</v>
      </c>
      <c r="H150" s="152">
        <v>9.5500000000000007</v>
      </c>
      <c r="I150" s="153"/>
      <c r="L150" s="149"/>
      <c r="N150" s="217">
        <f>N149*0.5</f>
        <v>9.1749000000000009</v>
      </c>
      <c r="O150" s="218"/>
      <c r="Q150" s="231"/>
      <c r="BF150" s="154"/>
      <c r="BM150" s="155"/>
      <c r="CM150" s="150" t="s">
        <v>301</v>
      </c>
      <c r="CN150" s="150" t="s">
        <v>83</v>
      </c>
      <c r="CO150" s="12" t="s">
        <v>83</v>
      </c>
      <c r="CP150" s="12" t="s">
        <v>32</v>
      </c>
      <c r="CQ150" s="12" t="s">
        <v>81</v>
      </c>
      <c r="CR150" s="150" t="s">
        <v>282</v>
      </c>
    </row>
    <row r="151" spans="2:110" s="12" customFormat="1" x14ac:dyDescent="0.2">
      <c r="B151" s="149"/>
      <c r="D151" s="138"/>
      <c r="E151" s="150"/>
      <c r="F151" s="151"/>
      <c r="H151" s="152"/>
      <c r="I151" s="153"/>
      <c r="L151" s="149"/>
      <c r="N151" s="310">
        <f>N150-H150</f>
        <v>-0.37509999999999977</v>
      </c>
      <c r="O151" s="218"/>
      <c r="Q151" s="231"/>
      <c r="BF151" s="154"/>
      <c r="BM151" s="155"/>
      <c r="CM151" s="150"/>
      <c r="CN151" s="150"/>
      <c r="CR151" s="150"/>
    </row>
    <row r="152" spans="2:110" s="1" customFormat="1" ht="24.2" customHeight="1" x14ac:dyDescent="0.2">
      <c r="B152" s="124"/>
      <c r="C152" s="125" t="s">
        <v>318</v>
      </c>
      <c r="D152" s="125" t="s">
        <v>284</v>
      </c>
      <c r="E152" s="126" t="s">
        <v>375</v>
      </c>
      <c r="F152" s="127" t="s">
        <v>376</v>
      </c>
      <c r="G152" s="128" t="s">
        <v>366</v>
      </c>
      <c r="H152" s="129">
        <v>9.5500000000000007</v>
      </c>
      <c r="I152" s="130">
        <v>390.55963566140201</v>
      </c>
      <c r="J152" s="131">
        <f>ROUND(I152*H152,2)</f>
        <v>3729.84</v>
      </c>
      <c r="K152" s="127" t="s">
        <v>293</v>
      </c>
      <c r="L152" s="268">
        <f>S152</f>
        <v>0</v>
      </c>
      <c r="M152" s="272">
        <f>ROUND(L152*I152,2)</f>
        <v>0</v>
      </c>
      <c r="N152" s="243">
        <f>N142</f>
        <v>-0.37509999999999977</v>
      </c>
      <c r="O152" s="294">
        <f>ROUND(N152*I152,2)</f>
        <v>-146.5</v>
      </c>
      <c r="P152" s="273">
        <f>H152-L152-N152</f>
        <v>9.9251000000000005</v>
      </c>
      <c r="Q152" s="287">
        <f>ROUND(P152*I152,2)</f>
        <v>3876.34</v>
      </c>
      <c r="R152" s="137"/>
      <c r="S152" s="269">
        <f>W152+Y152+AA152+AC152+AE152+AG152</f>
        <v>0</v>
      </c>
      <c r="T152" s="269">
        <f>ROUND(S152*I152,2)</f>
        <v>0</v>
      </c>
      <c r="U152" s="269">
        <f>H152-S152</f>
        <v>9.5500000000000007</v>
      </c>
      <c r="V152" s="269">
        <f>ROUND(U152*I152,2)</f>
        <v>3729.84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BF152" s="132" t="s">
        <v>1</v>
      </c>
      <c r="BG152" s="133" t="s">
        <v>40</v>
      </c>
      <c r="BI152" s="134">
        <f>BH152*H152</f>
        <v>0</v>
      </c>
      <c r="BJ152" s="134">
        <v>0</v>
      </c>
      <c r="BK152" s="134">
        <f>BJ152*H152</f>
        <v>0</v>
      </c>
      <c r="BL152" s="134">
        <v>0</v>
      </c>
      <c r="BM152" s="135">
        <f>BL152*H152</f>
        <v>0</v>
      </c>
      <c r="CK152" s="136" t="s">
        <v>95</v>
      </c>
      <c r="CM152" s="136" t="s">
        <v>284</v>
      </c>
      <c r="CN152" s="136" t="s">
        <v>83</v>
      </c>
      <c r="CR152" s="16" t="s">
        <v>282</v>
      </c>
      <c r="CX152" s="137">
        <f>IF(BG152="základní",J152,0)</f>
        <v>3729.84</v>
      </c>
      <c r="CY152" s="137">
        <f>IF(BG152="snížená",J152,0)</f>
        <v>0</v>
      </c>
      <c r="CZ152" s="137">
        <f>IF(BG152="zákl. přenesená",J152,0)</f>
        <v>0</v>
      </c>
      <c r="DA152" s="137">
        <f>IF(BG152="sníž. přenesená",J152,0)</f>
        <v>0</v>
      </c>
      <c r="DB152" s="137">
        <f>IF(BG152="nulová",J152,0)</f>
        <v>0</v>
      </c>
      <c r="DC152" s="16" t="s">
        <v>81</v>
      </c>
      <c r="DD152" s="137">
        <f>ROUND(I152*H152,2)</f>
        <v>3729.84</v>
      </c>
      <c r="DE152" s="16" t="s">
        <v>95</v>
      </c>
      <c r="DF152" s="136" t="s">
        <v>377</v>
      </c>
    </row>
    <row r="153" spans="2:110" s="1" customFormat="1" ht="39" x14ac:dyDescent="0.2">
      <c r="B153" s="31"/>
      <c r="D153" s="138" t="s">
        <v>289</v>
      </c>
      <c r="F153" s="139" t="s">
        <v>378</v>
      </c>
      <c r="I153" s="140"/>
      <c r="L153" s="31"/>
      <c r="N153" s="213"/>
      <c r="O153" s="214"/>
      <c r="Q153" s="229"/>
      <c r="BF153" s="141"/>
      <c r="BM153" s="50"/>
      <c r="CM153" s="16" t="s">
        <v>289</v>
      </c>
      <c r="CN153" s="16" t="s">
        <v>83</v>
      </c>
    </row>
    <row r="154" spans="2:110" s="1" customFormat="1" ht="39" x14ac:dyDescent="0.2">
      <c r="B154" s="31"/>
      <c r="D154" s="138" t="s">
        <v>299</v>
      </c>
      <c r="F154" s="142" t="s">
        <v>1090</v>
      </c>
      <c r="I154" s="140"/>
      <c r="L154" s="31"/>
      <c r="N154" s="213"/>
      <c r="O154" s="214"/>
      <c r="Q154" s="229"/>
      <c r="BF154" s="141"/>
      <c r="BM154" s="50"/>
      <c r="CM154" s="16" t="s">
        <v>299</v>
      </c>
      <c r="CN154" s="16" t="s">
        <v>83</v>
      </c>
    </row>
    <row r="155" spans="2:110" s="1" customFormat="1" ht="24.2" customHeight="1" x14ac:dyDescent="0.2">
      <c r="B155" s="124"/>
      <c r="C155" s="125" t="s">
        <v>323</v>
      </c>
      <c r="D155" s="125" t="s">
        <v>284</v>
      </c>
      <c r="E155" s="126" t="s">
        <v>380</v>
      </c>
      <c r="F155" s="127" t="s">
        <v>381</v>
      </c>
      <c r="G155" s="128" t="s">
        <v>366</v>
      </c>
      <c r="H155" s="129">
        <v>3.82</v>
      </c>
      <c r="I155" s="130">
        <v>650.27058629099099</v>
      </c>
      <c r="J155" s="131">
        <f>ROUND(I155*H155,2)</f>
        <v>2484.0300000000002</v>
      </c>
      <c r="K155" s="127" t="s">
        <v>293</v>
      </c>
      <c r="L155" s="268">
        <f>S155</f>
        <v>0</v>
      </c>
      <c r="M155" s="272">
        <f>ROUND(L155*I155,2)</f>
        <v>0</v>
      </c>
      <c r="N155" s="243">
        <f>N159</f>
        <v>-0.14999999999999947</v>
      </c>
      <c r="O155" s="294">
        <f>ROUND(N155*I155,2)</f>
        <v>-97.54</v>
      </c>
      <c r="P155" s="273">
        <f>H155-L155-N155</f>
        <v>3.9699999999999993</v>
      </c>
      <c r="Q155" s="287">
        <f>ROUND(P155*I155,2)</f>
        <v>2581.5700000000002</v>
      </c>
      <c r="R155" s="137"/>
      <c r="S155" s="269">
        <f>W155+Y155+AA155+AC155+AE155+AG155</f>
        <v>0</v>
      </c>
      <c r="T155" s="269">
        <f>ROUND(S155*I155,2)</f>
        <v>0</v>
      </c>
      <c r="U155" s="269">
        <f>H155-S155</f>
        <v>3.82</v>
      </c>
      <c r="V155" s="269">
        <f>ROUND(U155*I155,2)</f>
        <v>2484.0300000000002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BF155" s="132" t="s">
        <v>1</v>
      </c>
      <c r="BG155" s="133" t="s">
        <v>40</v>
      </c>
      <c r="BI155" s="134">
        <f>BH155*H155</f>
        <v>0</v>
      </c>
      <c r="BJ155" s="134">
        <v>0</v>
      </c>
      <c r="BK155" s="134">
        <f>BJ155*H155</f>
        <v>0</v>
      </c>
      <c r="BL155" s="134">
        <v>0</v>
      </c>
      <c r="BM155" s="135">
        <f>BL155*H155</f>
        <v>0</v>
      </c>
      <c r="CK155" s="136" t="s">
        <v>95</v>
      </c>
      <c r="CM155" s="136" t="s">
        <v>284</v>
      </c>
      <c r="CN155" s="136" t="s">
        <v>83</v>
      </c>
      <c r="CR155" s="16" t="s">
        <v>282</v>
      </c>
      <c r="CX155" s="137">
        <f>IF(BG155="základní",J155,0)</f>
        <v>2484.0300000000002</v>
      </c>
      <c r="CY155" s="137">
        <f>IF(BG155="snížená",J155,0)</f>
        <v>0</v>
      </c>
      <c r="CZ155" s="137">
        <f>IF(BG155="zákl. přenesená",J155,0)</f>
        <v>0</v>
      </c>
      <c r="DA155" s="137">
        <f>IF(BG155="sníž. přenesená",J155,0)</f>
        <v>0</v>
      </c>
      <c r="DB155" s="137">
        <f>IF(BG155="nulová",J155,0)</f>
        <v>0</v>
      </c>
      <c r="DC155" s="16" t="s">
        <v>81</v>
      </c>
      <c r="DD155" s="137">
        <f>ROUND(I155*H155,2)</f>
        <v>2484.0300000000002</v>
      </c>
      <c r="DE155" s="16" t="s">
        <v>95</v>
      </c>
      <c r="DF155" s="136" t="s">
        <v>382</v>
      </c>
    </row>
    <row r="156" spans="2:110" s="1" customFormat="1" ht="29.25" x14ac:dyDescent="0.2">
      <c r="B156" s="31"/>
      <c r="D156" s="138" t="s">
        <v>289</v>
      </c>
      <c r="F156" s="139" t="s">
        <v>383</v>
      </c>
      <c r="I156" s="140"/>
      <c r="L156" s="31"/>
      <c r="N156" s="213"/>
      <c r="O156" s="214"/>
      <c r="Q156" s="229"/>
      <c r="BF156" s="141"/>
      <c r="BM156" s="50"/>
      <c r="CM156" s="16" t="s">
        <v>289</v>
      </c>
      <c r="CN156" s="16" t="s">
        <v>83</v>
      </c>
    </row>
    <row r="157" spans="2:110" s="11" customFormat="1" x14ac:dyDescent="0.2">
      <c r="B157" s="143"/>
      <c r="D157" s="138" t="s">
        <v>301</v>
      </c>
      <c r="E157" s="144" t="s">
        <v>1</v>
      </c>
      <c r="F157" s="145" t="s">
        <v>384</v>
      </c>
      <c r="H157" s="144" t="s">
        <v>1</v>
      </c>
      <c r="I157" s="146"/>
      <c r="L157" s="143"/>
      <c r="N157" s="215"/>
      <c r="O157" s="216"/>
      <c r="Q157" s="230"/>
      <c r="BF157" s="147"/>
      <c r="BM157" s="148"/>
      <c r="CM157" s="144" t="s">
        <v>301</v>
      </c>
      <c r="CN157" s="144" t="s">
        <v>83</v>
      </c>
      <c r="CO157" s="11" t="s">
        <v>81</v>
      </c>
      <c r="CP157" s="11" t="s">
        <v>32</v>
      </c>
      <c r="CQ157" s="11" t="s">
        <v>74</v>
      </c>
      <c r="CR157" s="144" t="s">
        <v>282</v>
      </c>
    </row>
    <row r="158" spans="2:110" s="12" customFormat="1" x14ac:dyDescent="0.2">
      <c r="B158" s="149"/>
      <c r="D158" s="138" t="s">
        <v>301</v>
      </c>
      <c r="E158" s="150" t="s">
        <v>1</v>
      </c>
      <c r="F158" s="151" t="s">
        <v>1358</v>
      </c>
      <c r="H158" s="152">
        <v>3.82</v>
      </c>
      <c r="I158" s="153"/>
      <c r="L158" s="149"/>
      <c r="N158" s="217">
        <f>(9.175+9.175)*0.2</f>
        <v>3.6700000000000004</v>
      </c>
      <c r="O158" s="218" t="s">
        <v>3733</v>
      </c>
      <c r="Q158" s="231"/>
      <c r="BF158" s="154"/>
      <c r="BM158" s="155"/>
      <c r="CM158" s="150" t="s">
        <v>301</v>
      </c>
      <c r="CN158" s="150" t="s">
        <v>83</v>
      </c>
      <c r="CO158" s="12" t="s">
        <v>83</v>
      </c>
      <c r="CP158" s="12" t="s">
        <v>32</v>
      </c>
      <c r="CQ158" s="12" t="s">
        <v>81</v>
      </c>
      <c r="CR158" s="150" t="s">
        <v>282</v>
      </c>
    </row>
    <row r="159" spans="2:110" s="12" customFormat="1" x14ac:dyDescent="0.2">
      <c r="B159" s="149"/>
      <c r="D159" s="138"/>
      <c r="E159" s="150"/>
      <c r="F159" s="151"/>
      <c r="H159" s="152"/>
      <c r="I159" s="153"/>
      <c r="L159" s="149"/>
      <c r="N159" s="310">
        <f>N158-H158</f>
        <v>-0.14999999999999947</v>
      </c>
      <c r="O159" s="218"/>
      <c r="Q159" s="231"/>
      <c r="BF159" s="154"/>
      <c r="BM159" s="155"/>
      <c r="CM159" s="150"/>
      <c r="CN159" s="150"/>
      <c r="CR159" s="150"/>
    </row>
    <row r="160" spans="2:110" s="1" customFormat="1" ht="14.45" customHeight="1" x14ac:dyDescent="0.2">
      <c r="B160" s="124"/>
      <c r="C160" s="125" t="s">
        <v>328</v>
      </c>
      <c r="D160" s="125" t="s">
        <v>284</v>
      </c>
      <c r="E160" s="126" t="s">
        <v>387</v>
      </c>
      <c r="F160" s="127" t="s">
        <v>388</v>
      </c>
      <c r="G160" s="128" t="s">
        <v>287</v>
      </c>
      <c r="H160" s="129">
        <v>47.08</v>
      </c>
      <c r="I160" s="130">
        <v>156.6895922457376</v>
      </c>
      <c r="J160" s="131">
        <f>ROUND(I160*H160,2)</f>
        <v>7376.95</v>
      </c>
      <c r="K160" s="127" t="s">
        <v>293</v>
      </c>
      <c r="L160" s="268">
        <f>S160</f>
        <v>0</v>
      </c>
      <c r="M160" s="272">
        <f>ROUND(L160*I160,2)</f>
        <v>0</v>
      </c>
      <c r="N160" s="243">
        <f>N164</f>
        <v>-1.847999999999999</v>
      </c>
      <c r="O160" s="294">
        <f>ROUND(N160*I160,2)</f>
        <v>-289.56</v>
      </c>
      <c r="P160" s="273">
        <f>H160-L160-N160</f>
        <v>48.927999999999997</v>
      </c>
      <c r="Q160" s="287">
        <f>ROUND(P160*I160,2)</f>
        <v>7666.51</v>
      </c>
      <c r="R160" s="137"/>
      <c r="S160" s="269">
        <f>W160+Y160+AA160+AC160+AE160+AG160</f>
        <v>0</v>
      </c>
      <c r="T160" s="269">
        <f>ROUND(S160*I160,2)</f>
        <v>0</v>
      </c>
      <c r="U160" s="269">
        <f>H160-S160</f>
        <v>47.08</v>
      </c>
      <c r="V160" s="269">
        <f>ROUND(U160*I160,2)</f>
        <v>7376.95</v>
      </c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BF160" s="132" t="s">
        <v>1</v>
      </c>
      <c r="BG160" s="133" t="s">
        <v>40</v>
      </c>
      <c r="BI160" s="134">
        <f>BH160*H160</f>
        <v>0</v>
      </c>
      <c r="BJ160" s="134">
        <v>5.9000000000000003E-4</v>
      </c>
      <c r="BK160" s="134">
        <f>BJ160*H160</f>
        <v>2.7777200000000002E-2</v>
      </c>
      <c r="BL160" s="134">
        <v>0</v>
      </c>
      <c r="BM160" s="135">
        <f>BL160*H160</f>
        <v>0</v>
      </c>
      <c r="CK160" s="136" t="s">
        <v>95</v>
      </c>
      <c r="CM160" s="136" t="s">
        <v>284</v>
      </c>
      <c r="CN160" s="136" t="s">
        <v>83</v>
      </c>
      <c r="CR160" s="16" t="s">
        <v>282</v>
      </c>
      <c r="CX160" s="137">
        <f>IF(BG160="základní",J160,0)</f>
        <v>7376.95</v>
      </c>
      <c r="CY160" s="137">
        <f>IF(BG160="snížená",J160,0)</f>
        <v>0</v>
      </c>
      <c r="CZ160" s="137">
        <f>IF(BG160="zákl. přenesená",J160,0)</f>
        <v>0</v>
      </c>
      <c r="DA160" s="137">
        <f>IF(BG160="sníž. přenesená",J160,0)</f>
        <v>0</v>
      </c>
      <c r="DB160" s="137">
        <f>IF(BG160="nulová",J160,0)</f>
        <v>0</v>
      </c>
      <c r="DC160" s="16" t="s">
        <v>81</v>
      </c>
      <c r="DD160" s="137">
        <f>ROUND(I160*H160,2)</f>
        <v>7376.95</v>
      </c>
      <c r="DE160" s="16" t="s">
        <v>95</v>
      </c>
      <c r="DF160" s="136" t="s">
        <v>389</v>
      </c>
    </row>
    <row r="161" spans="2:110" s="1" customFormat="1" ht="19.5" x14ac:dyDescent="0.2">
      <c r="B161" s="31"/>
      <c r="D161" s="138" t="s">
        <v>289</v>
      </c>
      <c r="F161" s="139" t="s">
        <v>390</v>
      </c>
      <c r="I161" s="140"/>
      <c r="L161" s="31"/>
      <c r="N161" s="213"/>
      <c r="O161" s="214"/>
      <c r="Q161" s="229"/>
      <c r="BF161" s="141"/>
      <c r="BM161" s="50"/>
      <c r="CM161" s="16" t="s">
        <v>289</v>
      </c>
      <c r="CN161" s="16" t="s">
        <v>83</v>
      </c>
    </row>
    <row r="162" spans="2:110" s="1" customFormat="1" ht="29.25" x14ac:dyDescent="0.2">
      <c r="B162" s="31"/>
      <c r="D162" s="138" t="s">
        <v>299</v>
      </c>
      <c r="F162" s="142" t="s">
        <v>1083</v>
      </c>
      <c r="I162" s="140"/>
      <c r="L162" s="31"/>
      <c r="N162" s="213"/>
      <c r="O162" s="214"/>
      <c r="Q162" s="229"/>
      <c r="BF162" s="141"/>
      <c r="BM162" s="50"/>
      <c r="CM162" s="16" t="s">
        <v>299</v>
      </c>
      <c r="CN162" s="16" t="s">
        <v>83</v>
      </c>
    </row>
    <row r="163" spans="2:110" s="12" customFormat="1" x14ac:dyDescent="0.2">
      <c r="B163" s="149"/>
      <c r="D163" s="138" t="s">
        <v>301</v>
      </c>
      <c r="E163" s="150" t="s">
        <v>1</v>
      </c>
      <c r="F163" s="151" t="s">
        <v>1359</v>
      </c>
      <c r="H163" s="152">
        <v>47.08</v>
      </c>
      <c r="I163" s="153"/>
      <c r="L163" s="149"/>
      <c r="N163" s="217">
        <f>10.28*2.2*2</f>
        <v>45.231999999999999</v>
      </c>
      <c r="O163" s="218" t="s">
        <v>3734</v>
      </c>
      <c r="Q163" s="231"/>
      <c r="BF163" s="154"/>
      <c r="BM163" s="155"/>
      <c r="CM163" s="150" t="s">
        <v>301</v>
      </c>
      <c r="CN163" s="150" t="s">
        <v>83</v>
      </c>
      <c r="CO163" s="12" t="s">
        <v>83</v>
      </c>
      <c r="CP163" s="12" t="s">
        <v>32</v>
      </c>
      <c r="CQ163" s="12" t="s">
        <v>81</v>
      </c>
      <c r="CR163" s="150" t="s">
        <v>282</v>
      </c>
    </row>
    <row r="164" spans="2:110" s="12" customFormat="1" x14ac:dyDescent="0.2">
      <c r="B164" s="149"/>
      <c r="D164" s="138"/>
      <c r="E164" s="150"/>
      <c r="F164" s="151"/>
      <c r="H164" s="152"/>
      <c r="I164" s="153"/>
      <c r="L164" s="149"/>
      <c r="N164" s="310">
        <f>N163-H163</f>
        <v>-1.847999999999999</v>
      </c>
      <c r="O164" s="218"/>
      <c r="Q164" s="231"/>
      <c r="BF164" s="154"/>
      <c r="BM164" s="155"/>
      <c r="CM164" s="150"/>
      <c r="CN164" s="150"/>
      <c r="CR164" s="150"/>
    </row>
    <row r="165" spans="2:110" s="1" customFormat="1" ht="14.45" customHeight="1" x14ac:dyDescent="0.2">
      <c r="B165" s="124"/>
      <c r="C165" s="125" t="s">
        <v>335</v>
      </c>
      <c r="D165" s="125" t="s">
        <v>284</v>
      </c>
      <c r="E165" s="126" t="s">
        <v>393</v>
      </c>
      <c r="F165" s="127" t="s">
        <v>394</v>
      </c>
      <c r="G165" s="128" t="s">
        <v>287</v>
      </c>
      <c r="H165" s="129">
        <v>47.08</v>
      </c>
      <c r="I165" s="130">
        <v>103.33666316345877</v>
      </c>
      <c r="J165" s="131">
        <f>ROUND(I165*H165,2)</f>
        <v>4865.09</v>
      </c>
      <c r="K165" s="127" t="s">
        <v>293</v>
      </c>
      <c r="L165" s="268">
        <f>S165</f>
        <v>0</v>
      </c>
      <c r="M165" s="272">
        <f>ROUND(L165*I165,2)</f>
        <v>0</v>
      </c>
      <c r="N165" s="243">
        <f>N160</f>
        <v>-1.847999999999999</v>
      </c>
      <c r="O165" s="294">
        <f>ROUND(N165*I165,2)</f>
        <v>-190.97</v>
      </c>
      <c r="P165" s="273">
        <f>H165-L165-N165</f>
        <v>48.927999999999997</v>
      </c>
      <c r="Q165" s="287">
        <f>ROUND(P165*I165,2)</f>
        <v>5056.0600000000004</v>
      </c>
      <c r="R165" s="137"/>
      <c r="S165" s="269">
        <f>W165+Y165+AA165+AC165+AE165+AG165</f>
        <v>0</v>
      </c>
      <c r="T165" s="269">
        <f>ROUND(S165*I165,2)</f>
        <v>0</v>
      </c>
      <c r="U165" s="269">
        <f>H165-S165</f>
        <v>47.08</v>
      </c>
      <c r="V165" s="269">
        <f>ROUND(U165*I165,2)</f>
        <v>4865.09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BF165" s="132" t="s">
        <v>1</v>
      </c>
      <c r="BG165" s="133" t="s">
        <v>40</v>
      </c>
      <c r="BI165" s="134">
        <f>BH165*H165</f>
        <v>0</v>
      </c>
      <c r="BJ165" s="134">
        <v>0</v>
      </c>
      <c r="BK165" s="134">
        <f>BJ165*H165</f>
        <v>0</v>
      </c>
      <c r="BL165" s="134">
        <v>0</v>
      </c>
      <c r="BM165" s="135">
        <f>BL165*H165</f>
        <v>0</v>
      </c>
      <c r="CK165" s="136" t="s">
        <v>95</v>
      </c>
      <c r="CM165" s="136" t="s">
        <v>284</v>
      </c>
      <c r="CN165" s="136" t="s">
        <v>83</v>
      </c>
      <c r="CR165" s="16" t="s">
        <v>282</v>
      </c>
      <c r="CX165" s="137">
        <f>IF(BG165="základní",J165,0)</f>
        <v>4865.09</v>
      </c>
      <c r="CY165" s="137">
        <f>IF(BG165="snížená",J165,0)</f>
        <v>0</v>
      </c>
      <c r="CZ165" s="137">
        <f>IF(BG165="zákl. přenesená",J165,0)</f>
        <v>0</v>
      </c>
      <c r="DA165" s="137">
        <f>IF(BG165="sníž. přenesená",J165,0)</f>
        <v>0</v>
      </c>
      <c r="DB165" s="137">
        <f>IF(BG165="nulová",J165,0)</f>
        <v>0</v>
      </c>
      <c r="DC165" s="16" t="s">
        <v>81</v>
      </c>
      <c r="DD165" s="137">
        <f>ROUND(I165*H165,2)</f>
        <v>4865.09</v>
      </c>
      <c r="DE165" s="16" t="s">
        <v>95</v>
      </c>
      <c r="DF165" s="136" t="s">
        <v>395</v>
      </c>
    </row>
    <row r="166" spans="2:110" s="1" customFormat="1" ht="19.5" x14ac:dyDescent="0.2">
      <c r="B166" s="31"/>
      <c r="D166" s="138" t="s">
        <v>289</v>
      </c>
      <c r="F166" s="139" t="s">
        <v>396</v>
      </c>
      <c r="I166" s="140"/>
      <c r="L166" s="31"/>
      <c r="N166" s="213"/>
      <c r="O166" s="214"/>
      <c r="Q166" s="229"/>
      <c r="BF166" s="141"/>
      <c r="BM166" s="50"/>
      <c r="CM166" s="16" t="s">
        <v>289</v>
      </c>
      <c r="CN166" s="16" t="s">
        <v>83</v>
      </c>
    </row>
    <row r="167" spans="2:110" s="1" customFormat="1" ht="37.9" customHeight="1" x14ac:dyDescent="0.2">
      <c r="B167" s="124"/>
      <c r="C167" s="125" t="s">
        <v>341</v>
      </c>
      <c r="D167" s="125" t="s">
        <v>284</v>
      </c>
      <c r="E167" s="126" t="s">
        <v>398</v>
      </c>
      <c r="F167" s="127" t="s">
        <v>399</v>
      </c>
      <c r="G167" s="128" t="s">
        <v>366</v>
      </c>
      <c r="H167" s="129">
        <v>19.420999999999999</v>
      </c>
      <c r="I167" s="130">
        <v>262.06861194786097</v>
      </c>
      <c r="J167" s="131">
        <f>ROUND(I167*H167,2)</f>
        <v>5089.63</v>
      </c>
      <c r="K167" s="127" t="s">
        <v>293</v>
      </c>
      <c r="L167" s="268">
        <f>S167</f>
        <v>0</v>
      </c>
      <c r="M167" s="272">
        <f>ROUND(L167*I167,2)</f>
        <v>0</v>
      </c>
      <c r="N167" s="243">
        <f>N174</f>
        <v>-0.76260000000000261</v>
      </c>
      <c r="O167" s="294">
        <f>ROUND(N167*I167,2)</f>
        <v>-199.85</v>
      </c>
      <c r="P167" s="273">
        <f>H167-L167-N167</f>
        <v>20.183600000000002</v>
      </c>
      <c r="Q167" s="287">
        <f>ROUND(P167*I167,2)</f>
        <v>5289.49</v>
      </c>
      <c r="R167" s="137"/>
      <c r="S167" s="269">
        <f>W167+Y167+AA167+AC167+AE167+AG167</f>
        <v>0</v>
      </c>
      <c r="T167" s="269">
        <f>ROUND(S167*I167,2)</f>
        <v>0</v>
      </c>
      <c r="U167" s="269">
        <f>H167-S167</f>
        <v>19.420999999999999</v>
      </c>
      <c r="V167" s="269">
        <f>ROUND(U167*I167,2)</f>
        <v>5089.63</v>
      </c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BF167" s="132" t="s">
        <v>1</v>
      </c>
      <c r="BG167" s="133" t="s">
        <v>40</v>
      </c>
      <c r="BI167" s="134">
        <f>BH167*H167</f>
        <v>0</v>
      </c>
      <c r="BJ167" s="134">
        <v>0</v>
      </c>
      <c r="BK167" s="134">
        <f>BJ167*H167</f>
        <v>0</v>
      </c>
      <c r="BL167" s="134">
        <v>0</v>
      </c>
      <c r="BM167" s="135">
        <f>BL167*H167</f>
        <v>0</v>
      </c>
      <c r="CK167" s="136" t="s">
        <v>95</v>
      </c>
      <c r="CM167" s="136" t="s">
        <v>284</v>
      </c>
      <c r="CN167" s="136" t="s">
        <v>83</v>
      </c>
      <c r="CR167" s="16" t="s">
        <v>282</v>
      </c>
      <c r="CX167" s="137">
        <f>IF(BG167="základní",J167,0)</f>
        <v>5089.63</v>
      </c>
      <c r="CY167" s="137">
        <f>IF(BG167="snížená",J167,0)</f>
        <v>0</v>
      </c>
      <c r="CZ167" s="137">
        <f>IF(BG167="zákl. přenesená",J167,0)</f>
        <v>0</v>
      </c>
      <c r="DA167" s="137">
        <f>IF(BG167="sníž. přenesená",J167,0)</f>
        <v>0</v>
      </c>
      <c r="DB167" s="137">
        <f>IF(BG167="nulová",J167,0)</f>
        <v>0</v>
      </c>
      <c r="DC167" s="16" t="s">
        <v>81</v>
      </c>
      <c r="DD167" s="137">
        <f>ROUND(I167*H167,2)</f>
        <v>5089.63</v>
      </c>
      <c r="DE167" s="16" t="s">
        <v>95</v>
      </c>
      <c r="DF167" s="136" t="s">
        <v>400</v>
      </c>
    </row>
    <row r="168" spans="2:110" s="1" customFormat="1" ht="39" x14ac:dyDescent="0.2">
      <c r="B168" s="31"/>
      <c r="D168" s="138" t="s">
        <v>289</v>
      </c>
      <c r="F168" s="139" t="s">
        <v>401</v>
      </c>
      <c r="I168" s="140"/>
      <c r="L168" s="31"/>
      <c r="N168" s="213"/>
      <c r="O168" s="214"/>
      <c r="Q168" s="229"/>
      <c r="BF168" s="141"/>
      <c r="BM168" s="50"/>
      <c r="CM168" s="16" t="s">
        <v>289</v>
      </c>
      <c r="CN168" s="16" t="s">
        <v>83</v>
      </c>
    </row>
    <row r="169" spans="2:110" s="11" customFormat="1" x14ac:dyDescent="0.2">
      <c r="B169" s="143"/>
      <c r="D169" s="138" t="s">
        <v>301</v>
      </c>
      <c r="E169" s="144" t="s">
        <v>1</v>
      </c>
      <c r="F169" s="145" t="s">
        <v>402</v>
      </c>
      <c r="H169" s="144" t="s">
        <v>1</v>
      </c>
      <c r="I169" s="146"/>
      <c r="L169" s="143"/>
      <c r="N169" s="215"/>
      <c r="O169" s="216"/>
      <c r="Q169" s="230"/>
      <c r="BF169" s="147"/>
      <c r="BM169" s="148"/>
      <c r="CM169" s="144" t="s">
        <v>301</v>
      </c>
      <c r="CN169" s="144" t="s">
        <v>83</v>
      </c>
      <c r="CO169" s="11" t="s">
        <v>81</v>
      </c>
      <c r="CP169" s="11" t="s">
        <v>32</v>
      </c>
      <c r="CQ169" s="11" t="s">
        <v>74</v>
      </c>
      <c r="CR169" s="144" t="s">
        <v>282</v>
      </c>
    </row>
    <row r="170" spans="2:110" s="12" customFormat="1" x14ac:dyDescent="0.2">
      <c r="B170" s="149"/>
      <c r="D170" s="138" t="s">
        <v>301</v>
      </c>
      <c r="E170" s="150" t="s">
        <v>1</v>
      </c>
      <c r="F170" s="151" t="s">
        <v>1360</v>
      </c>
      <c r="H170" s="152">
        <v>19.100000000000001</v>
      </c>
      <c r="I170" s="153"/>
      <c r="L170" s="149"/>
      <c r="N170" s="217">
        <f>9.175+9.175</f>
        <v>18.350000000000001</v>
      </c>
      <c r="O170" s="218" t="s">
        <v>3735</v>
      </c>
      <c r="Q170" s="231"/>
      <c r="BF170" s="154"/>
      <c r="BM170" s="155"/>
      <c r="CM170" s="150" t="s">
        <v>301</v>
      </c>
      <c r="CN170" s="150" t="s">
        <v>83</v>
      </c>
      <c r="CO170" s="12" t="s">
        <v>83</v>
      </c>
      <c r="CP170" s="12" t="s">
        <v>32</v>
      </c>
      <c r="CQ170" s="12" t="s">
        <v>74</v>
      </c>
      <c r="CR170" s="150" t="s">
        <v>282</v>
      </c>
    </row>
    <row r="171" spans="2:110" s="11" customFormat="1" x14ac:dyDescent="0.2">
      <c r="B171" s="143"/>
      <c r="D171" s="138" t="s">
        <v>301</v>
      </c>
      <c r="E171" s="144" t="s">
        <v>1</v>
      </c>
      <c r="F171" s="145" t="s">
        <v>976</v>
      </c>
      <c r="H171" s="144" t="s">
        <v>1</v>
      </c>
      <c r="I171" s="146"/>
      <c r="L171" s="143"/>
      <c r="N171" s="215"/>
      <c r="O171" s="216"/>
      <c r="Q171" s="230"/>
      <c r="BF171" s="147"/>
      <c r="BM171" s="148"/>
      <c r="CM171" s="144" t="s">
        <v>301</v>
      </c>
      <c r="CN171" s="144" t="s">
        <v>83</v>
      </c>
      <c r="CO171" s="11" t="s">
        <v>81</v>
      </c>
      <c r="CP171" s="11" t="s">
        <v>32</v>
      </c>
      <c r="CQ171" s="11" t="s">
        <v>74</v>
      </c>
      <c r="CR171" s="144" t="s">
        <v>282</v>
      </c>
    </row>
    <row r="172" spans="2:110" s="12" customFormat="1" x14ac:dyDescent="0.2">
      <c r="B172" s="149"/>
      <c r="D172" s="138" t="s">
        <v>301</v>
      </c>
      <c r="E172" s="150" t="s">
        <v>1</v>
      </c>
      <c r="F172" s="151" t="s">
        <v>1361</v>
      </c>
      <c r="H172" s="152">
        <v>0.32100000000000001</v>
      </c>
      <c r="I172" s="153"/>
      <c r="L172" s="149"/>
      <c r="N172" s="217">
        <f>3.084*0.1</f>
        <v>0.30840000000000001</v>
      </c>
      <c r="O172" s="218" t="s">
        <v>3736</v>
      </c>
      <c r="Q172" s="231"/>
      <c r="BF172" s="154"/>
      <c r="BM172" s="155"/>
      <c r="CM172" s="150" t="s">
        <v>301</v>
      </c>
      <c r="CN172" s="150" t="s">
        <v>83</v>
      </c>
      <c r="CO172" s="12" t="s">
        <v>83</v>
      </c>
      <c r="CP172" s="12" t="s">
        <v>32</v>
      </c>
      <c r="CQ172" s="12" t="s">
        <v>74</v>
      </c>
      <c r="CR172" s="150" t="s">
        <v>282</v>
      </c>
    </row>
    <row r="173" spans="2:110" s="13" customFormat="1" x14ac:dyDescent="0.2">
      <c r="B173" s="156"/>
      <c r="D173" s="138" t="s">
        <v>301</v>
      </c>
      <c r="E173" s="157" t="s">
        <v>1</v>
      </c>
      <c r="F173" s="158" t="s">
        <v>305</v>
      </c>
      <c r="H173" s="159">
        <v>19.421000000000003</v>
      </c>
      <c r="I173" s="160"/>
      <c r="L173" s="156"/>
      <c r="N173" s="219">
        <f>N170+N172</f>
        <v>18.6584</v>
      </c>
      <c r="O173" s="220"/>
      <c r="Q173" s="232"/>
      <c r="BF173" s="161"/>
      <c r="BM173" s="162"/>
      <c r="CM173" s="157" t="s">
        <v>301</v>
      </c>
      <c r="CN173" s="157" t="s">
        <v>83</v>
      </c>
      <c r="CO173" s="13" t="s">
        <v>95</v>
      </c>
      <c r="CP173" s="13" t="s">
        <v>32</v>
      </c>
      <c r="CQ173" s="13" t="s">
        <v>81</v>
      </c>
      <c r="CR173" s="157" t="s">
        <v>282</v>
      </c>
    </row>
    <row r="174" spans="2:110" s="13" customFormat="1" x14ac:dyDescent="0.2">
      <c r="B174" s="156"/>
      <c r="D174" s="138"/>
      <c r="E174" s="157"/>
      <c r="F174" s="158"/>
      <c r="H174" s="159"/>
      <c r="I174" s="160"/>
      <c r="L174" s="156"/>
      <c r="N174" s="311">
        <f>N173-H173</f>
        <v>-0.76260000000000261</v>
      </c>
      <c r="O174" s="220"/>
      <c r="Q174" s="232"/>
      <c r="BF174" s="161"/>
      <c r="BM174" s="162"/>
      <c r="CM174" s="157"/>
      <c r="CN174" s="157"/>
      <c r="CR174" s="157"/>
    </row>
    <row r="175" spans="2:110" s="1" customFormat="1" ht="37.9" customHeight="1" x14ac:dyDescent="0.2">
      <c r="B175" s="124"/>
      <c r="C175" s="125" t="s">
        <v>348</v>
      </c>
      <c r="D175" s="125" t="s">
        <v>284</v>
      </c>
      <c r="E175" s="126" t="s">
        <v>978</v>
      </c>
      <c r="F175" s="127" t="s">
        <v>979</v>
      </c>
      <c r="G175" s="128" t="s">
        <v>366</v>
      </c>
      <c r="H175" s="129">
        <v>1.98</v>
      </c>
      <c r="I175" s="130">
        <v>282.06861194786097</v>
      </c>
      <c r="J175" s="131">
        <f>ROUND(I175*H175,2)</f>
        <v>558.5</v>
      </c>
      <c r="K175" s="127" t="s">
        <v>1</v>
      </c>
      <c r="L175" s="268">
        <f>S175</f>
        <v>0</v>
      </c>
      <c r="M175" s="272">
        <f>ROUND(L175*I175,2)</f>
        <v>0</v>
      </c>
      <c r="N175" s="243"/>
      <c r="O175" s="294">
        <f>ROUND(N175*I175,2)</f>
        <v>0</v>
      </c>
      <c r="P175" s="273">
        <f>H175-L175-N175</f>
        <v>1.98</v>
      </c>
      <c r="Q175" s="287">
        <f>ROUND(P175*I175,2)</f>
        <v>558.5</v>
      </c>
      <c r="R175" s="137"/>
      <c r="S175" s="269">
        <f>W175+Y175+AA175+AC175+AE175+AG175</f>
        <v>0</v>
      </c>
      <c r="T175" s="269">
        <f>ROUND(S175*I175,2)</f>
        <v>0</v>
      </c>
      <c r="U175" s="269">
        <f>H175-S175</f>
        <v>1.98</v>
      </c>
      <c r="V175" s="269">
        <f>ROUND(U175*I175,2)</f>
        <v>558.5</v>
      </c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BF175" s="132" t="s">
        <v>1</v>
      </c>
      <c r="BG175" s="133" t="s">
        <v>40</v>
      </c>
      <c r="BI175" s="134">
        <f>BH175*H175</f>
        <v>0</v>
      </c>
      <c r="BJ175" s="134">
        <v>0</v>
      </c>
      <c r="BK175" s="134">
        <f>BJ175*H175</f>
        <v>0</v>
      </c>
      <c r="BL175" s="134">
        <v>0</v>
      </c>
      <c r="BM175" s="135">
        <f>BL175*H175</f>
        <v>0</v>
      </c>
      <c r="CK175" s="136" t="s">
        <v>95</v>
      </c>
      <c r="CM175" s="136" t="s">
        <v>284</v>
      </c>
      <c r="CN175" s="136" t="s">
        <v>83</v>
      </c>
      <c r="CR175" s="16" t="s">
        <v>282</v>
      </c>
      <c r="CX175" s="137">
        <f>IF(BG175="základní",J175,0)</f>
        <v>558.5</v>
      </c>
      <c r="CY175" s="137">
        <f>IF(BG175="snížená",J175,0)</f>
        <v>0</v>
      </c>
      <c r="CZ175" s="137">
        <f>IF(BG175="zákl. přenesená",J175,0)</f>
        <v>0</v>
      </c>
      <c r="DA175" s="137">
        <f>IF(BG175="sníž. přenesená",J175,0)</f>
        <v>0</v>
      </c>
      <c r="DB175" s="137">
        <f>IF(BG175="nulová",J175,0)</f>
        <v>0</v>
      </c>
      <c r="DC175" s="16" t="s">
        <v>81</v>
      </c>
      <c r="DD175" s="137">
        <f>ROUND(I175*H175,2)</f>
        <v>558.5</v>
      </c>
      <c r="DE175" s="16" t="s">
        <v>95</v>
      </c>
      <c r="DF175" s="136" t="s">
        <v>980</v>
      </c>
    </row>
    <row r="176" spans="2:110" s="1" customFormat="1" ht="39" x14ac:dyDescent="0.2">
      <c r="B176" s="31"/>
      <c r="D176" s="138" t="s">
        <v>289</v>
      </c>
      <c r="F176" s="139" t="s">
        <v>401</v>
      </c>
      <c r="I176" s="140"/>
      <c r="L176" s="31"/>
      <c r="N176" s="213"/>
      <c r="O176" s="214"/>
      <c r="Q176" s="229"/>
      <c r="BF176" s="141"/>
      <c r="BM176" s="50"/>
      <c r="CM176" s="16" t="s">
        <v>289</v>
      </c>
      <c r="CN176" s="16" t="s">
        <v>83</v>
      </c>
    </row>
    <row r="177" spans="2:110" s="1" customFormat="1" ht="37.9" customHeight="1" x14ac:dyDescent="0.2">
      <c r="B177" s="124"/>
      <c r="C177" s="125" t="s">
        <v>327</v>
      </c>
      <c r="D177" s="125" t="s">
        <v>284</v>
      </c>
      <c r="E177" s="126" t="s">
        <v>405</v>
      </c>
      <c r="F177" s="127" t="s">
        <v>406</v>
      </c>
      <c r="G177" s="128" t="s">
        <v>366</v>
      </c>
      <c r="H177" s="129">
        <v>97.105000000000004</v>
      </c>
      <c r="I177" s="130">
        <v>3.4208109177592001</v>
      </c>
      <c r="J177" s="131">
        <f>ROUND(I177*H177,2)</f>
        <v>332.18</v>
      </c>
      <c r="K177" s="127" t="s">
        <v>293</v>
      </c>
      <c r="L177" s="268">
        <f>S177</f>
        <v>0</v>
      </c>
      <c r="M177" s="272">
        <f>ROUND(L177*I177,2)</f>
        <v>0</v>
      </c>
      <c r="N177" s="243">
        <f>N180</f>
        <v>-3.8149999999999977</v>
      </c>
      <c r="O177" s="294">
        <f>ROUND(N177*I177,2)</f>
        <v>-13.05</v>
      </c>
      <c r="P177" s="273">
        <f>H177-L177-N177</f>
        <v>100.92</v>
      </c>
      <c r="Q177" s="287">
        <f>ROUND(P177*I177,2)</f>
        <v>345.23</v>
      </c>
      <c r="R177" s="137"/>
      <c r="S177" s="269">
        <f>W177+Y177+AA177+AC177+AE177+AG177</f>
        <v>0</v>
      </c>
      <c r="T177" s="269">
        <f>ROUND(S177*I177,2)</f>
        <v>0</v>
      </c>
      <c r="U177" s="269">
        <f>H177-S177</f>
        <v>97.105000000000004</v>
      </c>
      <c r="V177" s="269">
        <f>ROUND(U177*I177,2)</f>
        <v>332.18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BF177" s="132" t="s">
        <v>1</v>
      </c>
      <c r="BG177" s="133" t="s">
        <v>40</v>
      </c>
      <c r="BI177" s="134">
        <f>BH177*H177</f>
        <v>0</v>
      </c>
      <c r="BJ177" s="134">
        <v>0</v>
      </c>
      <c r="BK177" s="134">
        <f>BJ177*H177</f>
        <v>0</v>
      </c>
      <c r="BL177" s="134">
        <v>0</v>
      </c>
      <c r="BM177" s="135">
        <f>BL177*H177</f>
        <v>0</v>
      </c>
      <c r="CK177" s="136" t="s">
        <v>95</v>
      </c>
      <c r="CM177" s="136" t="s">
        <v>284</v>
      </c>
      <c r="CN177" s="136" t="s">
        <v>83</v>
      </c>
      <c r="CR177" s="16" t="s">
        <v>282</v>
      </c>
      <c r="CX177" s="137">
        <f>IF(BG177="základní",J177,0)</f>
        <v>332.18</v>
      </c>
      <c r="CY177" s="137">
        <f>IF(BG177="snížená",J177,0)</f>
        <v>0</v>
      </c>
      <c r="CZ177" s="137">
        <f>IF(BG177="zákl. přenesená",J177,0)</f>
        <v>0</v>
      </c>
      <c r="DA177" s="137">
        <f>IF(BG177="sníž. přenesená",J177,0)</f>
        <v>0</v>
      </c>
      <c r="DB177" s="137">
        <f>IF(BG177="nulová",J177,0)</f>
        <v>0</v>
      </c>
      <c r="DC177" s="16" t="s">
        <v>81</v>
      </c>
      <c r="DD177" s="137">
        <f>ROUND(I177*H177,2)</f>
        <v>332.18</v>
      </c>
      <c r="DE177" s="16" t="s">
        <v>95</v>
      </c>
      <c r="DF177" s="136" t="s">
        <v>407</v>
      </c>
    </row>
    <row r="178" spans="2:110" s="1" customFormat="1" ht="48.75" x14ac:dyDescent="0.2">
      <c r="B178" s="31"/>
      <c r="D178" s="138" t="s">
        <v>289</v>
      </c>
      <c r="F178" s="139" t="s">
        <v>408</v>
      </c>
      <c r="I178" s="140"/>
      <c r="L178" s="31"/>
      <c r="N178" s="213"/>
      <c r="O178" s="214"/>
      <c r="Q178" s="229"/>
      <c r="BF178" s="141"/>
      <c r="BM178" s="50"/>
      <c r="CM178" s="16" t="s">
        <v>289</v>
      </c>
      <c r="CN178" s="16" t="s">
        <v>83</v>
      </c>
    </row>
    <row r="179" spans="2:110" s="12" customFormat="1" x14ac:dyDescent="0.2">
      <c r="B179" s="149"/>
      <c r="D179" s="138" t="s">
        <v>301</v>
      </c>
      <c r="F179" s="151" t="s">
        <v>1362</v>
      </c>
      <c r="H179" s="152">
        <v>97.105000000000004</v>
      </c>
      <c r="I179" s="153"/>
      <c r="L179" s="149"/>
      <c r="N179" s="217">
        <f>18.658*5</f>
        <v>93.29</v>
      </c>
      <c r="O179" s="218" t="s">
        <v>3737</v>
      </c>
      <c r="Q179" s="231"/>
      <c r="BF179" s="154"/>
      <c r="BM179" s="155"/>
      <c r="CM179" s="150" t="s">
        <v>301</v>
      </c>
      <c r="CN179" s="150" t="s">
        <v>83</v>
      </c>
      <c r="CO179" s="12" t="s">
        <v>83</v>
      </c>
      <c r="CP179" s="12" t="s">
        <v>3</v>
      </c>
      <c r="CQ179" s="12" t="s">
        <v>81</v>
      </c>
      <c r="CR179" s="150" t="s">
        <v>282</v>
      </c>
    </row>
    <row r="180" spans="2:110" s="12" customFormat="1" x14ac:dyDescent="0.2">
      <c r="B180" s="149"/>
      <c r="D180" s="138"/>
      <c r="F180" s="151"/>
      <c r="H180" s="152"/>
      <c r="I180" s="153"/>
      <c r="L180" s="149"/>
      <c r="N180" s="310">
        <f>N179-H179</f>
        <v>-3.8149999999999977</v>
      </c>
      <c r="O180" s="218"/>
      <c r="Q180" s="231"/>
      <c r="BF180" s="154"/>
      <c r="BM180" s="155"/>
      <c r="CM180" s="150"/>
      <c r="CN180" s="150"/>
      <c r="CR180" s="150"/>
    </row>
    <row r="181" spans="2:110" s="1" customFormat="1" ht="37.9" customHeight="1" x14ac:dyDescent="0.2">
      <c r="B181" s="124"/>
      <c r="C181" s="125" t="s">
        <v>359</v>
      </c>
      <c r="D181" s="125" t="s">
        <v>284</v>
      </c>
      <c r="E181" s="126" t="s">
        <v>982</v>
      </c>
      <c r="F181" s="127" t="s">
        <v>983</v>
      </c>
      <c r="G181" s="128" t="s">
        <v>366</v>
      </c>
      <c r="H181" s="129">
        <v>9.9</v>
      </c>
      <c r="I181" s="130">
        <v>3.4208109177592001</v>
      </c>
      <c r="J181" s="131">
        <f>ROUND(I181*H181,2)</f>
        <v>33.869999999999997</v>
      </c>
      <c r="K181" s="127" t="s">
        <v>1</v>
      </c>
      <c r="L181" s="268">
        <f>S181</f>
        <v>0</v>
      </c>
      <c r="M181" s="272">
        <f>ROUND(L181*I181,2)</f>
        <v>0</v>
      </c>
      <c r="N181" s="243"/>
      <c r="O181" s="294">
        <f>ROUND(N181*I181,2)</f>
        <v>0</v>
      </c>
      <c r="P181" s="273">
        <f>H181-L181-N181</f>
        <v>9.9</v>
      </c>
      <c r="Q181" s="287">
        <f>ROUND(P181*I181,2)</f>
        <v>33.869999999999997</v>
      </c>
      <c r="R181" s="137"/>
      <c r="S181" s="269">
        <f>W181+Y181+AA181+AC181+AE181+AG181</f>
        <v>0</v>
      </c>
      <c r="T181" s="269">
        <f>ROUND(S181*I181,2)</f>
        <v>0</v>
      </c>
      <c r="U181" s="269">
        <f>H181-S181</f>
        <v>9.9</v>
      </c>
      <c r="V181" s="269">
        <f>ROUND(U181*I181,2)</f>
        <v>33.869999999999997</v>
      </c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BF181" s="132" t="s">
        <v>1</v>
      </c>
      <c r="BG181" s="133" t="s">
        <v>40</v>
      </c>
      <c r="BI181" s="134">
        <f>BH181*H181</f>
        <v>0</v>
      </c>
      <c r="BJ181" s="134">
        <v>0</v>
      </c>
      <c r="BK181" s="134">
        <f>BJ181*H181</f>
        <v>0</v>
      </c>
      <c r="BL181" s="134">
        <v>0</v>
      </c>
      <c r="BM181" s="135">
        <f>BL181*H181</f>
        <v>0</v>
      </c>
      <c r="CK181" s="136" t="s">
        <v>95</v>
      </c>
      <c r="CM181" s="136" t="s">
        <v>284</v>
      </c>
      <c r="CN181" s="136" t="s">
        <v>83</v>
      </c>
      <c r="CR181" s="16" t="s">
        <v>282</v>
      </c>
      <c r="CX181" s="137">
        <f>IF(BG181="základní",J181,0)</f>
        <v>33.869999999999997</v>
      </c>
      <c r="CY181" s="137">
        <f>IF(BG181="snížená",J181,0)</f>
        <v>0</v>
      </c>
      <c r="CZ181" s="137">
        <f>IF(BG181="zákl. přenesená",J181,0)</f>
        <v>0</v>
      </c>
      <c r="DA181" s="137">
        <f>IF(BG181="sníž. přenesená",J181,0)</f>
        <v>0</v>
      </c>
      <c r="DB181" s="137">
        <f>IF(BG181="nulová",J181,0)</f>
        <v>0</v>
      </c>
      <c r="DC181" s="16" t="s">
        <v>81</v>
      </c>
      <c r="DD181" s="137">
        <f>ROUND(I181*H181,2)</f>
        <v>33.869999999999997</v>
      </c>
      <c r="DE181" s="16" t="s">
        <v>95</v>
      </c>
      <c r="DF181" s="136" t="s">
        <v>984</v>
      </c>
    </row>
    <row r="182" spans="2:110" s="1" customFormat="1" ht="48.75" x14ac:dyDescent="0.2">
      <c r="B182" s="31"/>
      <c r="D182" s="138" t="s">
        <v>289</v>
      </c>
      <c r="F182" s="139" t="s">
        <v>408</v>
      </c>
      <c r="I182" s="140"/>
      <c r="L182" s="31"/>
      <c r="N182" s="213"/>
      <c r="O182" s="214"/>
      <c r="Q182" s="229"/>
      <c r="BF182" s="141"/>
      <c r="BM182" s="50"/>
      <c r="CM182" s="16" t="s">
        <v>289</v>
      </c>
      <c r="CN182" s="16" t="s">
        <v>83</v>
      </c>
    </row>
    <row r="183" spans="2:110" s="12" customFormat="1" x14ac:dyDescent="0.2">
      <c r="B183" s="149"/>
      <c r="D183" s="138" t="s">
        <v>301</v>
      </c>
      <c r="F183" s="151" t="s">
        <v>1363</v>
      </c>
      <c r="H183" s="152">
        <v>9.9</v>
      </c>
      <c r="I183" s="153"/>
      <c r="L183" s="149"/>
      <c r="N183" s="217"/>
      <c r="O183" s="218"/>
      <c r="Q183" s="231"/>
      <c r="BF183" s="154"/>
      <c r="BM183" s="155"/>
      <c r="CM183" s="150" t="s">
        <v>301</v>
      </c>
      <c r="CN183" s="150" t="s">
        <v>83</v>
      </c>
      <c r="CO183" s="12" t="s">
        <v>83</v>
      </c>
      <c r="CP183" s="12" t="s">
        <v>3</v>
      </c>
      <c r="CQ183" s="12" t="s">
        <v>81</v>
      </c>
      <c r="CR183" s="150" t="s">
        <v>282</v>
      </c>
    </row>
    <row r="184" spans="2:110" s="1" customFormat="1" ht="24.2" customHeight="1" x14ac:dyDescent="0.2">
      <c r="B184" s="124"/>
      <c r="C184" s="125" t="s">
        <v>363</v>
      </c>
      <c r="D184" s="125" t="s">
        <v>284</v>
      </c>
      <c r="E184" s="126" t="s">
        <v>986</v>
      </c>
      <c r="F184" s="127" t="s">
        <v>987</v>
      </c>
      <c r="G184" s="128" t="s">
        <v>366</v>
      </c>
      <c r="H184" s="129">
        <v>1.98</v>
      </c>
      <c r="I184" s="130">
        <v>43.080493951075745</v>
      </c>
      <c r="J184" s="131">
        <f>ROUND(I184*H184,2)</f>
        <v>85.3</v>
      </c>
      <c r="K184" s="127" t="s">
        <v>293</v>
      </c>
      <c r="L184" s="268">
        <f>S184</f>
        <v>0</v>
      </c>
      <c r="M184" s="272">
        <f>ROUND(L184*I184,2)</f>
        <v>0</v>
      </c>
      <c r="N184" s="243">
        <f>N193</f>
        <v>-7.8200000000000047E-2</v>
      </c>
      <c r="O184" s="294">
        <f>ROUND(N184*I184,2)</f>
        <v>-3.37</v>
      </c>
      <c r="P184" s="273">
        <f>H184-L184-N184</f>
        <v>2.0582000000000003</v>
      </c>
      <c r="Q184" s="287">
        <f>ROUND(P184*I184,2)</f>
        <v>88.67</v>
      </c>
      <c r="R184" s="137"/>
      <c r="S184" s="269">
        <f>W184+Y184+AA184+AC184+AE184+AG184</f>
        <v>0</v>
      </c>
      <c r="T184" s="269">
        <f>ROUND(S184*I184,2)</f>
        <v>0</v>
      </c>
      <c r="U184" s="269">
        <f>H184-S184</f>
        <v>1.98</v>
      </c>
      <c r="V184" s="269">
        <f>ROUND(U184*I184,2)</f>
        <v>85.3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BF184" s="132" t="s">
        <v>1</v>
      </c>
      <c r="BG184" s="133" t="s">
        <v>40</v>
      </c>
      <c r="BI184" s="134">
        <f>BH184*H184</f>
        <v>0</v>
      </c>
      <c r="BJ184" s="134">
        <v>0</v>
      </c>
      <c r="BK184" s="134">
        <f>BJ184*H184</f>
        <v>0</v>
      </c>
      <c r="BL184" s="134">
        <v>0</v>
      </c>
      <c r="BM184" s="135">
        <f>BL184*H184</f>
        <v>0</v>
      </c>
      <c r="CK184" s="136" t="s">
        <v>95</v>
      </c>
      <c r="CM184" s="136" t="s">
        <v>284</v>
      </c>
      <c r="CN184" s="136" t="s">
        <v>83</v>
      </c>
      <c r="CR184" s="16" t="s">
        <v>282</v>
      </c>
      <c r="CX184" s="137">
        <f>IF(BG184="základní",J184,0)</f>
        <v>85.3</v>
      </c>
      <c r="CY184" s="137">
        <f>IF(BG184="snížená",J184,0)</f>
        <v>0</v>
      </c>
      <c r="CZ184" s="137">
        <f>IF(BG184="zákl. přenesená",J184,0)</f>
        <v>0</v>
      </c>
      <c r="DA184" s="137">
        <f>IF(BG184="sníž. přenesená",J184,0)</f>
        <v>0</v>
      </c>
      <c r="DB184" s="137">
        <f>IF(BG184="nulová",J184,0)</f>
        <v>0</v>
      </c>
      <c r="DC184" s="16" t="s">
        <v>81</v>
      </c>
      <c r="DD184" s="137">
        <f>ROUND(I184*H184,2)</f>
        <v>85.3</v>
      </c>
      <c r="DE184" s="16" t="s">
        <v>95</v>
      </c>
      <c r="DF184" s="136" t="s">
        <v>988</v>
      </c>
    </row>
    <row r="185" spans="2:110" s="1" customFormat="1" ht="29.25" x14ac:dyDescent="0.2">
      <c r="B185" s="31"/>
      <c r="D185" s="138" t="s">
        <v>289</v>
      </c>
      <c r="F185" s="139" t="s">
        <v>989</v>
      </c>
      <c r="I185" s="140"/>
      <c r="L185" s="31"/>
      <c r="N185" s="213"/>
      <c r="O185" s="214"/>
      <c r="Q185" s="229"/>
      <c r="BF185" s="141"/>
      <c r="BM185" s="50"/>
      <c r="CM185" s="16" t="s">
        <v>289</v>
      </c>
      <c r="CN185" s="16" t="s">
        <v>83</v>
      </c>
    </row>
    <row r="186" spans="2:110" s="11" customFormat="1" x14ac:dyDescent="0.2">
      <c r="B186" s="143"/>
      <c r="D186" s="138" t="s">
        <v>301</v>
      </c>
      <c r="E186" s="144" t="s">
        <v>1</v>
      </c>
      <c r="F186" s="145" t="s">
        <v>976</v>
      </c>
      <c r="H186" s="144" t="s">
        <v>1</v>
      </c>
      <c r="I186" s="146"/>
      <c r="L186" s="143"/>
      <c r="N186" s="215"/>
      <c r="O186" s="216"/>
      <c r="Q186" s="230"/>
      <c r="BF186" s="147"/>
      <c r="BM186" s="148"/>
      <c r="CM186" s="144" t="s">
        <v>301</v>
      </c>
      <c r="CN186" s="144" t="s">
        <v>83</v>
      </c>
      <c r="CO186" s="11" t="s">
        <v>81</v>
      </c>
      <c r="CP186" s="11" t="s">
        <v>32</v>
      </c>
      <c r="CQ186" s="11" t="s">
        <v>74</v>
      </c>
      <c r="CR186" s="144" t="s">
        <v>282</v>
      </c>
    </row>
    <row r="187" spans="2:110" s="12" customFormat="1" x14ac:dyDescent="0.2">
      <c r="B187" s="149"/>
      <c r="D187" s="138" t="s">
        <v>301</v>
      </c>
      <c r="E187" s="150" t="s">
        <v>1</v>
      </c>
      <c r="F187" s="151" t="s">
        <v>1361</v>
      </c>
      <c r="H187" s="152">
        <v>0.32100000000000001</v>
      </c>
      <c r="I187" s="153"/>
      <c r="L187" s="149"/>
      <c r="N187" s="217">
        <f>3.084*0.1</f>
        <v>0.30840000000000001</v>
      </c>
      <c r="O187" s="218" t="s">
        <v>3736</v>
      </c>
      <c r="Q187" s="231"/>
      <c r="BF187" s="154"/>
      <c r="BM187" s="155"/>
      <c r="CM187" s="150" t="s">
        <v>301</v>
      </c>
      <c r="CN187" s="150" t="s">
        <v>83</v>
      </c>
      <c r="CO187" s="12" t="s">
        <v>83</v>
      </c>
      <c r="CP187" s="12" t="s">
        <v>32</v>
      </c>
      <c r="CQ187" s="12" t="s">
        <v>74</v>
      </c>
      <c r="CR187" s="150" t="s">
        <v>282</v>
      </c>
    </row>
    <row r="188" spans="2:110" s="14" customFormat="1" x14ac:dyDescent="0.2">
      <c r="B188" s="163"/>
      <c r="D188" s="138" t="s">
        <v>301</v>
      </c>
      <c r="E188" s="164" t="s">
        <v>1</v>
      </c>
      <c r="F188" s="165" t="s">
        <v>373</v>
      </c>
      <c r="H188" s="166">
        <v>0.32100000000000001</v>
      </c>
      <c r="I188" s="167"/>
      <c r="L188" s="163"/>
      <c r="N188" s="221">
        <f>N187</f>
        <v>0.30840000000000001</v>
      </c>
      <c r="O188" s="222"/>
      <c r="Q188" s="233"/>
      <c r="BF188" s="168"/>
      <c r="BM188" s="169"/>
      <c r="CM188" s="164" t="s">
        <v>301</v>
      </c>
      <c r="CN188" s="164" t="s">
        <v>83</v>
      </c>
      <c r="CO188" s="14" t="s">
        <v>90</v>
      </c>
      <c r="CP188" s="14" t="s">
        <v>32</v>
      </c>
      <c r="CQ188" s="14" t="s">
        <v>74</v>
      </c>
      <c r="CR188" s="164" t="s">
        <v>282</v>
      </c>
    </row>
    <row r="189" spans="2:110" s="11" customFormat="1" x14ac:dyDescent="0.2">
      <c r="B189" s="143"/>
      <c r="D189" s="138" t="s">
        <v>301</v>
      </c>
      <c r="E189" s="144" t="s">
        <v>1</v>
      </c>
      <c r="F189" s="145" t="s">
        <v>1102</v>
      </c>
      <c r="H189" s="144" t="s">
        <v>1</v>
      </c>
      <c r="I189" s="146"/>
      <c r="L189" s="143"/>
      <c r="N189" s="215"/>
      <c r="O189" s="216"/>
      <c r="Q189" s="230"/>
      <c r="BF189" s="147"/>
      <c r="BM189" s="148"/>
      <c r="CM189" s="144" t="s">
        <v>301</v>
      </c>
      <c r="CN189" s="144" t="s">
        <v>83</v>
      </c>
      <c r="CO189" s="11" t="s">
        <v>81</v>
      </c>
      <c r="CP189" s="11" t="s">
        <v>32</v>
      </c>
      <c r="CQ189" s="11" t="s">
        <v>74</v>
      </c>
      <c r="CR189" s="144" t="s">
        <v>282</v>
      </c>
    </row>
    <row r="190" spans="2:110" s="12" customFormat="1" x14ac:dyDescent="0.2">
      <c r="B190" s="149"/>
      <c r="D190" s="138" t="s">
        <v>301</v>
      </c>
      <c r="E190" s="150" t="s">
        <v>1</v>
      </c>
      <c r="F190" s="151" t="s">
        <v>1364</v>
      </c>
      <c r="H190" s="152">
        <v>1.659</v>
      </c>
      <c r="I190" s="153"/>
      <c r="L190" s="149"/>
      <c r="N190" s="217">
        <f>10.28*1*(2.2-0.1-0.45-0.1)*0.1</f>
        <v>1.5933999999999999</v>
      </c>
      <c r="O190" s="218" t="s">
        <v>3738</v>
      </c>
      <c r="Q190" s="231"/>
      <c r="BF190" s="154"/>
      <c r="BM190" s="155"/>
      <c r="CM190" s="150" t="s">
        <v>301</v>
      </c>
      <c r="CN190" s="150" t="s">
        <v>83</v>
      </c>
      <c r="CO190" s="12" t="s">
        <v>83</v>
      </c>
      <c r="CP190" s="12" t="s">
        <v>32</v>
      </c>
      <c r="CQ190" s="12" t="s">
        <v>74</v>
      </c>
      <c r="CR190" s="150" t="s">
        <v>282</v>
      </c>
    </row>
    <row r="191" spans="2:110" s="14" customFormat="1" x14ac:dyDescent="0.2">
      <c r="B191" s="163"/>
      <c r="D191" s="138" t="s">
        <v>301</v>
      </c>
      <c r="E191" s="164" t="s">
        <v>1</v>
      </c>
      <c r="F191" s="165" t="s">
        <v>373</v>
      </c>
      <c r="H191" s="166">
        <v>1.659</v>
      </c>
      <c r="I191" s="167"/>
      <c r="L191" s="163"/>
      <c r="N191" s="221">
        <f>N190</f>
        <v>1.5933999999999999</v>
      </c>
      <c r="O191" s="222"/>
      <c r="Q191" s="233"/>
      <c r="BF191" s="168"/>
      <c r="BM191" s="169"/>
      <c r="CM191" s="164" t="s">
        <v>301</v>
      </c>
      <c r="CN191" s="164" t="s">
        <v>83</v>
      </c>
      <c r="CO191" s="14" t="s">
        <v>90</v>
      </c>
      <c r="CP191" s="14" t="s">
        <v>32</v>
      </c>
      <c r="CQ191" s="14" t="s">
        <v>74</v>
      </c>
      <c r="CR191" s="164" t="s">
        <v>282</v>
      </c>
    </row>
    <row r="192" spans="2:110" s="13" customFormat="1" x14ac:dyDescent="0.2">
      <c r="B192" s="156"/>
      <c r="D192" s="138" t="s">
        <v>301</v>
      </c>
      <c r="E192" s="157" t="s">
        <v>1</v>
      </c>
      <c r="F192" s="158" t="s">
        <v>305</v>
      </c>
      <c r="H192" s="159">
        <v>1.98</v>
      </c>
      <c r="I192" s="160"/>
      <c r="L192" s="156"/>
      <c r="N192" s="219">
        <f>N188+N191</f>
        <v>1.9017999999999999</v>
      </c>
      <c r="O192" s="220"/>
      <c r="Q192" s="232"/>
      <c r="BF192" s="161"/>
      <c r="BM192" s="162"/>
      <c r="CM192" s="157" t="s">
        <v>301</v>
      </c>
      <c r="CN192" s="157" t="s">
        <v>83</v>
      </c>
      <c r="CO192" s="13" t="s">
        <v>95</v>
      </c>
      <c r="CP192" s="13" t="s">
        <v>32</v>
      </c>
      <c r="CQ192" s="13" t="s">
        <v>81</v>
      </c>
      <c r="CR192" s="157" t="s">
        <v>282</v>
      </c>
    </row>
    <row r="193" spans="2:110" s="13" customFormat="1" x14ac:dyDescent="0.2">
      <c r="B193" s="156"/>
      <c r="D193" s="138"/>
      <c r="E193" s="157"/>
      <c r="F193" s="158"/>
      <c r="H193" s="159"/>
      <c r="I193" s="160"/>
      <c r="L193" s="156"/>
      <c r="N193" s="311">
        <f>N192-H192</f>
        <v>-7.8200000000000047E-2</v>
      </c>
      <c r="O193" s="220"/>
      <c r="Q193" s="232"/>
      <c r="BF193" s="161"/>
      <c r="BM193" s="162"/>
      <c r="CM193" s="157"/>
      <c r="CN193" s="157"/>
      <c r="CR193" s="157"/>
    </row>
    <row r="194" spans="2:110" s="1" customFormat="1" ht="24.2" customHeight="1" x14ac:dyDescent="0.2">
      <c r="B194" s="124"/>
      <c r="C194" s="125" t="s">
        <v>8</v>
      </c>
      <c r="D194" s="125" t="s">
        <v>284</v>
      </c>
      <c r="E194" s="126" t="s">
        <v>410</v>
      </c>
      <c r="F194" s="127" t="s">
        <v>411</v>
      </c>
      <c r="G194" s="128" t="s">
        <v>287</v>
      </c>
      <c r="H194" s="129">
        <v>10.7</v>
      </c>
      <c r="I194" s="130">
        <v>6.3644601414457247</v>
      </c>
      <c r="J194" s="131">
        <f>ROUND(I194*H194,2)</f>
        <v>68.099999999999994</v>
      </c>
      <c r="K194" s="127" t="s">
        <v>293</v>
      </c>
      <c r="L194" s="268">
        <f>S194</f>
        <v>0</v>
      </c>
      <c r="M194" s="272">
        <f>ROUND(L194*I194,2)</f>
        <v>0</v>
      </c>
      <c r="N194" s="243">
        <f>N198</f>
        <v>-0.41999999999999993</v>
      </c>
      <c r="O194" s="294">
        <f>ROUND(N194*I194,2)</f>
        <v>-2.67</v>
      </c>
      <c r="P194" s="273">
        <f>H194-L194-N194</f>
        <v>11.12</v>
      </c>
      <c r="Q194" s="287">
        <f>ROUND(P194*I194,2)</f>
        <v>70.77</v>
      </c>
      <c r="R194" s="137"/>
      <c r="S194" s="269">
        <f>W194+Y194+AA194+AC194+AE194+AG194</f>
        <v>0</v>
      </c>
      <c r="T194" s="269">
        <f>ROUND(S194*I194,2)</f>
        <v>0</v>
      </c>
      <c r="U194" s="269">
        <f>H194-S194</f>
        <v>10.7</v>
      </c>
      <c r="V194" s="269">
        <f>ROUND(U194*I194,2)</f>
        <v>68.099999999999994</v>
      </c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BF194" s="132" t="s">
        <v>1</v>
      </c>
      <c r="BG194" s="133" t="s">
        <v>40</v>
      </c>
      <c r="BI194" s="134">
        <f>BH194*H194</f>
        <v>0</v>
      </c>
      <c r="BJ194" s="134">
        <v>0</v>
      </c>
      <c r="BK194" s="134">
        <f>BJ194*H194</f>
        <v>0</v>
      </c>
      <c r="BL194" s="134">
        <v>0</v>
      </c>
      <c r="BM194" s="135">
        <f>BL194*H194</f>
        <v>0</v>
      </c>
      <c r="CK194" s="136" t="s">
        <v>95</v>
      </c>
      <c r="CM194" s="136" t="s">
        <v>284</v>
      </c>
      <c r="CN194" s="136" t="s">
        <v>83</v>
      </c>
      <c r="CR194" s="16" t="s">
        <v>282</v>
      </c>
      <c r="CX194" s="137">
        <f>IF(BG194="základní",J194,0)</f>
        <v>68.099999999999994</v>
      </c>
      <c r="CY194" s="137">
        <f>IF(BG194="snížená",J194,0)</f>
        <v>0</v>
      </c>
      <c r="CZ194" s="137">
        <f>IF(BG194="zákl. přenesená",J194,0)</f>
        <v>0</v>
      </c>
      <c r="DA194" s="137">
        <f>IF(BG194="sníž. přenesená",J194,0)</f>
        <v>0</v>
      </c>
      <c r="DB194" s="137">
        <f>IF(BG194="nulová",J194,0)</f>
        <v>0</v>
      </c>
      <c r="DC194" s="16" t="s">
        <v>81</v>
      </c>
      <c r="DD194" s="137">
        <f>ROUND(I194*H194,2)</f>
        <v>68.099999999999994</v>
      </c>
      <c r="DE194" s="16" t="s">
        <v>95</v>
      </c>
      <c r="DF194" s="136" t="s">
        <v>412</v>
      </c>
    </row>
    <row r="195" spans="2:110" s="1" customFormat="1" ht="19.5" x14ac:dyDescent="0.2">
      <c r="B195" s="31"/>
      <c r="D195" s="138" t="s">
        <v>289</v>
      </c>
      <c r="F195" s="139" t="s">
        <v>413</v>
      </c>
      <c r="I195" s="140"/>
      <c r="L195" s="31"/>
      <c r="N195" s="213"/>
      <c r="O195" s="214"/>
      <c r="Q195" s="229"/>
      <c r="BF195" s="141"/>
      <c r="BM195" s="50"/>
      <c r="CM195" s="16" t="s">
        <v>289</v>
      </c>
      <c r="CN195" s="16" t="s">
        <v>83</v>
      </c>
    </row>
    <row r="196" spans="2:110" s="1" customFormat="1" ht="19.5" x14ac:dyDescent="0.2">
      <c r="B196" s="31"/>
      <c r="D196" s="138" t="s">
        <v>299</v>
      </c>
      <c r="F196" s="142" t="s">
        <v>317</v>
      </c>
      <c r="I196" s="140"/>
      <c r="L196" s="31"/>
      <c r="N196" s="213"/>
      <c r="O196" s="214"/>
      <c r="Q196" s="229"/>
      <c r="BF196" s="141"/>
      <c r="BM196" s="50"/>
      <c r="CM196" s="16" t="s">
        <v>299</v>
      </c>
      <c r="CN196" s="16" t="s">
        <v>83</v>
      </c>
    </row>
    <row r="197" spans="2:110" s="12" customFormat="1" x14ac:dyDescent="0.2">
      <c r="B197" s="149"/>
      <c r="D197" s="138" t="s">
        <v>301</v>
      </c>
      <c r="E197" s="150" t="s">
        <v>1</v>
      </c>
      <c r="F197" s="151" t="s">
        <v>1365</v>
      </c>
      <c r="H197" s="152">
        <v>10.7</v>
      </c>
      <c r="I197" s="153"/>
      <c r="L197" s="149"/>
      <c r="N197" s="217">
        <f>10.28*1</f>
        <v>10.28</v>
      </c>
      <c r="O197" s="218" t="s">
        <v>3739</v>
      </c>
      <c r="Q197" s="231"/>
      <c r="BF197" s="154"/>
      <c r="BM197" s="155"/>
      <c r="CM197" s="150" t="s">
        <v>301</v>
      </c>
      <c r="CN197" s="150" t="s">
        <v>83</v>
      </c>
      <c r="CO197" s="12" t="s">
        <v>83</v>
      </c>
      <c r="CP197" s="12" t="s">
        <v>32</v>
      </c>
      <c r="CQ197" s="12" t="s">
        <v>81</v>
      </c>
      <c r="CR197" s="150" t="s">
        <v>282</v>
      </c>
    </row>
    <row r="198" spans="2:110" s="12" customFormat="1" x14ac:dyDescent="0.2">
      <c r="B198" s="149"/>
      <c r="D198" s="138"/>
      <c r="E198" s="150"/>
      <c r="F198" s="151"/>
      <c r="H198" s="152"/>
      <c r="I198" s="153"/>
      <c r="L198" s="149"/>
      <c r="N198" s="310">
        <f>N197-H197</f>
        <v>-0.41999999999999993</v>
      </c>
      <c r="O198" s="218"/>
      <c r="Q198" s="231"/>
      <c r="BF198" s="154"/>
      <c r="BM198" s="155"/>
      <c r="CM198" s="150"/>
      <c r="CN198" s="150"/>
      <c r="CR198" s="150"/>
    </row>
    <row r="199" spans="2:110" s="1" customFormat="1" ht="24.2" customHeight="1" x14ac:dyDescent="0.2">
      <c r="B199" s="124"/>
      <c r="C199" s="125" t="s">
        <v>379</v>
      </c>
      <c r="D199" s="125" t="s">
        <v>284</v>
      </c>
      <c r="E199" s="126" t="s">
        <v>416</v>
      </c>
      <c r="F199" s="127" t="s">
        <v>417</v>
      </c>
      <c r="G199" s="128" t="s">
        <v>418</v>
      </c>
      <c r="H199" s="129">
        <v>31.393999999999998</v>
      </c>
      <c r="I199" s="130">
        <v>110.6455721</v>
      </c>
      <c r="J199" s="131">
        <f>ROUND(I199*H199,2)</f>
        <v>3473.61</v>
      </c>
      <c r="K199" s="127" t="s">
        <v>293</v>
      </c>
      <c r="L199" s="268">
        <f>S199</f>
        <v>0</v>
      </c>
      <c r="M199" s="272">
        <f>ROUND(L199*I199,2)</f>
        <v>0</v>
      </c>
      <c r="N199" s="243">
        <f>N207</f>
        <v>-1.2331999999999965</v>
      </c>
      <c r="O199" s="294">
        <f>ROUND(N199*I199,2)</f>
        <v>-136.44999999999999</v>
      </c>
      <c r="P199" s="273">
        <f>H199-L199-N199</f>
        <v>32.627199999999995</v>
      </c>
      <c r="Q199" s="287">
        <f>ROUND(P199*I199,2)</f>
        <v>3610.06</v>
      </c>
      <c r="R199" s="137"/>
      <c r="S199" s="269">
        <f>W199+Y199+AA199+AC199+AE199+AG199</f>
        <v>0</v>
      </c>
      <c r="T199" s="269">
        <f>ROUND(S199*I199,2)</f>
        <v>0</v>
      </c>
      <c r="U199" s="269">
        <f>H199-S199</f>
        <v>31.393999999999998</v>
      </c>
      <c r="V199" s="269">
        <f>ROUND(U199*I199,2)</f>
        <v>3473.61</v>
      </c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BF199" s="132" t="s">
        <v>1</v>
      </c>
      <c r="BG199" s="133" t="s">
        <v>40</v>
      </c>
      <c r="BI199" s="134">
        <f>BH199*H199</f>
        <v>0</v>
      </c>
      <c r="BJ199" s="134">
        <v>0</v>
      </c>
      <c r="BK199" s="134">
        <f>BJ199*H199</f>
        <v>0</v>
      </c>
      <c r="BL199" s="134">
        <v>0</v>
      </c>
      <c r="BM199" s="135">
        <f>BL199*H199</f>
        <v>0</v>
      </c>
      <c r="CK199" s="136" t="s">
        <v>95</v>
      </c>
      <c r="CM199" s="136" t="s">
        <v>284</v>
      </c>
      <c r="CN199" s="136" t="s">
        <v>83</v>
      </c>
      <c r="CR199" s="16" t="s">
        <v>282</v>
      </c>
      <c r="CX199" s="137">
        <f>IF(BG199="základní",J199,0)</f>
        <v>3473.61</v>
      </c>
      <c r="CY199" s="137">
        <f>IF(BG199="snížená",J199,0)</f>
        <v>0</v>
      </c>
      <c r="CZ199" s="137">
        <f>IF(BG199="zákl. přenesená",J199,0)</f>
        <v>0</v>
      </c>
      <c r="DA199" s="137">
        <f>IF(BG199="sníž. přenesená",J199,0)</f>
        <v>0</v>
      </c>
      <c r="DB199" s="137">
        <f>IF(BG199="nulová",J199,0)</f>
        <v>0</v>
      </c>
      <c r="DC199" s="16" t="s">
        <v>81</v>
      </c>
      <c r="DD199" s="137">
        <f>ROUND(I199*H199,2)</f>
        <v>3473.61</v>
      </c>
      <c r="DE199" s="16" t="s">
        <v>95</v>
      </c>
      <c r="DF199" s="136" t="s">
        <v>419</v>
      </c>
    </row>
    <row r="200" spans="2:110" s="1" customFormat="1" ht="29.25" x14ac:dyDescent="0.2">
      <c r="B200" s="31"/>
      <c r="D200" s="138" t="s">
        <v>289</v>
      </c>
      <c r="F200" s="139" t="s">
        <v>420</v>
      </c>
      <c r="I200" s="140"/>
      <c r="L200" s="31"/>
      <c r="N200" s="213"/>
      <c r="O200" s="214"/>
      <c r="Q200" s="229"/>
      <c r="BF200" s="141"/>
      <c r="BM200" s="50"/>
      <c r="CM200" s="16" t="s">
        <v>289</v>
      </c>
      <c r="CN200" s="16" t="s">
        <v>83</v>
      </c>
    </row>
    <row r="201" spans="2:110" s="11" customFormat="1" x14ac:dyDescent="0.2">
      <c r="B201" s="143"/>
      <c r="D201" s="138" t="s">
        <v>301</v>
      </c>
      <c r="E201" s="144" t="s">
        <v>1</v>
      </c>
      <c r="F201" s="145" t="s">
        <v>996</v>
      </c>
      <c r="H201" s="144" t="s">
        <v>1</v>
      </c>
      <c r="I201" s="146"/>
      <c r="L201" s="143"/>
      <c r="N201" s="215"/>
      <c r="O201" s="216"/>
      <c r="Q201" s="230"/>
      <c r="BF201" s="147"/>
      <c r="BM201" s="148"/>
      <c r="CM201" s="144" t="s">
        <v>301</v>
      </c>
      <c r="CN201" s="144" t="s">
        <v>83</v>
      </c>
      <c r="CO201" s="11" t="s">
        <v>81</v>
      </c>
      <c r="CP201" s="11" t="s">
        <v>32</v>
      </c>
      <c r="CQ201" s="11" t="s">
        <v>74</v>
      </c>
      <c r="CR201" s="144" t="s">
        <v>282</v>
      </c>
    </row>
    <row r="202" spans="2:110" s="12" customFormat="1" x14ac:dyDescent="0.2">
      <c r="B202" s="149"/>
      <c r="D202" s="138" t="s">
        <v>301</v>
      </c>
      <c r="E202" s="150" t="s">
        <v>1</v>
      </c>
      <c r="F202" s="151" t="s">
        <v>1366</v>
      </c>
      <c r="H202" s="152">
        <v>19.420999999999999</v>
      </c>
      <c r="I202" s="153"/>
      <c r="L202" s="149"/>
      <c r="N202" s="217">
        <v>18.658000000000001</v>
      </c>
      <c r="O202" s="218"/>
      <c r="Q202" s="231"/>
      <c r="BF202" s="154"/>
      <c r="BM202" s="155"/>
      <c r="CM202" s="150" t="s">
        <v>301</v>
      </c>
      <c r="CN202" s="150" t="s">
        <v>83</v>
      </c>
      <c r="CO202" s="12" t="s">
        <v>83</v>
      </c>
      <c r="CP202" s="12" t="s">
        <v>32</v>
      </c>
      <c r="CQ202" s="12" t="s">
        <v>74</v>
      </c>
      <c r="CR202" s="150" t="s">
        <v>282</v>
      </c>
    </row>
    <row r="203" spans="2:110" s="11" customFormat="1" x14ac:dyDescent="0.2">
      <c r="B203" s="143"/>
      <c r="D203" s="138" t="s">
        <v>301</v>
      </c>
      <c r="E203" s="144" t="s">
        <v>1</v>
      </c>
      <c r="F203" s="145" t="s">
        <v>998</v>
      </c>
      <c r="H203" s="144" t="s">
        <v>1</v>
      </c>
      <c r="I203" s="146"/>
      <c r="L203" s="143"/>
      <c r="N203" s="215"/>
      <c r="O203" s="216"/>
      <c r="Q203" s="230"/>
      <c r="BF203" s="147"/>
      <c r="BM203" s="148"/>
      <c r="CM203" s="144" t="s">
        <v>301</v>
      </c>
      <c r="CN203" s="144" t="s">
        <v>83</v>
      </c>
      <c r="CO203" s="11" t="s">
        <v>81</v>
      </c>
      <c r="CP203" s="11" t="s">
        <v>32</v>
      </c>
      <c r="CQ203" s="11" t="s">
        <v>74</v>
      </c>
      <c r="CR203" s="144" t="s">
        <v>282</v>
      </c>
    </row>
    <row r="204" spans="2:110" s="12" customFormat="1" x14ac:dyDescent="0.2">
      <c r="B204" s="149"/>
      <c r="D204" s="138" t="s">
        <v>301</v>
      </c>
      <c r="E204" s="150" t="s">
        <v>1</v>
      </c>
      <c r="F204" s="151" t="s">
        <v>1367</v>
      </c>
      <c r="H204" s="152">
        <v>-1.98</v>
      </c>
      <c r="I204" s="153"/>
      <c r="L204" s="149"/>
      <c r="N204" s="217">
        <v>-1.9019999999999999</v>
      </c>
      <c r="O204" s="218"/>
      <c r="Q204" s="231"/>
      <c r="BF204" s="154"/>
      <c r="BM204" s="155"/>
      <c r="CM204" s="150" t="s">
        <v>301</v>
      </c>
      <c r="CN204" s="150" t="s">
        <v>83</v>
      </c>
      <c r="CO204" s="12" t="s">
        <v>83</v>
      </c>
      <c r="CP204" s="12" t="s">
        <v>32</v>
      </c>
      <c r="CQ204" s="12" t="s">
        <v>74</v>
      </c>
      <c r="CR204" s="150" t="s">
        <v>282</v>
      </c>
    </row>
    <row r="205" spans="2:110" s="13" customFormat="1" x14ac:dyDescent="0.2">
      <c r="B205" s="156"/>
      <c r="D205" s="138" t="s">
        <v>301</v>
      </c>
      <c r="E205" s="157" t="s">
        <v>1</v>
      </c>
      <c r="F205" s="158" t="s">
        <v>305</v>
      </c>
      <c r="H205" s="159">
        <v>17.440999999999999</v>
      </c>
      <c r="I205" s="160"/>
      <c r="L205" s="156"/>
      <c r="N205" s="219">
        <f>N202+N204</f>
        <v>16.756</v>
      </c>
      <c r="O205" s="220"/>
      <c r="Q205" s="232"/>
      <c r="BF205" s="161"/>
      <c r="BM205" s="162"/>
      <c r="CM205" s="157" t="s">
        <v>301</v>
      </c>
      <c r="CN205" s="157" t="s">
        <v>83</v>
      </c>
      <c r="CO205" s="13" t="s">
        <v>95</v>
      </c>
      <c r="CP205" s="13" t="s">
        <v>32</v>
      </c>
      <c r="CQ205" s="13" t="s">
        <v>81</v>
      </c>
      <c r="CR205" s="157" t="s">
        <v>282</v>
      </c>
    </row>
    <row r="206" spans="2:110" s="12" customFormat="1" x14ac:dyDescent="0.2">
      <c r="B206" s="149"/>
      <c r="D206" s="138" t="s">
        <v>301</v>
      </c>
      <c r="F206" s="151" t="s">
        <v>1368</v>
      </c>
      <c r="H206" s="152">
        <v>31.393999999999998</v>
      </c>
      <c r="I206" s="153"/>
      <c r="L206" s="149"/>
      <c r="N206" s="217">
        <f>N205*1.8</f>
        <v>30.160800000000002</v>
      </c>
      <c r="O206" s="218"/>
      <c r="Q206" s="231"/>
      <c r="BF206" s="154"/>
      <c r="BM206" s="155"/>
      <c r="CM206" s="150" t="s">
        <v>301</v>
      </c>
      <c r="CN206" s="150" t="s">
        <v>83</v>
      </c>
      <c r="CO206" s="12" t="s">
        <v>83</v>
      </c>
      <c r="CP206" s="12" t="s">
        <v>3</v>
      </c>
      <c r="CQ206" s="12" t="s">
        <v>81</v>
      </c>
      <c r="CR206" s="150" t="s">
        <v>282</v>
      </c>
    </row>
    <row r="207" spans="2:110" s="12" customFormat="1" x14ac:dyDescent="0.2">
      <c r="B207" s="149"/>
      <c r="D207" s="138"/>
      <c r="F207" s="151"/>
      <c r="H207" s="152"/>
      <c r="I207" s="153"/>
      <c r="L207" s="149"/>
      <c r="N207" s="310">
        <f>N206-H206</f>
        <v>-1.2331999999999965</v>
      </c>
      <c r="O207" s="218"/>
      <c r="Q207" s="231"/>
      <c r="BF207" s="154"/>
      <c r="BM207" s="155"/>
      <c r="CM207" s="150"/>
      <c r="CN207" s="150"/>
      <c r="CR207" s="150"/>
    </row>
    <row r="208" spans="2:110" s="1" customFormat="1" ht="24.2" customHeight="1" x14ac:dyDescent="0.2">
      <c r="B208" s="124"/>
      <c r="C208" s="125" t="s">
        <v>386</v>
      </c>
      <c r="D208" s="125" t="s">
        <v>284</v>
      </c>
      <c r="E208" s="126" t="s">
        <v>423</v>
      </c>
      <c r="F208" s="127" t="s">
        <v>424</v>
      </c>
      <c r="G208" s="128" t="s">
        <v>366</v>
      </c>
      <c r="H208" s="129">
        <v>15.553000000000001</v>
      </c>
      <c r="I208" s="130">
        <v>140.64048227116101</v>
      </c>
      <c r="J208" s="131">
        <f>ROUND(I208*H208,2)</f>
        <v>2187.38</v>
      </c>
      <c r="K208" s="127" t="s">
        <v>293</v>
      </c>
      <c r="L208" s="268">
        <f>S208</f>
        <v>0</v>
      </c>
      <c r="M208" s="272">
        <f>ROUND(L208*I208,2)</f>
        <v>0</v>
      </c>
      <c r="N208" s="243">
        <f>N222</f>
        <v>-0.67019999999999591</v>
      </c>
      <c r="O208" s="294">
        <f>ROUND(N208*I208,2)</f>
        <v>-94.26</v>
      </c>
      <c r="P208" s="273">
        <f>H208-L208-N208</f>
        <v>16.223199999999999</v>
      </c>
      <c r="Q208" s="287">
        <f>ROUND(P208*I208,2)</f>
        <v>2281.64</v>
      </c>
      <c r="R208" s="137"/>
      <c r="S208" s="269">
        <f>W208+Y208+AA208+AC208+AE208+AG208</f>
        <v>0</v>
      </c>
      <c r="T208" s="269">
        <f>ROUND(S208*I208,2)</f>
        <v>0</v>
      </c>
      <c r="U208" s="269">
        <f>H208-S208</f>
        <v>15.553000000000001</v>
      </c>
      <c r="V208" s="269">
        <f>ROUND(U208*I208,2)</f>
        <v>2187.38</v>
      </c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BF208" s="132" t="s">
        <v>1</v>
      </c>
      <c r="BG208" s="133" t="s">
        <v>40</v>
      </c>
      <c r="BI208" s="134">
        <f>BH208*H208</f>
        <v>0</v>
      </c>
      <c r="BJ208" s="134">
        <v>0</v>
      </c>
      <c r="BK208" s="134">
        <f>BJ208*H208</f>
        <v>0</v>
      </c>
      <c r="BL208" s="134">
        <v>0</v>
      </c>
      <c r="BM208" s="135">
        <f>BL208*H208</f>
        <v>0</v>
      </c>
      <c r="CK208" s="136" t="s">
        <v>95</v>
      </c>
      <c r="CM208" s="136" t="s">
        <v>284</v>
      </c>
      <c r="CN208" s="136" t="s">
        <v>83</v>
      </c>
      <c r="CR208" s="16" t="s">
        <v>282</v>
      </c>
      <c r="CX208" s="137">
        <f>IF(BG208="základní",J208,0)</f>
        <v>2187.38</v>
      </c>
      <c r="CY208" s="137">
        <f>IF(BG208="snížená",J208,0)</f>
        <v>0</v>
      </c>
      <c r="CZ208" s="137">
        <f>IF(BG208="zákl. přenesená",J208,0)</f>
        <v>0</v>
      </c>
      <c r="DA208" s="137">
        <f>IF(BG208="sníž. přenesená",J208,0)</f>
        <v>0</v>
      </c>
      <c r="DB208" s="137">
        <f>IF(BG208="nulová",J208,0)</f>
        <v>0</v>
      </c>
      <c r="DC208" s="16" t="s">
        <v>81</v>
      </c>
      <c r="DD208" s="137">
        <f>ROUND(I208*H208,2)</f>
        <v>2187.38</v>
      </c>
      <c r="DE208" s="16" t="s">
        <v>95</v>
      </c>
      <c r="DF208" s="136" t="s">
        <v>425</v>
      </c>
    </row>
    <row r="209" spans="2:110" s="1" customFormat="1" ht="29.25" x14ac:dyDescent="0.2">
      <c r="B209" s="31"/>
      <c r="D209" s="138" t="s">
        <v>289</v>
      </c>
      <c r="F209" s="139" t="s">
        <v>426</v>
      </c>
      <c r="I209" s="140"/>
      <c r="L209" s="31"/>
      <c r="N209" s="213"/>
      <c r="O209" s="214"/>
      <c r="Q209" s="229"/>
      <c r="BF209" s="141"/>
      <c r="BM209" s="50"/>
      <c r="CM209" s="16" t="s">
        <v>289</v>
      </c>
      <c r="CN209" s="16" t="s">
        <v>83</v>
      </c>
    </row>
    <row r="210" spans="2:110" s="11" customFormat="1" x14ac:dyDescent="0.2">
      <c r="B210" s="143"/>
      <c r="D210" s="138" t="s">
        <v>301</v>
      </c>
      <c r="E210" s="144" t="s">
        <v>1</v>
      </c>
      <c r="F210" s="145" t="s">
        <v>427</v>
      </c>
      <c r="H210" s="144" t="s">
        <v>1</v>
      </c>
      <c r="I210" s="146"/>
      <c r="L210" s="143"/>
      <c r="N210" s="215"/>
      <c r="O210" s="216"/>
      <c r="Q210" s="230"/>
      <c r="BF210" s="147"/>
      <c r="BM210" s="148"/>
      <c r="CM210" s="144" t="s">
        <v>301</v>
      </c>
      <c r="CN210" s="144" t="s">
        <v>83</v>
      </c>
      <c r="CO210" s="11" t="s">
        <v>81</v>
      </c>
      <c r="CP210" s="11" t="s">
        <v>32</v>
      </c>
      <c r="CQ210" s="11" t="s">
        <v>74</v>
      </c>
      <c r="CR210" s="144" t="s">
        <v>282</v>
      </c>
    </row>
    <row r="211" spans="2:110" s="12" customFormat="1" x14ac:dyDescent="0.2">
      <c r="B211" s="149"/>
      <c r="D211" s="138" t="s">
        <v>301</v>
      </c>
      <c r="E211" s="150" t="s">
        <v>1</v>
      </c>
      <c r="F211" s="151" t="s">
        <v>1360</v>
      </c>
      <c r="H211" s="152">
        <v>19.100000000000001</v>
      </c>
      <c r="I211" s="153"/>
      <c r="L211" s="149"/>
      <c r="N211" s="217">
        <f>9.175+9.175</f>
        <v>18.350000000000001</v>
      </c>
      <c r="O211" s="218" t="s">
        <v>3735</v>
      </c>
      <c r="Q211" s="231"/>
      <c r="BF211" s="154"/>
      <c r="BM211" s="155"/>
      <c r="CM211" s="150" t="s">
        <v>301</v>
      </c>
      <c r="CN211" s="150" t="s">
        <v>83</v>
      </c>
      <c r="CO211" s="12" t="s">
        <v>83</v>
      </c>
      <c r="CP211" s="12" t="s">
        <v>32</v>
      </c>
      <c r="CQ211" s="12" t="s">
        <v>74</v>
      </c>
      <c r="CR211" s="150" t="s">
        <v>282</v>
      </c>
    </row>
    <row r="212" spans="2:110" s="11" customFormat="1" x14ac:dyDescent="0.2">
      <c r="B212" s="143"/>
      <c r="D212" s="138" t="s">
        <v>301</v>
      </c>
      <c r="E212" s="144" t="s">
        <v>1</v>
      </c>
      <c r="F212" s="145" t="s">
        <v>428</v>
      </c>
      <c r="H212" s="144" t="s">
        <v>1</v>
      </c>
      <c r="I212" s="146"/>
      <c r="L212" s="143"/>
      <c r="N212" s="215"/>
      <c r="O212" s="216"/>
      <c r="Q212" s="230"/>
      <c r="BF212" s="147"/>
      <c r="BM212" s="148"/>
      <c r="CM212" s="144" t="s">
        <v>301</v>
      </c>
      <c r="CN212" s="144" t="s">
        <v>83</v>
      </c>
      <c r="CO212" s="11" t="s">
        <v>81</v>
      </c>
      <c r="CP212" s="11" t="s">
        <v>32</v>
      </c>
      <c r="CQ212" s="11" t="s">
        <v>74</v>
      </c>
      <c r="CR212" s="144" t="s">
        <v>282</v>
      </c>
    </row>
    <row r="213" spans="2:110" s="12" customFormat="1" x14ac:dyDescent="0.2">
      <c r="B213" s="149"/>
      <c r="D213" s="138" t="s">
        <v>301</v>
      </c>
      <c r="E213" s="150" t="s">
        <v>1</v>
      </c>
      <c r="F213" s="151" t="s">
        <v>1369</v>
      </c>
      <c r="H213" s="152">
        <v>-4.8150000000000004</v>
      </c>
      <c r="I213" s="153"/>
      <c r="L213" s="149"/>
      <c r="N213" s="217">
        <f>-N238</f>
        <v>-4.6259999999999994</v>
      </c>
      <c r="O213" s="218"/>
      <c r="Q213" s="231"/>
      <c r="BF213" s="154"/>
      <c r="BM213" s="155"/>
      <c r="CM213" s="150" t="s">
        <v>301</v>
      </c>
      <c r="CN213" s="150" t="s">
        <v>83</v>
      </c>
      <c r="CO213" s="12" t="s">
        <v>83</v>
      </c>
      <c r="CP213" s="12" t="s">
        <v>32</v>
      </c>
      <c r="CQ213" s="12" t="s">
        <v>74</v>
      </c>
      <c r="CR213" s="150" t="s">
        <v>282</v>
      </c>
    </row>
    <row r="214" spans="2:110" s="11" customFormat="1" x14ac:dyDescent="0.2">
      <c r="B214" s="143"/>
      <c r="D214" s="138" t="s">
        <v>301</v>
      </c>
      <c r="E214" s="144" t="s">
        <v>1</v>
      </c>
      <c r="F214" s="145" t="s">
        <v>430</v>
      </c>
      <c r="H214" s="144" t="s">
        <v>1</v>
      </c>
      <c r="I214" s="146"/>
      <c r="L214" s="143"/>
      <c r="N214" s="215"/>
      <c r="O214" s="216"/>
      <c r="Q214" s="230"/>
      <c r="BF214" s="147"/>
      <c r="BM214" s="148"/>
      <c r="CM214" s="144" t="s">
        <v>301</v>
      </c>
      <c r="CN214" s="144" t="s">
        <v>83</v>
      </c>
      <c r="CO214" s="11" t="s">
        <v>81</v>
      </c>
      <c r="CP214" s="11" t="s">
        <v>32</v>
      </c>
      <c r="CQ214" s="11" t="s">
        <v>74</v>
      </c>
      <c r="CR214" s="144" t="s">
        <v>282</v>
      </c>
    </row>
    <row r="215" spans="2:110" s="12" customFormat="1" x14ac:dyDescent="0.2">
      <c r="B215" s="149"/>
      <c r="D215" s="138" t="s">
        <v>301</v>
      </c>
      <c r="E215" s="150" t="s">
        <v>1</v>
      </c>
      <c r="F215" s="151" t="s">
        <v>1370</v>
      </c>
      <c r="H215" s="152">
        <v>-1.37</v>
      </c>
      <c r="I215" s="153"/>
      <c r="L215" s="149"/>
      <c r="N215" s="310">
        <f>-N263-H265</f>
        <v>-1.3280000000000001</v>
      </c>
      <c r="O215" s="218"/>
      <c r="Q215" s="231"/>
      <c r="BF215" s="154"/>
      <c r="BM215" s="155"/>
      <c r="CM215" s="150" t="s">
        <v>301</v>
      </c>
      <c r="CN215" s="150" t="s">
        <v>83</v>
      </c>
      <c r="CO215" s="12" t="s">
        <v>83</v>
      </c>
      <c r="CP215" s="12" t="s">
        <v>32</v>
      </c>
      <c r="CQ215" s="12" t="s">
        <v>74</v>
      </c>
      <c r="CR215" s="150" t="s">
        <v>282</v>
      </c>
    </row>
    <row r="216" spans="2:110" s="11" customFormat="1" x14ac:dyDescent="0.2">
      <c r="B216" s="143"/>
      <c r="D216" s="138" t="s">
        <v>301</v>
      </c>
      <c r="E216" s="144" t="s">
        <v>1</v>
      </c>
      <c r="F216" s="145" t="s">
        <v>432</v>
      </c>
      <c r="H216" s="144" t="s">
        <v>1</v>
      </c>
      <c r="I216" s="146"/>
      <c r="L216" s="143"/>
      <c r="N216" s="215"/>
      <c r="O216" s="216"/>
      <c r="Q216" s="230"/>
      <c r="BF216" s="147"/>
      <c r="BM216" s="148"/>
      <c r="CM216" s="144" t="s">
        <v>301</v>
      </c>
      <c r="CN216" s="144" t="s">
        <v>83</v>
      </c>
      <c r="CO216" s="11" t="s">
        <v>81</v>
      </c>
      <c r="CP216" s="11" t="s">
        <v>32</v>
      </c>
      <c r="CQ216" s="11" t="s">
        <v>74</v>
      </c>
      <c r="CR216" s="144" t="s">
        <v>282</v>
      </c>
    </row>
    <row r="217" spans="2:110" s="12" customFormat="1" x14ac:dyDescent="0.2">
      <c r="B217" s="149"/>
      <c r="D217" s="138" t="s">
        <v>301</v>
      </c>
      <c r="E217" s="150" t="s">
        <v>1</v>
      </c>
      <c r="F217" s="151" t="s">
        <v>1371</v>
      </c>
      <c r="H217" s="152">
        <v>-0.3</v>
      </c>
      <c r="I217" s="153"/>
      <c r="L217" s="149"/>
      <c r="N217" s="310">
        <f>H217</f>
        <v>-0.3</v>
      </c>
      <c r="O217" s="218"/>
      <c r="Q217" s="231"/>
      <c r="BF217" s="154"/>
      <c r="BM217" s="155"/>
      <c r="CM217" s="150" t="s">
        <v>301</v>
      </c>
      <c r="CN217" s="150" t="s">
        <v>83</v>
      </c>
      <c r="CO217" s="12" t="s">
        <v>83</v>
      </c>
      <c r="CP217" s="12" t="s">
        <v>32</v>
      </c>
      <c r="CQ217" s="12" t="s">
        <v>74</v>
      </c>
      <c r="CR217" s="150" t="s">
        <v>282</v>
      </c>
    </row>
    <row r="218" spans="2:110" s="12" customFormat="1" x14ac:dyDescent="0.2">
      <c r="B218" s="149"/>
      <c r="D218" s="138" t="s">
        <v>301</v>
      </c>
      <c r="E218" s="150" t="s">
        <v>1</v>
      </c>
      <c r="F218" s="151" t="s">
        <v>1372</v>
      </c>
      <c r="H218" s="152">
        <v>-0.91400000000000003</v>
      </c>
      <c r="I218" s="153"/>
      <c r="L218" s="149"/>
      <c r="N218" s="310">
        <f>H218</f>
        <v>-0.91400000000000003</v>
      </c>
      <c r="O218" s="218"/>
      <c r="Q218" s="231"/>
      <c r="BF218" s="154"/>
      <c r="BM218" s="155"/>
      <c r="CM218" s="150" t="s">
        <v>301</v>
      </c>
      <c r="CN218" s="150" t="s">
        <v>83</v>
      </c>
      <c r="CO218" s="12" t="s">
        <v>83</v>
      </c>
      <c r="CP218" s="12" t="s">
        <v>32</v>
      </c>
      <c r="CQ218" s="12" t="s">
        <v>74</v>
      </c>
      <c r="CR218" s="150" t="s">
        <v>282</v>
      </c>
    </row>
    <row r="219" spans="2:110" s="11" customFormat="1" x14ac:dyDescent="0.2">
      <c r="B219" s="143"/>
      <c r="D219" s="138" t="s">
        <v>301</v>
      </c>
      <c r="E219" s="144" t="s">
        <v>1</v>
      </c>
      <c r="F219" s="145" t="s">
        <v>436</v>
      </c>
      <c r="H219" s="144" t="s">
        <v>1</v>
      </c>
      <c r="I219" s="146"/>
      <c r="L219" s="143"/>
      <c r="N219" s="215"/>
      <c r="O219" s="216"/>
      <c r="Q219" s="230"/>
      <c r="BF219" s="147"/>
      <c r="BM219" s="148"/>
      <c r="CM219" s="144" t="s">
        <v>301</v>
      </c>
      <c r="CN219" s="144" t="s">
        <v>83</v>
      </c>
      <c r="CO219" s="11" t="s">
        <v>81</v>
      </c>
      <c r="CP219" s="11" t="s">
        <v>32</v>
      </c>
      <c r="CQ219" s="11" t="s">
        <v>74</v>
      </c>
      <c r="CR219" s="144" t="s">
        <v>282</v>
      </c>
    </row>
    <row r="220" spans="2:110" s="12" customFormat="1" x14ac:dyDescent="0.2">
      <c r="B220" s="149"/>
      <c r="D220" s="138" t="s">
        <v>301</v>
      </c>
      <c r="E220" s="150" t="s">
        <v>1</v>
      </c>
      <c r="F220" s="151" t="s">
        <v>1373</v>
      </c>
      <c r="H220" s="152">
        <v>3.8519999999999999</v>
      </c>
      <c r="I220" s="153"/>
      <c r="L220" s="149"/>
      <c r="N220" s="217">
        <f>9.252*(0.45-0.05)</f>
        <v>3.7008000000000005</v>
      </c>
      <c r="O220" s="218" t="s">
        <v>3744</v>
      </c>
      <c r="Q220" s="231"/>
      <c r="BF220" s="154"/>
      <c r="BM220" s="155"/>
      <c r="CM220" s="150" t="s">
        <v>301</v>
      </c>
      <c r="CN220" s="150" t="s">
        <v>83</v>
      </c>
      <c r="CO220" s="12" t="s">
        <v>83</v>
      </c>
      <c r="CP220" s="12" t="s">
        <v>32</v>
      </c>
      <c r="CQ220" s="12" t="s">
        <v>74</v>
      </c>
      <c r="CR220" s="150" t="s">
        <v>282</v>
      </c>
    </row>
    <row r="221" spans="2:110" s="13" customFormat="1" x14ac:dyDescent="0.2">
      <c r="B221" s="156"/>
      <c r="D221" s="138" t="s">
        <v>301</v>
      </c>
      <c r="E221" s="157" t="s">
        <v>1</v>
      </c>
      <c r="F221" s="158" t="s">
        <v>305</v>
      </c>
      <c r="H221" s="159">
        <v>15.552999999999999</v>
      </c>
      <c r="I221" s="160"/>
      <c r="L221" s="156"/>
      <c r="N221" s="311">
        <f>N211+N213+N215+N217+N218+N220</f>
        <v>14.882800000000003</v>
      </c>
      <c r="O221" s="220"/>
      <c r="Q221" s="232"/>
      <c r="BF221" s="161"/>
      <c r="BM221" s="162"/>
      <c r="CM221" s="157" t="s">
        <v>301</v>
      </c>
      <c r="CN221" s="157" t="s">
        <v>83</v>
      </c>
      <c r="CO221" s="13" t="s">
        <v>95</v>
      </c>
      <c r="CP221" s="13" t="s">
        <v>32</v>
      </c>
      <c r="CQ221" s="13" t="s">
        <v>81</v>
      </c>
      <c r="CR221" s="157" t="s">
        <v>282</v>
      </c>
    </row>
    <row r="222" spans="2:110" s="13" customFormat="1" x14ac:dyDescent="0.2">
      <c r="B222" s="156"/>
      <c r="D222" s="138"/>
      <c r="E222" s="157"/>
      <c r="F222" s="158"/>
      <c r="H222" s="159"/>
      <c r="I222" s="160"/>
      <c r="L222" s="156"/>
      <c r="N222" s="311">
        <f>N221-H221</f>
        <v>-0.67019999999999591</v>
      </c>
      <c r="O222" s="220"/>
      <c r="Q222" s="232"/>
      <c r="BF222" s="161"/>
      <c r="BM222" s="162"/>
      <c r="CM222" s="157"/>
      <c r="CN222" s="157"/>
      <c r="CR222" s="157"/>
    </row>
    <row r="223" spans="2:110" s="1" customFormat="1" ht="14.45" customHeight="1" x14ac:dyDescent="0.2">
      <c r="B223" s="124"/>
      <c r="C223" s="170" t="s">
        <v>392</v>
      </c>
      <c r="D223" s="170" t="s">
        <v>439</v>
      </c>
      <c r="E223" s="171" t="s">
        <v>440</v>
      </c>
      <c r="F223" s="172" t="s">
        <v>441</v>
      </c>
      <c r="G223" s="173" t="s">
        <v>418</v>
      </c>
      <c r="H223" s="174">
        <v>27.788</v>
      </c>
      <c r="I223" s="175">
        <v>390.0974172</v>
      </c>
      <c r="J223" s="176">
        <f>ROUND(I223*H223,2)</f>
        <v>10840.03</v>
      </c>
      <c r="K223" s="172" t="s">
        <v>293</v>
      </c>
      <c r="L223" s="268">
        <f>S223</f>
        <v>0</v>
      </c>
      <c r="M223" s="272">
        <f>ROUND(L223*I223,2)</f>
        <v>0</v>
      </c>
      <c r="N223" s="243">
        <f>N234</f>
        <v>-1.2088000000000001</v>
      </c>
      <c r="O223" s="294">
        <f>ROUND(N223*I223,2)</f>
        <v>-471.55</v>
      </c>
      <c r="P223" s="273">
        <f>H223-L223-N223</f>
        <v>28.9968</v>
      </c>
      <c r="Q223" s="287">
        <f>ROUND(P223*I223,2)</f>
        <v>11311.58</v>
      </c>
      <c r="R223" s="137"/>
      <c r="S223" s="269">
        <f>W223+Y223+AA223+AC223+AE223+AG223</f>
        <v>0</v>
      </c>
      <c r="T223" s="269">
        <f>ROUND(S223*I223,2)</f>
        <v>0</v>
      </c>
      <c r="U223" s="269">
        <f>H223-S223</f>
        <v>27.788</v>
      </c>
      <c r="V223" s="269">
        <f>ROUND(U223*I223,2)</f>
        <v>10840.03</v>
      </c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77" t="s">
        <v>1</v>
      </c>
      <c r="BG223" s="178" t="s">
        <v>40</v>
      </c>
      <c r="BI223" s="134">
        <f>BH223*H223</f>
        <v>0</v>
      </c>
      <c r="BJ223" s="134">
        <v>1</v>
      </c>
      <c r="BK223" s="134">
        <f>BJ223*H223</f>
        <v>27.788</v>
      </c>
      <c r="BL223" s="134">
        <v>0</v>
      </c>
      <c r="BM223" s="135">
        <f>BL223*H223</f>
        <v>0</v>
      </c>
      <c r="CK223" s="136" t="s">
        <v>328</v>
      </c>
      <c r="CM223" s="136" t="s">
        <v>439</v>
      </c>
      <c r="CN223" s="136" t="s">
        <v>83</v>
      </c>
      <c r="CR223" s="16" t="s">
        <v>282</v>
      </c>
      <c r="CX223" s="137">
        <f>IF(BG223="základní",J223,0)</f>
        <v>10840.03</v>
      </c>
      <c r="CY223" s="137">
        <f>IF(BG223="snížená",J223,0)</f>
        <v>0</v>
      </c>
      <c r="CZ223" s="137">
        <f>IF(BG223="zákl. přenesená",J223,0)</f>
        <v>0</v>
      </c>
      <c r="DA223" s="137">
        <f>IF(BG223="sníž. přenesená",J223,0)</f>
        <v>0</v>
      </c>
      <c r="DB223" s="137">
        <f>IF(BG223="nulová",J223,0)</f>
        <v>0</v>
      </c>
      <c r="DC223" s="16" t="s">
        <v>81</v>
      </c>
      <c r="DD223" s="137">
        <f>ROUND(I223*H223,2)</f>
        <v>10840.03</v>
      </c>
      <c r="DE223" s="16" t="s">
        <v>95</v>
      </c>
      <c r="DF223" s="136" t="s">
        <v>442</v>
      </c>
    </row>
    <row r="224" spans="2:110" s="1" customFormat="1" x14ac:dyDescent="0.2">
      <c r="B224" s="31"/>
      <c r="D224" s="138" t="s">
        <v>289</v>
      </c>
      <c r="F224" s="139" t="s">
        <v>441</v>
      </c>
      <c r="I224" s="140"/>
      <c r="L224" s="31"/>
      <c r="N224" s="213"/>
      <c r="O224" s="214"/>
      <c r="Q224" s="229"/>
      <c r="BF224" s="141"/>
      <c r="BM224" s="50"/>
      <c r="CM224" s="16" t="s">
        <v>289</v>
      </c>
      <c r="CN224" s="16" t="s">
        <v>83</v>
      </c>
    </row>
    <row r="225" spans="2:110" s="1" customFormat="1" ht="19.5" x14ac:dyDescent="0.2">
      <c r="B225" s="31"/>
      <c r="D225" s="138" t="s">
        <v>299</v>
      </c>
      <c r="F225" s="142" t="s">
        <v>443</v>
      </c>
      <c r="I225" s="140"/>
      <c r="L225" s="31"/>
      <c r="N225" s="213"/>
      <c r="O225" s="214"/>
      <c r="Q225" s="229"/>
      <c r="BF225" s="141"/>
      <c r="BM225" s="50"/>
      <c r="CM225" s="16" t="s">
        <v>299</v>
      </c>
      <c r="CN225" s="16" t="s">
        <v>83</v>
      </c>
    </row>
    <row r="226" spans="2:110" s="11" customFormat="1" x14ac:dyDescent="0.2">
      <c r="B226" s="143"/>
      <c r="D226" s="138" t="s">
        <v>301</v>
      </c>
      <c r="E226" s="144" t="s">
        <v>1</v>
      </c>
      <c r="F226" s="145" t="s">
        <v>1006</v>
      </c>
      <c r="H226" s="144" t="s">
        <v>1</v>
      </c>
      <c r="I226" s="146"/>
      <c r="L226" s="143"/>
      <c r="N226" s="215"/>
      <c r="O226" s="216"/>
      <c r="Q226" s="230"/>
      <c r="BF226" s="147"/>
      <c r="BM226" s="148"/>
      <c r="CM226" s="144" t="s">
        <v>301</v>
      </c>
      <c r="CN226" s="144" t="s">
        <v>83</v>
      </c>
      <c r="CO226" s="11" t="s">
        <v>81</v>
      </c>
      <c r="CP226" s="11" t="s">
        <v>32</v>
      </c>
      <c r="CQ226" s="11" t="s">
        <v>74</v>
      </c>
      <c r="CR226" s="144" t="s">
        <v>282</v>
      </c>
    </row>
    <row r="227" spans="2:110" s="12" customFormat="1" x14ac:dyDescent="0.2">
      <c r="B227" s="149"/>
      <c r="D227" s="138" t="s">
        <v>301</v>
      </c>
      <c r="E227" s="150" t="s">
        <v>1</v>
      </c>
      <c r="F227" s="151" t="s">
        <v>1374</v>
      </c>
      <c r="H227" s="152">
        <v>15.553000000000001</v>
      </c>
      <c r="I227" s="153"/>
      <c r="L227" s="149"/>
      <c r="N227" s="217">
        <v>14.882999999999999</v>
      </c>
      <c r="O227" s="218"/>
      <c r="Q227" s="231"/>
      <c r="BF227" s="154"/>
      <c r="BM227" s="155"/>
      <c r="CM227" s="150" t="s">
        <v>301</v>
      </c>
      <c r="CN227" s="150" t="s">
        <v>83</v>
      </c>
      <c r="CO227" s="12" t="s">
        <v>83</v>
      </c>
      <c r="CP227" s="12" t="s">
        <v>32</v>
      </c>
      <c r="CQ227" s="12" t="s">
        <v>74</v>
      </c>
      <c r="CR227" s="150" t="s">
        <v>282</v>
      </c>
    </row>
    <row r="228" spans="2:110" s="14" customFormat="1" x14ac:dyDescent="0.2">
      <c r="B228" s="163"/>
      <c r="D228" s="138" t="s">
        <v>301</v>
      </c>
      <c r="E228" s="164" t="s">
        <v>1</v>
      </c>
      <c r="F228" s="165" t="s">
        <v>373</v>
      </c>
      <c r="H228" s="166">
        <v>15.553000000000001</v>
      </c>
      <c r="I228" s="167"/>
      <c r="L228" s="163"/>
      <c r="N228" s="221">
        <f>N227</f>
        <v>14.882999999999999</v>
      </c>
      <c r="O228" s="222"/>
      <c r="Q228" s="233"/>
      <c r="BF228" s="168"/>
      <c r="BM228" s="169"/>
      <c r="CM228" s="164" t="s">
        <v>301</v>
      </c>
      <c r="CN228" s="164" t="s">
        <v>83</v>
      </c>
      <c r="CO228" s="14" t="s">
        <v>90</v>
      </c>
      <c r="CP228" s="14" t="s">
        <v>32</v>
      </c>
      <c r="CQ228" s="14" t="s">
        <v>74</v>
      </c>
      <c r="CR228" s="164" t="s">
        <v>282</v>
      </c>
    </row>
    <row r="229" spans="2:110" s="11" customFormat="1" x14ac:dyDescent="0.2">
      <c r="B229" s="143"/>
      <c r="D229" s="138" t="s">
        <v>301</v>
      </c>
      <c r="E229" s="144" t="s">
        <v>1</v>
      </c>
      <c r="F229" s="145" t="s">
        <v>1102</v>
      </c>
      <c r="H229" s="144" t="s">
        <v>1</v>
      </c>
      <c r="I229" s="146"/>
      <c r="L229" s="143"/>
      <c r="N229" s="215"/>
      <c r="O229" s="216"/>
      <c r="Q229" s="230"/>
      <c r="BF229" s="147"/>
      <c r="BM229" s="148"/>
      <c r="CM229" s="144" t="s">
        <v>301</v>
      </c>
      <c r="CN229" s="144" t="s">
        <v>83</v>
      </c>
      <c r="CO229" s="11" t="s">
        <v>81</v>
      </c>
      <c r="CP229" s="11" t="s">
        <v>32</v>
      </c>
      <c r="CQ229" s="11" t="s">
        <v>74</v>
      </c>
      <c r="CR229" s="144" t="s">
        <v>282</v>
      </c>
    </row>
    <row r="230" spans="2:110" s="12" customFormat="1" x14ac:dyDescent="0.2">
      <c r="B230" s="149"/>
      <c r="D230" s="138" t="s">
        <v>301</v>
      </c>
      <c r="E230" s="150" t="s">
        <v>1</v>
      </c>
      <c r="F230" s="151" t="s">
        <v>1364</v>
      </c>
      <c r="H230" s="152">
        <v>1.659</v>
      </c>
      <c r="I230" s="153"/>
      <c r="L230" s="149"/>
      <c r="N230" s="217">
        <f>10.28*1*(2.2-0.1-0.45-0.1)*0.1</f>
        <v>1.5933999999999999</v>
      </c>
      <c r="O230" s="218" t="s">
        <v>3738</v>
      </c>
      <c r="Q230" s="231"/>
      <c r="BF230" s="154"/>
      <c r="BM230" s="155"/>
      <c r="CM230" s="150" t="s">
        <v>301</v>
      </c>
      <c r="CN230" s="150" t="s">
        <v>83</v>
      </c>
      <c r="CO230" s="12" t="s">
        <v>83</v>
      </c>
      <c r="CP230" s="12" t="s">
        <v>32</v>
      </c>
      <c r="CQ230" s="12" t="s">
        <v>74</v>
      </c>
      <c r="CR230" s="150" t="s">
        <v>282</v>
      </c>
    </row>
    <row r="231" spans="2:110" s="14" customFormat="1" x14ac:dyDescent="0.2">
      <c r="B231" s="163"/>
      <c r="D231" s="138" t="s">
        <v>301</v>
      </c>
      <c r="E231" s="164" t="s">
        <v>1</v>
      </c>
      <c r="F231" s="165" t="s">
        <v>373</v>
      </c>
      <c r="H231" s="166">
        <v>1.659</v>
      </c>
      <c r="I231" s="167"/>
      <c r="L231" s="163"/>
      <c r="N231" s="221">
        <f>N230</f>
        <v>1.5933999999999999</v>
      </c>
      <c r="O231" s="222"/>
      <c r="Q231" s="233"/>
      <c r="BF231" s="168"/>
      <c r="BM231" s="169"/>
      <c r="CM231" s="164" t="s">
        <v>301</v>
      </c>
      <c r="CN231" s="164" t="s">
        <v>83</v>
      </c>
      <c r="CO231" s="14" t="s">
        <v>90</v>
      </c>
      <c r="CP231" s="14" t="s">
        <v>32</v>
      </c>
      <c r="CQ231" s="14" t="s">
        <v>74</v>
      </c>
      <c r="CR231" s="164" t="s">
        <v>282</v>
      </c>
    </row>
    <row r="232" spans="2:110" s="12" customFormat="1" x14ac:dyDescent="0.2">
      <c r="B232" s="149"/>
      <c r="D232" s="138" t="s">
        <v>301</v>
      </c>
      <c r="E232" s="150" t="s">
        <v>1</v>
      </c>
      <c r="F232" s="151" t="s">
        <v>1375</v>
      </c>
      <c r="H232" s="152">
        <v>13.894</v>
      </c>
      <c r="I232" s="153"/>
      <c r="L232" s="149"/>
      <c r="N232" s="217">
        <f>N228-N231</f>
        <v>13.2896</v>
      </c>
      <c r="O232" s="218"/>
      <c r="Q232" s="231"/>
      <c r="BF232" s="154"/>
      <c r="BM232" s="155"/>
      <c r="CM232" s="150" t="s">
        <v>301</v>
      </c>
      <c r="CN232" s="150" t="s">
        <v>83</v>
      </c>
      <c r="CO232" s="12" t="s">
        <v>83</v>
      </c>
      <c r="CP232" s="12" t="s">
        <v>32</v>
      </c>
      <c r="CQ232" s="12" t="s">
        <v>81</v>
      </c>
      <c r="CR232" s="150" t="s">
        <v>282</v>
      </c>
    </row>
    <row r="233" spans="2:110" s="12" customFormat="1" x14ac:dyDescent="0.2">
      <c r="B233" s="149"/>
      <c r="D233" s="138" t="s">
        <v>301</v>
      </c>
      <c r="F233" s="151" t="s">
        <v>1376</v>
      </c>
      <c r="H233" s="152">
        <v>27.788</v>
      </c>
      <c r="I233" s="153"/>
      <c r="L233" s="149"/>
      <c r="N233" s="217">
        <f>N232*2</f>
        <v>26.5792</v>
      </c>
      <c r="O233" s="218"/>
      <c r="Q233" s="231"/>
      <c r="BF233" s="154"/>
      <c r="BM233" s="155"/>
      <c r="CM233" s="150" t="s">
        <v>301</v>
      </c>
      <c r="CN233" s="150" t="s">
        <v>83</v>
      </c>
      <c r="CO233" s="12" t="s">
        <v>83</v>
      </c>
      <c r="CP233" s="12" t="s">
        <v>3</v>
      </c>
      <c r="CQ233" s="12" t="s">
        <v>81</v>
      </c>
      <c r="CR233" s="150" t="s">
        <v>282</v>
      </c>
    </row>
    <row r="234" spans="2:110" s="12" customFormat="1" x14ac:dyDescent="0.2">
      <c r="B234" s="149"/>
      <c r="D234" s="138"/>
      <c r="F234" s="151"/>
      <c r="H234" s="152"/>
      <c r="I234" s="153"/>
      <c r="L234" s="149"/>
      <c r="N234" s="310">
        <f>N233-H233</f>
        <v>-1.2088000000000001</v>
      </c>
      <c r="O234" s="218"/>
      <c r="Q234" s="231"/>
      <c r="BF234" s="154"/>
      <c r="BM234" s="155"/>
      <c r="CM234" s="150"/>
      <c r="CN234" s="150"/>
      <c r="CR234" s="150"/>
    </row>
    <row r="235" spans="2:110" s="1" customFormat="1" ht="24.2" customHeight="1" x14ac:dyDescent="0.2">
      <c r="B235" s="124"/>
      <c r="C235" s="125" t="s">
        <v>397</v>
      </c>
      <c r="D235" s="125" t="s">
        <v>284</v>
      </c>
      <c r="E235" s="126" t="s">
        <v>446</v>
      </c>
      <c r="F235" s="127" t="s">
        <v>447</v>
      </c>
      <c r="G235" s="128" t="s">
        <v>366</v>
      </c>
      <c r="H235" s="129">
        <v>4.8150000000000004</v>
      </c>
      <c r="I235" s="130">
        <v>510.38291484661499</v>
      </c>
      <c r="J235" s="131">
        <f>ROUND(I235*H235,2)</f>
        <v>2457.4899999999998</v>
      </c>
      <c r="K235" s="127" t="s">
        <v>293</v>
      </c>
      <c r="L235" s="268">
        <f>S235</f>
        <v>0</v>
      </c>
      <c r="M235" s="272">
        <f>ROUND(L235*I235,2)</f>
        <v>0</v>
      </c>
      <c r="N235" s="243">
        <f>N239</f>
        <v>-0.18900000000000095</v>
      </c>
      <c r="O235" s="294">
        <f>ROUND(N235*I235,2)</f>
        <v>-96.46</v>
      </c>
      <c r="P235" s="273">
        <f>H235-L235-N235</f>
        <v>5.0040000000000013</v>
      </c>
      <c r="Q235" s="287">
        <f>ROUND(P235*I235,2)</f>
        <v>2553.96</v>
      </c>
      <c r="R235" s="137"/>
      <c r="S235" s="269">
        <f>W235+Y235+AA235+AC235+AE235+AG235</f>
        <v>0</v>
      </c>
      <c r="T235" s="269">
        <f>ROUND(S235*I235,2)</f>
        <v>0</v>
      </c>
      <c r="U235" s="269">
        <f>H235-S235</f>
        <v>4.8150000000000004</v>
      </c>
      <c r="V235" s="269">
        <f>ROUND(U235*I235,2)</f>
        <v>2457.4899999999998</v>
      </c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BF235" s="132" t="s">
        <v>1</v>
      </c>
      <c r="BG235" s="133" t="s">
        <v>40</v>
      </c>
      <c r="BI235" s="134">
        <f>BH235*H235</f>
        <v>0</v>
      </c>
      <c r="BJ235" s="134">
        <v>0</v>
      </c>
      <c r="BK235" s="134">
        <f>BJ235*H235</f>
        <v>0</v>
      </c>
      <c r="BL235" s="134">
        <v>0</v>
      </c>
      <c r="BM235" s="135">
        <f>BL235*H235</f>
        <v>0</v>
      </c>
      <c r="CK235" s="136" t="s">
        <v>95</v>
      </c>
      <c r="CM235" s="136" t="s">
        <v>284</v>
      </c>
      <c r="CN235" s="136" t="s">
        <v>83</v>
      </c>
      <c r="CR235" s="16" t="s">
        <v>282</v>
      </c>
      <c r="CX235" s="137">
        <f>IF(BG235="základní",J235,0)</f>
        <v>2457.4899999999998</v>
      </c>
      <c r="CY235" s="137">
        <f>IF(BG235="snížená",J235,0)</f>
        <v>0</v>
      </c>
      <c r="CZ235" s="137">
        <f>IF(BG235="zákl. přenesená",J235,0)</f>
        <v>0</v>
      </c>
      <c r="DA235" s="137">
        <f>IF(BG235="sníž. přenesená",J235,0)</f>
        <v>0</v>
      </c>
      <c r="DB235" s="137">
        <f>IF(BG235="nulová",J235,0)</f>
        <v>0</v>
      </c>
      <c r="DC235" s="16" t="s">
        <v>81</v>
      </c>
      <c r="DD235" s="137">
        <f>ROUND(I235*H235,2)</f>
        <v>2457.4899999999998</v>
      </c>
      <c r="DE235" s="16" t="s">
        <v>95</v>
      </c>
      <c r="DF235" s="136" t="s">
        <v>448</v>
      </c>
    </row>
    <row r="236" spans="2:110" s="1" customFormat="1" ht="39" x14ac:dyDescent="0.2">
      <c r="B236" s="31"/>
      <c r="D236" s="138" t="s">
        <v>289</v>
      </c>
      <c r="F236" s="139" t="s">
        <v>449</v>
      </c>
      <c r="I236" s="140"/>
      <c r="L236" s="31"/>
      <c r="N236" s="213"/>
      <c r="O236" s="214"/>
      <c r="Q236" s="229"/>
      <c r="BF236" s="141"/>
      <c r="BM236" s="50"/>
      <c r="CM236" s="16" t="s">
        <v>289</v>
      </c>
      <c r="CN236" s="16" t="s">
        <v>83</v>
      </c>
    </row>
    <row r="237" spans="2:110" s="1" customFormat="1" ht="29.25" x14ac:dyDescent="0.2">
      <c r="B237" s="31"/>
      <c r="D237" s="138" t="s">
        <v>299</v>
      </c>
      <c r="F237" s="142" t="s">
        <v>1083</v>
      </c>
      <c r="I237" s="140"/>
      <c r="L237" s="31"/>
      <c r="N237" s="213"/>
      <c r="O237" s="214"/>
      <c r="Q237" s="229"/>
      <c r="BF237" s="141"/>
      <c r="BM237" s="50"/>
      <c r="CM237" s="16" t="s">
        <v>299</v>
      </c>
      <c r="CN237" s="16" t="s">
        <v>83</v>
      </c>
    </row>
    <row r="238" spans="2:110" s="12" customFormat="1" x14ac:dyDescent="0.2">
      <c r="B238" s="149"/>
      <c r="D238" s="138" t="s">
        <v>301</v>
      </c>
      <c r="E238" s="150" t="s">
        <v>1</v>
      </c>
      <c r="F238" s="151" t="s">
        <v>1377</v>
      </c>
      <c r="H238" s="152">
        <v>4.8150000000000004</v>
      </c>
      <c r="I238" s="153"/>
      <c r="L238" s="149"/>
      <c r="N238" s="217">
        <f>10.28*1*0.45</f>
        <v>4.6259999999999994</v>
      </c>
      <c r="O238" s="218" t="s">
        <v>3740</v>
      </c>
      <c r="Q238" s="231"/>
      <c r="BF238" s="154"/>
      <c r="BM238" s="155"/>
      <c r="CM238" s="150" t="s">
        <v>301</v>
      </c>
      <c r="CN238" s="150" t="s">
        <v>83</v>
      </c>
      <c r="CO238" s="12" t="s">
        <v>83</v>
      </c>
      <c r="CP238" s="12" t="s">
        <v>32</v>
      </c>
      <c r="CQ238" s="12" t="s">
        <v>81</v>
      </c>
      <c r="CR238" s="150" t="s">
        <v>282</v>
      </c>
    </row>
    <row r="239" spans="2:110" s="12" customFormat="1" x14ac:dyDescent="0.2">
      <c r="B239" s="149"/>
      <c r="D239" s="138"/>
      <c r="E239" s="150"/>
      <c r="F239" s="151"/>
      <c r="H239" s="152"/>
      <c r="I239" s="153"/>
      <c r="L239" s="149"/>
      <c r="N239" s="310">
        <f>N238-H238</f>
        <v>-0.18900000000000095</v>
      </c>
      <c r="O239" s="218"/>
      <c r="Q239" s="231"/>
      <c r="BF239" s="154"/>
      <c r="BM239" s="155"/>
      <c r="CM239" s="150"/>
      <c r="CN239" s="150"/>
      <c r="CR239" s="150"/>
    </row>
    <row r="240" spans="2:110" s="1" customFormat="1" ht="14.45" customHeight="1" x14ac:dyDescent="0.2">
      <c r="B240" s="124"/>
      <c r="C240" s="170" t="s">
        <v>404</v>
      </c>
      <c r="D240" s="170" t="s">
        <v>439</v>
      </c>
      <c r="E240" s="171" t="s">
        <v>452</v>
      </c>
      <c r="F240" s="172" t="s">
        <v>453</v>
      </c>
      <c r="G240" s="173" t="s">
        <v>418</v>
      </c>
      <c r="H240" s="174">
        <v>9.6300000000000008</v>
      </c>
      <c r="I240" s="175">
        <v>380.62816190000001</v>
      </c>
      <c r="J240" s="176">
        <f>ROUND(I240*H240,2)</f>
        <v>3665.45</v>
      </c>
      <c r="K240" s="172" t="s">
        <v>293</v>
      </c>
      <c r="L240" s="268">
        <f>S240</f>
        <v>0</v>
      </c>
      <c r="M240" s="272">
        <f>ROUND(L240*I240,2)</f>
        <v>0</v>
      </c>
      <c r="N240" s="243">
        <f>N242</f>
        <v>-0.378</v>
      </c>
      <c r="O240" s="294">
        <f>ROUND(N240*I240,2)</f>
        <v>-143.88</v>
      </c>
      <c r="P240" s="273">
        <f>H240-L240-N240</f>
        <v>10.008000000000001</v>
      </c>
      <c r="Q240" s="287">
        <f>ROUND(P240*I240,2)</f>
        <v>3809.33</v>
      </c>
      <c r="R240" s="137"/>
      <c r="S240" s="269">
        <f>W240+Y240+AA240+AC240+AE240+AG240</f>
        <v>0</v>
      </c>
      <c r="T240" s="269">
        <f>ROUND(S240*I240,2)</f>
        <v>0</v>
      </c>
      <c r="U240" s="269">
        <f>H240-S240</f>
        <v>9.6300000000000008</v>
      </c>
      <c r="V240" s="269">
        <f>ROUND(U240*I240,2)</f>
        <v>3665.45</v>
      </c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77" t="s">
        <v>1</v>
      </c>
      <c r="BG240" s="178" t="s">
        <v>40</v>
      </c>
      <c r="BI240" s="134">
        <f>BH240*H240</f>
        <v>0</v>
      </c>
      <c r="BJ240" s="134">
        <v>1</v>
      </c>
      <c r="BK240" s="134">
        <f>BJ240*H240</f>
        <v>9.6300000000000008</v>
      </c>
      <c r="BL240" s="134">
        <v>0</v>
      </c>
      <c r="BM240" s="135">
        <f>BL240*H240</f>
        <v>0</v>
      </c>
      <c r="CK240" s="136" t="s">
        <v>328</v>
      </c>
      <c r="CM240" s="136" t="s">
        <v>439</v>
      </c>
      <c r="CN240" s="136" t="s">
        <v>83</v>
      </c>
      <c r="CR240" s="16" t="s">
        <v>282</v>
      </c>
      <c r="CX240" s="137">
        <f>IF(BG240="základní",J240,0)</f>
        <v>3665.45</v>
      </c>
      <c r="CY240" s="137">
        <f>IF(BG240="snížená",J240,0)</f>
        <v>0</v>
      </c>
      <c r="CZ240" s="137">
        <f>IF(BG240="zákl. přenesená",J240,0)</f>
        <v>0</v>
      </c>
      <c r="DA240" s="137">
        <f>IF(BG240="sníž. přenesená",J240,0)</f>
        <v>0</v>
      </c>
      <c r="DB240" s="137">
        <f>IF(BG240="nulová",J240,0)</f>
        <v>0</v>
      </c>
      <c r="DC240" s="16" t="s">
        <v>81</v>
      </c>
      <c r="DD240" s="137">
        <f>ROUND(I240*H240,2)</f>
        <v>3665.45</v>
      </c>
      <c r="DE240" s="16" t="s">
        <v>95</v>
      </c>
      <c r="DF240" s="136" t="s">
        <v>454</v>
      </c>
    </row>
    <row r="241" spans="2:110" s="1" customFormat="1" x14ac:dyDescent="0.2">
      <c r="B241" s="31"/>
      <c r="D241" s="138" t="s">
        <v>289</v>
      </c>
      <c r="F241" s="139" t="s">
        <v>453</v>
      </c>
      <c r="I241" s="140"/>
      <c r="L241" s="31"/>
      <c r="N241" s="213"/>
      <c r="O241" s="214"/>
      <c r="Q241" s="229"/>
      <c r="BF241" s="141"/>
      <c r="BM241" s="50"/>
      <c r="CM241" s="16" t="s">
        <v>289</v>
      </c>
      <c r="CN241" s="16" t="s">
        <v>83</v>
      </c>
    </row>
    <row r="242" spans="2:110" s="12" customFormat="1" x14ac:dyDescent="0.2">
      <c r="B242" s="149"/>
      <c r="D242" s="138" t="s">
        <v>301</v>
      </c>
      <c r="F242" s="151" t="s">
        <v>1378</v>
      </c>
      <c r="H242" s="152">
        <v>9.6300000000000008</v>
      </c>
      <c r="I242" s="153"/>
      <c r="L242" s="149"/>
      <c r="N242" s="217">
        <f>-0.189*2</f>
        <v>-0.378</v>
      </c>
      <c r="O242" s="218" t="s">
        <v>3741</v>
      </c>
      <c r="Q242" s="231"/>
      <c r="BF242" s="154"/>
      <c r="BM242" s="155"/>
      <c r="CM242" s="150" t="s">
        <v>301</v>
      </c>
      <c r="CN242" s="150" t="s">
        <v>83</v>
      </c>
      <c r="CO242" s="12" t="s">
        <v>83</v>
      </c>
      <c r="CP242" s="12" t="s">
        <v>3</v>
      </c>
      <c r="CQ242" s="12" t="s">
        <v>81</v>
      </c>
      <c r="CR242" s="150" t="s">
        <v>282</v>
      </c>
    </row>
    <row r="243" spans="2:110" s="1" customFormat="1" ht="24.2" customHeight="1" x14ac:dyDescent="0.2">
      <c r="B243" s="124"/>
      <c r="C243" s="125" t="s">
        <v>7</v>
      </c>
      <c r="D243" s="125" t="s">
        <v>284</v>
      </c>
      <c r="E243" s="126" t="s">
        <v>1012</v>
      </c>
      <c r="F243" s="127" t="s">
        <v>1013</v>
      </c>
      <c r="G243" s="128" t="s">
        <v>287</v>
      </c>
      <c r="H243" s="129">
        <v>3.21</v>
      </c>
      <c r="I243" s="130">
        <v>64.410667599999996</v>
      </c>
      <c r="J243" s="131">
        <f>ROUND(I243*H243,2)</f>
        <v>206.76</v>
      </c>
      <c r="K243" s="127" t="s">
        <v>1</v>
      </c>
      <c r="L243" s="268">
        <f>S243</f>
        <v>0</v>
      </c>
      <c r="M243" s="272">
        <f>ROUND(L243*I243,2)</f>
        <v>0</v>
      </c>
      <c r="N243" s="243">
        <f>N245</f>
        <v>-0.12600000000000033</v>
      </c>
      <c r="O243" s="294">
        <f>ROUND(N243*I243,2)</f>
        <v>-8.1199999999999992</v>
      </c>
      <c r="P243" s="273">
        <f>H243-L243-N243</f>
        <v>3.3360000000000003</v>
      </c>
      <c r="Q243" s="287">
        <f>ROUND(P243*I243,2)</f>
        <v>214.87</v>
      </c>
      <c r="R243" s="137"/>
      <c r="S243" s="269">
        <f>W243+Y243+AA243+AC243+AE243+AG243</f>
        <v>0</v>
      </c>
      <c r="T243" s="269">
        <f>ROUND(S243*I243,2)</f>
        <v>0</v>
      </c>
      <c r="U243" s="269">
        <f>H243-S243</f>
        <v>3.21</v>
      </c>
      <c r="V243" s="269">
        <f>ROUND(U243*I243,2)</f>
        <v>206.76</v>
      </c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BF243" s="132" t="s">
        <v>1</v>
      </c>
      <c r="BG243" s="133" t="s">
        <v>40</v>
      </c>
      <c r="BI243" s="134">
        <f>BH243*H243</f>
        <v>0</v>
      </c>
      <c r="BJ243" s="134">
        <v>0</v>
      </c>
      <c r="BK243" s="134">
        <f>BJ243*H243</f>
        <v>0</v>
      </c>
      <c r="BL243" s="134">
        <v>0</v>
      </c>
      <c r="BM243" s="135">
        <f>BL243*H243</f>
        <v>0</v>
      </c>
      <c r="CK243" s="136" t="s">
        <v>95</v>
      </c>
      <c r="CM243" s="136" t="s">
        <v>284</v>
      </c>
      <c r="CN243" s="136" t="s">
        <v>83</v>
      </c>
      <c r="CR243" s="16" t="s">
        <v>282</v>
      </c>
      <c r="CX243" s="137">
        <f>IF(BG243="základní",J243,0)</f>
        <v>206.76</v>
      </c>
      <c r="CY243" s="137">
        <f>IF(BG243="snížená",J243,0)</f>
        <v>0</v>
      </c>
      <c r="CZ243" s="137">
        <f>IF(BG243="zákl. přenesená",J243,0)</f>
        <v>0</v>
      </c>
      <c r="DA243" s="137">
        <f>IF(BG243="sníž. přenesená",J243,0)</f>
        <v>0</v>
      </c>
      <c r="DB243" s="137">
        <f>IF(BG243="nulová",J243,0)</f>
        <v>0</v>
      </c>
      <c r="DC243" s="16" t="s">
        <v>81</v>
      </c>
      <c r="DD243" s="137">
        <f>ROUND(I243*H243,2)</f>
        <v>206.76</v>
      </c>
      <c r="DE243" s="16" t="s">
        <v>95</v>
      </c>
      <c r="DF243" s="136" t="s">
        <v>1014</v>
      </c>
    </row>
    <row r="244" spans="2:110" s="1" customFormat="1" x14ac:dyDescent="0.2">
      <c r="B244" s="31"/>
      <c r="D244" s="138" t="s">
        <v>289</v>
      </c>
      <c r="F244" s="139" t="s">
        <v>1013</v>
      </c>
      <c r="I244" s="140"/>
      <c r="L244" s="31"/>
      <c r="N244" s="213"/>
      <c r="O244" s="214"/>
      <c r="Q244" s="229"/>
      <c r="BF244" s="141"/>
      <c r="BM244" s="50"/>
      <c r="CM244" s="16" t="s">
        <v>289</v>
      </c>
      <c r="CN244" s="16" t="s">
        <v>83</v>
      </c>
    </row>
    <row r="245" spans="2:110" s="1" customFormat="1" ht="24.2" customHeight="1" x14ac:dyDescent="0.2">
      <c r="B245" s="124"/>
      <c r="C245" s="125" t="s">
        <v>415</v>
      </c>
      <c r="D245" s="125" t="s">
        <v>284</v>
      </c>
      <c r="E245" s="126" t="s">
        <v>1015</v>
      </c>
      <c r="F245" s="127" t="s">
        <v>1016</v>
      </c>
      <c r="G245" s="128" t="s">
        <v>287</v>
      </c>
      <c r="H245" s="129">
        <v>3.21</v>
      </c>
      <c r="I245" s="130">
        <v>48.300657632010001</v>
      </c>
      <c r="J245" s="131">
        <f>ROUND(I245*H245,2)</f>
        <v>155.05000000000001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N250</f>
        <v>-0.12600000000000033</v>
      </c>
      <c r="O245" s="294">
        <f>ROUND(N245*I245,2)</f>
        <v>-6.09</v>
      </c>
      <c r="P245" s="273">
        <f>H245-L245-N245</f>
        <v>3.3360000000000003</v>
      </c>
      <c r="Q245" s="287">
        <f>ROUND(P245*I245,2)</f>
        <v>161.13</v>
      </c>
      <c r="R245" s="137"/>
      <c r="S245" s="269">
        <f>W245+Y245+AA245+AC245+AE245+AG245</f>
        <v>0</v>
      </c>
      <c r="T245" s="269">
        <f>ROUND(S245*I245,2)</f>
        <v>0</v>
      </c>
      <c r="U245" s="269">
        <f>H245-S245</f>
        <v>3.21</v>
      </c>
      <c r="V245" s="269">
        <f>ROUND(U245*I245,2)</f>
        <v>155.05000000000001</v>
      </c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BF245" s="132" t="s">
        <v>1</v>
      </c>
      <c r="BG245" s="133" t="s">
        <v>40</v>
      </c>
      <c r="BI245" s="134">
        <f>BH245*H245</f>
        <v>0</v>
      </c>
      <c r="BJ245" s="134">
        <v>0</v>
      </c>
      <c r="BK245" s="134">
        <f>BJ245*H245</f>
        <v>0</v>
      </c>
      <c r="BL245" s="134">
        <v>0</v>
      </c>
      <c r="BM245" s="135">
        <f>BL245*H245</f>
        <v>0</v>
      </c>
      <c r="CK245" s="136" t="s">
        <v>95</v>
      </c>
      <c r="CM245" s="136" t="s">
        <v>284</v>
      </c>
      <c r="CN245" s="136" t="s">
        <v>83</v>
      </c>
      <c r="CR245" s="16" t="s">
        <v>282</v>
      </c>
      <c r="CX245" s="137">
        <f>IF(BG245="základní",J245,0)</f>
        <v>155.05000000000001</v>
      </c>
      <c r="CY245" s="137">
        <f>IF(BG245="snížená",J245,0)</f>
        <v>0</v>
      </c>
      <c r="CZ245" s="137">
        <f>IF(BG245="zákl. přenesená",J245,0)</f>
        <v>0</v>
      </c>
      <c r="DA245" s="137">
        <f>IF(BG245="sníž. přenesená",J245,0)</f>
        <v>0</v>
      </c>
      <c r="DB245" s="137">
        <f>IF(BG245="nulová",J245,0)</f>
        <v>0</v>
      </c>
      <c r="DC245" s="16" t="s">
        <v>81</v>
      </c>
      <c r="DD245" s="137">
        <f>ROUND(I245*H245,2)</f>
        <v>155.05000000000001</v>
      </c>
      <c r="DE245" s="16" t="s">
        <v>95</v>
      </c>
      <c r="DF245" s="136" t="s">
        <v>1017</v>
      </c>
    </row>
    <row r="246" spans="2:110" s="1" customFormat="1" ht="29.25" x14ac:dyDescent="0.2">
      <c r="B246" s="31"/>
      <c r="D246" s="138" t="s">
        <v>289</v>
      </c>
      <c r="F246" s="139" t="s">
        <v>1018</v>
      </c>
      <c r="I246" s="140"/>
      <c r="L246" s="31"/>
      <c r="N246" s="213"/>
      <c r="O246" s="214"/>
      <c r="Q246" s="229"/>
      <c r="BF246" s="141"/>
      <c r="BM246" s="50"/>
      <c r="CM246" s="16" t="s">
        <v>289</v>
      </c>
      <c r="CN246" s="16" t="s">
        <v>83</v>
      </c>
    </row>
    <row r="247" spans="2:110" s="1" customFormat="1" ht="29.25" x14ac:dyDescent="0.2">
      <c r="B247" s="31"/>
      <c r="D247" s="138" t="s">
        <v>299</v>
      </c>
      <c r="F247" s="142" t="s">
        <v>1083</v>
      </c>
      <c r="I247" s="140"/>
      <c r="L247" s="31"/>
      <c r="N247" s="213"/>
      <c r="O247" s="214"/>
      <c r="Q247" s="229"/>
      <c r="BF247" s="141"/>
      <c r="BM247" s="50"/>
      <c r="CM247" s="16" t="s">
        <v>299</v>
      </c>
      <c r="CN247" s="16" t="s">
        <v>83</v>
      </c>
    </row>
    <row r="248" spans="2:110" s="11" customFormat="1" x14ac:dyDescent="0.2">
      <c r="B248" s="143"/>
      <c r="D248" s="138" t="s">
        <v>301</v>
      </c>
      <c r="E248" s="144" t="s">
        <v>1</v>
      </c>
      <c r="F248" s="145" t="s">
        <v>1088</v>
      </c>
      <c r="H248" s="144" t="s">
        <v>1</v>
      </c>
      <c r="I248" s="146"/>
      <c r="L248" s="143"/>
      <c r="N248" s="215"/>
      <c r="O248" s="216"/>
      <c r="Q248" s="230"/>
      <c r="BF248" s="147"/>
      <c r="BM248" s="148"/>
      <c r="CM248" s="144" t="s">
        <v>301</v>
      </c>
      <c r="CN248" s="144" t="s">
        <v>83</v>
      </c>
      <c r="CO248" s="11" t="s">
        <v>81</v>
      </c>
      <c r="CP248" s="11" t="s">
        <v>32</v>
      </c>
      <c r="CQ248" s="11" t="s">
        <v>74</v>
      </c>
      <c r="CR248" s="144" t="s">
        <v>282</v>
      </c>
    </row>
    <row r="249" spans="2:110" s="12" customFormat="1" x14ac:dyDescent="0.2">
      <c r="B249" s="149"/>
      <c r="D249" s="138" t="s">
        <v>301</v>
      </c>
      <c r="E249" s="150" t="s">
        <v>1</v>
      </c>
      <c r="F249" s="151" t="s">
        <v>1354</v>
      </c>
      <c r="H249" s="152">
        <v>3.21</v>
      </c>
      <c r="I249" s="153"/>
      <c r="L249" s="149"/>
      <c r="N249" s="217">
        <f>10.28*3*0.1</f>
        <v>3.0839999999999996</v>
      </c>
      <c r="O249" s="218" t="s">
        <v>3730</v>
      </c>
      <c r="Q249" s="231"/>
      <c r="BF249" s="154"/>
      <c r="BM249" s="155"/>
      <c r="CM249" s="150" t="s">
        <v>301</v>
      </c>
      <c r="CN249" s="150" t="s">
        <v>83</v>
      </c>
      <c r="CO249" s="12" t="s">
        <v>83</v>
      </c>
      <c r="CP249" s="12" t="s">
        <v>32</v>
      </c>
      <c r="CQ249" s="12" t="s">
        <v>81</v>
      </c>
      <c r="CR249" s="150" t="s">
        <v>282</v>
      </c>
    </row>
    <row r="250" spans="2:110" s="12" customFormat="1" x14ac:dyDescent="0.2">
      <c r="B250" s="149"/>
      <c r="D250" s="138"/>
      <c r="E250" s="150"/>
      <c r="F250" s="151"/>
      <c r="H250" s="152"/>
      <c r="I250" s="153"/>
      <c r="L250" s="149"/>
      <c r="N250" s="310">
        <f>N249-H249</f>
        <v>-0.12600000000000033</v>
      </c>
      <c r="O250" s="218"/>
      <c r="Q250" s="231"/>
      <c r="BF250" s="154"/>
      <c r="BM250" s="155"/>
      <c r="CM250" s="150"/>
      <c r="CN250" s="150"/>
      <c r="CR250" s="150"/>
    </row>
    <row r="251" spans="2:110" s="1" customFormat="1" ht="24.2" customHeight="1" x14ac:dyDescent="0.2">
      <c r="B251" s="124"/>
      <c r="C251" s="125" t="s">
        <v>422</v>
      </c>
      <c r="D251" s="125" t="s">
        <v>284</v>
      </c>
      <c r="E251" s="126" t="s">
        <v>457</v>
      </c>
      <c r="F251" s="127" t="s">
        <v>458</v>
      </c>
      <c r="G251" s="128" t="s">
        <v>418</v>
      </c>
      <c r="H251" s="129">
        <v>37.417999999999999</v>
      </c>
      <c r="I251" s="130">
        <v>61.737071122597108</v>
      </c>
      <c r="J251" s="131">
        <f>ROUND(I251*H251,2)</f>
        <v>2310.08</v>
      </c>
      <c r="K251" s="127" t="s">
        <v>293</v>
      </c>
      <c r="L251" s="268">
        <f>S251</f>
        <v>0</v>
      </c>
      <c r="M251" s="272">
        <f>ROUND(L251*I251,2)</f>
        <v>0</v>
      </c>
      <c r="N251" s="243">
        <f>N253</f>
        <v>-1.5870000000000002</v>
      </c>
      <c r="O251" s="294">
        <f>ROUND(N251*I251,2)</f>
        <v>-97.98</v>
      </c>
      <c r="P251" s="273">
        <f>H251-L251-N251</f>
        <v>39.005000000000003</v>
      </c>
      <c r="Q251" s="287">
        <f>ROUND(P251*I251,2)</f>
        <v>2408.0500000000002</v>
      </c>
      <c r="R251" s="137"/>
      <c r="S251" s="269">
        <f>W251+Y251+AA251+AC251+AE251+AG251</f>
        <v>0</v>
      </c>
      <c r="T251" s="269">
        <f>ROUND(S251*I251,2)</f>
        <v>0</v>
      </c>
      <c r="U251" s="269">
        <f>H251-S251</f>
        <v>37.417999999999999</v>
      </c>
      <c r="V251" s="269">
        <f>ROUND(U251*I251,2)</f>
        <v>2310.08</v>
      </c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BF251" s="132" t="s">
        <v>1</v>
      </c>
      <c r="BG251" s="133" t="s">
        <v>40</v>
      </c>
      <c r="BI251" s="134">
        <f>BH251*H251</f>
        <v>0</v>
      </c>
      <c r="BJ251" s="134">
        <v>0</v>
      </c>
      <c r="BK251" s="134">
        <f>BJ251*H251</f>
        <v>0</v>
      </c>
      <c r="BL251" s="134">
        <v>0</v>
      </c>
      <c r="BM251" s="135">
        <f>BL251*H251</f>
        <v>0</v>
      </c>
      <c r="CK251" s="136" t="s">
        <v>95</v>
      </c>
      <c r="CM251" s="136" t="s">
        <v>284</v>
      </c>
      <c r="CN251" s="136" t="s">
        <v>83</v>
      </c>
      <c r="CR251" s="16" t="s">
        <v>282</v>
      </c>
      <c r="CX251" s="137">
        <f>IF(BG251="základní",J251,0)</f>
        <v>2310.08</v>
      </c>
      <c r="CY251" s="137">
        <f>IF(BG251="snížená",J251,0)</f>
        <v>0</v>
      </c>
      <c r="CZ251" s="137">
        <f>IF(BG251="zákl. přenesená",J251,0)</f>
        <v>0</v>
      </c>
      <c r="DA251" s="137">
        <f>IF(BG251="sníž. přenesená",J251,0)</f>
        <v>0</v>
      </c>
      <c r="DB251" s="137">
        <f>IF(BG251="nulová",J251,0)</f>
        <v>0</v>
      </c>
      <c r="DC251" s="16" t="s">
        <v>81</v>
      </c>
      <c r="DD251" s="137">
        <f>ROUND(I251*H251,2)</f>
        <v>2310.08</v>
      </c>
      <c r="DE251" s="16" t="s">
        <v>95</v>
      </c>
      <c r="DF251" s="136" t="s">
        <v>459</v>
      </c>
    </row>
    <row r="252" spans="2:110" s="1" customFormat="1" ht="29.25" x14ac:dyDescent="0.2">
      <c r="B252" s="31"/>
      <c r="D252" s="138" t="s">
        <v>289</v>
      </c>
      <c r="F252" s="139" t="s">
        <v>460</v>
      </c>
      <c r="I252" s="140"/>
      <c r="L252" s="31"/>
      <c r="N252" s="213"/>
      <c r="O252" s="214"/>
      <c r="Q252" s="229"/>
      <c r="BF252" s="141"/>
      <c r="BM252" s="50"/>
      <c r="CM252" s="16" t="s">
        <v>289</v>
      </c>
      <c r="CN252" s="16" t="s">
        <v>83</v>
      </c>
    </row>
    <row r="253" spans="2:110" s="12" customFormat="1" x14ac:dyDescent="0.2">
      <c r="B253" s="149"/>
      <c r="D253" s="138" t="s">
        <v>301</v>
      </c>
      <c r="E253" s="150" t="s">
        <v>1</v>
      </c>
      <c r="F253" s="151" t="s">
        <v>1379</v>
      </c>
      <c r="H253" s="152">
        <v>37.417999999999999</v>
      </c>
      <c r="I253" s="153"/>
      <c r="L253" s="149"/>
      <c r="N253" s="217">
        <f>-1.209-0.378</f>
        <v>-1.5870000000000002</v>
      </c>
      <c r="O253" s="218" t="s">
        <v>3745</v>
      </c>
      <c r="Q253" s="231"/>
      <c r="BF253" s="154"/>
      <c r="BM253" s="155"/>
      <c r="CM253" s="150" t="s">
        <v>301</v>
      </c>
      <c r="CN253" s="150" t="s">
        <v>83</v>
      </c>
      <c r="CO253" s="12" t="s">
        <v>83</v>
      </c>
      <c r="CP253" s="12" t="s">
        <v>32</v>
      </c>
      <c r="CQ253" s="12" t="s">
        <v>81</v>
      </c>
      <c r="CR253" s="150" t="s">
        <v>282</v>
      </c>
    </row>
    <row r="254" spans="2:110" s="10" customFormat="1" ht="22.9" customHeight="1" x14ac:dyDescent="0.2">
      <c r="B254" s="112"/>
      <c r="D254" s="113" t="s">
        <v>73</v>
      </c>
      <c r="E254" s="122" t="s">
        <v>83</v>
      </c>
      <c r="F254" s="122" t="s">
        <v>462</v>
      </c>
      <c r="I254" s="115"/>
      <c r="J254" s="123">
        <f>DD254</f>
        <v>2825.53</v>
      </c>
      <c r="L254" s="112"/>
      <c r="M254" s="270">
        <f>M255</f>
        <v>0</v>
      </c>
      <c r="N254" s="301"/>
      <c r="O254" s="302">
        <f t="shared" ref="O254:V254" si="3">O255</f>
        <v>-110.91</v>
      </c>
      <c r="P254" s="270"/>
      <c r="Q254" s="288">
        <f t="shared" si="3"/>
        <v>2936.44</v>
      </c>
      <c r="R254" s="270"/>
      <c r="S254" s="270"/>
      <c r="T254" s="270">
        <f t="shared" si="3"/>
        <v>0</v>
      </c>
      <c r="U254" s="270"/>
      <c r="V254" s="270">
        <f t="shared" si="3"/>
        <v>2825.53</v>
      </c>
      <c r="BF254" s="117"/>
      <c r="BI254" s="118">
        <f>SUM(BI255:BI258)</f>
        <v>0</v>
      </c>
      <c r="BK254" s="118">
        <f>SUM(BK255:BK258)</f>
        <v>2.1901829999999998</v>
      </c>
      <c r="BM254" s="119">
        <f>SUM(BM255:BM258)</f>
        <v>0</v>
      </c>
      <c r="CK254" s="113" t="s">
        <v>81</v>
      </c>
      <c r="CM254" s="120" t="s">
        <v>73</v>
      </c>
      <c r="CN254" s="120" t="s">
        <v>81</v>
      </c>
      <c r="CR254" s="113" t="s">
        <v>282</v>
      </c>
      <c r="DD254" s="121">
        <f>SUM(DD255:DD258)</f>
        <v>2825.53</v>
      </c>
    </row>
    <row r="255" spans="2:110" s="1" customFormat="1" ht="37.9" customHeight="1" x14ac:dyDescent="0.2">
      <c r="B255" s="124"/>
      <c r="C255" s="125" t="s">
        <v>438</v>
      </c>
      <c r="D255" s="125" t="s">
        <v>284</v>
      </c>
      <c r="E255" s="126" t="s">
        <v>464</v>
      </c>
      <c r="F255" s="127" t="s">
        <v>465</v>
      </c>
      <c r="G255" s="128" t="s">
        <v>344</v>
      </c>
      <c r="H255" s="129">
        <v>10.7</v>
      </c>
      <c r="I255" s="130">
        <v>264.06831423630393</v>
      </c>
      <c r="J255" s="131">
        <f>ROUND(I255*H255,2)</f>
        <v>2825.53</v>
      </c>
      <c r="K255" s="127" t="s">
        <v>293</v>
      </c>
      <c r="L255" s="268">
        <f>S255</f>
        <v>0</v>
      </c>
      <c r="M255" s="272">
        <f>ROUND(L255*I255,2)</f>
        <v>0</v>
      </c>
      <c r="N255" s="243">
        <f>N258</f>
        <v>-0.41999999999999993</v>
      </c>
      <c r="O255" s="294">
        <f>ROUND(N255*I255,2)</f>
        <v>-110.91</v>
      </c>
      <c r="P255" s="273">
        <f>H255-L255-N255</f>
        <v>11.12</v>
      </c>
      <c r="Q255" s="287">
        <f>ROUND(P255*I255,2)</f>
        <v>2936.44</v>
      </c>
      <c r="R255" s="137"/>
      <c r="S255" s="269">
        <f>W255+Y255+AA255+AC255+AE255+AG255</f>
        <v>0</v>
      </c>
      <c r="T255" s="269">
        <f>ROUND(S255*I255,2)</f>
        <v>0</v>
      </c>
      <c r="U255" s="269">
        <f>H255-S255</f>
        <v>10.7</v>
      </c>
      <c r="V255" s="269">
        <f>ROUND(U255*I255,2)</f>
        <v>2825.53</v>
      </c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BF255" s="132" t="s">
        <v>1</v>
      </c>
      <c r="BG255" s="133" t="s">
        <v>40</v>
      </c>
      <c r="BI255" s="134">
        <f>BH255*H255</f>
        <v>0</v>
      </c>
      <c r="BJ255" s="134">
        <v>0.20469000000000001</v>
      </c>
      <c r="BK255" s="134">
        <f>BJ255*H255</f>
        <v>2.1901829999999998</v>
      </c>
      <c r="BL255" s="134">
        <v>0</v>
      </c>
      <c r="BM255" s="135">
        <f>BL255*H255</f>
        <v>0</v>
      </c>
      <c r="CK255" s="136" t="s">
        <v>95</v>
      </c>
      <c r="CM255" s="136" t="s">
        <v>284</v>
      </c>
      <c r="CN255" s="136" t="s">
        <v>83</v>
      </c>
      <c r="CR255" s="16" t="s">
        <v>282</v>
      </c>
      <c r="CX255" s="137">
        <f>IF(BG255="základní",J255,0)</f>
        <v>2825.53</v>
      </c>
      <c r="CY255" s="137">
        <f>IF(BG255="snížená",J255,0)</f>
        <v>0</v>
      </c>
      <c r="CZ255" s="137">
        <f>IF(BG255="zákl. přenesená",J255,0)</f>
        <v>0</v>
      </c>
      <c r="DA255" s="137">
        <f>IF(BG255="sníž. přenesená",J255,0)</f>
        <v>0</v>
      </c>
      <c r="DB255" s="137">
        <f>IF(BG255="nulová",J255,0)</f>
        <v>0</v>
      </c>
      <c r="DC255" s="16" t="s">
        <v>81</v>
      </c>
      <c r="DD255" s="137">
        <f>ROUND(I255*H255,2)</f>
        <v>2825.53</v>
      </c>
      <c r="DE255" s="16" t="s">
        <v>95</v>
      </c>
      <c r="DF255" s="136" t="s">
        <v>466</v>
      </c>
    </row>
    <row r="256" spans="2:110" s="1" customFormat="1" ht="39" x14ac:dyDescent="0.2">
      <c r="B256" s="31"/>
      <c r="D256" s="138" t="s">
        <v>289</v>
      </c>
      <c r="F256" s="139" t="s">
        <v>467</v>
      </c>
      <c r="I256" s="140"/>
      <c r="L256" s="31"/>
      <c r="N256" s="213"/>
      <c r="O256" s="214"/>
      <c r="Q256" s="229"/>
      <c r="BF256" s="141"/>
      <c r="BM256" s="50"/>
      <c r="CM256" s="16" t="s">
        <v>289</v>
      </c>
      <c r="CN256" s="16" t="s">
        <v>83</v>
      </c>
    </row>
    <row r="257" spans="2:110" s="1" customFormat="1" ht="29.25" x14ac:dyDescent="0.2">
      <c r="B257" s="31"/>
      <c r="D257" s="138" t="s">
        <v>299</v>
      </c>
      <c r="F257" s="142" t="s">
        <v>1083</v>
      </c>
      <c r="I257" s="140"/>
      <c r="L257" s="31"/>
      <c r="N257" s="213"/>
      <c r="O257" s="214"/>
      <c r="Q257" s="229"/>
      <c r="BF257" s="141"/>
      <c r="BM257" s="50"/>
      <c r="CM257" s="16" t="s">
        <v>299</v>
      </c>
      <c r="CN257" s="16" t="s">
        <v>83</v>
      </c>
    </row>
    <row r="258" spans="2:110" s="12" customFormat="1" x14ac:dyDescent="0.2">
      <c r="B258" s="149"/>
      <c r="D258" s="138" t="s">
        <v>301</v>
      </c>
      <c r="E258" s="150" t="s">
        <v>1</v>
      </c>
      <c r="F258" s="151" t="s">
        <v>1380</v>
      </c>
      <c r="H258" s="152">
        <v>10.7</v>
      </c>
      <c r="I258" s="153"/>
      <c r="L258" s="149"/>
      <c r="N258" s="217">
        <f>10.28-10.7</f>
        <v>-0.41999999999999993</v>
      </c>
      <c r="O258" s="218" t="s">
        <v>3742</v>
      </c>
      <c r="Q258" s="231"/>
      <c r="BF258" s="154"/>
      <c r="BM258" s="155"/>
      <c r="CM258" s="150" t="s">
        <v>301</v>
      </c>
      <c r="CN258" s="150" t="s">
        <v>83</v>
      </c>
      <c r="CO258" s="12" t="s">
        <v>83</v>
      </c>
      <c r="CP258" s="12" t="s">
        <v>32</v>
      </c>
      <c r="CQ258" s="12" t="s">
        <v>81</v>
      </c>
      <c r="CR258" s="150" t="s">
        <v>282</v>
      </c>
    </row>
    <row r="259" spans="2:110" s="10" customFormat="1" ht="22.9" customHeight="1" x14ac:dyDescent="0.2">
      <c r="B259" s="112"/>
      <c r="D259" s="113" t="s">
        <v>73</v>
      </c>
      <c r="E259" s="122" t="s">
        <v>95</v>
      </c>
      <c r="F259" s="122" t="s">
        <v>469</v>
      </c>
      <c r="I259" s="115"/>
      <c r="J259" s="123">
        <f>DD259</f>
        <v>2512.75</v>
      </c>
      <c r="L259" s="112"/>
      <c r="M259" s="270">
        <f>SUM(M260:M270)</f>
        <v>0</v>
      </c>
      <c r="N259" s="301"/>
      <c r="O259" s="302">
        <f t="shared" ref="O259:V259" si="4">SUM(O260:O270)</f>
        <v>-50.41</v>
      </c>
      <c r="P259" s="270"/>
      <c r="Q259" s="288">
        <f t="shared" si="4"/>
        <v>2563.16</v>
      </c>
      <c r="R259" s="270"/>
      <c r="S259" s="270"/>
      <c r="T259" s="270">
        <f t="shared" si="4"/>
        <v>0</v>
      </c>
      <c r="U259" s="270"/>
      <c r="V259" s="270">
        <f t="shared" si="4"/>
        <v>2512.75</v>
      </c>
      <c r="BF259" s="117"/>
      <c r="BI259" s="118">
        <f>SUM(BI260:BI274)</f>
        <v>0</v>
      </c>
      <c r="BK259" s="118">
        <f>SUM(BK260:BK274)</f>
        <v>0</v>
      </c>
      <c r="BM259" s="119">
        <f>SUM(BM260:BM274)</f>
        <v>0</v>
      </c>
      <c r="CK259" s="113" t="s">
        <v>81</v>
      </c>
      <c r="CM259" s="120" t="s">
        <v>73</v>
      </c>
      <c r="CN259" s="120" t="s">
        <v>81</v>
      </c>
      <c r="CR259" s="113" t="s">
        <v>282</v>
      </c>
      <c r="DD259" s="121">
        <f>SUM(DD260:DD274)</f>
        <v>2512.75</v>
      </c>
    </row>
    <row r="260" spans="2:110" s="1" customFormat="1" ht="14.45" customHeight="1" x14ac:dyDescent="0.2">
      <c r="B260" s="124"/>
      <c r="C260" s="125" t="s">
        <v>445</v>
      </c>
      <c r="D260" s="125" t="s">
        <v>284</v>
      </c>
      <c r="E260" s="126" t="s">
        <v>471</v>
      </c>
      <c r="F260" s="127" t="s">
        <v>472</v>
      </c>
      <c r="G260" s="128" t="s">
        <v>366</v>
      </c>
      <c r="H260" s="129">
        <v>1.07</v>
      </c>
      <c r="I260" s="130">
        <v>1200.17173250368</v>
      </c>
      <c r="J260" s="131">
        <f>ROUND(I260*H260,2)</f>
        <v>1284.18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N264</f>
        <v>-4.2000000000000037E-2</v>
      </c>
      <c r="O260" s="294">
        <f>ROUND(N260*I260,2)</f>
        <v>-50.41</v>
      </c>
      <c r="P260" s="273">
        <f>H260-L260-N260</f>
        <v>1.1120000000000001</v>
      </c>
      <c r="Q260" s="287">
        <f>ROUND(P260*I260,2)</f>
        <v>1334.59</v>
      </c>
      <c r="R260" s="137"/>
      <c r="S260" s="269">
        <f>W260+Y260+AA260+AC260+AE260+AG260</f>
        <v>0</v>
      </c>
      <c r="T260" s="269">
        <f>ROUND(S260*I260,2)</f>
        <v>0</v>
      </c>
      <c r="U260" s="269">
        <f>H260-S260</f>
        <v>1.07</v>
      </c>
      <c r="V260" s="269">
        <f>ROUND(U260*I260,2)</f>
        <v>1284.18</v>
      </c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BF260" s="132" t="s">
        <v>1</v>
      </c>
      <c r="BG260" s="133" t="s">
        <v>40</v>
      </c>
      <c r="BI260" s="134">
        <f>BH260*H260</f>
        <v>0</v>
      </c>
      <c r="BJ260" s="134">
        <v>0</v>
      </c>
      <c r="BK260" s="134">
        <f>BJ260*H260</f>
        <v>0</v>
      </c>
      <c r="BL260" s="134">
        <v>0</v>
      </c>
      <c r="BM260" s="135">
        <f>BL260*H260</f>
        <v>0</v>
      </c>
      <c r="CK260" s="136" t="s">
        <v>95</v>
      </c>
      <c r="CM260" s="136" t="s">
        <v>284</v>
      </c>
      <c r="CN260" s="136" t="s">
        <v>83</v>
      </c>
      <c r="CR260" s="16" t="s">
        <v>282</v>
      </c>
      <c r="CX260" s="137">
        <f>IF(BG260="základní",J260,0)</f>
        <v>1284.18</v>
      </c>
      <c r="CY260" s="137">
        <f>IF(BG260="snížená",J260,0)</f>
        <v>0</v>
      </c>
      <c r="CZ260" s="137">
        <f>IF(BG260="zákl. přenesená",J260,0)</f>
        <v>0</v>
      </c>
      <c r="DA260" s="137">
        <f>IF(BG260="sníž. přenesená",J260,0)</f>
        <v>0</v>
      </c>
      <c r="DB260" s="137">
        <f>IF(BG260="nulová",J260,0)</f>
        <v>0</v>
      </c>
      <c r="DC260" s="16" t="s">
        <v>81</v>
      </c>
      <c r="DD260" s="137">
        <f>ROUND(I260*H260,2)</f>
        <v>1284.18</v>
      </c>
      <c r="DE260" s="16" t="s">
        <v>95</v>
      </c>
      <c r="DF260" s="136" t="s">
        <v>473</v>
      </c>
    </row>
    <row r="261" spans="2:110" s="1" customFormat="1" ht="19.5" x14ac:dyDescent="0.2">
      <c r="B261" s="31"/>
      <c r="D261" s="138" t="s">
        <v>289</v>
      </c>
      <c r="F261" s="139" t="s">
        <v>474</v>
      </c>
      <c r="I261" s="140"/>
      <c r="L261" s="31"/>
      <c r="N261" s="213"/>
      <c r="O261" s="214"/>
      <c r="Q261" s="229"/>
      <c r="BF261" s="141"/>
      <c r="BM261" s="50"/>
      <c r="CM261" s="16" t="s">
        <v>289</v>
      </c>
      <c r="CN261" s="16" t="s">
        <v>83</v>
      </c>
    </row>
    <row r="262" spans="2:110" s="1" customFormat="1" ht="29.25" x14ac:dyDescent="0.2">
      <c r="B262" s="31"/>
      <c r="D262" s="138" t="s">
        <v>299</v>
      </c>
      <c r="F262" s="142" t="s">
        <v>1083</v>
      </c>
      <c r="I262" s="140"/>
      <c r="L262" s="31"/>
      <c r="N262" s="213"/>
      <c r="O262" s="214"/>
      <c r="Q262" s="229"/>
      <c r="BF262" s="141"/>
      <c r="BM262" s="50"/>
      <c r="CM262" s="16" t="s">
        <v>299</v>
      </c>
      <c r="CN262" s="16" t="s">
        <v>83</v>
      </c>
    </row>
    <row r="263" spans="2:110" s="12" customFormat="1" x14ac:dyDescent="0.2">
      <c r="B263" s="149"/>
      <c r="D263" s="138" t="s">
        <v>301</v>
      </c>
      <c r="E263" s="150" t="s">
        <v>1</v>
      </c>
      <c r="F263" s="151" t="s">
        <v>1381</v>
      </c>
      <c r="H263" s="152">
        <v>1.07</v>
      </c>
      <c r="I263" s="153"/>
      <c r="L263" s="149"/>
      <c r="N263" s="217">
        <f>10.28*1*0.1</f>
        <v>1.028</v>
      </c>
      <c r="O263" s="218" t="s">
        <v>3743</v>
      </c>
      <c r="Q263" s="231"/>
      <c r="BF263" s="154"/>
      <c r="BM263" s="155"/>
      <c r="CM263" s="150" t="s">
        <v>301</v>
      </c>
      <c r="CN263" s="150" t="s">
        <v>83</v>
      </c>
      <c r="CO263" s="12" t="s">
        <v>83</v>
      </c>
      <c r="CP263" s="12" t="s">
        <v>32</v>
      </c>
      <c r="CQ263" s="12" t="s">
        <v>81</v>
      </c>
      <c r="CR263" s="150" t="s">
        <v>282</v>
      </c>
    </row>
    <row r="264" spans="2:110" s="12" customFormat="1" x14ac:dyDescent="0.2">
      <c r="B264" s="149"/>
      <c r="D264" s="138"/>
      <c r="E264" s="150"/>
      <c r="F264" s="151"/>
      <c r="H264" s="152"/>
      <c r="I264" s="153"/>
      <c r="L264" s="149"/>
      <c r="N264" s="310">
        <f>N263-H263</f>
        <v>-4.2000000000000037E-2</v>
      </c>
      <c r="O264" s="218"/>
      <c r="Q264" s="231"/>
      <c r="BF264" s="154"/>
      <c r="BM264" s="155"/>
      <c r="CM264" s="150"/>
      <c r="CN264" s="150"/>
      <c r="CR264" s="150"/>
    </row>
    <row r="265" spans="2:110" s="1" customFormat="1" ht="14.45" customHeight="1" x14ac:dyDescent="0.2">
      <c r="B265" s="124"/>
      <c r="C265" s="125" t="s">
        <v>451</v>
      </c>
      <c r="D265" s="125" t="s">
        <v>284</v>
      </c>
      <c r="E265" s="126" t="s">
        <v>477</v>
      </c>
      <c r="F265" s="127" t="s">
        <v>478</v>
      </c>
      <c r="G265" s="128" t="s">
        <v>366</v>
      </c>
      <c r="H265" s="129">
        <v>0.3</v>
      </c>
      <c r="I265" s="130">
        <v>1200.17173250368</v>
      </c>
      <c r="J265" s="131">
        <f>ROUND(I265*H265,2)</f>
        <v>360.05</v>
      </c>
      <c r="K265" s="127" t="s">
        <v>1</v>
      </c>
      <c r="L265" s="268">
        <f>S265</f>
        <v>0</v>
      </c>
      <c r="M265" s="272">
        <f>ROUND(L265*I265,2)</f>
        <v>0</v>
      </c>
      <c r="N265" s="243"/>
      <c r="O265" s="294">
        <f>ROUND(N265*I265,2)</f>
        <v>0</v>
      </c>
      <c r="P265" s="273">
        <f>H265-L265-N265</f>
        <v>0.3</v>
      </c>
      <c r="Q265" s="287">
        <f>ROUND(P265*I265,2)</f>
        <v>360.05</v>
      </c>
      <c r="R265" s="137"/>
      <c r="S265" s="269">
        <f>W265+Y265+AA265+AC265+AE265+AG265</f>
        <v>0</v>
      </c>
      <c r="T265" s="269">
        <f>ROUND(S265*I265,2)</f>
        <v>0</v>
      </c>
      <c r="U265" s="269">
        <f>H265-S265</f>
        <v>0.3</v>
      </c>
      <c r="V265" s="269">
        <f>ROUND(U265*I265,2)</f>
        <v>360.05</v>
      </c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BF265" s="132" t="s">
        <v>1</v>
      </c>
      <c r="BG265" s="133" t="s">
        <v>40</v>
      </c>
      <c r="BI265" s="134">
        <f>BH265*H265</f>
        <v>0</v>
      </c>
      <c r="BJ265" s="134">
        <v>0</v>
      </c>
      <c r="BK265" s="134">
        <f>BJ265*H265</f>
        <v>0</v>
      </c>
      <c r="BL265" s="134">
        <v>0</v>
      </c>
      <c r="BM265" s="135">
        <f>BL265*H265</f>
        <v>0</v>
      </c>
      <c r="CK265" s="136" t="s">
        <v>95</v>
      </c>
      <c r="CM265" s="136" t="s">
        <v>284</v>
      </c>
      <c r="CN265" s="136" t="s">
        <v>83</v>
      </c>
      <c r="CR265" s="16" t="s">
        <v>282</v>
      </c>
      <c r="CX265" s="137">
        <f>IF(BG265="základní",J265,0)</f>
        <v>360.05</v>
      </c>
      <c r="CY265" s="137">
        <f>IF(BG265="snížená",J265,0)</f>
        <v>0</v>
      </c>
      <c r="CZ265" s="137">
        <f>IF(BG265="zákl. přenesená",J265,0)</f>
        <v>0</v>
      </c>
      <c r="DA265" s="137">
        <f>IF(BG265="sníž. přenesená",J265,0)</f>
        <v>0</v>
      </c>
      <c r="DB265" s="137">
        <f>IF(BG265="nulová",J265,0)</f>
        <v>0</v>
      </c>
      <c r="DC265" s="16" t="s">
        <v>81</v>
      </c>
      <c r="DD265" s="137">
        <f>ROUND(I265*H265,2)</f>
        <v>360.05</v>
      </c>
      <c r="DE265" s="16" t="s">
        <v>95</v>
      </c>
      <c r="DF265" s="136" t="s">
        <v>479</v>
      </c>
    </row>
    <row r="266" spans="2:110" s="1" customFormat="1" ht="19.5" x14ac:dyDescent="0.2">
      <c r="B266" s="31"/>
      <c r="D266" s="138" t="s">
        <v>289</v>
      </c>
      <c r="F266" s="139" t="s">
        <v>474</v>
      </c>
      <c r="I266" s="140"/>
      <c r="L266" s="31"/>
      <c r="N266" s="213"/>
      <c r="O266" s="214"/>
      <c r="Q266" s="229"/>
      <c r="BF266" s="141"/>
      <c r="BM266" s="50"/>
      <c r="CM266" s="16" t="s">
        <v>289</v>
      </c>
      <c r="CN266" s="16" t="s">
        <v>83</v>
      </c>
    </row>
    <row r="267" spans="2:110" s="1" customFormat="1" ht="29.25" x14ac:dyDescent="0.2">
      <c r="B267" s="31"/>
      <c r="D267" s="138" t="s">
        <v>299</v>
      </c>
      <c r="F267" s="142" t="s">
        <v>1083</v>
      </c>
      <c r="I267" s="140"/>
      <c r="L267" s="31"/>
      <c r="N267" s="213"/>
      <c r="O267" s="214"/>
      <c r="Q267" s="229"/>
      <c r="BF267" s="141"/>
      <c r="BM267" s="50"/>
      <c r="CM267" s="16" t="s">
        <v>299</v>
      </c>
      <c r="CN267" s="16" t="s">
        <v>83</v>
      </c>
    </row>
    <row r="268" spans="2:110" s="11" customFormat="1" x14ac:dyDescent="0.2">
      <c r="B268" s="143"/>
      <c r="D268" s="138" t="s">
        <v>301</v>
      </c>
      <c r="E268" s="144" t="s">
        <v>1</v>
      </c>
      <c r="F268" s="145" t="s">
        <v>1122</v>
      </c>
      <c r="H268" s="144" t="s">
        <v>1</v>
      </c>
      <c r="I268" s="146"/>
      <c r="L268" s="143"/>
      <c r="N268" s="215"/>
      <c r="O268" s="216"/>
      <c r="Q268" s="230"/>
      <c r="BF268" s="147"/>
      <c r="BM268" s="148"/>
      <c r="CM268" s="144" t="s">
        <v>301</v>
      </c>
      <c r="CN268" s="144" t="s">
        <v>83</v>
      </c>
      <c r="CO268" s="11" t="s">
        <v>81</v>
      </c>
      <c r="CP268" s="11" t="s">
        <v>32</v>
      </c>
      <c r="CQ268" s="11" t="s">
        <v>74</v>
      </c>
      <c r="CR268" s="144" t="s">
        <v>282</v>
      </c>
    </row>
    <row r="269" spans="2:110" s="12" customFormat="1" x14ac:dyDescent="0.2">
      <c r="B269" s="149"/>
      <c r="D269" s="138" t="s">
        <v>301</v>
      </c>
      <c r="E269" s="150" t="s">
        <v>1</v>
      </c>
      <c r="F269" s="151" t="s">
        <v>1382</v>
      </c>
      <c r="H269" s="152">
        <v>0.3</v>
      </c>
      <c r="I269" s="153"/>
      <c r="L269" s="149"/>
      <c r="N269" s="217"/>
      <c r="O269" s="218"/>
      <c r="Q269" s="231"/>
      <c r="BF269" s="154"/>
      <c r="BM269" s="155"/>
      <c r="CM269" s="150" t="s">
        <v>301</v>
      </c>
      <c r="CN269" s="150" t="s">
        <v>83</v>
      </c>
      <c r="CO269" s="12" t="s">
        <v>83</v>
      </c>
      <c r="CP269" s="12" t="s">
        <v>32</v>
      </c>
      <c r="CQ269" s="12" t="s">
        <v>81</v>
      </c>
      <c r="CR269" s="150" t="s">
        <v>282</v>
      </c>
    </row>
    <row r="270" spans="2:110" s="1" customFormat="1" ht="24.2" customHeight="1" x14ac:dyDescent="0.2">
      <c r="B270" s="124"/>
      <c r="C270" s="125" t="s">
        <v>456</v>
      </c>
      <c r="D270" s="125" t="s">
        <v>284</v>
      </c>
      <c r="E270" s="126" t="s">
        <v>515</v>
      </c>
      <c r="F270" s="127" t="s">
        <v>516</v>
      </c>
      <c r="G270" s="128" t="s">
        <v>366</v>
      </c>
      <c r="H270" s="129">
        <v>0.3</v>
      </c>
      <c r="I270" s="130">
        <v>2895.0660868876225</v>
      </c>
      <c r="J270" s="131">
        <f>ROUND(I270*H270,2)</f>
        <v>868.52</v>
      </c>
      <c r="K270" s="127" t="s">
        <v>293</v>
      </c>
      <c r="L270" s="268">
        <f>S270</f>
        <v>0</v>
      </c>
      <c r="M270" s="272">
        <f>ROUND(L270*I270,2)</f>
        <v>0</v>
      </c>
      <c r="N270" s="243"/>
      <c r="O270" s="294">
        <f>ROUND(N270*I270,2)</f>
        <v>0</v>
      </c>
      <c r="P270" s="273">
        <f>H270-L270-N270</f>
        <v>0.3</v>
      </c>
      <c r="Q270" s="287">
        <f>ROUND(P270*I270,2)</f>
        <v>868.52</v>
      </c>
      <c r="R270" s="137"/>
      <c r="S270" s="269">
        <f>W270+Y270+AA270+AC270+AE270+AG270</f>
        <v>0</v>
      </c>
      <c r="T270" s="269">
        <f>ROUND(S270*I270,2)</f>
        <v>0</v>
      </c>
      <c r="U270" s="269">
        <f>H270-S270</f>
        <v>0.3</v>
      </c>
      <c r="V270" s="269">
        <f>ROUND(U270*I270,2)</f>
        <v>868.52</v>
      </c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BF270" s="132" t="s">
        <v>1</v>
      </c>
      <c r="BG270" s="133" t="s">
        <v>40</v>
      </c>
      <c r="BI270" s="134">
        <f>BH270*H270</f>
        <v>0</v>
      </c>
      <c r="BJ270" s="134">
        <v>0</v>
      </c>
      <c r="BK270" s="134">
        <f>BJ270*H270</f>
        <v>0</v>
      </c>
      <c r="BL270" s="134">
        <v>0</v>
      </c>
      <c r="BM270" s="135">
        <f>BL270*H270</f>
        <v>0</v>
      </c>
      <c r="CK270" s="136" t="s">
        <v>95</v>
      </c>
      <c r="CM270" s="136" t="s">
        <v>284</v>
      </c>
      <c r="CN270" s="136" t="s">
        <v>83</v>
      </c>
      <c r="CR270" s="16" t="s">
        <v>282</v>
      </c>
      <c r="CX270" s="137">
        <f>IF(BG270="základní",J270,0)</f>
        <v>868.52</v>
      </c>
      <c r="CY270" s="137">
        <f>IF(BG270="snížená",J270,0)</f>
        <v>0</v>
      </c>
      <c r="CZ270" s="137">
        <f>IF(BG270="zákl. přenesená",J270,0)</f>
        <v>0</v>
      </c>
      <c r="DA270" s="137">
        <f>IF(BG270="sníž. přenesená",J270,0)</f>
        <v>0</v>
      </c>
      <c r="DB270" s="137">
        <f>IF(BG270="nulová",J270,0)</f>
        <v>0</v>
      </c>
      <c r="DC270" s="16" t="s">
        <v>81</v>
      </c>
      <c r="DD270" s="137">
        <f>ROUND(I270*H270,2)</f>
        <v>868.52</v>
      </c>
      <c r="DE270" s="16" t="s">
        <v>95</v>
      </c>
      <c r="DF270" s="136" t="s">
        <v>517</v>
      </c>
    </row>
    <row r="271" spans="2:110" s="1" customFormat="1" ht="29.25" x14ac:dyDescent="0.2">
      <c r="B271" s="31"/>
      <c r="D271" s="138" t="s">
        <v>289</v>
      </c>
      <c r="F271" s="139" t="s">
        <v>518</v>
      </c>
      <c r="I271" s="140"/>
      <c r="L271" s="31"/>
      <c r="N271" s="213"/>
      <c r="O271" s="214"/>
      <c r="Q271" s="229"/>
      <c r="BF271" s="141"/>
      <c r="BM271" s="50"/>
      <c r="CM271" s="16" t="s">
        <v>289</v>
      </c>
      <c r="CN271" s="16" t="s">
        <v>83</v>
      </c>
    </row>
    <row r="272" spans="2:110" s="1" customFormat="1" ht="29.25" x14ac:dyDescent="0.2">
      <c r="B272" s="31"/>
      <c r="D272" s="138" t="s">
        <v>299</v>
      </c>
      <c r="F272" s="142" t="s">
        <v>1083</v>
      </c>
      <c r="I272" s="140"/>
      <c r="L272" s="31"/>
      <c r="N272" s="213"/>
      <c r="O272" s="214"/>
      <c r="Q272" s="229"/>
      <c r="BF272" s="141"/>
      <c r="BM272" s="50"/>
      <c r="CM272" s="16" t="s">
        <v>299</v>
      </c>
      <c r="CN272" s="16" t="s">
        <v>83</v>
      </c>
    </row>
    <row r="273" spans="2:110" s="11" customFormat="1" x14ac:dyDescent="0.2">
      <c r="B273" s="143"/>
      <c r="D273" s="138" t="s">
        <v>301</v>
      </c>
      <c r="E273" s="144" t="s">
        <v>1</v>
      </c>
      <c r="F273" s="145" t="s">
        <v>1122</v>
      </c>
      <c r="H273" s="144" t="s">
        <v>1</v>
      </c>
      <c r="I273" s="146"/>
      <c r="L273" s="143"/>
      <c r="N273" s="215"/>
      <c r="O273" s="216"/>
      <c r="Q273" s="230"/>
      <c r="BF273" s="147"/>
      <c r="BM273" s="148"/>
      <c r="CM273" s="144" t="s">
        <v>301</v>
      </c>
      <c r="CN273" s="144" t="s">
        <v>83</v>
      </c>
      <c r="CO273" s="11" t="s">
        <v>81</v>
      </c>
      <c r="CP273" s="11" t="s">
        <v>32</v>
      </c>
      <c r="CQ273" s="11" t="s">
        <v>74</v>
      </c>
      <c r="CR273" s="144" t="s">
        <v>282</v>
      </c>
    </row>
    <row r="274" spans="2:110" s="12" customFormat="1" x14ac:dyDescent="0.2">
      <c r="B274" s="149"/>
      <c r="D274" s="138" t="s">
        <v>301</v>
      </c>
      <c r="E274" s="150" t="s">
        <v>1</v>
      </c>
      <c r="F274" s="151" t="s">
        <v>1382</v>
      </c>
      <c r="H274" s="152">
        <v>0.3</v>
      </c>
      <c r="I274" s="153"/>
      <c r="L274" s="149"/>
      <c r="N274" s="217"/>
      <c r="O274" s="218"/>
      <c r="Q274" s="231"/>
      <c r="BF274" s="154"/>
      <c r="BM274" s="155"/>
      <c r="CM274" s="150" t="s">
        <v>301</v>
      </c>
      <c r="CN274" s="150" t="s">
        <v>83</v>
      </c>
      <c r="CO274" s="12" t="s">
        <v>83</v>
      </c>
      <c r="CP274" s="12" t="s">
        <v>32</v>
      </c>
      <c r="CQ274" s="12" t="s">
        <v>81</v>
      </c>
      <c r="CR274" s="150" t="s">
        <v>282</v>
      </c>
    </row>
    <row r="275" spans="2:110" s="10" customFormat="1" ht="22.9" customHeight="1" x14ac:dyDescent="0.2">
      <c r="B275" s="112"/>
      <c r="D275" s="113" t="s">
        <v>73</v>
      </c>
      <c r="E275" s="122" t="s">
        <v>312</v>
      </c>
      <c r="F275" s="122" t="s">
        <v>520</v>
      </c>
      <c r="I275" s="115"/>
      <c r="J275" s="123">
        <f>DD275</f>
        <v>7075.37</v>
      </c>
      <c r="L275" s="112"/>
      <c r="M275" s="270">
        <f>M276+M278+M280+M282</f>
        <v>0</v>
      </c>
      <c r="N275" s="301"/>
      <c r="O275" s="302">
        <f t="shared" ref="O275:V275" si="5">O276+O278+O280+O282</f>
        <v>-277.72000000000003</v>
      </c>
      <c r="P275" s="270"/>
      <c r="Q275" s="288">
        <f t="shared" si="5"/>
        <v>7353.09</v>
      </c>
      <c r="R275" s="270"/>
      <c r="S275" s="270"/>
      <c r="T275" s="270">
        <f t="shared" si="5"/>
        <v>0</v>
      </c>
      <c r="U275" s="270"/>
      <c r="V275" s="270">
        <f t="shared" si="5"/>
        <v>7075.37</v>
      </c>
      <c r="BF275" s="117"/>
      <c r="BI275" s="118">
        <f>SUM(BI276:BI286)</f>
        <v>0</v>
      </c>
      <c r="BK275" s="118">
        <f>SUM(BK276:BK286)</f>
        <v>0</v>
      </c>
      <c r="BM275" s="119">
        <f>SUM(BM276:BM286)</f>
        <v>0</v>
      </c>
      <c r="CK275" s="113" t="s">
        <v>81</v>
      </c>
      <c r="CM275" s="120" t="s">
        <v>73</v>
      </c>
      <c r="CN275" s="120" t="s">
        <v>81</v>
      </c>
      <c r="CR275" s="113" t="s">
        <v>282</v>
      </c>
      <c r="DD275" s="121">
        <f>SUM(DD276:DD286)</f>
        <v>7075.37</v>
      </c>
    </row>
    <row r="276" spans="2:110" s="1" customFormat="1" ht="24.2" customHeight="1" x14ac:dyDescent="0.2">
      <c r="B276" s="124"/>
      <c r="C276" s="125" t="s">
        <v>463</v>
      </c>
      <c r="D276" s="125" t="s">
        <v>284</v>
      </c>
      <c r="E276" s="126" t="s">
        <v>522</v>
      </c>
      <c r="F276" s="127" t="s">
        <v>523</v>
      </c>
      <c r="G276" s="128" t="s">
        <v>287</v>
      </c>
      <c r="H276" s="129">
        <v>9.6300000000000008</v>
      </c>
      <c r="I276" s="130">
        <v>130.95617506780872</v>
      </c>
      <c r="J276" s="131">
        <f>ROUND(I276*H276,2)</f>
        <v>1261.1099999999999</v>
      </c>
      <c r="K276" s="127" t="s">
        <v>293</v>
      </c>
      <c r="L276" s="268">
        <f>S276</f>
        <v>0</v>
      </c>
      <c r="M276" s="272">
        <f>ROUND(L276*I276,2)</f>
        <v>0</v>
      </c>
      <c r="N276" s="243">
        <f>N125</f>
        <v>-0.37800000000000189</v>
      </c>
      <c r="O276" s="294">
        <f>ROUND(N276*I276,2)</f>
        <v>-49.5</v>
      </c>
      <c r="P276" s="273">
        <f>H276-L276-N276</f>
        <v>10.008000000000003</v>
      </c>
      <c r="Q276" s="287">
        <f>ROUND(P276*I276,2)</f>
        <v>1310.6099999999999</v>
      </c>
      <c r="R276" s="137"/>
      <c r="S276" s="269">
        <f>W276+Y276+AA276+AC276+AE276+AG276</f>
        <v>0</v>
      </c>
      <c r="T276" s="269">
        <f>ROUND(S276*I276,2)</f>
        <v>0</v>
      </c>
      <c r="U276" s="269">
        <f>H276-S276</f>
        <v>9.6300000000000008</v>
      </c>
      <c r="V276" s="269">
        <f>ROUND(U276*I276,2)</f>
        <v>1261.1099999999999</v>
      </c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BF276" s="132" t="s">
        <v>1</v>
      </c>
      <c r="BG276" s="133" t="s">
        <v>40</v>
      </c>
      <c r="BI276" s="134">
        <f>BH276*H276</f>
        <v>0</v>
      </c>
      <c r="BJ276" s="134">
        <v>0</v>
      </c>
      <c r="BK276" s="134">
        <f>BJ276*H276</f>
        <v>0</v>
      </c>
      <c r="BL276" s="134">
        <v>0</v>
      </c>
      <c r="BM276" s="135">
        <f>BL276*H276</f>
        <v>0</v>
      </c>
      <c r="CK276" s="136" t="s">
        <v>95</v>
      </c>
      <c r="CM276" s="136" t="s">
        <v>284</v>
      </c>
      <c r="CN276" s="136" t="s">
        <v>83</v>
      </c>
      <c r="CR276" s="16" t="s">
        <v>282</v>
      </c>
      <c r="CX276" s="137">
        <f>IF(BG276="základní",J276,0)</f>
        <v>1261.1099999999999</v>
      </c>
      <c r="CY276" s="137">
        <f>IF(BG276="snížená",J276,0)</f>
        <v>0</v>
      </c>
      <c r="CZ276" s="137">
        <f>IF(BG276="zákl. přenesená",J276,0)</f>
        <v>0</v>
      </c>
      <c r="DA276" s="137">
        <f>IF(BG276="sníž. přenesená",J276,0)</f>
        <v>0</v>
      </c>
      <c r="DB276" s="137">
        <f>IF(BG276="nulová",J276,0)</f>
        <v>0</v>
      </c>
      <c r="DC276" s="16" t="s">
        <v>81</v>
      </c>
      <c r="DD276" s="137">
        <f>ROUND(I276*H276,2)</f>
        <v>1261.1099999999999</v>
      </c>
      <c r="DE276" s="16" t="s">
        <v>95</v>
      </c>
      <c r="DF276" s="136" t="s">
        <v>524</v>
      </c>
    </row>
    <row r="277" spans="2:110" s="1" customFormat="1" ht="19.5" x14ac:dyDescent="0.2">
      <c r="B277" s="31"/>
      <c r="D277" s="138" t="s">
        <v>289</v>
      </c>
      <c r="F277" s="139" t="s">
        <v>525</v>
      </c>
      <c r="I277" s="140"/>
      <c r="L277" s="31"/>
      <c r="N277" s="213"/>
      <c r="O277" s="214"/>
      <c r="Q277" s="229"/>
      <c r="BF277" s="141"/>
      <c r="BM277" s="50"/>
      <c r="CM277" s="16" t="s">
        <v>289</v>
      </c>
      <c r="CN277" s="16" t="s">
        <v>83</v>
      </c>
    </row>
    <row r="278" spans="2:110" s="1" customFormat="1" ht="14.45" customHeight="1" x14ac:dyDescent="0.2">
      <c r="B278" s="124"/>
      <c r="C278" s="125" t="s">
        <v>470</v>
      </c>
      <c r="D278" s="125" t="s">
        <v>284</v>
      </c>
      <c r="E278" s="126" t="s">
        <v>527</v>
      </c>
      <c r="F278" s="127" t="s">
        <v>528</v>
      </c>
      <c r="G278" s="128" t="s">
        <v>287</v>
      </c>
      <c r="H278" s="129">
        <v>9.6300000000000008</v>
      </c>
      <c r="I278" s="130">
        <v>200.20823792465458</v>
      </c>
      <c r="J278" s="131">
        <f>ROUND(I278*H278,2)</f>
        <v>1928.01</v>
      </c>
      <c r="K278" s="127" t="s">
        <v>293</v>
      </c>
      <c r="L278" s="268">
        <f>S278</f>
        <v>0</v>
      </c>
      <c r="M278" s="272">
        <f>ROUND(L278*I278,2)</f>
        <v>0</v>
      </c>
      <c r="N278" s="243">
        <f>N276</f>
        <v>-0.37800000000000189</v>
      </c>
      <c r="O278" s="294">
        <f>ROUND(N278*I278,2)</f>
        <v>-75.680000000000007</v>
      </c>
      <c r="P278" s="273">
        <f>H278-L278-N278</f>
        <v>10.008000000000003</v>
      </c>
      <c r="Q278" s="287">
        <f>ROUND(P278*I278,2)</f>
        <v>2003.68</v>
      </c>
      <c r="R278" s="137"/>
      <c r="S278" s="269">
        <f>W278+Y278+AA278+AC278+AE278+AG278</f>
        <v>0</v>
      </c>
      <c r="T278" s="269">
        <f>ROUND(S278*I278,2)</f>
        <v>0</v>
      </c>
      <c r="U278" s="269">
        <f>H278-S278</f>
        <v>9.6300000000000008</v>
      </c>
      <c r="V278" s="269">
        <f>ROUND(U278*I278,2)</f>
        <v>1928.01</v>
      </c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BF278" s="132" t="s">
        <v>1</v>
      </c>
      <c r="BG278" s="133" t="s">
        <v>40</v>
      </c>
      <c r="BI278" s="134">
        <f>BH278*H278</f>
        <v>0</v>
      </c>
      <c r="BJ278" s="134">
        <v>0</v>
      </c>
      <c r="BK278" s="134">
        <f>BJ278*H278</f>
        <v>0</v>
      </c>
      <c r="BL278" s="134">
        <v>0</v>
      </c>
      <c r="BM278" s="135">
        <f>BL278*H278</f>
        <v>0</v>
      </c>
      <c r="CK278" s="136" t="s">
        <v>95</v>
      </c>
      <c r="CM278" s="136" t="s">
        <v>284</v>
      </c>
      <c r="CN278" s="136" t="s">
        <v>83</v>
      </c>
      <c r="CR278" s="16" t="s">
        <v>282</v>
      </c>
      <c r="CX278" s="137">
        <f>IF(BG278="základní",J278,0)</f>
        <v>1928.01</v>
      </c>
      <c r="CY278" s="137">
        <f>IF(BG278="snížená",J278,0)</f>
        <v>0</v>
      </c>
      <c r="CZ278" s="137">
        <f>IF(BG278="zákl. přenesená",J278,0)</f>
        <v>0</v>
      </c>
      <c r="DA278" s="137">
        <f>IF(BG278="sníž. přenesená",J278,0)</f>
        <v>0</v>
      </c>
      <c r="DB278" s="137">
        <f>IF(BG278="nulová",J278,0)</f>
        <v>0</v>
      </c>
      <c r="DC278" s="16" t="s">
        <v>81</v>
      </c>
      <c r="DD278" s="137">
        <f>ROUND(I278*H278,2)</f>
        <v>1928.01</v>
      </c>
      <c r="DE278" s="16" t="s">
        <v>95</v>
      </c>
      <c r="DF278" s="136" t="s">
        <v>529</v>
      </c>
    </row>
    <row r="279" spans="2:110" s="1" customFormat="1" ht="19.5" x14ac:dyDescent="0.2">
      <c r="B279" s="31"/>
      <c r="D279" s="138" t="s">
        <v>289</v>
      </c>
      <c r="F279" s="139" t="s">
        <v>530</v>
      </c>
      <c r="I279" s="140"/>
      <c r="L279" s="31"/>
      <c r="N279" s="213"/>
      <c r="O279" s="214"/>
      <c r="Q279" s="229"/>
      <c r="BF279" s="141"/>
      <c r="BM279" s="50"/>
      <c r="CM279" s="16" t="s">
        <v>289</v>
      </c>
      <c r="CN279" s="16" t="s">
        <v>83</v>
      </c>
    </row>
    <row r="280" spans="2:110" s="1" customFormat="1" ht="24.2" customHeight="1" x14ac:dyDescent="0.2">
      <c r="B280" s="124"/>
      <c r="C280" s="125" t="s">
        <v>476</v>
      </c>
      <c r="D280" s="125" t="s">
        <v>284</v>
      </c>
      <c r="E280" s="126" t="s">
        <v>532</v>
      </c>
      <c r="F280" s="127" t="s">
        <v>533</v>
      </c>
      <c r="G280" s="128" t="s">
        <v>287</v>
      </c>
      <c r="H280" s="129">
        <v>9.6300000000000008</v>
      </c>
      <c r="I280" s="130">
        <v>40.878739778868102</v>
      </c>
      <c r="J280" s="131">
        <f>ROUND(I280*H280,2)</f>
        <v>393.66</v>
      </c>
      <c r="K280" s="127" t="s">
        <v>293</v>
      </c>
      <c r="L280" s="268">
        <f>S280</f>
        <v>0</v>
      </c>
      <c r="M280" s="272">
        <f>ROUND(L280*I280,2)</f>
        <v>0</v>
      </c>
      <c r="N280" s="243">
        <f>N278</f>
        <v>-0.37800000000000189</v>
      </c>
      <c r="O280" s="294">
        <f>ROUND(N280*I280,2)</f>
        <v>-15.45</v>
      </c>
      <c r="P280" s="273">
        <f>H280-L280-N280</f>
        <v>10.008000000000003</v>
      </c>
      <c r="Q280" s="287">
        <f>ROUND(P280*I280,2)</f>
        <v>409.11</v>
      </c>
      <c r="R280" s="137"/>
      <c r="S280" s="269">
        <f>W280+Y280+AA280+AC280+AE280+AG280</f>
        <v>0</v>
      </c>
      <c r="T280" s="269">
        <f>ROUND(S280*I280,2)</f>
        <v>0</v>
      </c>
      <c r="U280" s="269">
        <f>H280-S280</f>
        <v>9.6300000000000008</v>
      </c>
      <c r="V280" s="269">
        <f>ROUND(U280*I280,2)</f>
        <v>393.66</v>
      </c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BF280" s="132" t="s">
        <v>1</v>
      </c>
      <c r="BG280" s="133" t="s">
        <v>40</v>
      </c>
      <c r="BI280" s="134">
        <f>BH280*H280</f>
        <v>0</v>
      </c>
      <c r="BJ280" s="134">
        <v>0</v>
      </c>
      <c r="BK280" s="134">
        <f>BJ280*H280</f>
        <v>0</v>
      </c>
      <c r="BL280" s="134">
        <v>0</v>
      </c>
      <c r="BM280" s="135">
        <f>BL280*H280</f>
        <v>0</v>
      </c>
      <c r="CK280" s="136" t="s">
        <v>95</v>
      </c>
      <c r="CM280" s="136" t="s">
        <v>284</v>
      </c>
      <c r="CN280" s="136" t="s">
        <v>83</v>
      </c>
      <c r="CR280" s="16" t="s">
        <v>282</v>
      </c>
      <c r="CX280" s="137">
        <f>IF(BG280="základní",J280,0)</f>
        <v>393.66</v>
      </c>
      <c r="CY280" s="137">
        <f>IF(BG280="snížená",J280,0)</f>
        <v>0</v>
      </c>
      <c r="CZ280" s="137">
        <f>IF(BG280="zákl. přenesená",J280,0)</f>
        <v>0</v>
      </c>
      <c r="DA280" s="137">
        <f>IF(BG280="sníž. přenesená",J280,0)</f>
        <v>0</v>
      </c>
      <c r="DB280" s="137">
        <f>IF(BG280="nulová",J280,0)</f>
        <v>0</v>
      </c>
      <c r="DC280" s="16" t="s">
        <v>81</v>
      </c>
      <c r="DD280" s="137">
        <f>ROUND(I280*H280,2)</f>
        <v>393.66</v>
      </c>
      <c r="DE280" s="16" t="s">
        <v>95</v>
      </c>
      <c r="DF280" s="136" t="s">
        <v>534</v>
      </c>
    </row>
    <row r="281" spans="2:110" s="1" customFormat="1" ht="19.5" x14ac:dyDescent="0.2">
      <c r="B281" s="31"/>
      <c r="D281" s="138" t="s">
        <v>289</v>
      </c>
      <c r="F281" s="139" t="s">
        <v>535</v>
      </c>
      <c r="I281" s="140"/>
      <c r="L281" s="31"/>
      <c r="N281" s="213"/>
      <c r="O281" s="214"/>
      <c r="Q281" s="229"/>
      <c r="BF281" s="141"/>
      <c r="BM281" s="50"/>
      <c r="CM281" s="16" t="s">
        <v>289</v>
      </c>
      <c r="CN281" s="16" t="s">
        <v>83</v>
      </c>
    </row>
    <row r="282" spans="2:110" s="1" customFormat="1" ht="24.2" customHeight="1" x14ac:dyDescent="0.2">
      <c r="B282" s="124"/>
      <c r="C282" s="125" t="s">
        <v>482</v>
      </c>
      <c r="D282" s="125" t="s">
        <v>284</v>
      </c>
      <c r="E282" s="126" t="s">
        <v>537</v>
      </c>
      <c r="F282" s="127" t="s">
        <v>538</v>
      </c>
      <c r="G282" s="128" t="s">
        <v>287</v>
      </c>
      <c r="H282" s="129">
        <v>9.6300000000000008</v>
      </c>
      <c r="I282" s="130">
        <v>362.67856108310502</v>
      </c>
      <c r="J282" s="131">
        <f>ROUND(I282*H282,2)</f>
        <v>3492.59</v>
      </c>
      <c r="K282" s="127" t="s">
        <v>293</v>
      </c>
      <c r="L282" s="268">
        <f>S282</f>
        <v>0</v>
      </c>
      <c r="M282" s="272">
        <f>ROUND(L282*I282,2)</f>
        <v>0</v>
      </c>
      <c r="N282" s="243">
        <f>N280</f>
        <v>-0.37800000000000189</v>
      </c>
      <c r="O282" s="294">
        <f>ROUND(N282*I282,2)</f>
        <v>-137.09</v>
      </c>
      <c r="P282" s="273">
        <f>H282-L282-N282</f>
        <v>10.008000000000003</v>
      </c>
      <c r="Q282" s="287">
        <f>ROUND(P282*I282,2)</f>
        <v>3629.69</v>
      </c>
      <c r="R282" s="137"/>
      <c r="S282" s="269">
        <f>W282+Y282+AA282+AC282+AE282+AG282</f>
        <v>0</v>
      </c>
      <c r="T282" s="269">
        <f>ROUND(S282*I282,2)</f>
        <v>0</v>
      </c>
      <c r="U282" s="269">
        <f>H282-S282</f>
        <v>9.6300000000000008</v>
      </c>
      <c r="V282" s="269">
        <f>ROUND(U282*I282,2)</f>
        <v>3492.59</v>
      </c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BF282" s="132" t="s">
        <v>1</v>
      </c>
      <c r="BG282" s="133" t="s">
        <v>40</v>
      </c>
      <c r="BI282" s="134">
        <f>BH282*H282</f>
        <v>0</v>
      </c>
      <c r="BJ282" s="134">
        <v>0</v>
      </c>
      <c r="BK282" s="134">
        <f>BJ282*H282</f>
        <v>0</v>
      </c>
      <c r="BL282" s="134">
        <v>0</v>
      </c>
      <c r="BM282" s="135">
        <f>BL282*H282</f>
        <v>0</v>
      </c>
      <c r="CK282" s="136" t="s">
        <v>95</v>
      </c>
      <c r="CM282" s="136" t="s">
        <v>284</v>
      </c>
      <c r="CN282" s="136" t="s">
        <v>83</v>
      </c>
      <c r="CR282" s="16" t="s">
        <v>282</v>
      </c>
      <c r="CX282" s="137">
        <f>IF(BG282="základní",J282,0)</f>
        <v>3492.59</v>
      </c>
      <c r="CY282" s="137">
        <f>IF(BG282="snížená",J282,0)</f>
        <v>0</v>
      </c>
      <c r="CZ282" s="137">
        <f>IF(BG282="zákl. přenesená",J282,0)</f>
        <v>0</v>
      </c>
      <c r="DA282" s="137">
        <f>IF(BG282="sníž. přenesená",J282,0)</f>
        <v>0</v>
      </c>
      <c r="DB282" s="137">
        <f>IF(BG282="nulová",J282,0)</f>
        <v>0</v>
      </c>
      <c r="DC282" s="16" t="s">
        <v>81</v>
      </c>
      <c r="DD282" s="137">
        <f>ROUND(I282*H282,2)</f>
        <v>3492.59</v>
      </c>
      <c r="DE282" s="16" t="s">
        <v>95</v>
      </c>
      <c r="DF282" s="136" t="s">
        <v>539</v>
      </c>
    </row>
    <row r="283" spans="2:110" s="1" customFormat="1" ht="29.25" x14ac:dyDescent="0.2">
      <c r="B283" s="31"/>
      <c r="D283" s="138" t="s">
        <v>289</v>
      </c>
      <c r="F283" s="139" t="s">
        <v>540</v>
      </c>
      <c r="I283" s="140"/>
      <c r="L283" s="31"/>
      <c r="N283" s="213"/>
      <c r="O283" s="214"/>
      <c r="Q283" s="229"/>
      <c r="BF283" s="141"/>
      <c r="BM283" s="50"/>
      <c r="CM283" s="16" t="s">
        <v>289</v>
      </c>
      <c r="CN283" s="16" t="s">
        <v>83</v>
      </c>
    </row>
    <row r="284" spans="2:110" s="1" customFormat="1" ht="29.25" x14ac:dyDescent="0.2">
      <c r="B284" s="31"/>
      <c r="D284" s="138" t="s">
        <v>299</v>
      </c>
      <c r="F284" s="142" t="s">
        <v>1083</v>
      </c>
      <c r="I284" s="140"/>
      <c r="L284" s="31"/>
      <c r="N284" s="213"/>
      <c r="O284" s="214"/>
      <c r="Q284" s="229"/>
      <c r="BF284" s="141"/>
      <c r="BM284" s="50"/>
      <c r="CM284" s="16" t="s">
        <v>299</v>
      </c>
      <c r="CN284" s="16" t="s">
        <v>83</v>
      </c>
    </row>
    <row r="285" spans="2:110" s="11" customFormat="1" ht="22.5" x14ac:dyDescent="0.2">
      <c r="B285" s="143"/>
      <c r="D285" s="138" t="s">
        <v>301</v>
      </c>
      <c r="E285" s="144" t="s">
        <v>1</v>
      </c>
      <c r="F285" s="145" t="s">
        <v>1126</v>
      </c>
      <c r="H285" s="144" t="s">
        <v>1</v>
      </c>
      <c r="I285" s="146"/>
      <c r="L285" s="143"/>
      <c r="N285" s="215"/>
      <c r="O285" s="216"/>
      <c r="Q285" s="230"/>
      <c r="BF285" s="147"/>
      <c r="BM285" s="148"/>
      <c r="CM285" s="144" t="s">
        <v>301</v>
      </c>
      <c r="CN285" s="144" t="s">
        <v>83</v>
      </c>
      <c r="CO285" s="11" t="s">
        <v>81</v>
      </c>
      <c r="CP285" s="11" t="s">
        <v>32</v>
      </c>
      <c r="CQ285" s="11" t="s">
        <v>74</v>
      </c>
      <c r="CR285" s="144" t="s">
        <v>282</v>
      </c>
    </row>
    <row r="286" spans="2:110" s="12" customFormat="1" x14ac:dyDescent="0.2">
      <c r="B286" s="149"/>
      <c r="D286" s="138" t="s">
        <v>301</v>
      </c>
      <c r="E286" s="150" t="s">
        <v>1</v>
      </c>
      <c r="F286" s="151" t="s">
        <v>1383</v>
      </c>
      <c r="H286" s="152">
        <v>9.6300000000000008</v>
      </c>
      <c r="I286" s="153"/>
      <c r="L286" s="149"/>
      <c r="N286" s="217"/>
      <c r="O286" s="218"/>
      <c r="Q286" s="231"/>
      <c r="BF286" s="154"/>
      <c r="BM286" s="155"/>
      <c r="CM286" s="150" t="s">
        <v>301</v>
      </c>
      <c r="CN286" s="150" t="s">
        <v>83</v>
      </c>
      <c r="CO286" s="12" t="s">
        <v>83</v>
      </c>
      <c r="CP286" s="12" t="s">
        <v>32</v>
      </c>
      <c r="CQ286" s="12" t="s">
        <v>81</v>
      </c>
      <c r="CR286" s="150" t="s">
        <v>282</v>
      </c>
    </row>
    <row r="287" spans="2:110" s="10" customFormat="1" ht="22.9" customHeight="1" x14ac:dyDescent="0.2">
      <c r="B287" s="112"/>
      <c r="D287" s="113" t="s">
        <v>73</v>
      </c>
      <c r="E287" s="122" t="s">
        <v>328</v>
      </c>
      <c r="F287" s="122" t="s">
        <v>555</v>
      </c>
      <c r="I287" s="115"/>
      <c r="J287" s="123">
        <f>DD287</f>
        <v>40672.28</v>
      </c>
      <c r="L287" s="112"/>
      <c r="M287" s="270">
        <f>SUM(M288:M325)</f>
        <v>0</v>
      </c>
      <c r="N287" s="301"/>
      <c r="O287" s="302">
        <f t="shared" ref="O287:V287" si="6">SUM(O288:O325)</f>
        <v>-268.44</v>
      </c>
      <c r="P287" s="270"/>
      <c r="Q287" s="288">
        <f t="shared" si="6"/>
        <v>40940.719999999994</v>
      </c>
      <c r="R287" s="270"/>
      <c r="S287" s="270"/>
      <c r="T287" s="270">
        <f t="shared" si="6"/>
        <v>0</v>
      </c>
      <c r="U287" s="270"/>
      <c r="V287" s="270">
        <f t="shared" si="6"/>
        <v>40672.28</v>
      </c>
      <c r="BF287" s="117"/>
      <c r="BI287" s="118">
        <f>SUM(BI288:BI326)</f>
        <v>0</v>
      </c>
      <c r="BK287" s="118">
        <f>SUM(BK288:BK326)</f>
        <v>0.44232399999999999</v>
      </c>
      <c r="BM287" s="119">
        <f>SUM(BM288:BM326)</f>
        <v>0</v>
      </c>
      <c r="CK287" s="113" t="s">
        <v>81</v>
      </c>
      <c r="CM287" s="120" t="s">
        <v>73</v>
      </c>
      <c r="CN287" s="120" t="s">
        <v>81</v>
      </c>
      <c r="CR287" s="113" t="s">
        <v>282</v>
      </c>
      <c r="DD287" s="121">
        <f>SUM(DD288:DD326)</f>
        <v>40672.28</v>
      </c>
    </row>
    <row r="288" spans="2:110" s="1" customFormat="1" ht="24.2" customHeight="1" x14ac:dyDescent="0.2">
      <c r="B288" s="124"/>
      <c r="C288" s="125" t="s">
        <v>489</v>
      </c>
      <c r="D288" s="125" t="s">
        <v>284</v>
      </c>
      <c r="E288" s="126" t="s">
        <v>1128</v>
      </c>
      <c r="F288" s="127" t="s">
        <v>1129</v>
      </c>
      <c r="G288" s="128" t="s">
        <v>344</v>
      </c>
      <c r="H288" s="129">
        <v>10.7</v>
      </c>
      <c r="I288" s="130">
        <v>617.16852473597498</v>
      </c>
      <c r="J288" s="131">
        <f>ROUND(I288*H288,2)</f>
        <v>6603.7</v>
      </c>
      <c r="K288" s="127" t="s">
        <v>293</v>
      </c>
      <c r="L288" s="268">
        <f>S288</f>
        <v>0</v>
      </c>
      <c r="M288" s="272">
        <f>ROUND(L288*I288,2)</f>
        <v>0</v>
      </c>
      <c r="N288" s="243">
        <f>N291</f>
        <v>-0.41999999999999993</v>
      </c>
      <c r="O288" s="294">
        <f>ROUND(N288*I288,2)</f>
        <v>-259.20999999999998</v>
      </c>
      <c r="P288" s="273">
        <f>H288-L288-N288</f>
        <v>11.12</v>
      </c>
      <c r="Q288" s="287">
        <f>ROUND(P288*I288,2)</f>
        <v>6862.91</v>
      </c>
      <c r="R288" s="137"/>
      <c r="S288" s="269">
        <f>W288+Y288+AA288+AC288+AE288+AG288</f>
        <v>0</v>
      </c>
      <c r="T288" s="269">
        <f>ROUND(S288*I288,2)</f>
        <v>0</v>
      </c>
      <c r="U288" s="269">
        <f>H288-S288</f>
        <v>10.7</v>
      </c>
      <c r="V288" s="269">
        <f>ROUND(U288*I288,2)</f>
        <v>6603.7</v>
      </c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BF288" s="132" t="s">
        <v>1</v>
      </c>
      <c r="BG288" s="133" t="s">
        <v>40</v>
      </c>
      <c r="BI288" s="134">
        <f>BH288*H288</f>
        <v>0</v>
      </c>
      <c r="BJ288" s="134">
        <v>4.2199999999999998E-3</v>
      </c>
      <c r="BK288" s="134">
        <f>BJ288*H288</f>
        <v>4.5153999999999993E-2</v>
      </c>
      <c r="BL288" s="134">
        <v>0</v>
      </c>
      <c r="BM288" s="135">
        <f>BL288*H288</f>
        <v>0</v>
      </c>
      <c r="CK288" s="136" t="s">
        <v>95</v>
      </c>
      <c r="CM288" s="136" t="s">
        <v>284</v>
      </c>
      <c r="CN288" s="136" t="s">
        <v>83</v>
      </c>
      <c r="CR288" s="16" t="s">
        <v>282</v>
      </c>
      <c r="CX288" s="137">
        <f>IF(BG288="základní",J288,0)</f>
        <v>6603.7</v>
      </c>
      <c r="CY288" s="137">
        <f>IF(BG288="snížená",J288,0)</f>
        <v>0</v>
      </c>
      <c r="CZ288" s="137">
        <f>IF(BG288="zákl. přenesená",J288,0)</f>
        <v>0</v>
      </c>
      <c r="DA288" s="137">
        <f>IF(BG288="sníž. přenesená",J288,0)</f>
        <v>0</v>
      </c>
      <c r="DB288" s="137">
        <f>IF(BG288="nulová",J288,0)</f>
        <v>0</v>
      </c>
      <c r="DC288" s="16" t="s">
        <v>81</v>
      </c>
      <c r="DD288" s="137">
        <f>ROUND(I288*H288,2)</f>
        <v>6603.7</v>
      </c>
      <c r="DE288" s="16" t="s">
        <v>95</v>
      </c>
      <c r="DF288" s="136" t="s">
        <v>1130</v>
      </c>
    </row>
    <row r="289" spans="2:110" s="1" customFormat="1" ht="29.25" x14ac:dyDescent="0.2">
      <c r="B289" s="31"/>
      <c r="D289" s="138" t="s">
        <v>289</v>
      </c>
      <c r="F289" s="139" t="s">
        <v>1131</v>
      </c>
      <c r="I289" s="140"/>
      <c r="L289" s="31"/>
      <c r="N289" s="213"/>
      <c r="O289" s="214"/>
      <c r="Q289" s="229"/>
      <c r="BF289" s="141"/>
      <c r="BM289" s="50"/>
      <c r="CM289" s="16" t="s">
        <v>289</v>
      </c>
      <c r="CN289" s="16" t="s">
        <v>83</v>
      </c>
    </row>
    <row r="290" spans="2:110" s="1" customFormat="1" ht="29.25" x14ac:dyDescent="0.2">
      <c r="B290" s="31"/>
      <c r="D290" s="138" t="s">
        <v>299</v>
      </c>
      <c r="F290" s="142" t="s">
        <v>1083</v>
      </c>
      <c r="I290" s="140"/>
      <c r="L290" s="31"/>
      <c r="N290" s="213"/>
      <c r="O290" s="214"/>
      <c r="Q290" s="229"/>
      <c r="BF290" s="141"/>
      <c r="BM290" s="50"/>
      <c r="CM290" s="16" t="s">
        <v>299</v>
      </c>
      <c r="CN290" s="16" t="s">
        <v>83</v>
      </c>
    </row>
    <row r="291" spans="2:110" s="12" customFormat="1" x14ac:dyDescent="0.2">
      <c r="B291" s="149"/>
      <c r="D291" s="138" t="s">
        <v>301</v>
      </c>
      <c r="E291" s="150" t="s">
        <v>1</v>
      </c>
      <c r="F291" s="151" t="s">
        <v>1380</v>
      </c>
      <c r="H291" s="152">
        <v>10.7</v>
      </c>
      <c r="I291" s="153"/>
      <c r="L291" s="149"/>
      <c r="N291" s="217">
        <f>10.28-10.7</f>
        <v>-0.41999999999999993</v>
      </c>
      <c r="O291" s="218" t="s">
        <v>3742</v>
      </c>
      <c r="Q291" s="231"/>
      <c r="BF291" s="154"/>
      <c r="BM291" s="155"/>
      <c r="CM291" s="150" t="s">
        <v>301</v>
      </c>
      <c r="CN291" s="150" t="s">
        <v>83</v>
      </c>
      <c r="CO291" s="12" t="s">
        <v>83</v>
      </c>
      <c r="CP291" s="12" t="s">
        <v>32</v>
      </c>
      <c r="CQ291" s="12" t="s">
        <v>81</v>
      </c>
      <c r="CR291" s="150" t="s">
        <v>282</v>
      </c>
    </row>
    <row r="292" spans="2:110" s="1" customFormat="1" ht="24.2" customHeight="1" x14ac:dyDescent="0.2">
      <c r="B292" s="124"/>
      <c r="C292" s="125" t="s">
        <v>493</v>
      </c>
      <c r="D292" s="125" t="s">
        <v>284</v>
      </c>
      <c r="E292" s="126" t="s">
        <v>1132</v>
      </c>
      <c r="F292" s="127" t="s">
        <v>1133</v>
      </c>
      <c r="G292" s="128" t="s">
        <v>485</v>
      </c>
      <c r="H292" s="129">
        <v>9</v>
      </c>
      <c r="I292" s="130">
        <v>214.24530512569368</v>
      </c>
      <c r="J292" s="131">
        <f>ROUND(I292*H292,2)</f>
        <v>1928.21</v>
      </c>
      <c r="K292" s="127" t="s">
        <v>293</v>
      </c>
      <c r="L292" s="268">
        <f>S292</f>
        <v>0</v>
      </c>
      <c r="M292" s="272">
        <f>ROUND(L292*I292,2)</f>
        <v>0</v>
      </c>
      <c r="N292" s="243"/>
      <c r="O292" s="294">
        <f>ROUND(N292*I292,2)</f>
        <v>0</v>
      </c>
      <c r="P292" s="273">
        <f>H292-L292-N292</f>
        <v>9</v>
      </c>
      <c r="Q292" s="287">
        <f>ROUND(P292*I292,2)</f>
        <v>1928.21</v>
      </c>
      <c r="R292" s="137"/>
      <c r="S292" s="269">
        <f>W292+Y292+AA292+AC292+AE292+AG292</f>
        <v>0</v>
      </c>
      <c r="T292" s="269">
        <f>ROUND(S292*I292,2)</f>
        <v>0</v>
      </c>
      <c r="U292" s="269">
        <f>H292-S292</f>
        <v>9</v>
      </c>
      <c r="V292" s="269">
        <f>ROUND(U292*I292,2)</f>
        <v>1928.21</v>
      </c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BF292" s="132" t="s">
        <v>1</v>
      </c>
      <c r="BG292" s="133" t="s">
        <v>40</v>
      </c>
      <c r="BI292" s="134">
        <f>BH292*H292</f>
        <v>0</v>
      </c>
      <c r="BJ292" s="134">
        <v>0</v>
      </c>
      <c r="BK292" s="134">
        <f>BJ292*H292</f>
        <v>0</v>
      </c>
      <c r="BL292" s="134">
        <v>0</v>
      </c>
      <c r="BM292" s="135">
        <f>BL292*H292</f>
        <v>0</v>
      </c>
      <c r="CK292" s="136" t="s">
        <v>95</v>
      </c>
      <c r="CM292" s="136" t="s">
        <v>284</v>
      </c>
      <c r="CN292" s="136" t="s">
        <v>83</v>
      </c>
      <c r="CR292" s="16" t="s">
        <v>282</v>
      </c>
      <c r="CX292" s="137">
        <f>IF(BG292="základní",J292,0)</f>
        <v>1928.21</v>
      </c>
      <c r="CY292" s="137">
        <f>IF(BG292="snížená",J292,0)</f>
        <v>0</v>
      </c>
      <c r="CZ292" s="137">
        <f>IF(BG292="zákl. přenesená",J292,0)</f>
        <v>0</v>
      </c>
      <c r="DA292" s="137">
        <f>IF(BG292="sníž. přenesená",J292,0)</f>
        <v>0</v>
      </c>
      <c r="DB292" s="137">
        <f>IF(BG292="nulová",J292,0)</f>
        <v>0</v>
      </c>
      <c r="DC292" s="16" t="s">
        <v>81</v>
      </c>
      <c r="DD292" s="137">
        <f>ROUND(I292*H292,2)</f>
        <v>1928.21</v>
      </c>
      <c r="DE292" s="16" t="s">
        <v>95</v>
      </c>
      <c r="DF292" s="136" t="s">
        <v>1134</v>
      </c>
    </row>
    <row r="293" spans="2:110" s="1" customFormat="1" ht="19.5" x14ac:dyDescent="0.2">
      <c r="B293" s="31"/>
      <c r="D293" s="138" t="s">
        <v>289</v>
      </c>
      <c r="F293" s="139" t="s">
        <v>1135</v>
      </c>
      <c r="I293" s="140"/>
      <c r="L293" s="31"/>
      <c r="N293" s="213"/>
      <c r="O293" s="214"/>
      <c r="Q293" s="229"/>
      <c r="BF293" s="141"/>
      <c r="BM293" s="50"/>
      <c r="CM293" s="16" t="s">
        <v>289</v>
      </c>
      <c r="CN293" s="16" t="s">
        <v>83</v>
      </c>
    </row>
    <row r="294" spans="2:110" s="1" customFormat="1" ht="29.25" x14ac:dyDescent="0.2">
      <c r="B294" s="31"/>
      <c r="D294" s="138" t="s">
        <v>299</v>
      </c>
      <c r="F294" s="142" t="s">
        <v>1083</v>
      </c>
      <c r="I294" s="140"/>
      <c r="L294" s="31"/>
      <c r="N294" s="213"/>
      <c r="O294" s="214"/>
      <c r="Q294" s="229"/>
      <c r="BF294" s="141"/>
      <c r="BM294" s="50"/>
      <c r="CM294" s="16" t="s">
        <v>299</v>
      </c>
      <c r="CN294" s="16" t="s">
        <v>83</v>
      </c>
    </row>
    <row r="295" spans="2:110" s="11" customFormat="1" x14ac:dyDescent="0.2">
      <c r="B295" s="143"/>
      <c r="D295" s="138" t="s">
        <v>301</v>
      </c>
      <c r="E295" s="144" t="s">
        <v>1</v>
      </c>
      <c r="F295" s="145" t="s">
        <v>1136</v>
      </c>
      <c r="H295" s="144" t="s">
        <v>1</v>
      </c>
      <c r="I295" s="146"/>
      <c r="L295" s="143"/>
      <c r="N295" s="215"/>
      <c r="O295" s="216"/>
      <c r="Q295" s="230"/>
      <c r="BF295" s="147"/>
      <c r="BM295" s="148"/>
      <c r="CM295" s="144" t="s">
        <v>301</v>
      </c>
      <c r="CN295" s="144" t="s">
        <v>83</v>
      </c>
      <c r="CO295" s="11" t="s">
        <v>81</v>
      </c>
      <c r="CP295" s="11" t="s">
        <v>32</v>
      </c>
      <c r="CQ295" s="11" t="s">
        <v>74</v>
      </c>
      <c r="CR295" s="144" t="s">
        <v>282</v>
      </c>
    </row>
    <row r="296" spans="2:110" s="12" customFormat="1" x14ac:dyDescent="0.2">
      <c r="B296" s="149"/>
      <c r="D296" s="138" t="s">
        <v>301</v>
      </c>
      <c r="E296" s="150" t="s">
        <v>1</v>
      </c>
      <c r="F296" s="151" t="s">
        <v>1266</v>
      </c>
      <c r="H296" s="152">
        <v>3</v>
      </c>
      <c r="I296" s="153"/>
      <c r="L296" s="149"/>
      <c r="N296" s="217"/>
      <c r="O296" s="218"/>
      <c r="Q296" s="231"/>
      <c r="BF296" s="154"/>
      <c r="BM296" s="155"/>
      <c r="CM296" s="150" t="s">
        <v>301</v>
      </c>
      <c r="CN296" s="150" t="s">
        <v>83</v>
      </c>
      <c r="CO296" s="12" t="s">
        <v>83</v>
      </c>
      <c r="CP296" s="12" t="s">
        <v>32</v>
      </c>
      <c r="CQ296" s="12" t="s">
        <v>74</v>
      </c>
      <c r="CR296" s="150" t="s">
        <v>282</v>
      </c>
    </row>
    <row r="297" spans="2:110" s="14" customFormat="1" x14ac:dyDescent="0.2">
      <c r="B297" s="163"/>
      <c r="D297" s="138" t="s">
        <v>301</v>
      </c>
      <c r="E297" s="164" t="s">
        <v>1</v>
      </c>
      <c r="F297" s="165" t="s">
        <v>373</v>
      </c>
      <c r="H297" s="166">
        <v>3</v>
      </c>
      <c r="I297" s="167"/>
      <c r="L297" s="163"/>
      <c r="N297" s="221"/>
      <c r="O297" s="222"/>
      <c r="Q297" s="233"/>
      <c r="BF297" s="168"/>
      <c r="BM297" s="169"/>
      <c r="CM297" s="164" t="s">
        <v>301</v>
      </c>
      <c r="CN297" s="164" t="s">
        <v>83</v>
      </c>
      <c r="CO297" s="14" t="s">
        <v>90</v>
      </c>
      <c r="CP297" s="14" t="s">
        <v>32</v>
      </c>
      <c r="CQ297" s="14" t="s">
        <v>74</v>
      </c>
      <c r="CR297" s="164" t="s">
        <v>282</v>
      </c>
    </row>
    <row r="298" spans="2:110" s="11" customFormat="1" x14ac:dyDescent="0.2">
      <c r="B298" s="143"/>
      <c r="D298" s="138" t="s">
        <v>301</v>
      </c>
      <c r="E298" s="144" t="s">
        <v>1</v>
      </c>
      <c r="F298" s="145" t="s">
        <v>1140</v>
      </c>
      <c r="H298" s="144" t="s">
        <v>1</v>
      </c>
      <c r="I298" s="146"/>
      <c r="L298" s="143"/>
      <c r="N298" s="215"/>
      <c r="O298" s="216"/>
      <c r="Q298" s="230"/>
      <c r="BF298" s="147"/>
      <c r="BM298" s="148"/>
      <c r="CM298" s="144" t="s">
        <v>301</v>
      </c>
      <c r="CN298" s="144" t="s">
        <v>83</v>
      </c>
      <c r="CO298" s="11" t="s">
        <v>81</v>
      </c>
      <c r="CP298" s="11" t="s">
        <v>32</v>
      </c>
      <c r="CQ298" s="11" t="s">
        <v>74</v>
      </c>
      <c r="CR298" s="144" t="s">
        <v>282</v>
      </c>
    </row>
    <row r="299" spans="2:110" s="12" customFormat="1" x14ac:dyDescent="0.2">
      <c r="B299" s="149"/>
      <c r="D299" s="138" t="s">
        <v>301</v>
      </c>
      <c r="E299" s="150" t="s">
        <v>1</v>
      </c>
      <c r="F299" s="151" t="s">
        <v>837</v>
      </c>
      <c r="H299" s="152">
        <v>6</v>
      </c>
      <c r="I299" s="153"/>
      <c r="L299" s="149"/>
      <c r="N299" s="217"/>
      <c r="O299" s="218"/>
      <c r="Q299" s="231"/>
      <c r="BF299" s="154"/>
      <c r="BM299" s="155"/>
      <c r="CM299" s="150" t="s">
        <v>301</v>
      </c>
      <c r="CN299" s="150" t="s">
        <v>83</v>
      </c>
      <c r="CO299" s="12" t="s">
        <v>83</v>
      </c>
      <c r="CP299" s="12" t="s">
        <v>32</v>
      </c>
      <c r="CQ299" s="12" t="s">
        <v>74</v>
      </c>
      <c r="CR299" s="150" t="s">
        <v>282</v>
      </c>
    </row>
    <row r="300" spans="2:110" s="13" customFormat="1" x14ac:dyDescent="0.2">
      <c r="B300" s="156"/>
      <c r="D300" s="138" t="s">
        <v>301</v>
      </c>
      <c r="E300" s="157" t="s">
        <v>1</v>
      </c>
      <c r="F300" s="158" t="s">
        <v>305</v>
      </c>
      <c r="H300" s="159">
        <v>9</v>
      </c>
      <c r="I300" s="160"/>
      <c r="L300" s="156"/>
      <c r="N300" s="219"/>
      <c r="O300" s="220"/>
      <c r="Q300" s="232"/>
      <c r="BF300" s="161"/>
      <c r="BM300" s="162"/>
      <c r="CM300" s="157" t="s">
        <v>301</v>
      </c>
      <c r="CN300" s="157" t="s">
        <v>83</v>
      </c>
      <c r="CO300" s="13" t="s">
        <v>95</v>
      </c>
      <c r="CP300" s="13" t="s">
        <v>32</v>
      </c>
      <c r="CQ300" s="13" t="s">
        <v>81</v>
      </c>
      <c r="CR300" s="157" t="s">
        <v>282</v>
      </c>
    </row>
    <row r="301" spans="2:110" s="1" customFormat="1" ht="14.45" customHeight="1" x14ac:dyDescent="0.2">
      <c r="B301" s="124"/>
      <c r="C301" s="170" t="s">
        <v>497</v>
      </c>
      <c r="D301" s="170" t="s">
        <v>439</v>
      </c>
      <c r="E301" s="171" t="s">
        <v>1142</v>
      </c>
      <c r="F301" s="172" t="s">
        <v>1143</v>
      </c>
      <c r="G301" s="173" t="s">
        <v>485</v>
      </c>
      <c r="H301" s="174">
        <v>3</v>
      </c>
      <c r="I301" s="175">
        <v>100.40486420000001</v>
      </c>
      <c r="J301" s="176">
        <f>ROUND(I301*H301,2)</f>
        <v>301.20999999999998</v>
      </c>
      <c r="K301" s="172" t="s">
        <v>293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3</v>
      </c>
      <c r="Q301" s="287">
        <f>ROUND(P301*I301,2)</f>
        <v>301.20999999999998</v>
      </c>
      <c r="R301" s="137"/>
      <c r="S301" s="269">
        <f>W301+Y301+AA301+AC301+AE301+AG301</f>
        <v>0</v>
      </c>
      <c r="T301" s="269">
        <f>ROUND(S301*I301,2)</f>
        <v>0</v>
      </c>
      <c r="U301" s="269">
        <f>H301-S301</f>
        <v>3</v>
      </c>
      <c r="V301" s="269">
        <f>ROUND(U301*I301,2)</f>
        <v>301.20999999999998</v>
      </c>
      <c r="W301" s="290"/>
      <c r="X301" s="290"/>
      <c r="Y301" s="290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77" t="s">
        <v>1</v>
      </c>
      <c r="BG301" s="178" t="s">
        <v>40</v>
      </c>
      <c r="BI301" s="134">
        <f>BH301*H301</f>
        <v>0</v>
      </c>
      <c r="BJ301" s="134">
        <v>6.4999999999999997E-4</v>
      </c>
      <c r="BK301" s="134">
        <f>BJ301*H301</f>
        <v>1.9499999999999999E-3</v>
      </c>
      <c r="BL301" s="134">
        <v>0</v>
      </c>
      <c r="BM301" s="135">
        <f>BL301*H301</f>
        <v>0</v>
      </c>
      <c r="CK301" s="136" t="s">
        <v>328</v>
      </c>
      <c r="CM301" s="136" t="s">
        <v>439</v>
      </c>
      <c r="CN301" s="136" t="s">
        <v>83</v>
      </c>
      <c r="CR301" s="16" t="s">
        <v>282</v>
      </c>
      <c r="CX301" s="137">
        <f>IF(BG301="základní",J301,0)</f>
        <v>301.20999999999998</v>
      </c>
      <c r="CY301" s="137">
        <f>IF(BG301="snížená",J301,0)</f>
        <v>0</v>
      </c>
      <c r="CZ301" s="137">
        <f>IF(BG301="zákl. přenesená",J301,0)</f>
        <v>0</v>
      </c>
      <c r="DA301" s="137">
        <f>IF(BG301="sníž. přenesená",J301,0)</f>
        <v>0</v>
      </c>
      <c r="DB301" s="137">
        <f>IF(BG301="nulová",J301,0)</f>
        <v>0</v>
      </c>
      <c r="DC301" s="16" t="s">
        <v>81</v>
      </c>
      <c r="DD301" s="137">
        <f>ROUND(I301*H301,2)</f>
        <v>301.20999999999998</v>
      </c>
      <c r="DE301" s="16" t="s">
        <v>95</v>
      </c>
      <c r="DF301" s="136" t="s">
        <v>1144</v>
      </c>
    </row>
    <row r="302" spans="2:110" s="1" customFormat="1" x14ac:dyDescent="0.2">
      <c r="B302" s="31"/>
      <c r="D302" s="138" t="s">
        <v>289</v>
      </c>
      <c r="F302" s="139" t="s">
        <v>1145</v>
      </c>
      <c r="I302" s="140"/>
      <c r="L302" s="31"/>
      <c r="N302" s="213"/>
      <c r="O302" s="214"/>
      <c r="Q302" s="229"/>
      <c r="BF302" s="141"/>
      <c r="BM302" s="50"/>
      <c r="CM302" s="16" t="s">
        <v>289</v>
      </c>
      <c r="CN302" s="16" t="s">
        <v>83</v>
      </c>
    </row>
    <row r="303" spans="2:110" s="1" customFormat="1" ht="14.45" customHeight="1" x14ac:dyDescent="0.2">
      <c r="B303" s="124"/>
      <c r="C303" s="170" t="s">
        <v>501</v>
      </c>
      <c r="D303" s="170" t="s">
        <v>439</v>
      </c>
      <c r="E303" s="171" t="s">
        <v>1146</v>
      </c>
      <c r="F303" s="172" t="s">
        <v>1147</v>
      </c>
      <c r="G303" s="173" t="s">
        <v>485</v>
      </c>
      <c r="H303" s="174">
        <v>6</v>
      </c>
      <c r="I303" s="175">
        <v>236.80392499999999</v>
      </c>
      <c r="J303" s="176">
        <f>ROUND(I303*H303,2)</f>
        <v>1420.82</v>
      </c>
      <c r="K303" s="172" t="s">
        <v>1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6</v>
      </c>
      <c r="Q303" s="287">
        <f>ROUND(P303*I303,2)</f>
        <v>1420.82</v>
      </c>
      <c r="R303" s="137"/>
      <c r="S303" s="269">
        <f>W303+Y303+AA303+AC303+AE303+AG303</f>
        <v>0</v>
      </c>
      <c r="T303" s="269">
        <f>ROUND(S303*I303,2)</f>
        <v>0</v>
      </c>
      <c r="U303" s="269">
        <f>H303-S303</f>
        <v>6</v>
      </c>
      <c r="V303" s="269">
        <f>ROUND(U303*I303,2)</f>
        <v>1420.82</v>
      </c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77" t="s">
        <v>1</v>
      </c>
      <c r="BG303" s="178" t="s">
        <v>40</v>
      </c>
      <c r="BI303" s="134">
        <f>BH303*H303</f>
        <v>0</v>
      </c>
      <c r="BJ303" s="134">
        <v>6.4999999999999997E-4</v>
      </c>
      <c r="BK303" s="134">
        <f>BJ303*H303</f>
        <v>3.8999999999999998E-3</v>
      </c>
      <c r="BL303" s="134">
        <v>0</v>
      </c>
      <c r="BM303" s="135">
        <f>BL303*H303</f>
        <v>0</v>
      </c>
      <c r="CK303" s="136" t="s">
        <v>328</v>
      </c>
      <c r="CM303" s="136" t="s">
        <v>439</v>
      </c>
      <c r="CN303" s="136" t="s">
        <v>83</v>
      </c>
      <c r="CR303" s="16" t="s">
        <v>282</v>
      </c>
      <c r="CX303" s="137">
        <f>IF(BG303="základní",J303,0)</f>
        <v>1420.82</v>
      </c>
      <c r="CY303" s="137">
        <f>IF(BG303="snížená",J303,0)</f>
        <v>0</v>
      </c>
      <c r="CZ303" s="137">
        <f>IF(BG303="zákl. přenesená",J303,0)</f>
        <v>0</v>
      </c>
      <c r="DA303" s="137">
        <f>IF(BG303="sníž. přenesená",J303,0)</f>
        <v>0</v>
      </c>
      <c r="DB303" s="137">
        <f>IF(BG303="nulová",J303,0)</f>
        <v>0</v>
      </c>
      <c r="DC303" s="16" t="s">
        <v>81</v>
      </c>
      <c r="DD303" s="137">
        <f>ROUND(I303*H303,2)</f>
        <v>1420.82</v>
      </c>
      <c r="DE303" s="16" t="s">
        <v>95</v>
      </c>
      <c r="DF303" s="136" t="s">
        <v>1148</v>
      </c>
    </row>
    <row r="304" spans="2:110" s="1" customFormat="1" x14ac:dyDescent="0.2">
      <c r="B304" s="31"/>
      <c r="D304" s="138" t="s">
        <v>289</v>
      </c>
      <c r="F304" s="139" t="s">
        <v>1147</v>
      </c>
      <c r="I304" s="140"/>
      <c r="L304" s="31"/>
      <c r="N304" s="213"/>
      <c r="O304" s="214"/>
      <c r="Q304" s="229"/>
      <c r="BF304" s="141"/>
      <c r="BM304" s="50"/>
      <c r="CM304" s="16" t="s">
        <v>289</v>
      </c>
      <c r="CN304" s="16" t="s">
        <v>83</v>
      </c>
    </row>
    <row r="305" spans="2:110" s="1" customFormat="1" ht="14.45" customHeight="1" x14ac:dyDescent="0.2">
      <c r="B305" s="124"/>
      <c r="C305" s="125" t="s">
        <v>505</v>
      </c>
      <c r="D305" s="125" t="s">
        <v>284</v>
      </c>
      <c r="E305" s="126" t="s">
        <v>1149</v>
      </c>
      <c r="F305" s="127" t="s">
        <v>1150</v>
      </c>
      <c r="G305" s="128" t="s">
        <v>485</v>
      </c>
      <c r="H305" s="129">
        <v>3</v>
      </c>
      <c r="I305" s="130">
        <v>214.24530512569368</v>
      </c>
      <c r="J305" s="131">
        <f>ROUND(I305*H305,2)</f>
        <v>642.74</v>
      </c>
      <c r="K305" s="127" t="s">
        <v>293</v>
      </c>
      <c r="L305" s="268">
        <f>S305</f>
        <v>0</v>
      </c>
      <c r="M305" s="272">
        <f>ROUND(L305*I305,2)</f>
        <v>0</v>
      </c>
      <c r="N305" s="243"/>
      <c r="O305" s="294">
        <f>ROUND(N305*I305,2)</f>
        <v>0</v>
      </c>
      <c r="P305" s="273">
        <f>H305-L305-N305</f>
        <v>3</v>
      </c>
      <c r="Q305" s="287">
        <f>ROUND(P305*I305,2)</f>
        <v>642.74</v>
      </c>
      <c r="R305" s="137"/>
      <c r="S305" s="269">
        <f>W305+Y305+AA305+AC305+AE305+AG305</f>
        <v>0</v>
      </c>
      <c r="T305" s="269">
        <f>ROUND(S305*I305,2)</f>
        <v>0</v>
      </c>
      <c r="U305" s="269">
        <f>H305-S305</f>
        <v>3</v>
      </c>
      <c r="V305" s="269">
        <f>ROUND(U305*I305,2)</f>
        <v>642.74</v>
      </c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BF305" s="132" t="s">
        <v>1</v>
      </c>
      <c r="BG305" s="133" t="s">
        <v>40</v>
      </c>
      <c r="BI305" s="134">
        <f>BH305*H305</f>
        <v>0</v>
      </c>
      <c r="BJ305" s="134">
        <v>0</v>
      </c>
      <c r="BK305" s="134">
        <f>BJ305*H305</f>
        <v>0</v>
      </c>
      <c r="BL305" s="134">
        <v>0</v>
      </c>
      <c r="BM305" s="135">
        <f>BL305*H305</f>
        <v>0</v>
      </c>
      <c r="CK305" s="136" t="s">
        <v>95</v>
      </c>
      <c r="CM305" s="136" t="s">
        <v>284</v>
      </c>
      <c r="CN305" s="136" t="s">
        <v>83</v>
      </c>
      <c r="CR305" s="16" t="s">
        <v>282</v>
      </c>
      <c r="CX305" s="137">
        <f>IF(BG305="základní",J305,0)</f>
        <v>642.74</v>
      </c>
      <c r="CY305" s="137">
        <f>IF(BG305="snížená",J305,0)</f>
        <v>0</v>
      </c>
      <c r="CZ305" s="137">
        <f>IF(BG305="zákl. přenesená",J305,0)</f>
        <v>0</v>
      </c>
      <c r="DA305" s="137">
        <f>IF(BG305="sníž. přenesená",J305,0)</f>
        <v>0</v>
      </c>
      <c r="DB305" s="137">
        <f>IF(BG305="nulová",J305,0)</f>
        <v>0</v>
      </c>
      <c r="DC305" s="16" t="s">
        <v>81</v>
      </c>
      <c r="DD305" s="137">
        <f>ROUND(I305*H305,2)</f>
        <v>642.74</v>
      </c>
      <c r="DE305" s="16" t="s">
        <v>95</v>
      </c>
      <c r="DF305" s="136" t="s">
        <v>1151</v>
      </c>
    </row>
    <row r="306" spans="2:110" s="1" customFormat="1" ht="19.5" x14ac:dyDescent="0.2">
      <c r="B306" s="31"/>
      <c r="D306" s="138" t="s">
        <v>289</v>
      </c>
      <c r="F306" s="139" t="s">
        <v>1152</v>
      </c>
      <c r="I306" s="140"/>
      <c r="L306" s="31"/>
      <c r="N306" s="213"/>
      <c r="O306" s="214"/>
      <c r="Q306" s="229"/>
      <c r="BF306" s="141"/>
      <c r="BM306" s="50"/>
      <c r="CM306" s="16" t="s">
        <v>289</v>
      </c>
      <c r="CN306" s="16" t="s">
        <v>83</v>
      </c>
    </row>
    <row r="307" spans="2:110" s="1" customFormat="1" ht="29.25" x14ac:dyDescent="0.2">
      <c r="B307" s="31"/>
      <c r="D307" s="138" t="s">
        <v>299</v>
      </c>
      <c r="F307" s="142" t="s">
        <v>1083</v>
      </c>
      <c r="I307" s="140"/>
      <c r="L307" s="31"/>
      <c r="N307" s="213"/>
      <c r="O307" s="214"/>
      <c r="Q307" s="229"/>
      <c r="BF307" s="141"/>
      <c r="BM307" s="50"/>
      <c r="CM307" s="16" t="s">
        <v>299</v>
      </c>
      <c r="CN307" s="16" t="s">
        <v>83</v>
      </c>
    </row>
    <row r="308" spans="2:110" s="11" customFormat="1" x14ac:dyDescent="0.2">
      <c r="B308" s="143"/>
      <c r="D308" s="138" t="s">
        <v>301</v>
      </c>
      <c r="E308" s="144" t="s">
        <v>1</v>
      </c>
      <c r="F308" s="145" t="s">
        <v>1153</v>
      </c>
      <c r="H308" s="144" t="s">
        <v>1</v>
      </c>
      <c r="I308" s="146"/>
      <c r="L308" s="143"/>
      <c r="N308" s="215"/>
      <c r="O308" s="216"/>
      <c r="Q308" s="230"/>
      <c r="BF308" s="147"/>
      <c r="BM308" s="148"/>
      <c r="CM308" s="144" t="s">
        <v>301</v>
      </c>
      <c r="CN308" s="144" t="s">
        <v>83</v>
      </c>
      <c r="CO308" s="11" t="s">
        <v>81</v>
      </c>
      <c r="CP308" s="11" t="s">
        <v>32</v>
      </c>
      <c r="CQ308" s="11" t="s">
        <v>74</v>
      </c>
      <c r="CR308" s="144" t="s">
        <v>282</v>
      </c>
    </row>
    <row r="309" spans="2:110" s="12" customFormat="1" x14ac:dyDescent="0.2">
      <c r="B309" s="149"/>
      <c r="D309" s="138" t="s">
        <v>301</v>
      </c>
      <c r="E309" s="150" t="s">
        <v>1</v>
      </c>
      <c r="F309" s="151" t="s">
        <v>90</v>
      </c>
      <c r="H309" s="152">
        <v>3</v>
      </c>
      <c r="I309" s="153"/>
      <c r="L309" s="149"/>
      <c r="N309" s="217"/>
      <c r="O309" s="218"/>
      <c r="Q309" s="231"/>
      <c r="BF309" s="154"/>
      <c r="BM309" s="155"/>
      <c r="CM309" s="150" t="s">
        <v>301</v>
      </c>
      <c r="CN309" s="150" t="s">
        <v>83</v>
      </c>
      <c r="CO309" s="12" t="s">
        <v>83</v>
      </c>
      <c r="CP309" s="12" t="s">
        <v>32</v>
      </c>
      <c r="CQ309" s="12" t="s">
        <v>81</v>
      </c>
      <c r="CR309" s="150" t="s">
        <v>282</v>
      </c>
    </row>
    <row r="310" spans="2:110" s="1" customFormat="1" ht="14.45" customHeight="1" x14ac:dyDescent="0.2">
      <c r="B310" s="124"/>
      <c r="C310" s="170" t="s">
        <v>510</v>
      </c>
      <c r="D310" s="170" t="s">
        <v>439</v>
      </c>
      <c r="E310" s="171" t="s">
        <v>1154</v>
      </c>
      <c r="F310" s="172" t="s">
        <v>1155</v>
      </c>
      <c r="G310" s="173" t="s">
        <v>485</v>
      </c>
      <c r="H310" s="174">
        <v>3</v>
      </c>
      <c r="I310" s="175">
        <v>59.200981249999998</v>
      </c>
      <c r="J310" s="176">
        <f>ROUND(I310*H310,2)</f>
        <v>177.6</v>
      </c>
      <c r="K310" s="172" t="s">
        <v>293</v>
      </c>
      <c r="L310" s="268">
        <f>S310</f>
        <v>0</v>
      </c>
      <c r="M310" s="272">
        <f>ROUND(L310*I310,2)</f>
        <v>0</v>
      </c>
      <c r="N310" s="243"/>
      <c r="O310" s="294">
        <f>ROUND(N310*I310,2)</f>
        <v>0</v>
      </c>
      <c r="P310" s="273">
        <f>H310-L310-N310</f>
        <v>3</v>
      </c>
      <c r="Q310" s="287">
        <f>ROUND(P310*I310,2)</f>
        <v>177.6</v>
      </c>
      <c r="R310" s="137"/>
      <c r="S310" s="269">
        <f>W310+Y310+AA310+AC310+AE310+AG310</f>
        <v>0</v>
      </c>
      <c r="T310" s="269">
        <f>ROUND(S310*I310,2)</f>
        <v>0</v>
      </c>
      <c r="U310" s="269">
        <f>H310-S310</f>
        <v>3</v>
      </c>
      <c r="V310" s="269">
        <f>ROUND(U310*I310,2)</f>
        <v>177.6</v>
      </c>
      <c r="W310" s="290"/>
      <c r="X310" s="290"/>
      <c r="Y310" s="290"/>
      <c r="Z310" s="290"/>
      <c r="AA310" s="290"/>
      <c r="AB310" s="290"/>
      <c r="AC310" s="290"/>
      <c r="AD310" s="290"/>
      <c r="AE310" s="290"/>
      <c r="AF310" s="290"/>
      <c r="AG310" s="290"/>
      <c r="AH310" s="290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77" t="s">
        <v>1</v>
      </c>
      <c r="BG310" s="178" t="s">
        <v>40</v>
      </c>
      <c r="BI310" s="134">
        <f>BH310*H310</f>
        <v>0</v>
      </c>
      <c r="BJ310" s="134">
        <v>2.9E-4</v>
      </c>
      <c r="BK310" s="134">
        <f>BJ310*H310</f>
        <v>8.7000000000000001E-4</v>
      </c>
      <c r="BL310" s="134">
        <v>0</v>
      </c>
      <c r="BM310" s="135">
        <f>BL310*H310</f>
        <v>0</v>
      </c>
      <c r="CK310" s="136" t="s">
        <v>328</v>
      </c>
      <c r="CM310" s="136" t="s">
        <v>439</v>
      </c>
      <c r="CN310" s="136" t="s">
        <v>83</v>
      </c>
      <c r="CR310" s="16" t="s">
        <v>282</v>
      </c>
      <c r="CX310" s="137">
        <f>IF(BG310="základní",J310,0)</f>
        <v>177.6</v>
      </c>
      <c r="CY310" s="137">
        <f>IF(BG310="snížená",J310,0)</f>
        <v>0</v>
      </c>
      <c r="CZ310" s="137">
        <f>IF(BG310="zákl. přenesená",J310,0)</f>
        <v>0</v>
      </c>
      <c r="DA310" s="137">
        <f>IF(BG310="sníž. přenesená",J310,0)</f>
        <v>0</v>
      </c>
      <c r="DB310" s="137">
        <f>IF(BG310="nulová",J310,0)</f>
        <v>0</v>
      </c>
      <c r="DC310" s="16" t="s">
        <v>81</v>
      </c>
      <c r="DD310" s="137">
        <f>ROUND(I310*H310,2)</f>
        <v>177.6</v>
      </c>
      <c r="DE310" s="16" t="s">
        <v>95</v>
      </c>
      <c r="DF310" s="136" t="s">
        <v>1156</v>
      </c>
    </row>
    <row r="311" spans="2:110" s="1" customFormat="1" x14ac:dyDescent="0.2">
      <c r="B311" s="31"/>
      <c r="D311" s="138" t="s">
        <v>289</v>
      </c>
      <c r="F311" s="139" t="s">
        <v>1155</v>
      </c>
      <c r="I311" s="140"/>
      <c r="L311" s="31"/>
      <c r="N311" s="213"/>
      <c r="O311" s="214"/>
      <c r="Q311" s="229"/>
      <c r="BF311" s="141"/>
      <c r="BM311" s="50"/>
      <c r="CM311" s="16" t="s">
        <v>289</v>
      </c>
      <c r="CN311" s="16" t="s">
        <v>83</v>
      </c>
    </row>
    <row r="312" spans="2:110" s="1" customFormat="1" ht="14.45" customHeight="1" x14ac:dyDescent="0.2">
      <c r="B312" s="124"/>
      <c r="C312" s="125" t="s">
        <v>514</v>
      </c>
      <c r="D312" s="125" t="s">
        <v>284</v>
      </c>
      <c r="E312" s="126" t="s">
        <v>776</v>
      </c>
      <c r="F312" s="127" t="s">
        <v>1157</v>
      </c>
      <c r="G312" s="128" t="s">
        <v>344</v>
      </c>
      <c r="H312" s="129">
        <v>10.7</v>
      </c>
      <c r="I312" s="130">
        <v>21.984104604889872</v>
      </c>
      <c r="J312" s="131">
        <f>ROUND(I312*H312,2)</f>
        <v>235.23</v>
      </c>
      <c r="K312" s="127" t="s">
        <v>293</v>
      </c>
      <c r="L312" s="268">
        <f>S312</f>
        <v>0</v>
      </c>
      <c r="M312" s="272">
        <f>ROUND(L312*I312,2)</f>
        <v>0</v>
      </c>
      <c r="N312" s="243">
        <f>N288</f>
        <v>-0.41999999999999993</v>
      </c>
      <c r="O312" s="294">
        <f>ROUND(N312*I312,2)</f>
        <v>-9.23</v>
      </c>
      <c r="P312" s="273">
        <f>H312-L312-N312</f>
        <v>11.12</v>
      </c>
      <c r="Q312" s="287">
        <f>ROUND(P312*I312,2)</f>
        <v>244.46</v>
      </c>
      <c r="R312" s="137"/>
      <c r="S312" s="269">
        <f>W312+Y312+AA312+AC312+AE312+AG312</f>
        <v>0</v>
      </c>
      <c r="T312" s="269">
        <f>ROUND(S312*I312,2)</f>
        <v>0</v>
      </c>
      <c r="U312" s="269">
        <f>H312-S312</f>
        <v>10.7</v>
      </c>
      <c r="V312" s="269">
        <f>ROUND(U312*I312,2)</f>
        <v>235.23</v>
      </c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BF312" s="132" t="s">
        <v>1</v>
      </c>
      <c r="BG312" s="133" t="s">
        <v>40</v>
      </c>
      <c r="BI312" s="134">
        <f>BH312*H312</f>
        <v>0</v>
      </c>
      <c r="BJ312" s="134">
        <v>0</v>
      </c>
      <c r="BK312" s="134">
        <f>BJ312*H312</f>
        <v>0</v>
      </c>
      <c r="BL312" s="134">
        <v>0</v>
      </c>
      <c r="BM312" s="135">
        <f>BL312*H312</f>
        <v>0</v>
      </c>
      <c r="CK312" s="136" t="s">
        <v>95</v>
      </c>
      <c r="CM312" s="136" t="s">
        <v>284</v>
      </c>
      <c r="CN312" s="136" t="s">
        <v>83</v>
      </c>
      <c r="CR312" s="16" t="s">
        <v>282</v>
      </c>
      <c r="CX312" s="137">
        <f>IF(BG312="základní",J312,0)</f>
        <v>235.23</v>
      </c>
      <c r="CY312" s="137">
        <f>IF(BG312="snížená",J312,0)</f>
        <v>0</v>
      </c>
      <c r="CZ312" s="137">
        <f>IF(BG312="zákl. přenesená",J312,0)</f>
        <v>0</v>
      </c>
      <c r="DA312" s="137">
        <f>IF(BG312="sníž. přenesená",J312,0)</f>
        <v>0</v>
      </c>
      <c r="DB312" s="137">
        <f>IF(BG312="nulová",J312,0)</f>
        <v>0</v>
      </c>
      <c r="DC312" s="16" t="s">
        <v>81</v>
      </c>
      <c r="DD312" s="137">
        <f>ROUND(I312*H312,2)</f>
        <v>235.23</v>
      </c>
      <c r="DE312" s="16" t="s">
        <v>95</v>
      </c>
      <c r="DF312" s="136" t="s">
        <v>1158</v>
      </c>
    </row>
    <row r="313" spans="2:110" s="1" customFormat="1" x14ac:dyDescent="0.2">
      <c r="B313" s="31"/>
      <c r="D313" s="138" t="s">
        <v>289</v>
      </c>
      <c r="F313" s="139" t="s">
        <v>779</v>
      </c>
      <c r="I313" s="140"/>
      <c r="L313" s="31"/>
      <c r="N313" s="213"/>
      <c r="O313" s="214"/>
      <c r="Q313" s="229"/>
      <c r="BF313" s="141"/>
      <c r="BM313" s="50"/>
      <c r="CM313" s="16" t="s">
        <v>289</v>
      </c>
      <c r="CN313" s="16" t="s">
        <v>83</v>
      </c>
    </row>
    <row r="314" spans="2:110" s="1" customFormat="1" ht="19.5" x14ac:dyDescent="0.2">
      <c r="B314" s="31"/>
      <c r="D314" s="138" t="s">
        <v>299</v>
      </c>
      <c r="F314" s="142" t="s">
        <v>587</v>
      </c>
      <c r="I314" s="140"/>
      <c r="L314" s="31"/>
      <c r="N314" s="213"/>
      <c r="O314" s="214"/>
      <c r="Q314" s="229"/>
      <c r="BF314" s="141"/>
      <c r="BM314" s="50"/>
      <c r="CM314" s="16" t="s">
        <v>299</v>
      </c>
      <c r="CN314" s="16" t="s">
        <v>83</v>
      </c>
    </row>
    <row r="315" spans="2:110" s="1" customFormat="1" ht="24.2" customHeight="1" x14ac:dyDescent="0.2">
      <c r="B315" s="124"/>
      <c r="C315" s="125" t="s">
        <v>521</v>
      </c>
      <c r="D315" s="125" t="s">
        <v>284</v>
      </c>
      <c r="E315" s="126" t="s">
        <v>1159</v>
      </c>
      <c r="F315" s="127" t="s">
        <v>1160</v>
      </c>
      <c r="G315" s="128" t="s">
        <v>485</v>
      </c>
      <c r="H315" s="129">
        <v>3</v>
      </c>
      <c r="I315" s="130">
        <v>3029.9958423936168</v>
      </c>
      <c r="J315" s="131">
        <f>ROUND(I315*H315,2)</f>
        <v>9089.99</v>
      </c>
      <c r="K315" s="127" t="s">
        <v>293</v>
      </c>
      <c r="L315" s="268">
        <f>S315</f>
        <v>0</v>
      </c>
      <c r="M315" s="272">
        <f>ROUND(L315*I315,2)</f>
        <v>0</v>
      </c>
      <c r="N315" s="243"/>
      <c r="O315" s="294">
        <f>ROUND(N315*I315,2)</f>
        <v>0</v>
      </c>
      <c r="P315" s="273">
        <f>H315-L315-N315</f>
        <v>3</v>
      </c>
      <c r="Q315" s="287">
        <f>ROUND(P315*I315,2)</f>
        <v>9089.99</v>
      </c>
      <c r="R315" s="137"/>
      <c r="S315" s="269">
        <f>W315+Y315+AA315+AC315+AE315+AG315</f>
        <v>0</v>
      </c>
      <c r="T315" s="269">
        <f>ROUND(S315*I315,2)</f>
        <v>0</v>
      </c>
      <c r="U315" s="269">
        <f>H315-S315</f>
        <v>3</v>
      </c>
      <c r="V315" s="269">
        <f>ROUND(U315*I315,2)</f>
        <v>9089.99</v>
      </c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BF315" s="132" t="s">
        <v>1</v>
      </c>
      <c r="BG315" s="133" t="s">
        <v>40</v>
      </c>
      <c r="BI315" s="134">
        <f>BH315*H315</f>
        <v>0</v>
      </c>
      <c r="BJ315" s="134">
        <v>5.8029999999999998E-2</v>
      </c>
      <c r="BK315" s="134">
        <f>BJ315*H315</f>
        <v>0.17408999999999999</v>
      </c>
      <c r="BL315" s="134">
        <v>0</v>
      </c>
      <c r="BM315" s="135">
        <f>BL315*H315</f>
        <v>0</v>
      </c>
      <c r="CK315" s="136" t="s">
        <v>95</v>
      </c>
      <c r="CM315" s="136" t="s">
        <v>284</v>
      </c>
      <c r="CN315" s="136" t="s">
        <v>83</v>
      </c>
      <c r="CR315" s="16" t="s">
        <v>282</v>
      </c>
      <c r="CX315" s="137">
        <f>IF(BG315="základní",J315,0)</f>
        <v>9089.99</v>
      </c>
      <c r="CY315" s="137">
        <f>IF(BG315="snížená",J315,0)</f>
        <v>0</v>
      </c>
      <c r="CZ315" s="137">
        <f>IF(BG315="zákl. přenesená",J315,0)</f>
        <v>0</v>
      </c>
      <c r="DA315" s="137">
        <f>IF(BG315="sníž. přenesená",J315,0)</f>
        <v>0</v>
      </c>
      <c r="DB315" s="137">
        <f>IF(BG315="nulová",J315,0)</f>
        <v>0</v>
      </c>
      <c r="DC315" s="16" t="s">
        <v>81</v>
      </c>
      <c r="DD315" s="137">
        <f>ROUND(I315*H315,2)</f>
        <v>9089.99</v>
      </c>
      <c r="DE315" s="16" t="s">
        <v>95</v>
      </c>
      <c r="DF315" s="136" t="s">
        <v>1161</v>
      </c>
    </row>
    <row r="316" spans="2:110" s="1" customFormat="1" ht="29.25" x14ac:dyDescent="0.2">
      <c r="B316" s="31"/>
      <c r="D316" s="138" t="s">
        <v>289</v>
      </c>
      <c r="F316" s="139" t="s">
        <v>1162</v>
      </c>
      <c r="I316" s="140"/>
      <c r="L316" s="31"/>
      <c r="N316" s="213"/>
      <c r="O316" s="214"/>
      <c r="Q316" s="229"/>
      <c r="BF316" s="141"/>
      <c r="BM316" s="50"/>
      <c r="CM316" s="16" t="s">
        <v>289</v>
      </c>
      <c r="CN316" s="16" t="s">
        <v>83</v>
      </c>
    </row>
    <row r="317" spans="2:110" s="1" customFormat="1" ht="29.25" x14ac:dyDescent="0.2">
      <c r="B317" s="31"/>
      <c r="D317" s="138" t="s">
        <v>299</v>
      </c>
      <c r="F317" s="142" t="s">
        <v>1083</v>
      </c>
      <c r="I317" s="140"/>
      <c r="L317" s="31"/>
      <c r="N317" s="213"/>
      <c r="O317" s="214"/>
      <c r="Q317" s="229"/>
      <c r="BF317" s="141"/>
      <c r="BM317" s="50"/>
      <c r="CM317" s="16" t="s">
        <v>299</v>
      </c>
      <c r="CN317" s="16" t="s">
        <v>83</v>
      </c>
    </row>
    <row r="318" spans="2:110" s="12" customFormat="1" x14ac:dyDescent="0.2">
      <c r="B318" s="149"/>
      <c r="D318" s="138" t="s">
        <v>301</v>
      </c>
      <c r="E318" s="150" t="s">
        <v>1</v>
      </c>
      <c r="F318" s="151" t="s">
        <v>90</v>
      </c>
      <c r="H318" s="152">
        <v>3</v>
      </c>
      <c r="I318" s="153"/>
      <c r="L318" s="149"/>
      <c r="N318" s="217"/>
      <c r="O318" s="218"/>
      <c r="Q318" s="231"/>
      <c r="BF318" s="154"/>
      <c r="BM318" s="155"/>
      <c r="CM318" s="150" t="s">
        <v>301</v>
      </c>
      <c r="CN318" s="150" t="s">
        <v>83</v>
      </c>
      <c r="CO318" s="12" t="s">
        <v>83</v>
      </c>
      <c r="CP318" s="12" t="s">
        <v>32</v>
      </c>
      <c r="CQ318" s="12" t="s">
        <v>81</v>
      </c>
      <c r="CR318" s="150" t="s">
        <v>282</v>
      </c>
    </row>
    <row r="319" spans="2:110" s="1" customFormat="1" ht="24.2" customHeight="1" x14ac:dyDescent="0.2">
      <c r="B319" s="124"/>
      <c r="C319" s="125" t="s">
        <v>526</v>
      </c>
      <c r="D319" s="125" t="s">
        <v>284</v>
      </c>
      <c r="E319" s="126" t="s">
        <v>1163</v>
      </c>
      <c r="F319" s="127" t="s">
        <v>1164</v>
      </c>
      <c r="G319" s="128" t="s">
        <v>485</v>
      </c>
      <c r="H319" s="129">
        <v>3</v>
      </c>
      <c r="I319" s="130">
        <v>1731.8858985723084</v>
      </c>
      <c r="J319" s="131">
        <f>ROUND(I319*H319,2)</f>
        <v>5195.66</v>
      </c>
      <c r="K319" s="127" t="s">
        <v>293</v>
      </c>
      <c r="L319" s="268">
        <f>S319</f>
        <v>0</v>
      </c>
      <c r="M319" s="272">
        <f>ROUND(L319*I319,2)</f>
        <v>0</v>
      </c>
      <c r="N319" s="243"/>
      <c r="O319" s="294">
        <f>ROUND(N319*I319,2)</f>
        <v>0</v>
      </c>
      <c r="P319" s="273">
        <f>H319-L319-N319</f>
        <v>3</v>
      </c>
      <c r="Q319" s="287">
        <f>ROUND(P319*I319,2)</f>
        <v>5195.66</v>
      </c>
      <c r="R319" s="137"/>
      <c r="S319" s="269">
        <f>W319+Y319+AA319+AC319+AE319+AG319</f>
        <v>0</v>
      </c>
      <c r="T319" s="269">
        <f>ROUND(S319*I319,2)</f>
        <v>0</v>
      </c>
      <c r="U319" s="269">
        <f>H319-S319</f>
        <v>3</v>
      </c>
      <c r="V319" s="269">
        <f>ROUND(U319*I319,2)</f>
        <v>5195.66</v>
      </c>
      <c r="W319" s="269"/>
      <c r="X319" s="269"/>
      <c r="Y319" s="269"/>
      <c r="Z319" s="269"/>
      <c r="AA319" s="269"/>
      <c r="AB319" s="269"/>
      <c r="AC319" s="269"/>
      <c r="AD319" s="269"/>
      <c r="AE319" s="269"/>
      <c r="AF319" s="269"/>
      <c r="AG319" s="269"/>
      <c r="AH319" s="269"/>
      <c r="BF319" s="132" t="s">
        <v>1</v>
      </c>
      <c r="BG319" s="133" t="s">
        <v>40</v>
      </c>
      <c r="BI319" s="134">
        <f>BH319*H319</f>
        <v>0</v>
      </c>
      <c r="BJ319" s="134">
        <v>1.136E-2</v>
      </c>
      <c r="BK319" s="134">
        <f>BJ319*H319</f>
        <v>3.4079999999999999E-2</v>
      </c>
      <c r="BL319" s="134">
        <v>0</v>
      </c>
      <c r="BM319" s="135">
        <f>BL319*H319</f>
        <v>0</v>
      </c>
      <c r="CK319" s="136" t="s">
        <v>95</v>
      </c>
      <c r="CM319" s="136" t="s">
        <v>284</v>
      </c>
      <c r="CN319" s="136" t="s">
        <v>83</v>
      </c>
      <c r="CR319" s="16" t="s">
        <v>282</v>
      </c>
      <c r="CX319" s="137">
        <f>IF(BG319="základní",J319,0)</f>
        <v>5195.66</v>
      </c>
      <c r="CY319" s="137">
        <f>IF(BG319="snížená",J319,0)</f>
        <v>0</v>
      </c>
      <c r="CZ319" s="137">
        <f>IF(BG319="zákl. přenesená",J319,0)</f>
        <v>0</v>
      </c>
      <c r="DA319" s="137">
        <f>IF(BG319="sníž. přenesená",J319,0)</f>
        <v>0</v>
      </c>
      <c r="DB319" s="137">
        <f>IF(BG319="nulová",J319,0)</f>
        <v>0</v>
      </c>
      <c r="DC319" s="16" t="s">
        <v>81</v>
      </c>
      <c r="DD319" s="137">
        <f>ROUND(I319*H319,2)</f>
        <v>5195.66</v>
      </c>
      <c r="DE319" s="16" t="s">
        <v>95</v>
      </c>
      <c r="DF319" s="136" t="s">
        <v>1165</v>
      </c>
    </row>
    <row r="320" spans="2:110" s="1" customFormat="1" ht="19.5" x14ac:dyDescent="0.2">
      <c r="B320" s="31"/>
      <c r="D320" s="138" t="s">
        <v>289</v>
      </c>
      <c r="F320" s="139" t="s">
        <v>1166</v>
      </c>
      <c r="I320" s="140"/>
      <c r="L320" s="31"/>
      <c r="N320" s="213"/>
      <c r="O320" s="214"/>
      <c r="Q320" s="229"/>
      <c r="BF320" s="141"/>
      <c r="BM320" s="50"/>
      <c r="CM320" s="16" t="s">
        <v>289</v>
      </c>
      <c r="CN320" s="16" t="s">
        <v>83</v>
      </c>
    </row>
    <row r="321" spans="2:110" s="1" customFormat="1" ht="24.2" customHeight="1" x14ac:dyDescent="0.2">
      <c r="B321" s="124"/>
      <c r="C321" s="125" t="s">
        <v>531</v>
      </c>
      <c r="D321" s="125" t="s">
        <v>284</v>
      </c>
      <c r="E321" s="126" t="s">
        <v>1167</v>
      </c>
      <c r="F321" s="127" t="s">
        <v>1168</v>
      </c>
      <c r="G321" s="128" t="s">
        <v>485</v>
      </c>
      <c r="H321" s="129">
        <v>3</v>
      </c>
      <c r="I321" s="130">
        <v>769.70783374577138</v>
      </c>
      <c r="J321" s="131">
        <f>ROUND(I321*H321,2)</f>
        <v>2309.12</v>
      </c>
      <c r="K321" s="127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3</v>
      </c>
      <c r="Q321" s="287">
        <f>ROUND(P321*I321,2)</f>
        <v>2309.12</v>
      </c>
      <c r="R321" s="137"/>
      <c r="S321" s="269">
        <f>W321+Y321+AA321+AC321+AE321+AG321</f>
        <v>0</v>
      </c>
      <c r="T321" s="269">
        <f>ROUND(S321*I321,2)</f>
        <v>0</v>
      </c>
      <c r="U321" s="269">
        <f>H321-S321</f>
        <v>3</v>
      </c>
      <c r="V321" s="269">
        <f>ROUND(U321*I321,2)</f>
        <v>2309.12</v>
      </c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BF321" s="132" t="s">
        <v>1</v>
      </c>
      <c r="BG321" s="133" t="s">
        <v>40</v>
      </c>
      <c r="BI321" s="134">
        <f>BH321*H321</f>
        <v>0</v>
      </c>
      <c r="BJ321" s="134">
        <v>6.2199999999999998E-3</v>
      </c>
      <c r="BK321" s="134">
        <f>BJ321*H321</f>
        <v>1.866E-2</v>
      </c>
      <c r="BL321" s="134">
        <v>0</v>
      </c>
      <c r="BM321" s="135">
        <f>BL321*H321</f>
        <v>0</v>
      </c>
      <c r="CK321" s="136" t="s">
        <v>95</v>
      </c>
      <c r="CM321" s="136" t="s">
        <v>284</v>
      </c>
      <c r="CN321" s="136" t="s">
        <v>83</v>
      </c>
      <c r="CR321" s="16" t="s">
        <v>282</v>
      </c>
      <c r="CX321" s="137">
        <f>IF(BG321="základní",J321,0)</f>
        <v>2309.12</v>
      </c>
      <c r="CY321" s="137">
        <f>IF(BG321="snížená",J321,0)</f>
        <v>0</v>
      </c>
      <c r="CZ321" s="137">
        <f>IF(BG321="zákl. přenesená",J321,0)</f>
        <v>0</v>
      </c>
      <c r="DA321" s="137">
        <f>IF(BG321="sníž. přenesená",J321,0)</f>
        <v>0</v>
      </c>
      <c r="DB321" s="137">
        <f>IF(BG321="nulová",J321,0)</f>
        <v>0</v>
      </c>
      <c r="DC321" s="16" t="s">
        <v>81</v>
      </c>
      <c r="DD321" s="137">
        <f>ROUND(I321*H321,2)</f>
        <v>2309.12</v>
      </c>
      <c r="DE321" s="16" t="s">
        <v>95</v>
      </c>
      <c r="DF321" s="136" t="s">
        <v>1169</v>
      </c>
    </row>
    <row r="322" spans="2:110" s="1" customFormat="1" ht="29.25" x14ac:dyDescent="0.2">
      <c r="B322" s="31"/>
      <c r="D322" s="138" t="s">
        <v>289</v>
      </c>
      <c r="F322" s="139" t="s">
        <v>1170</v>
      </c>
      <c r="I322" s="140"/>
      <c r="L322" s="31"/>
      <c r="N322" s="213"/>
      <c r="O322" s="214"/>
      <c r="Q322" s="229"/>
      <c r="BF322" s="141"/>
      <c r="BM322" s="50"/>
      <c r="CM322" s="16" t="s">
        <v>289</v>
      </c>
      <c r="CN322" s="16" t="s">
        <v>83</v>
      </c>
    </row>
    <row r="323" spans="2:110" s="1" customFormat="1" ht="24.2" customHeight="1" x14ac:dyDescent="0.2">
      <c r="B323" s="124"/>
      <c r="C323" s="125" t="s">
        <v>536</v>
      </c>
      <c r="D323" s="125" t="s">
        <v>284</v>
      </c>
      <c r="E323" s="126" t="s">
        <v>1171</v>
      </c>
      <c r="F323" s="127" t="s">
        <v>1172</v>
      </c>
      <c r="G323" s="128" t="s">
        <v>485</v>
      </c>
      <c r="H323" s="129">
        <v>3</v>
      </c>
      <c r="I323" s="130">
        <v>809.35201412271431</v>
      </c>
      <c r="J323" s="131">
        <f>ROUND(I323*H323,2)</f>
        <v>2428.06</v>
      </c>
      <c r="K323" s="127" t="s">
        <v>293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3</v>
      </c>
      <c r="Q323" s="287">
        <f>ROUND(P323*I323,2)</f>
        <v>2428.06</v>
      </c>
      <c r="R323" s="137"/>
      <c r="S323" s="269">
        <f>W323+Y323+AA323+AC323+AE323+AG323</f>
        <v>0</v>
      </c>
      <c r="T323" s="269">
        <f>ROUND(S323*I323,2)</f>
        <v>0</v>
      </c>
      <c r="U323" s="269">
        <f>H323-S323</f>
        <v>3</v>
      </c>
      <c r="V323" s="269">
        <f>ROUND(U323*I323,2)</f>
        <v>2428.06</v>
      </c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BF323" s="132" t="s">
        <v>1</v>
      </c>
      <c r="BG323" s="133" t="s">
        <v>40</v>
      </c>
      <c r="BI323" s="134">
        <f>BH323*H323</f>
        <v>0</v>
      </c>
      <c r="BJ323" s="134">
        <v>0</v>
      </c>
      <c r="BK323" s="134">
        <f>BJ323*H323</f>
        <v>0</v>
      </c>
      <c r="BL323" s="134">
        <v>0</v>
      </c>
      <c r="BM323" s="135">
        <f>BL323*H323</f>
        <v>0</v>
      </c>
      <c r="CK323" s="136" t="s">
        <v>95</v>
      </c>
      <c r="CM323" s="136" t="s">
        <v>284</v>
      </c>
      <c r="CN323" s="136" t="s">
        <v>83</v>
      </c>
      <c r="CR323" s="16" t="s">
        <v>282</v>
      </c>
      <c r="CX323" s="137">
        <f>IF(BG323="základní",J323,0)</f>
        <v>2428.06</v>
      </c>
      <c r="CY323" s="137">
        <f>IF(BG323="snížená",J323,0)</f>
        <v>0</v>
      </c>
      <c r="CZ323" s="137">
        <f>IF(BG323="zákl. přenesená",J323,0)</f>
        <v>0</v>
      </c>
      <c r="DA323" s="137">
        <f>IF(BG323="sníž. přenesená",J323,0)</f>
        <v>0</v>
      </c>
      <c r="DB323" s="137">
        <f>IF(BG323="nulová",J323,0)</f>
        <v>0</v>
      </c>
      <c r="DC323" s="16" t="s">
        <v>81</v>
      </c>
      <c r="DD323" s="137">
        <f>ROUND(I323*H323,2)</f>
        <v>2428.06</v>
      </c>
      <c r="DE323" s="16" t="s">
        <v>95</v>
      </c>
      <c r="DF323" s="136" t="s">
        <v>1173</v>
      </c>
    </row>
    <row r="324" spans="2:110" s="1" customFormat="1" ht="29.25" x14ac:dyDescent="0.2">
      <c r="B324" s="31"/>
      <c r="D324" s="138" t="s">
        <v>289</v>
      </c>
      <c r="F324" s="139" t="s">
        <v>1174</v>
      </c>
      <c r="I324" s="140"/>
      <c r="L324" s="31"/>
      <c r="N324" s="213"/>
      <c r="O324" s="214"/>
      <c r="Q324" s="229"/>
      <c r="BF324" s="141"/>
      <c r="BM324" s="50"/>
      <c r="CM324" s="16" t="s">
        <v>289</v>
      </c>
      <c r="CN324" s="16" t="s">
        <v>83</v>
      </c>
    </row>
    <row r="325" spans="2:110" s="1" customFormat="1" ht="24.2" customHeight="1" x14ac:dyDescent="0.2">
      <c r="B325" s="124"/>
      <c r="C325" s="125" t="s">
        <v>543</v>
      </c>
      <c r="D325" s="125" t="s">
        <v>284</v>
      </c>
      <c r="E325" s="126" t="s">
        <v>1175</v>
      </c>
      <c r="F325" s="127" t="s">
        <v>1176</v>
      </c>
      <c r="G325" s="128" t="s">
        <v>485</v>
      </c>
      <c r="H325" s="129">
        <v>3</v>
      </c>
      <c r="I325" s="130">
        <v>3446.6463092111458</v>
      </c>
      <c r="J325" s="131">
        <f>ROUND(I325*H325,2)</f>
        <v>10339.94</v>
      </c>
      <c r="K325" s="127" t="s">
        <v>293</v>
      </c>
      <c r="L325" s="268">
        <f>S325</f>
        <v>0</v>
      </c>
      <c r="M325" s="272">
        <f>ROUND(L325*I325,2)</f>
        <v>0</v>
      </c>
      <c r="N325" s="243"/>
      <c r="O325" s="294">
        <f>ROUND(N325*I325,2)</f>
        <v>0</v>
      </c>
      <c r="P325" s="273">
        <f>H325-L325-N325</f>
        <v>3</v>
      </c>
      <c r="Q325" s="287">
        <f>ROUND(P325*I325,2)</f>
        <v>10339.94</v>
      </c>
      <c r="R325" s="137"/>
      <c r="S325" s="269">
        <f>W325+Y325+AA325+AC325+AE325+AG325</f>
        <v>0</v>
      </c>
      <c r="T325" s="269">
        <f>ROUND(S325*I325,2)</f>
        <v>0</v>
      </c>
      <c r="U325" s="269">
        <f>H325-S325</f>
        <v>3</v>
      </c>
      <c r="V325" s="269">
        <f>ROUND(U325*I325,2)</f>
        <v>10339.94</v>
      </c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BF325" s="132" t="s">
        <v>1</v>
      </c>
      <c r="BG325" s="133" t="s">
        <v>40</v>
      </c>
      <c r="BI325" s="134">
        <f>BH325*H325</f>
        <v>0</v>
      </c>
      <c r="BJ325" s="134">
        <v>5.4539999999999998E-2</v>
      </c>
      <c r="BK325" s="134">
        <f>BJ325*H325</f>
        <v>0.16361999999999999</v>
      </c>
      <c r="BL325" s="134">
        <v>0</v>
      </c>
      <c r="BM325" s="135">
        <f>BL325*H325</f>
        <v>0</v>
      </c>
      <c r="CK325" s="136" t="s">
        <v>95</v>
      </c>
      <c r="CM325" s="136" t="s">
        <v>284</v>
      </c>
      <c r="CN325" s="136" t="s">
        <v>83</v>
      </c>
      <c r="CR325" s="16" t="s">
        <v>282</v>
      </c>
      <c r="CX325" s="137">
        <f>IF(BG325="základní",J325,0)</f>
        <v>10339.94</v>
      </c>
      <c r="CY325" s="137">
        <f>IF(BG325="snížená",J325,0)</f>
        <v>0</v>
      </c>
      <c r="CZ325" s="137">
        <f>IF(BG325="zákl. přenesená",J325,0)</f>
        <v>0</v>
      </c>
      <c r="DA325" s="137">
        <f>IF(BG325="sníž. přenesená",J325,0)</f>
        <v>0</v>
      </c>
      <c r="DB325" s="137">
        <f>IF(BG325="nulová",J325,0)</f>
        <v>0</v>
      </c>
      <c r="DC325" s="16" t="s">
        <v>81</v>
      </c>
      <c r="DD325" s="137">
        <f>ROUND(I325*H325,2)</f>
        <v>10339.94</v>
      </c>
      <c r="DE325" s="16" t="s">
        <v>95</v>
      </c>
      <c r="DF325" s="136" t="s">
        <v>1177</v>
      </c>
    </row>
    <row r="326" spans="2:110" s="1" customFormat="1" ht="29.25" x14ac:dyDescent="0.2">
      <c r="B326" s="31"/>
      <c r="D326" s="138" t="s">
        <v>289</v>
      </c>
      <c r="F326" s="139" t="s">
        <v>1178</v>
      </c>
      <c r="I326" s="140"/>
      <c r="L326" s="31"/>
      <c r="N326" s="213"/>
      <c r="O326" s="214"/>
      <c r="Q326" s="229"/>
      <c r="BF326" s="141"/>
      <c r="BM326" s="50"/>
      <c r="CM326" s="16" t="s">
        <v>289</v>
      </c>
      <c r="CN326" s="16" t="s">
        <v>83</v>
      </c>
    </row>
    <row r="327" spans="2:110" s="10" customFormat="1" ht="22.9" customHeight="1" x14ac:dyDescent="0.2">
      <c r="B327" s="112"/>
      <c r="D327" s="113" t="s">
        <v>73</v>
      </c>
      <c r="E327" s="122" t="s">
        <v>695</v>
      </c>
      <c r="F327" s="122" t="s">
        <v>696</v>
      </c>
      <c r="I327" s="115"/>
      <c r="J327" s="123">
        <f>DD327</f>
        <v>4381.66</v>
      </c>
      <c r="L327" s="112"/>
      <c r="M327" s="270">
        <f>SUM(M328:M344)</f>
        <v>0</v>
      </c>
      <c r="N327" s="301"/>
      <c r="O327" s="302">
        <f t="shared" ref="O327:V327" si="7">SUM(O328:O344)</f>
        <v>-170.88</v>
      </c>
      <c r="P327" s="270"/>
      <c r="Q327" s="288">
        <f t="shared" si="7"/>
        <v>4552.55</v>
      </c>
      <c r="R327" s="270"/>
      <c r="S327" s="270"/>
      <c r="T327" s="270">
        <f t="shared" si="7"/>
        <v>0</v>
      </c>
      <c r="U327" s="270"/>
      <c r="V327" s="270">
        <f t="shared" si="7"/>
        <v>4381.66</v>
      </c>
      <c r="BF327" s="117"/>
      <c r="BI327" s="118">
        <f>SUM(BI328:BI346)</f>
        <v>0</v>
      </c>
      <c r="BK327" s="118">
        <f>SUM(BK328:BK346)</f>
        <v>0</v>
      </c>
      <c r="BM327" s="119">
        <f>SUM(BM328:BM346)</f>
        <v>0</v>
      </c>
      <c r="CK327" s="113" t="s">
        <v>81</v>
      </c>
      <c r="CM327" s="120" t="s">
        <v>73</v>
      </c>
      <c r="CN327" s="120" t="s">
        <v>81</v>
      </c>
      <c r="CR327" s="113" t="s">
        <v>282</v>
      </c>
      <c r="DD327" s="121">
        <f>SUM(DD328:DD346)</f>
        <v>4381.66</v>
      </c>
    </row>
    <row r="328" spans="2:110" s="1" customFormat="1" ht="14.45" customHeight="1" x14ac:dyDescent="0.2">
      <c r="B328" s="124"/>
      <c r="C328" s="125" t="s">
        <v>548</v>
      </c>
      <c r="D328" s="125" t="s">
        <v>284</v>
      </c>
      <c r="E328" s="126" t="s">
        <v>698</v>
      </c>
      <c r="F328" s="127" t="s">
        <v>699</v>
      </c>
      <c r="G328" s="128" t="s">
        <v>418</v>
      </c>
      <c r="H328" s="129">
        <v>12.115</v>
      </c>
      <c r="I328" s="130">
        <v>40.477390926043419</v>
      </c>
      <c r="J328" s="131">
        <f>ROUND(I328*H328,2)</f>
        <v>490.38</v>
      </c>
      <c r="K328" s="127" t="s">
        <v>293</v>
      </c>
      <c r="L328" s="268">
        <f>S328</f>
        <v>0</v>
      </c>
      <c r="M328" s="272">
        <f>ROUND(L328*I328,2)</f>
        <v>0</v>
      </c>
      <c r="N328" s="243">
        <f>N330</f>
        <v>-0.47248500000000071</v>
      </c>
      <c r="O328" s="294">
        <f>ROUND(N328*I328,2)</f>
        <v>-19.12</v>
      </c>
      <c r="P328" s="273">
        <f>H328-L328-N328</f>
        <v>12.587485000000001</v>
      </c>
      <c r="Q328" s="287">
        <f>ROUND(P328*I328,2)</f>
        <v>509.51</v>
      </c>
      <c r="R328" s="137"/>
      <c r="S328" s="269">
        <f>W328+Y328+AA328+AC328+AE328+AG328</f>
        <v>0</v>
      </c>
      <c r="T328" s="269">
        <f>ROUND(S328*I328,2)</f>
        <v>0</v>
      </c>
      <c r="U328" s="269">
        <f>H328-S328</f>
        <v>12.115</v>
      </c>
      <c r="V328" s="269">
        <f>ROUND(U328*I328,2)</f>
        <v>490.38</v>
      </c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BF328" s="132" t="s">
        <v>1</v>
      </c>
      <c r="BG328" s="133" t="s">
        <v>40</v>
      </c>
      <c r="BI328" s="134">
        <f>BH328*H328</f>
        <v>0</v>
      </c>
      <c r="BJ328" s="134">
        <v>0</v>
      </c>
      <c r="BK328" s="134">
        <f>BJ328*H328</f>
        <v>0</v>
      </c>
      <c r="BL328" s="134">
        <v>0</v>
      </c>
      <c r="BM328" s="135">
        <f>BL328*H328</f>
        <v>0</v>
      </c>
      <c r="CK328" s="136" t="s">
        <v>95</v>
      </c>
      <c r="CM328" s="136" t="s">
        <v>284</v>
      </c>
      <c r="CN328" s="136" t="s">
        <v>83</v>
      </c>
      <c r="CR328" s="16" t="s">
        <v>282</v>
      </c>
      <c r="CX328" s="137">
        <f>IF(BG328="základní",J328,0)</f>
        <v>490.38</v>
      </c>
      <c r="CY328" s="137">
        <f>IF(BG328="snížená",J328,0)</f>
        <v>0</v>
      </c>
      <c r="CZ328" s="137">
        <f>IF(BG328="zákl. přenesená",J328,0)</f>
        <v>0</v>
      </c>
      <c r="DA328" s="137">
        <f>IF(BG328="sníž. přenesená",J328,0)</f>
        <v>0</v>
      </c>
      <c r="DB328" s="137">
        <f>IF(BG328="nulová",J328,0)</f>
        <v>0</v>
      </c>
      <c r="DC328" s="16" t="s">
        <v>81</v>
      </c>
      <c r="DD328" s="137">
        <f>ROUND(I328*H328,2)</f>
        <v>490.38</v>
      </c>
      <c r="DE328" s="16" t="s">
        <v>95</v>
      </c>
      <c r="DF328" s="136" t="s">
        <v>700</v>
      </c>
    </row>
    <row r="329" spans="2:110" s="1" customFormat="1" ht="19.5" x14ac:dyDescent="0.2">
      <c r="B329" s="31"/>
      <c r="D329" s="138" t="s">
        <v>289</v>
      </c>
      <c r="F329" s="139" t="s">
        <v>701</v>
      </c>
      <c r="I329" s="140"/>
      <c r="L329" s="31"/>
      <c r="N329" s="213">
        <f>0.961*12.115</f>
        <v>11.642515</v>
      </c>
      <c r="O329" s="214" t="s">
        <v>3908</v>
      </c>
      <c r="Q329" s="229"/>
      <c r="BF329" s="141"/>
      <c r="BM329" s="50"/>
      <c r="CM329" s="16" t="s">
        <v>289</v>
      </c>
      <c r="CN329" s="16" t="s">
        <v>83</v>
      </c>
    </row>
    <row r="330" spans="2:110" s="12" customFormat="1" x14ac:dyDescent="0.2">
      <c r="B330" s="149"/>
      <c r="D330" s="138" t="s">
        <v>301</v>
      </c>
      <c r="E330" s="150" t="s">
        <v>1</v>
      </c>
      <c r="F330" s="151" t="s">
        <v>1384</v>
      </c>
      <c r="H330" s="152">
        <v>11.17</v>
      </c>
      <c r="I330" s="153"/>
      <c r="L330" s="149"/>
      <c r="N330" s="310">
        <f>N329-H332</f>
        <v>-0.47248500000000071</v>
      </c>
      <c r="O330" s="218"/>
      <c r="Q330" s="231"/>
      <c r="BF330" s="154"/>
      <c r="BM330" s="155"/>
      <c r="CM330" s="150" t="s">
        <v>301</v>
      </c>
      <c r="CN330" s="150" t="s">
        <v>83</v>
      </c>
      <c r="CO330" s="12" t="s">
        <v>83</v>
      </c>
      <c r="CP330" s="12" t="s">
        <v>32</v>
      </c>
      <c r="CQ330" s="12" t="s">
        <v>74</v>
      </c>
      <c r="CR330" s="150" t="s">
        <v>282</v>
      </c>
    </row>
    <row r="331" spans="2:110" s="12" customFormat="1" x14ac:dyDescent="0.2">
      <c r="B331" s="149"/>
      <c r="D331" s="138" t="s">
        <v>301</v>
      </c>
      <c r="E331" s="150" t="s">
        <v>1</v>
      </c>
      <c r="F331" s="151" t="s">
        <v>1385</v>
      </c>
      <c r="H331" s="152">
        <v>0.94499999999999995</v>
      </c>
      <c r="I331" s="153"/>
      <c r="L331" s="149"/>
      <c r="N331" s="217"/>
      <c r="O331" s="218"/>
      <c r="Q331" s="231"/>
      <c r="BF331" s="154"/>
      <c r="BM331" s="155"/>
      <c r="CM331" s="150" t="s">
        <v>301</v>
      </c>
      <c r="CN331" s="150" t="s">
        <v>83</v>
      </c>
      <c r="CO331" s="12" t="s">
        <v>83</v>
      </c>
      <c r="CP331" s="12" t="s">
        <v>32</v>
      </c>
      <c r="CQ331" s="12" t="s">
        <v>74</v>
      </c>
      <c r="CR331" s="150" t="s">
        <v>282</v>
      </c>
    </row>
    <row r="332" spans="2:110" s="13" customFormat="1" x14ac:dyDescent="0.2">
      <c r="B332" s="156"/>
      <c r="D332" s="138" t="s">
        <v>301</v>
      </c>
      <c r="E332" s="157" t="s">
        <v>1</v>
      </c>
      <c r="F332" s="158" t="s">
        <v>305</v>
      </c>
      <c r="H332" s="159">
        <v>12.115</v>
      </c>
      <c r="I332" s="160"/>
      <c r="L332" s="156"/>
      <c r="N332" s="219"/>
      <c r="O332" s="220"/>
      <c r="Q332" s="232"/>
      <c r="BF332" s="161"/>
      <c r="BM332" s="162"/>
      <c r="CM332" s="157" t="s">
        <v>301</v>
      </c>
      <c r="CN332" s="157" t="s">
        <v>83</v>
      </c>
      <c r="CO332" s="13" t="s">
        <v>95</v>
      </c>
      <c r="CP332" s="13" t="s">
        <v>32</v>
      </c>
      <c r="CQ332" s="13" t="s">
        <v>81</v>
      </c>
      <c r="CR332" s="157" t="s">
        <v>282</v>
      </c>
    </row>
    <row r="333" spans="2:110" s="1" customFormat="1" ht="24.2" customHeight="1" x14ac:dyDescent="0.2">
      <c r="B333" s="124"/>
      <c r="C333" s="125" t="s">
        <v>556</v>
      </c>
      <c r="D333" s="125" t="s">
        <v>284</v>
      </c>
      <c r="E333" s="126" t="s">
        <v>705</v>
      </c>
      <c r="F333" s="127" t="s">
        <v>706</v>
      </c>
      <c r="G333" s="128" t="s">
        <v>418</v>
      </c>
      <c r="H333" s="129">
        <v>169.61</v>
      </c>
      <c r="I333" s="130">
        <v>3.1192340975392101</v>
      </c>
      <c r="J333" s="131">
        <f>ROUND(I333*H333,2)</f>
        <v>529.04999999999995</v>
      </c>
      <c r="K333" s="127" t="s">
        <v>293</v>
      </c>
      <c r="L333" s="268">
        <f>S333</f>
        <v>0</v>
      </c>
      <c r="M333" s="272">
        <f>ROUND(L333*I333,2)</f>
        <v>0</v>
      </c>
      <c r="N333" s="243">
        <f>N335</f>
        <v>-6.6147899999999993</v>
      </c>
      <c r="O333" s="294">
        <f>ROUND(N333*I333,2)</f>
        <v>-20.63</v>
      </c>
      <c r="P333" s="273">
        <f>H333-L333-N333</f>
        <v>176.22479000000001</v>
      </c>
      <c r="Q333" s="287">
        <f>ROUND(P333*I333,2)</f>
        <v>549.69000000000005</v>
      </c>
      <c r="R333" s="137"/>
      <c r="S333" s="269">
        <f>W333+Y333+AA333+AC333+AE333+AG333</f>
        <v>0</v>
      </c>
      <c r="T333" s="269">
        <f>ROUND(S333*I333,2)</f>
        <v>0</v>
      </c>
      <c r="U333" s="269">
        <f>H333-S333</f>
        <v>169.61</v>
      </c>
      <c r="V333" s="269">
        <f>ROUND(U333*I333,2)</f>
        <v>529.04999999999995</v>
      </c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BF333" s="132" t="s">
        <v>1</v>
      </c>
      <c r="BG333" s="133" t="s">
        <v>40</v>
      </c>
      <c r="BI333" s="134">
        <f>BH333*H333</f>
        <v>0</v>
      </c>
      <c r="BJ333" s="134">
        <v>0</v>
      </c>
      <c r="BK333" s="134">
        <f>BJ333*H333</f>
        <v>0</v>
      </c>
      <c r="BL333" s="134">
        <v>0</v>
      </c>
      <c r="BM333" s="135">
        <f>BL333*H333</f>
        <v>0</v>
      </c>
      <c r="CK333" s="136" t="s">
        <v>95</v>
      </c>
      <c r="CM333" s="136" t="s">
        <v>284</v>
      </c>
      <c r="CN333" s="136" t="s">
        <v>83</v>
      </c>
      <c r="CR333" s="16" t="s">
        <v>282</v>
      </c>
      <c r="CX333" s="137">
        <f>IF(BG333="základní",J333,0)</f>
        <v>529.04999999999995</v>
      </c>
      <c r="CY333" s="137">
        <f>IF(BG333="snížená",J333,0)</f>
        <v>0</v>
      </c>
      <c r="CZ333" s="137">
        <f>IF(BG333="zákl. přenesená",J333,0)</f>
        <v>0</v>
      </c>
      <c r="DA333" s="137">
        <f>IF(BG333="sníž. přenesená",J333,0)</f>
        <v>0</v>
      </c>
      <c r="DB333" s="137">
        <f>IF(BG333="nulová",J333,0)</f>
        <v>0</v>
      </c>
      <c r="DC333" s="16" t="s">
        <v>81</v>
      </c>
      <c r="DD333" s="137">
        <f>ROUND(I333*H333,2)</f>
        <v>529.04999999999995</v>
      </c>
      <c r="DE333" s="16" t="s">
        <v>95</v>
      </c>
      <c r="DF333" s="136" t="s">
        <v>707</v>
      </c>
    </row>
    <row r="334" spans="2:110" s="1" customFormat="1" ht="29.25" x14ac:dyDescent="0.2">
      <c r="B334" s="31"/>
      <c r="D334" s="138" t="s">
        <v>289</v>
      </c>
      <c r="F334" s="139" t="s">
        <v>708</v>
      </c>
      <c r="I334" s="140"/>
      <c r="L334" s="31"/>
      <c r="N334" s="213">
        <f>0.961*169.61</f>
        <v>162.99521000000001</v>
      </c>
      <c r="O334" s="214" t="s">
        <v>3909</v>
      </c>
      <c r="Q334" s="229"/>
      <c r="BF334" s="141"/>
      <c r="BM334" s="50"/>
      <c r="CM334" s="16" t="s">
        <v>289</v>
      </c>
      <c r="CN334" s="16" t="s">
        <v>83</v>
      </c>
    </row>
    <row r="335" spans="2:110" s="12" customFormat="1" x14ac:dyDescent="0.2">
      <c r="B335" s="149"/>
      <c r="D335" s="138" t="s">
        <v>301</v>
      </c>
      <c r="E335" s="150" t="s">
        <v>1</v>
      </c>
      <c r="F335" s="151" t="s">
        <v>1384</v>
      </c>
      <c r="H335" s="152">
        <v>11.17</v>
      </c>
      <c r="I335" s="153"/>
      <c r="L335" s="149"/>
      <c r="N335" s="310">
        <f>N334-H338</f>
        <v>-6.6147899999999993</v>
      </c>
      <c r="O335" s="218"/>
      <c r="Q335" s="231"/>
      <c r="BF335" s="154"/>
      <c r="BM335" s="155"/>
      <c r="CM335" s="150" t="s">
        <v>301</v>
      </c>
      <c r="CN335" s="150" t="s">
        <v>83</v>
      </c>
      <c r="CO335" s="12" t="s">
        <v>83</v>
      </c>
      <c r="CP335" s="12" t="s">
        <v>32</v>
      </c>
      <c r="CQ335" s="12" t="s">
        <v>74</v>
      </c>
      <c r="CR335" s="150" t="s">
        <v>282</v>
      </c>
    </row>
    <row r="336" spans="2:110" s="12" customFormat="1" x14ac:dyDescent="0.2">
      <c r="B336" s="149"/>
      <c r="D336" s="138" t="s">
        <v>301</v>
      </c>
      <c r="E336" s="150" t="s">
        <v>1</v>
      </c>
      <c r="F336" s="151" t="s">
        <v>1385</v>
      </c>
      <c r="H336" s="152">
        <v>0.94499999999999995</v>
      </c>
      <c r="I336" s="153"/>
      <c r="L336" s="149"/>
      <c r="N336" s="217"/>
      <c r="O336" s="218"/>
      <c r="Q336" s="231"/>
      <c r="BF336" s="154"/>
      <c r="BM336" s="155"/>
      <c r="CM336" s="150" t="s">
        <v>301</v>
      </c>
      <c r="CN336" s="150" t="s">
        <v>83</v>
      </c>
      <c r="CO336" s="12" t="s">
        <v>83</v>
      </c>
      <c r="CP336" s="12" t="s">
        <v>32</v>
      </c>
      <c r="CQ336" s="12" t="s">
        <v>74</v>
      </c>
      <c r="CR336" s="150" t="s">
        <v>282</v>
      </c>
    </row>
    <row r="337" spans="2:110" s="13" customFormat="1" x14ac:dyDescent="0.2">
      <c r="B337" s="156"/>
      <c r="D337" s="138" t="s">
        <v>301</v>
      </c>
      <c r="E337" s="157" t="s">
        <v>1</v>
      </c>
      <c r="F337" s="158" t="s">
        <v>305</v>
      </c>
      <c r="H337" s="159">
        <v>12.115</v>
      </c>
      <c r="I337" s="160"/>
      <c r="L337" s="156"/>
      <c r="N337" s="219"/>
      <c r="O337" s="220"/>
      <c r="Q337" s="232"/>
      <c r="BF337" s="161"/>
      <c r="BM337" s="162"/>
      <c r="CM337" s="157" t="s">
        <v>301</v>
      </c>
      <c r="CN337" s="157" t="s">
        <v>83</v>
      </c>
      <c r="CO337" s="13" t="s">
        <v>95</v>
      </c>
      <c r="CP337" s="13" t="s">
        <v>32</v>
      </c>
      <c r="CQ337" s="13" t="s">
        <v>81</v>
      </c>
      <c r="CR337" s="157" t="s">
        <v>282</v>
      </c>
    </row>
    <row r="338" spans="2:110" s="12" customFormat="1" x14ac:dyDescent="0.2">
      <c r="B338" s="149"/>
      <c r="D338" s="138" t="s">
        <v>301</v>
      </c>
      <c r="F338" s="151" t="s">
        <v>1386</v>
      </c>
      <c r="H338" s="152">
        <v>169.61</v>
      </c>
      <c r="I338" s="153"/>
      <c r="L338" s="149"/>
      <c r="N338" s="217"/>
      <c r="O338" s="218"/>
      <c r="Q338" s="231"/>
      <c r="BF338" s="154"/>
      <c r="BM338" s="155"/>
      <c r="CM338" s="150" t="s">
        <v>301</v>
      </c>
      <c r="CN338" s="150" t="s">
        <v>83</v>
      </c>
      <c r="CO338" s="12" t="s">
        <v>83</v>
      </c>
      <c r="CP338" s="12" t="s">
        <v>3</v>
      </c>
      <c r="CQ338" s="12" t="s">
        <v>81</v>
      </c>
      <c r="CR338" s="150" t="s">
        <v>282</v>
      </c>
    </row>
    <row r="339" spans="2:110" s="1" customFormat="1" ht="24.2" customHeight="1" x14ac:dyDescent="0.2">
      <c r="B339" s="124"/>
      <c r="C339" s="125" t="s">
        <v>562</v>
      </c>
      <c r="D339" s="125" t="s">
        <v>284</v>
      </c>
      <c r="E339" s="126" t="s">
        <v>711</v>
      </c>
      <c r="F339" s="127" t="s">
        <v>712</v>
      </c>
      <c r="G339" s="128" t="s">
        <v>418</v>
      </c>
      <c r="H339" s="129">
        <v>12.115</v>
      </c>
      <c r="I339" s="130">
        <v>155.98322812074767</v>
      </c>
      <c r="J339" s="131">
        <f>ROUND(I339*H339,2)</f>
        <v>1889.74</v>
      </c>
      <c r="K339" s="127" t="s">
        <v>293</v>
      </c>
      <c r="L339" s="268">
        <f>S339</f>
        <v>0</v>
      </c>
      <c r="M339" s="272">
        <f>ROUND(L339*I339,2)</f>
        <v>0</v>
      </c>
      <c r="N339" s="243">
        <f>N328</f>
        <v>-0.47248500000000071</v>
      </c>
      <c r="O339" s="294">
        <f>ROUND(N339*I339,2)</f>
        <v>-73.7</v>
      </c>
      <c r="P339" s="273">
        <f>H339-L339-N339</f>
        <v>12.587485000000001</v>
      </c>
      <c r="Q339" s="287">
        <f>ROUND(P339*I339,2)</f>
        <v>1963.44</v>
      </c>
      <c r="R339" s="137"/>
      <c r="S339" s="269">
        <f>W339+Y339+AA339+AC339+AE339+AG339</f>
        <v>0</v>
      </c>
      <c r="T339" s="269">
        <f>ROUND(S339*I339,2)</f>
        <v>0</v>
      </c>
      <c r="U339" s="269">
        <f>H339-S339</f>
        <v>12.115</v>
      </c>
      <c r="V339" s="269">
        <f>ROUND(U339*I339,2)</f>
        <v>1889.74</v>
      </c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BF339" s="132" t="s">
        <v>1</v>
      </c>
      <c r="BG339" s="133" t="s">
        <v>40</v>
      </c>
      <c r="BI339" s="134">
        <f>BH339*H339</f>
        <v>0</v>
      </c>
      <c r="BJ339" s="134">
        <v>0</v>
      </c>
      <c r="BK339" s="134">
        <f>BJ339*H339</f>
        <v>0</v>
      </c>
      <c r="BL339" s="134">
        <v>0</v>
      </c>
      <c r="BM339" s="135">
        <f>BL339*H339</f>
        <v>0</v>
      </c>
      <c r="CK339" s="136" t="s">
        <v>95</v>
      </c>
      <c r="CM339" s="136" t="s">
        <v>284</v>
      </c>
      <c r="CN339" s="136" t="s">
        <v>83</v>
      </c>
      <c r="CR339" s="16" t="s">
        <v>282</v>
      </c>
      <c r="CX339" s="137">
        <f>IF(BG339="základní",J339,0)</f>
        <v>1889.74</v>
      </c>
      <c r="CY339" s="137">
        <f>IF(BG339="snížená",J339,0)</f>
        <v>0</v>
      </c>
      <c r="CZ339" s="137">
        <f>IF(BG339="zákl. přenesená",J339,0)</f>
        <v>0</v>
      </c>
      <c r="DA339" s="137">
        <f>IF(BG339="sníž. přenesená",J339,0)</f>
        <v>0</v>
      </c>
      <c r="DB339" s="137">
        <f>IF(BG339="nulová",J339,0)</f>
        <v>0</v>
      </c>
      <c r="DC339" s="16" t="s">
        <v>81</v>
      </c>
      <c r="DD339" s="137">
        <f>ROUND(I339*H339,2)</f>
        <v>1889.74</v>
      </c>
      <c r="DE339" s="16" t="s">
        <v>95</v>
      </c>
      <c r="DF339" s="136" t="s">
        <v>713</v>
      </c>
    </row>
    <row r="340" spans="2:110" s="1" customFormat="1" x14ac:dyDescent="0.2">
      <c r="B340" s="31"/>
      <c r="D340" s="138" t="s">
        <v>289</v>
      </c>
      <c r="F340" s="139" t="s">
        <v>714</v>
      </c>
      <c r="I340" s="140"/>
      <c r="L340" s="31"/>
      <c r="N340" s="213"/>
      <c r="O340" s="214"/>
      <c r="Q340" s="229"/>
      <c r="BF340" s="141"/>
      <c r="BM340" s="50"/>
      <c r="CM340" s="16" t="s">
        <v>289</v>
      </c>
      <c r="CN340" s="16" t="s">
        <v>83</v>
      </c>
    </row>
    <row r="341" spans="2:110" s="1" customFormat="1" ht="37.9" customHeight="1" x14ac:dyDescent="0.2">
      <c r="B341" s="124"/>
      <c r="C341" s="125" t="s">
        <v>568</v>
      </c>
      <c r="D341" s="125" t="s">
        <v>284</v>
      </c>
      <c r="E341" s="126" t="s">
        <v>716</v>
      </c>
      <c r="F341" s="127" t="s">
        <v>420</v>
      </c>
      <c r="G341" s="128" t="s">
        <v>418</v>
      </c>
      <c r="H341" s="129">
        <v>11.17</v>
      </c>
      <c r="I341" s="130">
        <v>110.6455721</v>
      </c>
      <c r="J341" s="131">
        <f>ROUND(I341*H341,2)</f>
        <v>1235.9100000000001</v>
      </c>
      <c r="K341" s="127" t="s">
        <v>293</v>
      </c>
      <c r="L341" s="268">
        <f>S341</f>
        <v>0</v>
      </c>
      <c r="M341" s="272">
        <f>ROUND(L341*I341,2)</f>
        <v>0</v>
      </c>
      <c r="N341" s="243">
        <f>N343</f>
        <v>-0.43562999999999974</v>
      </c>
      <c r="O341" s="294">
        <f>ROUND(N341*I341,2)</f>
        <v>-48.2</v>
      </c>
      <c r="P341" s="273">
        <f>H341-L341-N341</f>
        <v>11.60563</v>
      </c>
      <c r="Q341" s="287">
        <f>ROUND(P341*I341,2)</f>
        <v>1284.1099999999999</v>
      </c>
      <c r="R341" s="137"/>
      <c r="S341" s="269">
        <f>W341+Y341+AA341+AC341+AE341+AG341</f>
        <v>0</v>
      </c>
      <c r="T341" s="269">
        <f>ROUND(S341*I341,2)</f>
        <v>0</v>
      </c>
      <c r="U341" s="269">
        <f>H341-S341</f>
        <v>11.17</v>
      </c>
      <c r="V341" s="269">
        <f>ROUND(U341*I341,2)</f>
        <v>1235.9100000000001</v>
      </c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BF341" s="132" t="s">
        <v>1</v>
      </c>
      <c r="BG341" s="133" t="s">
        <v>40</v>
      </c>
      <c r="BI341" s="134">
        <f>BH341*H341</f>
        <v>0</v>
      </c>
      <c r="BJ341" s="134">
        <v>0</v>
      </c>
      <c r="BK341" s="134">
        <f>BJ341*H341</f>
        <v>0</v>
      </c>
      <c r="BL341" s="134">
        <v>0</v>
      </c>
      <c r="BM341" s="135">
        <f>BL341*H341</f>
        <v>0</v>
      </c>
      <c r="CK341" s="136" t="s">
        <v>95</v>
      </c>
      <c r="CM341" s="136" t="s">
        <v>284</v>
      </c>
      <c r="CN341" s="136" t="s">
        <v>83</v>
      </c>
      <c r="CR341" s="16" t="s">
        <v>282</v>
      </c>
      <c r="CX341" s="137">
        <f>IF(BG341="základní",J341,0)</f>
        <v>1235.9100000000001</v>
      </c>
      <c r="CY341" s="137">
        <f>IF(BG341="snížená",J341,0)</f>
        <v>0</v>
      </c>
      <c r="CZ341" s="137">
        <f>IF(BG341="zákl. přenesená",J341,0)</f>
        <v>0</v>
      </c>
      <c r="DA341" s="137">
        <f>IF(BG341="sníž. přenesená",J341,0)</f>
        <v>0</v>
      </c>
      <c r="DB341" s="137">
        <f>IF(BG341="nulová",J341,0)</f>
        <v>0</v>
      </c>
      <c r="DC341" s="16" t="s">
        <v>81</v>
      </c>
      <c r="DD341" s="137">
        <f>ROUND(I341*H341,2)</f>
        <v>1235.9100000000001</v>
      </c>
      <c r="DE341" s="16" t="s">
        <v>95</v>
      </c>
      <c r="DF341" s="136" t="s">
        <v>717</v>
      </c>
    </row>
    <row r="342" spans="2:110" s="1" customFormat="1" ht="29.25" x14ac:dyDescent="0.2">
      <c r="B342" s="31"/>
      <c r="D342" s="138" t="s">
        <v>289</v>
      </c>
      <c r="F342" s="139" t="s">
        <v>420</v>
      </c>
      <c r="I342" s="140"/>
      <c r="L342" s="31"/>
      <c r="N342" s="213">
        <f>0.961*11.17</f>
        <v>10.73437</v>
      </c>
      <c r="O342" s="214" t="s">
        <v>3910</v>
      </c>
      <c r="Q342" s="229"/>
      <c r="BF342" s="141"/>
      <c r="BM342" s="50"/>
      <c r="CM342" s="16" t="s">
        <v>289</v>
      </c>
      <c r="CN342" s="16" t="s">
        <v>83</v>
      </c>
    </row>
    <row r="343" spans="2:110" s="12" customFormat="1" x14ac:dyDescent="0.2">
      <c r="B343" s="149"/>
      <c r="D343" s="138" t="s">
        <v>301</v>
      </c>
      <c r="E343" s="150" t="s">
        <v>1</v>
      </c>
      <c r="F343" s="151" t="s">
        <v>1384</v>
      </c>
      <c r="H343" s="152">
        <v>11.17</v>
      </c>
      <c r="I343" s="153"/>
      <c r="L343" s="149"/>
      <c r="N343" s="310">
        <f>N342-H343</f>
        <v>-0.43562999999999974</v>
      </c>
      <c r="O343" s="218"/>
      <c r="Q343" s="231"/>
      <c r="BF343" s="154"/>
      <c r="BM343" s="155"/>
      <c r="CM343" s="150" t="s">
        <v>301</v>
      </c>
      <c r="CN343" s="150" t="s">
        <v>83</v>
      </c>
      <c r="CO343" s="12" t="s">
        <v>83</v>
      </c>
      <c r="CP343" s="12" t="s">
        <v>32</v>
      </c>
      <c r="CQ343" s="12" t="s">
        <v>81</v>
      </c>
      <c r="CR343" s="150" t="s">
        <v>282</v>
      </c>
    </row>
    <row r="344" spans="2:110" s="1" customFormat="1" ht="37.9" customHeight="1" x14ac:dyDescent="0.2">
      <c r="B344" s="124"/>
      <c r="C344" s="125" t="s">
        <v>572</v>
      </c>
      <c r="D344" s="125" t="s">
        <v>284</v>
      </c>
      <c r="E344" s="126" t="s">
        <v>719</v>
      </c>
      <c r="F344" s="127" t="s">
        <v>720</v>
      </c>
      <c r="G344" s="128" t="s">
        <v>418</v>
      </c>
      <c r="H344" s="129">
        <v>0.94499999999999995</v>
      </c>
      <c r="I344" s="130">
        <v>250.3439285</v>
      </c>
      <c r="J344" s="131">
        <f>ROUND(I344*H344,2)</f>
        <v>236.58</v>
      </c>
      <c r="K344" s="127" t="s">
        <v>293</v>
      </c>
      <c r="L344" s="268">
        <f>S344</f>
        <v>0</v>
      </c>
      <c r="M344" s="272">
        <f>ROUND(L344*I344,2)</f>
        <v>0</v>
      </c>
      <c r="N344" s="243">
        <f>N346</f>
        <v>-3.6855000000000082E-2</v>
      </c>
      <c r="O344" s="294">
        <f>ROUND(N344*I344,2)</f>
        <v>-9.23</v>
      </c>
      <c r="P344" s="273">
        <f>H344-L344-N344</f>
        <v>0.98185500000000003</v>
      </c>
      <c r="Q344" s="287">
        <f>ROUND(P344*I344,2)</f>
        <v>245.8</v>
      </c>
      <c r="R344" s="137"/>
      <c r="S344" s="269">
        <f>W344+Y344+AA344+AC344+AE344+AG344</f>
        <v>0</v>
      </c>
      <c r="T344" s="269">
        <f>ROUND(S344*I344,2)</f>
        <v>0</v>
      </c>
      <c r="U344" s="269">
        <f>H344-S344</f>
        <v>0.94499999999999995</v>
      </c>
      <c r="V344" s="269">
        <f>ROUND(U344*I344,2)</f>
        <v>236.58</v>
      </c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BF344" s="132" t="s">
        <v>1</v>
      </c>
      <c r="BG344" s="133" t="s">
        <v>40</v>
      </c>
      <c r="BI344" s="134">
        <f>BH344*H344</f>
        <v>0</v>
      </c>
      <c r="BJ344" s="134">
        <v>0</v>
      </c>
      <c r="BK344" s="134">
        <f>BJ344*H344</f>
        <v>0</v>
      </c>
      <c r="BL344" s="134">
        <v>0</v>
      </c>
      <c r="BM344" s="135">
        <f>BL344*H344</f>
        <v>0</v>
      </c>
      <c r="CK344" s="136" t="s">
        <v>95</v>
      </c>
      <c r="CM344" s="136" t="s">
        <v>284</v>
      </c>
      <c r="CN344" s="136" t="s">
        <v>83</v>
      </c>
      <c r="CR344" s="16" t="s">
        <v>282</v>
      </c>
      <c r="CX344" s="137">
        <f>IF(BG344="základní",J344,0)</f>
        <v>236.58</v>
      </c>
      <c r="CY344" s="137">
        <f>IF(BG344="snížená",J344,0)</f>
        <v>0</v>
      </c>
      <c r="CZ344" s="137">
        <f>IF(BG344="zákl. přenesená",J344,0)</f>
        <v>0</v>
      </c>
      <c r="DA344" s="137">
        <f>IF(BG344="sníž. přenesená",J344,0)</f>
        <v>0</v>
      </c>
      <c r="DB344" s="137">
        <f>IF(BG344="nulová",J344,0)</f>
        <v>0</v>
      </c>
      <c r="DC344" s="16" t="s">
        <v>81</v>
      </c>
      <c r="DD344" s="137">
        <f>ROUND(I344*H344,2)</f>
        <v>236.58</v>
      </c>
      <c r="DE344" s="16" t="s">
        <v>95</v>
      </c>
      <c r="DF344" s="136" t="s">
        <v>721</v>
      </c>
    </row>
    <row r="345" spans="2:110" s="1" customFormat="1" ht="29.25" x14ac:dyDescent="0.2">
      <c r="B345" s="31"/>
      <c r="D345" s="138" t="s">
        <v>289</v>
      </c>
      <c r="F345" s="139" t="s">
        <v>720</v>
      </c>
      <c r="I345" s="140"/>
      <c r="L345" s="31"/>
      <c r="N345" s="213">
        <f>0.961*0.945</f>
        <v>0.90814499999999987</v>
      </c>
      <c r="O345" s="214" t="s">
        <v>3911</v>
      </c>
      <c r="Q345" s="229"/>
      <c r="BF345" s="141"/>
      <c r="BM345" s="50"/>
      <c r="CM345" s="16" t="s">
        <v>289</v>
      </c>
      <c r="CN345" s="16" t="s">
        <v>83</v>
      </c>
    </row>
    <row r="346" spans="2:110" s="12" customFormat="1" x14ac:dyDescent="0.2">
      <c r="B346" s="149"/>
      <c r="D346" s="138" t="s">
        <v>301</v>
      </c>
      <c r="E346" s="150" t="s">
        <v>1</v>
      </c>
      <c r="F346" s="151" t="s">
        <v>1385</v>
      </c>
      <c r="H346" s="152">
        <v>0.94499999999999995</v>
      </c>
      <c r="I346" s="153"/>
      <c r="L346" s="149"/>
      <c r="N346" s="310">
        <f>N345-H346</f>
        <v>-3.6855000000000082E-2</v>
      </c>
      <c r="O346" s="218"/>
      <c r="Q346" s="231"/>
      <c r="BF346" s="154"/>
      <c r="BM346" s="155"/>
      <c r="CM346" s="150" t="s">
        <v>301</v>
      </c>
      <c r="CN346" s="150" t="s">
        <v>83</v>
      </c>
      <c r="CO346" s="12" t="s">
        <v>83</v>
      </c>
      <c r="CP346" s="12" t="s">
        <v>32</v>
      </c>
      <c r="CQ346" s="12" t="s">
        <v>81</v>
      </c>
      <c r="CR346" s="150" t="s">
        <v>282</v>
      </c>
    </row>
    <row r="347" spans="2:110" s="10" customFormat="1" ht="22.9" customHeight="1" x14ac:dyDescent="0.2">
      <c r="B347" s="112"/>
      <c r="D347" s="113" t="s">
        <v>73</v>
      </c>
      <c r="E347" s="122" t="s">
        <v>722</v>
      </c>
      <c r="F347" s="122" t="s">
        <v>723</v>
      </c>
      <c r="I347" s="115"/>
      <c r="J347" s="123">
        <f>DD347</f>
        <v>2408.5300000000002</v>
      </c>
      <c r="L347" s="112"/>
      <c r="M347" s="270">
        <f>M348</f>
        <v>0</v>
      </c>
      <c r="N347" s="301"/>
      <c r="O347" s="302">
        <f t="shared" ref="O347:V347" si="8">O348</f>
        <v>-93.93</v>
      </c>
      <c r="P347" s="270"/>
      <c r="Q347" s="288">
        <f t="shared" si="8"/>
        <v>2502.46</v>
      </c>
      <c r="R347" s="270"/>
      <c r="S347" s="270"/>
      <c r="T347" s="270">
        <f t="shared" si="8"/>
        <v>0</v>
      </c>
      <c r="U347" s="270"/>
      <c r="V347" s="270">
        <f t="shared" si="8"/>
        <v>2408.5300000000002</v>
      </c>
      <c r="BF347" s="117"/>
      <c r="BI347" s="118">
        <f>SUM(BI348:BI351)</f>
        <v>0</v>
      </c>
      <c r="BK347" s="118">
        <f>SUM(BK348:BK351)</f>
        <v>0</v>
      </c>
      <c r="BM347" s="119">
        <f>SUM(BM348:BM351)</f>
        <v>0</v>
      </c>
      <c r="CK347" s="113" t="s">
        <v>81</v>
      </c>
      <c r="CM347" s="120" t="s">
        <v>73</v>
      </c>
      <c r="CN347" s="120" t="s">
        <v>81</v>
      </c>
      <c r="CR347" s="113" t="s">
        <v>282</v>
      </c>
      <c r="DD347" s="121">
        <f>SUM(DD348:DD351)</f>
        <v>2408.5300000000002</v>
      </c>
    </row>
    <row r="348" spans="2:110" s="1" customFormat="1" ht="24.2" customHeight="1" x14ac:dyDescent="0.2">
      <c r="B348" s="124"/>
      <c r="C348" s="125" t="s">
        <v>576</v>
      </c>
      <c r="D348" s="125" t="s">
        <v>284</v>
      </c>
      <c r="E348" s="126" t="s">
        <v>725</v>
      </c>
      <c r="F348" s="127" t="s">
        <v>726</v>
      </c>
      <c r="G348" s="128" t="s">
        <v>418</v>
      </c>
      <c r="H348" s="129">
        <v>2.6619999999999999</v>
      </c>
      <c r="I348" s="130">
        <v>904.78117744148574</v>
      </c>
      <c r="J348" s="131">
        <f>ROUND(I348*H348,2)</f>
        <v>2408.5300000000002</v>
      </c>
      <c r="K348" s="127" t="s">
        <v>293</v>
      </c>
      <c r="L348" s="268">
        <f>S348</f>
        <v>0</v>
      </c>
      <c r="M348" s="272">
        <f>ROUND(L348*I348,2)</f>
        <v>0</v>
      </c>
      <c r="N348" s="243">
        <f>N350</f>
        <v>-0.10381799999999997</v>
      </c>
      <c r="O348" s="294">
        <f>ROUND(N348*I348,2)</f>
        <v>-93.93</v>
      </c>
      <c r="P348" s="273">
        <f>H348-L348-N348</f>
        <v>2.7658179999999999</v>
      </c>
      <c r="Q348" s="287">
        <f>ROUND(P348*I348,2)</f>
        <v>2502.46</v>
      </c>
      <c r="R348" s="137"/>
      <c r="S348" s="269">
        <f>W348+Y348+AA348+AC348+AE348+AG348</f>
        <v>0</v>
      </c>
      <c r="T348" s="269">
        <f>ROUND(S348*I348,2)</f>
        <v>0</v>
      </c>
      <c r="U348" s="269">
        <f>H348-S348</f>
        <v>2.6619999999999999</v>
      </c>
      <c r="V348" s="269">
        <f>ROUND(U348*I348,2)</f>
        <v>2408.5300000000002</v>
      </c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BF348" s="132" t="s">
        <v>1</v>
      </c>
      <c r="BG348" s="133" t="s">
        <v>40</v>
      </c>
      <c r="BI348" s="134">
        <f>BH348*H348</f>
        <v>0</v>
      </c>
      <c r="BJ348" s="134">
        <v>0</v>
      </c>
      <c r="BK348" s="134">
        <f>BJ348*H348</f>
        <v>0</v>
      </c>
      <c r="BL348" s="134">
        <v>0</v>
      </c>
      <c r="BM348" s="135">
        <f>BL348*H348</f>
        <v>0</v>
      </c>
      <c r="CK348" s="136" t="s">
        <v>95</v>
      </c>
      <c r="CM348" s="136" t="s">
        <v>284</v>
      </c>
      <c r="CN348" s="136" t="s">
        <v>83</v>
      </c>
      <c r="CR348" s="16" t="s">
        <v>282</v>
      </c>
      <c r="CX348" s="137">
        <f>IF(BG348="základní",J348,0)</f>
        <v>2408.5300000000002</v>
      </c>
      <c r="CY348" s="137">
        <f>IF(BG348="snížená",J348,0)</f>
        <v>0</v>
      </c>
      <c r="CZ348" s="137">
        <f>IF(BG348="zákl. přenesená",J348,0)</f>
        <v>0</v>
      </c>
      <c r="DA348" s="137">
        <f>IF(BG348="sníž. přenesená",J348,0)</f>
        <v>0</v>
      </c>
      <c r="DB348" s="137">
        <f>IF(BG348="nulová",J348,0)</f>
        <v>0</v>
      </c>
      <c r="DC348" s="16" t="s">
        <v>81</v>
      </c>
      <c r="DD348" s="137">
        <f>ROUND(I348*H348,2)</f>
        <v>2408.5300000000002</v>
      </c>
      <c r="DE348" s="16" t="s">
        <v>95</v>
      </c>
      <c r="DF348" s="136" t="s">
        <v>1044</v>
      </c>
    </row>
    <row r="349" spans="2:110" s="1" customFormat="1" ht="29.25" x14ac:dyDescent="0.2">
      <c r="B349" s="31"/>
      <c r="D349" s="138" t="s">
        <v>289</v>
      </c>
      <c r="F349" s="139" t="s">
        <v>728</v>
      </c>
      <c r="I349" s="140"/>
      <c r="L349" s="31"/>
      <c r="N349" s="213">
        <f>0.961*2.662</f>
        <v>2.558182</v>
      </c>
      <c r="O349" s="214" t="s">
        <v>3912</v>
      </c>
      <c r="Q349" s="229"/>
      <c r="BF349" s="141"/>
      <c r="BM349" s="50"/>
      <c r="CM349" s="16" t="s">
        <v>289</v>
      </c>
      <c r="CN349" s="16" t="s">
        <v>83</v>
      </c>
    </row>
    <row r="350" spans="2:110" s="11" customFormat="1" x14ac:dyDescent="0.2">
      <c r="B350" s="143"/>
      <c r="D350" s="138" t="s">
        <v>301</v>
      </c>
      <c r="E350" s="144" t="s">
        <v>1</v>
      </c>
      <c r="F350" s="145" t="s">
        <v>729</v>
      </c>
      <c r="H350" s="144" t="s">
        <v>1</v>
      </c>
      <c r="I350" s="146"/>
      <c r="L350" s="143"/>
      <c r="N350" s="319">
        <f>N349-H351</f>
        <v>-0.10381799999999997</v>
      </c>
      <c r="O350" s="216"/>
      <c r="Q350" s="230"/>
      <c r="BF350" s="147"/>
      <c r="BM350" s="148"/>
      <c r="CM350" s="144" t="s">
        <v>301</v>
      </c>
      <c r="CN350" s="144" t="s">
        <v>83</v>
      </c>
      <c r="CO350" s="11" t="s">
        <v>81</v>
      </c>
      <c r="CP350" s="11" t="s">
        <v>32</v>
      </c>
      <c r="CQ350" s="11" t="s">
        <v>74</v>
      </c>
      <c r="CR350" s="144" t="s">
        <v>282</v>
      </c>
    </row>
    <row r="351" spans="2:110" s="12" customFormat="1" x14ac:dyDescent="0.2">
      <c r="B351" s="149"/>
      <c r="D351" s="138" t="s">
        <v>301</v>
      </c>
      <c r="E351" s="150" t="s">
        <v>1</v>
      </c>
      <c r="F351" s="151" t="s">
        <v>1387</v>
      </c>
      <c r="H351" s="152">
        <v>2.6619999999999999</v>
      </c>
      <c r="I351" s="153"/>
      <c r="L351" s="149"/>
      <c r="N351" s="217"/>
      <c r="O351" s="218"/>
      <c r="Q351" s="231"/>
      <c r="BF351" s="179"/>
      <c r="BG351" s="180"/>
      <c r="BH351" s="180"/>
      <c r="BI351" s="180"/>
      <c r="BJ351" s="180"/>
      <c r="BK351" s="180"/>
      <c r="BL351" s="180"/>
      <c r="BM351" s="181"/>
      <c r="CM351" s="150" t="s">
        <v>301</v>
      </c>
      <c r="CN351" s="150" t="s">
        <v>83</v>
      </c>
      <c r="CO351" s="12" t="s">
        <v>83</v>
      </c>
      <c r="CP351" s="12" t="s">
        <v>32</v>
      </c>
      <c r="CQ351" s="12" t="s">
        <v>81</v>
      </c>
      <c r="CR351" s="150" t="s">
        <v>282</v>
      </c>
    </row>
    <row r="352" spans="2:110" s="1" customFormat="1" ht="6.95" customHeight="1" thickBot="1" x14ac:dyDescent="0.25"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268"/>
      <c r="M352" s="272"/>
      <c r="N352" s="304"/>
      <c r="O352" s="305"/>
      <c r="P352" s="273"/>
      <c r="Q352" s="287"/>
      <c r="R352" s="137"/>
      <c r="S352" s="269"/>
      <c r="T352" s="269"/>
      <c r="U352" s="269"/>
      <c r="V352" s="269"/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AG352" s="269"/>
      <c r="AH352" s="269"/>
    </row>
  </sheetData>
  <autoFilter ref="C120:K351"/>
  <mergeCells count="25">
    <mergeCell ref="Y121:Z121"/>
    <mergeCell ref="AA121:AB121"/>
    <mergeCell ref="AC121:AD121"/>
    <mergeCell ref="AE121:AF121"/>
    <mergeCell ref="AG121:AH121"/>
    <mergeCell ref="U121:V121"/>
    <mergeCell ref="W121:X121"/>
    <mergeCell ref="L120:Q120"/>
    <mergeCell ref="L121:M121"/>
    <mergeCell ref="N121:O121"/>
    <mergeCell ref="P121:Q121"/>
    <mergeCell ref="S121:T121"/>
    <mergeCell ref="G119:K119"/>
    <mergeCell ref="E116:H116"/>
    <mergeCell ref="L2:BO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354"/>
  <sheetViews>
    <sheetView windowProtection="1" showGridLines="0" topLeftCell="C325" zoomScale="80" zoomScaleNormal="80" workbookViewId="0">
      <selection activeCell="P325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4" width="12.6640625" customWidth="1"/>
    <col min="15" max="15" width="17.83203125" customWidth="1"/>
    <col min="16" max="16" width="12.6640625" hidden="1" customWidth="1"/>
    <col min="17" max="17" width="16.1640625" hidden="1" customWidth="1"/>
    <col min="18" max="19" width="12.6640625" customWidth="1"/>
    <col min="20" max="20" width="14.83203125" customWidth="1"/>
    <col min="21" max="75" width="12.6640625" customWidth="1"/>
    <col min="76" max="76" width="10.83203125" customWidth="1"/>
    <col min="78" max="83" width="14.1640625" customWidth="1"/>
    <col min="84" max="84" width="16.33203125" customWidth="1"/>
    <col min="85" max="85" width="12.33203125" customWidth="1"/>
    <col min="86" max="86" width="16.33203125" customWidth="1"/>
    <col min="87" max="87" width="12.33203125" customWidth="1"/>
    <col min="88" max="88" width="15" customWidth="1"/>
    <col min="89" max="89" width="11" customWidth="1"/>
    <col min="90" max="90" width="15" customWidth="1"/>
    <col min="91" max="91" width="16.33203125" customWidth="1"/>
    <col min="92" max="92" width="11" customWidth="1"/>
    <col min="93" max="93" width="15" customWidth="1"/>
    <col min="94" max="94" width="16.33203125" customWidth="1"/>
    <col min="107" max="128" width="9.33203125" hidden="1"/>
  </cols>
  <sheetData>
    <row r="1" spans="2:109" hidden="1" x14ac:dyDescent="0.2"/>
    <row r="2" spans="2:109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DE2" s="16" t="s">
        <v>131</v>
      </c>
    </row>
    <row r="3" spans="2:109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E3" s="16" t="s">
        <v>83</v>
      </c>
    </row>
    <row r="4" spans="2:109" ht="24.95" hidden="1" customHeight="1" x14ac:dyDescent="0.2">
      <c r="B4" s="19"/>
      <c r="D4" s="20" t="s">
        <v>243</v>
      </c>
      <c r="L4" s="19"/>
      <c r="BX4" s="79" t="s">
        <v>10</v>
      </c>
      <c r="DE4" s="16" t="s">
        <v>3</v>
      </c>
    </row>
    <row r="5" spans="2:109" ht="6.95" hidden="1" customHeight="1" x14ac:dyDescent="0.2">
      <c r="B5" s="19"/>
      <c r="L5" s="19"/>
    </row>
    <row r="6" spans="2:109" ht="12" hidden="1" customHeight="1" x14ac:dyDescent="0.2">
      <c r="B6" s="19"/>
      <c r="D6" s="26" t="s">
        <v>16</v>
      </c>
      <c r="L6" s="19"/>
    </row>
    <row r="7" spans="2:109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09" ht="12.75" hidden="1" x14ac:dyDescent="0.2">
      <c r="B8" s="19"/>
      <c r="D8" s="26" t="s">
        <v>244</v>
      </c>
      <c r="L8" s="19"/>
    </row>
    <row r="9" spans="2:109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09" ht="12" hidden="1" customHeight="1" x14ac:dyDescent="0.2">
      <c r="B10" s="19"/>
      <c r="D10" s="26" t="s">
        <v>246</v>
      </c>
      <c r="L10" s="19"/>
    </row>
    <row r="11" spans="2:109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09" s="1" customFormat="1" ht="12" hidden="1" customHeight="1" x14ac:dyDescent="0.2">
      <c r="B12" s="31"/>
      <c r="D12" s="26" t="s">
        <v>248</v>
      </c>
      <c r="L12" s="31"/>
    </row>
    <row r="13" spans="2:109" s="1" customFormat="1" ht="16.5" hidden="1" customHeight="1" x14ac:dyDescent="0.2">
      <c r="B13" s="31"/>
      <c r="E13" s="432" t="s">
        <v>1388</v>
      </c>
      <c r="F13" s="433"/>
      <c r="G13" s="433"/>
      <c r="H13" s="433"/>
      <c r="L13" s="31"/>
    </row>
    <row r="14" spans="2:109" s="1" customFormat="1" hidden="1" x14ac:dyDescent="0.2">
      <c r="B14" s="31"/>
      <c r="L14" s="31"/>
    </row>
    <row r="15" spans="2:109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09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140170.68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ROUND((SUM(DP121:DP353)),  2)</f>
        <v>140170.68</v>
      </c>
      <c r="I37" s="84">
        <v>0.21</v>
      </c>
      <c r="J37" s="71">
        <f>ROUND(((SUM(DP121:DP353))*I37),  2)</f>
        <v>29435.84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ROUND((SUM(DQ121:DQ353)),  2)</f>
        <v>0</v>
      </c>
      <c r="I38" s="84">
        <v>0.15</v>
      </c>
      <c r="J38" s="71">
        <f>ROUND(((SUM(DQ121:DQ353))*I38),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ROUND((SUM(DR121:DR353)),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ROUND((SUM(DS121:DS353)),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ROUND((SUM(DT121:DT353)),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169606.52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00007 - DSO 01.1.1g Kanalizační odbočení Stoky A4b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0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0" s="1" customFormat="1" ht="10.35" hidden="1" customHeight="1" x14ac:dyDescent="0.2">
      <c r="B98" s="31"/>
      <c r="L98" s="31"/>
    </row>
    <row r="99" spans="2:110" s="1" customFormat="1" ht="22.9" hidden="1" customHeight="1" x14ac:dyDescent="0.2">
      <c r="B99" s="31"/>
      <c r="C99" s="95" t="s">
        <v>256</v>
      </c>
      <c r="J99" s="58">
        <f>J121</f>
        <v>140170.68</v>
      </c>
      <c r="L99" s="31"/>
      <c r="DF99" s="16" t="s">
        <v>257</v>
      </c>
    </row>
    <row r="100" spans="2:110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140170.68</v>
      </c>
      <c r="L100" s="96"/>
    </row>
    <row r="101" spans="2:110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63187.039999999994</v>
      </c>
      <c r="L101" s="100"/>
    </row>
    <row r="102" spans="2:110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J254</f>
        <v>3300.85</v>
      </c>
      <c r="L102" s="100"/>
    </row>
    <row r="103" spans="2:110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J259</f>
        <v>3138.31</v>
      </c>
      <c r="L103" s="100"/>
    </row>
    <row r="104" spans="2:110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J277</f>
        <v>8265.6200000000008</v>
      </c>
      <c r="L104" s="100"/>
    </row>
    <row r="105" spans="2:110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J289</f>
        <v>53100.53</v>
      </c>
      <c r="L105" s="100"/>
    </row>
    <row r="106" spans="2:110" s="8" customFormat="1" ht="19.899999999999999" hidden="1" customHeight="1" x14ac:dyDescent="0.2">
      <c r="B106" s="100"/>
      <c r="D106" s="101" t="s">
        <v>265</v>
      </c>
      <c r="E106" s="102"/>
      <c r="F106" s="102"/>
      <c r="G106" s="102"/>
      <c r="H106" s="102"/>
      <c r="I106" s="102"/>
      <c r="J106" s="103">
        <f>J329</f>
        <v>6307.46</v>
      </c>
      <c r="L106" s="100"/>
    </row>
    <row r="107" spans="2:110" s="8" customFormat="1" ht="19.899999999999999" hidden="1" customHeight="1" x14ac:dyDescent="0.2">
      <c r="B107" s="100"/>
      <c r="D107" s="101" t="s">
        <v>266</v>
      </c>
      <c r="E107" s="102"/>
      <c r="F107" s="102"/>
      <c r="G107" s="102"/>
      <c r="H107" s="102"/>
      <c r="I107" s="102"/>
      <c r="J107" s="103">
        <f>J349</f>
        <v>2870.87</v>
      </c>
      <c r="L107" s="100"/>
    </row>
    <row r="108" spans="2:110" s="1" customFormat="1" ht="21.75" hidden="1" customHeight="1" x14ac:dyDescent="0.2">
      <c r="B108" s="31"/>
      <c r="L108" s="31"/>
    </row>
    <row r="109" spans="2:110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0" spans="2:110" hidden="1" x14ac:dyDescent="0.2"/>
    <row r="111" spans="2:110" hidden="1" x14ac:dyDescent="0.2"/>
    <row r="113" spans="2:128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128" s="1" customFormat="1" ht="24.95" customHeight="1" x14ac:dyDescent="0.2">
      <c r="B114" s="31"/>
      <c r="C114" s="20" t="s">
        <v>267</v>
      </c>
      <c r="L114" s="31"/>
    </row>
    <row r="115" spans="2:128" s="1" customFormat="1" ht="6.95" customHeight="1" x14ac:dyDescent="0.2">
      <c r="B115" s="31"/>
      <c r="L115" s="31"/>
    </row>
    <row r="116" spans="2:128" s="1" customFormat="1" ht="16.5" customHeight="1" x14ac:dyDescent="0.2">
      <c r="B116" s="31"/>
      <c r="E116" s="432" t="str">
        <f>E13</f>
        <v>00007 - DSO 01.1.1g Kanalizační odbočení Stoky A4b</v>
      </c>
      <c r="F116" s="433"/>
      <c r="G116" s="433"/>
      <c r="H116" s="433"/>
      <c r="L116" s="31"/>
    </row>
    <row r="117" spans="2:128" s="1" customFormat="1" ht="6.95" customHeight="1" x14ac:dyDescent="0.2">
      <c r="B117" s="31"/>
      <c r="L117" s="31"/>
    </row>
    <row r="118" spans="2:128" s="1" customFormat="1" ht="15.2" customHeight="1" x14ac:dyDescent="0.2">
      <c r="B118" s="31"/>
      <c r="C118" s="26"/>
      <c r="F118" s="24"/>
      <c r="I118" s="26"/>
      <c r="J118" s="29"/>
      <c r="L118" s="31"/>
    </row>
    <row r="119" spans="2:128" s="1" customFormat="1" ht="24.75" customHeight="1" x14ac:dyDescent="0.2">
      <c r="B119" s="31"/>
      <c r="G119" s="430" t="s">
        <v>3305</v>
      </c>
      <c r="H119" s="430"/>
      <c r="I119" s="430"/>
      <c r="J119" s="430"/>
      <c r="K119" s="431"/>
      <c r="L119" s="31"/>
    </row>
    <row r="120" spans="2:128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BX120" s="52" t="s">
        <v>1</v>
      </c>
      <c r="BY120" s="53" t="s">
        <v>39</v>
      </c>
      <c r="BZ120" s="53" t="s">
        <v>273</v>
      </c>
      <c r="CA120" s="53" t="s">
        <v>274</v>
      </c>
      <c r="CB120" s="53" t="s">
        <v>275</v>
      </c>
      <c r="CC120" s="53" t="s">
        <v>276</v>
      </c>
      <c r="CD120" s="53" t="s">
        <v>277</v>
      </c>
      <c r="CE120" s="54" t="s">
        <v>278</v>
      </c>
    </row>
    <row r="121" spans="2:128" s="1" customFormat="1" ht="22.9" customHeight="1" x14ac:dyDescent="0.25">
      <c r="B121" s="31"/>
      <c r="C121" s="57" t="s">
        <v>279</v>
      </c>
      <c r="G121" s="1" t="s">
        <v>3306</v>
      </c>
      <c r="J121" s="108">
        <f>DV121</f>
        <v>140170.68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3322</v>
      </c>
      <c r="X121" s="444"/>
      <c r="Y121" s="444" t="s">
        <v>3323</v>
      </c>
      <c r="Z121" s="444"/>
      <c r="AA121" s="444" t="s">
        <v>3324</v>
      </c>
      <c r="AB121" s="444"/>
      <c r="AC121" s="444" t="s">
        <v>3325</v>
      </c>
      <c r="AD121" s="444"/>
      <c r="AE121" s="444" t="s">
        <v>3326</v>
      </c>
      <c r="AF121" s="444"/>
      <c r="AG121" s="444" t="s">
        <v>3327</v>
      </c>
      <c r="AH121" s="445"/>
      <c r="BX121" s="55"/>
      <c r="BY121" s="49"/>
      <c r="BZ121" s="49"/>
      <c r="CA121" s="109">
        <f>CA122</f>
        <v>0</v>
      </c>
      <c r="CB121" s="49"/>
      <c r="CC121" s="109">
        <f>CC122</f>
        <v>46.387384999999995</v>
      </c>
      <c r="CD121" s="49"/>
      <c r="CE121" s="110">
        <f>CE122</f>
        <v>14.1525</v>
      </c>
      <c r="DE121" s="16" t="s">
        <v>73</v>
      </c>
      <c r="DF121" s="16" t="s">
        <v>257</v>
      </c>
      <c r="DV121" s="111">
        <f>DV122</f>
        <v>140170.68</v>
      </c>
    </row>
    <row r="122" spans="2:128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DV122</f>
        <v>140170.68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5" t="s">
        <v>3328</v>
      </c>
      <c r="BX122" s="117"/>
      <c r="CA122" s="118">
        <f>CA124+CA254+CA259+CA277+CA289+CA329+CA349</f>
        <v>0</v>
      </c>
      <c r="CC122" s="118">
        <f>CC124+CC254+CC259+CC277+CC289+CC329+CC349</f>
        <v>46.387384999999995</v>
      </c>
      <c r="CE122" s="119">
        <f>CE124+CE254+CE259+CE277+CE289+CE329+CE349</f>
        <v>14.1525</v>
      </c>
      <c r="DC122" s="113" t="s">
        <v>81</v>
      </c>
      <c r="DE122" s="120" t="s">
        <v>73</v>
      </c>
      <c r="DF122" s="120" t="s">
        <v>74</v>
      </c>
      <c r="DJ122" s="113" t="s">
        <v>282</v>
      </c>
      <c r="DV122" s="121">
        <f>DV124+DV254+DV259+DV277+DV289+DV329+DV349</f>
        <v>140170.68</v>
      </c>
    </row>
    <row r="123" spans="2:128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M124+M254+M259+M277+M289+M329+M349</f>
        <v>0</v>
      </c>
      <c r="N123" s="208"/>
      <c r="O123" s="208">
        <f t="shared" ref="O123:Q123" si="0">O124+O254+O259+O277+O289+O329+O349</f>
        <v>-31571.31</v>
      </c>
      <c r="P123" s="192"/>
      <c r="Q123" s="192">
        <f t="shared" si="0"/>
        <v>171741.99</v>
      </c>
      <c r="S123" s="196"/>
      <c r="T123" s="197">
        <f>T124+T254+T259+T277+T289+T329+T349</f>
        <v>0</v>
      </c>
      <c r="U123" s="197"/>
      <c r="V123" s="197">
        <f t="shared" ref="V123:AH123" si="1">V124+V254+V259+V277+V289+V329+V349</f>
        <v>140170.68</v>
      </c>
      <c r="W123" s="197"/>
      <c r="X123" s="197"/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AE123" s="197"/>
      <c r="AF123" s="197">
        <f t="shared" si="1"/>
        <v>0</v>
      </c>
      <c r="AG123" s="197"/>
      <c r="AH123" s="197">
        <f t="shared" si="1"/>
        <v>0</v>
      </c>
      <c r="BX123" s="117"/>
      <c r="CA123" s="118"/>
      <c r="CC123" s="118"/>
      <c r="CE123" s="119"/>
      <c r="DC123" s="113"/>
      <c r="DE123" s="120"/>
      <c r="DF123" s="120"/>
      <c r="DJ123" s="113"/>
      <c r="DV123" s="121"/>
    </row>
    <row r="124" spans="2:128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DV124</f>
        <v>63187.039999999994</v>
      </c>
      <c r="L124" s="112"/>
      <c r="M124" s="270">
        <f>SUM(M125:M251)</f>
        <v>0</v>
      </c>
      <c r="N124" s="299"/>
      <c r="O124" s="300">
        <f t="shared" ref="O124:V124" si="2">SUM(O125:O251)</f>
        <v>-13379.38</v>
      </c>
      <c r="P124" s="270"/>
      <c r="Q124" s="286">
        <f t="shared" si="2"/>
        <v>76566.41</v>
      </c>
      <c r="R124" s="270"/>
      <c r="S124" s="270"/>
      <c r="T124" s="270">
        <f t="shared" si="2"/>
        <v>0</v>
      </c>
      <c r="U124" s="270"/>
      <c r="V124" s="270">
        <f t="shared" si="2"/>
        <v>63187.039999999994</v>
      </c>
      <c r="BX124" s="117"/>
      <c r="CA124" s="118">
        <f>SUM(CA125:CA253)</f>
        <v>0</v>
      </c>
      <c r="CC124" s="118">
        <f>SUM(CC125:CC253)</f>
        <v>43.246449999999996</v>
      </c>
      <c r="CE124" s="119">
        <f>SUM(CE125:CE253)</f>
        <v>14.1525</v>
      </c>
      <c r="DC124" s="113" t="s">
        <v>81</v>
      </c>
      <c r="DE124" s="120" t="s">
        <v>73</v>
      </c>
      <c r="DF124" s="120" t="s">
        <v>81</v>
      </c>
      <c r="DJ124" s="113" t="s">
        <v>282</v>
      </c>
      <c r="DV124" s="121">
        <f>SUM(DV125:DV253)</f>
        <v>63187.039999999994</v>
      </c>
    </row>
    <row r="125" spans="2:128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11.25</v>
      </c>
      <c r="I125" s="130">
        <v>68.767172335543137</v>
      </c>
      <c r="J125" s="131">
        <f>ROUND(I125*H125,2)</f>
        <v>773.63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N127</f>
        <v>-2.4209999999999994</v>
      </c>
      <c r="O125" s="294">
        <f>ROUND(N125*I125,2)</f>
        <v>-166.49</v>
      </c>
      <c r="P125" s="273">
        <f>H125-L125-N125</f>
        <v>13.670999999999999</v>
      </c>
      <c r="Q125" s="287">
        <f>ROUND(P125*I125,2)</f>
        <v>940.12</v>
      </c>
      <c r="R125" s="137"/>
      <c r="S125" s="269">
        <f>W125+Y125+AA125+AC125+AE125+AG125</f>
        <v>0</v>
      </c>
      <c r="T125" s="269">
        <f>ROUND(S125*I125,2)</f>
        <v>0</v>
      </c>
      <c r="U125" s="269">
        <f>H125-S125</f>
        <v>11.25</v>
      </c>
      <c r="V125" s="269">
        <f>ROUND(U125*I125,2)</f>
        <v>773.63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BX125" s="132" t="s">
        <v>1</v>
      </c>
      <c r="BY125" s="133" t="s">
        <v>40</v>
      </c>
      <c r="CA125" s="134">
        <f>BZ125*H125</f>
        <v>0</v>
      </c>
      <c r="CB125" s="134">
        <v>0</v>
      </c>
      <c r="CC125" s="134">
        <f>CB125*H125</f>
        <v>0</v>
      </c>
      <c r="CD125" s="134">
        <v>0.57999999999999996</v>
      </c>
      <c r="CE125" s="135">
        <f>CD125*H125</f>
        <v>6.5249999999999995</v>
      </c>
      <c r="DC125" s="136" t="s">
        <v>95</v>
      </c>
      <c r="DE125" s="136" t="s">
        <v>284</v>
      </c>
      <c r="DF125" s="136" t="s">
        <v>83</v>
      </c>
      <c r="DJ125" s="16" t="s">
        <v>282</v>
      </c>
      <c r="DP125" s="137">
        <f>IF(BY125="základní",J125,0)</f>
        <v>773.63</v>
      </c>
      <c r="DQ125" s="137">
        <f>IF(BY125="snížená",J125,0)</f>
        <v>0</v>
      </c>
      <c r="DR125" s="137">
        <f>IF(BY125="zákl. přenesená",J125,0)</f>
        <v>0</v>
      </c>
      <c r="DS125" s="137">
        <f>IF(BY125="sníž. přenesená",J125,0)</f>
        <v>0</v>
      </c>
      <c r="DT125" s="137">
        <f>IF(BY125="nulová",J125,0)</f>
        <v>0</v>
      </c>
      <c r="DU125" s="16" t="s">
        <v>81</v>
      </c>
      <c r="DV125" s="137">
        <f>ROUND(I125*H125,2)</f>
        <v>773.63</v>
      </c>
      <c r="DW125" s="16" t="s">
        <v>95</v>
      </c>
      <c r="DX125" s="136" t="s">
        <v>288</v>
      </c>
    </row>
    <row r="126" spans="2:128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BX126" s="141"/>
      <c r="CE126" s="50"/>
      <c r="DE126" s="16" t="s">
        <v>289</v>
      </c>
      <c r="DF126" s="16" t="s">
        <v>83</v>
      </c>
    </row>
    <row r="127" spans="2:128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11.25</v>
      </c>
      <c r="I127" s="130">
        <v>68.767172335543137</v>
      </c>
      <c r="J127" s="131">
        <f>ROUND(I127*H127,2)</f>
        <v>773.63</v>
      </c>
      <c r="K127" s="127" t="s">
        <v>293</v>
      </c>
      <c r="L127" s="268">
        <f>S127</f>
        <v>0</v>
      </c>
      <c r="M127" s="272">
        <f>ROUND(L127*I127,2)</f>
        <v>0</v>
      </c>
      <c r="N127" s="243">
        <f>N129</f>
        <v>-2.4209999999999994</v>
      </c>
      <c r="O127" s="294">
        <f>ROUND(N127*I127,2)</f>
        <v>-166.49</v>
      </c>
      <c r="P127" s="273">
        <f>H127-L127-N127</f>
        <v>13.670999999999999</v>
      </c>
      <c r="Q127" s="287">
        <f>ROUND(P127*I127,2)</f>
        <v>940.12</v>
      </c>
      <c r="R127" s="137"/>
      <c r="S127" s="269">
        <f>W127+Y127+AA127+AC127+AE127+AG127</f>
        <v>0</v>
      </c>
      <c r="T127" s="269">
        <f>ROUND(S127*I127,2)</f>
        <v>0</v>
      </c>
      <c r="U127" s="269">
        <f>H127-S127</f>
        <v>11.25</v>
      </c>
      <c r="V127" s="269">
        <f>ROUND(U127*I127,2)</f>
        <v>773.63</v>
      </c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BX127" s="132" t="s">
        <v>1</v>
      </c>
      <c r="BY127" s="133" t="s">
        <v>40</v>
      </c>
      <c r="CA127" s="134">
        <f>BZ127*H127</f>
        <v>0</v>
      </c>
      <c r="CB127" s="134">
        <v>0</v>
      </c>
      <c r="CC127" s="134">
        <f>CB127*H127</f>
        <v>0</v>
      </c>
      <c r="CD127" s="134">
        <v>0.57999999999999996</v>
      </c>
      <c r="CE127" s="135">
        <f>CD127*H127</f>
        <v>6.5249999999999995</v>
      </c>
      <c r="DC127" s="136" t="s">
        <v>95</v>
      </c>
      <c r="DE127" s="136" t="s">
        <v>284</v>
      </c>
      <c r="DF127" s="136" t="s">
        <v>83</v>
      </c>
      <c r="DJ127" s="16" t="s">
        <v>282</v>
      </c>
      <c r="DP127" s="137">
        <f>IF(BY127="základní",J127,0)</f>
        <v>773.63</v>
      </c>
      <c r="DQ127" s="137">
        <f>IF(BY127="snížená",J127,0)</f>
        <v>0</v>
      </c>
      <c r="DR127" s="137">
        <f>IF(BY127="zákl. přenesená",J127,0)</f>
        <v>0</v>
      </c>
      <c r="DS127" s="137">
        <f>IF(BY127="sníž. přenesená",J127,0)</f>
        <v>0</v>
      </c>
      <c r="DT127" s="137">
        <f>IF(BY127="nulová",J127,0)</f>
        <v>0</v>
      </c>
      <c r="DU127" s="16" t="s">
        <v>81</v>
      </c>
      <c r="DV127" s="137">
        <f>ROUND(I127*H127,2)</f>
        <v>773.63</v>
      </c>
      <c r="DW127" s="16" t="s">
        <v>95</v>
      </c>
      <c r="DX127" s="136" t="s">
        <v>294</v>
      </c>
    </row>
    <row r="128" spans="2:128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BX128" s="141"/>
      <c r="CE128" s="50"/>
      <c r="DE128" s="16" t="s">
        <v>289</v>
      </c>
      <c r="DF128" s="16" t="s">
        <v>83</v>
      </c>
    </row>
    <row r="129" spans="2:128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732</v>
      </c>
      <c r="G129" s="128" t="s">
        <v>287</v>
      </c>
      <c r="H129" s="129">
        <v>11.25</v>
      </c>
      <c r="I129" s="130">
        <v>27.886826761540966</v>
      </c>
      <c r="J129" s="131">
        <f>ROUND(I129*H129,2)</f>
        <v>313.73</v>
      </c>
      <c r="K129" s="127" t="s">
        <v>293</v>
      </c>
      <c r="L129" s="268">
        <f>S129</f>
        <v>0</v>
      </c>
      <c r="M129" s="272">
        <f>ROUND(L129*I129,2)</f>
        <v>0</v>
      </c>
      <c r="N129" s="243">
        <f>N135</f>
        <v>-2.4209999999999994</v>
      </c>
      <c r="O129" s="294">
        <f>ROUND(N129*I129,2)</f>
        <v>-67.510000000000005</v>
      </c>
      <c r="P129" s="273">
        <f>H129-L129-N129</f>
        <v>13.670999999999999</v>
      </c>
      <c r="Q129" s="287">
        <f>ROUND(P129*I129,2)</f>
        <v>381.24</v>
      </c>
      <c r="R129" s="137"/>
      <c r="S129" s="269">
        <f>W129+Y129+AA129+AC129+AE129+AG129</f>
        <v>0</v>
      </c>
      <c r="T129" s="269">
        <f>ROUND(S129*I129,2)</f>
        <v>0</v>
      </c>
      <c r="U129" s="269">
        <f>H129-S129</f>
        <v>11.25</v>
      </c>
      <c r="V129" s="269">
        <f>ROUND(U129*I129,2)</f>
        <v>313.73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BX129" s="132" t="s">
        <v>1</v>
      </c>
      <c r="BY129" s="133" t="s">
        <v>40</v>
      </c>
      <c r="CA129" s="134">
        <f>BZ129*H129</f>
        <v>0</v>
      </c>
      <c r="CB129" s="134">
        <v>0</v>
      </c>
      <c r="CC129" s="134">
        <f>CB129*H129</f>
        <v>0</v>
      </c>
      <c r="CD129" s="134">
        <v>9.8000000000000004E-2</v>
      </c>
      <c r="CE129" s="135">
        <f>CD129*H129</f>
        <v>1.1025</v>
      </c>
      <c r="DC129" s="136" t="s">
        <v>95</v>
      </c>
      <c r="DE129" s="136" t="s">
        <v>284</v>
      </c>
      <c r="DF129" s="136" t="s">
        <v>83</v>
      </c>
      <c r="DJ129" s="16" t="s">
        <v>282</v>
      </c>
      <c r="DP129" s="137">
        <f>IF(BY129="základní",J129,0)</f>
        <v>313.73</v>
      </c>
      <c r="DQ129" s="137">
        <f>IF(BY129="snížená",J129,0)</f>
        <v>0</v>
      </c>
      <c r="DR129" s="137">
        <f>IF(BY129="zákl. přenesená",J129,0)</f>
        <v>0</v>
      </c>
      <c r="DS129" s="137">
        <f>IF(BY129="sníž. přenesená",J129,0)</f>
        <v>0</v>
      </c>
      <c r="DT129" s="137">
        <f>IF(BY129="nulová",J129,0)</f>
        <v>0</v>
      </c>
      <c r="DU129" s="16" t="s">
        <v>81</v>
      </c>
      <c r="DV129" s="137">
        <f>ROUND(I129*H129,2)</f>
        <v>313.73</v>
      </c>
      <c r="DW129" s="16" t="s">
        <v>95</v>
      </c>
      <c r="DX129" s="136" t="s">
        <v>297</v>
      </c>
    </row>
    <row r="130" spans="2:128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BX130" s="141"/>
      <c r="CE130" s="50"/>
      <c r="DE130" s="16" t="s">
        <v>289</v>
      </c>
      <c r="DF130" s="16" t="s">
        <v>83</v>
      </c>
    </row>
    <row r="131" spans="2:128" s="1" customFormat="1" ht="29.25" x14ac:dyDescent="0.2">
      <c r="B131" s="31"/>
      <c r="D131" s="138" t="s">
        <v>299</v>
      </c>
      <c r="F131" s="142" t="s">
        <v>1083</v>
      </c>
      <c r="I131" s="140"/>
      <c r="L131" s="31"/>
      <c r="N131" s="213"/>
      <c r="O131" s="214"/>
      <c r="Q131" s="229"/>
      <c r="BX131" s="141"/>
      <c r="CE131" s="50"/>
      <c r="DE131" s="16" t="s">
        <v>299</v>
      </c>
      <c r="DF131" s="16" t="s">
        <v>83</v>
      </c>
    </row>
    <row r="132" spans="2:128" s="11" customFormat="1" x14ac:dyDescent="0.2">
      <c r="B132" s="143"/>
      <c r="D132" s="138" t="s">
        <v>301</v>
      </c>
      <c r="E132" s="144" t="s">
        <v>1</v>
      </c>
      <c r="F132" s="145" t="s">
        <v>1084</v>
      </c>
      <c r="H132" s="144" t="s">
        <v>1</v>
      </c>
      <c r="I132" s="146"/>
      <c r="L132" s="143"/>
      <c r="N132" s="215"/>
      <c r="O132" s="216"/>
      <c r="Q132" s="230"/>
      <c r="BX132" s="147"/>
      <c r="CE132" s="148"/>
      <c r="DE132" s="144" t="s">
        <v>301</v>
      </c>
      <c r="DF132" s="144" t="s">
        <v>83</v>
      </c>
      <c r="DG132" s="11" t="s">
        <v>81</v>
      </c>
      <c r="DH132" s="11" t="s">
        <v>32</v>
      </c>
      <c r="DI132" s="11" t="s">
        <v>74</v>
      </c>
      <c r="DJ132" s="144" t="s">
        <v>282</v>
      </c>
    </row>
    <row r="133" spans="2:128" s="11" customFormat="1" x14ac:dyDescent="0.2">
      <c r="B133" s="143"/>
      <c r="D133" s="138" t="s">
        <v>301</v>
      </c>
      <c r="E133" s="144" t="s">
        <v>1</v>
      </c>
      <c r="F133" s="145" t="s">
        <v>302</v>
      </c>
      <c r="H133" s="144" t="s">
        <v>1</v>
      </c>
      <c r="I133" s="146"/>
      <c r="L133" s="143"/>
      <c r="N133" s="215"/>
      <c r="O133" s="216"/>
      <c r="Q133" s="230"/>
      <c r="BX133" s="147"/>
      <c r="CE133" s="148"/>
      <c r="DE133" s="144" t="s">
        <v>301</v>
      </c>
      <c r="DF133" s="144" t="s">
        <v>83</v>
      </c>
      <c r="DG133" s="11" t="s">
        <v>81</v>
      </c>
      <c r="DH133" s="11" t="s">
        <v>32</v>
      </c>
      <c r="DI133" s="11" t="s">
        <v>74</v>
      </c>
      <c r="DJ133" s="144" t="s">
        <v>282</v>
      </c>
    </row>
    <row r="134" spans="2:128" s="12" customFormat="1" x14ac:dyDescent="0.2">
      <c r="B134" s="149"/>
      <c r="D134" s="138" t="s">
        <v>301</v>
      </c>
      <c r="E134" s="150" t="s">
        <v>1</v>
      </c>
      <c r="F134" s="151" t="s">
        <v>1389</v>
      </c>
      <c r="H134" s="152">
        <v>11.25</v>
      </c>
      <c r="I134" s="153"/>
      <c r="L134" s="149"/>
      <c r="N134" s="217">
        <f>9.81*1*0.9</f>
        <v>8.8290000000000006</v>
      </c>
      <c r="O134" s="218" t="s">
        <v>3746</v>
      </c>
      <c r="Q134" s="231"/>
      <c r="BX134" s="154"/>
      <c r="CE134" s="155"/>
      <c r="DE134" s="150" t="s">
        <v>301</v>
      </c>
      <c r="DF134" s="150" t="s">
        <v>83</v>
      </c>
      <c r="DG134" s="12" t="s">
        <v>83</v>
      </c>
      <c r="DH134" s="12" t="s">
        <v>32</v>
      </c>
      <c r="DI134" s="12" t="s">
        <v>81</v>
      </c>
      <c r="DJ134" s="150" t="s">
        <v>282</v>
      </c>
    </row>
    <row r="135" spans="2:128" s="12" customFormat="1" x14ac:dyDescent="0.2">
      <c r="B135" s="149"/>
      <c r="D135" s="138"/>
      <c r="E135" s="150"/>
      <c r="F135" s="151"/>
      <c r="H135" s="152"/>
      <c r="I135" s="153"/>
      <c r="L135" s="149"/>
      <c r="N135" s="310">
        <f>N134-H134</f>
        <v>-2.4209999999999994</v>
      </c>
      <c r="O135" s="218"/>
      <c r="Q135" s="231"/>
      <c r="BX135" s="154"/>
      <c r="CE135" s="155"/>
      <c r="DE135" s="150"/>
      <c r="DF135" s="150"/>
      <c r="DJ135" s="150"/>
    </row>
    <row r="136" spans="2:128" s="1" customFormat="1" ht="24.2" customHeight="1" x14ac:dyDescent="0.2">
      <c r="B136" s="124"/>
      <c r="C136" s="125" t="s">
        <v>95</v>
      </c>
      <c r="D136" s="125" t="s">
        <v>284</v>
      </c>
      <c r="E136" s="126" t="s">
        <v>958</v>
      </c>
      <c r="F136" s="127" t="s">
        <v>959</v>
      </c>
      <c r="G136" s="128" t="s">
        <v>287</v>
      </c>
      <c r="H136" s="129">
        <v>3.75</v>
      </c>
      <c r="I136" s="130">
        <v>23.091823190584471</v>
      </c>
      <c r="J136" s="131">
        <f>ROUND(I136*H136,2)</f>
        <v>86.59</v>
      </c>
      <c r="K136" s="127" t="s">
        <v>293</v>
      </c>
      <c r="L136" s="268">
        <f>S136</f>
        <v>0</v>
      </c>
      <c r="M136" s="272">
        <f>ROUND(L136*I136,2)</f>
        <v>0</v>
      </c>
      <c r="N136" s="243">
        <f>N141</f>
        <v>-0.80699999999999994</v>
      </c>
      <c r="O136" s="294">
        <f>ROUND(N136*I136,2)</f>
        <v>-18.64</v>
      </c>
      <c r="P136" s="273">
        <f>H136-L136-N136</f>
        <v>4.5570000000000004</v>
      </c>
      <c r="Q136" s="287">
        <f>ROUND(P136*I136,2)</f>
        <v>105.23</v>
      </c>
      <c r="R136" s="137"/>
      <c r="S136" s="269">
        <f>W136+Y136+AA136+AC136+AE136+AG136</f>
        <v>0</v>
      </c>
      <c r="T136" s="269">
        <f>ROUND(S136*I136,2)</f>
        <v>0</v>
      </c>
      <c r="U136" s="269">
        <f>H136-S136</f>
        <v>3.75</v>
      </c>
      <c r="V136" s="269">
        <f>ROUND(U136*I136,2)</f>
        <v>86.59</v>
      </c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BX136" s="132" t="s">
        <v>1</v>
      </c>
      <c r="BY136" s="133" t="s">
        <v>40</v>
      </c>
      <c r="CA136" s="134">
        <f>BZ136*H136</f>
        <v>0</v>
      </c>
      <c r="CB136" s="134">
        <v>0</v>
      </c>
      <c r="CC136" s="134">
        <f>CB136*H136</f>
        <v>0</v>
      </c>
      <c r="CD136" s="134">
        <v>0</v>
      </c>
      <c r="CE136" s="135">
        <f>CD136*H136</f>
        <v>0</v>
      </c>
      <c r="DC136" s="136" t="s">
        <v>95</v>
      </c>
      <c r="DE136" s="136" t="s">
        <v>284</v>
      </c>
      <c r="DF136" s="136" t="s">
        <v>83</v>
      </c>
      <c r="DJ136" s="16" t="s">
        <v>282</v>
      </c>
      <c r="DP136" s="137">
        <f>IF(BY136="základní",J136,0)</f>
        <v>86.59</v>
      </c>
      <c r="DQ136" s="137">
        <f>IF(BY136="snížená",J136,0)</f>
        <v>0</v>
      </c>
      <c r="DR136" s="137">
        <f>IF(BY136="zákl. přenesená",J136,0)</f>
        <v>0</v>
      </c>
      <c r="DS136" s="137">
        <f>IF(BY136="sníž. přenesená",J136,0)</f>
        <v>0</v>
      </c>
      <c r="DT136" s="137">
        <f>IF(BY136="nulová",J136,0)</f>
        <v>0</v>
      </c>
      <c r="DU136" s="16" t="s">
        <v>81</v>
      </c>
      <c r="DV136" s="137">
        <f>ROUND(I136*H136,2)</f>
        <v>86.59</v>
      </c>
      <c r="DW136" s="16" t="s">
        <v>95</v>
      </c>
      <c r="DX136" s="136" t="s">
        <v>960</v>
      </c>
    </row>
    <row r="137" spans="2:128" s="1" customFormat="1" ht="19.5" x14ac:dyDescent="0.2">
      <c r="B137" s="31"/>
      <c r="D137" s="138" t="s">
        <v>289</v>
      </c>
      <c r="F137" s="139" t="s">
        <v>961</v>
      </c>
      <c r="I137" s="140"/>
      <c r="L137" s="31"/>
      <c r="N137" s="213"/>
      <c r="O137" s="214"/>
      <c r="Q137" s="229"/>
      <c r="BX137" s="141"/>
      <c r="CE137" s="50"/>
      <c r="DE137" s="16" t="s">
        <v>289</v>
      </c>
      <c r="DF137" s="16" t="s">
        <v>83</v>
      </c>
    </row>
    <row r="138" spans="2:128" s="1" customFormat="1" ht="29.25" x14ac:dyDescent="0.2">
      <c r="B138" s="31"/>
      <c r="D138" s="138" t="s">
        <v>299</v>
      </c>
      <c r="F138" s="142" t="s">
        <v>1083</v>
      </c>
      <c r="I138" s="140"/>
      <c r="L138" s="31"/>
      <c r="N138" s="213"/>
      <c r="O138" s="214"/>
      <c r="Q138" s="229"/>
      <c r="BX138" s="141"/>
      <c r="CE138" s="50"/>
      <c r="DE138" s="16" t="s">
        <v>299</v>
      </c>
      <c r="DF138" s="16" t="s">
        <v>83</v>
      </c>
    </row>
    <row r="139" spans="2:128" s="11" customFormat="1" x14ac:dyDescent="0.2">
      <c r="B139" s="143"/>
      <c r="D139" s="138" t="s">
        <v>301</v>
      </c>
      <c r="E139" s="144" t="s">
        <v>1</v>
      </c>
      <c r="F139" s="145" t="s">
        <v>1088</v>
      </c>
      <c r="H139" s="144" t="s">
        <v>1</v>
      </c>
      <c r="I139" s="146"/>
      <c r="L139" s="143"/>
      <c r="N139" s="215"/>
      <c r="O139" s="216"/>
      <c r="Q139" s="230"/>
      <c r="BX139" s="147"/>
      <c r="CE139" s="148"/>
      <c r="DE139" s="144" t="s">
        <v>301</v>
      </c>
      <c r="DF139" s="144" t="s">
        <v>83</v>
      </c>
      <c r="DG139" s="11" t="s">
        <v>81</v>
      </c>
      <c r="DH139" s="11" t="s">
        <v>32</v>
      </c>
      <c r="DI139" s="11" t="s">
        <v>74</v>
      </c>
      <c r="DJ139" s="144" t="s">
        <v>282</v>
      </c>
    </row>
    <row r="140" spans="2:128" s="12" customFormat="1" x14ac:dyDescent="0.2">
      <c r="B140" s="149"/>
      <c r="D140" s="138" t="s">
        <v>301</v>
      </c>
      <c r="E140" s="150" t="s">
        <v>1</v>
      </c>
      <c r="F140" s="151" t="s">
        <v>1390</v>
      </c>
      <c r="H140" s="152">
        <v>3.75</v>
      </c>
      <c r="I140" s="153"/>
      <c r="L140" s="149"/>
      <c r="N140" s="217">
        <f>9.81*3*0.1</f>
        <v>2.9430000000000001</v>
      </c>
      <c r="O140" s="218" t="s">
        <v>3747</v>
      </c>
      <c r="Q140" s="231"/>
      <c r="BX140" s="154"/>
      <c r="CE140" s="155"/>
      <c r="DE140" s="150" t="s">
        <v>301</v>
      </c>
      <c r="DF140" s="150" t="s">
        <v>83</v>
      </c>
      <c r="DG140" s="12" t="s">
        <v>83</v>
      </c>
      <c r="DH140" s="12" t="s">
        <v>32</v>
      </c>
      <c r="DI140" s="12" t="s">
        <v>81</v>
      </c>
      <c r="DJ140" s="150" t="s">
        <v>282</v>
      </c>
    </row>
    <row r="141" spans="2:128" s="12" customFormat="1" x14ac:dyDescent="0.2">
      <c r="B141" s="149"/>
      <c r="D141" s="138"/>
      <c r="E141" s="150"/>
      <c r="F141" s="151"/>
      <c r="H141" s="152"/>
      <c r="I141" s="153"/>
      <c r="L141" s="149"/>
      <c r="N141" s="310">
        <f>N140-H140</f>
        <v>-0.80699999999999994</v>
      </c>
      <c r="O141" s="218"/>
      <c r="Q141" s="231"/>
      <c r="BX141" s="154"/>
      <c r="CE141" s="155"/>
      <c r="DE141" s="150"/>
      <c r="DF141" s="150"/>
      <c r="DJ141" s="150"/>
    </row>
    <row r="142" spans="2:128" s="1" customFormat="1" ht="24.2" customHeight="1" x14ac:dyDescent="0.2">
      <c r="B142" s="124"/>
      <c r="C142" s="125" t="s">
        <v>312</v>
      </c>
      <c r="D142" s="125" t="s">
        <v>284</v>
      </c>
      <c r="E142" s="126" t="s">
        <v>364</v>
      </c>
      <c r="F142" s="127" t="s">
        <v>365</v>
      </c>
      <c r="G142" s="128" t="s">
        <v>366</v>
      </c>
      <c r="H142" s="129">
        <v>11.157</v>
      </c>
      <c r="I142" s="130">
        <v>285.201942457955</v>
      </c>
      <c r="J142" s="131">
        <f>ROUND(I142*H142,2)</f>
        <v>3182</v>
      </c>
      <c r="K142" s="127" t="s">
        <v>293</v>
      </c>
      <c r="L142" s="268">
        <f>S142</f>
        <v>0</v>
      </c>
      <c r="M142" s="272">
        <f>ROUND(L142*I142,2)</f>
        <v>0</v>
      </c>
      <c r="N142" s="243">
        <f>N151</f>
        <v>-2.4015749999999976</v>
      </c>
      <c r="O142" s="294">
        <f>ROUND(N142*I142,2)</f>
        <v>-684.93</v>
      </c>
      <c r="P142" s="273">
        <f>H142-L142-N142</f>
        <v>13.558574999999998</v>
      </c>
      <c r="Q142" s="287">
        <f>ROUND(P142*I142,2)</f>
        <v>3866.93</v>
      </c>
      <c r="R142" s="137"/>
      <c r="S142" s="269">
        <f>W142+Y142+AA142+AC142+AE142+AG142</f>
        <v>0</v>
      </c>
      <c r="T142" s="269">
        <f>ROUND(S142*I142,2)</f>
        <v>0</v>
      </c>
      <c r="U142" s="269">
        <f>H142-S142</f>
        <v>11.157</v>
      </c>
      <c r="V142" s="269">
        <f>ROUND(U142*I142,2)</f>
        <v>3182</v>
      </c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BX142" s="132" t="s">
        <v>1</v>
      </c>
      <c r="BY142" s="133" t="s">
        <v>40</v>
      </c>
      <c r="CA142" s="134">
        <f>BZ142*H142</f>
        <v>0</v>
      </c>
      <c r="CB142" s="134">
        <v>0</v>
      </c>
      <c r="CC142" s="134">
        <f>CB142*H142</f>
        <v>0</v>
      </c>
      <c r="CD142" s="134">
        <v>0</v>
      </c>
      <c r="CE142" s="135">
        <f>CD142*H142</f>
        <v>0</v>
      </c>
      <c r="DC142" s="136" t="s">
        <v>95</v>
      </c>
      <c r="DE142" s="136" t="s">
        <v>284</v>
      </c>
      <c r="DF142" s="136" t="s">
        <v>83</v>
      </c>
      <c r="DJ142" s="16" t="s">
        <v>282</v>
      </c>
      <c r="DP142" s="137">
        <f>IF(BY142="základní",J142,0)</f>
        <v>3182</v>
      </c>
      <c r="DQ142" s="137">
        <f>IF(BY142="snížená",J142,0)</f>
        <v>0</v>
      </c>
      <c r="DR142" s="137">
        <f>IF(BY142="zákl. přenesená",J142,0)</f>
        <v>0</v>
      </c>
      <c r="DS142" s="137">
        <f>IF(BY142="sníž. přenesená",J142,0)</f>
        <v>0</v>
      </c>
      <c r="DT142" s="137">
        <f>IF(BY142="nulová",J142,0)</f>
        <v>0</v>
      </c>
      <c r="DU142" s="16" t="s">
        <v>81</v>
      </c>
      <c r="DV142" s="137">
        <f>ROUND(I142*H142,2)</f>
        <v>3182</v>
      </c>
      <c r="DW142" s="16" t="s">
        <v>95</v>
      </c>
      <c r="DX142" s="136" t="s">
        <v>367</v>
      </c>
    </row>
    <row r="143" spans="2:128" s="1" customFormat="1" ht="39" x14ac:dyDescent="0.2">
      <c r="B143" s="31"/>
      <c r="D143" s="138" t="s">
        <v>289</v>
      </c>
      <c r="F143" s="139" t="s">
        <v>368</v>
      </c>
      <c r="I143" s="140"/>
      <c r="L143" s="31"/>
      <c r="N143" s="213"/>
      <c r="O143" s="214"/>
      <c r="Q143" s="229"/>
      <c r="BX143" s="141"/>
      <c r="CE143" s="50"/>
      <c r="DE143" s="16" t="s">
        <v>289</v>
      </c>
      <c r="DF143" s="16" t="s">
        <v>83</v>
      </c>
    </row>
    <row r="144" spans="2:128" s="1" customFormat="1" ht="39" x14ac:dyDescent="0.2">
      <c r="B144" s="31"/>
      <c r="D144" s="138" t="s">
        <v>299</v>
      </c>
      <c r="F144" s="142" t="s">
        <v>1090</v>
      </c>
      <c r="I144" s="140"/>
      <c r="L144" s="31"/>
      <c r="N144" s="213"/>
      <c r="O144" s="214"/>
      <c r="Q144" s="229"/>
      <c r="BX144" s="141"/>
      <c r="CE144" s="50"/>
      <c r="DE144" s="16" t="s">
        <v>299</v>
      </c>
      <c r="DF144" s="16" t="s">
        <v>83</v>
      </c>
    </row>
    <row r="145" spans="2:128" s="11" customFormat="1" ht="22.5" x14ac:dyDescent="0.2">
      <c r="B145" s="143"/>
      <c r="D145" s="138" t="s">
        <v>301</v>
      </c>
      <c r="E145" s="144" t="s">
        <v>1</v>
      </c>
      <c r="F145" s="145" t="s">
        <v>1091</v>
      </c>
      <c r="H145" s="144" t="s">
        <v>1</v>
      </c>
      <c r="I145" s="146"/>
      <c r="L145" s="143"/>
      <c r="N145" s="215"/>
      <c r="O145" s="216"/>
      <c r="Q145" s="230"/>
      <c r="BX145" s="147"/>
      <c r="CE145" s="148"/>
      <c r="DE145" s="144" t="s">
        <v>301</v>
      </c>
      <c r="DF145" s="144" t="s">
        <v>83</v>
      </c>
      <c r="DG145" s="11" t="s">
        <v>81</v>
      </c>
      <c r="DH145" s="11" t="s">
        <v>32</v>
      </c>
      <c r="DI145" s="11" t="s">
        <v>74</v>
      </c>
      <c r="DJ145" s="144" t="s">
        <v>282</v>
      </c>
    </row>
    <row r="146" spans="2:128" s="12" customFormat="1" x14ac:dyDescent="0.2">
      <c r="B146" s="149"/>
      <c r="D146" s="138" t="s">
        <v>301</v>
      </c>
      <c r="E146" s="150" t="s">
        <v>1</v>
      </c>
      <c r="F146" s="151" t="s">
        <v>1391</v>
      </c>
      <c r="H146" s="152">
        <v>19.687999999999999</v>
      </c>
      <c r="I146" s="153"/>
      <c r="L146" s="149"/>
      <c r="N146" s="217">
        <f>9.81*1*(2.2-0.45)*0.9</f>
        <v>15.450750000000005</v>
      </c>
      <c r="O146" s="218" t="s">
        <v>3748</v>
      </c>
      <c r="Q146" s="231"/>
      <c r="BX146" s="154"/>
      <c r="CE146" s="155"/>
      <c r="DE146" s="150" t="s">
        <v>301</v>
      </c>
      <c r="DF146" s="150" t="s">
        <v>83</v>
      </c>
      <c r="DG146" s="12" t="s">
        <v>83</v>
      </c>
      <c r="DH146" s="12" t="s">
        <v>32</v>
      </c>
      <c r="DI146" s="12" t="s">
        <v>74</v>
      </c>
      <c r="DJ146" s="150" t="s">
        <v>282</v>
      </c>
    </row>
    <row r="147" spans="2:128" s="11" customFormat="1" x14ac:dyDescent="0.2">
      <c r="B147" s="143"/>
      <c r="D147" s="138" t="s">
        <v>301</v>
      </c>
      <c r="E147" s="144" t="s">
        <v>1</v>
      </c>
      <c r="F147" s="145" t="s">
        <v>968</v>
      </c>
      <c r="H147" s="144" t="s">
        <v>1</v>
      </c>
      <c r="I147" s="146"/>
      <c r="L147" s="143"/>
      <c r="N147" s="215"/>
      <c r="O147" s="216"/>
      <c r="Q147" s="230"/>
      <c r="BX147" s="147"/>
      <c r="CE147" s="148"/>
      <c r="DE147" s="144" t="s">
        <v>301</v>
      </c>
      <c r="DF147" s="144" t="s">
        <v>83</v>
      </c>
      <c r="DG147" s="11" t="s">
        <v>81</v>
      </c>
      <c r="DH147" s="11" t="s">
        <v>32</v>
      </c>
      <c r="DI147" s="11" t="s">
        <v>74</v>
      </c>
      <c r="DJ147" s="144" t="s">
        <v>282</v>
      </c>
    </row>
    <row r="148" spans="2:128" s="12" customFormat="1" x14ac:dyDescent="0.2">
      <c r="B148" s="149"/>
      <c r="D148" s="138" t="s">
        <v>301</v>
      </c>
      <c r="E148" s="150" t="s">
        <v>1</v>
      </c>
      <c r="F148" s="151" t="s">
        <v>1392</v>
      </c>
      <c r="H148" s="152">
        <v>2.625</v>
      </c>
      <c r="I148" s="153"/>
      <c r="L148" s="149"/>
      <c r="N148" s="217">
        <f>9.81*1*(2.2-0.1)*0.1</f>
        <v>2.0601000000000003</v>
      </c>
      <c r="O148" s="218" t="s">
        <v>3749</v>
      </c>
      <c r="Q148" s="231"/>
      <c r="BX148" s="154"/>
      <c r="CE148" s="155"/>
      <c r="DE148" s="150" t="s">
        <v>301</v>
      </c>
      <c r="DF148" s="150" t="s">
        <v>83</v>
      </c>
      <c r="DG148" s="12" t="s">
        <v>83</v>
      </c>
      <c r="DH148" s="12" t="s">
        <v>32</v>
      </c>
      <c r="DI148" s="12" t="s">
        <v>74</v>
      </c>
      <c r="DJ148" s="150" t="s">
        <v>282</v>
      </c>
    </row>
    <row r="149" spans="2:128" s="14" customFormat="1" x14ac:dyDescent="0.2">
      <c r="B149" s="163"/>
      <c r="D149" s="138" t="s">
        <v>301</v>
      </c>
      <c r="E149" s="164" t="s">
        <v>1</v>
      </c>
      <c r="F149" s="165" t="s">
        <v>373</v>
      </c>
      <c r="H149" s="166">
        <v>22.312999999999999</v>
      </c>
      <c r="I149" s="167"/>
      <c r="L149" s="163"/>
      <c r="N149" s="221">
        <f>N146+N148</f>
        <v>17.510850000000005</v>
      </c>
      <c r="O149" s="222"/>
      <c r="Q149" s="233"/>
      <c r="BX149" s="168"/>
      <c r="CE149" s="169"/>
      <c r="DE149" s="164" t="s">
        <v>301</v>
      </c>
      <c r="DF149" s="164" t="s">
        <v>83</v>
      </c>
      <c r="DG149" s="14" t="s">
        <v>90</v>
      </c>
      <c r="DH149" s="14" t="s">
        <v>32</v>
      </c>
      <c r="DI149" s="14" t="s">
        <v>74</v>
      </c>
      <c r="DJ149" s="164" t="s">
        <v>282</v>
      </c>
    </row>
    <row r="150" spans="2:128" s="12" customFormat="1" x14ac:dyDescent="0.2">
      <c r="B150" s="149"/>
      <c r="D150" s="138" t="s">
        <v>301</v>
      </c>
      <c r="E150" s="150" t="s">
        <v>1</v>
      </c>
      <c r="F150" s="151" t="s">
        <v>1393</v>
      </c>
      <c r="H150" s="152">
        <v>11.157</v>
      </c>
      <c r="I150" s="153"/>
      <c r="L150" s="149"/>
      <c r="N150" s="217">
        <f>N149*0.5</f>
        <v>8.7554250000000025</v>
      </c>
      <c r="O150" s="218"/>
      <c r="Q150" s="231"/>
      <c r="BX150" s="154"/>
      <c r="CE150" s="155"/>
      <c r="DE150" s="150" t="s">
        <v>301</v>
      </c>
      <c r="DF150" s="150" t="s">
        <v>83</v>
      </c>
      <c r="DG150" s="12" t="s">
        <v>83</v>
      </c>
      <c r="DH150" s="12" t="s">
        <v>32</v>
      </c>
      <c r="DI150" s="12" t="s">
        <v>81</v>
      </c>
      <c r="DJ150" s="150" t="s">
        <v>282</v>
      </c>
    </row>
    <row r="151" spans="2:128" s="12" customFormat="1" x14ac:dyDescent="0.2">
      <c r="B151" s="149"/>
      <c r="D151" s="138"/>
      <c r="E151" s="150"/>
      <c r="F151" s="151"/>
      <c r="H151" s="152"/>
      <c r="I151" s="153"/>
      <c r="L151" s="149"/>
      <c r="N151" s="310">
        <f>N150-H150</f>
        <v>-2.4015749999999976</v>
      </c>
      <c r="O151" s="218"/>
      <c r="Q151" s="231"/>
      <c r="BX151" s="154"/>
      <c r="CE151" s="155"/>
      <c r="DE151" s="150"/>
      <c r="DF151" s="150"/>
      <c r="DJ151" s="150"/>
    </row>
    <row r="152" spans="2:128" s="1" customFormat="1" ht="24.2" customHeight="1" x14ac:dyDescent="0.2">
      <c r="B152" s="124"/>
      <c r="C152" s="125" t="s">
        <v>318</v>
      </c>
      <c r="D152" s="125" t="s">
        <v>284</v>
      </c>
      <c r="E152" s="126" t="s">
        <v>375</v>
      </c>
      <c r="F152" s="127" t="s">
        <v>376</v>
      </c>
      <c r="G152" s="128" t="s">
        <v>366</v>
      </c>
      <c r="H152" s="129">
        <v>11.157</v>
      </c>
      <c r="I152" s="130">
        <v>390.55963566140201</v>
      </c>
      <c r="J152" s="131">
        <f>ROUND(I152*H152,2)</f>
        <v>4357.47</v>
      </c>
      <c r="K152" s="127" t="s">
        <v>293</v>
      </c>
      <c r="L152" s="268">
        <f>S152</f>
        <v>0</v>
      </c>
      <c r="M152" s="272">
        <f>ROUND(L152*I152,2)</f>
        <v>0</v>
      </c>
      <c r="N152" s="243">
        <f>N142</f>
        <v>-2.4015749999999976</v>
      </c>
      <c r="O152" s="294">
        <f>ROUND(N152*I152,2)</f>
        <v>-937.96</v>
      </c>
      <c r="P152" s="273">
        <f>H152-L152-N152</f>
        <v>13.558574999999998</v>
      </c>
      <c r="Q152" s="287">
        <f>ROUND(P152*I152,2)</f>
        <v>5295.43</v>
      </c>
      <c r="R152" s="137"/>
      <c r="S152" s="269">
        <f>W152+Y152+AA152+AC152+AE152+AG152</f>
        <v>0</v>
      </c>
      <c r="T152" s="269">
        <f>ROUND(S152*I152,2)</f>
        <v>0</v>
      </c>
      <c r="U152" s="269">
        <f>H152-S152</f>
        <v>11.157</v>
      </c>
      <c r="V152" s="269">
        <f>ROUND(U152*I152,2)</f>
        <v>4357.47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BX152" s="132" t="s">
        <v>1</v>
      </c>
      <c r="BY152" s="133" t="s">
        <v>40</v>
      </c>
      <c r="CA152" s="134">
        <f>BZ152*H152</f>
        <v>0</v>
      </c>
      <c r="CB152" s="134">
        <v>0</v>
      </c>
      <c r="CC152" s="134">
        <f>CB152*H152</f>
        <v>0</v>
      </c>
      <c r="CD152" s="134">
        <v>0</v>
      </c>
      <c r="CE152" s="135">
        <f>CD152*H152</f>
        <v>0</v>
      </c>
      <c r="DC152" s="136" t="s">
        <v>95</v>
      </c>
      <c r="DE152" s="136" t="s">
        <v>284</v>
      </c>
      <c r="DF152" s="136" t="s">
        <v>83</v>
      </c>
      <c r="DJ152" s="16" t="s">
        <v>282</v>
      </c>
      <c r="DP152" s="137">
        <f>IF(BY152="základní",J152,0)</f>
        <v>4357.47</v>
      </c>
      <c r="DQ152" s="137">
        <f>IF(BY152="snížená",J152,0)</f>
        <v>0</v>
      </c>
      <c r="DR152" s="137">
        <f>IF(BY152="zákl. přenesená",J152,0)</f>
        <v>0</v>
      </c>
      <c r="DS152" s="137">
        <f>IF(BY152="sníž. přenesená",J152,0)</f>
        <v>0</v>
      </c>
      <c r="DT152" s="137">
        <f>IF(BY152="nulová",J152,0)</f>
        <v>0</v>
      </c>
      <c r="DU152" s="16" t="s">
        <v>81</v>
      </c>
      <c r="DV152" s="137">
        <f>ROUND(I152*H152,2)</f>
        <v>4357.47</v>
      </c>
      <c r="DW152" s="16" t="s">
        <v>95</v>
      </c>
      <c r="DX152" s="136" t="s">
        <v>377</v>
      </c>
    </row>
    <row r="153" spans="2:128" s="1" customFormat="1" ht="39" x14ac:dyDescent="0.2">
      <c r="B153" s="31"/>
      <c r="D153" s="138" t="s">
        <v>289</v>
      </c>
      <c r="F153" s="139" t="s">
        <v>378</v>
      </c>
      <c r="I153" s="140"/>
      <c r="L153" s="31"/>
      <c r="N153" s="213"/>
      <c r="O153" s="214"/>
      <c r="Q153" s="229"/>
      <c r="BX153" s="141"/>
      <c r="CE153" s="50"/>
      <c r="DE153" s="16" t="s">
        <v>289</v>
      </c>
      <c r="DF153" s="16" t="s">
        <v>83</v>
      </c>
    </row>
    <row r="154" spans="2:128" s="1" customFormat="1" ht="39" x14ac:dyDescent="0.2">
      <c r="B154" s="31"/>
      <c r="D154" s="138" t="s">
        <v>299</v>
      </c>
      <c r="F154" s="142" t="s">
        <v>1090</v>
      </c>
      <c r="I154" s="140"/>
      <c r="L154" s="31"/>
      <c r="N154" s="213"/>
      <c r="O154" s="214"/>
      <c r="Q154" s="229"/>
      <c r="BX154" s="141"/>
      <c r="CE154" s="50"/>
      <c r="DE154" s="16" t="s">
        <v>299</v>
      </c>
      <c r="DF154" s="16" t="s">
        <v>83</v>
      </c>
    </row>
    <row r="155" spans="2:128" s="1" customFormat="1" ht="24.2" customHeight="1" x14ac:dyDescent="0.2">
      <c r="B155" s="124"/>
      <c r="C155" s="125" t="s">
        <v>323</v>
      </c>
      <c r="D155" s="125" t="s">
        <v>284</v>
      </c>
      <c r="E155" s="126" t="s">
        <v>380</v>
      </c>
      <c r="F155" s="127" t="s">
        <v>381</v>
      </c>
      <c r="G155" s="128" t="s">
        <v>366</v>
      </c>
      <c r="H155" s="129">
        <v>4.4630000000000001</v>
      </c>
      <c r="I155" s="130">
        <v>650.27058629099099</v>
      </c>
      <c r="J155" s="131">
        <f>ROUND(I155*H155,2)</f>
        <v>2902.16</v>
      </c>
      <c r="K155" s="127" t="s">
        <v>293</v>
      </c>
      <c r="L155" s="268">
        <f>S155</f>
        <v>0</v>
      </c>
      <c r="M155" s="272">
        <f>ROUND(L155*I155,2)</f>
        <v>0</v>
      </c>
      <c r="N155" s="243">
        <f>N159</f>
        <v>-0.96099999999999941</v>
      </c>
      <c r="O155" s="294">
        <f>ROUND(N155*I155,2)</f>
        <v>-624.91</v>
      </c>
      <c r="P155" s="273">
        <f>H155-L155-N155</f>
        <v>5.4239999999999995</v>
      </c>
      <c r="Q155" s="287">
        <f>ROUND(P155*I155,2)</f>
        <v>3527.07</v>
      </c>
      <c r="R155" s="137"/>
      <c r="S155" s="269">
        <f>W155+Y155+AA155+AC155+AE155+AG155</f>
        <v>0</v>
      </c>
      <c r="T155" s="269">
        <f>ROUND(S155*I155,2)</f>
        <v>0</v>
      </c>
      <c r="U155" s="269">
        <f>H155-S155</f>
        <v>4.4630000000000001</v>
      </c>
      <c r="V155" s="269">
        <f>ROUND(U155*I155,2)</f>
        <v>2902.16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BX155" s="132" t="s">
        <v>1</v>
      </c>
      <c r="BY155" s="133" t="s">
        <v>40</v>
      </c>
      <c r="CA155" s="134">
        <f>BZ155*H155</f>
        <v>0</v>
      </c>
      <c r="CB155" s="134">
        <v>0</v>
      </c>
      <c r="CC155" s="134">
        <f>CB155*H155</f>
        <v>0</v>
      </c>
      <c r="CD155" s="134">
        <v>0</v>
      </c>
      <c r="CE155" s="135">
        <f>CD155*H155</f>
        <v>0</v>
      </c>
      <c r="DC155" s="136" t="s">
        <v>95</v>
      </c>
      <c r="DE155" s="136" t="s">
        <v>284</v>
      </c>
      <c r="DF155" s="136" t="s">
        <v>83</v>
      </c>
      <c r="DJ155" s="16" t="s">
        <v>282</v>
      </c>
      <c r="DP155" s="137">
        <f>IF(BY155="základní",J155,0)</f>
        <v>2902.16</v>
      </c>
      <c r="DQ155" s="137">
        <f>IF(BY155="snížená",J155,0)</f>
        <v>0</v>
      </c>
      <c r="DR155" s="137">
        <f>IF(BY155="zákl. přenesená",J155,0)</f>
        <v>0</v>
      </c>
      <c r="DS155" s="137">
        <f>IF(BY155="sníž. přenesená",J155,0)</f>
        <v>0</v>
      </c>
      <c r="DT155" s="137">
        <f>IF(BY155="nulová",J155,0)</f>
        <v>0</v>
      </c>
      <c r="DU155" s="16" t="s">
        <v>81</v>
      </c>
      <c r="DV155" s="137">
        <f>ROUND(I155*H155,2)</f>
        <v>2902.16</v>
      </c>
      <c r="DW155" s="16" t="s">
        <v>95</v>
      </c>
      <c r="DX155" s="136" t="s">
        <v>382</v>
      </c>
    </row>
    <row r="156" spans="2:128" s="1" customFormat="1" ht="29.25" x14ac:dyDescent="0.2">
      <c r="B156" s="31"/>
      <c r="D156" s="138" t="s">
        <v>289</v>
      </c>
      <c r="F156" s="139" t="s">
        <v>383</v>
      </c>
      <c r="I156" s="140"/>
      <c r="L156" s="31"/>
      <c r="N156" s="213"/>
      <c r="O156" s="214"/>
      <c r="Q156" s="229"/>
      <c r="BX156" s="141"/>
      <c r="CE156" s="50"/>
      <c r="DE156" s="16" t="s">
        <v>289</v>
      </c>
      <c r="DF156" s="16" t="s">
        <v>83</v>
      </c>
    </row>
    <row r="157" spans="2:128" s="11" customFormat="1" x14ac:dyDescent="0.2">
      <c r="B157" s="143"/>
      <c r="D157" s="138" t="s">
        <v>301</v>
      </c>
      <c r="E157" s="144" t="s">
        <v>1</v>
      </c>
      <c r="F157" s="145" t="s">
        <v>384</v>
      </c>
      <c r="H157" s="144" t="s">
        <v>1</v>
      </c>
      <c r="I157" s="146"/>
      <c r="L157" s="143"/>
      <c r="N157" s="215"/>
      <c r="O157" s="216"/>
      <c r="Q157" s="230"/>
      <c r="BX157" s="147"/>
      <c r="CE157" s="148"/>
      <c r="DE157" s="144" t="s">
        <v>301</v>
      </c>
      <c r="DF157" s="144" t="s">
        <v>83</v>
      </c>
      <c r="DG157" s="11" t="s">
        <v>81</v>
      </c>
      <c r="DH157" s="11" t="s">
        <v>32</v>
      </c>
      <c r="DI157" s="11" t="s">
        <v>74</v>
      </c>
      <c r="DJ157" s="144" t="s">
        <v>282</v>
      </c>
    </row>
    <row r="158" spans="2:128" s="12" customFormat="1" x14ac:dyDescent="0.2">
      <c r="B158" s="149"/>
      <c r="D158" s="138" t="s">
        <v>301</v>
      </c>
      <c r="E158" s="150" t="s">
        <v>1</v>
      </c>
      <c r="F158" s="151" t="s">
        <v>1394</v>
      </c>
      <c r="H158" s="152">
        <v>4.4630000000000001</v>
      </c>
      <c r="I158" s="153"/>
      <c r="L158" s="149"/>
      <c r="N158" s="217">
        <f>(8.755+8.755)*0.2</f>
        <v>3.5020000000000007</v>
      </c>
      <c r="O158" s="218" t="s">
        <v>3750</v>
      </c>
      <c r="Q158" s="231"/>
      <c r="BX158" s="154"/>
      <c r="CE158" s="155"/>
      <c r="DE158" s="150" t="s">
        <v>301</v>
      </c>
      <c r="DF158" s="150" t="s">
        <v>83</v>
      </c>
      <c r="DG158" s="12" t="s">
        <v>83</v>
      </c>
      <c r="DH158" s="12" t="s">
        <v>32</v>
      </c>
      <c r="DI158" s="12" t="s">
        <v>81</v>
      </c>
      <c r="DJ158" s="150" t="s">
        <v>282</v>
      </c>
    </row>
    <row r="159" spans="2:128" s="12" customFormat="1" x14ac:dyDescent="0.2">
      <c r="B159" s="149"/>
      <c r="D159" s="138"/>
      <c r="E159" s="150"/>
      <c r="F159" s="151"/>
      <c r="H159" s="152"/>
      <c r="I159" s="153"/>
      <c r="L159" s="149"/>
      <c r="N159" s="310">
        <f>N158-H158</f>
        <v>-0.96099999999999941</v>
      </c>
      <c r="O159" s="218"/>
      <c r="Q159" s="231"/>
      <c r="BX159" s="154"/>
      <c r="CE159" s="155"/>
      <c r="DE159" s="150"/>
      <c r="DF159" s="150"/>
      <c r="DJ159" s="150"/>
    </row>
    <row r="160" spans="2:128" s="1" customFormat="1" ht="14.45" customHeight="1" x14ac:dyDescent="0.2">
      <c r="B160" s="124"/>
      <c r="C160" s="125" t="s">
        <v>328</v>
      </c>
      <c r="D160" s="125" t="s">
        <v>284</v>
      </c>
      <c r="E160" s="126" t="s">
        <v>387</v>
      </c>
      <c r="F160" s="127" t="s">
        <v>388</v>
      </c>
      <c r="G160" s="128" t="s">
        <v>287</v>
      </c>
      <c r="H160" s="129">
        <v>55</v>
      </c>
      <c r="I160" s="130">
        <v>156.6895922457376</v>
      </c>
      <c r="J160" s="131">
        <f>ROUND(I160*H160,2)</f>
        <v>8617.93</v>
      </c>
      <c r="K160" s="127" t="s">
        <v>293</v>
      </c>
      <c r="L160" s="268">
        <f>S160</f>
        <v>0</v>
      </c>
      <c r="M160" s="272">
        <f>ROUND(L160*I160,2)</f>
        <v>0</v>
      </c>
      <c r="N160" s="243">
        <f>N164</f>
        <v>-11.835999999999991</v>
      </c>
      <c r="O160" s="294">
        <f>ROUND(N160*I160,2)</f>
        <v>-1854.58</v>
      </c>
      <c r="P160" s="273">
        <f>H160-L160-N160</f>
        <v>66.835999999999984</v>
      </c>
      <c r="Q160" s="287">
        <f>ROUND(P160*I160,2)</f>
        <v>10472.51</v>
      </c>
      <c r="R160" s="137"/>
      <c r="S160" s="269">
        <f>W160+Y160+AA160+AC160+AE160+AG160</f>
        <v>0</v>
      </c>
      <c r="T160" s="269">
        <f>ROUND(S160*I160,2)</f>
        <v>0</v>
      </c>
      <c r="U160" s="269">
        <f>H160-S160</f>
        <v>55</v>
      </c>
      <c r="V160" s="269">
        <f>ROUND(U160*I160,2)</f>
        <v>8617.93</v>
      </c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BX160" s="132" t="s">
        <v>1</v>
      </c>
      <c r="BY160" s="133" t="s">
        <v>40</v>
      </c>
      <c r="CA160" s="134">
        <f>BZ160*H160</f>
        <v>0</v>
      </c>
      <c r="CB160" s="134">
        <v>5.9000000000000003E-4</v>
      </c>
      <c r="CC160" s="134">
        <f>CB160*H160</f>
        <v>3.245E-2</v>
      </c>
      <c r="CD160" s="134">
        <v>0</v>
      </c>
      <c r="CE160" s="135">
        <f>CD160*H160</f>
        <v>0</v>
      </c>
      <c r="DC160" s="136" t="s">
        <v>95</v>
      </c>
      <c r="DE160" s="136" t="s">
        <v>284</v>
      </c>
      <c r="DF160" s="136" t="s">
        <v>83</v>
      </c>
      <c r="DJ160" s="16" t="s">
        <v>282</v>
      </c>
      <c r="DP160" s="137">
        <f>IF(BY160="základní",J160,0)</f>
        <v>8617.93</v>
      </c>
      <c r="DQ160" s="137">
        <f>IF(BY160="snížená",J160,0)</f>
        <v>0</v>
      </c>
      <c r="DR160" s="137">
        <f>IF(BY160="zákl. přenesená",J160,0)</f>
        <v>0</v>
      </c>
      <c r="DS160" s="137">
        <f>IF(BY160="sníž. přenesená",J160,0)</f>
        <v>0</v>
      </c>
      <c r="DT160" s="137">
        <f>IF(BY160="nulová",J160,0)</f>
        <v>0</v>
      </c>
      <c r="DU160" s="16" t="s">
        <v>81</v>
      </c>
      <c r="DV160" s="137">
        <f>ROUND(I160*H160,2)</f>
        <v>8617.93</v>
      </c>
      <c r="DW160" s="16" t="s">
        <v>95</v>
      </c>
      <c r="DX160" s="136" t="s">
        <v>389</v>
      </c>
    </row>
    <row r="161" spans="2:128" s="1" customFormat="1" ht="19.5" x14ac:dyDescent="0.2">
      <c r="B161" s="31"/>
      <c r="D161" s="138" t="s">
        <v>289</v>
      </c>
      <c r="F161" s="139" t="s">
        <v>390</v>
      </c>
      <c r="I161" s="140"/>
      <c r="L161" s="31"/>
      <c r="N161" s="213"/>
      <c r="O161" s="214"/>
      <c r="Q161" s="229"/>
      <c r="BX161" s="141"/>
      <c r="CE161" s="50"/>
      <c r="DE161" s="16" t="s">
        <v>289</v>
      </c>
      <c r="DF161" s="16" t="s">
        <v>83</v>
      </c>
    </row>
    <row r="162" spans="2:128" s="1" customFormat="1" ht="29.25" x14ac:dyDescent="0.2">
      <c r="B162" s="31"/>
      <c r="D162" s="138" t="s">
        <v>299</v>
      </c>
      <c r="F162" s="142" t="s">
        <v>1083</v>
      </c>
      <c r="I162" s="140"/>
      <c r="L162" s="31"/>
      <c r="N162" s="213"/>
      <c r="O162" s="214"/>
      <c r="Q162" s="229"/>
      <c r="BX162" s="141"/>
      <c r="CE162" s="50"/>
      <c r="DE162" s="16" t="s">
        <v>299</v>
      </c>
      <c r="DF162" s="16" t="s">
        <v>83</v>
      </c>
    </row>
    <row r="163" spans="2:128" s="12" customFormat="1" x14ac:dyDescent="0.2">
      <c r="B163" s="149"/>
      <c r="D163" s="138" t="s">
        <v>301</v>
      </c>
      <c r="E163" s="150" t="s">
        <v>1</v>
      </c>
      <c r="F163" s="151" t="s">
        <v>1395</v>
      </c>
      <c r="H163" s="152">
        <v>55</v>
      </c>
      <c r="I163" s="153"/>
      <c r="L163" s="149"/>
      <c r="N163" s="217">
        <f>9.81*2.2*2</f>
        <v>43.164000000000009</v>
      </c>
      <c r="O163" s="218" t="s">
        <v>3751</v>
      </c>
      <c r="Q163" s="231"/>
      <c r="BX163" s="154"/>
      <c r="CE163" s="155"/>
      <c r="DE163" s="150" t="s">
        <v>301</v>
      </c>
      <c r="DF163" s="150" t="s">
        <v>83</v>
      </c>
      <c r="DG163" s="12" t="s">
        <v>83</v>
      </c>
      <c r="DH163" s="12" t="s">
        <v>32</v>
      </c>
      <c r="DI163" s="12" t="s">
        <v>81</v>
      </c>
      <c r="DJ163" s="150" t="s">
        <v>282</v>
      </c>
    </row>
    <row r="164" spans="2:128" s="12" customFormat="1" x14ac:dyDescent="0.2">
      <c r="B164" s="149"/>
      <c r="D164" s="138"/>
      <c r="E164" s="150"/>
      <c r="F164" s="151"/>
      <c r="H164" s="152"/>
      <c r="I164" s="153"/>
      <c r="L164" s="149"/>
      <c r="N164" s="310">
        <f>N163-H163</f>
        <v>-11.835999999999991</v>
      </c>
      <c r="O164" s="218"/>
      <c r="Q164" s="231"/>
      <c r="BX164" s="154"/>
      <c r="CE164" s="155"/>
      <c r="DE164" s="150"/>
      <c r="DF164" s="150"/>
      <c r="DJ164" s="150"/>
    </row>
    <row r="165" spans="2:128" s="1" customFormat="1" ht="14.45" customHeight="1" x14ac:dyDescent="0.2">
      <c r="B165" s="124"/>
      <c r="C165" s="125" t="s">
        <v>335</v>
      </c>
      <c r="D165" s="125" t="s">
        <v>284</v>
      </c>
      <c r="E165" s="126" t="s">
        <v>393</v>
      </c>
      <c r="F165" s="127" t="s">
        <v>394</v>
      </c>
      <c r="G165" s="128" t="s">
        <v>287</v>
      </c>
      <c r="H165" s="129">
        <v>55</v>
      </c>
      <c r="I165" s="130">
        <v>103.33666316345877</v>
      </c>
      <c r="J165" s="131">
        <f>ROUND(I165*H165,2)</f>
        <v>5683.52</v>
      </c>
      <c r="K165" s="127" t="s">
        <v>293</v>
      </c>
      <c r="L165" s="268">
        <f>S165</f>
        <v>0</v>
      </c>
      <c r="M165" s="272">
        <f>ROUND(L165*I165,2)</f>
        <v>0</v>
      </c>
      <c r="N165" s="243">
        <f>N160</f>
        <v>-11.835999999999991</v>
      </c>
      <c r="O165" s="294">
        <f>ROUND(N165*I165,2)</f>
        <v>-1223.0899999999999</v>
      </c>
      <c r="P165" s="273">
        <f>H165-L165-N165</f>
        <v>66.835999999999984</v>
      </c>
      <c r="Q165" s="287">
        <f>ROUND(P165*I165,2)</f>
        <v>6906.61</v>
      </c>
      <c r="R165" s="137"/>
      <c r="S165" s="269">
        <f>W165+Y165+AA165+AC165+AE165+AG165</f>
        <v>0</v>
      </c>
      <c r="T165" s="269">
        <f>ROUND(S165*I165,2)</f>
        <v>0</v>
      </c>
      <c r="U165" s="269">
        <f>H165-S165</f>
        <v>55</v>
      </c>
      <c r="V165" s="269">
        <f>ROUND(U165*I165,2)</f>
        <v>5683.52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BX165" s="132" t="s">
        <v>1</v>
      </c>
      <c r="BY165" s="133" t="s">
        <v>40</v>
      </c>
      <c r="CA165" s="134">
        <f>BZ165*H165</f>
        <v>0</v>
      </c>
      <c r="CB165" s="134">
        <v>0</v>
      </c>
      <c r="CC165" s="134">
        <f>CB165*H165</f>
        <v>0</v>
      </c>
      <c r="CD165" s="134">
        <v>0</v>
      </c>
      <c r="CE165" s="135">
        <f>CD165*H165</f>
        <v>0</v>
      </c>
      <c r="DC165" s="136" t="s">
        <v>95</v>
      </c>
      <c r="DE165" s="136" t="s">
        <v>284</v>
      </c>
      <c r="DF165" s="136" t="s">
        <v>83</v>
      </c>
      <c r="DJ165" s="16" t="s">
        <v>282</v>
      </c>
      <c r="DP165" s="137">
        <f>IF(BY165="základní",J165,0)</f>
        <v>5683.52</v>
      </c>
      <c r="DQ165" s="137">
        <f>IF(BY165="snížená",J165,0)</f>
        <v>0</v>
      </c>
      <c r="DR165" s="137">
        <f>IF(BY165="zákl. přenesená",J165,0)</f>
        <v>0</v>
      </c>
      <c r="DS165" s="137">
        <f>IF(BY165="sníž. přenesená",J165,0)</f>
        <v>0</v>
      </c>
      <c r="DT165" s="137">
        <f>IF(BY165="nulová",J165,0)</f>
        <v>0</v>
      </c>
      <c r="DU165" s="16" t="s">
        <v>81</v>
      </c>
      <c r="DV165" s="137">
        <f>ROUND(I165*H165,2)</f>
        <v>5683.52</v>
      </c>
      <c r="DW165" s="16" t="s">
        <v>95</v>
      </c>
      <c r="DX165" s="136" t="s">
        <v>395</v>
      </c>
    </row>
    <row r="166" spans="2:128" s="1" customFormat="1" ht="19.5" x14ac:dyDescent="0.2">
      <c r="B166" s="31"/>
      <c r="D166" s="138" t="s">
        <v>289</v>
      </c>
      <c r="F166" s="139" t="s">
        <v>396</v>
      </c>
      <c r="I166" s="140"/>
      <c r="L166" s="31"/>
      <c r="N166" s="213"/>
      <c r="O166" s="214"/>
      <c r="Q166" s="229"/>
      <c r="BX166" s="141"/>
      <c r="CE166" s="50"/>
      <c r="DE166" s="16" t="s">
        <v>289</v>
      </c>
      <c r="DF166" s="16" t="s">
        <v>83</v>
      </c>
    </row>
    <row r="167" spans="2:128" s="1" customFormat="1" ht="37.9" customHeight="1" x14ac:dyDescent="0.2">
      <c r="B167" s="124"/>
      <c r="C167" s="125" t="s">
        <v>341</v>
      </c>
      <c r="D167" s="125" t="s">
        <v>284</v>
      </c>
      <c r="E167" s="126" t="s">
        <v>398</v>
      </c>
      <c r="F167" s="127" t="s">
        <v>399</v>
      </c>
      <c r="G167" s="128" t="s">
        <v>366</v>
      </c>
      <c r="H167" s="129">
        <v>22.689</v>
      </c>
      <c r="I167" s="130">
        <v>262.06861194786097</v>
      </c>
      <c r="J167" s="131">
        <f>ROUND(I167*H167,2)</f>
        <v>5946.07</v>
      </c>
      <c r="K167" s="127" t="s">
        <v>293</v>
      </c>
      <c r="L167" s="268">
        <f>S167</f>
        <v>0</v>
      </c>
      <c r="M167" s="272">
        <f>ROUND(L167*I167,2)</f>
        <v>0</v>
      </c>
      <c r="N167" s="243">
        <f>N174</f>
        <v>-4.8846999999999987</v>
      </c>
      <c r="O167" s="294">
        <f>ROUND(N167*I167,2)</f>
        <v>-1280.1300000000001</v>
      </c>
      <c r="P167" s="273">
        <f>H167-L167-N167</f>
        <v>27.573699999999999</v>
      </c>
      <c r="Q167" s="287">
        <f>ROUND(P167*I167,2)</f>
        <v>7226.2</v>
      </c>
      <c r="R167" s="137"/>
      <c r="S167" s="269">
        <f>W167+Y167+AA167+AC167+AE167+AG167</f>
        <v>0</v>
      </c>
      <c r="T167" s="269">
        <f>ROUND(S167*I167,2)</f>
        <v>0</v>
      </c>
      <c r="U167" s="269">
        <f>H167-S167</f>
        <v>22.689</v>
      </c>
      <c r="V167" s="269">
        <f>ROUND(U167*I167,2)</f>
        <v>5946.07</v>
      </c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BX167" s="132" t="s">
        <v>1</v>
      </c>
      <c r="BY167" s="133" t="s">
        <v>40</v>
      </c>
      <c r="CA167" s="134">
        <f>BZ167*H167</f>
        <v>0</v>
      </c>
      <c r="CB167" s="134">
        <v>0</v>
      </c>
      <c r="CC167" s="134">
        <f>CB167*H167</f>
        <v>0</v>
      </c>
      <c r="CD167" s="134">
        <v>0</v>
      </c>
      <c r="CE167" s="135">
        <f>CD167*H167</f>
        <v>0</v>
      </c>
      <c r="DC167" s="136" t="s">
        <v>95</v>
      </c>
      <c r="DE167" s="136" t="s">
        <v>284</v>
      </c>
      <c r="DF167" s="136" t="s">
        <v>83</v>
      </c>
      <c r="DJ167" s="16" t="s">
        <v>282</v>
      </c>
      <c r="DP167" s="137">
        <f>IF(BY167="základní",J167,0)</f>
        <v>5946.07</v>
      </c>
      <c r="DQ167" s="137">
        <f>IF(BY167="snížená",J167,0)</f>
        <v>0</v>
      </c>
      <c r="DR167" s="137">
        <f>IF(BY167="zákl. přenesená",J167,0)</f>
        <v>0</v>
      </c>
      <c r="DS167" s="137">
        <f>IF(BY167="sníž. přenesená",J167,0)</f>
        <v>0</v>
      </c>
      <c r="DT167" s="137">
        <f>IF(BY167="nulová",J167,0)</f>
        <v>0</v>
      </c>
      <c r="DU167" s="16" t="s">
        <v>81</v>
      </c>
      <c r="DV167" s="137">
        <f>ROUND(I167*H167,2)</f>
        <v>5946.07</v>
      </c>
      <c r="DW167" s="16" t="s">
        <v>95</v>
      </c>
      <c r="DX167" s="136" t="s">
        <v>400</v>
      </c>
    </row>
    <row r="168" spans="2:128" s="1" customFormat="1" ht="39" x14ac:dyDescent="0.2">
      <c r="B168" s="31"/>
      <c r="D168" s="138" t="s">
        <v>289</v>
      </c>
      <c r="F168" s="139" t="s">
        <v>401</v>
      </c>
      <c r="I168" s="140"/>
      <c r="L168" s="31"/>
      <c r="N168" s="213"/>
      <c r="O168" s="214"/>
      <c r="Q168" s="229"/>
      <c r="BX168" s="141"/>
      <c r="CE168" s="50"/>
      <c r="DE168" s="16" t="s">
        <v>289</v>
      </c>
      <c r="DF168" s="16" t="s">
        <v>83</v>
      </c>
    </row>
    <row r="169" spans="2:128" s="11" customFormat="1" x14ac:dyDescent="0.2">
      <c r="B169" s="143"/>
      <c r="D169" s="138" t="s">
        <v>301</v>
      </c>
      <c r="E169" s="144" t="s">
        <v>1</v>
      </c>
      <c r="F169" s="145" t="s">
        <v>402</v>
      </c>
      <c r="H169" s="144" t="s">
        <v>1</v>
      </c>
      <c r="I169" s="146"/>
      <c r="L169" s="143"/>
      <c r="N169" s="215"/>
      <c r="O169" s="216"/>
      <c r="Q169" s="230"/>
      <c r="BX169" s="147"/>
      <c r="CE169" s="148"/>
      <c r="DE169" s="144" t="s">
        <v>301</v>
      </c>
      <c r="DF169" s="144" t="s">
        <v>83</v>
      </c>
      <c r="DG169" s="11" t="s">
        <v>81</v>
      </c>
      <c r="DH169" s="11" t="s">
        <v>32</v>
      </c>
      <c r="DI169" s="11" t="s">
        <v>74</v>
      </c>
      <c r="DJ169" s="144" t="s">
        <v>282</v>
      </c>
    </row>
    <row r="170" spans="2:128" s="12" customFormat="1" x14ac:dyDescent="0.2">
      <c r="B170" s="149"/>
      <c r="D170" s="138" t="s">
        <v>301</v>
      </c>
      <c r="E170" s="150" t="s">
        <v>1</v>
      </c>
      <c r="F170" s="151" t="s">
        <v>1396</v>
      </c>
      <c r="H170" s="152">
        <v>22.314</v>
      </c>
      <c r="I170" s="153"/>
      <c r="L170" s="149"/>
      <c r="N170" s="217">
        <f>8.755+8.755</f>
        <v>17.510000000000002</v>
      </c>
      <c r="O170" s="218" t="s">
        <v>3752</v>
      </c>
      <c r="Q170" s="231"/>
      <c r="BX170" s="154"/>
      <c r="CE170" s="155"/>
      <c r="DE170" s="150" t="s">
        <v>301</v>
      </c>
      <c r="DF170" s="150" t="s">
        <v>83</v>
      </c>
      <c r="DG170" s="12" t="s">
        <v>83</v>
      </c>
      <c r="DH170" s="12" t="s">
        <v>32</v>
      </c>
      <c r="DI170" s="12" t="s">
        <v>74</v>
      </c>
      <c r="DJ170" s="150" t="s">
        <v>282</v>
      </c>
    </row>
    <row r="171" spans="2:128" s="11" customFormat="1" x14ac:dyDescent="0.2">
      <c r="B171" s="143"/>
      <c r="D171" s="138" t="s">
        <v>301</v>
      </c>
      <c r="E171" s="144" t="s">
        <v>1</v>
      </c>
      <c r="F171" s="145" t="s">
        <v>976</v>
      </c>
      <c r="H171" s="144" t="s">
        <v>1</v>
      </c>
      <c r="I171" s="146"/>
      <c r="L171" s="143"/>
      <c r="N171" s="215"/>
      <c r="O171" s="216"/>
      <c r="Q171" s="230"/>
      <c r="BX171" s="147"/>
      <c r="CE171" s="148"/>
      <c r="DE171" s="144" t="s">
        <v>301</v>
      </c>
      <c r="DF171" s="144" t="s">
        <v>83</v>
      </c>
      <c r="DG171" s="11" t="s">
        <v>81</v>
      </c>
      <c r="DH171" s="11" t="s">
        <v>32</v>
      </c>
      <c r="DI171" s="11" t="s">
        <v>74</v>
      </c>
      <c r="DJ171" s="144" t="s">
        <v>282</v>
      </c>
    </row>
    <row r="172" spans="2:128" s="12" customFormat="1" x14ac:dyDescent="0.2">
      <c r="B172" s="149"/>
      <c r="D172" s="138" t="s">
        <v>301</v>
      </c>
      <c r="E172" s="150" t="s">
        <v>1</v>
      </c>
      <c r="F172" s="151" t="s">
        <v>1397</v>
      </c>
      <c r="H172" s="152">
        <v>0.375</v>
      </c>
      <c r="I172" s="153"/>
      <c r="L172" s="149"/>
      <c r="N172" s="217">
        <f>2.943*0.1</f>
        <v>0.29430000000000001</v>
      </c>
      <c r="O172" s="218" t="s">
        <v>3753</v>
      </c>
      <c r="Q172" s="231"/>
      <c r="BX172" s="154"/>
      <c r="CE172" s="155"/>
      <c r="DE172" s="150" t="s">
        <v>301</v>
      </c>
      <c r="DF172" s="150" t="s">
        <v>83</v>
      </c>
      <c r="DG172" s="12" t="s">
        <v>83</v>
      </c>
      <c r="DH172" s="12" t="s">
        <v>32</v>
      </c>
      <c r="DI172" s="12" t="s">
        <v>74</v>
      </c>
      <c r="DJ172" s="150" t="s">
        <v>282</v>
      </c>
    </row>
    <row r="173" spans="2:128" s="13" customFormat="1" x14ac:dyDescent="0.2">
      <c r="B173" s="156"/>
      <c r="D173" s="138" t="s">
        <v>301</v>
      </c>
      <c r="E173" s="157" t="s">
        <v>1</v>
      </c>
      <c r="F173" s="158" t="s">
        <v>305</v>
      </c>
      <c r="H173" s="159">
        <v>22.689</v>
      </c>
      <c r="I173" s="160"/>
      <c r="L173" s="156"/>
      <c r="N173" s="219">
        <f>N170+N172</f>
        <v>17.804300000000001</v>
      </c>
      <c r="O173" s="220"/>
      <c r="Q173" s="232"/>
      <c r="BX173" s="161"/>
      <c r="CE173" s="162"/>
      <c r="DE173" s="157" t="s">
        <v>301</v>
      </c>
      <c r="DF173" s="157" t="s">
        <v>83</v>
      </c>
      <c r="DG173" s="13" t="s">
        <v>95</v>
      </c>
      <c r="DH173" s="13" t="s">
        <v>32</v>
      </c>
      <c r="DI173" s="13" t="s">
        <v>81</v>
      </c>
      <c r="DJ173" s="157" t="s">
        <v>282</v>
      </c>
    </row>
    <row r="174" spans="2:128" s="13" customFormat="1" x14ac:dyDescent="0.2">
      <c r="B174" s="156"/>
      <c r="D174" s="138"/>
      <c r="E174" s="157"/>
      <c r="F174" s="158"/>
      <c r="H174" s="159"/>
      <c r="I174" s="160"/>
      <c r="L174" s="156"/>
      <c r="N174" s="311">
        <f>N173-H173</f>
        <v>-4.8846999999999987</v>
      </c>
      <c r="O174" s="220"/>
      <c r="Q174" s="232"/>
      <c r="BX174" s="161"/>
      <c r="CE174" s="162"/>
      <c r="DE174" s="157"/>
      <c r="DF174" s="157"/>
      <c r="DJ174" s="157"/>
    </row>
    <row r="175" spans="2:128" s="1" customFormat="1" ht="37.9" customHeight="1" x14ac:dyDescent="0.2">
      <c r="B175" s="124"/>
      <c r="C175" s="125" t="s">
        <v>348</v>
      </c>
      <c r="D175" s="125" t="s">
        <v>284</v>
      </c>
      <c r="E175" s="126" t="s">
        <v>978</v>
      </c>
      <c r="F175" s="127" t="s">
        <v>979</v>
      </c>
      <c r="G175" s="128" t="s">
        <v>366</v>
      </c>
      <c r="H175" s="129">
        <v>2.3130000000000002</v>
      </c>
      <c r="I175" s="130">
        <v>282.06861194786097</v>
      </c>
      <c r="J175" s="131">
        <f>ROUND(I175*H175,2)</f>
        <v>652.41999999999996</v>
      </c>
      <c r="K175" s="127" t="s">
        <v>1</v>
      </c>
      <c r="L175" s="268">
        <f>S175</f>
        <v>0</v>
      </c>
      <c r="M175" s="272">
        <f>ROUND(L175*I175,2)</f>
        <v>0</v>
      </c>
      <c r="N175" s="243"/>
      <c r="O175" s="294">
        <f>ROUND(N175*I175,2)</f>
        <v>0</v>
      </c>
      <c r="P175" s="273">
        <f>H175-L175-N175</f>
        <v>2.3130000000000002</v>
      </c>
      <c r="Q175" s="287">
        <f>ROUND(P175*I175,2)</f>
        <v>652.41999999999996</v>
      </c>
      <c r="R175" s="137"/>
      <c r="S175" s="269">
        <f>W175+Y175+AA175+AC175+AE175+AG175</f>
        <v>0</v>
      </c>
      <c r="T175" s="269">
        <f>ROUND(S175*I175,2)</f>
        <v>0</v>
      </c>
      <c r="U175" s="269">
        <f>H175-S175</f>
        <v>2.3130000000000002</v>
      </c>
      <c r="V175" s="269">
        <f>ROUND(U175*I175,2)</f>
        <v>652.41999999999996</v>
      </c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BX175" s="132" t="s">
        <v>1</v>
      </c>
      <c r="BY175" s="133" t="s">
        <v>40</v>
      </c>
      <c r="CA175" s="134">
        <f>BZ175*H175</f>
        <v>0</v>
      </c>
      <c r="CB175" s="134">
        <v>0</v>
      </c>
      <c r="CC175" s="134">
        <f>CB175*H175</f>
        <v>0</v>
      </c>
      <c r="CD175" s="134">
        <v>0</v>
      </c>
      <c r="CE175" s="135">
        <f>CD175*H175</f>
        <v>0</v>
      </c>
      <c r="DC175" s="136" t="s">
        <v>95</v>
      </c>
      <c r="DE175" s="136" t="s">
        <v>284</v>
      </c>
      <c r="DF175" s="136" t="s">
        <v>83</v>
      </c>
      <c r="DJ175" s="16" t="s">
        <v>282</v>
      </c>
      <c r="DP175" s="137">
        <f>IF(BY175="základní",J175,0)</f>
        <v>652.41999999999996</v>
      </c>
      <c r="DQ175" s="137">
        <f>IF(BY175="snížená",J175,0)</f>
        <v>0</v>
      </c>
      <c r="DR175" s="137">
        <f>IF(BY175="zákl. přenesená",J175,0)</f>
        <v>0</v>
      </c>
      <c r="DS175" s="137">
        <f>IF(BY175="sníž. přenesená",J175,0)</f>
        <v>0</v>
      </c>
      <c r="DT175" s="137">
        <f>IF(BY175="nulová",J175,0)</f>
        <v>0</v>
      </c>
      <c r="DU175" s="16" t="s">
        <v>81</v>
      </c>
      <c r="DV175" s="137">
        <f>ROUND(I175*H175,2)</f>
        <v>652.41999999999996</v>
      </c>
      <c r="DW175" s="16" t="s">
        <v>95</v>
      </c>
      <c r="DX175" s="136" t="s">
        <v>980</v>
      </c>
    </row>
    <row r="176" spans="2:128" s="1" customFormat="1" ht="39" x14ac:dyDescent="0.2">
      <c r="B176" s="31"/>
      <c r="D176" s="138" t="s">
        <v>289</v>
      </c>
      <c r="F176" s="139" t="s">
        <v>401</v>
      </c>
      <c r="I176" s="140"/>
      <c r="L176" s="31"/>
      <c r="N176" s="213"/>
      <c r="O176" s="214"/>
      <c r="Q176" s="229"/>
      <c r="BX176" s="141"/>
      <c r="CE176" s="50"/>
      <c r="DE176" s="16" t="s">
        <v>289</v>
      </c>
      <c r="DF176" s="16" t="s">
        <v>83</v>
      </c>
    </row>
    <row r="177" spans="2:128" s="1" customFormat="1" ht="37.9" customHeight="1" x14ac:dyDescent="0.2">
      <c r="B177" s="124"/>
      <c r="C177" s="125" t="s">
        <v>327</v>
      </c>
      <c r="D177" s="125" t="s">
        <v>284</v>
      </c>
      <c r="E177" s="126" t="s">
        <v>405</v>
      </c>
      <c r="F177" s="127" t="s">
        <v>406</v>
      </c>
      <c r="G177" s="128" t="s">
        <v>366</v>
      </c>
      <c r="H177" s="129">
        <v>113.44499999999999</v>
      </c>
      <c r="I177" s="130">
        <v>3.4208109177592001</v>
      </c>
      <c r="J177" s="131">
        <f>ROUND(I177*H177,2)</f>
        <v>388.07</v>
      </c>
      <c r="K177" s="127" t="s">
        <v>293</v>
      </c>
      <c r="L177" s="268">
        <f>S177</f>
        <v>0</v>
      </c>
      <c r="M177" s="272">
        <f>ROUND(L177*I177,2)</f>
        <v>0</v>
      </c>
      <c r="N177" s="243">
        <f>N180</f>
        <v>-24.424999999999997</v>
      </c>
      <c r="O177" s="294">
        <f>ROUND(N177*I177,2)</f>
        <v>-83.55</v>
      </c>
      <c r="P177" s="273">
        <f>H177-L177-N177</f>
        <v>137.87</v>
      </c>
      <c r="Q177" s="287">
        <f>ROUND(P177*I177,2)</f>
        <v>471.63</v>
      </c>
      <c r="R177" s="137"/>
      <c r="S177" s="269">
        <f>W177+Y177+AA177+AC177+AE177+AG177</f>
        <v>0</v>
      </c>
      <c r="T177" s="269">
        <f>ROUND(S177*I177,2)</f>
        <v>0</v>
      </c>
      <c r="U177" s="269">
        <f>H177-S177</f>
        <v>113.44499999999999</v>
      </c>
      <c r="V177" s="269">
        <f>ROUND(U177*I177,2)</f>
        <v>388.07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BX177" s="132" t="s">
        <v>1</v>
      </c>
      <c r="BY177" s="133" t="s">
        <v>40</v>
      </c>
      <c r="CA177" s="134">
        <f>BZ177*H177</f>
        <v>0</v>
      </c>
      <c r="CB177" s="134">
        <v>0</v>
      </c>
      <c r="CC177" s="134">
        <f>CB177*H177</f>
        <v>0</v>
      </c>
      <c r="CD177" s="134">
        <v>0</v>
      </c>
      <c r="CE177" s="135">
        <f>CD177*H177</f>
        <v>0</v>
      </c>
      <c r="DC177" s="136" t="s">
        <v>95</v>
      </c>
      <c r="DE177" s="136" t="s">
        <v>284</v>
      </c>
      <c r="DF177" s="136" t="s">
        <v>83</v>
      </c>
      <c r="DJ177" s="16" t="s">
        <v>282</v>
      </c>
      <c r="DP177" s="137">
        <f>IF(BY177="základní",J177,0)</f>
        <v>388.07</v>
      </c>
      <c r="DQ177" s="137">
        <f>IF(BY177="snížená",J177,0)</f>
        <v>0</v>
      </c>
      <c r="DR177" s="137">
        <f>IF(BY177="zákl. přenesená",J177,0)</f>
        <v>0</v>
      </c>
      <c r="DS177" s="137">
        <f>IF(BY177="sníž. přenesená",J177,0)</f>
        <v>0</v>
      </c>
      <c r="DT177" s="137">
        <f>IF(BY177="nulová",J177,0)</f>
        <v>0</v>
      </c>
      <c r="DU177" s="16" t="s">
        <v>81</v>
      </c>
      <c r="DV177" s="137">
        <f>ROUND(I177*H177,2)</f>
        <v>388.07</v>
      </c>
      <c r="DW177" s="16" t="s">
        <v>95</v>
      </c>
      <c r="DX177" s="136" t="s">
        <v>407</v>
      </c>
    </row>
    <row r="178" spans="2:128" s="1" customFormat="1" ht="48.75" x14ac:dyDescent="0.2">
      <c r="B178" s="31"/>
      <c r="D178" s="138" t="s">
        <v>289</v>
      </c>
      <c r="F178" s="139" t="s">
        <v>408</v>
      </c>
      <c r="I178" s="140"/>
      <c r="L178" s="31"/>
      <c r="N178" s="213"/>
      <c r="O178" s="214"/>
      <c r="Q178" s="229"/>
      <c r="BX178" s="141"/>
      <c r="CE178" s="50"/>
      <c r="DE178" s="16" t="s">
        <v>289</v>
      </c>
      <c r="DF178" s="16" t="s">
        <v>83</v>
      </c>
    </row>
    <row r="179" spans="2:128" s="12" customFormat="1" x14ac:dyDescent="0.2">
      <c r="B179" s="149"/>
      <c r="D179" s="138" t="s">
        <v>301</v>
      </c>
      <c r="F179" s="151" t="s">
        <v>1398</v>
      </c>
      <c r="H179" s="152">
        <v>113.44499999999999</v>
      </c>
      <c r="I179" s="153"/>
      <c r="L179" s="149"/>
      <c r="N179" s="217">
        <f>17.804*5</f>
        <v>89.02</v>
      </c>
      <c r="O179" s="218" t="s">
        <v>3754</v>
      </c>
      <c r="Q179" s="231"/>
      <c r="BX179" s="154"/>
      <c r="CE179" s="155"/>
      <c r="DE179" s="150" t="s">
        <v>301</v>
      </c>
      <c r="DF179" s="150" t="s">
        <v>83</v>
      </c>
      <c r="DG179" s="12" t="s">
        <v>83</v>
      </c>
      <c r="DH179" s="12" t="s">
        <v>3</v>
      </c>
      <c r="DI179" s="12" t="s">
        <v>81</v>
      </c>
      <c r="DJ179" s="150" t="s">
        <v>282</v>
      </c>
    </row>
    <row r="180" spans="2:128" s="12" customFormat="1" x14ac:dyDescent="0.2">
      <c r="B180" s="149"/>
      <c r="D180" s="138"/>
      <c r="F180" s="151"/>
      <c r="H180" s="152"/>
      <c r="I180" s="153"/>
      <c r="L180" s="149"/>
      <c r="N180" s="310">
        <f>N179-H179</f>
        <v>-24.424999999999997</v>
      </c>
      <c r="O180" s="218"/>
      <c r="Q180" s="231"/>
      <c r="BX180" s="154"/>
      <c r="CE180" s="155"/>
      <c r="DE180" s="150"/>
      <c r="DF180" s="150"/>
      <c r="DJ180" s="150"/>
    </row>
    <row r="181" spans="2:128" s="1" customFormat="1" ht="37.9" customHeight="1" x14ac:dyDescent="0.2">
      <c r="B181" s="124"/>
      <c r="C181" s="125" t="s">
        <v>359</v>
      </c>
      <c r="D181" s="125" t="s">
        <v>284</v>
      </c>
      <c r="E181" s="126" t="s">
        <v>982</v>
      </c>
      <c r="F181" s="127" t="s">
        <v>983</v>
      </c>
      <c r="G181" s="128" t="s">
        <v>366</v>
      </c>
      <c r="H181" s="129">
        <v>11.565</v>
      </c>
      <c r="I181" s="130">
        <v>3.4208109177592001</v>
      </c>
      <c r="J181" s="131">
        <f>ROUND(I181*H181,2)</f>
        <v>39.56</v>
      </c>
      <c r="K181" s="127" t="s">
        <v>1</v>
      </c>
      <c r="L181" s="268">
        <f>S181</f>
        <v>0</v>
      </c>
      <c r="M181" s="272">
        <f>ROUND(L181*I181,2)</f>
        <v>0</v>
      </c>
      <c r="N181" s="243"/>
      <c r="O181" s="294">
        <f>ROUND(N181*I181,2)</f>
        <v>0</v>
      </c>
      <c r="P181" s="273">
        <f>H181-L181-N181</f>
        <v>11.565</v>
      </c>
      <c r="Q181" s="287">
        <f>ROUND(P181*I181,2)</f>
        <v>39.56</v>
      </c>
      <c r="R181" s="137"/>
      <c r="S181" s="269">
        <f>W181+Y181+AA181+AC181+AE181+AG181</f>
        <v>0</v>
      </c>
      <c r="T181" s="269">
        <f>ROUND(S181*I181,2)</f>
        <v>0</v>
      </c>
      <c r="U181" s="269">
        <f>H181-S181</f>
        <v>11.565</v>
      </c>
      <c r="V181" s="269">
        <f>ROUND(U181*I181,2)</f>
        <v>39.56</v>
      </c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BX181" s="132" t="s">
        <v>1</v>
      </c>
      <c r="BY181" s="133" t="s">
        <v>40</v>
      </c>
      <c r="CA181" s="134">
        <f>BZ181*H181</f>
        <v>0</v>
      </c>
      <c r="CB181" s="134">
        <v>0</v>
      </c>
      <c r="CC181" s="134">
        <f>CB181*H181</f>
        <v>0</v>
      </c>
      <c r="CD181" s="134">
        <v>0</v>
      </c>
      <c r="CE181" s="135">
        <f>CD181*H181</f>
        <v>0</v>
      </c>
      <c r="DC181" s="136" t="s">
        <v>95</v>
      </c>
      <c r="DE181" s="136" t="s">
        <v>284</v>
      </c>
      <c r="DF181" s="136" t="s">
        <v>83</v>
      </c>
      <c r="DJ181" s="16" t="s">
        <v>282</v>
      </c>
      <c r="DP181" s="137">
        <f>IF(BY181="základní",J181,0)</f>
        <v>39.56</v>
      </c>
      <c r="DQ181" s="137">
        <f>IF(BY181="snížená",J181,0)</f>
        <v>0</v>
      </c>
      <c r="DR181" s="137">
        <f>IF(BY181="zákl. přenesená",J181,0)</f>
        <v>0</v>
      </c>
      <c r="DS181" s="137">
        <f>IF(BY181="sníž. přenesená",J181,0)</f>
        <v>0</v>
      </c>
      <c r="DT181" s="137">
        <f>IF(BY181="nulová",J181,0)</f>
        <v>0</v>
      </c>
      <c r="DU181" s="16" t="s">
        <v>81</v>
      </c>
      <c r="DV181" s="137">
        <f>ROUND(I181*H181,2)</f>
        <v>39.56</v>
      </c>
      <c r="DW181" s="16" t="s">
        <v>95</v>
      </c>
      <c r="DX181" s="136" t="s">
        <v>984</v>
      </c>
    </row>
    <row r="182" spans="2:128" s="1" customFormat="1" ht="48.75" x14ac:dyDescent="0.2">
      <c r="B182" s="31"/>
      <c r="D182" s="138" t="s">
        <v>289</v>
      </c>
      <c r="F182" s="139" t="s">
        <v>408</v>
      </c>
      <c r="I182" s="140"/>
      <c r="L182" s="31"/>
      <c r="N182" s="213"/>
      <c r="O182" s="214"/>
      <c r="Q182" s="229"/>
      <c r="BX182" s="141"/>
      <c r="CE182" s="50"/>
      <c r="DE182" s="16" t="s">
        <v>289</v>
      </c>
      <c r="DF182" s="16" t="s">
        <v>83</v>
      </c>
    </row>
    <row r="183" spans="2:128" s="12" customFormat="1" x14ac:dyDescent="0.2">
      <c r="B183" s="149"/>
      <c r="D183" s="138" t="s">
        <v>301</v>
      </c>
      <c r="F183" s="151" t="s">
        <v>1399</v>
      </c>
      <c r="H183" s="152">
        <v>11.565</v>
      </c>
      <c r="I183" s="153"/>
      <c r="L183" s="149"/>
      <c r="N183" s="217"/>
      <c r="O183" s="218"/>
      <c r="Q183" s="231"/>
      <c r="BX183" s="154"/>
      <c r="CE183" s="155"/>
      <c r="DE183" s="150" t="s">
        <v>301</v>
      </c>
      <c r="DF183" s="150" t="s">
        <v>83</v>
      </c>
      <c r="DG183" s="12" t="s">
        <v>83</v>
      </c>
      <c r="DH183" s="12" t="s">
        <v>3</v>
      </c>
      <c r="DI183" s="12" t="s">
        <v>81</v>
      </c>
      <c r="DJ183" s="150" t="s">
        <v>282</v>
      </c>
    </row>
    <row r="184" spans="2:128" s="1" customFormat="1" ht="24.2" customHeight="1" x14ac:dyDescent="0.2">
      <c r="B184" s="124"/>
      <c r="C184" s="125" t="s">
        <v>363</v>
      </c>
      <c r="D184" s="125" t="s">
        <v>284</v>
      </c>
      <c r="E184" s="126" t="s">
        <v>986</v>
      </c>
      <c r="F184" s="127" t="s">
        <v>987</v>
      </c>
      <c r="G184" s="128" t="s">
        <v>366</v>
      </c>
      <c r="H184" s="129">
        <v>2.3130000000000002</v>
      </c>
      <c r="I184" s="130">
        <v>43.080493951075745</v>
      </c>
      <c r="J184" s="131">
        <f>ROUND(I184*H184,2)</f>
        <v>99.65</v>
      </c>
      <c r="K184" s="127" t="s">
        <v>293</v>
      </c>
      <c r="L184" s="268">
        <f>S184</f>
        <v>0</v>
      </c>
      <c r="M184" s="272">
        <f>ROUND(L184*I184,2)</f>
        <v>0</v>
      </c>
      <c r="N184" s="243">
        <f>N193</f>
        <v>-0.49814999999999965</v>
      </c>
      <c r="O184" s="294">
        <f>ROUND(N184*I184,2)</f>
        <v>-21.46</v>
      </c>
      <c r="P184" s="273">
        <f>H184-L184-N184</f>
        <v>2.8111499999999996</v>
      </c>
      <c r="Q184" s="287">
        <f>ROUND(P184*I184,2)</f>
        <v>121.11</v>
      </c>
      <c r="R184" s="137"/>
      <c r="S184" s="269">
        <f>W184+Y184+AA184+AC184+AE184+AG184</f>
        <v>0</v>
      </c>
      <c r="T184" s="269">
        <f>ROUND(S184*I184,2)</f>
        <v>0</v>
      </c>
      <c r="U184" s="269">
        <f>H184-S184</f>
        <v>2.3130000000000002</v>
      </c>
      <c r="V184" s="269">
        <f>ROUND(U184*I184,2)</f>
        <v>99.65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BX184" s="132" t="s">
        <v>1</v>
      </c>
      <c r="BY184" s="133" t="s">
        <v>40</v>
      </c>
      <c r="CA184" s="134">
        <f>BZ184*H184</f>
        <v>0</v>
      </c>
      <c r="CB184" s="134">
        <v>0</v>
      </c>
      <c r="CC184" s="134">
        <f>CB184*H184</f>
        <v>0</v>
      </c>
      <c r="CD184" s="134">
        <v>0</v>
      </c>
      <c r="CE184" s="135">
        <f>CD184*H184</f>
        <v>0</v>
      </c>
      <c r="DC184" s="136" t="s">
        <v>95</v>
      </c>
      <c r="DE184" s="136" t="s">
        <v>284</v>
      </c>
      <c r="DF184" s="136" t="s">
        <v>83</v>
      </c>
      <c r="DJ184" s="16" t="s">
        <v>282</v>
      </c>
      <c r="DP184" s="137">
        <f>IF(BY184="základní",J184,0)</f>
        <v>99.65</v>
      </c>
      <c r="DQ184" s="137">
        <f>IF(BY184="snížená",J184,0)</f>
        <v>0</v>
      </c>
      <c r="DR184" s="137">
        <f>IF(BY184="zákl. přenesená",J184,0)</f>
        <v>0</v>
      </c>
      <c r="DS184" s="137">
        <f>IF(BY184="sníž. přenesená",J184,0)</f>
        <v>0</v>
      </c>
      <c r="DT184" s="137">
        <f>IF(BY184="nulová",J184,0)</f>
        <v>0</v>
      </c>
      <c r="DU184" s="16" t="s">
        <v>81</v>
      </c>
      <c r="DV184" s="137">
        <f>ROUND(I184*H184,2)</f>
        <v>99.65</v>
      </c>
      <c r="DW184" s="16" t="s">
        <v>95</v>
      </c>
      <c r="DX184" s="136" t="s">
        <v>988</v>
      </c>
    </row>
    <row r="185" spans="2:128" s="1" customFormat="1" ht="29.25" x14ac:dyDescent="0.2">
      <c r="B185" s="31"/>
      <c r="D185" s="138" t="s">
        <v>289</v>
      </c>
      <c r="F185" s="139" t="s">
        <v>989</v>
      </c>
      <c r="I185" s="140"/>
      <c r="L185" s="31"/>
      <c r="N185" s="213"/>
      <c r="O185" s="214"/>
      <c r="Q185" s="229"/>
      <c r="BX185" s="141"/>
      <c r="CE185" s="50"/>
      <c r="DE185" s="16" t="s">
        <v>289</v>
      </c>
      <c r="DF185" s="16" t="s">
        <v>83</v>
      </c>
    </row>
    <row r="186" spans="2:128" s="11" customFormat="1" x14ac:dyDescent="0.2">
      <c r="B186" s="143"/>
      <c r="D186" s="138" t="s">
        <v>301</v>
      </c>
      <c r="E186" s="144" t="s">
        <v>1</v>
      </c>
      <c r="F186" s="145" t="s">
        <v>976</v>
      </c>
      <c r="H186" s="144" t="s">
        <v>1</v>
      </c>
      <c r="I186" s="146"/>
      <c r="L186" s="143"/>
      <c r="N186" s="215"/>
      <c r="O186" s="216"/>
      <c r="Q186" s="230"/>
      <c r="BX186" s="147"/>
      <c r="CE186" s="148"/>
      <c r="DE186" s="144" t="s">
        <v>301</v>
      </c>
      <c r="DF186" s="144" t="s">
        <v>83</v>
      </c>
      <c r="DG186" s="11" t="s">
        <v>81</v>
      </c>
      <c r="DH186" s="11" t="s">
        <v>32</v>
      </c>
      <c r="DI186" s="11" t="s">
        <v>74</v>
      </c>
      <c r="DJ186" s="144" t="s">
        <v>282</v>
      </c>
    </row>
    <row r="187" spans="2:128" s="12" customFormat="1" x14ac:dyDescent="0.2">
      <c r="B187" s="149"/>
      <c r="D187" s="138" t="s">
        <v>301</v>
      </c>
      <c r="E187" s="150" t="s">
        <v>1</v>
      </c>
      <c r="F187" s="151" t="s">
        <v>1397</v>
      </c>
      <c r="H187" s="152">
        <v>0.375</v>
      </c>
      <c r="I187" s="153"/>
      <c r="L187" s="149"/>
      <c r="N187" s="217">
        <f>2.943*0.1</f>
        <v>0.29430000000000001</v>
      </c>
      <c r="O187" s="218" t="s">
        <v>3753</v>
      </c>
      <c r="Q187" s="231"/>
      <c r="BX187" s="154"/>
      <c r="CE187" s="155"/>
      <c r="DE187" s="150" t="s">
        <v>301</v>
      </c>
      <c r="DF187" s="150" t="s">
        <v>83</v>
      </c>
      <c r="DG187" s="12" t="s">
        <v>83</v>
      </c>
      <c r="DH187" s="12" t="s">
        <v>32</v>
      </c>
      <c r="DI187" s="12" t="s">
        <v>74</v>
      </c>
      <c r="DJ187" s="150" t="s">
        <v>282</v>
      </c>
    </row>
    <row r="188" spans="2:128" s="14" customFormat="1" x14ac:dyDescent="0.2">
      <c r="B188" s="163"/>
      <c r="D188" s="138" t="s">
        <v>301</v>
      </c>
      <c r="E188" s="164" t="s">
        <v>1</v>
      </c>
      <c r="F188" s="165" t="s">
        <v>373</v>
      </c>
      <c r="H188" s="166">
        <v>0.375</v>
      </c>
      <c r="I188" s="167"/>
      <c r="L188" s="163"/>
      <c r="N188" s="221">
        <f>N187</f>
        <v>0.29430000000000001</v>
      </c>
      <c r="O188" s="222"/>
      <c r="Q188" s="233"/>
      <c r="BX188" s="168"/>
      <c r="CE188" s="169"/>
      <c r="DE188" s="164" t="s">
        <v>301</v>
      </c>
      <c r="DF188" s="164" t="s">
        <v>83</v>
      </c>
      <c r="DG188" s="14" t="s">
        <v>90</v>
      </c>
      <c r="DH188" s="14" t="s">
        <v>32</v>
      </c>
      <c r="DI188" s="14" t="s">
        <v>74</v>
      </c>
      <c r="DJ188" s="164" t="s">
        <v>282</v>
      </c>
    </row>
    <row r="189" spans="2:128" s="11" customFormat="1" x14ac:dyDescent="0.2">
      <c r="B189" s="143"/>
      <c r="D189" s="138" t="s">
        <v>301</v>
      </c>
      <c r="E189" s="144" t="s">
        <v>1</v>
      </c>
      <c r="F189" s="145" t="s">
        <v>1102</v>
      </c>
      <c r="H189" s="144" t="s">
        <v>1</v>
      </c>
      <c r="I189" s="146"/>
      <c r="L189" s="143"/>
      <c r="N189" s="215"/>
      <c r="O189" s="216"/>
      <c r="Q189" s="230"/>
      <c r="BX189" s="147"/>
      <c r="CE189" s="148"/>
      <c r="DE189" s="144" t="s">
        <v>301</v>
      </c>
      <c r="DF189" s="144" t="s">
        <v>83</v>
      </c>
      <c r="DG189" s="11" t="s">
        <v>81</v>
      </c>
      <c r="DH189" s="11" t="s">
        <v>32</v>
      </c>
      <c r="DI189" s="11" t="s">
        <v>74</v>
      </c>
      <c r="DJ189" s="144" t="s">
        <v>282</v>
      </c>
    </row>
    <row r="190" spans="2:128" s="12" customFormat="1" x14ac:dyDescent="0.2">
      <c r="B190" s="149"/>
      <c r="D190" s="138" t="s">
        <v>301</v>
      </c>
      <c r="E190" s="150" t="s">
        <v>1</v>
      </c>
      <c r="F190" s="151" t="s">
        <v>1400</v>
      </c>
      <c r="H190" s="152">
        <v>1.9379999999999999</v>
      </c>
      <c r="I190" s="153"/>
      <c r="L190" s="149"/>
      <c r="N190" s="217">
        <f>9.81*1*(2.2-0.1-0.45-0.1)*0.1</f>
        <v>1.5205500000000001</v>
      </c>
      <c r="O190" s="218" t="s">
        <v>3755</v>
      </c>
      <c r="Q190" s="231"/>
      <c r="BX190" s="154"/>
      <c r="CE190" s="155"/>
      <c r="DE190" s="150" t="s">
        <v>301</v>
      </c>
      <c r="DF190" s="150" t="s">
        <v>83</v>
      </c>
      <c r="DG190" s="12" t="s">
        <v>83</v>
      </c>
      <c r="DH190" s="12" t="s">
        <v>32</v>
      </c>
      <c r="DI190" s="12" t="s">
        <v>74</v>
      </c>
      <c r="DJ190" s="150" t="s">
        <v>282</v>
      </c>
    </row>
    <row r="191" spans="2:128" s="14" customFormat="1" x14ac:dyDescent="0.2">
      <c r="B191" s="163"/>
      <c r="D191" s="138" t="s">
        <v>301</v>
      </c>
      <c r="E191" s="164" t="s">
        <v>1</v>
      </c>
      <c r="F191" s="165" t="s">
        <v>373</v>
      </c>
      <c r="H191" s="166">
        <v>1.9379999999999999</v>
      </c>
      <c r="I191" s="167"/>
      <c r="L191" s="163"/>
      <c r="N191" s="221">
        <f>N190</f>
        <v>1.5205500000000001</v>
      </c>
      <c r="O191" s="222"/>
      <c r="Q191" s="233"/>
      <c r="BX191" s="168"/>
      <c r="CE191" s="169"/>
      <c r="DE191" s="164" t="s">
        <v>301</v>
      </c>
      <c r="DF191" s="164" t="s">
        <v>83</v>
      </c>
      <c r="DG191" s="14" t="s">
        <v>90</v>
      </c>
      <c r="DH191" s="14" t="s">
        <v>32</v>
      </c>
      <c r="DI191" s="14" t="s">
        <v>74</v>
      </c>
      <c r="DJ191" s="164" t="s">
        <v>282</v>
      </c>
    </row>
    <row r="192" spans="2:128" s="13" customFormat="1" x14ac:dyDescent="0.2">
      <c r="B192" s="156"/>
      <c r="D192" s="138" t="s">
        <v>301</v>
      </c>
      <c r="E192" s="157" t="s">
        <v>1</v>
      </c>
      <c r="F192" s="158" t="s">
        <v>305</v>
      </c>
      <c r="H192" s="159">
        <v>2.3129999999999997</v>
      </c>
      <c r="I192" s="160"/>
      <c r="L192" s="156"/>
      <c r="N192" s="219">
        <f>N188+N191</f>
        <v>1.8148500000000001</v>
      </c>
      <c r="O192" s="220"/>
      <c r="Q192" s="232"/>
      <c r="BX192" s="161"/>
      <c r="CE192" s="162"/>
      <c r="DE192" s="157" t="s">
        <v>301</v>
      </c>
      <c r="DF192" s="157" t="s">
        <v>83</v>
      </c>
      <c r="DG192" s="13" t="s">
        <v>95</v>
      </c>
      <c r="DH192" s="13" t="s">
        <v>32</v>
      </c>
      <c r="DI192" s="13" t="s">
        <v>81</v>
      </c>
      <c r="DJ192" s="157" t="s">
        <v>282</v>
      </c>
    </row>
    <row r="193" spans="2:128" s="13" customFormat="1" x14ac:dyDescent="0.2">
      <c r="B193" s="156"/>
      <c r="D193" s="138"/>
      <c r="E193" s="157"/>
      <c r="F193" s="158"/>
      <c r="H193" s="159"/>
      <c r="I193" s="160"/>
      <c r="L193" s="156"/>
      <c r="N193" s="311">
        <f>N192-H192</f>
        <v>-0.49814999999999965</v>
      </c>
      <c r="O193" s="220"/>
      <c r="Q193" s="232"/>
      <c r="BX193" s="161"/>
      <c r="CE193" s="162"/>
      <c r="DE193" s="157"/>
      <c r="DF193" s="157"/>
      <c r="DJ193" s="157"/>
    </row>
    <row r="194" spans="2:128" s="1" customFormat="1" ht="24.2" customHeight="1" x14ac:dyDescent="0.2">
      <c r="B194" s="124"/>
      <c r="C194" s="125" t="s">
        <v>8</v>
      </c>
      <c r="D194" s="125" t="s">
        <v>284</v>
      </c>
      <c r="E194" s="126" t="s">
        <v>410</v>
      </c>
      <c r="F194" s="127" t="s">
        <v>411</v>
      </c>
      <c r="G194" s="128" t="s">
        <v>287</v>
      </c>
      <c r="H194" s="129">
        <v>12.5</v>
      </c>
      <c r="I194" s="130">
        <v>6.3644601414457247</v>
      </c>
      <c r="J194" s="131">
        <f>ROUND(I194*H194,2)</f>
        <v>79.56</v>
      </c>
      <c r="K194" s="127" t="s">
        <v>293</v>
      </c>
      <c r="L194" s="268">
        <f>S194</f>
        <v>0</v>
      </c>
      <c r="M194" s="272">
        <f>ROUND(L194*I194,2)</f>
        <v>0</v>
      </c>
      <c r="N194" s="243">
        <f>N198</f>
        <v>-2.6899999999999995</v>
      </c>
      <c r="O194" s="294">
        <f>ROUND(N194*I194,2)</f>
        <v>-17.12</v>
      </c>
      <c r="P194" s="273">
        <f>H194-L194-N194</f>
        <v>15.19</v>
      </c>
      <c r="Q194" s="287">
        <f>ROUND(P194*I194,2)</f>
        <v>96.68</v>
      </c>
      <c r="R194" s="137"/>
      <c r="S194" s="269">
        <f>W194+Y194+AA194+AC194+AE194+AG194</f>
        <v>0</v>
      </c>
      <c r="T194" s="269">
        <f>ROUND(S194*I194,2)</f>
        <v>0</v>
      </c>
      <c r="U194" s="269">
        <f>H194-S194</f>
        <v>12.5</v>
      </c>
      <c r="V194" s="269">
        <f>ROUND(U194*I194,2)</f>
        <v>79.56</v>
      </c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BX194" s="132" t="s">
        <v>1</v>
      </c>
      <c r="BY194" s="133" t="s">
        <v>40</v>
      </c>
      <c r="CA194" s="134">
        <f>BZ194*H194</f>
        <v>0</v>
      </c>
      <c r="CB194" s="134">
        <v>0</v>
      </c>
      <c r="CC194" s="134">
        <f>CB194*H194</f>
        <v>0</v>
      </c>
      <c r="CD194" s="134">
        <v>0</v>
      </c>
      <c r="CE194" s="135">
        <f>CD194*H194</f>
        <v>0</v>
      </c>
      <c r="DC194" s="136" t="s">
        <v>95</v>
      </c>
      <c r="DE194" s="136" t="s">
        <v>284</v>
      </c>
      <c r="DF194" s="136" t="s">
        <v>83</v>
      </c>
      <c r="DJ194" s="16" t="s">
        <v>282</v>
      </c>
      <c r="DP194" s="137">
        <f>IF(BY194="základní",J194,0)</f>
        <v>79.56</v>
      </c>
      <c r="DQ194" s="137">
        <f>IF(BY194="snížená",J194,0)</f>
        <v>0</v>
      </c>
      <c r="DR194" s="137">
        <f>IF(BY194="zákl. přenesená",J194,0)</f>
        <v>0</v>
      </c>
      <c r="DS194" s="137">
        <f>IF(BY194="sníž. přenesená",J194,0)</f>
        <v>0</v>
      </c>
      <c r="DT194" s="137">
        <f>IF(BY194="nulová",J194,0)</f>
        <v>0</v>
      </c>
      <c r="DU194" s="16" t="s">
        <v>81</v>
      </c>
      <c r="DV194" s="137">
        <f>ROUND(I194*H194,2)</f>
        <v>79.56</v>
      </c>
      <c r="DW194" s="16" t="s">
        <v>95</v>
      </c>
      <c r="DX194" s="136" t="s">
        <v>412</v>
      </c>
    </row>
    <row r="195" spans="2:128" s="1" customFormat="1" ht="19.5" x14ac:dyDescent="0.2">
      <c r="B195" s="31"/>
      <c r="D195" s="138" t="s">
        <v>289</v>
      </c>
      <c r="F195" s="139" t="s">
        <v>413</v>
      </c>
      <c r="I195" s="140"/>
      <c r="L195" s="31"/>
      <c r="N195" s="213"/>
      <c r="O195" s="214"/>
      <c r="Q195" s="229"/>
      <c r="BX195" s="141"/>
      <c r="CE195" s="50"/>
      <c r="DE195" s="16" t="s">
        <v>289</v>
      </c>
      <c r="DF195" s="16" t="s">
        <v>83</v>
      </c>
    </row>
    <row r="196" spans="2:128" s="1" customFormat="1" ht="19.5" x14ac:dyDescent="0.2">
      <c r="B196" s="31"/>
      <c r="D196" s="138" t="s">
        <v>299</v>
      </c>
      <c r="F196" s="142" t="s">
        <v>317</v>
      </c>
      <c r="I196" s="140"/>
      <c r="L196" s="31"/>
      <c r="N196" s="213"/>
      <c r="O196" s="214"/>
      <c r="Q196" s="229"/>
      <c r="BX196" s="141"/>
      <c r="CE196" s="50"/>
      <c r="DE196" s="16" t="s">
        <v>299</v>
      </c>
      <c r="DF196" s="16" t="s">
        <v>83</v>
      </c>
    </row>
    <row r="197" spans="2:128" s="12" customFormat="1" x14ac:dyDescent="0.2">
      <c r="B197" s="149"/>
      <c r="D197" s="138" t="s">
        <v>301</v>
      </c>
      <c r="E197" s="150" t="s">
        <v>1</v>
      </c>
      <c r="F197" s="151" t="s">
        <v>1401</v>
      </c>
      <c r="H197" s="152">
        <v>12.5</v>
      </c>
      <c r="I197" s="153"/>
      <c r="L197" s="149"/>
      <c r="N197" s="217">
        <f>9.81*1</f>
        <v>9.81</v>
      </c>
      <c r="O197" s="218" t="s">
        <v>3756</v>
      </c>
      <c r="Q197" s="231"/>
      <c r="BX197" s="154"/>
      <c r="CE197" s="155"/>
      <c r="DE197" s="150" t="s">
        <v>301</v>
      </c>
      <c r="DF197" s="150" t="s">
        <v>83</v>
      </c>
      <c r="DG197" s="12" t="s">
        <v>83</v>
      </c>
      <c r="DH197" s="12" t="s">
        <v>32</v>
      </c>
      <c r="DI197" s="12" t="s">
        <v>81</v>
      </c>
      <c r="DJ197" s="150" t="s">
        <v>282</v>
      </c>
    </row>
    <row r="198" spans="2:128" s="12" customFormat="1" x14ac:dyDescent="0.2">
      <c r="B198" s="149"/>
      <c r="D198" s="138"/>
      <c r="E198" s="150"/>
      <c r="F198" s="151"/>
      <c r="H198" s="152"/>
      <c r="I198" s="153"/>
      <c r="L198" s="149"/>
      <c r="N198" s="310">
        <f>N197-H197</f>
        <v>-2.6899999999999995</v>
      </c>
      <c r="O198" s="218"/>
      <c r="Q198" s="231"/>
      <c r="BX198" s="154"/>
      <c r="CE198" s="155"/>
      <c r="DE198" s="150"/>
      <c r="DF198" s="150"/>
      <c r="DJ198" s="150"/>
    </row>
    <row r="199" spans="2:128" s="1" customFormat="1" ht="24.2" customHeight="1" x14ac:dyDescent="0.2">
      <c r="B199" s="124"/>
      <c r="C199" s="125" t="s">
        <v>379</v>
      </c>
      <c r="D199" s="125" t="s">
        <v>284</v>
      </c>
      <c r="E199" s="126" t="s">
        <v>416</v>
      </c>
      <c r="F199" s="127" t="s">
        <v>417</v>
      </c>
      <c r="G199" s="128" t="s">
        <v>418</v>
      </c>
      <c r="H199" s="129">
        <v>36.677</v>
      </c>
      <c r="I199" s="130">
        <v>110.6455721</v>
      </c>
      <c r="J199" s="131">
        <f>ROUND(I199*H199,2)</f>
        <v>4058.15</v>
      </c>
      <c r="K199" s="127" t="s">
        <v>293</v>
      </c>
      <c r="L199" s="268">
        <f>S199</f>
        <v>0</v>
      </c>
      <c r="M199" s="272">
        <f>ROUND(L199*I199,2)</f>
        <v>0</v>
      </c>
      <c r="N199" s="243">
        <f>N207</f>
        <v>-7.8967999999999989</v>
      </c>
      <c r="O199" s="294">
        <f>ROUND(N199*I199,2)</f>
        <v>-873.75</v>
      </c>
      <c r="P199" s="273">
        <f>H199-L199-N199</f>
        <v>44.573799999999999</v>
      </c>
      <c r="Q199" s="287">
        <f>ROUND(P199*I199,2)</f>
        <v>4931.8900000000003</v>
      </c>
      <c r="R199" s="137"/>
      <c r="S199" s="269">
        <f>W199+Y199+AA199+AC199+AE199+AG199</f>
        <v>0</v>
      </c>
      <c r="T199" s="269">
        <f>ROUND(S199*I199,2)</f>
        <v>0</v>
      </c>
      <c r="U199" s="269">
        <f>H199-S199</f>
        <v>36.677</v>
      </c>
      <c r="V199" s="269">
        <f>ROUND(U199*I199,2)</f>
        <v>4058.15</v>
      </c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BX199" s="132" t="s">
        <v>1</v>
      </c>
      <c r="BY199" s="133" t="s">
        <v>40</v>
      </c>
      <c r="CA199" s="134">
        <f>BZ199*H199</f>
        <v>0</v>
      </c>
      <c r="CB199" s="134">
        <v>0</v>
      </c>
      <c r="CC199" s="134">
        <f>CB199*H199</f>
        <v>0</v>
      </c>
      <c r="CD199" s="134">
        <v>0</v>
      </c>
      <c r="CE199" s="135">
        <f>CD199*H199</f>
        <v>0</v>
      </c>
      <c r="DC199" s="136" t="s">
        <v>95</v>
      </c>
      <c r="DE199" s="136" t="s">
        <v>284</v>
      </c>
      <c r="DF199" s="136" t="s">
        <v>83</v>
      </c>
      <c r="DJ199" s="16" t="s">
        <v>282</v>
      </c>
      <c r="DP199" s="137">
        <f>IF(BY199="základní",J199,0)</f>
        <v>4058.15</v>
      </c>
      <c r="DQ199" s="137">
        <f>IF(BY199="snížená",J199,0)</f>
        <v>0</v>
      </c>
      <c r="DR199" s="137">
        <f>IF(BY199="zákl. přenesená",J199,0)</f>
        <v>0</v>
      </c>
      <c r="DS199" s="137">
        <f>IF(BY199="sníž. přenesená",J199,0)</f>
        <v>0</v>
      </c>
      <c r="DT199" s="137">
        <f>IF(BY199="nulová",J199,0)</f>
        <v>0</v>
      </c>
      <c r="DU199" s="16" t="s">
        <v>81</v>
      </c>
      <c r="DV199" s="137">
        <f>ROUND(I199*H199,2)</f>
        <v>4058.15</v>
      </c>
      <c r="DW199" s="16" t="s">
        <v>95</v>
      </c>
      <c r="DX199" s="136" t="s">
        <v>419</v>
      </c>
    </row>
    <row r="200" spans="2:128" s="1" customFormat="1" ht="29.25" x14ac:dyDescent="0.2">
      <c r="B200" s="31"/>
      <c r="D200" s="138" t="s">
        <v>289</v>
      </c>
      <c r="F200" s="139" t="s">
        <v>420</v>
      </c>
      <c r="I200" s="140"/>
      <c r="L200" s="31"/>
      <c r="N200" s="213"/>
      <c r="O200" s="214"/>
      <c r="Q200" s="229"/>
      <c r="BX200" s="141"/>
      <c r="CE200" s="50"/>
      <c r="DE200" s="16" t="s">
        <v>289</v>
      </c>
      <c r="DF200" s="16" t="s">
        <v>83</v>
      </c>
    </row>
    <row r="201" spans="2:128" s="11" customFormat="1" x14ac:dyDescent="0.2">
      <c r="B201" s="143"/>
      <c r="D201" s="138" t="s">
        <v>301</v>
      </c>
      <c r="E201" s="144" t="s">
        <v>1</v>
      </c>
      <c r="F201" s="145" t="s">
        <v>996</v>
      </c>
      <c r="H201" s="144" t="s">
        <v>1</v>
      </c>
      <c r="I201" s="146"/>
      <c r="L201" s="143"/>
      <c r="N201" s="215"/>
      <c r="O201" s="216"/>
      <c r="Q201" s="230"/>
      <c r="BX201" s="147"/>
      <c r="CE201" s="148"/>
      <c r="DE201" s="144" t="s">
        <v>301</v>
      </c>
      <c r="DF201" s="144" t="s">
        <v>83</v>
      </c>
      <c r="DG201" s="11" t="s">
        <v>81</v>
      </c>
      <c r="DH201" s="11" t="s">
        <v>32</v>
      </c>
      <c r="DI201" s="11" t="s">
        <v>74</v>
      </c>
      <c r="DJ201" s="144" t="s">
        <v>282</v>
      </c>
    </row>
    <row r="202" spans="2:128" s="12" customFormat="1" x14ac:dyDescent="0.2">
      <c r="B202" s="149"/>
      <c r="D202" s="138" t="s">
        <v>301</v>
      </c>
      <c r="E202" s="150" t="s">
        <v>1</v>
      </c>
      <c r="F202" s="151" t="s">
        <v>1402</v>
      </c>
      <c r="H202" s="152">
        <v>22.689</v>
      </c>
      <c r="I202" s="153"/>
      <c r="L202" s="149"/>
      <c r="N202" s="217">
        <v>17.803999999999998</v>
      </c>
      <c r="O202" s="218"/>
      <c r="Q202" s="231"/>
      <c r="BX202" s="154"/>
      <c r="CE202" s="155"/>
      <c r="DE202" s="150" t="s">
        <v>301</v>
      </c>
      <c r="DF202" s="150" t="s">
        <v>83</v>
      </c>
      <c r="DG202" s="12" t="s">
        <v>83</v>
      </c>
      <c r="DH202" s="12" t="s">
        <v>32</v>
      </c>
      <c r="DI202" s="12" t="s">
        <v>74</v>
      </c>
      <c r="DJ202" s="150" t="s">
        <v>282</v>
      </c>
    </row>
    <row r="203" spans="2:128" s="11" customFormat="1" x14ac:dyDescent="0.2">
      <c r="B203" s="143"/>
      <c r="D203" s="138" t="s">
        <v>301</v>
      </c>
      <c r="E203" s="144" t="s">
        <v>1</v>
      </c>
      <c r="F203" s="145" t="s">
        <v>998</v>
      </c>
      <c r="H203" s="144" t="s">
        <v>1</v>
      </c>
      <c r="I203" s="146"/>
      <c r="L203" s="143"/>
      <c r="N203" s="215"/>
      <c r="O203" s="216"/>
      <c r="Q203" s="230"/>
      <c r="BX203" s="147"/>
      <c r="CE203" s="148"/>
      <c r="DE203" s="144" t="s">
        <v>301</v>
      </c>
      <c r="DF203" s="144" t="s">
        <v>83</v>
      </c>
      <c r="DG203" s="11" t="s">
        <v>81</v>
      </c>
      <c r="DH203" s="11" t="s">
        <v>32</v>
      </c>
      <c r="DI203" s="11" t="s">
        <v>74</v>
      </c>
      <c r="DJ203" s="144" t="s">
        <v>282</v>
      </c>
    </row>
    <row r="204" spans="2:128" s="12" customFormat="1" x14ac:dyDescent="0.2">
      <c r="B204" s="149"/>
      <c r="D204" s="138" t="s">
        <v>301</v>
      </c>
      <c r="E204" s="150" t="s">
        <v>1</v>
      </c>
      <c r="F204" s="151" t="s">
        <v>1403</v>
      </c>
      <c r="H204" s="152">
        <v>-2.3130000000000002</v>
      </c>
      <c r="I204" s="153"/>
      <c r="L204" s="149"/>
      <c r="N204" s="217">
        <v>-1.8149999999999999</v>
      </c>
      <c r="O204" s="218"/>
      <c r="Q204" s="231"/>
      <c r="BX204" s="154"/>
      <c r="CE204" s="155"/>
      <c r="DE204" s="150" t="s">
        <v>301</v>
      </c>
      <c r="DF204" s="150" t="s">
        <v>83</v>
      </c>
      <c r="DG204" s="12" t="s">
        <v>83</v>
      </c>
      <c r="DH204" s="12" t="s">
        <v>32</v>
      </c>
      <c r="DI204" s="12" t="s">
        <v>74</v>
      </c>
      <c r="DJ204" s="150" t="s">
        <v>282</v>
      </c>
    </row>
    <row r="205" spans="2:128" s="13" customFormat="1" x14ac:dyDescent="0.2">
      <c r="B205" s="156"/>
      <c r="D205" s="138" t="s">
        <v>301</v>
      </c>
      <c r="E205" s="157" t="s">
        <v>1</v>
      </c>
      <c r="F205" s="158" t="s">
        <v>305</v>
      </c>
      <c r="H205" s="159">
        <v>20.376000000000001</v>
      </c>
      <c r="I205" s="160"/>
      <c r="L205" s="156"/>
      <c r="N205" s="219">
        <f>N202+N204</f>
        <v>15.988999999999999</v>
      </c>
      <c r="O205" s="220"/>
      <c r="Q205" s="232"/>
      <c r="BX205" s="161"/>
      <c r="CE205" s="162"/>
      <c r="DE205" s="157" t="s">
        <v>301</v>
      </c>
      <c r="DF205" s="157" t="s">
        <v>83</v>
      </c>
      <c r="DG205" s="13" t="s">
        <v>95</v>
      </c>
      <c r="DH205" s="13" t="s">
        <v>32</v>
      </c>
      <c r="DI205" s="13" t="s">
        <v>81</v>
      </c>
      <c r="DJ205" s="157" t="s">
        <v>282</v>
      </c>
    </row>
    <row r="206" spans="2:128" s="12" customFormat="1" x14ac:dyDescent="0.2">
      <c r="B206" s="149"/>
      <c r="D206" s="138" t="s">
        <v>301</v>
      </c>
      <c r="F206" s="151" t="s">
        <v>1404</v>
      </c>
      <c r="H206" s="152">
        <v>36.677</v>
      </c>
      <c r="I206" s="153"/>
      <c r="L206" s="149"/>
      <c r="N206" s="217">
        <f>N205*1.8</f>
        <v>28.780200000000001</v>
      </c>
      <c r="O206" s="218"/>
      <c r="Q206" s="231"/>
      <c r="BX206" s="154"/>
      <c r="CE206" s="155"/>
      <c r="DE206" s="150" t="s">
        <v>301</v>
      </c>
      <c r="DF206" s="150" t="s">
        <v>83</v>
      </c>
      <c r="DG206" s="12" t="s">
        <v>83</v>
      </c>
      <c r="DH206" s="12" t="s">
        <v>3</v>
      </c>
      <c r="DI206" s="12" t="s">
        <v>81</v>
      </c>
      <c r="DJ206" s="150" t="s">
        <v>282</v>
      </c>
    </row>
    <row r="207" spans="2:128" s="12" customFormat="1" x14ac:dyDescent="0.2">
      <c r="B207" s="149"/>
      <c r="D207" s="138"/>
      <c r="F207" s="151"/>
      <c r="H207" s="152"/>
      <c r="I207" s="153"/>
      <c r="L207" s="149"/>
      <c r="N207" s="310">
        <f>N206-H206</f>
        <v>-7.8967999999999989</v>
      </c>
      <c r="O207" s="218"/>
      <c r="Q207" s="231"/>
      <c r="BX207" s="154"/>
      <c r="CE207" s="155"/>
      <c r="DE207" s="150"/>
      <c r="DF207" s="150"/>
      <c r="DJ207" s="150"/>
    </row>
    <row r="208" spans="2:128" s="1" customFormat="1" ht="24.2" customHeight="1" x14ac:dyDescent="0.2">
      <c r="B208" s="124"/>
      <c r="C208" s="125" t="s">
        <v>386</v>
      </c>
      <c r="D208" s="125" t="s">
        <v>284</v>
      </c>
      <c r="E208" s="126" t="s">
        <v>423</v>
      </c>
      <c r="F208" s="127" t="s">
        <v>424</v>
      </c>
      <c r="G208" s="128" t="s">
        <v>366</v>
      </c>
      <c r="H208" s="129">
        <v>17.920000000000002</v>
      </c>
      <c r="I208" s="130">
        <v>140.64048227116101</v>
      </c>
      <c r="J208" s="131">
        <f>ROUND(I208*H208,2)</f>
        <v>2520.2800000000002</v>
      </c>
      <c r="K208" s="127" t="s">
        <v>293</v>
      </c>
      <c r="L208" s="268">
        <f>S208</f>
        <v>0</v>
      </c>
      <c r="M208" s="272">
        <f>ROUND(L208*I208,2)</f>
        <v>0</v>
      </c>
      <c r="N208" s="243">
        <f>N222</f>
        <v>-3.7878284000000004</v>
      </c>
      <c r="O208" s="294">
        <f>ROUND(N208*I208,2)</f>
        <v>-532.72</v>
      </c>
      <c r="P208" s="273">
        <f>H208-L208-N208</f>
        <v>21.707828400000004</v>
      </c>
      <c r="Q208" s="287">
        <f>ROUND(P208*I208,2)</f>
        <v>3053</v>
      </c>
      <c r="R208" s="137"/>
      <c r="S208" s="269">
        <f>W208+Y208+AA208+AC208+AE208+AG208</f>
        <v>0</v>
      </c>
      <c r="T208" s="269">
        <f>ROUND(S208*I208,2)</f>
        <v>0</v>
      </c>
      <c r="U208" s="269">
        <f>H208-S208</f>
        <v>17.920000000000002</v>
      </c>
      <c r="V208" s="269">
        <f>ROUND(U208*I208,2)</f>
        <v>2520.2800000000002</v>
      </c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BX208" s="132" t="s">
        <v>1</v>
      </c>
      <c r="BY208" s="133" t="s">
        <v>40</v>
      </c>
      <c r="CA208" s="134">
        <f>BZ208*H208</f>
        <v>0</v>
      </c>
      <c r="CB208" s="134">
        <v>0</v>
      </c>
      <c r="CC208" s="134">
        <f>CB208*H208</f>
        <v>0</v>
      </c>
      <c r="CD208" s="134">
        <v>0</v>
      </c>
      <c r="CE208" s="135">
        <f>CD208*H208</f>
        <v>0</v>
      </c>
      <c r="DC208" s="136" t="s">
        <v>95</v>
      </c>
      <c r="DE208" s="136" t="s">
        <v>284</v>
      </c>
      <c r="DF208" s="136" t="s">
        <v>83</v>
      </c>
      <c r="DJ208" s="16" t="s">
        <v>282</v>
      </c>
      <c r="DP208" s="137">
        <f>IF(BY208="základní",J208,0)</f>
        <v>2520.2800000000002</v>
      </c>
      <c r="DQ208" s="137">
        <f>IF(BY208="snížená",J208,0)</f>
        <v>0</v>
      </c>
      <c r="DR208" s="137">
        <f>IF(BY208="zákl. přenesená",J208,0)</f>
        <v>0</v>
      </c>
      <c r="DS208" s="137">
        <f>IF(BY208="sníž. přenesená",J208,0)</f>
        <v>0</v>
      </c>
      <c r="DT208" s="137">
        <f>IF(BY208="nulová",J208,0)</f>
        <v>0</v>
      </c>
      <c r="DU208" s="16" t="s">
        <v>81</v>
      </c>
      <c r="DV208" s="137">
        <f>ROUND(I208*H208,2)</f>
        <v>2520.2800000000002</v>
      </c>
      <c r="DW208" s="16" t="s">
        <v>95</v>
      </c>
      <c r="DX208" s="136" t="s">
        <v>425</v>
      </c>
    </row>
    <row r="209" spans="2:128" s="1" customFormat="1" ht="29.25" x14ac:dyDescent="0.2">
      <c r="B209" s="31"/>
      <c r="D209" s="138" t="s">
        <v>289</v>
      </c>
      <c r="F209" s="139" t="s">
        <v>426</v>
      </c>
      <c r="I209" s="140"/>
      <c r="L209" s="31"/>
      <c r="N209" s="213"/>
      <c r="O209" s="214"/>
      <c r="Q209" s="229"/>
      <c r="BX209" s="141"/>
      <c r="CE209" s="50"/>
      <c r="DE209" s="16" t="s">
        <v>289</v>
      </c>
      <c r="DF209" s="16" t="s">
        <v>83</v>
      </c>
    </row>
    <row r="210" spans="2:128" s="11" customFormat="1" x14ac:dyDescent="0.2">
      <c r="B210" s="143"/>
      <c r="D210" s="138" t="s">
        <v>301</v>
      </c>
      <c r="E210" s="144" t="s">
        <v>1</v>
      </c>
      <c r="F210" s="145" t="s">
        <v>427</v>
      </c>
      <c r="H210" s="144" t="s">
        <v>1</v>
      </c>
      <c r="I210" s="146"/>
      <c r="L210" s="143"/>
      <c r="N210" s="215"/>
      <c r="O210" s="216"/>
      <c r="Q210" s="230"/>
      <c r="BX210" s="147"/>
      <c r="CE210" s="148"/>
      <c r="DE210" s="144" t="s">
        <v>301</v>
      </c>
      <c r="DF210" s="144" t="s">
        <v>83</v>
      </c>
      <c r="DG210" s="11" t="s">
        <v>81</v>
      </c>
      <c r="DH210" s="11" t="s">
        <v>32</v>
      </c>
      <c r="DI210" s="11" t="s">
        <v>74</v>
      </c>
      <c r="DJ210" s="144" t="s">
        <v>282</v>
      </c>
    </row>
    <row r="211" spans="2:128" s="12" customFormat="1" x14ac:dyDescent="0.2">
      <c r="B211" s="149"/>
      <c r="D211" s="138" t="s">
        <v>301</v>
      </c>
      <c r="E211" s="150" t="s">
        <v>1</v>
      </c>
      <c r="F211" s="151" t="s">
        <v>1396</v>
      </c>
      <c r="H211" s="152">
        <v>22.314</v>
      </c>
      <c r="I211" s="153"/>
      <c r="L211" s="149"/>
      <c r="N211" s="217">
        <f>8.755+8.755</f>
        <v>17.510000000000002</v>
      </c>
      <c r="O211" s="218" t="s">
        <v>3752</v>
      </c>
      <c r="Q211" s="231"/>
      <c r="BX211" s="154"/>
      <c r="CE211" s="155"/>
      <c r="DE211" s="150" t="s">
        <v>301</v>
      </c>
      <c r="DF211" s="150" t="s">
        <v>83</v>
      </c>
      <c r="DG211" s="12" t="s">
        <v>83</v>
      </c>
      <c r="DH211" s="12" t="s">
        <v>32</v>
      </c>
      <c r="DI211" s="12" t="s">
        <v>74</v>
      </c>
      <c r="DJ211" s="150" t="s">
        <v>282</v>
      </c>
    </row>
    <row r="212" spans="2:128" s="11" customFormat="1" x14ac:dyDescent="0.2">
      <c r="B212" s="143"/>
      <c r="D212" s="138" t="s">
        <v>301</v>
      </c>
      <c r="E212" s="144" t="s">
        <v>1</v>
      </c>
      <c r="F212" s="145" t="s">
        <v>428</v>
      </c>
      <c r="H212" s="144" t="s">
        <v>1</v>
      </c>
      <c r="I212" s="146"/>
      <c r="L212" s="143"/>
      <c r="N212" s="215"/>
      <c r="O212" s="216"/>
      <c r="Q212" s="230"/>
      <c r="BX212" s="147"/>
      <c r="CE212" s="148"/>
      <c r="DE212" s="144" t="s">
        <v>301</v>
      </c>
      <c r="DF212" s="144" t="s">
        <v>83</v>
      </c>
      <c r="DG212" s="11" t="s">
        <v>81</v>
      </c>
      <c r="DH212" s="11" t="s">
        <v>32</v>
      </c>
      <c r="DI212" s="11" t="s">
        <v>74</v>
      </c>
      <c r="DJ212" s="144" t="s">
        <v>282</v>
      </c>
    </row>
    <row r="213" spans="2:128" s="12" customFormat="1" x14ac:dyDescent="0.2">
      <c r="B213" s="149"/>
      <c r="D213" s="138" t="s">
        <v>301</v>
      </c>
      <c r="E213" s="150" t="s">
        <v>1</v>
      </c>
      <c r="F213" s="151" t="s">
        <v>1405</v>
      </c>
      <c r="H213" s="152">
        <v>-5.625</v>
      </c>
      <c r="I213" s="153"/>
      <c r="L213" s="149"/>
      <c r="N213" s="217">
        <f>-N238</f>
        <v>-4.4145000000000003</v>
      </c>
      <c r="O213" s="218"/>
      <c r="Q213" s="231"/>
      <c r="BX213" s="154"/>
      <c r="CE213" s="155"/>
      <c r="DE213" s="150" t="s">
        <v>301</v>
      </c>
      <c r="DF213" s="150" t="s">
        <v>83</v>
      </c>
      <c r="DG213" s="12" t="s">
        <v>83</v>
      </c>
      <c r="DH213" s="12" t="s">
        <v>32</v>
      </c>
      <c r="DI213" s="12" t="s">
        <v>74</v>
      </c>
      <c r="DJ213" s="150" t="s">
        <v>282</v>
      </c>
    </row>
    <row r="214" spans="2:128" s="11" customFormat="1" x14ac:dyDescent="0.2">
      <c r="B214" s="143"/>
      <c r="D214" s="138" t="s">
        <v>301</v>
      </c>
      <c r="E214" s="144" t="s">
        <v>1</v>
      </c>
      <c r="F214" s="145" t="s">
        <v>430</v>
      </c>
      <c r="H214" s="144" t="s">
        <v>1</v>
      </c>
      <c r="I214" s="146"/>
      <c r="L214" s="143"/>
      <c r="N214" s="215"/>
      <c r="O214" s="216"/>
      <c r="Q214" s="230"/>
      <c r="BX214" s="147"/>
      <c r="CE214" s="148"/>
      <c r="DE214" s="144" t="s">
        <v>301</v>
      </c>
      <c r="DF214" s="144" t="s">
        <v>83</v>
      </c>
      <c r="DG214" s="11" t="s">
        <v>81</v>
      </c>
      <c r="DH214" s="11" t="s">
        <v>32</v>
      </c>
      <c r="DI214" s="11" t="s">
        <v>74</v>
      </c>
      <c r="DJ214" s="144" t="s">
        <v>282</v>
      </c>
    </row>
    <row r="215" spans="2:128" s="12" customFormat="1" x14ac:dyDescent="0.2">
      <c r="B215" s="149"/>
      <c r="D215" s="138" t="s">
        <v>301</v>
      </c>
      <c r="E215" s="150" t="s">
        <v>1</v>
      </c>
      <c r="F215" s="151" t="s">
        <v>1406</v>
      </c>
      <c r="H215" s="152">
        <v>-1.65</v>
      </c>
      <c r="I215" s="153"/>
      <c r="L215" s="149"/>
      <c r="N215" s="217">
        <f>-N263-N269</f>
        <v>-1.2810000000000001</v>
      </c>
      <c r="O215" s="218"/>
      <c r="Q215" s="231"/>
      <c r="BX215" s="154"/>
      <c r="CE215" s="155"/>
      <c r="DE215" s="150" t="s">
        <v>301</v>
      </c>
      <c r="DF215" s="150" t="s">
        <v>83</v>
      </c>
      <c r="DG215" s="12" t="s">
        <v>83</v>
      </c>
      <c r="DH215" s="12" t="s">
        <v>32</v>
      </c>
      <c r="DI215" s="12" t="s">
        <v>74</v>
      </c>
      <c r="DJ215" s="150" t="s">
        <v>282</v>
      </c>
    </row>
    <row r="216" spans="2:128" s="11" customFormat="1" x14ac:dyDescent="0.2">
      <c r="B216" s="143"/>
      <c r="D216" s="138" t="s">
        <v>301</v>
      </c>
      <c r="E216" s="144" t="s">
        <v>1</v>
      </c>
      <c r="F216" s="145" t="s">
        <v>432</v>
      </c>
      <c r="H216" s="144" t="s">
        <v>1</v>
      </c>
      <c r="I216" s="146"/>
      <c r="L216" s="143"/>
      <c r="N216" s="215"/>
      <c r="O216" s="216"/>
      <c r="Q216" s="230"/>
      <c r="BX216" s="147"/>
      <c r="CE216" s="148"/>
      <c r="DE216" s="144" t="s">
        <v>301</v>
      </c>
      <c r="DF216" s="144" t="s">
        <v>83</v>
      </c>
      <c r="DG216" s="11" t="s">
        <v>81</v>
      </c>
      <c r="DH216" s="11" t="s">
        <v>32</v>
      </c>
      <c r="DI216" s="11" t="s">
        <v>74</v>
      </c>
      <c r="DJ216" s="144" t="s">
        <v>282</v>
      </c>
    </row>
    <row r="217" spans="2:128" s="12" customFormat="1" x14ac:dyDescent="0.2">
      <c r="B217" s="149"/>
      <c r="D217" s="138" t="s">
        <v>301</v>
      </c>
      <c r="E217" s="150" t="s">
        <v>1</v>
      </c>
      <c r="F217" s="151" t="s">
        <v>1407</v>
      </c>
      <c r="H217" s="152">
        <v>-0.4</v>
      </c>
      <c r="I217" s="153"/>
      <c r="L217" s="149"/>
      <c r="N217" s="217">
        <f>-N275</f>
        <v>-0.30000000000000004</v>
      </c>
      <c r="O217" s="218"/>
      <c r="Q217" s="231"/>
      <c r="BX217" s="154"/>
      <c r="CE217" s="155"/>
      <c r="DE217" s="150" t="s">
        <v>301</v>
      </c>
      <c r="DF217" s="150" t="s">
        <v>83</v>
      </c>
      <c r="DG217" s="12" t="s">
        <v>83</v>
      </c>
      <c r="DH217" s="12" t="s">
        <v>32</v>
      </c>
      <c r="DI217" s="12" t="s">
        <v>74</v>
      </c>
      <c r="DJ217" s="150" t="s">
        <v>282</v>
      </c>
    </row>
    <row r="218" spans="2:128" s="12" customFormat="1" x14ac:dyDescent="0.2">
      <c r="B218" s="149"/>
      <c r="D218" s="138" t="s">
        <v>301</v>
      </c>
      <c r="E218" s="150" t="s">
        <v>1</v>
      </c>
      <c r="F218" s="151" t="s">
        <v>1408</v>
      </c>
      <c r="H218" s="152">
        <v>-1.2190000000000001</v>
      </c>
      <c r="I218" s="153"/>
      <c r="L218" s="149"/>
      <c r="N218" s="217">
        <f>-3.14*0.21*0.21*2.2*3</f>
        <v>-0.91392839999999997</v>
      </c>
      <c r="O218" s="218" t="s">
        <v>3760</v>
      </c>
      <c r="Q218" s="231"/>
      <c r="BX218" s="154"/>
      <c r="CE218" s="155"/>
      <c r="DE218" s="150" t="s">
        <v>301</v>
      </c>
      <c r="DF218" s="150" t="s">
        <v>83</v>
      </c>
      <c r="DG218" s="12" t="s">
        <v>83</v>
      </c>
      <c r="DH218" s="12" t="s">
        <v>32</v>
      </c>
      <c r="DI218" s="12" t="s">
        <v>74</v>
      </c>
      <c r="DJ218" s="150" t="s">
        <v>282</v>
      </c>
    </row>
    <row r="219" spans="2:128" s="11" customFormat="1" x14ac:dyDescent="0.2">
      <c r="B219" s="143"/>
      <c r="D219" s="138" t="s">
        <v>301</v>
      </c>
      <c r="E219" s="144" t="s">
        <v>1</v>
      </c>
      <c r="F219" s="145" t="s">
        <v>436</v>
      </c>
      <c r="H219" s="144" t="s">
        <v>1</v>
      </c>
      <c r="I219" s="146"/>
      <c r="L219" s="143"/>
      <c r="N219" s="215"/>
      <c r="O219" s="216"/>
      <c r="Q219" s="230"/>
      <c r="BX219" s="147"/>
      <c r="CE219" s="148"/>
      <c r="DE219" s="144" t="s">
        <v>301</v>
      </c>
      <c r="DF219" s="144" t="s">
        <v>83</v>
      </c>
      <c r="DG219" s="11" t="s">
        <v>81</v>
      </c>
      <c r="DH219" s="11" t="s">
        <v>32</v>
      </c>
      <c r="DI219" s="11" t="s">
        <v>74</v>
      </c>
      <c r="DJ219" s="144" t="s">
        <v>282</v>
      </c>
    </row>
    <row r="220" spans="2:128" s="12" customFormat="1" x14ac:dyDescent="0.2">
      <c r="B220" s="149"/>
      <c r="D220" s="138" t="s">
        <v>301</v>
      </c>
      <c r="E220" s="150" t="s">
        <v>1</v>
      </c>
      <c r="F220" s="151" t="s">
        <v>1409</v>
      </c>
      <c r="H220" s="152">
        <v>4.5</v>
      </c>
      <c r="I220" s="153"/>
      <c r="L220" s="149"/>
      <c r="N220" s="217">
        <f>8.829*(0.45-0.05)</f>
        <v>3.5316000000000005</v>
      </c>
      <c r="O220" s="218" t="s">
        <v>3761</v>
      </c>
      <c r="Q220" s="231"/>
      <c r="BX220" s="154"/>
      <c r="CE220" s="155"/>
      <c r="DE220" s="150" t="s">
        <v>301</v>
      </c>
      <c r="DF220" s="150" t="s">
        <v>83</v>
      </c>
      <c r="DG220" s="12" t="s">
        <v>83</v>
      </c>
      <c r="DH220" s="12" t="s">
        <v>32</v>
      </c>
      <c r="DI220" s="12" t="s">
        <v>74</v>
      </c>
      <c r="DJ220" s="150" t="s">
        <v>282</v>
      </c>
    </row>
    <row r="221" spans="2:128" s="13" customFormat="1" x14ac:dyDescent="0.2">
      <c r="B221" s="156"/>
      <c r="D221" s="138" t="s">
        <v>301</v>
      </c>
      <c r="E221" s="157" t="s">
        <v>1</v>
      </c>
      <c r="F221" s="158" t="s">
        <v>305</v>
      </c>
      <c r="H221" s="159">
        <v>17.920000000000002</v>
      </c>
      <c r="I221" s="160"/>
      <c r="L221" s="156"/>
      <c r="N221" s="219">
        <f>N211+N213+N215+N217+N218+N220</f>
        <v>14.132171600000001</v>
      </c>
      <c r="O221" s="220"/>
      <c r="Q221" s="232"/>
      <c r="BX221" s="161"/>
      <c r="CE221" s="162"/>
      <c r="DE221" s="157" t="s">
        <v>301</v>
      </c>
      <c r="DF221" s="157" t="s">
        <v>83</v>
      </c>
      <c r="DG221" s="13" t="s">
        <v>95</v>
      </c>
      <c r="DH221" s="13" t="s">
        <v>32</v>
      </c>
      <c r="DI221" s="13" t="s">
        <v>81</v>
      </c>
      <c r="DJ221" s="157" t="s">
        <v>282</v>
      </c>
    </row>
    <row r="222" spans="2:128" s="13" customFormat="1" x14ac:dyDescent="0.2">
      <c r="B222" s="156"/>
      <c r="D222" s="138"/>
      <c r="E222" s="157"/>
      <c r="F222" s="158"/>
      <c r="H222" s="159"/>
      <c r="I222" s="160"/>
      <c r="L222" s="156"/>
      <c r="N222" s="311">
        <f>N221-H221</f>
        <v>-3.7878284000000004</v>
      </c>
      <c r="O222" s="220"/>
      <c r="Q222" s="232"/>
      <c r="BX222" s="161"/>
      <c r="CE222" s="162"/>
      <c r="DE222" s="157"/>
      <c r="DF222" s="157"/>
      <c r="DJ222" s="157"/>
    </row>
    <row r="223" spans="2:128" s="1" customFormat="1" ht="14.45" customHeight="1" x14ac:dyDescent="0.2">
      <c r="B223" s="124"/>
      <c r="C223" s="170" t="s">
        <v>392</v>
      </c>
      <c r="D223" s="170" t="s">
        <v>439</v>
      </c>
      <c r="E223" s="171" t="s">
        <v>440</v>
      </c>
      <c r="F223" s="172" t="s">
        <v>441</v>
      </c>
      <c r="G223" s="173" t="s">
        <v>418</v>
      </c>
      <c r="H223" s="174">
        <v>31.963999999999999</v>
      </c>
      <c r="I223" s="175">
        <v>390.0974172</v>
      </c>
      <c r="J223" s="176">
        <f>ROUND(I223*H223,2)</f>
        <v>12469.07</v>
      </c>
      <c r="K223" s="172" t="s">
        <v>293</v>
      </c>
      <c r="L223" s="268">
        <f>S223</f>
        <v>0</v>
      </c>
      <c r="M223" s="272">
        <f>ROUND(L223*I223,2)</f>
        <v>0</v>
      </c>
      <c r="N223" s="243">
        <f>N234</f>
        <v>-6.7410999999999994</v>
      </c>
      <c r="O223" s="294">
        <f>ROUND(N223*I223,2)</f>
        <v>-2629.69</v>
      </c>
      <c r="P223" s="273">
        <f>H223-L223-N223</f>
        <v>38.705100000000002</v>
      </c>
      <c r="Q223" s="287">
        <f>ROUND(P223*I223,2)</f>
        <v>15098.76</v>
      </c>
      <c r="R223" s="137"/>
      <c r="S223" s="269">
        <f>W223+Y223+AA223+AC223+AE223+AG223</f>
        <v>0</v>
      </c>
      <c r="T223" s="269">
        <f>ROUND(S223*I223,2)</f>
        <v>0</v>
      </c>
      <c r="U223" s="269">
        <f>H223-S223</f>
        <v>31.963999999999999</v>
      </c>
      <c r="V223" s="269">
        <f>ROUND(U223*I223,2)</f>
        <v>12469.07</v>
      </c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77" t="s">
        <v>1</v>
      </c>
      <c r="BY223" s="178" t="s">
        <v>40</v>
      </c>
      <c r="CA223" s="134">
        <f>BZ223*H223</f>
        <v>0</v>
      </c>
      <c r="CB223" s="134">
        <v>1</v>
      </c>
      <c r="CC223" s="134">
        <f>CB223*H223</f>
        <v>31.963999999999999</v>
      </c>
      <c r="CD223" s="134">
        <v>0</v>
      </c>
      <c r="CE223" s="135">
        <f>CD223*H223</f>
        <v>0</v>
      </c>
      <c r="DC223" s="136" t="s">
        <v>328</v>
      </c>
      <c r="DE223" s="136" t="s">
        <v>439</v>
      </c>
      <c r="DF223" s="136" t="s">
        <v>83</v>
      </c>
      <c r="DJ223" s="16" t="s">
        <v>282</v>
      </c>
      <c r="DP223" s="137">
        <f>IF(BY223="základní",J223,0)</f>
        <v>12469.07</v>
      </c>
      <c r="DQ223" s="137">
        <f>IF(BY223="snížená",J223,0)</f>
        <v>0</v>
      </c>
      <c r="DR223" s="137">
        <f>IF(BY223="zákl. přenesená",J223,0)</f>
        <v>0</v>
      </c>
      <c r="DS223" s="137">
        <f>IF(BY223="sníž. přenesená",J223,0)</f>
        <v>0</v>
      </c>
      <c r="DT223" s="137">
        <f>IF(BY223="nulová",J223,0)</f>
        <v>0</v>
      </c>
      <c r="DU223" s="16" t="s">
        <v>81</v>
      </c>
      <c r="DV223" s="137">
        <f>ROUND(I223*H223,2)</f>
        <v>12469.07</v>
      </c>
      <c r="DW223" s="16" t="s">
        <v>95</v>
      </c>
      <c r="DX223" s="136" t="s">
        <v>442</v>
      </c>
    </row>
    <row r="224" spans="2:128" s="1" customFormat="1" x14ac:dyDescent="0.2">
      <c r="B224" s="31"/>
      <c r="D224" s="138" t="s">
        <v>289</v>
      </c>
      <c r="F224" s="139" t="s">
        <v>441</v>
      </c>
      <c r="I224" s="140"/>
      <c r="L224" s="31"/>
      <c r="N224" s="213"/>
      <c r="O224" s="214"/>
      <c r="Q224" s="229"/>
      <c r="BX224" s="141"/>
      <c r="CE224" s="50"/>
      <c r="DE224" s="16" t="s">
        <v>289</v>
      </c>
      <c r="DF224" s="16" t="s">
        <v>83</v>
      </c>
    </row>
    <row r="225" spans="2:128" s="1" customFormat="1" ht="19.5" x14ac:dyDescent="0.2">
      <c r="B225" s="31"/>
      <c r="D225" s="138" t="s">
        <v>299</v>
      </c>
      <c r="F225" s="142" t="s">
        <v>443</v>
      </c>
      <c r="I225" s="140"/>
      <c r="L225" s="31"/>
      <c r="N225" s="213"/>
      <c r="O225" s="214"/>
      <c r="Q225" s="229"/>
      <c r="BX225" s="141"/>
      <c r="CE225" s="50"/>
      <c r="DE225" s="16" t="s">
        <v>299</v>
      </c>
      <c r="DF225" s="16" t="s">
        <v>83</v>
      </c>
    </row>
    <row r="226" spans="2:128" s="11" customFormat="1" x14ac:dyDescent="0.2">
      <c r="B226" s="143"/>
      <c r="D226" s="138" t="s">
        <v>301</v>
      </c>
      <c r="E226" s="144" t="s">
        <v>1</v>
      </c>
      <c r="F226" s="145" t="s">
        <v>1006</v>
      </c>
      <c r="H226" s="144" t="s">
        <v>1</v>
      </c>
      <c r="I226" s="146"/>
      <c r="L226" s="143"/>
      <c r="N226" s="215"/>
      <c r="O226" s="216"/>
      <c r="Q226" s="230"/>
      <c r="BX226" s="147"/>
      <c r="CE226" s="148"/>
      <c r="DE226" s="144" t="s">
        <v>301</v>
      </c>
      <c r="DF226" s="144" t="s">
        <v>83</v>
      </c>
      <c r="DG226" s="11" t="s">
        <v>81</v>
      </c>
      <c r="DH226" s="11" t="s">
        <v>32</v>
      </c>
      <c r="DI226" s="11" t="s">
        <v>74</v>
      </c>
      <c r="DJ226" s="144" t="s">
        <v>282</v>
      </c>
    </row>
    <row r="227" spans="2:128" s="12" customFormat="1" x14ac:dyDescent="0.2">
      <c r="B227" s="149"/>
      <c r="D227" s="138" t="s">
        <v>301</v>
      </c>
      <c r="E227" s="150" t="s">
        <v>1</v>
      </c>
      <c r="F227" s="151" t="s">
        <v>1410</v>
      </c>
      <c r="H227" s="152">
        <v>17.920000000000002</v>
      </c>
      <c r="I227" s="153"/>
      <c r="L227" s="149"/>
      <c r="N227" s="217">
        <v>14.132</v>
      </c>
      <c r="O227" s="218"/>
      <c r="Q227" s="231"/>
      <c r="BX227" s="154"/>
      <c r="CE227" s="155"/>
      <c r="DE227" s="150" t="s">
        <v>301</v>
      </c>
      <c r="DF227" s="150" t="s">
        <v>83</v>
      </c>
      <c r="DG227" s="12" t="s">
        <v>83</v>
      </c>
      <c r="DH227" s="12" t="s">
        <v>32</v>
      </c>
      <c r="DI227" s="12" t="s">
        <v>74</v>
      </c>
      <c r="DJ227" s="150" t="s">
        <v>282</v>
      </c>
    </row>
    <row r="228" spans="2:128" s="14" customFormat="1" x14ac:dyDescent="0.2">
      <c r="B228" s="163"/>
      <c r="D228" s="138" t="s">
        <v>301</v>
      </c>
      <c r="E228" s="164" t="s">
        <v>1</v>
      </c>
      <c r="F228" s="165" t="s">
        <v>373</v>
      </c>
      <c r="H228" s="166">
        <v>17.920000000000002</v>
      </c>
      <c r="I228" s="167"/>
      <c r="L228" s="163"/>
      <c r="N228" s="221">
        <f>N227</f>
        <v>14.132</v>
      </c>
      <c r="O228" s="222"/>
      <c r="Q228" s="233"/>
      <c r="BX228" s="168"/>
      <c r="CE228" s="169"/>
      <c r="DE228" s="164" t="s">
        <v>301</v>
      </c>
      <c r="DF228" s="164" t="s">
        <v>83</v>
      </c>
      <c r="DG228" s="14" t="s">
        <v>90</v>
      </c>
      <c r="DH228" s="14" t="s">
        <v>32</v>
      </c>
      <c r="DI228" s="14" t="s">
        <v>74</v>
      </c>
      <c r="DJ228" s="164" t="s">
        <v>282</v>
      </c>
    </row>
    <row r="229" spans="2:128" s="11" customFormat="1" x14ac:dyDescent="0.2">
      <c r="B229" s="143"/>
      <c r="D229" s="138" t="s">
        <v>301</v>
      </c>
      <c r="E229" s="144" t="s">
        <v>1</v>
      </c>
      <c r="F229" s="145" t="s">
        <v>1102</v>
      </c>
      <c r="H229" s="144" t="s">
        <v>1</v>
      </c>
      <c r="I229" s="146"/>
      <c r="L229" s="143"/>
      <c r="N229" s="215"/>
      <c r="O229" s="216"/>
      <c r="Q229" s="230"/>
      <c r="BX229" s="147"/>
      <c r="CE229" s="148"/>
      <c r="DE229" s="144" t="s">
        <v>301</v>
      </c>
      <c r="DF229" s="144" t="s">
        <v>83</v>
      </c>
      <c r="DG229" s="11" t="s">
        <v>81</v>
      </c>
      <c r="DH229" s="11" t="s">
        <v>32</v>
      </c>
      <c r="DI229" s="11" t="s">
        <v>74</v>
      </c>
      <c r="DJ229" s="144" t="s">
        <v>282</v>
      </c>
    </row>
    <row r="230" spans="2:128" s="12" customFormat="1" x14ac:dyDescent="0.2">
      <c r="B230" s="149"/>
      <c r="D230" s="138" t="s">
        <v>301</v>
      </c>
      <c r="E230" s="150" t="s">
        <v>1</v>
      </c>
      <c r="F230" s="151" t="s">
        <v>1400</v>
      </c>
      <c r="H230" s="152">
        <v>1.9379999999999999</v>
      </c>
      <c r="I230" s="153"/>
      <c r="L230" s="149"/>
      <c r="N230" s="217">
        <f>9.81*1*(2.2-0.1-0.45-0.1)*0.1</f>
        <v>1.5205500000000001</v>
      </c>
      <c r="O230" s="218" t="s">
        <v>3755</v>
      </c>
      <c r="Q230" s="231"/>
      <c r="BX230" s="154"/>
      <c r="CE230" s="155"/>
      <c r="DE230" s="150" t="s">
        <v>301</v>
      </c>
      <c r="DF230" s="150" t="s">
        <v>83</v>
      </c>
      <c r="DG230" s="12" t="s">
        <v>83</v>
      </c>
      <c r="DH230" s="12" t="s">
        <v>32</v>
      </c>
      <c r="DI230" s="12" t="s">
        <v>74</v>
      </c>
      <c r="DJ230" s="150" t="s">
        <v>282</v>
      </c>
    </row>
    <row r="231" spans="2:128" s="14" customFormat="1" x14ac:dyDescent="0.2">
      <c r="B231" s="163"/>
      <c r="D231" s="138" t="s">
        <v>301</v>
      </c>
      <c r="E231" s="164" t="s">
        <v>1</v>
      </c>
      <c r="F231" s="165" t="s">
        <v>373</v>
      </c>
      <c r="H231" s="166">
        <v>1.9379999999999999</v>
      </c>
      <c r="I231" s="167"/>
      <c r="L231" s="163"/>
      <c r="N231" s="221">
        <f>N230</f>
        <v>1.5205500000000001</v>
      </c>
      <c r="O231" s="222"/>
      <c r="Q231" s="233"/>
      <c r="BX231" s="168"/>
      <c r="CE231" s="169"/>
      <c r="DE231" s="164" t="s">
        <v>301</v>
      </c>
      <c r="DF231" s="164" t="s">
        <v>83</v>
      </c>
      <c r="DG231" s="14" t="s">
        <v>90</v>
      </c>
      <c r="DH231" s="14" t="s">
        <v>32</v>
      </c>
      <c r="DI231" s="14" t="s">
        <v>74</v>
      </c>
      <c r="DJ231" s="164" t="s">
        <v>282</v>
      </c>
    </row>
    <row r="232" spans="2:128" s="12" customFormat="1" x14ac:dyDescent="0.2">
      <c r="B232" s="149"/>
      <c r="D232" s="138" t="s">
        <v>301</v>
      </c>
      <c r="E232" s="150" t="s">
        <v>1</v>
      </c>
      <c r="F232" s="151" t="s">
        <v>1411</v>
      </c>
      <c r="H232" s="152">
        <v>15.981999999999999</v>
      </c>
      <c r="I232" s="153"/>
      <c r="L232" s="149"/>
      <c r="N232" s="217">
        <f>N228-N231</f>
        <v>12.61145</v>
      </c>
      <c r="O232" s="218"/>
      <c r="Q232" s="231"/>
      <c r="BX232" s="154"/>
      <c r="CE232" s="155"/>
      <c r="DE232" s="150" t="s">
        <v>301</v>
      </c>
      <c r="DF232" s="150" t="s">
        <v>83</v>
      </c>
      <c r="DG232" s="12" t="s">
        <v>83</v>
      </c>
      <c r="DH232" s="12" t="s">
        <v>32</v>
      </c>
      <c r="DI232" s="12" t="s">
        <v>81</v>
      </c>
      <c r="DJ232" s="150" t="s">
        <v>282</v>
      </c>
    </row>
    <row r="233" spans="2:128" s="12" customFormat="1" x14ac:dyDescent="0.2">
      <c r="B233" s="149"/>
      <c r="D233" s="138" t="s">
        <v>301</v>
      </c>
      <c r="F233" s="151" t="s">
        <v>1412</v>
      </c>
      <c r="H233" s="152">
        <v>31.963999999999999</v>
      </c>
      <c r="I233" s="153"/>
      <c r="L233" s="149"/>
      <c r="N233" s="217">
        <f>N232*2</f>
        <v>25.222899999999999</v>
      </c>
      <c r="O233" s="218"/>
      <c r="Q233" s="231"/>
      <c r="BX233" s="154"/>
      <c r="CE233" s="155"/>
      <c r="DE233" s="150" t="s">
        <v>301</v>
      </c>
      <c r="DF233" s="150" t="s">
        <v>83</v>
      </c>
      <c r="DG233" s="12" t="s">
        <v>83</v>
      </c>
      <c r="DH233" s="12" t="s">
        <v>3</v>
      </c>
      <c r="DI233" s="12" t="s">
        <v>81</v>
      </c>
      <c r="DJ233" s="150" t="s">
        <v>282</v>
      </c>
    </row>
    <row r="234" spans="2:128" s="12" customFormat="1" x14ac:dyDescent="0.2">
      <c r="B234" s="149"/>
      <c r="D234" s="138"/>
      <c r="F234" s="151"/>
      <c r="H234" s="152"/>
      <c r="I234" s="153"/>
      <c r="L234" s="149"/>
      <c r="N234" s="310">
        <f>N233-H233</f>
        <v>-6.7410999999999994</v>
      </c>
      <c r="O234" s="218"/>
      <c r="Q234" s="231"/>
      <c r="BX234" s="154"/>
      <c r="CE234" s="155"/>
      <c r="DE234" s="150"/>
      <c r="DF234" s="150"/>
      <c r="DJ234" s="150"/>
    </row>
    <row r="235" spans="2:128" s="1" customFormat="1" ht="24.2" customHeight="1" x14ac:dyDescent="0.2">
      <c r="B235" s="124"/>
      <c r="C235" s="125" t="s">
        <v>397</v>
      </c>
      <c r="D235" s="125" t="s">
        <v>284</v>
      </c>
      <c r="E235" s="126" t="s">
        <v>446</v>
      </c>
      <c r="F235" s="127" t="s">
        <v>447</v>
      </c>
      <c r="G235" s="128" t="s">
        <v>366</v>
      </c>
      <c r="H235" s="129">
        <v>5.625</v>
      </c>
      <c r="I235" s="130">
        <v>510.38291484661499</v>
      </c>
      <c r="J235" s="131">
        <f>ROUND(I235*H235,2)</f>
        <v>2870.9</v>
      </c>
      <c r="K235" s="127" t="s">
        <v>293</v>
      </c>
      <c r="L235" s="268">
        <f>S235</f>
        <v>0</v>
      </c>
      <c r="M235" s="272">
        <f>ROUND(L235*I235,2)</f>
        <v>0</v>
      </c>
      <c r="N235" s="243">
        <f>N239</f>
        <v>-1.2104999999999997</v>
      </c>
      <c r="O235" s="294">
        <f>ROUND(N235*I235,2)</f>
        <v>-617.82000000000005</v>
      </c>
      <c r="P235" s="273">
        <f>H235-L235-N235</f>
        <v>6.8354999999999997</v>
      </c>
      <c r="Q235" s="287">
        <f>ROUND(P235*I235,2)</f>
        <v>3488.72</v>
      </c>
      <c r="R235" s="137"/>
      <c r="S235" s="269">
        <f>W235+Y235+AA235+AC235+AE235+AG235</f>
        <v>0</v>
      </c>
      <c r="T235" s="269">
        <f>ROUND(S235*I235,2)</f>
        <v>0</v>
      </c>
      <c r="U235" s="269">
        <f>H235-S235</f>
        <v>5.625</v>
      </c>
      <c r="V235" s="269">
        <f>ROUND(U235*I235,2)</f>
        <v>2870.9</v>
      </c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BX235" s="132" t="s">
        <v>1</v>
      </c>
      <c r="BY235" s="133" t="s">
        <v>40</v>
      </c>
      <c r="CA235" s="134">
        <f>BZ235*H235</f>
        <v>0</v>
      </c>
      <c r="CB235" s="134">
        <v>0</v>
      </c>
      <c r="CC235" s="134">
        <f>CB235*H235</f>
        <v>0</v>
      </c>
      <c r="CD235" s="134">
        <v>0</v>
      </c>
      <c r="CE235" s="135">
        <f>CD235*H235</f>
        <v>0</v>
      </c>
      <c r="DC235" s="136" t="s">
        <v>95</v>
      </c>
      <c r="DE235" s="136" t="s">
        <v>284</v>
      </c>
      <c r="DF235" s="136" t="s">
        <v>83</v>
      </c>
      <c r="DJ235" s="16" t="s">
        <v>282</v>
      </c>
      <c r="DP235" s="137">
        <f>IF(BY235="základní",J235,0)</f>
        <v>2870.9</v>
      </c>
      <c r="DQ235" s="137">
        <f>IF(BY235="snížená",J235,0)</f>
        <v>0</v>
      </c>
      <c r="DR235" s="137">
        <f>IF(BY235="zákl. přenesená",J235,0)</f>
        <v>0</v>
      </c>
      <c r="DS235" s="137">
        <f>IF(BY235="sníž. přenesená",J235,0)</f>
        <v>0</v>
      </c>
      <c r="DT235" s="137">
        <f>IF(BY235="nulová",J235,0)</f>
        <v>0</v>
      </c>
      <c r="DU235" s="16" t="s">
        <v>81</v>
      </c>
      <c r="DV235" s="137">
        <f>ROUND(I235*H235,2)</f>
        <v>2870.9</v>
      </c>
      <c r="DW235" s="16" t="s">
        <v>95</v>
      </c>
      <c r="DX235" s="136" t="s">
        <v>448</v>
      </c>
    </row>
    <row r="236" spans="2:128" s="1" customFormat="1" ht="39" x14ac:dyDescent="0.2">
      <c r="B236" s="31"/>
      <c r="D236" s="138" t="s">
        <v>289</v>
      </c>
      <c r="F236" s="139" t="s">
        <v>449</v>
      </c>
      <c r="I236" s="140"/>
      <c r="L236" s="31"/>
      <c r="N236" s="213"/>
      <c r="O236" s="214"/>
      <c r="Q236" s="229"/>
      <c r="BX236" s="141"/>
      <c r="CE236" s="50"/>
      <c r="DE236" s="16" t="s">
        <v>289</v>
      </c>
      <c r="DF236" s="16" t="s">
        <v>83</v>
      </c>
    </row>
    <row r="237" spans="2:128" s="1" customFormat="1" ht="29.25" x14ac:dyDescent="0.2">
      <c r="B237" s="31"/>
      <c r="D237" s="138" t="s">
        <v>299</v>
      </c>
      <c r="F237" s="142" t="s">
        <v>1083</v>
      </c>
      <c r="I237" s="140"/>
      <c r="L237" s="31"/>
      <c r="N237" s="213"/>
      <c r="O237" s="214"/>
      <c r="Q237" s="229"/>
      <c r="BX237" s="141"/>
      <c r="CE237" s="50"/>
      <c r="DE237" s="16" t="s">
        <v>299</v>
      </c>
      <c r="DF237" s="16" t="s">
        <v>83</v>
      </c>
    </row>
    <row r="238" spans="2:128" s="12" customFormat="1" x14ac:dyDescent="0.2">
      <c r="B238" s="149"/>
      <c r="D238" s="138" t="s">
        <v>301</v>
      </c>
      <c r="E238" s="150" t="s">
        <v>1</v>
      </c>
      <c r="F238" s="151" t="s">
        <v>1413</v>
      </c>
      <c r="H238" s="152">
        <v>5.625</v>
      </c>
      <c r="I238" s="153"/>
      <c r="L238" s="149"/>
      <c r="N238" s="217">
        <f>9.81*1*0.45</f>
        <v>4.4145000000000003</v>
      </c>
      <c r="O238" s="218" t="s">
        <v>3757</v>
      </c>
      <c r="Q238" s="231"/>
      <c r="BX238" s="154"/>
      <c r="CE238" s="155"/>
      <c r="DE238" s="150" t="s">
        <v>301</v>
      </c>
      <c r="DF238" s="150" t="s">
        <v>83</v>
      </c>
      <c r="DG238" s="12" t="s">
        <v>83</v>
      </c>
      <c r="DH238" s="12" t="s">
        <v>32</v>
      </c>
      <c r="DI238" s="12" t="s">
        <v>81</v>
      </c>
      <c r="DJ238" s="150" t="s">
        <v>282</v>
      </c>
    </row>
    <row r="239" spans="2:128" s="12" customFormat="1" x14ac:dyDescent="0.2">
      <c r="B239" s="149"/>
      <c r="D239" s="138"/>
      <c r="E239" s="150"/>
      <c r="F239" s="151"/>
      <c r="H239" s="152"/>
      <c r="I239" s="153"/>
      <c r="L239" s="149"/>
      <c r="N239" s="310">
        <f>N238-H238</f>
        <v>-1.2104999999999997</v>
      </c>
      <c r="O239" s="218"/>
      <c r="Q239" s="231"/>
      <c r="BX239" s="154"/>
      <c r="CE239" s="155"/>
      <c r="DE239" s="150"/>
      <c r="DF239" s="150"/>
      <c r="DJ239" s="150"/>
    </row>
    <row r="240" spans="2:128" s="1" customFormat="1" ht="14.45" customHeight="1" x14ac:dyDescent="0.2">
      <c r="B240" s="124"/>
      <c r="C240" s="170" t="s">
        <v>404</v>
      </c>
      <c r="D240" s="170" t="s">
        <v>439</v>
      </c>
      <c r="E240" s="171" t="s">
        <v>452</v>
      </c>
      <c r="F240" s="172" t="s">
        <v>453</v>
      </c>
      <c r="G240" s="173" t="s">
        <v>418</v>
      </c>
      <c r="H240" s="174">
        <v>11.25</v>
      </c>
      <c r="I240" s="175">
        <v>380.62816190000001</v>
      </c>
      <c r="J240" s="176">
        <f>ROUND(I240*H240,2)</f>
        <v>4282.07</v>
      </c>
      <c r="K240" s="172" t="s">
        <v>293</v>
      </c>
      <c r="L240" s="268">
        <f>S240</f>
        <v>0</v>
      </c>
      <c r="M240" s="272">
        <f>ROUND(L240*I240,2)</f>
        <v>0</v>
      </c>
      <c r="N240" s="243">
        <f>N242</f>
        <v>-2.4220000000000002</v>
      </c>
      <c r="O240" s="294">
        <f>ROUND(N240*I240,2)</f>
        <v>-921.88</v>
      </c>
      <c r="P240" s="273">
        <f>H240-L240-N240</f>
        <v>13.672000000000001</v>
      </c>
      <c r="Q240" s="287">
        <f>ROUND(P240*I240,2)</f>
        <v>5203.95</v>
      </c>
      <c r="R240" s="137"/>
      <c r="S240" s="269">
        <f>W240+Y240+AA240+AC240+AE240+AG240</f>
        <v>0</v>
      </c>
      <c r="T240" s="269">
        <f>ROUND(S240*I240,2)</f>
        <v>0</v>
      </c>
      <c r="U240" s="269">
        <f>H240-S240</f>
        <v>11.25</v>
      </c>
      <c r="V240" s="269">
        <f>ROUND(U240*I240,2)</f>
        <v>4282.07</v>
      </c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77" t="s">
        <v>1</v>
      </c>
      <c r="BY240" s="178" t="s">
        <v>40</v>
      </c>
      <c r="CA240" s="134">
        <f>BZ240*H240</f>
        <v>0</v>
      </c>
      <c r="CB240" s="134">
        <v>1</v>
      </c>
      <c r="CC240" s="134">
        <f>CB240*H240</f>
        <v>11.25</v>
      </c>
      <c r="CD240" s="134">
        <v>0</v>
      </c>
      <c r="CE240" s="135">
        <f>CD240*H240</f>
        <v>0</v>
      </c>
      <c r="DC240" s="136" t="s">
        <v>328</v>
      </c>
      <c r="DE240" s="136" t="s">
        <v>439</v>
      </c>
      <c r="DF240" s="136" t="s">
        <v>83</v>
      </c>
      <c r="DJ240" s="16" t="s">
        <v>282</v>
      </c>
      <c r="DP240" s="137">
        <f>IF(BY240="základní",J240,0)</f>
        <v>4282.07</v>
      </c>
      <c r="DQ240" s="137">
        <f>IF(BY240="snížená",J240,0)</f>
        <v>0</v>
      </c>
      <c r="DR240" s="137">
        <f>IF(BY240="zákl. přenesená",J240,0)</f>
        <v>0</v>
      </c>
      <c r="DS240" s="137">
        <f>IF(BY240="sníž. přenesená",J240,0)</f>
        <v>0</v>
      </c>
      <c r="DT240" s="137">
        <f>IF(BY240="nulová",J240,0)</f>
        <v>0</v>
      </c>
      <c r="DU240" s="16" t="s">
        <v>81</v>
      </c>
      <c r="DV240" s="137">
        <f>ROUND(I240*H240,2)</f>
        <v>4282.07</v>
      </c>
      <c r="DW240" s="16" t="s">
        <v>95</v>
      </c>
      <c r="DX240" s="136" t="s">
        <v>454</v>
      </c>
    </row>
    <row r="241" spans="2:128" s="1" customFormat="1" x14ac:dyDescent="0.2">
      <c r="B241" s="31"/>
      <c r="D241" s="138" t="s">
        <v>289</v>
      </c>
      <c r="F241" s="139" t="s">
        <v>453</v>
      </c>
      <c r="I241" s="140"/>
      <c r="L241" s="31"/>
      <c r="N241" s="213"/>
      <c r="O241" s="214"/>
      <c r="Q241" s="229"/>
      <c r="BX241" s="141"/>
      <c r="CE241" s="50"/>
      <c r="DE241" s="16" t="s">
        <v>289</v>
      </c>
      <c r="DF241" s="16" t="s">
        <v>83</v>
      </c>
    </row>
    <row r="242" spans="2:128" s="12" customFormat="1" x14ac:dyDescent="0.2">
      <c r="B242" s="149"/>
      <c r="D242" s="138" t="s">
        <v>301</v>
      </c>
      <c r="F242" s="151" t="s">
        <v>1414</v>
      </c>
      <c r="H242" s="152">
        <v>11.25</v>
      </c>
      <c r="I242" s="153"/>
      <c r="L242" s="149"/>
      <c r="N242" s="217">
        <f>-1.211*2</f>
        <v>-2.4220000000000002</v>
      </c>
      <c r="O242" s="218" t="s">
        <v>3762</v>
      </c>
      <c r="Q242" s="231"/>
      <c r="BX242" s="154"/>
      <c r="CE242" s="155"/>
      <c r="DE242" s="150" t="s">
        <v>301</v>
      </c>
      <c r="DF242" s="150" t="s">
        <v>83</v>
      </c>
      <c r="DG242" s="12" t="s">
        <v>83</v>
      </c>
      <c r="DH242" s="12" t="s">
        <v>3</v>
      </c>
      <c r="DI242" s="12" t="s">
        <v>81</v>
      </c>
      <c r="DJ242" s="150" t="s">
        <v>282</v>
      </c>
    </row>
    <row r="243" spans="2:128" s="1" customFormat="1" ht="24.2" customHeight="1" x14ac:dyDescent="0.2">
      <c r="B243" s="124"/>
      <c r="C243" s="125" t="s">
        <v>7</v>
      </c>
      <c r="D243" s="125" t="s">
        <v>284</v>
      </c>
      <c r="E243" s="126" t="s">
        <v>1012</v>
      </c>
      <c r="F243" s="127" t="s">
        <v>1013</v>
      </c>
      <c r="G243" s="128" t="s">
        <v>287</v>
      </c>
      <c r="H243" s="129">
        <v>3.75</v>
      </c>
      <c r="I243" s="130">
        <v>64.410667599999996</v>
      </c>
      <c r="J243" s="131">
        <f>ROUND(I243*H243,2)</f>
        <v>241.54</v>
      </c>
      <c r="K243" s="127" t="s">
        <v>1</v>
      </c>
      <c r="L243" s="268">
        <f>S243</f>
        <v>0</v>
      </c>
      <c r="M243" s="272">
        <f>ROUND(L243*I243,2)</f>
        <v>0</v>
      </c>
      <c r="N243" s="243">
        <f>N245</f>
        <v>-0.80699999999999994</v>
      </c>
      <c r="O243" s="294">
        <f>ROUND(N243*I243,2)</f>
        <v>-51.98</v>
      </c>
      <c r="P243" s="273">
        <f>H243-L243-N243</f>
        <v>4.5570000000000004</v>
      </c>
      <c r="Q243" s="287">
        <f>ROUND(P243*I243,2)</f>
        <v>293.52</v>
      </c>
      <c r="R243" s="137"/>
      <c r="S243" s="269">
        <f>W243+Y243+AA243+AC243+AE243+AG243</f>
        <v>0</v>
      </c>
      <c r="T243" s="269">
        <f>ROUND(S243*I243,2)</f>
        <v>0</v>
      </c>
      <c r="U243" s="269">
        <f>H243-S243</f>
        <v>3.75</v>
      </c>
      <c r="V243" s="269">
        <f>ROUND(U243*I243,2)</f>
        <v>241.54</v>
      </c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BX243" s="132" t="s">
        <v>1</v>
      </c>
      <c r="BY243" s="133" t="s">
        <v>40</v>
      </c>
      <c r="CA243" s="134">
        <f>BZ243*H243</f>
        <v>0</v>
      </c>
      <c r="CB243" s="134">
        <v>0</v>
      </c>
      <c r="CC243" s="134">
        <f>CB243*H243</f>
        <v>0</v>
      </c>
      <c r="CD243" s="134">
        <v>0</v>
      </c>
      <c r="CE243" s="135">
        <f>CD243*H243</f>
        <v>0</v>
      </c>
      <c r="DC243" s="136" t="s">
        <v>95</v>
      </c>
      <c r="DE243" s="136" t="s">
        <v>284</v>
      </c>
      <c r="DF243" s="136" t="s">
        <v>83</v>
      </c>
      <c r="DJ243" s="16" t="s">
        <v>282</v>
      </c>
      <c r="DP243" s="137">
        <f>IF(BY243="základní",J243,0)</f>
        <v>241.54</v>
      </c>
      <c r="DQ243" s="137">
        <f>IF(BY243="snížená",J243,0)</f>
        <v>0</v>
      </c>
      <c r="DR243" s="137">
        <f>IF(BY243="zákl. přenesená",J243,0)</f>
        <v>0</v>
      </c>
      <c r="DS243" s="137">
        <f>IF(BY243="sníž. přenesená",J243,0)</f>
        <v>0</v>
      </c>
      <c r="DT243" s="137">
        <f>IF(BY243="nulová",J243,0)</f>
        <v>0</v>
      </c>
      <c r="DU243" s="16" t="s">
        <v>81</v>
      </c>
      <c r="DV243" s="137">
        <f>ROUND(I243*H243,2)</f>
        <v>241.54</v>
      </c>
      <c r="DW243" s="16" t="s">
        <v>95</v>
      </c>
      <c r="DX243" s="136" t="s">
        <v>1014</v>
      </c>
    </row>
    <row r="244" spans="2:128" s="1" customFormat="1" x14ac:dyDescent="0.2">
      <c r="B244" s="31"/>
      <c r="D244" s="138" t="s">
        <v>289</v>
      </c>
      <c r="F244" s="139" t="s">
        <v>1013</v>
      </c>
      <c r="I244" s="140"/>
      <c r="L244" s="31"/>
      <c r="N244" s="213"/>
      <c r="O244" s="214"/>
      <c r="Q244" s="229"/>
      <c r="BX244" s="141"/>
      <c r="CE244" s="50"/>
      <c r="DE244" s="16" t="s">
        <v>289</v>
      </c>
      <c r="DF244" s="16" t="s">
        <v>83</v>
      </c>
    </row>
    <row r="245" spans="2:128" s="1" customFormat="1" ht="24.2" customHeight="1" x14ac:dyDescent="0.2">
      <c r="B245" s="124"/>
      <c r="C245" s="125" t="s">
        <v>415</v>
      </c>
      <c r="D245" s="125" t="s">
        <v>284</v>
      </c>
      <c r="E245" s="126" t="s">
        <v>1015</v>
      </c>
      <c r="F245" s="127" t="s">
        <v>1016</v>
      </c>
      <c r="G245" s="128" t="s">
        <v>287</v>
      </c>
      <c r="H245" s="129">
        <v>3.75</v>
      </c>
      <c r="I245" s="130">
        <v>48.300657632010001</v>
      </c>
      <c r="J245" s="131">
        <f>ROUND(I245*H245,2)</f>
        <v>181.13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N250</f>
        <v>-0.80699999999999994</v>
      </c>
      <c r="O245" s="294">
        <f>ROUND(N245*I245,2)</f>
        <v>-38.979999999999997</v>
      </c>
      <c r="P245" s="273">
        <f>H245-L245-N245</f>
        <v>4.5570000000000004</v>
      </c>
      <c r="Q245" s="287">
        <f>ROUND(P245*I245,2)</f>
        <v>220.11</v>
      </c>
      <c r="R245" s="137"/>
      <c r="S245" s="269">
        <f>W245+Y245+AA245+AC245+AE245+AG245</f>
        <v>0</v>
      </c>
      <c r="T245" s="269">
        <f>ROUND(S245*I245,2)</f>
        <v>0</v>
      </c>
      <c r="U245" s="269">
        <f>H245-S245</f>
        <v>3.75</v>
      </c>
      <c r="V245" s="269">
        <f>ROUND(U245*I245,2)</f>
        <v>181.13</v>
      </c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BX245" s="132" t="s">
        <v>1</v>
      </c>
      <c r="BY245" s="133" t="s">
        <v>40</v>
      </c>
      <c r="CA245" s="134">
        <f>BZ245*H245</f>
        <v>0</v>
      </c>
      <c r="CB245" s="134">
        <v>0</v>
      </c>
      <c r="CC245" s="134">
        <f>CB245*H245</f>
        <v>0</v>
      </c>
      <c r="CD245" s="134">
        <v>0</v>
      </c>
      <c r="CE245" s="135">
        <f>CD245*H245</f>
        <v>0</v>
      </c>
      <c r="DC245" s="136" t="s">
        <v>95</v>
      </c>
      <c r="DE245" s="136" t="s">
        <v>284</v>
      </c>
      <c r="DF245" s="136" t="s">
        <v>83</v>
      </c>
      <c r="DJ245" s="16" t="s">
        <v>282</v>
      </c>
      <c r="DP245" s="137">
        <f>IF(BY245="základní",J245,0)</f>
        <v>181.13</v>
      </c>
      <c r="DQ245" s="137">
        <f>IF(BY245="snížená",J245,0)</f>
        <v>0</v>
      </c>
      <c r="DR245" s="137">
        <f>IF(BY245="zákl. přenesená",J245,0)</f>
        <v>0</v>
      </c>
      <c r="DS245" s="137">
        <f>IF(BY245="sníž. přenesená",J245,0)</f>
        <v>0</v>
      </c>
      <c r="DT245" s="137">
        <f>IF(BY245="nulová",J245,0)</f>
        <v>0</v>
      </c>
      <c r="DU245" s="16" t="s">
        <v>81</v>
      </c>
      <c r="DV245" s="137">
        <f>ROUND(I245*H245,2)</f>
        <v>181.13</v>
      </c>
      <c r="DW245" s="16" t="s">
        <v>95</v>
      </c>
      <c r="DX245" s="136" t="s">
        <v>1017</v>
      </c>
    </row>
    <row r="246" spans="2:128" s="1" customFormat="1" ht="29.25" x14ac:dyDescent="0.2">
      <c r="B246" s="31"/>
      <c r="D246" s="138" t="s">
        <v>289</v>
      </c>
      <c r="F246" s="139" t="s">
        <v>1018</v>
      </c>
      <c r="I246" s="140"/>
      <c r="L246" s="31"/>
      <c r="N246" s="213"/>
      <c r="O246" s="214"/>
      <c r="Q246" s="229"/>
      <c r="BX246" s="141"/>
      <c r="CE246" s="50"/>
      <c r="DE246" s="16" t="s">
        <v>289</v>
      </c>
      <c r="DF246" s="16" t="s">
        <v>83</v>
      </c>
    </row>
    <row r="247" spans="2:128" s="1" customFormat="1" ht="29.25" x14ac:dyDescent="0.2">
      <c r="B247" s="31"/>
      <c r="D247" s="138" t="s">
        <v>299</v>
      </c>
      <c r="F247" s="142" t="s">
        <v>1083</v>
      </c>
      <c r="I247" s="140"/>
      <c r="L247" s="31"/>
      <c r="N247" s="213"/>
      <c r="O247" s="214"/>
      <c r="Q247" s="229"/>
      <c r="BX247" s="141"/>
      <c r="CE247" s="50"/>
      <c r="DE247" s="16" t="s">
        <v>299</v>
      </c>
      <c r="DF247" s="16" t="s">
        <v>83</v>
      </c>
    </row>
    <row r="248" spans="2:128" s="11" customFormat="1" x14ac:dyDescent="0.2">
      <c r="B248" s="143"/>
      <c r="D248" s="138" t="s">
        <v>301</v>
      </c>
      <c r="E248" s="144" t="s">
        <v>1</v>
      </c>
      <c r="F248" s="145" t="s">
        <v>1088</v>
      </c>
      <c r="H248" s="144" t="s">
        <v>1</v>
      </c>
      <c r="I248" s="146"/>
      <c r="L248" s="143"/>
      <c r="N248" s="215"/>
      <c r="O248" s="216"/>
      <c r="Q248" s="230"/>
      <c r="BX248" s="147"/>
      <c r="CE248" s="148"/>
      <c r="DE248" s="144" t="s">
        <v>301</v>
      </c>
      <c r="DF248" s="144" t="s">
        <v>83</v>
      </c>
      <c r="DG248" s="11" t="s">
        <v>81</v>
      </c>
      <c r="DH248" s="11" t="s">
        <v>32</v>
      </c>
      <c r="DI248" s="11" t="s">
        <v>74</v>
      </c>
      <c r="DJ248" s="144" t="s">
        <v>282</v>
      </c>
    </row>
    <row r="249" spans="2:128" s="12" customFormat="1" x14ac:dyDescent="0.2">
      <c r="B249" s="149"/>
      <c r="D249" s="138" t="s">
        <v>301</v>
      </c>
      <c r="E249" s="150" t="s">
        <v>1</v>
      </c>
      <c r="F249" s="151" t="s">
        <v>1390</v>
      </c>
      <c r="H249" s="152">
        <v>3.75</v>
      </c>
      <c r="I249" s="153"/>
      <c r="L249" s="149"/>
      <c r="N249" s="217">
        <f>9.81*3*0.1</f>
        <v>2.9430000000000001</v>
      </c>
      <c r="O249" s="218" t="s">
        <v>3747</v>
      </c>
      <c r="Q249" s="231"/>
      <c r="BX249" s="154"/>
      <c r="CE249" s="155"/>
      <c r="DE249" s="150" t="s">
        <v>301</v>
      </c>
      <c r="DF249" s="150" t="s">
        <v>83</v>
      </c>
      <c r="DG249" s="12" t="s">
        <v>83</v>
      </c>
      <c r="DH249" s="12" t="s">
        <v>32</v>
      </c>
      <c r="DI249" s="12" t="s">
        <v>81</v>
      </c>
      <c r="DJ249" s="150" t="s">
        <v>282</v>
      </c>
    </row>
    <row r="250" spans="2:128" s="12" customFormat="1" x14ac:dyDescent="0.2">
      <c r="B250" s="149"/>
      <c r="D250" s="138"/>
      <c r="E250" s="150"/>
      <c r="F250" s="151"/>
      <c r="H250" s="152"/>
      <c r="I250" s="153"/>
      <c r="L250" s="149"/>
      <c r="N250" s="310">
        <f>N249-H249</f>
        <v>-0.80699999999999994</v>
      </c>
      <c r="O250" s="218"/>
      <c r="Q250" s="231"/>
      <c r="BX250" s="154"/>
      <c r="CE250" s="155"/>
      <c r="DE250" s="150"/>
      <c r="DF250" s="150"/>
      <c r="DJ250" s="150"/>
    </row>
    <row r="251" spans="2:128" s="1" customFormat="1" ht="24.2" customHeight="1" x14ac:dyDescent="0.2">
      <c r="B251" s="124"/>
      <c r="C251" s="125" t="s">
        <v>422</v>
      </c>
      <c r="D251" s="125" t="s">
        <v>284</v>
      </c>
      <c r="E251" s="126" t="s">
        <v>457</v>
      </c>
      <c r="F251" s="127" t="s">
        <v>458</v>
      </c>
      <c r="G251" s="128" t="s">
        <v>418</v>
      </c>
      <c r="H251" s="129">
        <v>43.213999999999999</v>
      </c>
      <c r="I251" s="130">
        <v>61.737071122597108</v>
      </c>
      <c r="J251" s="131">
        <f>ROUND(I251*H251,2)</f>
        <v>2667.91</v>
      </c>
      <c r="K251" s="127" t="s">
        <v>293</v>
      </c>
      <c r="L251" s="268">
        <f>S251</f>
        <v>0</v>
      </c>
      <c r="M251" s="272">
        <f>ROUND(L251*I251,2)</f>
        <v>0</v>
      </c>
      <c r="N251" s="243">
        <f>N253</f>
        <v>-9.1630000000000003</v>
      </c>
      <c r="O251" s="294">
        <f>ROUND(N251*I251,2)</f>
        <v>-565.70000000000005</v>
      </c>
      <c r="P251" s="273">
        <f>H251-L251-N251</f>
        <v>52.376999999999995</v>
      </c>
      <c r="Q251" s="287">
        <f>ROUND(P251*I251,2)</f>
        <v>3233.6</v>
      </c>
      <c r="R251" s="137"/>
      <c r="S251" s="269">
        <f>W251+Y251+AA251+AC251+AE251+AG251</f>
        <v>0</v>
      </c>
      <c r="T251" s="269">
        <f>ROUND(S251*I251,2)</f>
        <v>0</v>
      </c>
      <c r="U251" s="269">
        <f>H251-S251</f>
        <v>43.213999999999999</v>
      </c>
      <c r="V251" s="269">
        <f>ROUND(U251*I251,2)</f>
        <v>2667.91</v>
      </c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BX251" s="132" t="s">
        <v>1</v>
      </c>
      <c r="BY251" s="133" t="s">
        <v>40</v>
      </c>
      <c r="CA251" s="134">
        <f>BZ251*H251</f>
        <v>0</v>
      </c>
      <c r="CB251" s="134">
        <v>0</v>
      </c>
      <c r="CC251" s="134">
        <f>CB251*H251</f>
        <v>0</v>
      </c>
      <c r="CD251" s="134">
        <v>0</v>
      </c>
      <c r="CE251" s="135">
        <f>CD251*H251</f>
        <v>0</v>
      </c>
      <c r="DC251" s="136" t="s">
        <v>95</v>
      </c>
      <c r="DE251" s="136" t="s">
        <v>284</v>
      </c>
      <c r="DF251" s="136" t="s">
        <v>83</v>
      </c>
      <c r="DJ251" s="16" t="s">
        <v>282</v>
      </c>
      <c r="DP251" s="137">
        <f>IF(BY251="základní",J251,0)</f>
        <v>2667.91</v>
      </c>
      <c r="DQ251" s="137">
        <f>IF(BY251="snížená",J251,0)</f>
        <v>0</v>
      </c>
      <c r="DR251" s="137">
        <f>IF(BY251="zákl. přenesená",J251,0)</f>
        <v>0</v>
      </c>
      <c r="DS251" s="137">
        <f>IF(BY251="sníž. přenesená",J251,0)</f>
        <v>0</v>
      </c>
      <c r="DT251" s="137">
        <f>IF(BY251="nulová",J251,0)</f>
        <v>0</v>
      </c>
      <c r="DU251" s="16" t="s">
        <v>81</v>
      </c>
      <c r="DV251" s="137">
        <f>ROUND(I251*H251,2)</f>
        <v>2667.91</v>
      </c>
      <c r="DW251" s="16" t="s">
        <v>95</v>
      </c>
      <c r="DX251" s="136" t="s">
        <v>459</v>
      </c>
    </row>
    <row r="252" spans="2:128" s="1" customFormat="1" ht="29.25" x14ac:dyDescent="0.2">
      <c r="B252" s="31"/>
      <c r="D252" s="138" t="s">
        <v>289</v>
      </c>
      <c r="F252" s="139" t="s">
        <v>460</v>
      </c>
      <c r="I252" s="140"/>
      <c r="L252" s="31"/>
      <c r="N252" s="213"/>
      <c r="O252" s="214"/>
      <c r="Q252" s="229"/>
      <c r="BX252" s="141"/>
      <c r="CE252" s="50"/>
      <c r="DE252" s="16" t="s">
        <v>289</v>
      </c>
      <c r="DF252" s="16" t="s">
        <v>83</v>
      </c>
    </row>
    <row r="253" spans="2:128" s="12" customFormat="1" x14ac:dyDescent="0.2">
      <c r="B253" s="149"/>
      <c r="D253" s="138" t="s">
        <v>301</v>
      </c>
      <c r="E253" s="150" t="s">
        <v>1</v>
      </c>
      <c r="F253" s="151" t="s">
        <v>1415</v>
      </c>
      <c r="H253" s="152">
        <v>43.213999999999999</v>
      </c>
      <c r="I253" s="153"/>
      <c r="L253" s="149"/>
      <c r="N253" s="217">
        <f>-6.741-2.422</f>
        <v>-9.1630000000000003</v>
      </c>
      <c r="O253" s="218" t="s">
        <v>3763</v>
      </c>
      <c r="Q253" s="231"/>
      <c r="BX253" s="154"/>
      <c r="CE253" s="155"/>
      <c r="DE253" s="150" t="s">
        <v>301</v>
      </c>
      <c r="DF253" s="150" t="s">
        <v>83</v>
      </c>
      <c r="DG253" s="12" t="s">
        <v>83</v>
      </c>
      <c r="DH253" s="12" t="s">
        <v>32</v>
      </c>
      <c r="DI253" s="12" t="s">
        <v>81</v>
      </c>
      <c r="DJ253" s="150" t="s">
        <v>282</v>
      </c>
    </row>
    <row r="254" spans="2:128" s="10" customFormat="1" ht="22.9" customHeight="1" x14ac:dyDescent="0.2">
      <c r="B254" s="112"/>
      <c r="D254" s="113" t="s">
        <v>73</v>
      </c>
      <c r="E254" s="122" t="s">
        <v>83</v>
      </c>
      <c r="F254" s="122" t="s">
        <v>462</v>
      </c>
      <c r="I254" s="115"/>
      <c r="J254" s="123">
        <f>DV254</f>
        <v>3300.85</v>
      </c>
      <c r="L254" s="112"/>
      <c r="M254" s="270">
        <f>M255</f>
        <v>0</v>
      </c>
      <c r="N254" s="301"/>
      <c r="O254" s="302">
        <f t="shared" ref="O254:V254" si="3">O255</f>
        <v>-710.34</v>
      </c>
      <c r="P254" s="270"/>
      <c r="Q254" s="288">
        <f t="shared" si="3"/>
        <v>4011.2</v>
      </c>
      <c r="R254" s="270"/>
      <c r="S254" s="270"/>
      <c r="T254" s="270">
        <f t="shared" si="3"/>
        <v>0</v>
      </c>
      <c r="U254" s="270"/>
      <c r="V254" s="270">
        <f t="shared" si="3"/>
        <v>3300.85</v>
      </c>
      <c r="BX254" s="117"/>
      <c r="CA254" s="118">
        <f>SUM(CA255:CA258)</f>
        <v>0</v>
      </c>
      <c r="CC254" s="118">
        <f>SUM(CC255:CC258)</f>
        <v>2.5586250000000001</v>
      </c>
      <c r="CE254" s="119">
        <f>SUM(CE255:CE258)</f>
        <v>0</v>
      </c>
      <c r="DC254" s="113" t="s">
        <v>81</v>
      </c>
      <c r="DE254" s="120" t="s">
        <v>73</v>
      </c>
      <c r="DF254" s="120" t="s">
        <v>81</v>
      </c>
      <c r="DJ254" s="113" t="s">
        <v>282</v>
      </c>
      <c r="DV254" s="121">
        <f>SUM(DV255:DV258)</f>
        <v>3300.85</v>
      </c>
    </row>
    <row r="255" spans="2:128" s="1" customFormat="1" ht="37.9" customHeight="1" x14ac:dyDescent="0.2">
      <c r="B255" s="124"/>
      <c r="C255" s="125" t="s">
        <v>438</v>
      </c>
      <c r="D255" s="125" t="s">
        <v>284</v>
      </c>
      <c r="E255" s="126" t="s">
        <v>464</v>
      </c>
      <c r="F255" s="127" t="s">
        <v>465</v>
      </c>
      <c r="G255" s="128" t="s">
        <v>344</v>
      </c>
      <c r="H255" s="129">
        <v>12.5</v>
      </c>
      <c r="I255" s="130">
        <v>264.06831423630393</v>
      </c>
      <c r="J255" s="131">
        <f>ROUND(I255*H255,2)</f>
        <v>3300.85</v>
      </c>
      <c r="K255" s="127" t="s">
        <v>293</v>
      </c>
      <c r="L255" s="268">
        <f>S255</f>
        <v>0</v>
      </c>
      <c r="M255" s="272">
        <f>ROUND(L255*I255,2)</f>
        <v>0</v>
      </c>
      <c r="N255" s="243">
        <f>N258</f>
        <v>-2.6899999999999995</v>
      </c>
      <c r="O255" s="294">
        <f>ROUND(N255*I255,2)</f>
        <v>-710.34</v>
      </c>
      <c r="P255" s="273">
        <f>H255-L255-N255</f>
        <v>15.19</v>
      </c>
      <c r="Q255" s="287">
        <f>ROUND(P255*I255,2)</f>
        <v>4011.2</v>
      </c>
      <c r="R255" s="137"/>
      <c r="S255" s="269">
        <f>W255+Y255+AA255+AC255+AE255+AG255</f>
        <v>0</v>
      </c>
      <c r="T255" s="269">
        <f>ROUND(S255*I255,2)</f>
        <v>0</v>
      </c>
      <c r="U255" s="269">
        <f>H255-S255</f>
        <v>12.5</v>
      </c>
      <c r="V255" s="269">
        <f>ROUND(U255*I255,2)</f>
        <v>3300.85</v>
      </c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BX255" s="132" t="s">
        <v>1</v>
      </c>
      <c r="BY255" s="133" t="s">
        <v>40</v>
      </c>
      <c r="CA255" s="134">
        <f>BZ255*H255</f>
        <v>0</v>
      </c>
      <c r="CB255" s="134">
        <v>0.20469000000000001</v>
      </c>
      <c r="CC255" s="134">
        <f>CB255*H255</f>
        <v>2.5586250000000001</v>
      </c>
      <c r="CD255" s="134">
        <v>0</v>
      </c>
      <c r="CE255" s="135">
        <f>CD255*H255</f>
        <v>0</v>
      </c>
      <c r="DC255" s="136" t="s">
        <v>95</v>
      </c>
      <c r="DE255" s="136" t="s">
        <v>284</v>
      </c>
      <c r="DF255" s="136" t="s">
        <v>83</v>
      </c>
      <c r="DJ255" s="16" t="s">
        <v>282</v>
      </c>
      <c r="DP255" s="137">
        <f>IF(BY255="základní",J255,0)</f>
        <v>3300.85</v>
      </c>
      <c r="DQ255" s="137">
        <f>IF(BY255="snížená",J255,0)</f>
        <v>0</v>
      </c>
      <c r="DR255" s="137">
        <f>IF(BY255="zákl. přenesená",J255,0)</f>
        <v>0</v>
      </c>
      <c r="DS255" s="137">
        <f>IF(BY255="sníž. přenesená",J255,0)</f>
        <v>0</v>
      </c>
      <c r="DT255" s="137">
        <f>IF(BY255="nulová",J255,0)</f>
        <v>0</v>
      </c>
      <c r="DU255" s="16" t="s">
        <v>81</v>
      </c>
      <c r="DV255" s="137">
        <f>ROUND(I255*H255,2)</f>
        <v>3300.85</v>
      </c>
      <c r="DW255" s="16" t="s">
        <v>95</v>
      </c>
      <c r="DX255" s="136" t="s">
        <v>466</v>
      </c>
    </row>
    <row r="256" spans="2:128" s="1" customFormat="1" ht="39" x14ac:dyDescent="0.2">
      <c r="B256" s="31"/>
      <c r="D256" s="138" t="s">
        <v>289</v>
      </c>
      <c r="F256" s="139" t="s">
        <v>467</v>
      </c>
      <c r="I256" s="140"/>
      <c r="L256" s="31"/>
      <c r="N256" s="213"/>
      <c r="O256" s="214"/>
      <c r="Q256" s="229"/>
      <c r="BX256" s="141"/>
      <c r="CE256" s="50"/>
      <c r="DE256" s="16" t="s">
        <v>289</v>
      </c>
      <c r="DF256" s="16" t="s">
        <v>83</v>
      </c>
    </row>
    <row r="257" spans="2:128" s="1" customFormat="1" ht="29.25" x14ac:dyDescent="0.2">
      <c r="B257" s="31"/>
      <c r="D257" s="138" t="s">
        <v>299</v>
      </c>
      <c r="F257" s="142" t="s">
        <v>1083</v>
      </c>
      <c r="I257" s="140"/>
      <c r="L257" s="31"/>
      <c r="N257" s="213"/>
      <c r="O257" s="214"/>
      <c r="Q257" s="229"/>
      <c r="BX257" s="141"/>
      <c r="CE257" s="50"/>
      <c r="DE257" s="16" t="s">
        <v>299</v>
      </c>
      <c r="DF257" s="16" t="s">
        <v>83</v>
      </c>
    </row>
    <row r="258" spans="2:128" s="12" customFormat="1" x14ac:dyDescent="0.2">
      <c r="B258" s="149"/>
      <c r="D258" s="138" t="s">
        <v>301</v>
      </c>
      <c r="E258" s="150" t="s">
        <v>1</v>
      </c>
      <c r="F258" s="151" t="s">
        <v>1416</v>
      </c>
      <c r="H258" s="152">
        <v>12.5</v>
      </c>
      <c r="I258" s="153"/>
      <c r="L258" s="149"/>
      <c r="N258" s="217">
        <f>9.81-12.5</f>
        <v>-2.6899999999999995</v>
      </c>
      <c r="O258" s="218" t="s">
        <v>3758</v>
      </c>
      <c r="Q258" s="231"/>
      <c r="BX258" s="154"/>
      <c r="CE258" s="155"/>
      <c r="DE258" s="150" t="s">
        <v>301</v>
      </c>
      <c r="DF258" s="150" t="s">
        <v>83</v>
      </c>
      <c r="DG258" s="12" t="s">
        <v>83</v>
      </c>
      <c r="DH258" s="12" t="s">
        <v>32</v>
      </c>
      <c r="DI258" s="12" t="s">
        <v>81</v>
      </c>
      <c r="DJ258" s="150" t="s">
        <v>282</v>
      </c>
    </row>
    <row r="259" spans="2:128" s="10" customFormat="1" ht="22.9" customHeight="1" x14ac:dyDescent="0.2">
      <c r="B259" s="112"/>
      <c r="D259" s="113" t="s">
        <v>73</v>
      </c>
      <c r="E259" s="122" t="s">
        <v>95</v>
      </c>
      <c r="F259" s="122" t="s">
        <v>469</v>
      </c>
      <c r="I259" s="115"/>
      <c r="J259" s="123">
        <f>DV259</f>
        <v>3138.31</v>
      </c>
      <c r="L259" s="112"/>
      <c r="M259" s="270">
        <f>SUM(M260:M271)</f>
        <v>0</v>
      </c>
      <c r="N259" s="301"/>
      <c r="O259" s="302">
        <f t="shared" ref="O259:V259" si="4">SUM(O260:O271)</f>
        <v>-732.38</v>
      </c>
      <c r="P259" s="270"/>
      <c r="Q259" s="288">
        <f t="shared" si="4"/>
        <v>3870.6800000000003</v>
      </c>
      <c r="R259" s="270"/>
      <c r="S259" s="270"/>
      <c r="T259" s="270">
        <f t="shared" si="4"/>
        <v>0</v>
      </c>
      <c r="U259" s="270"/>
      <c r="V259" s="270">
        <f t="shared" si="4"/>
        <v>3138.31</v>
      </c>
      <c r="BX259" s="117"/>
      <c r="CA259" s="118">
        <f>SUM(CA260:CA275)</f>
        <v>0</v>
      </c>
      <c r="CC259" s="118">
        <f>SUM(CC260:CC275)</f>
        <v>0</v>
      </c>
      <c r="CE259" s="119">
        <f>SUM(CE260:CE275)</f>
        <v>0</v>
      </c>
      <c r="DC259" s="113" t="s">
        <v>81</v>
      </c>
      <c r="DE259" s="120" t="s">
        <v>73</v>
      </c>
      <c r="DF259" s="120" t="s">
        <v>81</v>
      </c>
      <c r="DJ259" s="113" t="s">
        <v>282</v>
      </c>
      <c r="DV259" s="121">
        <f>SUM(DV260:DV275)</f>
        <v>3138.31</v>
      </c>
    </row>
    <row r="260" spans="2:128" s="1" customFormat="1" ht="14.45" customHeight="1" x14ac:dyDescent="0.2">
      <c r="B260" s="124"/>
      <c r="C260" s="125" t="s">
        <v>445</v>
      </c>
      <c r="D260" s="125" t="s">
        <v>284</v>
      </c>
      <c r="E260" s="126" t="s">
        <v>471</v>
      </c>
      <c r="F260" s="127" t="s">
        <v>472</v>
      </c>
      <c r="G260" s="128" t="s">
        <v>366</v>
      </c>
      <c r="H260" s="129">
        <v>1.25</v>
      </c>
      <c r="I260" s="130">
        <v>1200.17173250368</v>
      </c>
      <c r="J260" s="131">
        <f>ROUND(I260*H260,2)</f>
        <v>1500.21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N264</f>
        <v>-0.26899999999999991</v>
      </c>
      <c r="O260" s="294">
        <f>ROUND(N260*I260,2)</f>
        <v>-322.85000000000002</v>
      </c>
      <c r="P260" s="273">
        <f>H260-L260-N260</f>
        <v>1.5189999999999999</v>
      </c>
      <c r="Q260" s="287">
        <f>ROUND(P260*I260,2)</f>
        <v>1823.06</v>
      </c>
      <c r="R260" s="137"/>
      <c r="S260" s="269">
        <f>W260+Y260+AA260+AC260+AE260+AG260</f>
        <v>0</v>
      </c>
      <c r="T260" s="269">
        <f>ROUND(S260*I260,2)</f>
        <v>0</v>
      </c>
      <c r="U260" s="269">
        <f>H260-S260</f>
        <v>1.25</v>
      </c>
      <c r="V260" s="269">
        <f>ROUND(U260*I260,2)</f>
        <v>1500.21</v>
      </c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BX260" s="132" t="s">
        <v>1</v>
      </c>
      <c r="BY260" s="133" t="s">
        <v>40</v>
      </c>
      <c r="CA260" s="134">
        <f>BZ260*H260</f>
        <v>0</v>
      </c>
      <c r="CB260" s="134">
        <v>0</v>
      </c>
      <c r="CC260" s="134">
        <f>CB260*H260</f>
        <v>0</v>
      </c>
      <c r="CD260" s="134">
        <v>0</v>
      </c>
      <c r="CE260" s="135">
        <f>CD260*H260</f>
        <v>0</v>
      </c>
      <c r="DC260" s="136" t="s">
        <v>95</v>
      </c>
      <c r="DE260" s="136" t="s">
        <v>284</v>
      </c>
      <c r="DF260" s="136" t="s">
        <v>83</v>
      </c>
      <c r="DJ260" s="16" t="s">
        <v>282</v>
      </c>
      <c r="DP260" s="137">
        <f>IF(BY260="základní",J260,0)</f>
        <v>1500.21</v>
      </c>
      <c r="DQ260" s="137">
        <f>IF(BY260="snížená",J260,0)</f>
        <v>0</v>
      </c>
      <c r="DR260" s="137">
        <f>IF(BY260="zákl. přenesená",J260,0)</f>
        <v>0</v>
      </c>
      <c r="DS260" s="137">
        <f>IF(BY260="sníž. přenesená",J260,0)</f>
        <v>0</v>
      </c>
      <c r="DT260" s="137">
        <f>IF(BY260="nulová",J260,0)</f>
        <v>0</v>
      </c>
      <c r="DU260" s="16" t="s">
        <v>81</v>
      </c>
      <c r="DV260" s="137">
        <f>ROUND(I260*H260,2)</f>
        <v>1500.21</v>
      </c>
      <c r="DW260" s="16" t="s">
        <v>95</v>
      </c>
      <c r="DX260" s="136" t="s">
        <v>473</v>
      </c>
    </row>
    <row r="261" spans="2:128" s="1" customFormat="1" ht="19.5" x14ac:dyDescent="0.2">
      <c r="B261" s="31"/>
      <c r="D261" s="138" t="s">
        <v>289</v>
      </c>
      <c r="F261" s="139" t="s">
        <v>474</v>
      </c>
      <c r="I261" s="140"/>
      <c r="L261" s="31"/>
      <c r="N261" s="213"/>
      <c r="O261" s="214"/>
      <c r="Q261" s="229"/>
      <c r="BX261" s="141"/>
      <c r="CE261" s="50"/>
      <c r="DE261" s="16" t="s">
        <v>289</v>
      </c>
      <c r="DF261" s="16" t="s">
        <v>83</v>
      </c>
    </row>
    <row r="262" spans="2:128" s="1" customFormat="1" ht="29.25" x14ac:dyDescent="0.2">
      <c r="B262" s="31"/>
      <c r="D262" s="138" t="s">
        <v>299</v>
      </c>
      <c r="F262" s="142" t="s">
        <v>1083</v>
      </c>
      <c r="I262" s="140"/>
      <c r="L262" s="31"/>
      <c r="N262" s="213"/>
      <c r="O262" s="214"/>
      <c r="Q262" s="229"/>
      <c r="BX262" s="141"/>
      <c r="CE262" s="50"/>
      <c r="DE262" s="16" t="s">
        <v>299</v>
      </c>
      <c r="DF262" s="16" t="s">
        <v>83</v>
      </c>
    </row>
    <row r="263" spans="2:128" s="12" customFormat="1" x14ac:dyDescent="0.2">
      <c r="B263" s="149"/>
      <c r="D263" s="138" t="s">
        <v>301</v>
      </c>
      <c r="E263" s="150" t="s">
        <v>1</v>
      </c>
      <c r="F263" s="151" t="s">
        <v>1417</v>
      </c>
      <c r="H263" s="152">
        <v>1.25</v>
      </c>
      <c r="I263" s="153"/>
      <c r="L263" s="149"/>
      <c r="N263" s="217">
        <f>9.81*1*0.1</f>
        <v>0.98100000000000009</v>
      </c>
      <c r="O263" s="218" t="s">
        <v>3759</v>
      </c>
      <c r="Q263" s="231"/>
      <c r="BX263" s="154"/>
      <c r="CE263" s="155"/>
      <c r="DE263" s="150" t="s">
        <v>301</v>
      </c>
      <c r="DF263" s="150" t="s">
        <v>83</v>
      </c>
      <c r="DG263" s="12" t="s">
        <v>83</v>
      </c>
      <c r="DH263" s="12" t="s">
        <v>32</v>
      </c>
      <c r="DI263" s="12" t="s">
        <v>81</v>
      </c>
      <c r="DJ263" s="150" t="s">
        <v>282</v>
      </c>
    </row>
    <row r="264" spans="2:128" s="12" customFormat="1" x14ac:dyDescent="0.2">
      <c r="B264" s="149"/>
      <c r="D264" s="138"/>
      <c r="E264" s="150"/>
      <c r="F264" s="151"/>
      <c r="H264" s="152"/>
      <c r="I264" s="153"/>
      <c r="L264" s="149"/>
      <c r="N264" s="310">
        <f>N263-H263</f>
        <v>-0.26899999999999991</v>
      </c>
      <c r="O264" s="218"/>
      <c r="Q264" s="231"/>
      <c r="BX264" s="154"/>
      <c r="CE264" s="155"/>
      <c r="DE264" s="150"/>
      <c r="DF264" s="150"/>
      <c r="DJ264" s="150"/>
    </row>
    <row r="265" spans="2:128" s="1" customFormat="1" ht="14.45" customHeight="1" x14ac:dyDescent="0.2">
      <c r="B265" s="124"/>
      <c r="C265" s="125" t="s">
        <v>451</v>
      </c>
      <c r="D265" s="125" t="s">
        <v>284</v>
      </c>
      <c r="E265" s="126" t="s">
        <v>477</v>
      </c>
      <c r="F265" s="127" t="s">
        <v>478</v>
      </c>
      <c r="G265" s="128" t="s">
        <v>366</v>
      </c>
      <c r="H265" s="129">
        <v>0.4</v>
      </c>
      <c r="I265" s="130">
        <v>1200.17173250368</v>
      </c>
      <c r="J265" s="131">
        <f>ROUND(I265*H265,2)</f>
        <v>480.07</v>
      </c>
      <c r="K265" s="127" t="s">
        <v>1</v>
      </c>
      <c r="L265" s="268">
        <f>S265</f>
        <v>0</v>
      </c>
      <c r="M265" s="272">
        <f>ROUND(L265*I265,2)</f>
        <v>0</v>
      </c>
      <c r="N265" s="243">
        <f>N270</f>
        <v>-9.9999999999999978E-2</v>
      </c>
      <c r="O265" s="294">
        <f>ROUND(N265*I265,2)</f>
        <v>-120.02</v>
      </c>
      <c r="P265" s="273">
        <f>H265-L265-N265</f>
        <v>0.5</v>
      </c>
      <c r="Q265" s="287">
        <f>ROUND(P265*I265,2)</f>
        <v>600.09</v>
      </c>
      <c r="R265" s="137"/>
      <c r="S265" s="269">
        <f>W265+Y265+AA265+AC265+AE265+AG265</f>
        <v>0</v>
      </c>
      <c r="T265" s="269">
        <f>ROUND(S265*I265,2)</f>
        <v>0</v>
      </c>
      <c r="U265" s="269">
        <f>H265-S265</f>
        <v>0.4</v>
      </c>
      <c r="V265" s="269">
        <f>ROUND(U265*I265,2)</f>
        <v>480.07</v>
      </c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BX265" s="132" t="s">
        <v>1</v>
      </c>
      <c r="BY265" s="133" t="s">
        <v>40</v>
      </c>
      <c r="CA265" s="134">
        <f>BZ265*H265</f>
        <v>0</v>
      </c>
      <c r="CB265" s="134">
        <v>0</v>
      </c>
      <c r="CC265" s="134">
        <f>CB265*H265</f>
        <v>0</v>
      </c>
      <c r="CD265" s="134">
        <v>0</v>
      </c>
      <c r="CE265" s="135">
        <f>CD265*H265</f>
        <v>0</v>
      </c>
      <c r="DC265" s="136" t="s">
        <v>95</v>
      </c>
      <c r="DE265" s="136" t="s">
        <v>284</v>
      </c>
      <c r="DF265" s="136" t="s">
        <v>83</v>
      </c>
      <c r="DJ265" s="16" t="s">
        <v>282</v>
      </c>
      <c r="DP265" s="137">
        <f>IF(BY265="základní",J265,0)</f>
        <v>480.07</v>
      </c>
      <c r="DQ265" s="137">
        <f>IF(BY265="snížená",J265,0)</f>
        <v>0</v>
      </c>
      <c r="DR265" s="137">
        <f>IF(BY265="zákl. přenesená",J265,0)</f>
        <v>0</v>
      </c>
      <c r="DS265" s="137">
        <f>IF(BY265="sníž. přenesená",J265,0)</f>
        <v>0</v>
      </c>
      <c r="DT265" s="137">
        <f>IF(BY265="nulová",J265,0)</f>
        <v>0</v>
      </c>
      <c r="DU265" s="16" t="s">
        <v>81</v>
      </c>
      <c r="DV265" s="137">
        <f>ROUND(I265*H265,2)</f>
        <v>480.07</v>
      </c>
      <c r="DW265" s="16" t="s">
        <v>95</v>
      </c>
      <c r="DX265" s="136" t="s">
        <v>479</v>
      </c>
    </row>
    <row r="266" spans="2:128" s="1" customFormat="1" ht="19.5" x14ac:dyDescent="0.2">
      <c r="B266" s="31"/>
      <c r="D266" s="138" t="s">
        <v>289</v>
      </c>
      <c r="F266" s="139" t="s">
        <v>474</v>
      </c>
      <c r="I266" s="140"/>
      <c r="L266" s="31"/>
      <c r="N266" s="213"/>
      <c r="O266" s="214"/>
      <c r="Q266" s="229"/>
      <c r="BX266" s="141"/>
      <c r="CE266" s="50"/>
      <c r="DE266" s="16" t="s">
        <v>289</v>
      </c>
      <c r="DF266" s="16" t="s">
        <v>83</v>
      </c>
    </row>
    <row r="267" spans="2:128" s="1" customFormat="1" ht="29.25" x14ac:dyDescent="0.2">
      <c r="B267" s="31"/>
      <c r="D267" s="138" t="s">
        <v>299</v>
      </c>
      <c r="F267" s="142" t="s">
        <v>1083</v>
      </c>
      <c r="I267" s="140"/>
      <c r="L267" s="31"/>
      <c r="N267" s="213"/>
      <c r="O267" s="214"/>
      <c r="Q267" s="229"/>
      <c r="BX267" s="141"/>
      <c r="CE267" s="50"/>
      <c r="DE267" s="16" t="s">
        <v>299</v>
      </c>
      <c r="DF267" s="16" t="s">
        <v>83</v>
      </c>
    </row>
    <row r="268" spans="2:128" s="11" customFormat="1" x14ac:dyDescent="0.2">
      <c r="B268" s="143"/>
      <c r="D268" s="138" t="s">
        <v>301</v>
      </c>
      <c r="E268" s="144" t="s">
        <v>1</v>
      </c>
      <c r="F268" s="145" t="s">
        <v>1122</v>
      </c>
      <c r="H268" s="144" t="s">
        <v>1</v>
      </c>
      <c r="I268" s="146"/>
      <c r="L268" s="143"/>
      <c r="N268" s="215"/>
      <c r="O268" s="216"/>
      <c r="Q268" s="230"/>
      <c r="BX268" s="147"/>
      <c r="CE268" s="148"/>
      <c r="DE268" s="144" t="s">
        <v>301</v>
      </c>
      <c r="DF268" s="144" t="s">
        <v>83</v>
      </c>
      <c r="DG268" s="11" t="s">
        <v>81</v>
      </c>
      <c r="DH268" s="11" t="s">
        <v>32</v>
      </c>
      <c r="DI268" s="11" t="s">
        <v>74</v>
      </c>
      <c r="DJ268" s="144" t="s">
        <v>282</v>
      </c>
    </row>
    <row r="269" spans="2:128" s="12" customFormat="1" x14ac:dyDescent="0.2">
      <c r="B269" s="149"/>
      <c r="D269" s="138" t="s">
        <v>301</v>
      </c>
      <c r="E269" s="150" t="s">
        <v>1</v>
      </c>
      <c r="F269" s="151" t="s">
        <v>1418</v>
      </c>
      <c r="H269" s="152">
        <v>0.4</v>
      </c>
      <c r="I269" s="153"/>
      <c r="L269" s="149"/>
      <c r="N269" s="217">
        <f>1*1*0.1*3</f>
        <v>0.30000000000000004</v>
      </c>
      <c r="O269" s="218" t="s">
        <v>1382</v>
      </c>
      <c r="Q269" s="231"/>
      <c r="BX269" s="154"/>
      <c r="CE269" s="155"/>
      <c r="DE269" s="150" t="s">
        <v>301</v>
      </c>
      <c r="DF269" s="150" t="s">
        <v>83</v>
      </c>
      <c r="DG269" s="12" t="s">
        <v>83</v>
      </c>
      <c r="DH269" s="12" t="s">
        <v>32</v>
      </c>
      <c r="DI269" s="12" t="s">
        <v>81</v>
      </c>
      <c r="DJ269" s="150" t="s">
        <v>282</v>
      </c>
    </row>
    <row r="270" spans="2:128" s="12" customFormat="1" x14ac:dyDescent="0.2">
      <c r="B270" s="149"/>
      <c r="D270" s="138"/>
      <c r="E270" s="150"/>
      <c r="F270" s="151"/>
      <c r="H270" s="152"/>
      <c r="I270" s="153"/>
      <c r="L270" s="149"/>
      <c r="N270" s="310">
        <f>N269-H269</f>
        <v>-9.9999999999999978E-2</v>
      </c>
      <c r="O270" s="218"/>
      <c r="Q270" s="231"/>
      <c r="BX270" s="154"/>
      <c r="CE270" s="155"/>
      <c r="DE270" s="150"/>
      <c r="DF270" s="150"/>
      <c r="DJ270" s="150"/>
    </row>
    <row r="271" spans="2:128" s="1" customFormat="1" ht="24.2" customHeight="1" x14ac:dyDescent="0.2">
      <c r="B271" s="124"/>
      <c r="C271" s="125" t="s">
        <v>456</v>
      </c>
      <c r="D271" s="125" t="s">
        <v>284</v>
      </c>
      <c r="E271" s="126" t="s">
        <v>515</v>
      </c>
      <c r="F271" s="127" t="s">
        <v>516</v>
      </c>
      <c r="G271" s="128" t="s">
        <v>366</v>
      </c>
      <c r="H271" s="129">
        <v>0.4</v>
      </c>
      <c r="I271" s="130">
        <v>2895.0660868876225</v>
      </c>
      <c r="J271" s="131">
        <f>ROUND(I271*H271,2)</f>
        <v>1158.03</v>
      </c>
      <c r="K271" s="127" t="s">
        <v>293</v>
      </c>
      <c r="L271" s="268">
        <f>S271</f>
        <v>0</v>
      </c>
      <c r="M271" s="272">
        <f>ROUND(L271*I271,2)</f>
        <v>0</v>
      </c>
      <c r="N271" s="243">
        <f>N276</f>
        <v>-9.9999999999999978E-2</v>
      </c>
      <c r="O271" s="294">
        <f>ROUND(N271*I271,2)</f>
        <v>-289.51</v>
      </c>
      <c r="P271" s="273">
        <f>H271-L271-N271</f>
        <v>0.5</v>
      </c>
      <c r="Q271" s="287">
        <f>ROUND(P271*I271,2)</f>
        <v>1447.53</v>
      </c>
      <c r="R271" s="137"/>
      <c r="S271" s="269">
        <f>W271+Y271+AA271+AC271+AE271+AG271</f>
        <v>0</v>
      </c>
      <c r="T271" s="269">
        <f>ROUND(S271*I271,2)</f>
        <v>0</v>
      </c>
      <c r="U271" s="269">
        <f>H271-S271</f>
        <v>0.4</v>
      </c>
      <c r="V271" s="269">
        <f>ROUND(U271*I271,2)</f>
        <v>1158.03</v>
      </c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BX271" s="132" t="s">
        <v>1</v>
      </c>
      <c r="BY271" s="133" t="s">
        <v>40</v>
      </c>
      <c r="CA271" s="134">
        <f>BZ271*H271</f>
        <v>0</v>
      </c>
      <c r="CB271" s="134">
        <v>0</v>
      </c>
      <c r="CC271" s="134">
        <f>CB271*H271</f>
        <v>0</v>
      </c>
      <c r="CD271" s="134">
        <v>0</v>
      </c>
      <c r="CE271" s="135">
        <f>CD271*H271</f>
        <v>0</v>
      </c>
      <c r="DC271" s="136" t="s">
        <v>95</v>
      </c>
      <c r="DE271" s="136" t="s">
        <v>284</v>
      </c>
      <c r="DF271" s="136" t="s">
        <v>83</v>
      </c>
      <c r="DJ271" s="16" t="s">
        <v>282</v>
      </c>
      <c r="DP271" s="137">
        <f>IF(BY271="základní",J271,0)</f>
        <v>1158.03</v>
      </c>
      <c r="DQ271" s="137">
        <f>IF(BY271="snížená",J271,0)</f>
        <v>0</v>
      </c>
      <c r="DR271" s="137">
        <f>IF(BY271="zákl. přenesená",J271,0)</f>
        <v>0</v>
      </c>
      <c r="DS271" s="137">
        <f>IF(BY271="sníž. přenesená",J271,0)</f>
        <v>0</v>
      </c>
      <c r="DT271" s="137">
        <f>IF(BY271="nulová",J271,0)</f>
        <v>0</v>
      </c>
      <c r="DU271" s="16" t="s">
        <v>81</v>
      </c>
      <c r="DV271" s="137">
        <f>ROUND(I271*H271,2)</f>
        <v>1158.03</v>
      </c>
      <c r="DW271" s="16" t="s">
        <v>95</v>
      </c>
      <c r="DX271" s="136" t="s">
        <v>517</v>
      </c>
    </row>
    <row r="272" spans="2:128" s="1" customFormat="1" ht="29.25" x14ac:dyDescent="0.2">
      <c r="B272" s="31"/>
      <c r="D272" s="138" t="s">
        <v>289</v>
      </c>
      <c r="F272" s="139" t="s">
        <v>518</v>
      </c>
      <c r="I272" s="140"/>
      <c r="L272" s="31"/>
      <c r="N272" s="213"/>
      <c r="O272" s="214"/>
      <c r="Q272" s="229"/>
      <c r="BX272" s="141"/>
      <c r="CE272" s="50"/>
      <c r="DE272" s="16" t="s">
        <v>289</v>
      </c>
      <c r="DF272" s="16" t="s">
        <v>83</v>
      </c>
    </row>
    <row r="273" spans="2:128" s="1" customFormat="1" ht="29.25" x14ac:dyDescent="0.2">
      <c r="B273" s="31"/>
      <c r="D273" s="138" t="s">
        <v>299</v>
      </c>
      <c r="F273" s="142" t="s">
        <v>1083</v>
      </c>
      <c r="I273" s="140"/>
      <c r="L273" s="31"/>
      <c r="N273" s="213"/>
      <c r="O273" s="214"/>
      <c r="Q273" s="229"/>
      <c r="BX273" s="141"/>
      <c r="CE273" s="50"/>
      <c r="DE273" s="16" t="s">
        <v>299</v>
      </c>
      <c r="DF273" s="16" t="s">
        <v>83</v>
      </c>
    </row>
    <row r="274" spans="2:128" s="11" customFormat="1" x14ac:dyDescent="0.2">
      <c r="B274" s="143"/>
      <c r="D274" s="138" t="s">
        <v>301</v>
      </c>
      <c r="E274" s="144" t="s">
        <v>1</v>
      </c>
      <c r="F274" s="145" t="s">
        <v>1122</v>
      </c>
      <c r="H274" s="144" t="s">
        <v>1</v>
      </c>
      <c r="I274" s="146"/>
      <c r="L274" s="143"/>
      <c r="N274" s="215"/>
      <c r="O274" s="216"/>
      <c r="Q274" s="230"/>
      <c r="BX274" s="147"/>
      <c r="CE274" s="148"/>
      <c r="DE274" s="144" t="s">
        <v>301</v>
      </c>
      <c r="DF274" s="144" t="s">
        <v>83</v>
      </c>
      <c r="DG274" s="11" t="s">
        <v>81</v>
      </c>
      <c r="DH274" s="11" t="s">
        <v>32</v>
      </c>
      <c r="DI274" s="11" t="s">
        <v>74</v>
      </c>
      <c r="DJ274" s="144" t="s">
        <v>282</v>
      </c>
    </row>
    <row r="275" spans="2:128" s="12" customFormat="1" x14ac:dyDescent="0.2">
      <c r="B275" s="149"/>
      <c r="D275" s="138" t="s">
        <v>301</v>
      </c>
      <c r="E275" s="150" t="s">
        <v>1</v>
      </c>
      <c r="F275" s="151" t="s">
        <v>1418</v>
      </c>
      <c r="H275" s="152">
        <v>0.4</v>
      </c>
      <c r="I275" s="153"/>
      <c r="L275" s="149"/>
      <c r="N275" s="217">
        <f>1*1*0.1*3</f>
        <v>0.30000000000000004</v>
      </c>
      <c r="O275" s="218" t="s">
        <v>1382</v>
      </c>
      <c r="Q275" s="231"/>
      <c r="BX275" s="154"/>
      <c r="CE275" s="155"/>
      <c r="DE275" s="150" t="s">
        <v>301</v>
      </c>
      <c r="DF275" s="150" t="s">
        <v>83</v>
      </c>
      <c r="DG275" s="12" t="s">
        <v>83</v>
      </c>
      <c r="DH275" s="12" t="s">
        <v>32</v>
      </c>
      <c r="DI275" s="12" t="s">
        <v>81</v>
      </c>
      <c r="DJ275" s="150" t="s">
        <v>282</v>
      </c>
    </row>
    <row r="276" spans="2:128" s="12" customFormat="1" x14ac:dyDescent="0.2">
      <c r="B276" s="149"/>
      <c r="D276" s="138"/>
      <c r="E276" s="150"/>
      <c r="F276" s="151"/>
      <c r="H276" s="152"/>
      <c r="I276" s="153"/>
      <c r="L276" s="149"/>
      <c r="N276" s="310">
        <f>N275-H275</f>
        <v>-9.9999999999999978E-2</v>
      </c>
      <c r="O276" s="218"/>
      <c r="Q276" s="231"/>
      <c r="BX276" s="154"/>
      <c r="CE276" s="155"/>
      <c r="DE276" s="150"/>
      <c r="DF276" s="150"/>
      <c r="DJ276" s="150"/>
    </row>
    <row r="277" spans="2:128" s="10" customFormat="1" ht="22.9" customHeight="1" x14ac:dyDescent="0.2">
      <c r="B277" s="112"/>
      <c r="D277" s="113" t="s">
        <v>73</v>
      </c>
      <c r="E277" s="122" t="s">
        <v>312</v>
      </c>
      <c r="F277" s="122" t="s">
        <v>520</v>
      </c>
      <c r="I277" s="115"/>
      <c r="J277" s="123">
        <f>DV277</f>
        <v>8265.6200000000008</v>
      </c>
      <c r="L277" s="112"/>
      <c r="M277" s="270">
        <f>SUM(M278:M284)</f>
        <v>0</v>
      </c>
      <c r="N277" s="301"/>
      <c r="O277" s="302">
        <f t="shared" ref="O277:V277" si="5">SUM(O278:O284)</f>
        <v>-1778.75</v>
      </c>
      <c r="P277" s="270"/>
      <c r="Q277" s="288">
        <f t="shared" si="5"/>
        <v>10044.380000000001</v>
      </c>
      <c r="R277" s="270"/>
      <c r="S277" s="270"/>
      <c r="T277" s="270">
        <f t="shared" si="5"/>
        <v>0</v>
      </c>
      <c r="U277" s="270"/>
      <c r="V277" s="270">
        <f t="shared" si="5"/>
        <v>8265.6200000000008</v>
      </c>
      <c r="BX277" s="117"/>
      <c r="CA277" s="118">
        <f>SUM(CA278:CA288)</f>
        <v>0</v>
      </c>
      <c r="CC277" s="118">
        <f>SUM(CC278:CC288)</f>
        <v>0</v>
      </c>
      <c r="CE277" s="119">
        <f>SUM(CE278:CE288)</f>
        <v>0</v>
      </c>
      <c r="DC277" s="113" t="s">
        <v>81</v>
      </c>
      <c r="DE277" s="120" t="s">
        <v>73</v>
      </c>
      <c r="DF277" s="120" t="s">
        <v>81</v>
      </c>
      <c r="DJ277" s="113" t="s">
        <v>282</v>
      </c>
      <c r="DV277" s="121">
        <f>SUM(DV278:DV288)</f>
        <v>8265.6200000000008</v>
      </c>
    </row>
    <row r="278" spans="2:128" s="1" customFormat="1" ht="24.2" customHeight="1" x14ac:dyDescent="0.2">
      <c r="B278" s="124"/>
      <c r="C278" s="125" t="s">
        <v>463</v>
      </c>
      <c r="D278" s="125" t="s">
        <v>284</v>
      </c>
      <c r="E278" s="126" t="s">
        <v>522</v>
      </c>
      <c r="F278" s="127" t="s">
        <v>523</v>
      </c>
      <c r="G278" s="128" t="s">
        <v>287</v>
      </c>
      <c r="H278" s="129">
        <v>11.25</v>
      </c>
      <c r="I278" s="130">
        <v>130.95617506780872</v>
      </c>
      <c r="J278" s="131">
        <f>ROUND(I278*H278,2)</f>
        <v>1473.26</v>
      </c>
      <c r="K278" s="127" t="s">
        <v>293</v>
      </c>
      <c r="L278" s="268">
        <f>S278</f>
        <v>0</v>
      </c>
      <c r="M278" s="272">
        <f>ROUND(L278*I278,2)</f>
        <v>0</v>
      </c>
      <c r="N278" s="243">
        <f>N125</f>
        <v>-2.4209999999999994</v>
      </c>
      <c r="O278" s="294">
        <f>ROUND(N278*I278,2)</f>
        <v>-317.04000000000002</v>
      </c>
      <c r="P278" s="273">
        <f>H278-L278-N278</f>
        <v>13.670999999999999</v>
      </c>
      <c r="Q278" s="287">
        <f>ROUND(P278*I278,2)</f>
        <v>1790.3</v>
      </c>
      <c r="R278" s="137"/>
      <c r="S278" s="269">
        <f>W278+Y278+AA278+AC278+AE278+AG278</f>
        <v>0</v>
      </c>
      <c r="T278" s="269">
        <f>ROUND(S278*I278,2)</f>
        <v>0</v>
      </c>
      <c r="U278" s="269">
        <f>H278-S278</f>
        <v>11.25</v>
      </c>
      <c r="V278" s="269">
        <f>ROUND(U278*I278,2)</f>
        <v>1473.26</v>
      </c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BX278" s="132" t="s">
        <v>1</v>
      </c>
      <c r="BY278" s="133" t="s">
        <v>40</v>
      </c>
      <c r="CA278" s="134">
        <f>BZ278*H278</f>
        <v>0</v>
      </c>
      <c r="CB278" s="134">
        <v>0</v>
      </c>
      <c r="CC278" s="134">
        <f>CB278*H278</f>
        <v>0</v>
      </c>
      <c r="CD278" s="134">
        <v>0</v>
      </c>
      <c r="CE278" s="135">
        <f>CD278*H278</f>
        <v>0</v>
      </c>
      <c r="DC278" s="136" t="s">
        <v>95</v>
      </c>
      <c r="DE278" s="136" t="s">
        <v>284</v>
      </c>
      <c r="DF278" s="136" t="s">
        <v>83</v>
      </c>
      <c r="DJ278" s="16" t="s">
        <v>282</v>
      </c>
      <c r="DP278" s="137">
        <f>IF(BY278="základní",J278,0)</f>
        <v>1473.26</v>
      </c>
      <c r="DQ278" s="137">
        <f>IF(BY278="snížená",J278,0)</f>
        <v>0</v>
      </c>
      <c r="DR278" s="137">
        <f>IF(BY278="zákl. přenesená",J278,0)</f>
        <v>0</v>
      </c>
      <c r="DS278" s="137">
        <f>IF(BY278="sníž. přenesená",J278,0)</f>
        <v>0</v>
      </c>
      <c r="DT278" s="137">
        <f>IF(BY278="nulová",J278,0)</f>
        <v>0</v>
      </c>
      <c r="DU278" s="16" t="s">
        <v>81</v>
      </c>
      <c r="DV278" s="137">
        <f>ROUND(I278*H278,2)</f>
        <v>1473.26</v>
      </c>
      <c r="DW278" s="16" t="s">
        <v>95</v>
      </c>
      <c r="DX278" s="136" t="s">
        <v>524</v>
      </c>
    </row>
    <row r="279" spans="2:128" s="1" customFormat="1" ht="19.5" x14ac:dyDescent="0.2">
      <c r="B279" s="31"/>
      <c r="D279" s="138" t="s">
        <v>289</v>
      </c>
      <c r="F279" s="139" t="s">
        <v>525</v>
      </c>
      <c r="I279" s="140"/>
      <c r="L279" s="31"/>
      <c r="N279" s="213"/>
      <c r="O279" s="214"/>
      <c r="Q279" s="229"/>
      <c r="BX279" s="141"/>
      <c r="CE279" s="50"/>
      <c r="DE279" s="16" t="s">
        <v>289</v>
      </c>
      <c r="DF279" s="16" t="s">
        <v>83</v>
      </c>
    </row>
    <row r="280" spans="2:128" s="1" customFormat="1" ht="14.45" customHeight="1" x14ac:dyDescent="0.2">
      <c r="B280" s="124"/>
      <c r="C280" s="125" t="s">
        <v>470</v>
      </c>
      <c r="D280" s="125" t="s">
        <v>284</v>
      </c>
      <c r="E280" s="126" t="s">
        <v>527</v>
      </c>
      <c r="F280" s="127" t="s">
        <v>528</v>
      </c>
      <c r="G280" s="128" t="s">
        <v>287</v>
      </c>
      <c r="H280" s="129">
        <v>11.25</v>
      </c>
      <c r="I280" s="130">
        <v>200.20823792465458</v>
      </c>
      <c r="J280" s="131">
        <f>ROUND(I280*H280,2)</f>
        <v>2252.34</v>
      </c>
      <c r="K280" s="127" t="s">
        <v>293</v>
      </c>
      <c r="L280" s="268">
        <f>S280</f>
        <v>0</v>
      </c>
      <c r="M280" s="272">
        <f>ROUND(L280*I280,2)</f>
        <v>0</v>
      </c>
      <c r="N280" s="243">
        <f>N278</f>
        <v>-2.4209999999999994</v>
      </c>
      <c r="O280" s="294">
        <f>ROUND(N280*I280,2)</f>
        <v>-484.7</v>
      </c>
      <c r="P280" s="273">
        <f>H280-L280-N280</f>
        <v>13.670999999999999</v>
      </c>
      <c r="Q280" s="287">
        <f>ROUND(P280*I280,2)</f>
        <v>2737.05</v>
      </c>
      <c r="R280" s="137"/>
      <c r="S280" s="269">
        <f>W280+Y280+AA280+AC280+AE280+AG280</f>
        <v>0</v>
      </c>
      <c r="T280" s="269">
        <f>ROUND(S280*I280,2)</f>
        <v>0</v>
      </c>
      <c r="U280" s="269">
        <f>H280-S280</f>
        <v>11.25</v>
      </c>
      <c r="V280" s="269">
        <f>ROUND(U280*I280,2)</f>
        <v>2252.34</v>
      </c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BX280" s="132" t="s">
        <v>1</v>
      </c>
      <c r="BY280" s="133" t="s">
        <v>40</v>
      </c>
      <c r="CA280" s="134">
        <f>BZ280*H280</f>
        <v>0</v>
      </c>
      <c r="CB280" s="134">
        <v>0</v>
      </c>
      <c r="CC280" s="134">
        <f>CB280*H280</f>
        <v>0</v>
      </c>
      <c r="CD280" s="134">
        <v>0</v>
      </c>
      <c r="CE280" s="135">
        <f>CD280*H280</f>
        <v>0</v>
      </c>
      <c r="DC280" s="136" t="s">
        <v>95</v>
      </c>
      <c r="DE280" s="136" t="s">
        <v>284</v>
      </c>
      <c r="DF280" s="136" t="s">
        <v>83</v>
      </c>
      <c r="DJ280" s="16" t="s">
        <v>282</v>
      </c>
      <c r="DP280" s="137">
        <f>IF(BY280="základní",J280,0)</f>
        <v>2252.34</v>
      </c>
      <c r="DQ280" s="137">
        <f>IF(BY280="snížená",J280,0)</f>
        <v>0</v>
      </c>
      <c r="DR280" s="137">
        <f>IF(BY280="zákl. přenesená",J280,0)</f>
        <v>0</v>
      </c>
      <c r="DS280" s="137">
        <f>IF(BY280="sníž. přenesená",J280,0)</f>
        <v>0</v>
      </c>
      <c r="DT280" s="137">
        <f>IF(BY280="nulová",J280,0)</f>
        <v>0</v>
      </c>
      <c r="DU280" s="16" t="s">
        <v>81</v>
      </c>
      <c r="DV280" s="137">
        <f>ROUND(I280*H280,2)</f>
        <v>2252.34</v>
      </c>
      <c r="DW280" s="16" t="s">
        <v>95</v>
      </c>
      <c r="DX280" s="136" t="s">
        <v>529</v>
      </c>
    </row>
    <row r="281" spans="2:128" s="1" customFormat="1" ht="19.5" x14ac:dyDescent="0.2">
      <c r="B281" s="31"/>
      <c r="D281" s="138" t="s">
        <v>289</v>
      </c>
      <c r="F281" s="139" t="s">
        <v>530</v>
      </c>
      <c r="I281" s="140"/>
      <c r="L281" s="31"/>
      <c r="N281" s="213"/>
      <c r="O281" s="214"/>
      <c r="Q281" s="229"/>
      <c r="BX281" s="141"/>
      <c r="CE281" s="50"/>
      <c r="DE281" s="16" t="s">
        <v>289</v>
      </c>
      <c r="DF281" s="16" t="s">
        <v>83</v>
      </c>
    </row>
    <row r="282" spans="2:128" s="1" customFormat="1" ht="24.2" customHeight="1" x14ac:dyDescent="0.2">
      <c r="B282" s="124"/>
      <c r="C282" s="125" t="s">
        <v>476</v>
      </c>
      <c r="D282" s="125" t="s">
        <v>284</v>
      </c>
      <c r="E282" s="126" t="s">
        <v>532</v>
      </c>
      <c r="F282" s="127" t="s">
        <v>533</v>
      </c>
      <c r="G282" s="128" t="s">
        <v>287</v>
      </c>
      <c r="H282" s="129">
        <v>11.25</v>
      </c>
      <c r="I282" s="130">
        <v>40.878739778868102</v>
      </c>
      <c r="J282" s="131">
        <f>ROUND(I282*H282,2)</f>
        <v>459.89</v>
      </c>
      <c r="K282" s="127" t="s">
        <v>293</v>
      </c>
      <c r="L282" s="268">
        <f>S282</f>
        <v>0</v>
      </c>
      <c r="M282" s="272">
        <f>ROUND(L282*I282,2)</f>
        <v>0</v>
      </c>
      <c r="N282" s="243">
        <f>N278</f>
        <v>-2.4209999999999994</v>
      </c>
      <c r="O282" s="294">
        <f>ROUND(N282*I282,2)</f>
        <v>-98.97</v>
      </c>
      <c r="P282" s="273">
        <f>H282-L282-N282</f>
        <v>13.670999999999999</v>
      </c>
      <c r="Q282" s="287">
        <f>ROUND(P282*I282,2)</f>
        <v>558.85</v>
      </c>
      <c r="R282" s="137"/>
      <c r="S282" s="269">
        <f>W282+Y282+AA282+AC282+AE282+AG282</f>
        <v>0</v>
      </c>
      <c r="T282" s="269">
        <f>ROUND(S282*I282,2)</f>
        <v>0</v>
      </c>
      <c r="U282" s="269">
        <f>H282-S282</f>
        <v>11.25</v>
      </c>
      <c r="V282" s="269">
        <f>ROUND(U282*I282,2)</f>
        <v>459.89</v>
      </c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BX282" s="132" t="s">
        <v>1</v>
      </c>
      <c r="BY282" s="133" t="s">
        <v>40</v>
      </c>
      <c r="CA282" s="134">
        <f>BZ282*H282</f>
        <v>0</v>
      </c>
      <c r="CB282" s="134">
        <v>0</v>
      </c>
      <c r="CC282" s="134">
        <f>CB282*H282</f>
        <v>0</v>
      </c>
      <c r="CD282" s="134">
        <v>0</v>
      </c>
      <c r="CE282" s="135">
        <f>CD282*H282</f>
        <v>0</v>
      </c>
      <c r="DC282" s="136" t="s">
        <v>95</v>
      </c>
      <c r="DE282" s="136" t="s">
        <v>284</v>
      </c>
      <c r="DF282" s="136" t="s">
        <v>83</v>
      </c>
      <c r="DJ282" s="16" t="s">
        <v>282</v>
      </c>
      <c r="DP282" s="137">
        <f>IF(BY282="základní",J282,0)</f>
        <v>459.89</v>
      </c>
      <c r="DQ282" s="137">
        <f>IF(BY282="snížená",J282,0)</f>
        <v>0</v>
      </c>
      <c r="DR282" s="137">
        <f>IF(BY282="zákl. přenesená",J282,0)</f>
        <v>0</v>
      </c>
      <c r="DS282" s="137">
        <f>IF(BY282="sníž. přenesená",J282,0)</f>
        <v>0</v>
      </c>
      <c r="DT282" s="137">
        <f>IF(BY282="nulová",J282,0)</f>
        <v>0</v>
      </c>
      <c r="DU282" s="16" t="s">
        <v>81</v>
      </c>
      <c r="DV282" s="137">
        <f>ROUND(I282*H282,2)</f>
        <v>459.89</v>
      </c>
      <c r="DW282" s="16" t="s">
        <v>95</v>
      </c>
      <c r="DX282" s="136" t="s">
        <v>534</v>
      </c>
    </row>
    <row r="283" spans="2:128" s="1" customFormat="1" ht="19.5" x14ac:dyDescent="0.2">
      <c r="B283" s="31"/>
      <c r="D283" s="138" t="s">
        <v>289</v>
      </c>
      <c r="F283" s="139" t="s">
        <v>535</v>
      </c>
      <c r="I283" s="140"/>
      <c r="L283" s="31"/>
      <c r="N283" s="213"/>
      <c r="O283" s="214"/>
      <c r="Q283" s="229"/>
      <c r="BX283" s="141"/>
      <c r="CE283" s="50"/>
      <c r="DE283" s="16" t="s">
        <v>289</v>
      </c>
      <c r="DF283" s="16" t="s">
        <v>83</v>
      </c>
    </row>
    <row r="284" spans="2:128" s="1" customFormat="1" ht="24.2" customHeight="1" x14ac:dyDescent="0.2">
      <c r="B284" s="124"/>
      <c r="C284" s="125" t="s">
        <v>482</v>
      </c>
      <c r="D284" s="125" t="s">
        <v>284</v>
      </c>
      <c r="E284" s="126" t="s">
        <v>537</v>
      </c>
      <c r="F284" s="127" t="s">
        <v>538</v>
      </c>
      <c r="G284" s="128" t="s">
        <v>287</v>
      </c>
      <c r="H284" s="129">
        <v>11.25</v>
      </c>
      <c r="I284" s="130">
        <v>362.67856108310502</v>
      </c>
      <c r="J284" s="131">
        <f>ROUND(I284*H284,2)</f>
        <v>4080.13</v>
      </c>
      <c r="K284" s="127" t="s">
        <v>293</v>
      </c>
      <c r="L284" s="268">
        <f>S284</f>
        <v>0</v>
      </c>
      <c r="M284" s="272">
        <f>ROUND(L284*I284,2)</f>
        <v>0</v>
      </c>
      <c r="N284" s="243">
        <f>N278</f>
        <v>-2.4209999999999994</v>
      </c>
      <c r="O284" s="294">
        <f>ROUND(N284*I284,2)</f>
        <v>-878.04</v>
      </c>
      <c r="P284" s="273">
        <f>H284-L284-N284</f>
        <v>13.670999999999999</v>
      </c>
      <c r="Q284" s="287">
        <f>ROUND(P284*I284,2)</f>
        <v>4958.18</v>
      </c>
      <c r="R284" s="137"/>
      <c r="S284" s="269">
        <f>W284+Y284+AA284+AC284+AE284+AG284</f>
        <v>0</v>
      </c>
      <c r="T284" s="269">
        <f>ROUND(S284*I284,2)</f>
        <v>0</v>
      </c>
      <c r="U284" s="269">
        <f>H284-S284</f>
        <v>11.25</v>
      </c>
      <c r="V284" s="269">
        <f>ROUND(U284*I284,2)</f>
        <v>4080.13</v>
      </c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BX284" s="132" t="s">
        <v>1</v>
      </c>
      <c r="BY284" s="133" t="s">
        <v>40</v>
      </c>
      <c r="CA284" s="134">
        <f>BZ284*H284</f>
        <v>0</v>
      </c>
      <c r="CB284" s="134">
        <v>0</v>
      </c>
      <c r="CC284" s="134">
        <f>CB284*H284</f>
        <v>0</v>
      </c>
      <c r="CD284" s="134">
        <v>0</v>
      </c>
      <c r="CE284" s="135">
        <f>CD284*H284</f>
        <v>0</v>
      </c>
      <c r="DC284" s="136" t="s">
        <v>95</v>
      </c>
      <c r="DE284" s="136" t="s">
        <v>284</v>
      </c>
      <c r="DF284" s="136" t="s">
        <v>83</v>
      </c>
      <c r="DJ284" s="16" t="s">
        <v>282</v>
      </c>
      <c r="DP284" s="137">
        <f>IF(BY284="základní",J284,0)</f>
        <v>4080.13</v>
      </c>
      <c r="DQ284" s="137">
        <f>IF(BY284="snížená",J284,0)</f>
        <v>0</v>
      </c>
      <c r="DR284" s="137">
        <f>IF(BY284="zákl. přenesená",J284,0)</f>
        <v>0</v>
      </c>
      <c r="DS284" s="137">
        <f>IF(BY284="sníž. přenesená",J284,0)</f>
        <v>0</v>
      </c>
      <c r="DT284" s="137">
        <f>IF(BY284="nulová",J284,0)</f>
        <v>0</v>
      </c>
      <c r="DU284" s="16" t="s">
        <v>81</v>
      </c>
      <c r="DV284" s="137">
        <f>ROUND(I284*H284,2)</f>
        <v>4080.13</v>
      </c>
      <c r="DW284" s="16" t="s">
        <v>95</v>
      </c>
      <c r="DX284" s="136" t="s">
        <v>539</v>
      </c>
    </row>
    <row r="285" spans="2:128" s="1" customFormat="1" ht="29.25" x14ac:dyDescent="0.2">
      <c r="B285" s="31"/>
      <c r="D285" s="138" t="s">
        <v>289</v>
      </c>
      <c r="F285" s="139" t="s">
        <v>540</v>
      </c>
      <c r="I285" s="140"/>
      <c r="L285" s="31"/>
      <c r="N285" s="213"/>
      <c r="O285" s="214"/>
      <c r="Q285" s="229"/>
      <c r="BX285" s="141"/>
      <c r="CE285" s="50"/>
      <c r="DE285" s="16" t="s">
        <v>289</v>
      </c>
      <c r="DF285" s="16" t="s">
        <v>83</v>
      </c>
    </row>
    <row r="286" spans="2:128" s="1" customFormat="1" ht="29.25" x14ac:dyDescent="0.2">
      <c r="B286" s="31"/>
      <c r="D286" s="138" t="s">
        <v>299</v>
      </c>
      <c r="F286" s="142" t="s">
        <v>1083</v>
      </c>
      <c r="I286" s="140"/>
      <c r="L286" s="31"/>
      <c r="N286" s="213"/>
      <c r="O286" s="214"/>
      <c r="Q286" s="229"/>
      <c r="BX286" s="141"/>
      <c r="CE286" s="50"/>
      <c r="DE286" s="16" t="s">
        <v>299</v>
      </c>
      <c r="DF286" s="16" t="s">
        <v>83</v>
      </c>
    </row>
    <row r="287" spans="2:128" s="11" customFormat="1" ht="22.5" x14ac:dyDescent="0.2">
      <c r="B287" s="143"/>
      <c r="D287" s="138" t="s">
        <v>301</v>
      </c>
      <c r="E287" s="144" t="s">
        <v>1</v>
      </c>
      <c r="F287" s="145" t="s">
        <v>1126</v>
      </c>
      <c r="H287" s="144" t="s">
        <v>1</v>
      </c>
      <c r="I287" s="146"/>
      <c r="L287" s="143"/>
      <c r="N287" s="215"/>
      <c r="O287" s="216"/>
      <c r="Q287" s="230"/>
      <c r="BX287" s="147"/>
      <c r="CE287" s="148"/>
      <c r="DE287" s="144" t="s">
        <v>301</v>
      </c>
      <c r="DF287" s="144" t="s">
        <v>83</v>
      </c>
      <c r="DG287" s="11" t="s">
        <v>81</v>
      </c>
      <c r="DH287" s="11" t="s">
        <v>32</v>
      </c>
      <c r="DI287" s="11" t="s">
        <v>74</v>
      </c>
      <c r="DJ287" s="144" t="s">
        <v>282</v>
      </c>
    </row>
    <row r="288" spans="2:128" s="12" customFormat="1" x14ac:dyDescent="0.2">
      <c r="B288" s="149"/>
      <c r="D288" s="138" t="s">
        <v>301</v>
      </c>
      <c r="E288" s="150" t="s">
        <v>1</v>
      </c>
      <c r="F288" s="151" t="s">
        <v>1419</v>
      </c>
      <c r="H288" s="152">
        <v>11.25</v>
      </c>
      <c r="I288" s="153"/>
      <c r="L288" s="149"/>
      <c r="N288" s="217"/>
      <c r="O288" s="218"/>
      <c r="Q288" s="231"/>
      <c r="BX288" s="154"/>
      <c r="CE288" s="155"/>
      <c r="DE288" s="150" t="s">
        <v>301</v>
      </c>
      <c r="DF288" s="150" t="s">
        <v>83</v>
      </c>
      <c r="DG288" s="12" t="s">
        <v>83</v>
      </c>
      <c r="DH288" s="12" t="s">
        <v>32</v>
      </c>
      <c r="DI288" s="12" t="s">
        <v>81</v>
      </c>
      <c r="DJ288" s="150" t="s">
        <v>282</v>
      </c>
    </row>
    <row r="289" spans="2:128" s="10" customFormat="1" ht="22.9" customHeight="1" x14ac:dyDescent="0.2">
      <c r="B289" s="112"/>
      <c r="D289" s="113" t="s">
        <v>73</v>
      </c>
      <c r="E289" s="122" t="s">
        <v>328</v>
      </c>
      <c r="F289" s="122" t="s">
        <v>555</v>
      </c>
      <c r="I289" s="115"/>
      <c r="J289" s="123">
        <f>DV289</f>
        <v>53100.53</v>
      </c>
      <c r="L289" s="112"/>
      <c r="M289" s="270">
        <f>SUM(M290:M327)</f>
        <v>0</v>
      </c>
      <c r="N289" s="301"/>
      <c r="O289" s="302">
        <f t="shared" ref="O289:V289" si="6">SUM(O290:O327)</f>
        <v>-12997.12</v>
      </c>
      <c r="P289" s="270"/>
      <c r="Q289" s="288">
        <f t="shared" si="6"/>
        <v>66097.64</v>
      </c>
      <c r="R289" s="270"/>
      <c r="S289" s="270"/>
      <c r="T289" s="270">
        <f t="shared" si="6"/>
        <v>0</v>
      </c>
      <c r="U289" s="270"/>
      <c r="V289" s="270">
        <f t="shared" si="6"/>
        <v>53100.53</v>
      </c>
      <c r="BX289" s="117"/>
      <c r="CA289" s="118">
        <f>SUM(CA290:CA328)</f>
        <v>0</v>
      </c>
      <c r="CC289" s="118">
        <f>SUM(CC290:CC328)</f>
        <v>0.58230999999999999</v>
      </c>
      <c r="CE289" s="119">
        <f>SUM(CE290:CE328)</f>
        <v>0</v>
      </c>
      <c r="DC289" s="113" t="s">
        <v>81</v>
      </c>
      <c r="DE289" s="120" t="s">
        <v>73</v>
      </c>
      <c r="DF289" s="120" t="s">
        <v>81</v>
      </c>
      <c r="DJ289" s="113" t="s">
        <v>282</v>
      </c>
      <c r="DV289" s="121">
        <f>SUM(DV290:DV328)</f>
        <v>53100.53</v>
      </c>
    </row>
    <row r="290" spans="2:128" s="1" customFormat="1" ht="24.2" customHeight="1" x14ac:dyDescent="0.2">
      <c r="B290" s="124"/>
      <c r="C290" s="125" t="s">
        <v>489</v>
      </c>
      <c r="D290" s="125" t="s">
        <v>284</v>
      </c>
      <c r="E290" s="126" t="s">
        <v>1128</v>
      </c>
      <c r="F290" s="127" t="s">
        <v>1129</v>
      </c>
      <c r="G290" s="128" t="s">
        <v>344</v>
      </c>
      <c r="H290" s="129">
        <v>12.5</v>
      </c>
      <c r="I290" s="130">
        <v>617.16852473597498</v>
      </c>
      <c r="J290" s="131">
        <f>ROUND(I290*H290,2)</f>
        <v>7714.61</v>
      </c>
      <c r="K290" s="127" t="s">
        <v>293</v>
      </c>
      <c r="L290" s="268">
        <f>S290</f>
        <v>0</v>
      </c>
      <c r="M290" s="272">
        <f>ROUND(L290*I290,2)</f>
        <v>0</v>
      </c>
      <c r="N290" s="243">
        <f>N293</f>
        <v>-2.6899999999999995</v>
      </c>
      <c r="O290" s="294">
        <f>ROUND(N290*I290,2)</f>
        <v>-1660.18</v>
      </c>
      <c r="P290" s="273">
        <f>H290-L290-N290</f>
        <v>15.19</v>
      </c>
      <c r="Q290" s="287">
        <f>ROUND(P290*I290,2)</f>
        <v>9374.7900000000009</v>
      </c>
      <c r="R290" s="137"/>
      <c r="S290" s="269">
        <f>W290+Y290+AA290+AC290+AE290+AG290</f>
        <v>0</v>
      </c>
      <c r="T290" s="269">
        <f>ROUND(S290*I290,2)</f>
        <v>0</v>
      </c>
      <c r="U290" s="269">
        <f>H290-S290</f>
        <v>12.5</v>
      </c>
      <c r="V290" s="269">
        <f>ROUND(U290*I290,2)</f>
        <v>7714.61</v>
      </c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BX290" s="132" t="s">
        <v>1</v>
      </c>
      <c r="BY290" s="133" t="s">
        <v>40</v>
      </c>
      <c r="CA290" s="134">
        <f>BZ290*H290</f>
        <v>0</v>
      </c>
      <c r="CB290" s="134">
        <v>4.2199999999999998E-3</v>
      </c>
      <c r="CC290" s="134">
        <f>CB290*H290</f>
        <v>5.2749999999999998E-2</v>
      </c>
      <c r="CD290" s="134">
        <v>0</v>
      </c>
      <c r="CE290" s="135">
        <f>CD290*H290</f>
        <v>0</v>
      </c>
      <c r="DC290" s="136" t="s">
        <v>95</v>
      </c>
      <c r="DE290" s="136" t="s">
        <v>284</v>
      </c>
      <c r="DF290" s="136" t="s">
        <v>83</v>
      </c>
      <c r="DJ290" s="16" t="s">
        <v>282</v>
      </c>
      <c r="DP290" s="137">
        <f>IF(BY290="základní",J290,0)</f>
        <v>7714.61</v>
      </c>
      <c r="DQ290" s="137">
        <f>IF(BY290="snížená",J290,0)</f>
        <v>0</v>
      </c>
      <c r="DR290" s="137">
        <f>IF(BY290="zákl. přenesená",J290,0)</f>
        <v>0</v>
      </c>
      <c r="DS290" s="137">
        <f>IF(BY290="sníž. přenesená",J290,0)</f>
        <v>0</v>
      </c>
      <c r="DT290" s="137">
        <f>IF(BY290="nulová",J290,0)</f>
        <v>0</v>
      </c>
      <c r="DU290" s="16" t="s">
        <v>81</v>
      </c>
      <c r="DV290" s="137">
        <f>ROUND(I290*H290,2)</f>
        <v>7714.61</v>
      </c>
      <c r="DW290" s="16" t="s">
        <v>95</v>
      </c>
      <c r="DX290" s="136" t="s">
        <v>1130</v>
      </c>
    </row>
    <row r="291" spans="2:128" s="1" customFormat="1" ht="29.25" x14ac:dyDescent="0.2">
      <c r="B291" s="31"/>
      <c r="D291" s="138" t="s">
        <v>289</v>
      </c>
      <c r="F291" s="139" t="s">
        <v>1131</v>
      </c>
      <c r="I291" s="140"/>
      <c r="L291" s="31"/>
      <c r="N291" s="213"/>
      <c r="O291" s="214"/>
      <c r="Q291" s="229"/>
      <c r="BX291" s="141"/>
      <c r="CE291" s="50"/>
      <c r="DE291" s="16" t="s">
        <v>289</v>
      </c>
      <c r="DF291" s="16" t="s">
        <v>83</v>
      </c>
    </row>
    <row r="292" spans="2:128" s="1" customFormat="1" ht="29.25" x14ac:dyDescent="0.2">
      <c r="B292" s="31"/>
      <c r="D292" s="138" t="s">
        <v>299</v>
      </c>
      <c r="F292" s="142" t="s">
        <v>1083</v>
      </c>
      <c r="I292" s="140"/>
      <c r="L292" s="31"/>
      <c r="N292" s="213"/>
      <c r="O292" s="214"/>
      <c r="Q292" s="229"/>
      <c r="BX292" s="141"/>
      <c r="CE292" s="50"/>
      <c r="DE292" s="16" t="s">
        <v>299</v>
      </c>
      <c r="DF292" s="16" t="s">
        <v>83</v>
      </c>
    </row>
    <row r="293" spans="2:128" s="12" customFormat="1" x14ac:dyDescent="0.2">
      <c r="B293" s="149"/>
      <c r="D293" s="138" t="s">
        <v>301</v>
      </c>
      <c r="E293" s="150" t="s">
        <v>1</v>
      </c>
      <c r="F293" s="151" t="s">
        <v>1416</v>
      </c>
      <c r="H293" s="152">
        <v>12.5</v>
      </c>
      <c r="I293" s="153"/>
      <c r="L293" s="149"/>
      <c r="N293" s="217">
        <f>9.81-12.5</f>
        <v>-2.6899999999999995</v>
      </c>
      <c r="O293" s="218" t="s">
        <v>3758</v>
      </c>
      <c r="Q293" s="231"/>
      <c r="BX293" s="154"/>
      <c r="CE293" s="155"/>
      <c r="DE293" s="150" t="s">
        <v>301</v>
      </c>
      <c r="DF293" s="150" t="s">
        <v>83</v>
      </c>
      <c r="DG293" s="12" t="s">
        <v>83</v>
      </c>
      <c r="DH293" s="12" t="s">
        <v>32</v>
      </c>
      <c r="DI293" s="12" t="s">
        <v>81</v>
      </c>
      <c r="DJ293" s="150" t="s">
        <v>282</v>
      </c>
    </row>
    <row r="294" spans="2:128" s="1" customFormat="1" ht="24.2" customHeight="1" x14ac:dyDescent="0.2">
      <c r="B294" s="124"/>
      <c r="C294" s="125" t="s">
        <v>493</v>
      </c>
      <c r="D294" s="125" t="s">
        <v>284</v>
      </c>
      <c r="E294" s="126" t="s">
        <v>1132</v>
      </c>
      <c r="F294" s="127" t="s">
        <v>1133</v>
      </c>
      <c r="G294" s="128" t="s">
        <v>485</v>
      </c>
      <c r="H294" s="129">
        <v>12</v>
      </c>
      <c r="I294" s="130">
        <v>214.24530512569368</v>
      </c>
      <c r="J294" s="131">
        <f>ROUND(I294*H294,2)</f>
        <v>2570.94</v>
      </c>
      <c r="K294" s="127" t="s">
        <v>293</v>
      </c>
      <c r="L294" s="268">
        <f>S294</f>
        <v>0</v>
      </c>
      <c r="M294" s="272">
        <f>ROUND(L294*I294,2)</f>
        <v>0</v>
      </c>
      <c r="N294" s="243">
        <v>-3</v>
      </c>
      <c r="O294" s="294">
        <f>ROUND(N294*I294,2)</f>
        <v>-642.74</v>
      </c>
      <c r="P294" s="273">
        <f>H294-L294-N294</f>
        <v>15</v>
      </c>
      <c r="Q294" s="287">
        <f>ROUND(P294*I294,2)</f>
        <v>3213.68</v>
      </c>
      <c r="R294" s="137"/>
      <c r="S294" s="269">
        <f>W294+Y294+AA294+AC294+AE294+AG294</f>
        <v>0</v>
      </c>
      <c r="T294" s="269">
        <f>ROUND(S294*I294,2)</f>
        <v>0</v>
      </c>
      <c r="U294" s="269">
        <f>H294-S294</f>
        <v>12</v>
      </c>
      <c r="V294" s="269">
        <f>ROUND(U294*I294,2)</f>
        <v>2570.94</v>
      </c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BX294" s="132" t="s">
        <v>1</v>
      </c>
      <c r="BY294" s="133" t="s">
        <v>40</v>
      </c>
      <c r="CA294" s="134">
        <f>BZ294*H294</f>
        <v>0</v>
      </c>
      <c r="CB294" s="134">
        <v>0</v>
      </c>
      <c r="CC294" s="134">
        <f>CB294*H294</f>
        <v>0</v>
      </c>
      <c r="CD294" s="134">
        <v>0</v>
      </c>
      <c r="CE294" s="135">
        <f>CD294*H294</f>
        <v>0</v>
      </c>
      <c r="DC294" s="136" t="s">
        <v>95</v>
      </c>
      <c r="DE294" s="136" t="s">
        <v>284</v>
      </c>
      <c r="DF294" s="136" t="s">
        <v>83</v>
      </c>
      <c r="DJ294" s="16" t="s">
        <v>282</v>
      </c>
      <c r="DP294" s="137">
        <f>IF(BY294="základní",J294,0)</f>
        <v>2570.94</v>
      </c>
      <c r="DQ294" s="137">
        <f>IF(BY294="snížená",J294,0)</f>
        <v>0</v>
      </c>
      <c r="DR294" s="137">
        <f>IF(BY294="zákl. přenesená",J294,0)</f>
        <v>0</v>
      </c>
      <c r="DS294" s="137">
        <f>IF(BY294="sníž. přenesená",J294,0)</f>
        <v>0</v>
      </c>
      <c r="DT294" s="137">
        <f>IF(BY294="nulová",J294,0)</f>
        <v>0</v>
      </c>
      <c r="DU294" s="16" t="s">
        <v>81</v>
      </c>
      <c r="DV294" s="137">
        <f>ROUND(I294*H294,2)</f>
        <v>2570.94</v>
      </c>
      <c r="DW294" s="16" t="s">
        <v>95</v>
      </c>
      <c r="DX294" s="136" t="s">
        <v>1134</v>
      </c>
    </row>
    <row r="295" spans="2:128" s="1" customFormat="1" ht="19.5" x14ac:dyDescent="0.2">
      <c r="B295" s="31"/>
      <c r="D295" s="138" t="s">
        <v>289</v>
      </c>
      <c r="F295" s="139" t="s">
        <v>1135</v>
      </c>
      <c r="I295" s="140"/>
      <c r="L295" s="31"/>
      <c r="N295" s="213"/>
      <c r="O295" s="214"/>
      <c r="Q295" s="229"/>
      <c r="BX295" s="141"/>
      <c r="CE295" s="50"/>
      <c r="DE295" s="16" t="s">
        <v>289</v>
      </c>
      <c r="DF295" s="16" t="s">
        <v>83</v>
      </c>
    </row>
    <row r="296" spans="2:128" s="1" customFormat="1" ht="29.25" x14ac:dyDescent="0.2">
      <c r="B296" s="31"/>
      <c r="D296" s="138" t="s">
        <v>299</v>
      </c>
      <c r="F296" s="142" t="s">
        <v>1083</v>
      </c>
      <c r="I296" s="140"/>
      <c r="L296" s="31"/>
      <c r="N296" s="213"/>
      <c r="O296" s="214"/>
      <c r="Q296" s="229"/>
      <c r="BX296" s="141"/>
      <c r="CE296" s="50"/>
      <c r="DE296" s="16" t="s">
        <v>299</v>
      </c>
      <c r="DF296" s="16" t="s">
        <v>83</v>
      </c>
    </row>
    <row r="297" spans="2:128" s="11" customFormat="1" x14ac:dyDescent="0.2">
      <c r="B297" s="143"/>
      <c r="D297" s="138" t="s">
        <v>301</v>
      </c>
      <c r="E297" s="144" t="s">
        <v>1</v>
      </c>
      <c r="F297" s="145" t="s">
        <v>1136</v>
      </c>
      <c r="H297" s="144" t="s">
        <v>1</v>
      </c>
      <c r="I297" s="146"/>
      <c r="L297" s="143"/>
      <c r="N297" s="215"/>
      <c r="O297" s="216"/>
      <c r="Q297" s="230"/>
      <c r="BX297" s="147"/>
      <c r="CE297" s="148"/>
      <c r="DE297" s="144" t="s">
        <v>301</v>
      </c>
      <c r="DF297" s="144" t="s">
        <v>83</v>
      </c>
      <c r="DG297" s="11" t="s">
        <v>81</v>
      </c>
      <c r="DH297" s="11" t="s">
        <v>32</v>
      </c>
      <c r="DI297" s="11" t="s">
        <v>74</v>
      </c>
      <c r="DJ297" s="144" t="s">
        <v>282</v>
      </c>
    </row>
    <row r="298" spans="2:128" s="12" customFormat="1" x14ac:dyDescent="0.2">
      <c r="B298" s="149"/>
      <c r="D298" s="138" t="s">
        <v>301</v>
      </c>
      <c r="E298" s="150" t="s">
        <v>1</v>
      </c>
      <c r="F298" s="151" t="s">
        <v>1229</v>
      </c>
      <c r="H298" s="152">
        <v>4</v>
      </c>
      <c r="I298" s="153"/>
      <c r="L298" s="149"/>
      <c r="N298" s="217"/>
      <c r="O298" s="218"/>
      <c r="Q298" s="231"/>
      <c r="BX298" s="154"/>
      <c r="CE298" s="155"/>
      <c r="DE298" s="150" t="s">
        <v>301</v>
      </c>
      <c r="DF298" s="150" t="s">
        <v>83</v>
      </c>
      <c r="DG298" s="12" t="s">
        <v>83</v>
      </c>
      <c r="DH298" s="12" t="s">
        <v>32</v>
      </c>
      <c r="DI298" s="12" t="s">
        <v>74</v>
      </c>
      <c r="DJ298" s="150" t="s">
        <v>282</v>
      </c>
    </row>
    <row r="299" spans="2:128" s="14" customFormat="1" x14ac:dyDescent="0.2">
      <c r="B299" s="163"/>
      <c r="D299" s="138" t="s">
        <v>301</v>
      </c>
      <c r="E299" s="164" t="s">
        <v>1</v>
      </c>
      <c r="F299" s="165" t="s">
        <v>373</v>
      </c>
      <c r="H299" s="166">
        <v>4</v>
      </c>
      <c r="I299" s="167"/>
      <c r="L299" s="163"/>
      <c r="N299" s="221"/>
      <c r="O299" s="222"/>
      <c r="Q299" s="233"/>
      <c r="BX299" s="168"/>
      <c r="CE299" s="169"/>
      <c r="DE299" s="164" t="s">
        <v>301</v>
      </c>
      <c r="DF299" s="164" t="s">
        <v>83</v>
      </c>
      <c r="DG299" s="14" t="s">
        <v>90</v>
      </c>
      <c r="DH299" s="14" t="s">
        <v>32</v>
      </c>
      <c r="DI299" s="14" t="s">
        <v>74</v>
      </c>
      <c r="DJ299" s="164" t="s">
        <v>282</v>
      </c>
    </row>
    <row r="300" spans="2:128" s="11" customFormat="1" x14ac:dyDescent="0.2">
      <c r="B300" s="143"/>
      <c r="D300" s="138" t="s">
        <v>301</v>
      </c>
      <c r="E300" s="144" t="s">
        <v>1</v>
      </c>
      <c r="F300" s="145" t="s">
        <v>1140</v>
      </c>
      <c r="H300" s="144" t="s">
        <v>1</v>
      </c>
      <c r="I300" s="146"/>
      <c r="L300" s="143"/>
      <c r="N300" s="215"/>
      <c r="O300" s="216"/>
      <c r="Q300" s="230"/>
      <c r="BX300" s="147"/>
      <c r="CE300" s="148"/>
      <c r="DE300" s="144" t="s">
        <v>301</v>
      </c>
      <c r="DF300" s="144" t="s">
        <v>83</v>
      </c>
      <c r="DG300" s="11" t="s">
        <v>81</v>
      </c>
      <c r="DH300" s="11" t="s">
        <v>32</v>
      </c>
      <c r="DI300" s="11" t="s">
        <v>74</v>
      </c>
      <c r="DJ300" s="144" t="s">
        <v>282</v>
      </c>
    </row>
    <row r="301" spans="2:128" s="12" customFormat="1" x14ac:dyDescent="0.2">
      <c r="B301" s="149"/>
      <c r="D301" s="138" t="s">
        <v>301</v>
      </c>
      <c r="E301" s="150" t="s">
        <v>1</v>
      </c>
      <c r="F301" s="151" t="s">
        <v>1420</v>
      </c>
      <c r="H301" s="152">
        <v>8</v>
      </c>
      <c r="I301" s="153"/>
      <c r="L301" s="149"/>
      <c r="N301" s="217"/>
      <c r="O301" s="218"/>
      <c r="Q301" s="231"/>
      <c r="BX301" s="154"/>
      <c r="CE301" s="155"/>
      <c r="DE301" s="150" t="s">
        <v>301</v>
      </c>
      <c r="DF301" s="150" t="s">
        <v>83</v>
      </c>
      <c r="DG301" s="12" t="s">
        <v>83</v>
      </c>
      <c r="DH301" s="12" t="s">
        <v>32</v>
      </c>
      <c r="DI301" s="12" t="s">
        <v>74</v>
      </c>
      <c r="DJ301" s="150" t="s">
        <v>282</v>
      </c>
    </row>
    <row r="302" spans="2:128" s="13" customFormat="1" x14ac:dyDescent="0.2">
      <c r="B302" s="156"/>
      <c r="D302" s="138" t="s">
        <v>301</v>
      </c>
      <c r="E302" s="157" t="s">
        <v>1</v>
      </c>
      <c r="F302" s="158" t="s">
        <v>305</v>
      </c>
      <c r="H302" s="159">
        <v>12</v>
      </c>
      <c r="I302" s="160"/>
      <c r="L302" s="156"/>
      <c r="N302" s="219"/>
      <c r="O302" s="220"/>
      <c r="Q302" s="232"/>
      <c r="BX302" s="161"/>
      <c r="CE302" s="162"/>
      <c r="DE302" s="157" t="s">
        <v>301</v>
      </c>
      <c r="DF302" s="157" t="s">
        <v>83</v>
      </c>
      <c r="DG302" s="13" t="s">
        <v>95</v>
      </c>
      <c r="DH302" s="13" t="s">
        <v>32</v>
      </c>
      <c r="DI302" s="13" t="s">
        <v>81</v>
      </c>
      <c r="DJ302" s="157" t="s">
        <v>282</v>
      </c>
    </row>
    <row r="303" spans="2:128" s="1" customFormat="1" ht="14.45" customHeight="1" x14ac:dyDescent="0.2">
      <c r="B303" s="124"/>
      <c r="C303" s="170" t="s">
        <v>497</v>
      </c>
      <c r="D303" s="170" t="s">
        <v>439</v>
      </c>
      <c r="E303" s="171" t="s">
        <v>1142</v>
      </c>
      <c r="F303" s="172" t="s">
        <v>1143</v>
      </c>
      <c r="G303" s="173" t="s">
        <v>485</v>
      </c>
      <c r="H303" s="174">
        <v>4</v>
      </c>
      <c r="I303" s="175">
        <v>100.40486420000001</v>
      </c>
      <c r="J303" s="176">
        <f>ROUND(I303*H303,2)</f>
        <v>401.62</v>
      </c>
      <c r="K303" s="172" t="s">
        <v>293</v>
      </c>
      <c r="L303" s="268">
        <f>S303</f>
        <v>0</v>
      </c>
      <c r="M303" s="272">
        <f>ROUND(L303*I303,2)</f>
        <v>0</v>
      </c>
      <c r="N303" s="243">
        <v>-1</v>
      </c>
      <c r="O303" s="294">
        <f>ROUND(N303*I303,2)</f>
        <v>-100.4</v>
      </c>
      <c r="P303" s="273">
        <f>H303-L303-N303</f>
        <v>5</v>
      </c>
      <c r="Q303" s="287">
        <f>ROUND(P303*I303,2)</f>
        <v>502.02</v>
      </c>
      <c r="R303" s="137"/>
      <c r="S303" s="269">
        <f>W303+Y303+AA303+AC303+AE303+AG303</f>
        <v>0</v>
      </c>
      <c r="T303" s="269">
        <f>ROUND(S303*I303,2)</f>
        <v>0</v>
      </c>
      <c r="U303" s="269">
        <f>H303-S303</f>
        <v>4</v>
      </c>
      <c r="V303" s="269">
        <f>ROUND(U303*I303,2)</f>
        <v>401.62</v>
      </c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77" t="s">
        <v>1</v>
      </c>
      <c r="BY303" s="178" t="s">
        <v>40</v>
      </c>
      <c r="CA303" s="134">
        <f>BZ303*H303</f>
        <v>0</v>
      </c>
      <c r="CB303" s="134">
        <v>6.4999999999999997E-4</v>
      </c>
      <c r="CC303" s="134">
        <f>CB303*H303</f>
        <v>2.5999999999999999E-3</v>
      </c>
      <c r="CD303" s="134">
        <v>0</v>
      </c>
      <c r="CE303" s="135">
        <f>CD303*H303</f>
        <v>0</v>
      </c>
      <c r="DC303" s="136" t="s">
        <v>328</v>
      </c>
      <c r="DE303" s="136" t="s">
        <v>439</v>
      </c>
      <c r="DF303" s="136" t="s">
        <v>83</v>
      </c>
      <c r="DJ303" s="16" t="s">
        <v>282</v>
      </c>
      <c r="DP303" s="137">
        <f>IF(BY303="základní",J303,0)</f>
        <v>401.62</v>
      </c>
      <c r="DQ303" s="137">
        <f>IF(BY303="snížená",J303,0)</f>
        <v>0</v>
      </c>
      <c r="DR303" s="137">
        <f>IF(BY303="zákl. přenesená",J303,0)</f>
        <v>0</v>
      </c>
      <c r="DS303" s="137">
        <f>IF(BY303="sníž. přenesená",J303,0)</f>
        <v>0</v>
      </c>
      <c r="DT303" s="137">
        <f>IF(BY303="nulová",J303,0)</f>
        <v>0</v>
      </c>
      <c r="DU303" s="16" t="s">
        <v>81</v>
      </c>
      <c r="DV303" s="137">
        <f>ROUND(I303*H303,2)</f>
        <v>401.62</v>
      </c>
      <c r="DW303" s="16" t="s">
        <v>95</v>
      </c>
      <c r="DX303" s="136" t="s">
        <v>1144</v>
      </c>
    </row>
    <row r="304" spans="2:128" s="1" customFormat="1" x14ac:dyDescent="0.2">
      <c r="B304" s="31"/>
      <c r="D304" s="138" t="s">
        <v>289</v>
      </c>
      <c r="F304" s="139" t="s">
        <v>1145</v>
      </c>
      <c r="I304" s="140"/>
      <c r="L304" s="31"/>
      <c r="N304" s="213"/>
      <c r="O304" s="214"/>
      <c r="Q304" s="229"/>
      <c r="BX304" s="141"/>
      <c r="CE304" s="50"/>
      <c r="DE304" s="16" t="s">
        <v>289</v>
      </c>
      <c r="DF304" s="16" t="s">
        <v>83</v>
      </c>
    </row>
    <row r="305" spans="2:128" s="1" customFormat="1" ht="14.45" customHeight="1" x14ac:dyDescent="0.2">
      <c r="B305" s="124"/>
      <c r="C305" s="170" t="s">
        <v>501</v>
      </c>
      <c r="D305" s="170" t="s">
        <v>439</v>
      </c>
      <c r="E305" s="171" t="s">
        <v>1146</v>
      </c>
      <c r="F305" s="172" t="s">
        <v>1147</v>
      </c>
      <c r="G305" s="173" t="s">
        <v>485</v>
      </c>
      <c r="H305" s="174">
        <v>8</v>
      </c>
      <c r="I305" s="175">
        <v>236.80392499999999</v>
      </c>
      <c r="J305" s="176">
        <f>ROUND(I305*H305,2)</f>
        <v>1894.43</v>
      </c>
      <c r="K305" s="172" t="s">
        <v>1</v>
      </c>
      <c r="L305" s="268">
        <f>S305</f>
        <v>0</v>
      </c>
      <c r="M305" s="272">
        <f>ROUND(L305*I305,2)</f>
        <v>0</v>
      </c>
      <c r="N305" s="243">
        <v>-2</v>
      </c>
      <c r="O305" s="294">
        <f>ROUND(N305*I305,2)</f>
        <v>-473.61</v>
      </c>
      <c r="P305" s="273">
        <f>H305-L305-N305</f>
        <v>10</v>
      </c>
      <c r="Q305" s="287">
        <f>ROUND(P305*I305,2)</f>
        <v>2368.04</v>
      </c>
      <c r="R305" s="137"/>
      <c r="S305" s="269">
        <f>W305+Y305+AA305+AC305+AE305+AG305</f>
        <v>0</v>
      </c>
      <c r="T305" s="269">
        <f>ROUND(S305*I305,2)</f>
        <v>0</v>
      </c>
      <c r="U305" s="269">
        <f>H305-S305</f>
        <v>8</v>
      </c>
      <c r="V305" s="269">
        <f>ROUND(U305*I305,2)</f>
        <v>1894.43</v>
      </c>
      <c r="W305" s="290"/>
      <c r="X305" s="290"/>
      <c r="Y305" s="290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77" t="s">
        <v>1</v>
      </c>
      <c r="BY305" s="178" t="s">
        <v>40</v>
      </c>
      <c r="CA305" s="134">
        <f>BZ305*H305</f>
        <v>0</v>
      </c>
      <c r="CB305" s="134">
        <v>6.4999999999999997E-4</v>
      </c>
      <c r="CC305" s="134">
        <f>CB305*H305</f>
        <v>5.1999999999999998E-3</v>
      </c>
      <c r="CD305" s="134">
        <v>0</v>
      </c>
      <c r="CE305" s="135">
        <f>CD305*H305</f>
        <v>0</v>
      </c>
      <c r="DC305" s="136" t="s">
        <v>328</v>
      </c>
      <c r="DE305" s="136" t="s">
        <v>439</v>
      </c>
      <c r="DF305" s="136" t="s">
        <v>83</v>
      </c>
      <c r="DJ305" s="16" t="s">
        <v>282</v>
      </c>
      <c r="DP305" s="137">
        <f>IF(BY305="základní",J305,0)</f>
        <v>1894.43</v>
      </c>
      <c r="DQ305" s="137">
        <f>IF(BY305="snížená",J305,0)</f>
        <v>0</v>
      </c>
      <c r="DR305" s="137">
        <f>IF(BY305="zákl. přenesená",J305,0)</f>
        <v>0</v>
      </c>
      <c r="DS305" s="137">
        <f>IF(BY305="sníž. přenesená",J305,0)</f>
        <v>0</v>
      </c>
      <c r="DT305" s="137">
        <f>IF(BY305="nulová",J305,0)</f>
        <v>0</v>
      </c>
      <c r="DU305" s="16" t="s">
        <v>81</v>
      </c>
      <c r="DV305" s="137">
        <f>ROUND(I305*H305,2)</f>
        <v>1894.43</v>
      </c>
      <c r="DW305" s="16" t="s">
        <v>95</v>
      </c>
      <c r="DX305" s="136" t="s">
        <v>1148</v>
      </c>
    </row>
    <row r="306" spans="2:128" s="1" customFormat="1" x14ac:dyDescent="0.2">
      <c r="B306" s="31"/>
      <c r="D306" s="138" t="s">
        <v>289</v>
      </c>
      <c r="F306" s="139" t="s">
        <v>1147</v>
      </c>
      <c r="I306" s="140"/>
      <c r="L306" s="31"/>
      <c r="N306" s="213"/>
      <c r="O306" s="214"/>
      <c r="Q306" s="229"/>
      <c r="BX306" s="141"/>
      <c r="CE306" s="50"/>
      <c r="DE306" s="16" t="s">
        <v>289</v>
      </c>
      <c r="DF306" s="16" t="s">
        <v>83</v>
      </c>
    </row>
    <row r="307" spans="2:128" s="1" customFormat="1" ht="14.45" customHeight="1" x14ac:dyDescent="0.2">
      <c r="B307" s="124"/>
      <c r="C307" s="125" t="s">
        <v>505</v>
      </c>
      <c r="D307" s="125" t="s">
        <v>284</v>
      </c>
      <c r="E307" s="126" t="s">
        <v>1149</v>
      </c>
      <c r="F307" s="127" t="s">
        <v>1150</v>
      </c>
      <c r="G307" s="128" t="s">
        <v>485</v>
      </c>
      <c r="H307" s="129">
        <v>4</v>
      </c>
      <c r="I307" s="130">
        <v>214.24530512569368</v>
      </c>
      <c r="J307" s="131">
        <f>ROUND(I307*H307,2)</f>
        <v>856.98</v>
      </c>
      <c r="K307" s="127" t="s">
        <v>293</v>
      </c>
      <c r="L307" s="268">
        <f>S307</f>
        <v>0</v>
      </c>
      <c r="M307" s="272">
        <f>ROUND(L307*I307,2)</f>
        <v>0</v>
      </c>
      <c r="N307" s="243">
        <v>-1</v>
      </c>
      <c r="O307" s="294">
        <f>ROUND(N307*I307,2)</f>
        <v>-214.25</v>
      </c>
      <c r="P307" s="273">
        <f>H307-L307-N307</f>
        <v>5</v>
      </c>
      <c r="Q307" s="287">
        <f>ROUND(P307*I307,2)</f>
        <v>1071.23</v>
      </c>
      <c r="R307" s="137"/>
      <c r="S307" s="269">
        <f>W307+Y307+AA307+AC307+AE307+AG307</f>
        <v>0</v>
      </c>
      <c r="T307" s="269">
        <f>ROUND(S307*I307,2)</f>
        <v>0</v>
      </c>
      <c r="U307" s="269">
        <f>H307-S307</f>
        <v>4</v>
      </c>
      <c r="V307" s="269">
        <f>ROUND(U307*I307,2)</f>
        <v>856.98</v>
      </c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BX307" s="132" t="s">
        <v>1</v>
      </c>
      <c r="BY307" s="133" t="s">
        <v>40</v>
      </c>
      <c r="CA307" s="134">
        <f>BZ307*H307</f>
        <v>0</v>
      </c>
      <c r="CB307" s="134">
        <v>0</v>
      </c>
      <c r="CC307" s="134">
        <f>CB307*H307</f>
        <v>0</v>
      </c>
      <c r="CD307" s="134">
        <v>0</v>
      </c>
      <c r="CE307" s="135">
        <f>CD307*H307</f>
        <v>0</v>
      </c>
      <c r="DC307" s="136" t="s">
        <v>95</v>
      </c>
      <c r="DE307" s="136" t="s">
        <v>284</v>
      </c>
      <c r="DF307" s="136" t="s">
        <v>83</v>
      </c>
      <c r="DJ307" s="16" t="s">
        <v>282</v>
      </c>
      <c r="DP307" s="137">
        <f>IF(BY307="základní",J307,0)</f>
        <v>856.98</v>
      </c>
      <c r="DQ307" s="137">
        <f>IF(BY307="snížená",J307,0)</f>
        <v>0</v>
      </c>
      <c r="DR307" s="137">
        <f>IF(BY307="zákl. přenesená",J307,0)</f>
        <v>0</v>
      </c>
      <c r="DS307" s="137">
        <f>IF(BY307="sníž. přenesená",J307,0)</f>
        <v>0</v>
      </c>
      <c r="DT307" s="137">
        <f>IF(BY307="nulová",J307,0)</f>
        <v>0</v>
      </c>
      <c r="DU307" s="16" t="s">
        <v>81</v>
      </c>
      <c r="DV307" s="137">
        <f>ROUND(I307*H307,2)</f>
        <v>856.98</v>
      </c>
      <c r="DW307" s="16" t="s">
        <v>95</v>
      </c>
      <c r="DX307" s="136" t="s">
        <v>1151</v>
      </c>
    </row>
    <row r="308" spans="2:128" s="1" customFormat="1" ht="19.5" x14ac:dyDescent="0.2">
      <c r="B308" s="31"/>
      <c r="D308" s="138" t="s">
        <v>289</v>
      </c>
      <c r="F308" s="139" t="s">
        <v>1152</v>
      </c>
      <c r="I308" s="140"/>
      <c r="L308" s="31"/>
      <c r="N308" s="213"/>
      <c r="O308" s="214"/>
      <c r="Q308" s="229"/>
      <c r="BX308" s="141"/>
      <c r="CE308" s="50"/>
      <c r="DE308" s="16" t="s">
        <v>289</v>
      </c>
      <c r="DF308" s="16" t="s">
        <v>83</v>
      </c>
    </row>
    <row r="309" spans="2:128" s="1" customFormat="1" ht="29.25" x14ac:dyDescent="0.2">
      <c r="B309" s="31"/>
      <c r="D309" s="138" t="s">
        <v>299</v>
      </c>
      <c r="F309" s="142" t="s">
        <v>1083</v>
      </c>
      <c r="I309" s="140"/>
      <c r="L309" s="31"/>
      <c r="N309" s="213"/>
      <c r="O309" s="214"/>
      <c r="Q309" s="229"/>
      <c r="BX309" s="141"/>
      <c r="CE309" s="50"/>
      <c r="DE309" s="16" t="s">
        <v>299</v>
      </c>
      <c r="DF309" s="16" t="s">
        <v>83</v>
      </c>
    </row>
    <row r="310" spans="2:128" s="11" customFormat="1" x14ac:dyDescent="0.2">
      <c r="B310" s="143"/>
      <c r="D310" s="138" t="s">
        <v>301</v>
      </c>
      <c r="E310" s="144" t="s">
        <v>1</v>
      </c>
      <c r="F310" s="145" t="s">
        <v>1153</v>
      </c>
      <c r="H310" s="144" t="s">
        <v>1</v>
      </c>
      <c r="I310" s="146"/>
      <c r="L310" s="143"/>
      <c r="N310" s="215"/>
      <c r="O310" s="216"/>
      <c r="Q310" s="230"/>
      <c r="BX310" s="147"/>
      <c r="CE310" s="148"/>
      <c r="DE310" s="144" t="s">
        <v>301</v>
      </c>
      <c r="DF310" s="144" t="s">
        <v>83</v>
      </c>
      <c r="DG310" s="11" t="s">
        <v>81</v>
      </c>
      <c r="DH310" s="11" t="s">
        <v>32</v>
      </c>
      <c r="DI310" s="11" t="s">
        <v>74</v>
      </c>
      <c r="DJ310" s="144" t="s">
        <v>282</v>
      </c>
    </row>
    <row r="311" spans="2:128" s="12" customFormat="1" x14ac:dyDescent="0.2">
      <c r="B311" s="149"/>
      <c r="D311" s="138" t="s">
        <v>301</v>
      </c>
      <c r="E311" s="150" t="s">
        <v>1</v>
      </c>
      <c r="F311" s="151" t="s">
        <v>95</v>
      </c>
      <c r="H311" s="152">
        <v>4</v>
      </c>
      <c r="I311" s="153"/>
      <c r="L311" s="149"/>
      <c r="N311" s="217"/>
      <c r="O311" s="218"/>
      <c r="Q311" s="231"/>
      <c r="BX311" s="154"/>
      <c r="CE311" s="155"/>
      <c r="DE311" s="150" t="s">
        <v>301</v>
      </c>
      <c r="DF311" s="150" t="s">
        <v>83</v>
      </c>
      <c r="DG311" s="12" t="s">
        <v>83</v>
      </c>
      <c r="DH311" s="12" t="s">
        <v>32</v>
      </c>
      <c r="DI311" s="12" t="s">
        <v>81</v>
      </c>
      <c r="DJ311" s="150" t="s">
        <v>282</v>
      </c>
    </row>
    <row r="312" spans="2:128" s="1" customFormat="1" ht="14.45" customHeight="1" x14ac:dyDescent="0.2">
      <c r="B312" s="124"/>
      <c r="C312" s="170" t="s">
        <v>510</v>
      </c>
      <c r="D312" s="170" t="s">
        <v>439</v>
      </c>
      <c r="E312" s="171" t="s">
        <v>1154</v>
      </c>
      <c r="F312" s="172" t="s">
        <v>1155</v>
      </c>
      <c r="G312" s="173" t="s">
        <v>485</v>
      </c>
      <c r="H312" s="174">
        <v>4</v>
      </c>
      <c r="I312" s="175">
        <v>59.200981249999998</v>
      </c>
      <c r="J312" s="176">
        <f>ROUND(I312*H312,2)</f>
        <v>236.8</v>
      </c>
      <c r="K312" s="172" t="s">
        <v>293</v>
      </c>
      <c r="L312" s="268">
        <f>S312</f>
        <v>0</v>
      </c>
      <c r="M312" s="272">
        <f>ROUND(L312*I312,2)</f>
        <v>0</v>
      </c>
      <c r="N312" s="243">
        <v>-1</v>
      </c>
      <c r="O312" s="294">
        <f>ROUND(N312*I312,2)</f>
        <v>-59.2</v>
      </c>
      <c r="P312" s="273">
        <f>H312-L312-N312</f>
        <v>5</v>
      </c>
      <c r="Q312" s="287">
        <f>ROUND(P312*I312,2)</f>
        <v>296</v>
      </c>
      <c r="R312" s="137"/>
      <c r="S312" s="269">
        <f>W312+Y312+AA312+AC312+AE312+AG312</f>
        <v>0</v>
      </c>
      <c r="T312" s="269">
        <f>ROUND(S312*I312,2)</f>
        <v>0</v>
      </c>
      <c r="U312" s="269">
        <f>H312-S312</f>
        <v>4</v>
      </c>
      <c r="V312" s="269">
        <f>ROUND(U312*I312,2)</f>
        <v>236.8</v>
      </c>
      <c r="W312" s="290"/>
      <c r="X312" s="290"/>
      <c r="Y312" s="290"/>
      <c r="Z312" s="290"/>
      <c r="AA312" s="290"/>
      <c r="AB312" s="290"/>
      <c r="AC312" s="290"/>
      <c r="AD312" s="290"/>
      <c r="AE312" s="290"/>
      <c r="AF312" s="290"/>
      <c r="AG312" s="290"/>
      <c r="AH312" s="290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77" t="s">
        <v>1</v>
      </c>
      <c r="BY312" s="178" t="s">
        <v>40</v>
      </c>
      <c r="CA312" s="134">
        <f>BZ312*H312</f>
        <v>0</v>
      </c>
      <c r="CB312" s="134">
        <v>2.9E-4</v>
      </c>
      <c r="CC312" s="134">
        <f>CB312*H312</f>
        <v>1.16E-3</v>
      </c>
      <c r="CD312" s="134">
        <v>0</v>
      </c>
      <c r="CE312" s="135">
        <f>CD312*H312</f>
        <v>0</v>
      </c>
      <c r="DC312" s="136" t="s">
        <v>328</v>
      </c>
      <c r="DE312" s="136" t="s">
        <v>439</v>
      </c>
      <c r="DF312" s="136" t="s">
        <v>83</v>
      </c>
      <c r="DJ312" s="16" t="s">
        <v>282</v>
      </c>
      <c r="DP312" s="137">
        <f>IF(BY312="základní",J312,0)</f>
        <v>236.8</v>
      </c>
      <c r="DQ312" s="137">
        <f>IF(BY312="snížená",J312,0)</f>
        <v>0</v>
      </c>
      <c r="DR312" s="137">
        <f>IF(BY312="zákl. přenesená",J312,0)</f>
        <v>0</v>
      </c>
      <c r="DS312" s="137">
        <f>IF(BY312="sníž. přenesená",J312,0)</f>
        <v>0</v>
      </c>
      <c r="DT312" s="137">
        <f>IF(BY312="nulová",J312,0)</f>
        <v>0</v>
      </c>
      <c r="DU312" s="16" t="s">
        <v>81</v>
      </c>
      <c r="DV312" s="137">
        <f>ROUND(I312*H312,2)</f>
        <v>236.8</v>
      </c>
      <c r="DW312" s="16" t="s">
        <v>95</v>
      </c>
      <c r="DX312" s="136" t="s">
        <v>1156</v>
      </c>
    </row>
    <row r="313" spans="2:128" s="1" customFormat="1" x14ac:dyDescent="0.2">
      <c r="B313" s="31"/>
      <c r="D313" s="138" t="s">
        <v>289</v>
      </c>
      <c r="F313" s="139" t="s">
        <v>1155</v>
      </c>
      <c r="I313" s="140"/>
      <c r="L313" s="31"/>
      <c r="N313" s="213"/>
      <c r="O313" s="214"/>
      <c r="Q313" s="229"/>
      <c r="BX313" s="141"/>
      <c r="CE313" s="50"/>
      <c r="DE313" s="16" t="s">
        <v>289</v>
      </c>
      <c r="DF313" s="16" t="s">
        <v>83</v>
      </c>
    </row>
    <row r="314" spans="2:128" s="1" customFormat="1" ht="14.45" customHeight="1" x14ac:dyDescent="0.2">
      <c r="B314" s="124"/>
      <c r="C314" s="125" t="s">
        <v>514</v>
      </c>
      <c r="D314" s="125" t="s">
        <v>284</v>
      </c>
      <c r="E314" s="126" t="s">
        <v>776</v>
      </c>
      <c r="F314" s="127" t="s">
        <v>1157</v>
      </c>
      <c r="G314" s="128" t="s">
        <v>344</v>
      </c>
      <c r="H314" s="129">
        <v>12.5</v>
      </c>
      <c r="I314" s="130">
        <v>21.984104604889872</v>
      </c>
      <c r="J314" s="131">
        <f>ROUND(I314*H314,2)</f>
        <v>274.8</v>
      </c>
      <c r="K314" s="127" t="s">
        <v>293</v>
      </c>
      <c r="L314" s="268">
        <f>S314</f>
        <v>0</v>
      </c>
      <c r="M314" s="272">
        <f>ROUND(L314*I314,2)</f>
        <v>0</v>
      </c>
      <c r="N314" s="243">
        <f>N290</f>
        <v>-2.6899999999999995</v>
      </c>
      <c r="O314" s="294">
        <f>ROUND(N314*I314,2)</f>
        <v>-59.14</v>
      </c>
      <c r="P314" s="273">
        <f>H314-L314-N314</f>
        <v>15.19</v>
      </c>
      <c r="Q314" s="287">
        <f>ROUND(P314*I314,2)</f>
        <v>333.94</v>
      </c>
      <c r="R314" s="137"/>
      <c r="S314" s="269">
        <f>W314+Y314+AA314+AC314+AE314+AG314</f>
        <v>0</v>
      </c>
      <c r="T314" s="269">
        <f>ROUND(S314*I314,2)</f>
        <v>0</v>
      </c>
      <c r="U314" s="269">
        <f>H314-S314</f>
        <v>12.5</v>
      </c>
      <c r="V314" s="269">
        <f>ROUND(U314*I314,2)</f>
        <v>274.8</v>
      </c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BX314" s="132" t="s">
        <v>1</v>
      </c>
      <c r="BY314" s="133" t="s">
        <v>40</v>
      </c>
      <c r="CA314" s="134">
        <f>BZ314*H314</f>
        <v>0</v>
      </c>
      <c r="CB314" s="134">
        <v>0</v>
      </c>
      <c r="CC314" s="134">
        <f>CB314*H314</f>
        <v>0</v>
      </c>
      <c r="CD314" s="134">
        <v>0</v>
      </c>
      <c r="CE314" s="135">
        <f>CD314*H314</f>
        <v>0</v>
      </c>
      <c r="DC314" s="136" t="s">
        <v>95</v>
      </c>
      <c r="DE314" s="136" t="s">
        <v>284</v>
      </c>
      <c r="DF314" s="136" t="s">
        <v>83</v>
      </c>
      <c r="DJ314" s="16" t="s">
        <v>282</v>
      </c>
      <c r="DP314" s="137">
        <f>IF(BY314="základní",J314,0)</f>
        <v>274.8</v>
      </c>
      <c r="DQ314" s="137">
        <f>IF(BY314="snížená",J314,0)</f>
        <v>0</v>
      </c>
      <c r="DR314" s="137">
        <f>IF(BY314="zákl. přenesená",J314,0)</f>
        <v>0</v>
      </c>
      <c r="DS314" s="137">
        <f>IF(BY314="sníž. přenesená",J314,0)</f>
        <v>0</v>
      </c>
      <c r="DT314" s="137">
        <f>IF(BY314="nulová",J314,0)</f>
        <v>0</v>
      </c>
      <c r="DU314" s="16" t="s">
        <v>81</v>
      </c>
      <c r="DV314" s="137">
        <f>ROUND(I314*H314,2)</f>
        <v>274.8</v>
      </c>
      <c r="DW314" s="16" t="s">
        <v>95</v>
      </c>
      <c r="DX314" s="136" t="s">
        <v>1158</v>
      </c>
    </row>
    <row r="315" spans="2:128" s="1" customFormat="1" x14ac:dyDescent="0.2">
      <c r="B315" s="31"/>
      <c r="D315" s="138" t="s">
        <v>289</v>
      </c>
      <c r="F315" s="139" t="s">
        <v>779</v>
      </c>
      <c r="I315" s="140"/>
      <c r="L315" s="31"/>
      <c r="N315" s="213"/>
      <c r="O315" s="214"/>
      <c r="Q315" s="229"/>
      <c r="BX315" s="141"/>
      <c r="CE315" s="50"/>
      <c r="DE315" s="16" t="s">
        <v>289</v>
      </c>
      <c r="DF315" s="16" t="s">
        <v>83</v>
      </c>
    </row>
    <row r="316" spans="2:128" s="1" customFormat="1" ht="19.5" x14ac:dyDescent="0.2">
      <c r="B316" s="31"/>
      <c r="D316" s="138" t="s">
        <v>299</v>
      </c>
      <c r="F316" s="142" t="s">
        <v>587</v>
      </c>
      <c r="I316" s="140"/>
      <c r="L316" s="31"/>
      <c r="N316" s="213"/>
      <c r="O316" s="214"/>
      <c r="Q316" s="229"/>
      <c r="BX316" s="141"/>
      <c r="CE316" s="50"/>
      <c r="DE316" s="16" t="s">
        <v>299</v>
      </c>
      <c r="DF316" s="16" t="s">
        <v>83</v>
      </c>
    </row>
    <row r="317" spans="2:128" s="1" customFormat="1" ht="24.2" customHeight="1" x14ac:dyDescent="0.2">
      <c r="B317" s="124"/>
      <c r="C317" s="125" t="s">
        <v>521</v>
      </c>
      <c r="D317" s="125" t="s">
        <v>284</v>
      </c>
      <c r="E317" s="126" t="s">
        <v>1159</v>
      </c>
      <c r="F317" s="127" t="s">
        <v>1160</v>
      </c>
      <c r="G317" s="128" t="s">
        <v>485</v>
      </c>
      <c r="H317" s="129">
        <v>4</v>
      </c>
      <c r="I317" s="130">
        <v>3029.9958423936168</v>
      </c>
      <c r="J317" s="131">
        <f>ROUND(I317*H317,2)</f>
        <v>12119.98</v>
      </c>
      <c r="K317" s="127" t="s">
        <v>293</v>
      </c>
      <c r="L317" s="268">
        <f>S317</f>
        <v>0</v>
      </c>
      <c r="M317" s="272">
        <f>ROUND(L317*I317,2)</f>
        <v>0</v>
      </c>
      <c r="N317" s="243">
        <v>-1</v>
      </c>
      <c r="O317" s="294">
        <f>ROUND(N317*I317,2)</f>
        <v>-3030</v>
      </c>
      <c r="P317" s="273">
        <f>H317-L317-N317</f>
        <v>5</v>
      </c>
      <c r="Q317" s="287">
        <f>ROUND(P317*I317,2)</f>
        <v>15149.98</v>
      </c>
      <c r="R317" s="137"/>
      <c r="S317" s="269">
        <f>W317+Y317+AA317+AC317+AE317+AG317</f>
        <v>0</v>
      </c>
      <c r="T317" s="269">
        <f>ROUND(S317*I317,2)</f>
        <v>0</v>
      </c>
      <c r="U317" s="269">
        <f>H317-S317</f>
        <v>4</v>
      </c>
      <c r="V317" s="269">
        <f>ROUND(U317*I317,2)</f>
        <v>12119.98</v>
      </c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BX317" s="132" t="s">
        <v>1</v>
      </c>
      <c r="BY317" s="133" t="s">
        <v>40</v>
      </c>
      <c r="CA317" s="134">
        <f>BZ317*H317</f>
        <v>0</v>
      </c>
      <c r="CB317" s="134">
        <v>5.8029999999999998E-2</v>
      </c>
      <c r="CC317" s="134">
        <f>CB317*H317</f>
        <v>0.23211999999999999</v>
      </c>
      <c r="CD317" s="134">
        <v>0</v>
      </c>
      <c r="CE317" s="135">
        <f>CD317*H317</f>
        <v>0</v>
      </c>
      <c r="DC317" s="136" t="s">
        <v>95</v>
      </c>
      <c r="DE317" s="136" t="s">
        <v>284</v>
      </c>
      <c r="DF317" s="136" t="s">
        <v>83</v>
      </c>
      <c r="DJ317" s="16" t="s">
        <v>282</v>
      </c>
      <c r="DP317" s="137">
        <f>IF(BY317="základní",J317,0)</f>
        <v>12119.98</v>
      </c>
      <c r="DQ317" s="137">
        <f>IF(BY317="snížená",J317,0)</f>
        <v>0</v>
      </c>
      <c r="DR317" s="137">
        <f>IF(BY317="zákl. přenesená",J317,0)</f>
        <v>0</v>
      </c>
      <c r="DS317" s="137">
        <f>IF(BY317="sníž. přenesená",J317,0)</f>
        <v>0</v>
      </c>
      <c r="DT317" s="137">
        <f>IF(BY317="nulová",J317,0)</f>
        <v>0</v>
      </c>
      <c r="DU317" s="16" t="s">
        <v>81</v>
      </c>
      <c r="DV317" s="137">
        <f>ROUND(I317*H317,2)</f>
        <v>12119.98</v>
      </c>
      <c r="DW317" s="16" t="s">
        <v>95</v>
      </c>
      <c r="DX317" s="136" t="s">
        <v>1161</v>
      </c>
    </row>
    <row r="318" spans="2:128" s="1" customFormat="1" ht="29.25" x14ac:dyDescent="0.2">
      <c r="B318" s="31"/>
      <c r="D318" s="138" t="s">
        <v>289</v>
      </c>
      <c r="F318" s="139" t="s">
        <v>1162</v>
      </c>
      <c r="I318" s="140"/>
      <c r="L318" s="31"/>
      <c r="N318" s="213"/>
      <c r="O318" s="214"/>
      <c r="Q318" s="229"/>
      <c r="BX318" s="141"/>
      <c r="CE318" s="50"/>
      <c r="DE318" s="16" t="s">
        <v>289</v>
      </c>
      <c r="DF318" s="16" t="s">
        <v>83</v>
      </c>
    </row>
    <row r="319" spans="2:128" s="1" customFormat="1" ht="29.25" x14ac:dyDescent="0.2">
      <c r="B319" s="31"/>
      <c r="D319" s="138" t="s">
        <v>299</v>
      </c>
      <c r="F319" s="142" t="s">
        <v>1083</v>
      </c>
      <c r="I319" s="140"/>
      <c r="L319" s="31"/>
      <c r="N319" s="213"/>
      <c r="O319" s="214"/>
      <c r="Q319" s="229"/>
      <c r="BX319" s="141"/>
      <c r="CE319" s="50"/>
      <c r="DE319" s="16" t="s">
        <v>299</v>
      </c>
      <c r="DF319" s="16" t="s">
        <v>83</v>
      </c>
    </row>
    <row r="320" spans="2:128" s="12" customFormat="1" x14ac:dyDescent="0.2">
      <c r="B320" s="149"/>
      <c r="D320" s="138" t="s">
        <v>301</v>
      </c>
      <c r="E320" s="150" t="s">
        <v>1</v>
      </c>
      <c r="F320" s="151" t="s">
        <v>95</v>
      </c>
      <c r="H320" s="152">
        <v>4</v>
      </c>
      <c r="I320" s="153"/>
      <c r="L320" s="149"/>
      <c r="N320" s="217"/>
      <c r="O320" s="218"/>
      <c r="Q320" s="231"/>
      <c r="BX320" s="154"/>
      <c r="CE320" s="155"/>
      <c r="DE320" s="150" t="s">
        <v>301</v>
      </c>
      <c r="DF320" s="150" t="s">
        <v>83</v>
      </c>
      <c r="DG320" s="12" t="s">
        <v>83</v>
      </c>
      <c r="DH320" s="12" t="s">
        <v>32</v>
      </c>
      <c r="DI320" s="12" t="s">
        <v>81</v>
      </c>
      <c r="DJ320" s="150" t="s">
        <v>282</v>
      </c>
    </row>
    <row r="321" spans="2:128" s="1" customFormat="1" ht="24.2" customHeight="1" x14ac:dyDescent="0.2">
      <c r="B321" s="124"/>
      <c r="C321" s="125" t="s">
        <v>526</v>
      </c>
      <c r="D321" s="125" t="s">
        <v>284</v>
      </c>
      <c r="E321" s="126" t="s">
        <v>1163</v>
      </c>
      <c r="F321" s="127" t="s">
        <v>1164</v>
      </c>
      <c r="G321" s="128" t="s">
        <v>485</v>
      </c>
      <c r="H321" s="129">
        <v>4</v>
      </c>
      <c r="I321" s="130">
        <v>1731.8858985723084</v>
      </c>
      <c r="J321" s="131">
        <f>ROUND(I321*H321,2)</f>
        <v>6927.54</v>
      </c>
      <c r="K321" s="127" t="s">
        <v>293</v>
      </c>
      <c r="L321" s="268">
        <f>S321</f>
        <v>0</v>
      </c>
      <c r="M321" s="272">
        <f>ROUND(L321*I321,2)</f>
        <v>0</v>
      </c>
      <c r="N321" s="243">
        <v>-1</v>
      </c>
      <c r="O321" s="294">
        <f>ROUND(N321*I321,2)</f>
        <v>-1731.89</v>
      </c>
      <c r="P321" s="273">
        <f>H321-L321-N321</f>
        <v>5</v>
      </c>
      <c r="Q321" s="287">
        <f>ROUND(P321*I321,2)</f>
        <v>8659.43</v>
      </c>
      <c r="R321" s="137"/>
      <c r="S321" s="269">
        <f>W321+Y321+AA321+AC321+AE321+AG321</f>
        <v>0</v>
      </c>
      <c r="T321" s="269">
        <f>ROUND(S321*I321,2)</f>
        <v>0</v>
      </c>
      <c r="U321" s="269">
        <f>H321-S321</f>
        <v>4</v>
      </c>
      <c r="V321" s="269">
        <f>ROUND(U321*I321,2)</f>
        <v>6927.54</v>
      </c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BX321" s="132" t="s">
        <v>1</v>
      </c>
      <c r="BY321" s="133" t="s">
        <v>40</v>
      </c>
      <c r="CA321" s="134">
        <f>BZ321*H321</f>
        <v>0</v>
      </c>
      <c r="CB321" s="134">
        <v>1.136E-2</v>
      </c>
      <c r="CC321" s="134">
        <f>CB321*H321</f>
        <v>4.5440000000000001E-2</v>
      </c>
      <c r="CD321" s="134">
        <v>0</v>
      </c>
      <c r="CE321" s="135">
        <f>CD321*H321</f>
        <v>0</v>
      </c>
      <c r="DC321" s="136" t="s">
        <v>95</v>
      </c>
      <c r="DE321" s="136" t="s">
        <v>284</v>
      </c>
      <c r="DF321" s="136" t="s">
        <v>83</v>
      </c>
      <c r="DJ321" s="16" t="s">
        <v>282</v>
      </c>
      <c r="DP321" s="137">
        <f>IF(BY321="základní",J321,0)</f>
        <v>6927.54</v>
      </c>
      <c r="DQ321" s="137">
        <f>IF(BY321="snížená",J321,0)</f>
        <v>0</v>
      </c>
      <c r="DR321" s="137">
        <f>IF(BY321="zákl. přenesená",J321,0)</f>
        <v>0</v>
      </c>
      <c r="DS321" s="137">
        <f>IF(BY321="sníž. přenesená",J321,0)</f>
        <v>0</v>
      </c>
      <c r="DT321" s="137">
        <f>IF(BY321="nulová",J321,0)</f>
        <v>0</v>
      </c>
      <c r="DU321" s="16" t="s">
        <v>81</v>
      </c>
      <c r="DV321" s="137">
        <f>ROUND(I321*H321,2)</f>
        <v>6927.54</v>
      </c>
      <c r="DW321" s="16" t="s">
        <v>95</v>
      </c>
      <c r="DX321" s="136" t="s">
        <v>1165</v>
      </c>
    </row>
    <row r="322" spans="2:128" s="1" customFormat="1" ht="19.5" x14ac:dyDescent="0.2">
      <c r="B322" s="31"/>
      <c r="D322" s="138" t="s">
        <v>289</v>
      </c>
      <c r="F322" s="139" t="s">
        <v>1166</v>
      </c>
      <c r="I322" s="140"/>
      <c r="L322" s="31"/>
      <c r="N322" s="213"/>
      <c r="O322" s="214"/>
      <c r="Q322" s="229"/>
      <c r="BX322" s="141"/>
      <c r="CE322" s="50"/>
      <c r="DE322" s="16" t="s">
        <v>289</v>
      </c>
      <c r="DF322" s="16" t="s">
        <v>83</v>
      </c>
    </row>
    <row r="323" spans="2:128" s="1" customFormat="1" ht="24.2" customHeight="1" x14ac:dyDescent="0.2">
      <c r="B323" s="124"/>
      <c r="C323" s="125" t="s">
        <v>531</v>
      </c>
      <c r="D323" s="125" t="s">
        <v>284</v>
      </c>
      <c r="E323" s="126" t="s">
        <v>1167</v>
      </c>
      <c r="F323" s="127" t="s">
        <v>1168</v>
      </c>
      <c r="G323" s="128" t="s">
        <v>485</v>
      </c>
      <c r="H323" s="129">
        <v>4</v>
      </c>
      <c r="I323" s="130">
        <v>769.70783374577138</v>
      </c>
      <c r="J323" s="131">
        <f>ROUND(I323*H323,2)</f>
        <v>3078.83</v>
      </c>
      <c r="K323" s="127" t="s">
        <v>293</v>
      </c>
      <c r="L323" s="268">
        <f>S323</f>
        <v>0</v>
      </c>
      <c r="M323" s="272">
        <f>ROUND(L323*I323,2)</f>
        <v>0</v>
      </c>
      <c r="N323" s="243">
        <v>-1</v>
      </c>
      <c r="O323" s="294">
        <f>ROUND(N323*I323,2)</f>
        <v>-769.71</v>
      </c>
      <c r="P323" s="273">
        <f>H323-L323-N323</f>
        <v>5</v>
      </c>
      <c r="Q323" s="287">
        <f>ROUND(P323*I323,2)</f>
        <v>3848.54</v>
      </c>
      <c r="R323" s="137"/>
      <c r="S323" s="269">
        <f>W323+Y323+AA323+AC323+AE323+AG323</f>
        <v>0</v>
      </c>
      <c r="T323" s="269">
        <f>ROUND(S323*I323,2)</f>
        <v>0</v>
      </c>
      <c r="U323" s="269">
        <f>H323-S323</f>
        <v>4</v>
      </c>
      <c r="V323" s="269">
        <f>ROUND(U323*I323,2)</f>
        <v>3078.83</v>
      </c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BX323" s="132" t="s">
        <v>1</v>
      </c>
      <c r="BY323" s="133" t="s">
        <v>40</v>
      </c>
      <c r="CA323" s="134">
        <f>BZ323*H323</f>
        <v>0</v>
      </c>
      <c r="CB323" s="134">
        <v>6.2199999999999998E-3</v>
      </c>
      <c r="CC323" s="134">
        <f>CB323*H323</f>
        <v>2.4879999999999999E-2</v>
      </c>
      <c r="CD323" s="134">
        <v>0</v>
      </c>
      <c r="CE323" s="135">
        <f>CD323*H323</f>
        <v>0</v>
      </c>
      <c r="DC323" s="136" t="s">
        <v>95</v>
      </c>
      <c r="DE323" s="136" t="s">
        <v>284</v>
      </c>
      <c r="DF323" s="136" t="s">
        <v>83</v>
      </c>
      <c r="DJ323" s="16" t="s">
        <v>282</v>
      </c>
      <c r="DP323" s="137">
        <f>IF(BY323="základní",J323,0)</f>
        <v>3078.83</v>
      </c>
      <c r="DQ323" s="137">
        <f>IF(BY323="snížená",J323,0)</f>
        <v>0</v>
      </c>
      <c r="DR323" s="137">
        <f>IF(BY323="zákl. přenesená",J323,0)</f>
        <v>0</v>
      </c>
      <c r="DS323" s="137">
        <f>IF(BY323="sníž. přenesená",J323,0)</f>
        <v>0</v>
      </c>
      <c r="DT323" s="137">
        <f>IF(BY323="nulová",J323,0)</f>
        <v>0</v>
      </c>
      <c r="DU323" s="16" t="s">
        <v>81</v>
      </c>
      <c r="DV323" s="137">
        <f>ROUND(I323*H323,2)</f>
        <v>3078.83</v>
      </c>
      <c r="DW323" s="16" t="s">
        <v>95</v>
      </c>
      <c r="DX323" s="136" t="s">
        <v>1169</v>
      </c>
    </row>
    <row r="324" spans="2:128" s="1" customFormat="1" ht="29.25" x14ac:dyDescent="0.2">
      <c r="B324" s="31"/>
      <c r="D324" s="138" t="s">
        <v>289</v>
      </c>
      <c r="F324" s="139" t="s">
        <v>1170</v>
      </c>
      <c r="I324" s="140"/>
      <c r="L324" s="31"/>
      <c r="N324" s="213"/>
      <c r="O324" s="214"/>
      <c r="Q324" s="229"/>
      <c r="BX324" s="141"/>
      <c r="CE324" s="50"/>
      <c r="DE324" s="16" t="s">
        <v>289</v>
      </c>
      <c r="DF324" s="16" t="s">
        <v>83</v>
      </c>
    </row>
    <row r="325" spans="2:128" s="1" customFormat="1" ht="24.2" customHeight="1" x14ac:dyDescent="0.2">
      <c r="B325" s="124"/>
      <c r="C325" s="125" t="s">
        <v>536</v>
      </c>
      <c r="D325" s="125" t="s">
        <v>284</v>
      </c>
      <c r="E325" s="126" t="s">
        <v>1171</v>
      </c>
      <c r="F325" s="127" t="s">
        <v>1172</v>
      </c>
      <c r="G325" s="128" t="s">
        <v>485</v>
      </c>
      <c r="H325" s="129">
        <v>4</v>
      </c>
      <c r="I325" s="130">
        <v>809.35201412271431</v>
      </c>
      <c r="J325" s="131">
        <f>ROUND(I325*H325,2)</f>
        <v>3237.41</v>
      </c>
      <c r="K325" s="127" t="s">
        <v>293</v>
      </c>
      <c r="L325" s="268">
        <f>S325</f>
        <v>0</v>
      </c>
      <c r="M325" s="272">
        <f>ROUND(L325*I325,2)</f>
        <v>0</v>
      </c>
      <c r="N325" s="243">
        <v>-1</v>
      </c>
      <c r="O325" s="294">
        <f>ROUND(N325*I325,2)</f>
        <v>-809.35</v>
      </c>
      <c r="P325" s="273">
        <f>H325-L325-N325</f>
        <v>5</v>
      </c>
      <c r="Q325" s="287">
        <f>ROUND(P325*I325,2)</f>
        <v>4046.76</v>
      </c>
      <c r="R325" s="137"/>
      <c r="S325" s="269">
        <f>W325+Y325+AA325+AC325+AE325+AG325</f>
        <v>0</v>
      </c>
      <c r="T325" s="269">
        <f>ROUND(S325*I325,2)</f>
        <v>0</v>
      </c>
      <c r="U325" s="269">
        <f>H325-S325</f>
        <v>4</v>
      </c>
      <c r="V325" s="269">
        <f>ROUND(U325*I325,2)</f>
        <v>3237.41</v>
      </c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BX325" s="132" t="s">
        <v>1</v>
      </c>
      <c r="BY325" s="133" t="s">
        <v>40</v>
      </c>
      <c r="CA325" s="134">
        <f>BZ325*H325</f>
        <v>0</v>
      </c>
      <c r="CB325" s="134">
        <v>0</v>
      </c>
      <c r="CC325" s="134">
        <f>CB325*H325</f>
        <v>0</v>
      </c>
      <c r="CD325" s="134">
        <v>0</v>
      </c>
      <c r="CE325" s="135">
        <f>CD325*H325</f>
        <v>0</v>
      </c>
      <c r="DC325" s="136" t="s">
        <v>95</v>
      </c>
      <c r="DE325" s="136" t="s">
        <v>284</v>
      </c>
      <c r="DF325" s="136" t="s">
        <v>83</v>
      </c>
      <c r="DJ325" s="16" t="s">
        <v>282</v>
      </c>
      <c r="DP325" s="137">
        <f>IF(BY325="základní",J325,0)</f>
        <v>3237.41</v>
      </c>
      <c r="DQ325" s="137">
        <f>IF(BY325="snížená",J325,0)</f>
        <v>0</v>
      </c>
      <c r="DR325" s="137">
        <f>IF(BY325="zákl. přenesená",J325,0)</f>
        <v>0</v>
      </c>
      <c r="DS325" s="137">
        <f>IF(BY325="sníž. přenesená",J325,0)</f>
        <v>0</v>
      </c>
      <c r="DT325" s="137">
        <f>IF(BY325="nulová",J325,0)</f>
        <v>0</v>
      </c>
      <c r="DU325" s="16" t="s">
        <v>81</v>
      </c>
      <c r="DV325" s="137">
        <f>ROUND(I325*H325,2)</f>
        <v>3237.41</v>
      </c>
      <c r="DW325" s="16" t="s">
        <v>95</v>
      </c>
      <c r="DX325" s="136" t="s">
        <v>1173</v>
      </c>
    </row>
    <row r="326" spans="2:128" s="1" customFormat="1" ht="29.25" x14ac:dyDescent="0.2">
      <c r="B326" s="31"/>
      <c r="D326" s="138" t="s">
        <v>289</v>
      </c>
      <c r="F326" s="139" t="s">
        <v>1174</v>
      </c>
      <c r="I326" s="140"/>
      <c r="L326" s="31"/>
      <c r="N326" s="213"/>
      <c r="O326" s="214"/>
      <c r="Q326" s="229"/>
      <c r="BX326" s="141"/>
      <c r="CE326" s="50"/>
      <c r="DE326" s="16" t="s">
        <v>289</v>
      </c>
      <c r="DF326" s="16" t="s">
        <v>83</v>
      </c>
    </row>
    <row r="327" spans="2:128" s="1" customFormat="1" ht="24.2" customHeight="1" x14ac:dyDescent="0.2">
      <c r="B327" s="124"/>
      <c r="C327" s="125" t="s">
        <v>543</v>
      </c>
      <c r="D327" s="125" t="s">
        <v>284</v>
      </c>
      <c r="E327" s="126" t="s">
        <v>1175</v>
      </c>
      <c r="F327" s="127" t="s">
        <v>1176</v>
      </c>
      <c r="G327" s="128" t="s">
        <v>485</v>
      </c>
      <c r="H327" s="129">
        <v>4</v>
      </c>
      <c r="I327" s="130">
        <v>3446.6463092111458</v>
      </c>
      <c r="J327" s="131">
        <f>ROUND(I327*H327,2)</f>
        <v>13786.59</v>
      </c>
      <c r="K327" s="127" t="s">
        <v>293</v>
      </c>
      <c r="L327" s="268">
        <f>S327</f>
        <v>0</v>
      </c>
      <c r="M327" s="272">
        <f>ROUND(L327*I327,2)</f>
        <v>0</v>
      </c>
      <c r="N327" s="243">
        <v>-1</v>
      </c>
      <c r="O327" s="294">
        <f>ROUND(N327*I327,2)</f>
        <v>-3446.65</v>
      </c>
      <c r="P327" s="273">
        <f>H327-L327-N327</f>
        <v>5</v>
      </c>
      <c r="Q327" s="287">
        <f>ROUND(P327*I327,2)</f>
        <v>17233.23</v>
      </c>
      <c r="R327" s="137"/>
      <c r="S327" s="269">
        <f>W327+Y327+AA327+AC327+AE327+AG327</f>
        <v>0</v>
      </c>
      <c r="T327" s="269">
        <f>ROUND(S327*I327,2)</f>
        <v>0</v>
      </c>
      <c r="U327" s="269">
        <f>H327-S327</f>
        <v>4</v>
      </c>
      <c r="V327" s="269">
        <f>ROUND(U327*I327,2)</f>
        <v>13786.59</v>
      </c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BX327" s="132" t="s">
        <v>1</v>
      </c>
      <c r="BY327" s="133" t="s">
        <v>40</v>
      </c>
      <c r="CA327" s="134">
        <f>BZ327*H327</f>
        <v>0</v>
      </c>
      <c r="CB327" s="134">
        <v>5.4539999999999998E-2</v>
      </c>
      <c r="CC327" s="134">
        <f>CB327*H327</f>
        <v>0.21815999999999999</v>
      </c>
      <c r="CD327" s="134">
        <v>0</v>
      </c>
      <c r="CE327" s="135">
        <f>CD327*H327</f>
        <v>0</v>
      </c>
      <c r="DC327" s="136" t="s">
        <v>95</v>
      </c>
      <c r="DE327" s="136" t="s">
        <v>284</v>
      </c>
      <c r="DF327" s="136" t="s">
        <v>83</v>
      </c>
      <c r="DJ327" s="16" t="s">
        <v>282</v>
      </c>
      <c r="DP327" s="137">
        <f>IF(BY327="základní",J327,0)</f>
        <v>13786.59</v>
      </c>
      <c r="DQ327" s="137">
        <f>IF(BY327="snížená",J327,0)</f>
        <v>0</v>
      </c>
      <c r="DR327" s="137">
        <f>IF(BY327="zákl. přenesená",J327,0)</f>
        <v>0</v>
      </c>
      <c r="DS327" s="137">
        <f>IF(BY327="sníž. přenesená",J327,0)</f>
        <v>0</v>
      </c>
      <c r="DT327" s="137">
        <f>IF(BY327="nulová",J327,0)</f>
        <v>0</v>
      </c>
      <c r="DU327" s="16" t="s">
        <v>81</v>
      </c>
      <c r="DV327" s="137">
        <f>ROUND(I327*H327,2)</f>
        <v>13786.59</v>
      </c>
      <c r="DW327" s="16" t="s">
        <v>95</v>
      </c>
      <c r="DX327" s="136" t="s">
        <v>1177</v>
      </c>
    </row>
    <row r="328" spans="2:128" s="1" customFormat="1" ht="29.25" x14ac:dyDescent="0.2">
      <c r="B328" s="31"/>
      <c r="D328" s="138" t="s">
        <v>289</v>
      </c>
      <c r="F328" s="139" t="s">
        <v>1178</v>
      </c>
      <c r="I328" s="140"/>
      <c r="L328" s="31"/>
      <c r="N328" s="213"/>
      <c r="O328" s="214"/>
      <c r="Q328" s="229"/>
      <c r="BX328" s="141"/>
      <c r="CE328" s="50"/>
      <c r="DE328" s="16" t="s">
        <v>289</v>
      </c>
      <c r="DF328" s="16" t="s">
        <v>83</v>
      </c>
    </row>
    <row r="329" spans="2:128" s="10" customFormat="1" ht="22.9" customHeight="1" x14ac:dyDescent="0.2">
      <c r="B329" s="112"/>
      <c r="D329" s="113" t="s">
        <v>73</v>
      </c>
      <c r="E329" s="122" t="s">
        <v>695</v>
      </c>
      <c r="F329" s="122" t="s">
        <v>696</v>
      </c>
      <c r="I329" s="115"/>
      <c r="J329" s="123">
        <f>DV329</f>
        <v>6307.46</v>
      </c>
      <c r="L329" s="112"/>
      <c r="M329" s="270">
        <f>SUM(M330:M346)</f>
        <v>0</v>
      </c>
      <c r="N329" s="301"/>
      <c r="O329" s="302">
        <f t="shared" ref="O329:V329" si="7">SUM(O330:O346)</f>
        <v>-1356.1</v>
      </c>
      <c r="P329" s="270"/>
      <c r="Q329" s="288">
        <f t="shared" si="7"/>
        <v>7663.57</v>
      </c>
      <c r="R329" s="270"/>
      <c r="S329" s="270"/>
      <c r="T329" s="270">
        <f t="shared" si="7"/>
        <v>0</v>
      </c>
      <c r="U329" s="270"/>
      <c r="V329" s="270">
        <f t="shared" si="7"/>
        <v>6307.46</v>
      </c>
      <c r="BX329" s="117"/>
      <c r="CA329" s="118">
        <f>SUM(CA330:CA348)</f>
        <v>0</v>
      </c>
      <c r="CC329" s="118">
        <f>SUM(CC330:CC348)</f>
        <v>0</v>
      </c>
      <c r="CE329" s="119">
        <f>SUM(CE330:CE348)</f>
        <v>0</v>
      </c>
      <c r="DC329" s="113" t="s">
        <v>81</v>
      </c>
      <c r="DE329" s="120" t="s">
        <v>73</v>
      </c>
      <c r="DF329" s="120" t="s">
        <v>81</v>
      </c>
      <c r="DJ329" s="113" t="s">
        <v>282</v>
      </c>
      <c r="DV329" s="121">
        <f>SUM(DV330:DV348)</f>
        <v>6307.46</v>
      </c>
    </row>
    <row r="330" spans="2:128" s="1" customFormat="1" ht="14.45" customHeight="1" x14ac:dyDescent="0.2">
      <c r="B330" s="124"/>
      <c r="C330" s="125" t="s">
        <v>548</v>
      </c>
      <c r="D330" s="125" t="s">
        <v>284</v>
      </c>
      <c r="E330" s="126" t="s">
        <v>698</v>
      </c>
      <c r="F330" s="127" t="s">
        <v>699</v>
      </c>
      <c r="G330" s="128" t="s">
        <v>418</v>
      </c>
      <c r="H330" s="129">
        <v>14.153</v>
      </c>
      <c r="I330" s="130">
        <v>40.477390926043419</v>
      </c>
      <c r="J330" s="131">
        <f>ROUND(I330*H330,2)</f>
        <v>572.88</v>
      </c>
      <c r="K330" s="127" t="s">
        <v>293</v>
      </c>
      <c r="L330" s="268">
        <f>S330</f>
        <v>0</v>
      </c>
      <c r="M330" s="272">
        <f>ROUND(L330*I330,2)</f>
        <v>0</v>
      </c>
      <c r="N330" s="243">
        <f>N332</f>
        <v>-3.0428949999999997</v>
      </c>
      <c r="O330" s="294">
        <f>ROUND(N330*I330,2)</f>
        <v>-123.17</v>
      </c>
      <c r="P330" s="273">
        <f>H330-L330-N330</f>
        <v>17.195895</v>
      </c>
      <c r="Q330" s="287">
        <f>ROUND(P330*I330,2)</f>
        <v>696.04</v>
      </c>
      <c r="R330" s="137"/>
      <c r="S330" s="269">
        <f>W330+Y330+AA330+AC330+AE330+AG330</f>
        <v>0</v>
      </c>
      <c r="T330" s="269">
        <f>ROUND(S330*I330,2)</f>
        <v>0</v>
      </c>
      <c r="U330" s="269">
        <f>H330-S330</f>
        <v>14.153</v>
      </c>
      <c r="V330" s="269">
        <f>ROUND(U330*I330,2)</f>
        <v>572.88</v>
      </c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BX330" s="132" t="s">
        <v>1</v>
      </c>
      <c r="BY330" s="133" t="s">
        <v>40</v>
      </c>
      <c r="CA330" s="134">
        <f>BZ330*H330</f>
        <v>0</v>
      </c>
      <c r="CB330" s="134">
        <v>0</v>
      </c>
      <c r="CC330" s="134">
        <f>CB330*H330</f>
        <v>0</v>
      </c>
      <c r="CD330" s="134">
        <v>0</v>
      </c>
      <c r="CE330" s="135">
        <f>CD330*H330</f>
        <v>0</v>
      </c>
      <c r="DC330" s="136" t="s">
        <v>95</v>
      </c>
      <c r="DE330" s="136" t="s">
        <v>284</v>
      </c>
      <c r="DF330" s="136" t="s">
        <v>83</v>
      </c>
      <c r="DJ330" s="16" t="s">
        <v>282</v>
      </c>
      <c r="DP330" s="137">
        <f>IF(BY330="základní",J330,0)</f>
        <v>572.88</v>
      </c>
      <c r="DQ330" s="137">
        <f>IF(BY330="snížená",J330,0)</f>
        <v>0</v>
      </c>
      <c r="DR330" s="137">
        <f>IF(BY330="zákl. přenesená",J330,0)</f>
        <v>0</v>
      </c>
      <c r="DS330" s="137">
        <f>IF(BY330="sníž. přenesená",J330,0)</f>
        <v>0</v>
      </c>
      <c r="DT330" s="137">
        <f>IF(BY330="nulová",J330,0)</f>
        <v>0</v>
      </c>
      <c r="DU330" s="16" t="s">
        <v>81</v>
      </c>
      <c r="DV330" s="137">
        <f>ROUND(I330*H330,2)</f>
        <v>572.88</v>
      </c>
      <c r="DW330" s="16" t="s">
        <v>95</v>
      </c>
      <c r="DX330" s="136" t="s">
        <v>700</v>
      </c>
    </row>
    <row r="331" spans="2:128" s="1" customFormat="1" ht="19.5" x14ac:dyDescent="0.2">
      <c r="B331" s="31"/>
      <c r="D331" s="138" t="s">
        <v>289</v>
      </c>
      <c r="F331" s="139" t="s">
        <v>701</v>
      </c>
      <c r="I331" s="140"/>
      <c r="L331" s="31"/>
      <c r="N331" s="213">
        <f>0.785*14.153</f>
        <v>11.110105000000001</v>
      </c>
      <c r="O331" s="214" t="s">
        <v>3913</v>
      </c>
      <c r="Q331" s="229"/>
      <c r="BX331" s="141"/>
      <c r="CE331" s="50"/>
      <c r="DE331" s="16" t="s">
        <v>289</v>
      </c>
      <c r="DF331" s="16" t="s">
        <v>83</v>
      </c>
    </row>
    <row r="332" spans="2:128" s="12" customFormat="1" x14ac:dyDescent="0.2">
      <c r="B332" s="149"/>
      <c r="D332" s="138" t="s">
        <v>301</v>
      </c>
      <c r="E332" s="150" t="s">
        <v>1</v>
      </c>
      <c r="F332" s="151" t="s">
        <v>1421</v>
      </c>
      <c r="H332" s="152">
        <v>13.05</v>
      </c>
      <c r="I332" s="153"/>
      <c r="L332" s="149"/>
      <c r="N332" s="310">
        <f>N331-H334</f>
        <v>-3.0428949999999997</v>
      </c>
      <c r="O332" s="218"/>
      <c r="Q332" s="231"/>
      <c r="BX332" s="154"/>
      <c r="CE332" s="155"/>
      <c r="DE332" s="150" t="s">
        <v>301</v>
      </c>
      <c r="DF332" s="150" t="s">
        <v>83</v>
      </c>
      <c r="DG332" s="12" t="s">
        <v>83</v>
      </c>
      <c r="DH332" s="12" t="s">
        <v>32</v>
      </c>
      <c r="DI332" s="12" t="s">
        <v>74</v>
      </c>
      <c r="DJ332" s="150" t="s">
        <v>282</v>
      </c>
    </row>
    <row r="333" spans="2:128" s="12" customFormat="1" x14ac:dyDescent="0.2">
      <c r="B333" s="149"/>
      <c r="D333" s="138" t="s">
        <v>301</v>
      </c>
      <c r="E333" s="150" t="s">
        <v>1</v>
      </c>
      <c r="F333" s="151" t="s">
        <v>1422</v>
      </c>
      <c r="H333" s="152">
        <v>1.103</v>
      </c>
      <c r="I333" s="153"/>
      <c r="L333" s="149"/>
      <c r="N333" s="217"/>
      <c r="O333" s="218"/>
      <c r="Q333" s="231"/>
      <c r="BX333" s="154"/>
      <c r="CE333" s="155"/>
      <c r="DE333" s="150" t="s">
        <v>301</v>
      </c>
      <c r="DF333" s="150" t="s">
        <v>83</v>
      </c>
      <c r="DG333" s="12" t="s">
        <v>83</v>
      </c>
      <c r="DH333" s="12" t="s">
        <v>32</v>
      </c>
      <c r="DI333" s="12" t="s">
        <v>74</v>
      </c>
      <c r="DJ333" s="150" t="s">
        <v>282</v>
      </c>
    </row>
    <row r="334" spans="2:128" s="13" customFormat="1" x14ac:dyDescent="0.2">
      <c r="B334" s="156"/>
      <c r="D334" s="138" t="s">
        <v>301</v>
      </c>
      <c r="E334" s="157" t="s">
        <v>1</v>
      </c>
      <c r="F334" s="158" t="s">
        <v>305</v>
      </c>
      <c r="H334" s="159">
        <v>14.153</v>
      </c>
      <c r="I334" s="160"/>
      <c r="L334" s="156"/>
      <c r="N334" s="219"/>
      <c r="O334" s="220"/>
      <c r="Q334" s="232"/>
      <c r="BX334" s="161"/>
      <c r="CE334" s="162"/>
      <c r="DE334" s="157" t="s">
        <v>301</v>
      </c>
      <c r="DF334" s="157" t="s">
        <v>83</v>
      </c>
      <c r="DG334" s="13" t="s">
        <v>95</v>
      </c>
      <c r="DH334" s="13" t="s">
        <v>32</v>
      </c>
      <c r="DI334" s="13" t="s">
        <v>81</v>
      </c>
      <c r="DJ334" s="157" t="s">
        <v>282</v>
      </c>
    </row>
    <row r="335" spans="2:128" s="1" customFormat="1" ht="24.2" customHeight="1" x14ac:dyDescent="0.2">
      <c r="B335" s="124"/>
      <c r="C335" s="125" t="s">
        <v>556</v>
      </c>
      <c r="D335" s="125" t="s">
        <v>284</v>
      </c>
      <c r="E335" s="126" t="s">
        <v>705</v>
      </c>
      <c r="F335" s="127" t="s">
        <v>706</v>
      </c>
      <c r="G335" s="128" t="s">
        <v>418</v>
      </c>
      <c r="H335" s="129">
        <v>198.142</v>
      </c>
      <c r="I335" s="130">
        <v>9.119234097539211</v>
      </c>
      <c r="J335" s="131">
        <f>ROUND(I335*H335,2)</f>
        <v>1806.9</v>
      </c>
      <c r="K335" s="127" t="s">
        <v>293</v>
      </c>
      <c r="L335" s="268">
        <f>S335</f>
        <v>0</v>
      </c>
      <c r="M335" s="272">
        <f>ROUND(L335*I335,2)</f>
        <v>0</v>
      </c>
      <c r="N335" s="243">
        <f>N337</f>
        <v>-42.600529999999992</v>
      </c>
      <c r="O335" s="294">
        <f>ROUND(N335*I335,2)</f>
        <v>-388.48</v>
      </c>
      <c r="P335" s="273">
        <f>H335-L335-N335</f>
        <v>240.74252999999999</v>
      </c>
      <c r="Q335" s="287">
        <f>ROUND(P335*I335,2)</f>
        <v>2195.39</v>
      </c>
      <c r="R335" s="137"/>
      <c r="S335" s="269">
        <f>W335+Y335+AA335+AC335+AE335+AG335</f>
        <v>0</v>
      </c>
      <c r="T335" s="269">
        <f>ROUND(S335*I335,2)</f>
        <v>0</v>
      </c>
      <c r="U335" s="269">
        <f>H335-S335</f>
        <v>198.142</v>
      </c>
      <c r="V335" s="269">
        <f>ROUND(U335*I335,2)</f>
        <v>1806.9</v>
      </c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BX335" s="132" t="s">
        <v>1</v>
      </c>
      <c r="BY335" s="133" t="s">
        <v>40</v>
      </c>
      <c r="CA335" s="134">
        <f>BZ335*H335</f>
        <v>0</v>
      </c>
      <c r="CB335" s="134">
        <v>0</v>
      </c>
      <c r="CC335" s="134">
        <f>CB335*H335</f>
        <v>0</v>
      </c>
      <c r="CD335" s="134">
        <v>0</v>
      </c>
      <c r="CE335" s="135">
        <f>CD335*H335</f>
        <v>0</v>
      </c>
      <c r="DC335" s="136" t="s">
        <v>95</v>
      </c>
      <c r="DE335" s="136" t="s">
        <v>284</v>
      </c>
      <c r="DF335" s="136" t="s">
        <v>83</v>
      </c>
      <c r="DJ335" s="16" t="s">
        <v>282</v>
      </c>
      <c r="DP335" s="137">
        <f>IF(BY335="základní",J335,0)</f>
        <v>1806.9</v>
      </c>
      <c r="DQ335" s="137">
        <f>IF(BY335="snížená",J335,0)</f>
        <v>0</v>
      </c>
      <c r="DR335" s="137">
        <f>IF(BY335="zákl. přenesená",J335,0)</f>
        <v>0</v>
      </c>
      <c r="DS335" s="137">
        <f>IF(BY335="sníž. přenesená",J335,0)</f>
        <v>0</v>
      </c>
      <c r="DT335" s="137">
        <f>IF(BY335="nulová",J335,0)</f>
        <v>0</v>
      </c>
      <c r="DU335" s="16" t="s">
        <v>81</v>
      </c>
      <c r="DV335" s="137">
        <f>ROUND(I335*H335,2)</f>
        <v>1806.9</v>
      </c>
      <c r="DW335" s="16" t="s">
        <v>95</v>
      </c>
      <c r="DX335" s="136" t="s">
        <v>707</v>
      </c>
    </row>
    <row r="336" spans="2:128" s="1" customFormat="1" ht="29.25" x14ac:dyDescent="0.2">
      <c r="B336" s="31"/>
      <c r="D336" s="138" t="s">
        <v>289</v>
      </c>
      <c r="F336" s="139" t="s">
        <v>708</v>
      </c>
      <c r="I336" s="140"/>
      <c r="L336" s="31"/>
      <c r="N336" s="213">
        <f>0.785*198.142</f>
        <v>155.54147</v>
      </c>
      <c r="O336" s="214" t="s">
        <v>3914</v>
      </c>
      <c r="Q336" s="229"/>
      <c r="BX336" s="141"/>
      <c r="CE336" s="50"/>
      <c r="DE336" s="16" t="s">
        <v>289</v>
      </c>
      <c r="DF336" s="16" t="s">
        <v>83</v>
      </c>
    </row>
    <row r="337" spans="2:128" s="12" customFormat="1" x14ac:dyDescent="0.2">
      <c r="B337" s="149"/>
      <c r="D337" s="138" t="s">
        <v>301</v>
      </c>
      <c r="E337" s="150" t="s">
        <v>1</v>
      </c>
      <c r="F337" s="151" t="s">
        <v>1421</v>
      </c>
      <c r="H337" s="152">
        <v>13.05</v>
      </c>
      <c r="I337" s="153"/>
      <c r="L337" s="149"/>
      <c r="N337" s="310">
        <f>N336-H340</f>
        <v>-42.600529999999992</v>
      </c>
      <c r="O337" s="218"/>
      <c r="Q337" s="231"/>
      <c r="BX337" s="154"/>
      <c r="CE337" s="155"/>
      <c r="DE337" s="150" t="s">
        <v>301</v>
      </c>
      <c r="DF337" s="150" t="s">
        <v>83</v>
      </c>
      <c r="DG337" s="12" t="s">
        <v>83</v>
      </c>
      <c r="DH337" s="12" t="s">
        <v>32</v>
      </c>
      <c r="DI337" s="12" t="s">
        <v>74</v>
      </c>
      <c r="DJ337" s="150" t="s">
        <v>282</v>
      </c>
    </row>
    <row r="338" spans="2:128" s="12" customFormat="1" x14ac:dyDescent="0.2">
      <c r="B338" s="149"/>
      <c r="D338" s="138" t="s">
        <v>301</v>
      </c>
      <c r="E338" s="150" t="s">
        <v>1</v>
      </c>
      <c r="F338" s="151" t="s">
        <v>1422</v>
      </c>
      <c r="H338" s="152">
        <v>1.103</v>
      </c>
      <c r="I338" s="153"/>
      <c r="L338" s="149"/>
      <c r="N338" s="217"/>
      <c r="O338" s="218"/>
      <c r="Q338" s="231"/>
      <c r="BX338" s="154"/>
      <c r="CE338" s="155"/>
      <c r="DE338" s="150" t="s">
        <v>301</v>
      </c>
      <c r="DF338" s="150" t="s">
        <v>83</v>
      </c>
      <c r="DG338" s="12" t="s">
        <v>83</v>
      </c>
      <c r="DH338" s="12" t="s">
        <v>32</v>
      </c>
      <c r="DI338" s="12" t="s">
        <v>74</v>
      </c>
      <c r="DJ338" s="150" t="s">
        <v>282</v>
      </c>
    </row>
    <row r="339" spans="2:128" s="13" customFormat="1" x14ac:dyDescent="0.2">
      <c r="B339" s="156"/>
      <c r="D339" s="138" t="s">
        <v>301</v>
      </c>
      <c r="E339" s="157" t="s">
        <v>1</v>
      </c>
      <c r="F339" s="158" t="s">
        <v>305</v>
      </c>
      <c r="H339" s="159">
        <v>14.153</v>
      </c>
      <c r="I339" s="160"/>
      <c r="L339" s="156"/>
      <c r="N339" s="219"/>
      <c r="O339" s="220"/>
      <c r="Q339" s="232"/>
      <c r="BX339" s="161"/>
      <c r="CE339" s="162"/>
      <c r="DE339" s="157" t="s">
        <v>301</v>
      </c>
      <c r="DF339" s="157" t="s">
        <v>83</v>
      </c>
      <c r="DG339" s="13" t="s">
        <v>95</v>
      </c>
      <c r="DH339" s="13" t="s">
        <v>32</v>
      </c>
      <c r="DI339" s="13" t="s">
        <v>81</v>
      </c>
      <c r="DJ339" s="157" t="s">
        <v>282</v>
      </c>
    </row>
    <row r="340" spans="2:128" s="12" customFormat="1" x14ac:dyDescent="0.2">
      <c r="B340" s="149"/>
      <c r="D340" s="138" t="s">
        <v>301</v>
      </c>
      <c r="F340" s="151" t="s">
        <v>1423</v>
      </c>
      <c r="H340" s="152">
        <v>198.142</v>
      </c>
      <c r="I340" s="153"/>
      <c r="L340" s="149"/>
      <c r="N340" s="217"/>
      <c r="O340" s="218"/>
      <c r="Q340" s="231"/>
      <c r="BX340" s="154"/>
      <c r="CE340" s="155"/>
      <c r="DE340" s="150" t="s">
        <v>301</v>
      </c>
      <c r="DF340" s="150" t="s">
        <v>83</v>
      </c>
      <c r="DG340" s="12" t="s">
        <v>83</v>
      </c>
      <c r="DH340" s="12" t="s">
        <v>3</v>
      </c>
      <c r="DI340" s="12" t="s">
        <v>81</v>
      </c>
      <c r="DJ340" s="150" t="s">
        <v>282</v>
      </c>
    </row>
    <row r="341" spans="2:128" s="1" customFormat="1" ht="24.2" customHeight="1" x14ac:dyDescent="0.2">
      <c r="B341" s="124"/>
      <c r="C341" s="125" t="s">
        <v>562</v>
      </c>
      <c r="D341" s="125" t="s">
        <v>284</v>
      </c>
      <c r="E341" s="126" t="s">
        <v>711</v>
      </c>
      <c r="F341" s="127" t="s">
        <v>712</v>
      </c>
      <c r="G341" s="128" t="s">
        <v>418</v>
      </c>
      <c r="H341" s="129">
        <v>14.153</v>
      </c>
      <c r="I341" s="130">
        <v>155.98322812074767</v>
      </c>
      <c r="J341" s="131">
        <f>ROUND(I341*H341,2)</f>
        <v>2207.63</v>
      </c>
      <c r="K341" s="127" t="s">
        <v>293</v>
      </c>
      <c r="L341" s="268">
        <f>S341</f>
        <v>0</v>
      </c>
      <c r="M341" s="272">
        <f>ROUND(L341*I341,2)</f>
        <v>0</v>
      </c>
      <c r="N341" s="243">
        <f>N330</f>
        <v>-3.0428949999999997</v>
      </c>
      <c r="O341" s="294">
        <f>ROUND(N341*I341,2)</f>
        <v>-474.64</v>
      </c>
      <c r="P341" s="273">
        <f>H341-L341-N341</f>
        <v>17.195895</v>
      </c>
      <c r="Q341" s="287">
        <f>ROUND(P341*I341,2)</f>
        <v>2682.27</v>
      </c>
      <c r="R341" s="137"/>
      <c r="S341" s="269">
        <f>W341+Y341+AA341+AC341+AE341+AG341</f>
        <v>0</v>
      </c>
      <c r="T341" s="269">
        <f>ROUND(S341*I341,2)</f>
        <v>0</v>
      </c>
      <c r="U341" s="269">
        <f>H341-S341</f>
        <v>14.153</v>
      </c>
      <c r="V341" s="269">
        <f>ROUND(U341*I341,2)</f>
        <v>2207.63</v>
      </c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BX341" s="132" t="s">
        <v>1</v>
      </c>
      <c r="BY341" s="133" t="s">
        <v>40</v>
      </c>
      <c r="CA341" s="134">
        <f>BZ341*H341</f>
        <v>0</v>
      </c>
      <c r="CB341" s="134">
        <v>0</v>
      </c>
      <c r="CC341" s="134">
        <f>CB341*H341</f>
        <v>0</v>
      </c>
      <c r="CD341" s="134">
        <v>0</v>
      </c>
      <c r="CE341" s="135">
        <f>CD341*H341</f>
        <v>0</v>
      </c>
      <c r="DC341" s="136" t="s">
        <v>95</v>
      </c>
      <c r="DE341" s="136" t="s">
        <v>284</v>
      </c>
      <c r="DF341" s="136" t="s">
        <v>83</v>
      </c>
      <c r="DJ341" s="16" t="s">
        <v>282</v>
      </c>
      <c r="DP341" s="137">
        <f>IF(BY341="základní",J341,0)</f>
        <v>2207.63</v>
      </c>
      <c r="DQ341" s="137">
        <f>IF(BY341="snížená",J341,0)</f>
        <v>0</v>
      </c>
      <c r="DR341" s="137">
        <f>IF(BY341="zákl. přenesená",J341,0)</f>
        <v>0</v>
      </c>
      <c r="DS341" s="137">
        <f>IF(BY341="sníž. přenesená",J341,0)</f>
        <v>0</v>
      </c>
      <c r="DT341" s="137">
        <f>IF(BY341="nulová",J341,0)</f>
        <v>0</v>
      </c>
      <c r="DU341" s="16" t="s">
        <v>81</v>
      </c>
      <c r="DV341" s="137">
        <f>ROUND(I341*H341,2)</f>
        <v>2207.63</v>
      </c>
      <c r="DW341" s="16" t="s">
        <v>95</v>
      </c>
      <c r="DX341" s="136" t="s">
        <v>713</v>
      </c>
    </row>
    <row r="342" spans="2:128" s="1" customFormat="1" x14ac:dyDescent="0.2">
      <c r="B342" s="31"/>
      <c r="D342" s="138" t="s">
        <v>289</v>
      </c>
      <c r="F342" s="139" t="s">
        <v>714</v>
      </c>
      <c r="I342" s="140"/>
      <c r="L342" s="31"/>
      <c r="N342" s="213"/>
      <c r="O342" s="214"/>
      <c r="Q342" s="229"/>
      <c r="BX342" s="141"/>
      <c r="CE342" s="50"/>
      <c r="DE342" s="16" t="s">
        <v>289</v>
      </c>
      <c r="DF342" s="16" t="s">
        <v>83</v>
      </c>
    </row>
    <row r="343" spans="2:128" s="1" customFormat="1" ht="37.9" customHeight="1" x14ac:dyDescent="0.2">
      <c r="B343" s="124"/>
      <c r="C343" s="125" t="s">
        <v>568</v>
      </c>
      <c r="D343" s="125" t="s">
        <v>284</v>
      </c>
      <c r="E343" s="126" t="s">
        <v>716</v>
      </c>
      <c r="F343" s="127" t="s">
        <v>420</v>
      </c>
      <c r="G343" s="128" t="s">
        <v>418</v>
      </c>
      <c r="H343" s="129">
        <v>13.05</v>
      </c>
      <c r="I343" s="130">
        <v>110.6455721</v>
      </c>
      <c r="J343" s="131">
        <f>ROUND(I343*H343,2)</f>
        <v>1443.92</v>
      </c>
      <c r="K343" s="127" t="s">
        <v>293</v>
      </c>
      <c r="L343" s="268">
        <f>S343</f>
        <v>0</v>
      </c>
      <c r="M343" s="272">
        <f>ROUND(L343*I343,2)</f>
        <v>0</v>
      </c>
      <c r="N343" s="243">
        <f>N345</f>
        <v>-2.8057499999999997</v>
      </c>
      <c r="O343" s="294">
        <f>ROUND(N343*I343,2)</f>
        <v>-310.44</v>
      </c>
      <c r="P343" s="273">
        <f>H343-L343-N343</f>
        <v>15.85575</v>
      </c>
      <c r="Q343" s="287">
        <f>ROUND(P343*I343,2)</f>
        <v>1754.37</v>
      </c>
      <c r="R343" s="137"/>
      <c r="S343" s="269">
        <f>W343+Y343+AA343+AC343+AE343+AG343</f>
        <v>0</v>
      </c>
      <c r="T343" s="269">
        <f>ROUND(S343*I343,2)</f>
        <v>0</v>
      </c>
      <c r="U343" s="269">
        <f>H343-S343</f>
        <v>13.05</v>
      </c>
      <c r="V343" s="269">
        <f>ROUND(U343*I343,2)</f>
        <v>1443.92</v>
      </c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BX343" s="132" t="s">
        <v>1</v>
      </c>
      <c r="BY343" s="133" t="s">
        <v>40</v>
      </c>
      <c r="CA343" s="134">
        <f>BZ343*H343</f>
        <v>0</v>
      </c>
      <c r="CB343" s="134">
        <v>0</v>
      </c>
      <c r="CC343" s="134">
        <f>CB343*H343</f>
        <v>0</v>
      </c>
      <c r="CD343" s="134">
        <v>0</v>
      </c>
      <c r="CE343" s="135">
        <f>CD343*H343</f>
        <v>0</v>
      </c>
      <c r="DC343" s="136" t="s">
        <v>95</v>
      </c>
      <c r="DE343" s="136" t="s">
        <v>284</v>
      </c>
      <c r="DF343" s="136" t="s">
        <v>83</v>
      </c>
      <c r="DJ343" s="16" t="s">
        <v>282</v>
      </c>
      <c r="DP343" s="137">
        <f>IF(BY343="základní",J343,0)</f>
        <v>1443.92</v>
      </c>
      <c r="DQ343" s="137">
        <f>IF(BY343="snížená",J343,0)</f>
        <v>0</v>
      </c>
      <c r="DR343" s="137">
        <f>IF(BY343="zákl. přenesená",J343,0)</f>
        <v>0</v>
      </c>
      <c r="DS343" s="137">
        <f>IF(BY343="sníž. přenesená",J343,0)</f>
        <v>0</v>
      </c>
      <c r="DT343" s="137">
        <f>IF(BY343="nulová",J343,0)</f>
        <v>0</v>
      </c>
      <c r="DU343" s="16" t="s">
        <v>81</v>
      </c>
      <c r="DV343" s="137">
        <f>ROUND(I343*H343,2)</f>
        <v>1443.92</v>
      </c>
      <c r="DW343" s="16" t="s">
        <v>95</v>
      </c>
      <c r="DX343" s="136" t="s">
        <v>717</v>
      </c>
    </row>
    <row r="344" spans="2:128" s="1" customFormat="1" ht="29.25" x14ac:dyDescent="0.2">
      <c r="B344" s="31"/>
      <c r="D344" s="138" t="s">
        <v>289</v>
      </c>
      <c r="F344" s="139" t="s">
        <v>420</v>
      </c>
      <c r="I344" s="140"/>
      <c r="L344" s="31"/>
      <c r="N344" s="213">
        <f>0.785*13.05</f>
        <v>10.244250000000001</v>
      </c>
      <c r="O344" s="214" t="s">
        <v>3915</v>
      </c>
      <c r="Q344" s="229"/>
      <c r="BX344" s="141"/>
      <c r="CE344" s="50"/>
      <c r="DE344" s="16" t="s">
        <v>289</v>
      </c>
      <c r="DF344" s="16" t="s">
        <v>83</v>
      </c>
    </row>
    <row r="345" spans="2:128" s="12" customFormat="1" x14ac:dyDescent="0.2">
      <c r="B345" s="149"/>
      <c r="D345" s="138" t="s">
        <v>301</v>
      </c>
      <c r="E345" s="150" t="s">
        <v>1</v>
      </c>
      <c r="F345" s="151" t="s">
        <v>1421</v>
      </c>
      <c r="H345" s="152">
        <v>13.05</v>
      </c>
      <c r="I345" s="153"/>
      <c r="L345" s="149"/>
      <c r="N345" s="310">
        <f>N344-H345</f>
        <v>-2.8057499999999997</v>
      </c>
      <c r="O345" s="218"/>
      <c r="Q345" s="231"/>
      <c r="BX345" s="154"/>
      <c r="CE345" s="155"/>
      <c r="DE345" s="150" t="s">
        <v>301</v>
      </c>
      <c r="DF345" s="150" t="s">
        <v>83</v>
      </c>
      <c r="DG345" s="12" t="s">
        <v>83</v>
      </c>
      <c r="DH345" s="12" t="s">
        <v>32</v>
      </c>
      <c r="DI345" s="12" t="s">
        <v>81</v>
      </c>
      <c r="DJ345" s="150" t="s">
        <v>282</v>
      </c>
    </row>
    <row r="346" spans="2:128" s="1" customFormat="1" ht="37.9" customHeight="1" x14ac:dyDescent="0.2">
      <c r="B346" s="124"/>
      <c r="C346" s="125" t="s">
        <v>572</v>
      </c>
      <c r="D346" s="125" t="s">
        <v>284</v>
      </c>
      <c r="E346" s="126" t="s">
        <v>719</v>
      </c>
      <c r="F346" s="127" t="s">
        <v>720</v>
      </c>
      <c r="G346" s="128" t="s">
        <v>418</v>
      </c>
      <c r="H346" s="129">
        <v>1.103</v>
      </c>
      <c r="I346" s="130">
        <v>250.3439285</v>
      </c>
      <c r="J346" s="131">
        <f>ROUND(I346*H346,2)</f>
        <v>276.13</v>
      </c>
      <c r="K346" s="127" t="s">
        <v>293</v>
      </c>
      <c r="L346" s="268">
        <f>S346</f>
        <v>0</v>
      </c>
      <c r="M346" s="272">
        <f>ROUND(L346*I346,2)</f>
        <v>0</v>
      </c>
      <c r="N346" s="243">
        <f>N348</f>
        <v>-0.23714499999999994</v>
      </c>
      <c r="O346" s="294">
        <f>ROUND(N346*I346,2)</f>
        <v>-59.37</v>
      </c>
      <c r="P346" s="273">
        <f>H346-L346-N346</f>
        <v>1.3401449999999999</v>
      </c>
      <c r="Q346" s="287">
        <f>ROUND(P346*I346,2)</f>
        <v>335.5</v>
      </c>
      <c r="R346" s="137"/>
      <c r="S346" s="269">
        <f>W346+Y346+AA346+AC346+AE346+AG346</f>
        <v>0</v>
      </c>
      <c r="T346" s="269">
        <f>ROUND(S346*I346,2)</f>
        <v>0</v>
      </c>
      <c r="U346" s="269">
        <f>H346-S346</f>
        <v>1.103</v>
      </c>
      <c r="V346" s="269">
        <f>ROUND(U346*I346,2)</f>
        <v>276.13</v>
      </c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BX346" s="132" t="s">
        <v>1</v>
      </c>
      <c r="BY346" s="133" t="s">
        <v>40</v>
      </c>
      <c r="CA346" s="134">
        <f>BZ346*H346</f>
        <v>0</v>
      </c>
      <c r="CB346" s="134">
        <v>0</v>
      </c>
      <c r="CC346" s="134">
        <f>CB346*H346</f>
        <v>0</v>
      </c>
      <c r="CD346" s="134">
        <v>0</v>
      </c>
      <c r="CE346" s="135">
        <f>CD346*H346</f>
        <v>0</v>
      </c>
      <c r="DC346" s="136" t="s">
        <v>95</v>
      </c>
      <c r="DE346" s="136" t="s">
        <v>284</v>
      </c>
      <c r="DF346" s="136" t="s">
        <v>83</v>
      </c>
      <c r="DJ346" s="16" t="s">
        <v>282</v>
      </c>
      <c r="DP346" s="137">
        <f>IF(BY346="základní",J346,0)</f>
        <v>276.13</v>
      </c>
      <c r="DQ346" s="137">
        <f>IF(BY346="snížená",J346,0)</f>
        <v>0</v>
      </c>
      <c r="DR346" s="137">
        <f>IF(BY346="zákl. přenesená",J346,0)</f>
        <v>0</v>
      </c>
      <c r="DS346" s="137">
        <f>IF(BY346="sníž. přenesená",J346,0)</f>
        <v>0</v>
      </c>
      <c r="DT346" s="137">
        <f>IF(BY346="nulová",J346,0)</f>
        <v>0</v>
      </c>
      <c r="DU346" s="16" t="s">
        <v>81</v>
      </c>
      <c r="DV346" s="137">
        <f>ROUND(I346*H346,2)</f>
        <v>276.13</v>
      </c>
      <c r="DW346" s="16" t="s">
        <v>95</v>
      </c>
      <c r="DX346" s="136" t="s">
        <v>721</v>
      </c>
    </row>
    <row r="347" spans="2:128" s="1" customFormat="1" ht="29.25" x14ac:dyDescent="0.2">
      <c r="B347" s="31"/>
      <c r="D347" s="138" t="s">
        <v>289</v>
      </c>
      <c r="F347" s="139" t="s">
        <v>720</v>
      </c>
      <c r="I347" s="140"/>
      <c r="L347" s="31"/>
      <c r="N347" s="213">
        <f>0.785*1.103</f>
        <v>0.86585500000000004</v>
      </c>
      <c r="O347" s="214" t="s">
        <v>3916</v>
      </c>
      <c r="Q347" s="229"/>
      <c r="BX347" s="141"/>
      <c r="CE347" s="50"/>
      <c r="DE347" s="16" t="s">
        <v>289</v>
      </c>
      <c r="DF347" s="16" t="s">
        <v>83</v>
      </c>
    </row>
    <row r="348" spans="2:128" s="12" customFormat="1" x14ac:dyDescent="0.2">
      <c r="B348" s="149"/>
      <c r="D348" s="138" t="s">
        <v>301</v>
      </c>
      <c r="E348" s="150" t="s">
        <v>1</v>
      </c>
      <c r="F348" s="151" t="s">
        <v>1422</v>
      </c>
      <c r="H348" s="152">
        <v>1.103</v>
      </c>
      <c r="I348" s="153"/>
      <c r="L348" s="149"/>
      <c r="N348" s="310">
        <f>N347-H348</f>
        <v>-0.23714499999999994</v>
      </c>
      <c r="O348" s="218"/>
      <c r="Q348" s="231"/>
      <c r="BX348" s="154"/>
      <c r="CE348" s="155"/>
      <c r="DE348" s="150" t="s">
        <v>301</v>
      </c>
      <c r="DF348" s="150" t="s">
        <v>83</v>
      </c>
      <c r="DG348" s="12" t="s">
        <v>83</v>
      </c>
      <c r="DH348" s="12" t="s">
        <v>32</v>
      </c>
      <c r="DI348" s="12" t="s">
        <v>81</v>
      </c>
      <c r="DJ348" s="150" t="s">
        <v>282</v>
      </c>
    </row>
    <row r="349" spans="2:128" s="10" customFormat="1" ht="22.9" customHeight="1" x14ac:dyDescent="0.2">
      <c r="B349" s="112"/>
      <c r="D349" s="113" t="s">
        <v>73</v>
      </c>
      <c r="E349" s="122" t="s">
        <v>722</v>
      </c>
      <c r="F349" s="122" t="s">
        <v>723</v>
      </c>
      <c r="I349" s="115"/>
      <c r="J349" s="123">
        <f>DV349</f>
        <v>2870.87</v>
      </c>
      <c r="L349" s="112"/>
      <c r="M349" s="270">
        <f>M350</f>
        <v>0</v>
      </c>
      <c r="N349" s="301"/>
      <c r="O349" s="302">
        <f t="shared" ref="O349:V349" si="8">O350</f>
        <v>-617.24</v>
      </c>
      <c r="P349" s="270"/>
      <c r="Q349" s="288">
        <f t="shared" si="8"/>
        <v>3488.11</v>
      </c>
      <c r="R349" s="270"/>
      <c r="S349" s="270"/>
      <c r="T349" s="270">
        <f t="shared" si="8"/>
        <v>0</v>
      </c>
      <c r="U349" s="270"/>
      <c r="V349" s="270">
        <f t="shared" si="8"/>
        <v>2870.87</v>
      </c>
      <c r="BX349" s="117"/>
      <c r="CA349" s="118">
        <f>SUM(CA350:CA353)</f>
        <v>0</v>
      </c>
      <c r="CC349" s="118">
        <f>SUM(CC350:CC353)</f>
        <v>0</v>
      </c>
      <c r="CE349" s="119">
        <f>SUM(CE350:CE353)</f>
        <v>0</v>
      </c>
      <c r="DC349" s="113" t="s">
        <v>81</v>
      </c>
      <c r="DE349" s="120" t="s">
        <v>73</v>
      </c>
      <c r="DF349" s="120" t="s">
        <v>81</v>
      </c>
      <c r="DJ349" s="113" t="s">
        <v>282</v>
      </c>
      <c r="DV349" s="121">
        <f>SUM(DV350:DV353)</f>
        <v>2870.87</v>
      </c>
    </row>
    <row r="350" spans="2:128" s="1" customFormat="1" ht="24.2" customHeight="1" x14ac:dyDescent="0.2">
      <c r="B350" s="124"/>
      <c r="C350" s="125" t="s">
        <v>576</v>
      </c>
      <c r="D350" s="125" t="s">
        <v>284</v>
      </c>
      <c r="E350" s="126" t="s">
        <v>725</v>
      </c>
      <c r="F350" s="127" t="s">
        <v>726</v>
      </c>
      <c r="G350" s="128" t="s">
        <v>418</v>
      </c>
      <c r="H350" s="129">
        <v>3.173</v>
      </c>
      <c r="I350" s="130">
        <v>904.78117744148574</v>
      </c>
      <c r="J350" s="131">
        <f>ROUND(I350*H350,2)</f>
        <v>2870.87</v>
      </c>
      <c r="K350" s="127" t="s">
        <v>293</v>
      </c>
      <c r="L350" s="268">
        <f>S350</f>
        <v>0</v>
      </c>
      <c r="M350" s="272">
        <f>ROUND(L350*I350,2)</f>
        <v>0</v>
      </c>
      <c r="N350" s="243">
        <f>N352</f>
        <v>-0.68219500000000011</v>
      </c>
      <c r="O350" s="294">
        <f>ROUND(N350*I350,2)</f>
        <v>-617.24</v>
      </c>
      <c r="P350" s="273">
        <f>H350-L350-N350</f>
        <v>3.8551950000000001</v>
      </c>
      <c r="Q350" s="287">
        <f>ROUND(P350*I350,2)</f>
        <v>3488.11</v>
      </c>
      <c r="R350" s="137"/>
      <c r="S350" s="269">
        <f>W350+Y350+AA350+AC350+AE350+AG350</f>
        <v>0</v>
      </c>
      <c r="T350" s="269">
        <f>ROUND(S350*I350,2)</f>
        <v>0</v>
      </c>
      <c r="U350" s="269">
        <f>H350-S350</f>
        <v>3.173</v>
      </c>
      <c r="V350" s="269">
        <f>ROUND(U350*I350,2)</f>
        <v>2870.87</v>
      </c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BX350" s="132" t="s">
        <v>1</v>
      </c>
      <c r="BY350" s="133" t="s">
        <v>40</v>
      </c>
      <c r="CA350" s="134">
        <f>BZ350*H350</f>
        <v>0</v>
      </c>
      <c r="CB350" s="134">
        <v>0</v>
      </c>
      <c r="CC350" s="134">
        <f>CB350*H350</f>
        <v>0</v>
      </c>
      <c r="CD350" s="134">
        <v>0</v>
      </c>
      <c r="CE350" s="135">
        <f>CD350*H350</f>
        <v>0</v>
      </c>
      <c r="DC350" s="136" t="s">
        <v>95</v>
      </c>
      <c r="DE350" s="136" t="s">
        <v>284</v>
      </c>
      <c r="DF350" s="136" t="s">
        <v>83</v>
      </c>
      <c r="DJ350" s="16" t="s">
        <v>282</v>
      </c>
      <c r="DP350" s="137">
        <f>IF(BY350="základní",J350,0)</f>
        <v>2870.87</v>
      </c>
      <c r="DQ350" s="137">
        <f>IF(BY350="snížená",J350,0)</f>
        <v>0</v>
      </c>
      <c r="DR350" s="137">
        <f>IF(BY350="zákl. přenesená",J350,0)</f>
        <v>0</v>
      </c>
      <c r="DS350" s="137">
        <f>IF(BY350="sníž. přenesená",J350,0)</f>
        <v>0</v>
      </c>
      <c r="DT350" s="137">
        <f>IF(BY350="nulová",J350,0)</f>
        <v>0</v>
      </c>
      <c r="DU350" s="16" t="s">
        <v>81</v>
      </c>
      <c r="DV350" s="137">
        <f>ROUND(I350*H350,2)</f>
        <v>2870.87</v>
      </c>
      <c r="DW350" s="16" t="s">
        <v>95</v>
      </c>
      <c r="DX350" s="136" t="s">
        <v>1044</v>
      </c>
    </row>
    <row r="351" spans="2:128" s="1" customFormat="1" ht="29.25" x14ac:dyDescent="0.2">
      <c r="B351" s="31"/>
      <c r="D351" s="138" t="s">
        <v>289</v>
      </c>
      <c r="F351" s="139" t="s">
        <v>728</v>
      </c>
      <c r="I351" s="140"/>
      <c r="L351" s="31"/>
      <c r="N351" s="213">
        <f>0.785*3.173</f>
        <v>2.4908049999999999</v>
      </c>
      <c r="O351" s="214" t="s">
        <v>3917</v>
      </c>
      <c r="Q351" s="229"/>
      <c r="BX351" s="141"/>
      <c r="CE351" s="50"/>
      <c r="DE351" s="16" t="s">
        <v>289</v>
      </c>
      <c r="DF351" s="16" t="s">
        <v>83</v>
      </c>
    </row>
    <row r="352" spans="2:128" s="11" customFormat="1" x14ac:dyDescent="0.2">
      <c r="B352" s="143"/>
      <c r="D352" s="138" t="s">
        <v>301</v>
      </c>
      <c r="E352" s="144" t="s">
        <v>1</v>
      </c>
      <c r="F352" s="145" t="s">
        <v>729</v>
      </c>
      <c r="H352" s="144" t="s">
        <v>1</v>
      </c>
      <c r="I352" s="146"/>
      <c r="L352" s="143"/>
      <c r="N352" s="319">
        <f>N351-H353</f>
        <v>-0.68219500000000011</v>
      </c>
      <c r="O352" s="216"/>
      <c r="Q352" s="230"/>
      <c r="BX352" s="147"/>
      <c r="CE352" s="148"/>
      <c r="DE352" s="144" t="s">
        <v>301</v>
      </c>
      <c r="DF352" s="144" t="s">
        <v>83</v>
      </c>
      <c r="DG352" s="11" t="s">
        <v>81</v>
      </c>
      <c r="DH352" s="11" t="s">
        <v>32</v>
      </c>
      <c r="DI352" s="11" t="s">
        <v>74</v>
      </c>
      <c r="DJ352" s="144" t="s">
        <v>282</v>
      </c>
    </row>
    <row r="353" spans="2:114" s="12" customFormat="1" x14ac:dyDescent="0.2">
      <c r="B353" s="149"/>
      <c r="D353" s="138" t="s">
        <v>301</v>
      </c>
      <c r="E353" s="150" t="s">
        <v>1</v>
      </c>
      <c r="F353" s="151" t="s">
        <v>1424</v>
      </c>
      <c r="H353" s="152">
        <v>3.173</v>
      </c>
      <c r="I353" s="153"/>
      <c r="L353" s="149"/>
      <c r="N353" s="217"/>
      <c r="O353" s="218"/>
      <c r="Q353" s="231"/>
      <c r="BX353" s="179"/>
      <c r="BY353" s="180"/>
      <c r="BZ353" s="180"/>
      <c r="CA353" s="180"/>
      <c r="CB353" s="180"/>
      <c r="CC353" s="180"/>
      <c r="CD353" s="180"/>
      <c r="CE353" s="181"/>
      <c r="DE353" s="150" t="s">
        <v>301</v>
      </c>
      <c r="DF353" s="150" t="s">
        <v>83</v>
      </c>
      <c r="DG353" s="12" t="s">
        <v>83</v>
      </c>
      <c r="DH353" s="12" t="s">
        <v>32</v>
      </c>
      <c r="DI353" s="12" t="s">
        <v>81</v>
      </c>
      <c r="DJ353" s="150" t="s">
        <v>282</v>
      </c>
    </row>
    <row r="354" spans="2:114" s="1" customFormat="1" ht="6.95" customHeight="1" thickBot="1" x14ac:dyDescent="0.25">
      <c r="B354" s="43"/>
      <c r="C354" s="44"/>
      <c r="D354" s="44"/>
      <c r="E354" s="44"/>
      <c r="F354" s="44"/>
      <c r="G354" s="44"/>
      <c r="H354" s="44"/>
      <c r="I354" s="44"/>
      <c r="J354" s="44"/>
      <c r="K354" s="44"/>
      <c r="L354" s="235"/>
      <c r="M354" s="237"/>
      <c r="N354" s="239"/>
      <c r="O354" s="240"/>
      <c r="P354" s="238"/>
      <c r="Q354" s="241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</row>
  </sheetData>
  <autoFilter ref="C120:K353"/>
  <mergeCells count="25">
    <mergeCell ref="AE121:AF121"/>
    <mergeCell ref="AG121:AH121"/>
    <mergeCell ref="U121:V121"/>
    <mergeCell ref="W121:X121"/>
    <mergeCell ref="Y121:Z121"/>
    <mergeCell ref="AA121:AB121"/>
    <mergeCell ref="AC121:AD121"/>
    <mergeCell ref="L120:Q120"/>
    <mergeCell ref="L121:M121"/>
    <mergeCell ref="N121:O121"/>
    <mergeCell ref="P121:Q121"/>
    <mergeCell ref="S121:T121"/>
    <mergeCell ref="G119:K119"/>
    <mergeCell ref="E116:H116"/>
    <mergeCell ref="L2:CG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EG526"/>
  <sheetViews>
    <sheetView windowProtection="1" showGridLines="0" topLeftCell="A119" zoomScale="85" zoomScaleNormal="85" workbookViewId="0">
      <selection activeCell="P119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3" customWidth="1"/>
    <col min="13" max="13" width="17.33203125" customWidth="1"/>
    <col min="14" max="14" width="11.83203125" customWidth="1"/>
    <col min="15" max="15" width="17.1640625" customWidth="1"/>
    <col min="16" max="16" width="12.6640625" hidden="1" customWidth="1"/>
    <col min="17" max="17" width="19.83203125" hidden="1" customWidth="1"/>
    <col min="18" max="18" width="20.5" customWidth="1"/>
    <col min="19" max="19" width="15" customWidth="1"/>
    <col min="20" max="20" width="14.33203125" customWidth="1"/>
    <col min="21" max="21" width="14.83203125" customWidth="1"/>
    <col min="22" max="22" width="13.6640625" customWidth="1"/>
    <col min="23" max="23" width="14.83203125" customWidth="1"/>
    <col min="24" max="24" width="14.5" customWidth="1"/>
    <col min="25" max="25" width="16.1640625" customWidth="1"/>
    <col min="26" max="26" width="14.83203125" customWidth="1"/>
    <col min="27" max="27" width="13.6640625" customWidth="1"/>
    <col min="28" max="28" width="15.1640625" customWidth="1"/>
    <col min="29" max="30" width="15.5" customWidth="1"/>
    <col min="31" max="31" width="14.83203125" customWidth="1"/>
    <col min="32" max="32" width="15.5" customWidth="1"/>
    <col min="33" max="33" width="15.33203125" customWidth="1"/>
    <col min="34" max="34" width="12.6640625" customWidth="1"/>
    <col min="35" max="35" width="14.5" customWidth="1"/>
    <col min="36" max="36" width="14" customWidth="1"/>
    <col min="37" max="37" width="15" customWidth="1"/>
    <col min="38" max="39" width="13.83203125" customWidth="1"/>
    <col min="40" max="40" width="12.5" customWidth="1"/>
    <col min="41" max="41" width="13.83203125" customWidth="1"/>
    <col min="42" max="42" width="13.6640625" customWidth="1"/>
    <col min="43" max="43" width="12" customWidth="1"/>
    <col min="44" max="44" width="14.33203125" customWidth="1"/>
    <col min="45" max="45" width="14.5" customWidth="1"/>
    <col min="46" max="46" width="12.83203125" customWidth="1"/>
    <col min="47" max="47" width="12.6640625" customWidth="1"/>
    <col min="48" max="48" width="13.5" customWidth="1"/>
    <col min="49" max="50" width="13.83203125" customWidth="1"/>
    <col min="51" max="78" width="20.5" customWidth="1"/>
    <col min="79" max="79" width="21.33203125" customWidth="1"/>
    <col min="80" max="80" width="21" customWidth="1"/>
    <col min="81" max="81" width="20.33203125" customWidth="1"/>
    <col min="82" max="82" width="21.1640625" customWidth="1"/>
    <col min="83" max="83" width="17.5" customWidth="1"/>
    <col min="84" max="84" width="18" customWidth="1"/>
    <col min="85" max="85" width="10.83203125" hidden="1" customWidth="1"/>
    <col min="86" max="86" width="0" hidden="1" customWidth="1"/>
    <col min="87" max="92" width="14.1640625" hidden="1" customWidth="1"/>
    <col min="93" max="93" width="16.33203125" customWidth="1"/>
    <col min="94" max="94" width="12.33203125" customWidth="1"/>
    <col min="95" max="95" width="16.33203125" customWidth="1"/>
    <col min="96" max="96" width="12.33203125" customWidth="1"/>
    <col min="97" max="97" width="15" customWidth="1"/>
    <col min="98" max="98" width="11" customWidth="1"/>
    <col min="99" max="99" width="15" customWidth="1"/>
    <col min="100" max="100" width="16.33203125" customWidth="1"/>
    <col min="101" max="101" width="11" customWidth="1"/>
    <col min="102" max="102" width="15" customWidth="1"/>
    <col min="103" max="103" width="16.33203125" customWidth="1"/>
    <col min="116" max="137" width="9.33203125" hidden="1"/>
  </cols>
  <sheetData>
    <row r="1" spans="2:118" hidden="1" x14ac:dyDescent="0.2"/>
    <row r="2" spans="2:118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DN2" s="16" t="s">
        <v>136</v>
      </c>
    </row>
    <row r="3" spans="2:118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N3" s="16" t="s">
        <v>83</v>
      </c>
    </row>
    <row r="4" spans="2:118" ht="24.95" hidden="1" customHeight="1" x14ac:dyDescent="0.2">
      <c r="B4" s="19"/>
      <c r="D4" s="20" t="s">
        <v>243</v>
      </c>
      <c r="L4" s="19"/>
      <c r="CG4" s="79" t="s">
        <v>10</v>
      </c>
      <c r="DN4" s="16" t="s">
        <v>3</v>
      </c>
    </row>
    <row r="5" spans="2:118" ht="6.95" hidden="1" customHeight="1" x14ac:dyDescent="0.2">
      <c r="B5" s="19"/>
      <c r="L5" s="19"/>
    </row>
    <row r="6" spans="2:118" ht="12" hidden="1" customHeight="1" x14ac:dyDescent="0.2">
      <c r="B6" s="19"/>
      <c r="D6" s="26" t="s">
        <v>16</v>
      </c>
      <c r="L6" s="19"/>
    </row>
    <row r="7" spans="2:118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18" ht="12.75" hidden="1" x14ac:dyDescent="0.2">
      <c r="B8" s="19"/>
      <c r="D8" s="26" t="s">
        <v>244</v>
      </c>
      <c r="L8" s="19"/>
    </row>
    <row r="9" spans="2:118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18" ht="12" hidden="1" customHeight="1" x14ac:dyDescent="0.2">
      <c r="B10" s="19"/>
      <c r="D10" s="26" t="s">
        <v>246</v>
      </c>
      <c r="L10" s="19"/>
    </row>
    <row r="11" spans="2:118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18" s="1" customFormat="1" ht="12" hidden="1" customHeight="1" x14ac:dyDescent="0.2">
      <c r="B12" s="31"/>
      <c r="D12" s="26" t="s">
        <v>248</v>
      </c>
      <c r="L12" s="31"/>
    </row>
    <row r="13" spans="2:118" s="1" customFormat="1" ht="16.5" hidden="1" customHeight="1" x14ac:dyDescent="0.2">
      <c r="B13" s="31"/>
      <c r="E13" s="432" t="s">
        <v>1425</v>
      </c>
      <c r="F13" s="433"/>
      <c r="G13" s="433"/>
      <c r="H13" s="433"/>
      <c r="L13" s="31"/>
    </row>
    <row r="14" spans="2:118" s="1" customFormat="1" hidden="1" x14ac:dyDescent="0.2">
      <c r="B14" s="31"/>
      <c r="L14" s="31"/>
    </row>
    <row r="15" spans="2:118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18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ROUND(J125, 2)</f>
        <v>25825576.879999999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ROUND((SUM(DY125:DY525)),  2)</f>
        <v>25825576.879999999</v>
      </c>
      <c r="I37" s="84">
        <v>0.21</v>
      </c>
      <c r="J37" s="71">
        <f>ROUND(((SUM(DY125:DY525))*I37),  2)</f>
        <v>5423371.1399999997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ROUND((SUM(DZ125:DZ525)),  2)</f>
        <v>0</v>
      </c>
      <c r="I38" s="84">
        <v>0.15</v>
      </c>
      <c r="J38" s="71">
        <f>ROUND(((SUM(DZ125:DZ525))*I38),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ROUND((SUM(EA125:EA525)),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ROUND((SUM(EB125:EB525)),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ROUND((SUM(EC125:EC525)),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31248948.02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00001 - DSO 01.3a Stoka D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9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9" s="1" customFormat="1" ht="10.35" hidden="1" customHeight="1" x14ac:dyDescent="0.2">
      <c r="B98" s="31"/>
      <c r="L98" s="31"/>
    </row>
    <row r="99" spans="2:119" s="1" customFormat="1" ht="22.9" hidden="1" customHeight="1" x14ac:dyDescent="0.2">
      <c r="B99" s="31"/>
      <c r="C99" s="95" t="s">
        <v>256</v>
      </c>
      <c r="J99" s="58">
        <f>J125</f>
        <v>25825576.879999999</v>
      </c>
      <c r="L99" s="31"/>
      <c r="DO99" s="16" t="s">
        <v>257</v>
      </c>
    </row>
    <row r="100" spans="2:119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J126</f>
        <v>25825576.879999999</v>
      </c>
      <c r="L100" s="96"/>
    </row>
    <row r="101" spans="2:119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J128</f>
        <v>15551546.079999998</v>
      </c>
      <c r="L101" s="100"/>
    </row>
    <row r="102" spans="2:119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J283</f>
        <v>440730.02</v>
      </c>
      <c r="L102" s="100"/>
    </row>
    <row r="103" spans="2:119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J288</f>
        <v>347666.07</v>
      </c>
      <c r="L103" s="100"/>
    </row>
    <row r="104" spans="2:119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J333</f>
        <v>4183157.83</v>
      </c>
      <c r="L104" s="100"/>
    </row>
    <row r="105" spans="2:119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J352</f>
        <v>3331663.1400000011</v>
      </c>
      <c r="L105" s="100"/>
    </row>
    <row r="106" spans="2:119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J490</f>
        <v>103246.17</v>
      </c>
      <c r="L106" s="100"/>
    </row>
    <row r="107" spans="2:119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J501</f>
        <v>1284063.3299999998</v>
      </c>
      <c r="L107" s="100"/>
    </row>
    <row r="108" spans="2:119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J521</f>
        <v>583504.24</v>
      </c>
      <c r="L108" s="100"/>
    </row>
    <row r="109" spans="2:119" s="1" customFormat="1" ht="21.75" hidden="1" customHeight="1" x14ac:dyDescent="0.2">
      <c r="B109" s="31"/>
      <c r="L109" s="31"/>
    </row>
    <row r="110" spans="2:119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19" hidden="1" x14ac:dyDescent="0.2"/>
    <row r="112" spans="2:119" hidden="1" x14ac:dyDescent="0.2"/>
    <row r="114" spans="2:135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35" s="1" customFormat="1" ht="24.95" customHeight="1" x14ac:dyDescent="0.2">
      <c r="B115" s="31"/>
      <c r="C115" s="20" t="s">
        <v>3330</v>
      </c>
      <c r="L115" s="31"/>
    </row>
    <row r="116" spans="2:135" s="1" customFormat="1" ht="6.95" customHeight="1" x14ac:dyDescent="0.2">
      <c r="B116" s="31"/>
      <c r="L116" s="31"/>
    </row>
    <row r="117" spans="2:135" s="1" customFormat="1" ht="16.5" customHeight="1" x14ac:dyDescent="0.2">
      <c r="B117" s="31"/>
      <c r="E117" s="432" t="str">
        <f>E13</f>
        <v>00001 - DSO 01.3a Stoka D</v>
      </c>
      <c r="F117" s="433"/>
      <c r="G117" s="433"/>
      <c r="H117" s="433"/>
      <c r="L117" s="31"/>
    </row>
    <row r="118" spans="2:135" s="1" customFormat="1" ht="6.95" customHeight="1" x14ac:dyDescent="0.2">
      <c r="B118" s="31"/>
      <c r="L118" s="31"/>
    </row>
    <row r="119" spans="2:135" s="1" customFormat="1" ht="12" customHeight="1" x14ac:dyDescent="0.2">
      <c r="B119" s="31"/>
      <c r="C119" s="26"/>
      <c r="F119" s="24"/>
      <c r="I119" s="26"/>
      <c r="J119" s="48"/>
      <c r="L119" s="31"/>
    </row>
    <row r="120" spans="2:135" s="1" customFormat="1" ht="6.95" customHeight="1" x14ac:dyDescent="0.2">
      <c r="B120" s="31"/>
      <c r="L120" s="31"/>
    </row>
    <row r="121" spans="2:135" s="1" customFormat="1" ht="40.15" customHeight="1" x14ac:dyDescent="0.2">
      <c r="B121" s="31"/>
      <c r="C121" s="26"/>
      <c r="F121" s="24"/>
      <c r="I121" s="26"/>
      <c r="J121" s="29"/>
      <c r="L121" s="31"/>
    </row>
    <row r="122" spans="2:135" s="1" customFormat="1" ht="15.2" customHeight="1" x14ac:dyDescent="0.2">
      <c r="B122" s="31"/>
      <c r="C122" s="26"/>
      <c r="F122" s="24"/>
      <c r="I122" s="26"/>
      <c r="J122" s="29"/>
      <c r="L122" s="31"/>
    </row>
    <row r="123" spans="2:135" s="1" customFormat="1" ht="18.75" customHeight="1" x14ac:dyDescent="0.2">
      <c r="B123" s="31"/>
      <c r="H123" s="430" t="s">
        <v>3329</v>
      </c>
      <c r="I123" s="430"/>
      <c r="J123" s="430"/>
      <c r="K123" s="431"/>
      <c r="L123" s="31"/>
    </row>
    <row r="124" spans="2:135" s="9" customFormat="1" ht="29.25" customHeight="1" thickBot="1" x14ac:dyDescent="0.25">
      <c r="B124" s="104"/>
      <c r="C124" s="105" t="s">
        <v>268</v>
      </c>
      <c r="D124" s="106" t="s">
        <v>59</v>
      </c>
      <c r="E124" s="106" t="s">
        <v>55</v>
      </c>
      <c r="F124" s="106" t="s">
        <v>56</v>
      </c>
      <c r="G124" s="106" t="s">
        <v>269</v>
      </c>
      <c r="H124" s="106" t="s">
        <v>270</v>
      </c>
      <c r="I124" s="106" t="s">
        <v>271</v>
      </c>
      <c r="J124" s="106" t="s">
        <v>255</v>
      </c>
      <c r="K124" s="107" t="s">
        <v>272</v>
      </c>
      <c r="L124" s="437" t="s">
        <v>3307</v>
      </c>
      <c r="M124" s="438"/>
      <c r="N124" s="438"/>
      <c r="O124" s="438"/>
      <c r="P124" s="438"/>
      <c r="Q124" s="439"/>
      <c r="CG124" s="52" t="s">
        <v>1</v>
      </c>
      <c r="CH124" s="53" t="s">
        <v>39</v>
      </c>
      <c r="CI124" s="53" t="s">
        <v>273</v>
      </c>
      <c r="CJ124" s="53" t="s">
        <v>274</v>
      </c>
      <c r="CK124" s="53" t="s">
        <v>275</v>
      </c>
      <c r="CL124" s="53" t="s">
        <v>276</v>
      </c>
      <c r="CM124" s="53" t="s">
        <v>277</v>
      </c>
      <c r="CN124" s="54" t="s">
        <v>278</v>
      </c>
    </row>
    <row r="125" spans="2:135" s="1" customFormat="1" ht="22.9" customHeight="1" x14ac:dyDescent="0.25">
      <c r="B125" s="31"/>
      <c r="C125" s="57" t="s">
        <v>279</v>
      </c>
      <c r="G125" s="1" t="s">
        <v>3306</v>
      </c>
      <c r="J125" s="108">
        <f>EE125</f>
        <v>25825576.879999999</v>
      </c>
      <c r="L125" s="440" t="s">
        <v>3308</v>
      </c>
      <c r="M125" s="441"/>
      <c r="N125" s="440" t="s">
        <v>3377</v>
      </c>
      <c r="O125" s="441"/>
      <c r="P125" s="440" t="s">
        <v>3309</v>
      </c>
      <c r="Q125" s="441"/>
      <c r="S125" s="442" t="s">
        <v>3312</v>
      </c>
      <c r="T125" s="443"/>
      <c r="U125" s="443" t="s">
        <v>3313</v>
      </c>
      <c r="V125" s="443"/>
      <c r="W125" s="444" t="s">
        <v>3314</v>
      </c>
      <c r="X125" s="444"/>
      <c r="Y125" s="444" t="s">
        <v>3315</v>
      </c>
      <c r="Z125" s="444"/>
      <c r="AA125" s="444" t="s">
        <v>3316</v>
      </c>
      <c r="AB125" s="444"/>
      <c r="AC125" s="444" t="s">
        <v>3317</v>
      </c>
      <c r="AD125" s="444"/>
      <c r="AE125" s="444" t="s">
        <v>3318</v>
      </c>
      <c r="AF125" s="444"/>
      <c r="AG125" s="444" t="s">
        <v>3319</v>
      </c>
      <c r="AH125" s="444"/>
      <c r="AI125" s="444" t="s">
        <v>3320</v>
      </c>
      <c r="AJ125" s="444"/>
      <c r="AK125" s="444" t="s">
        <v>3321</v>
      </c>
      <c r="AL125" s="444"/>
      <c r="AM125" s="444" t="s">
        <v>3322</v>
      </c>
      <c r="AN125" s="444"/>
      <c r="AO125" s="444" t="s">
        <v>3323</v>
      </c>
      <c r="AP125" s="444"/>
      <c r="AQ125" s="444" t="s">
        <v>3324</v>
      </c>
      <c r="AR125" s="444"/>
      <c r="AS125" s="444" t="s">
        <v>3325</v>
      </c>
      <c r="AT125" s="444"/>
      <c r="AU125" s="444" t="s">
        <v>3326</v>
      </c>
      <c r="AV125" s="444"/>
      <c r="AW125" s="444" t="s">
        <v>3327</v>
      </c>
      <c r="AX125" s="445"/>
      <c r="CG125" s="55"/>
      <c r="CH125" s="49"/>
      <c r="CI125" s="49"/>
      <c r="CJ125" s="109">
        <f>CJ126</f>
        <v>0</v>
      </c>
      <c r="CK125" s="49"/>
      <c r="CL125" s="109">
        <f>CL126</f>
        <v>12499.467446099998</v>
      </c>
      <c r="CM125" s="49"/>
      <c r="CN125" s="110">
        <f>CN126</f>
        <v>3277.0348599999998</v>
      </c>
      <c r="DN125" s="16" t="s">
        <v>73</v>
      </c>
      <c r="DO125" s="16" t="s">
        <v>257</v>
      </c>
      <c r="EE125" s="111">
        <f>EE126</f>
        <v>25825576.879999999</v>
      </c>
    </row>
    <row r="126" spans="2:135" s="10" customFormat="1" ht="25.9" customHeight="1" thickBot="1" x14ac:dyDescent="0.25">
      <c r="B126" s="112"/>
      <c r="D126" s="113" t="s">
        <v>73</v>
      </c>
      <c r="E126" s="114" t="s">
        <v>280</v>
      </c>
      <c r="F126" s="114" t="s">
        <v>281</v>
      </c>
      <c r="G126" s="10" t="s">
        <v>3306</v>
      </c>
      <c r="I126" s="115"/>
      <c r="J126" s="116">
        <f>EE126</f>
        <v>25825576.879999999</v>
      </c>
      <c r="L126" s="190" t="s">
        <v>270</v>
      </c>
      <c r="M126" s="190" t="s">
        <v>3310</v>
      </c>
      <c r="N126" s="190" t="s">
        <v>270</v>
      </c>
      <c r="O126" s="190" t="s">
        <v>3310</v>
      </c>
      <c r="P126" s="190" t="s">
        <v>3311</v>
      </c>
      <c r="Q126" s="190" t="s">
        <v>3310</v>
      </c>
      <c r="S126" s="193" t="s">
        <v>270</v>
      </c>
      <c r="T126" s="194" t="s">
        <v>3310</v>
      </c>
      <c r="U126" s="194" t="s">
        <v>270</v>
      </c>
      <c r="V126" s="194" t="s">
        <v>3310</v>
      </c>
      <c r="W126" s="194" t="s">
        <v>270</v>
      </c>
      <c r="X126" s="194" t="s">
        <v>3328</v>
      </c>
      <c r="Y126" s="194" t="s">
        <v>270</v>
      </c>
      <c r="Z126" s="194" t="s">
        <v>3328</v>
      </c>
      <c r="AA126" s="194" t="s">
        <v>270</v>
      </c>
      <c r="AB126" s="194" t="s">
        <v>3328</v>
      </c>
      <c r="AC126" s="194" t="s">
        <v>270</v>
      </c>
      <c r="AD126" s="194" t="s">
        <v>3328</v>
      </c>
      <c r="AE126" s="194" t="s">
        <v>270</v>
      </c>
      <c r="AF126" s="194" t="s">
        <v>3328</v>
      </c>
      <c r="AG126" s="194" t="s">
        <v>270</v>
      </c>
      <c r="AH126" s="194" t="s">
        <v>3328</v>
      </c>
      <c r="AI126" s="194" t="s">
        <v>270</v>
      </c>
      <c r="AJ126" s="194" t="s">
        <v>3328</v>
      </c>
      <c r="AK126" s="194" t="s">
        <v>270</v>
      </c>
      <c r="AL126" s="194" t="s">
        <v>3328</v>
      </c>
      <c r="AM126" s="194" t="s">
        <v>270</v>
      </c>
      <c r="AN126" s="194" t="s">
        <v>3328</v>
      </c>
      <c r="AO126" s="194" t="s">
        <v>270</v>
      </c>
      <c r="AP126" s="194" t="s">
        <v>3328</v>
      </c>
      <c r="AQ126" s="194" t="s">
        <v>270</v>
      </c>
      <c r="AR126" s="194" t="s">
        <v>3328</v>
      </c>
      <c r="AS126" s="194" t="s">
        <v>270</v>
      </c>
      <c r="AT126" s="194" t="s">
        <v>3328</v>
      </c>
      <c r="AU126" s="194" t="s">
        <v>270</v>
      </c>
      <c r="AV126" s="194" t="s">
        <v>3328</v>
      </c>
      <c r="AW126" s="194" t="s">
        <v>270</v>
      </c>
      <c r="AX126" s="195" t="s">
        <v>3328</v>
      </c>
      <c r="CG126" s="117"/>
      <c r="CJ126" s="118">
        <f>CJ128+CJ283+CJ288+CJ333+CJ352+CJ490+CJ501+CJ521</f>
        <v>0</v>
      </c>
      <c r="CL126" s="118">
        <f>CL128+CL283+CL288+CL333+CL352+CL490+CL501+CL521</f>
        <v>12499.467446099998</v>
      </c>
      <c r="CN126" s="119">
        <f>CN128+CN283+CN288+CN333+CN352+CN490+CN501+CN521</f>
        <v>3277.0348599999998</v>
      </c>
      <c r="DL126" s="113" t="s">
        <v>81</v>
      </c>
      <c r="DN126" s="120" t="s">
        <v>73</v>
      </c>
      <c r="DO126" s="120" t="s">
        <v>74</v>
      </c>
      <c r="DS126" s="113" t="s">
        <v>282</v>
      </c>
      <c r="EE126" s="121">
        <f>EE128+EE283+EE288+EE333+EE352+EE490+EE501+EE521</f>
        <v>25825576.879999999</v>
      </c>
    </row>
    <row r="127" spans="2:135" s="10" customFormat="1" ht="25.9" customHeight="1" thickBot="1" x14ac:dyDescent="0.25">
      <c r="B127" s="112"/>
      <c r="D127" s="113"/>
      <c r="E127" s="114"/>
      <c r="F127" s="114"/>
      <c r="G127" s="10" t="s">
        <v>3306</v>
      </c>
      <c r="I127" s="115"/>
      <c r="J127" s="116" t="s">
        <v>3306</v>
      </c>
      <c r="L127" s="191"/>
      <c r="M127" s="192">
        <f>M128+M283+M288+M333+M352+M490+M501+M521</f>
        <v>0</v>
      </c>
      <c r="N127" s="208"/>
      <c r="O127" s="208">
        <f t="shared" ref="O127:Q127" si="0">O128+O283+O288+O333+O352+O490+O501+O521</f>
        <v>-149084.51999999999</v>
      </c>
      <c r="P127" s="192"/>
      <c r="Q127" s="192">
        <f t="shared" si="0"/>
        <v>25974661.370000008</v>
      </c>
      <c r="S127" s="196"/>
      <c r="T127" s="197">
        <f>T128+T283+T288+T333+T352+T490+T501+T521</f>
        <v>0</v>
      </c>
      <c r="U127" s="197"/>
      <c r="V127" s="197">
        <f t="shared" ref="V127:AX127" si="1">V128+V283+V288+V333+V352+V490+V501+V521</f>
        <v>25825576.879999999</v>
      </c>
      <c r="W127" s="197"/>
      <c r="X127" s="197">
        <f t="shared" si="1"/>
        <v>0</v>
      </c>
      <c r="Y127" s="197"/>
      <c r="Z127" s="197">
        <f t="shared" si="1"/>
        <v>0</v>
      </c>
      <c r="AA127" s="197"/>
      <c r="AB127" s="197">
        <f t="shared" si="1"/>
        <v>0</v>
      </c>
      <c r="AC127" s="197"/>
      <c r="AD127" s="197">
        <f t="shared" si="1"/>
        <v>0</v>
      </c>
      <c r="AE127" s="197"/>
      <c r="AF127" s="197">
        <f t="shared" si="1"/>
        <v>0</v>
      </c>
      <c r="AG127" s="197"/>
      <c r="AH127" s="197">
        <f t="shared" si="1"/>
        <v>0</v>
      </c>
      <c r="AI127" s="197"/>
      <c r="AJ127" s="197">
        <f t="shared" si="1"/>
        <v>0</v>
      </c>
      <c r="AK127" s="197"/>
      <c r="AL127" s="197">
        <f t="shared" si="1"/>
        <v>0</v>
      </c>
      <c r="AM127" s="197"/>
      <c r="AN127" s="197">
        <f t="shared" si="1"/>
        <v>0</v>
      </c>
      <c r="AO127" s="197"/>
      <c r="AP127" s="197">
        <f t="shared" si="1"/>
        <v>0</v>
      </c>
      <c r="AQ127" s="197"/>
      <c r="AR127" s="197">
        <f t="shared" si="1"/>
        <v>0</v>
      </c>
      <c r="AS127" s="197"/>
      <c r="AT127" s="197">
        <f t="shared" si="1"/>
        <v>0</v>
      </c>
      <c r="AU127" s="197"/>
      <c r="AV127" s="197">
        <f t="shared" si="1"/>
        <v>0</v>
      </c>
      <c r="AW127" s="197"/>
      <c r="AX127" s="197">
        <f t="shared" si="1"/>
        <v>0</v>
      </c>
      <c r="CG127" s="117"/>
      <c r="CJ127" s="118"/>
      <c r="CL127" s="118"/>
      <c r="CN127" s="119"/>
      <c r="DL127" s="113"/>
      <c r="DN127" s="120"/>
      <c r="DO127" s="120"/>
      <c r="DS127" s="113"/>
      <c r="EE127" s="121"/>
    </row>
    <row r="128" spans="2:135" s="10" customFormat="1" ht="22.9" customHeight="1" x14ac:dyDescent="0.2">
      <c r="B128" s="112"/>
      <c r="D128" s="113" t="s">
        <v>73</v>
      </c>
      <c r="E128" s="122" t="s">
        <v>81</v>
      </c>
      <c r="F128" s="122" t="s">
        <v>283</v>
      </c>
      <c r="G128" s="10" t="s">
        <v>3306</v>
      </c>
      <c r="I128" s="115"/>
      <c r="J128" s="123">
        <f>EE128</f>
        <v>15551546.079999998</v>
      </c>
      <c r="L128" s="112"/>
      <c r="M128" s="202">
        <f>SUM(M129:M280)</f>
        <v>0</v>
      </c>
      <c r="N128" s="209"/>
      <c r="O128" s="210">
        <f t="shared" ref="O128:V128" si="2">SUM(O129:O280)</f>
        <v>-88529.74</v>
      </c>
      <c r="P128" s="202"/>
      <c r="Q128" s="227">
        <f t="shared" si="2"/>
        <v>15640075.810000001</v>
      </c>
      <c r="R128" s="202"/>
      <c r="S128" s="202"/>
      <c r="T128" s="202">
        <f t="shared" si="2"/>
        <v>0</v>
      </c>
      <c r="U128" s="202"/>
      <c r="V128" s="202">
        <f t="shared" si="2"/>
        <v>15551546.079999998</v>
      </c>
      <c r="CG128" s="117"/>
      <c r="CJ128" s="118">
        <f>SUM(CJ129:CJ282)</f>
        <v>0</v>
      </c>
      <c r="CL128" s="118">
        <f>SUM(CL129:CL282)</f>
        <v>11862.719353999999</v>
      </c>
      <c r="CN128" s="119">
        <f>SUM(CN129:CN282)</f>
        <v>3277.0348599999998</v>
      </c>
      <c r="DL128" s="113" t="s">
        <v>81</v>
      </c>
      <c r="DN128" s="120" t="s">
        <v>73</v>
      </c>
      <c r="DO128" s="120" t="s">
        <v>81</v>
      </c>
      <c r="DS128" s="113" t="s">
        <v>282</v>
      </c>
      <c r="EE128" s="121">
        <f>SUM(EE129:EE282)</f>
        <v>15551546.079999998</v>
      </c>
    </row>
    <row r="129" spans="2:137" s="1" customFormat="1" ht="24.2" customHeight="1" x14ac:dyDescent="0.2">
      <c r="B129" s="124"/>
      <c r="C129" s="125" t="s">
        <v>81</v>
      </c>
      <c r="D129" s="125" t="s">
        <v>284</v>
      </c>
      <c r="E129" s="126" t="s">
        <v>285</v>
      </c>
      <c r="F129" s="127" t="s">
        <v>286</v>
      </c>
      <c r="G129" s="128" t="s">
        <v>287</v>
      </c>
      <c r="H129" s="129">
        <v>1994.67</v>
      </c>
      <c r="I129" s="130">
        <v>68.767172335543137</v>
      </c>
      <c r="J129" s="131">
        <f>ROUND(I129*H129,2)</f>
        <v>137167.82</v>
      </c>
      <c r="K129" s="127" t="s">
        <v>1</v>
      </c>
      <c r="L129" s="198">
        <f>S129</f>
        <v>0</v>
      </c>
      <c r="M129" s="206">
        <f>ROUND(L129*I129,2)</f>
        <v>0</v>
      </c>
      <c r="N129" s="211">
        <f>N131</f>
        <v>-11.15099999999984</v>
      </c>
      <c r="O129" s="212">
        <f>ROUND(N129*I129,2)</f>
        <v>-766.82</v>
      </c>
      <c r="P129" s="207">
        <f>H129-L129-N129</f>
        <v>2005.8209999999999</v>
      </c>
      <c r="Q129" s="228">
        <f>ROUND(P129*I129,2)</f>
        <v>137934.64000000001</v>
      </c>
      <c r="R129" s="199"/>
      <c r="S129" s="200">
        <f>W129+Y129+AA129+AC129+AE129++AG129+AI129+AK129+AM129+AO129+AQ129+AS129+AU129+AW129</f>
        <v>0</v>
      </c>
      <c r="T129" s="200">
        <f>ROUND(S129*I129,2)</f>
        <v>0</v>
      </c>
      <c r="U129" s="200">
        <f>H129-S129</f>
        <v>1994.67</v>
      </c>
      <c r="V129" s="200">
        <f>ROUND(U129*I129,2)</f>
        <v>137167.82</v>
      </c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CG129" s="132" t="s">
        <v>1</v>
      </c>
      <c r="CH129" s="133" t="s">
        <v>40</v>
      </c>
      <c r="CJ129" s="134">
        <f>CI129*H129</f>
        <v>0</v>
      </c>
      <c r="CK129" s="134">
        <v>0</v>
      </c>
      <c r="CL129" s="134">
        <f>CK129*H129</f>
        <v>0</v>
      </c>
      <c r="CM129" s="134">
        <v>0.57999999999999996</v>
      </c>
      <c r="CN129" s="135">
        <f>CM129*H129</f>
        <v>1156.9086</v>
      </c>
      <c r="DL129" s="136" t="s">
        <v>95</v>
      </c>
      <c r="DN129" s="136" t="s">
        <v>284</v>
      </c>
      <c r="DO129" s="136" t="s">
        <v>83</v>
      </c>
      <c r="DS129" s="16" t="s">
        <v>282</v>
      </c>
      <c r="DY129" s="137">
        <f>IF(CH129="základní",J129,0)</f>
        <v>137167.82</v>
      </c>
      <c r="DZ129" s="137">
        <f>IF(CH129="snížená",J129,0)</f>
        <v>0</v>
      </c>
      <c r="EA129" s="137">
        <f>IF(CH129="zákl. přenesená",J129,0)</f>
        <v>0</v>
      </c>
      <c r="EB129" s="137">
        <f>IF(CH129="sníž. přenesená",J129,0)</f>
        <v>0</v>
      </c>
      <c r="EC129" s="137">
        <f>IF(CH129="nulová",J129,0)</f>
        <v>0</v>
      </c>
      <c r="ED129" s="16" t="s">
        <v>81</v>
      </c>
      <c r="EE129" s="137">
        <f>ROUND(I129*H129,2)</f>
        <v>137167.82</v>
      </c>
      <c r="EF129" s="16" t="s">
        <v>95</v>
      </c>
      <c r="EG129" s="136" t="s">
        <v>288</v>
      </c>
    </row>
    <row r="130" spans="2:137" s="1" customFormat="1" ht="39" x14ac:dyDescent="0.2">
      <c r="B130" s="31"/>
      <c r="D130" s="138" t="s">
        <v>289</v>
      </c>
      <c r="F130" s="139" t="s">
        <v>290</v>
      </c>
      <c r="I130" s="140"/>
      <c r="L130" s="31"/>
      <c r="N130" s="213"/>
      <c r="O130" s="214"/>
      <c r="Q130" s="229"/>
      <c r="CG130" s="141"/>
      <c r="CN130" s="50"/>
      <c r="DN130" s="16" t="s">
        <v>289</v>
      </c>
      <c r="DO130" s="16" t="s">
        <v>83</v>
      </c>
    </row>
    <row r="131" spans="2:137" s="1" customFormat="1" ht="24.2" customHeight="1" x14ac:dyDescent="0.2">
      <c r="B131" s="124"/>
      <c r="C131" s="125" t="s">
        <v>83</v>
      </c>
      <c r="D131" s="125" t="s">
        <v>284</v>
      </c>
      <c r="E131" s="126" t="s">
        <v>291</v>
      </c>
      <c r="F131" s="127" t="s">
        <v>292</v>
      </c>
      <c r="G131" s="128" t="s">
        <v>287</v>
      </c>
      <c r="H131" s="129">
        <v>1994.67</v>
      </c>
      <c r="I131" s="130">
        <v>68.767172335543137</v>
      </c>
      <c r="J131" s="131">
        <f>ROUND(I131*H131,2)</f>
        <v>137167.82</v>
      </c>
      <c r="K131" s="127" t="s">
        <v>293</v>
      </c>
      <c r="L131" s="198">
        <f>S131</f>
        <v>0</v>
      </c>
      <c r="M131" s="206">
        <f>ROUND(L131*I131,2)</f>
        <v>0</v>
      </c>
      <c r="N131" s="211">
        <f>N133</f>
        <v>-11.15099999999984</v>
      </c>
      <c r="O131" s="212">
        <f>ROUND(N131*I131,2)</f>
        <v>-766.82</v>
      </c>
      <c r="P131" s="207">
        <f>H131-L131-N131</f>
        <v>2005.8209999999999</v>
      </c>
      <c r="Q131" s="228">
        <f>ROUND(P131*I131,2)</f>
        <v>137934.64000000001</v>
      </c>
      <c r="R131" s="199"/>
      <c r="S131" s="200">
        <f>W131+Y131+AA131+AC131+AE131++AG131+AI131+AK131+AM131+AO131+AQ131+AS131+AU131+AW131</f>
        <v>0</v>
      </c>
      <c r="T131" s="200">
        <f>ROUND(S131*I131,2)</f>
        <v>0</v>
      </c>
      <c r="U131" s="200">
        <f>H131-S131</f>
        <v>1994.67</v>
      </c>
      <c r="V131" s="200">
        <f>ROUND(U131*I131,2)</f>
        <v>137167.82</v>
      </c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CG131" s="132" t="s">
        <v>1</v>
      </c>
      <c r="CH131" s="133" t="s">
        <v>40</v>
      </c>
      <c r="CJ131" s="134">
        <f>CI131*H131</f>
        <v>0</v>
      </c>
      <c r="CK131" s="134">
        <v>0</v>
      </c>
      <c r="CL131" s="134">
        <f>CK131*H131</f>
        <v>0</v>
      </c>
      <c r="CM131" s="134">
        <v>0.57999999999999996</v>
      </c>
      <c r="CN131" s="135">
        <f>CM131*H131</f>
        <v>1156.9086</v>
      </c>
      <c r="DL131" s="136" t="s">
        <v>95</v>
      </c>
      <c r="DN131" s="136" t="s">
        <v>284</v>
      </c>
      <c r="DO131" s="136" t="s">
        <v>83</v>
      </c>
      <c r="DS131" s="16" t="s">
        <v>282</v>
      </c>
      <c r="DY131" s="137">
        <f>IF(CH131="základní",J131,0)</f>
        <v>137167.82</v>
      </c>
      <c r="DZ131" s="137">
        <f>IF(CH131="snížená",J131,0)</f>
        <v>0</v>
      </c>
      <c r="EA131" s="137">
        <f>IF(CH131="zákl. přenesená",J131,0)</f>
        <v>0</v>
      </c>
      <c r="EB131" s="137">
        <f>IF(CH131="sníž. přenesená",J131,0)</f>
        <v>0</v>
      </c>
      <c r="EC131" s="137">
        <f>IF(CH131="nulová",J131,0)</f>
        <v>0</v>
      </c>
      <c r="ED131" s="16" t="s">
        <v>81</v>
      </c>
      <c r="EE131" s="137">
        <f>ROUND(I131*H131,2)</f>
        <v>137167.82</v>
      </c>
      <c r="EF131" s="16" t="s">
        <v>95</v>
      </c>
      <c r="EG131" s="136" t="s">
        <v>294</v>
      </c>
    </row>
    <row r="132" spans="2:137" s="1" customFormat="1" ht="39" x14ac:dyDescent="0.2">
      <c r="B132" s="31"/>
      <c r="D132" s="138" t="s">
        <v>289</v>
      </c>
      <c r="F132" s="139" t="s">
        <v>290</v>
      </c>
      <c r="I132" s="140"/>
      <c r="L132" s="31"/>
      <c r="N132" s="213"/>
      <c r="O132" s="214"/>
      <c r="Q132" s="229"/>
      <c r="CG132" s="141"/>
      <c r="CN132" s="50"/>
      <c r="DN132" s="16" t="s">
        <v>289</v>
      </c>
      <c r="DO132" s="16" t="s">
        <v>83</v>
      </c>
    </row>
    <row r="133" spans="2:137" s="1" customFormat="1" ht="24.2" customHeight="1" x14ac:dyDescent="0.2">
      <c r="B133" s="124"/>
      <c r="C133" s="125" t="s">
        <v>90</v>
      </c>
      <c r="D133" s="125" t="s">
        <v>284</v>
      </c>
      <c r="E133" s="126" t="s">
        <v>295</v>
      </c>
      <c r="F133" s="127" t="s">
        <v>732</v>
      </c>
      <c r="G133" s="128" t="s">
        <v>287</v>
      </c>
      <c r="H133" s="129">
        <v>1994.67</v>
      </c>
      <c r="I133" s="130">
        <v>27.886826761540966</v>
      </c>
      <c r="J133" s="131">
        <f>ROUND(I133*H133,2)</f>
        <v>55625.02</v>
      </c>
      <c r="K133" s="127" t="s">
        <v>293</v>
      </c>
      <c r="L133" s="198">
        <f>S133</f>
        <v>0</v>
      </c>
      <c r="M133" s="206">
        <f>ROUND(L133*I133,2)</f>
        <v>0</v>
      </c>
      <c r="N133" s="211">
        <f>N146</f>
        <v>-11.15099999999984</v>
      </c>
      <c r="O133" s="212">
        <f>ROUND(N133*I133,2)</f>
        <v>-310.97000000000003</v>
      </c>
      <c r="P133" s="207">
        <f>H133-L133-N133</f>
        <v>2005.8209999999999</v>
      </c>
      <c r="Q133" s="228">
        <f>ROUND(P133*I133,2)</f>
        <v>55935.98</v>
      </c>
      <c r="R133" s="199"/>
      <c r="S133" s="200">
        <f>W133+Y133+AA133+AC133+AE133++AG133+AI133+AK133+AM133+AO133+AQ133+AS133+AU133+AW133</f>
        <v>0</v>
      </c>
      <c r="T133" s="200">
        <f>ROUND(S133*I133,2)</f>
        <v>0</v>
      </c>
      <c r="U133" s="200">
        <f>H133-S133</f>
        <v>1994.67</v>
      </c>
      <c r="V133" s="200">
        <f>ROUND(U133*I133,2)</f>
        <v>55625.02</v>
      </c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CG133" s="132" t="s">
        <v>1</v>
      </c>
      <c r="CH133" s="133" t="s">
        <v>40</v>
      </c>
      <c r="CJ133" s="134">
        <f>CI133*H133</f>
        <v>0</v>
      </c>
      <c r="CK133" s="134">
        <v>0</v>
      </c>
      <c r="CL133" s="134">
        <f>CK133*H133</f>
        <v>0</v>
      </c>
      <c r="CM133" s="134">
        <v>9.8000000000000004E-2</v>
      </c>
      <c r="CN133" s="135">
        <f>CM133*H133</f>
        <v>195.47766000000001</v>
      </c>
      <c r="DL133" s="136" t="s">
        <v>95</v>
      </c>
      <c r="DN133" s="136" t="s">
        <v>284</v>
      </c>
      <c r="DO133" s="136" t="s">
        <v>83</v>
      </c>
      <c r="DS133" s="16" t="s">
        <v>282</v>
      </c>
      <c r="DY133" s="137">
        <f>IF(CH133="základní",J133,0)</f>
        <v>55625.02</v>
      </c>
      <c r="DZ133" s="137">
        <f>IF(CH133="snížená",J133,0)</f>
        <v>0</v>
      </c>
      <c r="EA133" s="137">
        <f>IF(CH133="zákl. přenesená",J133,0)</f>
        <v>0</v>
      </c>
      <c r="EB133" s="137">
        <f>IF(CH133="sníž. přenesená",J133,0)</f>
        <v>0</v>
      </c>
      <c r="EC133" s="137">
        <f>IF(CH133="nulová",J133,0)</f>
        <v>0</v>
      </c>
      <c r="ED133" s="16" t="s">
        <v>81</v>
      </c>
      <c r="EE133" s="137">
        <f>ROUND(I133*H133,2)</f>
        <v>55625.02</v>
      </c>
      <c r="EF133" s="16" t="s">
        <v>95</v>
      </c>
      <c r="EG133" s="136" t="s">
        <v>297</v>
      </c>
    </row>
    <row r="134" spans="2:137" s="1" customFormat="1" ht="29.25" x14ac:dyDescent="0.2">
      <c r="B134" s="31"/>
      <c r="D134" s="138" t="s">
        <v>289</v>
      </c>
      <c r="F134" s="139" t="s">
        <v>298</v>
      </c>
      <c r="I134" s="140"/>
      <c r="L134" s="31"/>
      <c r="N134" s="213"/>
      <c r="O134" s="214"/>
      <c r="Q134" s="229"/>
      <c r="CG134" s="141"/>
      <c r="CN134" s="50"/>
      <c r="DN134" s="16" t="s">
        <v>289</v>
      </c>
      <c r="DO134" s="16" t="s">
        <v>83</v>
      </c>
    </row>
    <row r="135" spans="2:137" s="1" customFormat="1" ht="29.25" x14ac:dyDescent="0.2">
      <c r="B135" s="31"/>
      <c r="D135" s="138" t="s">
        <v>299</v>
      </c>
      <c r="F135" s="142" t="s">
        <v>1426</v>
      </c>
      <c r="I135" s="140"/>
      <c r="L135" s="31"/>
      <c r="N135" s="213"/>
      <c r="O135" s="214"/>
      <c r="Q135" s="229"/>
      <c r="CG135" s="141"/>
      <c r="CN135" s="50"/>
      <c r="DN135" s="16" t="s">
        <v>299</v>
      </c>
      <c r="DO135" s="16" t="s">
        <v>83</v>
      </c>
    </row>
    <row r="136" spans="2:137" s="11" customFormat="1" x14ac:dyDescent="0.2">
      <c r="B136" s="143"/>
      <c r="D136" s="138" t="s">
        <v>301</v>
      </c>
      <c r="E136" s="144" t="s">
        <v>1</v>
      </c>
      <c r="F136" s="145" t="s">
        <v>302</v>
      </c>
      <c r="H136" s="144" t="s">
        <v>1</v>
      </c>
      <c r="I136" s="146"/>
      <c r="L136" s="143"/>
      <c r="N136" s="215"/>
      <c r="O136" s="216"/>
      <c r="Q136" s="230"/>
      <c r="CG136" s="147"/>
      <c r="CN136" s="148"/>
      <c r="DN136" s="144" t="s">
        <v>301</v>
      </c>
      <c r="DO136" s="144" t="s">
        <v>83</v>
      </c>
      <c r="DP136" s="11" t="s">
        <v>81</v>
      </c>
      <c r="DQ136" s="11" t="s">
        <v>32</v>
      </c>
      <c r="DR136" s="11" t="s">
        <v>74</v>
      </c>
      <c r="DS136" s="144" t="s">
        <v>282</v>
      </c>
    </row>
    <row r="137" spans="2:137" s="12" customFormat="1" x14ac:dyDescent="0.2">
      <c r="B137" s="149"/>
      <c r="D137" s="138" t="s">
        <v>301</v>
      </c>
      <c r="E137" s="150" t="s">
        <v>1</v>
      </c>
      <c r="F137" s="151" t="s">
        <v>1427</v>
      </c>
      <c r="H137" s="152">
        <v>1.5</v>
      </c>
      <c r="I137" s="153"/>
      <c r="L137" s="149"/>
      <c r="N137" s="217">
        <f>3.3*1</f>
        <v>3.3</v>
      </c>
      <c r="O137" s="359" t="s">
        <v>3460</v>
      </c>
      <c r="Q137" s="231"/>
      <c r="CG137" s="154"/>
      <c r="CN137" s="155"/>
      <c r="DN137" s="150" t="s">
        <v>301</v>
      </c>
      <c r="DO137" s="150" t="s">
        <v>83</v>
      </c>
      <c r="DP137" s="12" t="s">
        <v>83</v>
      </c>
      <c r="DQ137" s="12" t="s">
        <v>32</v>
      </c>
      <c r="DR137" s="12" t="s">
        <v>74</v>
      </c>
      <c r="DS137" s="150" t="s">
        <v>282</v>
      </c>
    </row>
    <row r="138" spans="2:137" s="12" customFormat="1" x14ac:dyDescent="0.2">
      <c r="B138" s="149"/>
      <c r="D138" s="138" t="s">
        <v>301</v>
      </c>
      <c r="E138" s="150" t="s">
        <v>1</v>
      </c>
      <c r="F138" s="151" t="s">
        <v>1428</v>
      </c>
      <c r="H138" s="152">
        <v>1640.1</v>
      </c>
      <c r="I138" s="153"/>
      <c r="L138" s="149"/>
      <c r="N138" s="217">
        <f>1552.77*1.05</f>
        <v>1630.4085</v>
      </c>
      <c r="O138" s="359" t="s">
        <v>3461</v>
      </c>
      <c r="Q138" s="231"/>
      <c r="CG138" s="154"/>
      <c r="CN138" s="155"/>
      <c r="DN138" s="150" t="s">
        <v>301</v>
      </c>
      <c r="DO138" s="150" t="s">
        <v>83</v>
      </c>
      <c r="DP138" s="12" t="s">
        <v>83</v>
      </c>
      <c r="DQ138" s="12" t="s">
        <v>32</v>
      </c>
      <c r="DR138" s="12" t="s">
        <v>74</v>
      </c>
      <c r="DS138" s="150" t="s">
        <v>282</v>
      </c>
    </row>
    <row r="139" spans="2:137" s="12" customFormat="1" x14ac:dyDescent="0.2">
      <c r="B139" s="149"/>
      <c r="D139" s="138" t="s">
        <v>301</v>
      </c>
      <c r="E139" s="150" t="s">
        <v>1</v>
      </c>
      <c r="F139" s="151" t="s">
        <v>1429</v>
      </c>
      <c r="H139" s="152">
        <v>42</v>
      </c>
      <c r="I139" s="153"/>
      <c r="L139" s="149"/>
      <c r="N139" s="217">
        <f>40.13*1.05</f>
        <v>42.136500000000005</v>
      </c>
      <c r="O139" s="359" t="s">
        <v>3462</v>
      </c>
      <c r="Q139" s="231"/>
      <c r="CG139" s="154"/>
      <c r="CN139" s="155"/>
      <c r="DN139" s="150" t="s">
        <v>301</v>
      </c>
      <c r="DO139" s="150" t="s">
        <v>83</v>
      </c>
      <c r="DP139" s="12" t="s">
        <v>83</v>
      </c>
      <c r="DQ139" s="12" t="s">
        <v>32</v>
      </c>
      <c r="DR139" s="12" t="s">
        <v>74</v>
      </c>
      <c r="DS139" s="150" t="s">
        <v>282</v>
      </c>
    </row>
    <row r="140" spans="2:137" s="12" customFormat="1" x14ac:dyDescent="0.2">
      <c r="B140" s="149"/>
      <c r="D140" s="138" t="s">
        <v>301</v>
      </c>
      <c r="E140" s="150" t="s">
        <v>1</v>
      </c>
      <c r="F140" s="151" t="s">
        <v>1430</v>
      </c>
      <c r="H140" s="152">
        <v>218.29499999999999</v>
      </c>
      <c r="I140" s="153"/>
      <c r="L140" s="149"/>
      <c r="N140" s="310">
        <f>H140</f>
        <v>218.29499999999999</v>
      </c>
      <c r="O140" s="359"/>
      <c r="Q140" s="231"/>
      <c r="CG140" s="154"/>
      <c r="CN140" s="155"/>
      <c r="DN140" s="150" t="s">
        <v>301</v>
      </c>
      <c r="DO140" s="150" t="s">
        <v>83</v>
      </c>
      <c r="DP140" s="12" t="s">
        <v>83</v>
      </c>
      <c r="DQ140" s="12" t="s">
        <v>32</v>
      </c>
      <c r="DR140" s="12" t="s">
        <v>74</v>
      </c>
      <c r="DS140" s="150" t="s">
        <v>282</v>
      </c>
    </row>
    <row r="141" spans="2:137" s="12" customFormat="1" x14ac:dyDescent="0.2">
      <c r="B141" s="149"/>
      <c r="D141" s="138" t="s">
        <v>301</v>
      </c>
      <c r="E141" s="150" t="s">
        <v>1</v>
      </c>
      <c r="F141" s="151" t="s">
        <v>995</v>
      </c>
      <c r="H141" s="152">
        <v>2.0249999999999999</v>
      </c>
      <c r="I141" s="153"/>
      <c r="L141" s="149"/>
      <c r="N141" s="310">
        <f>H141</f>
        <v>2.0249999999999999</v>
      </c>
      <c r="O141" s="359"/>
      <c r="Q141" s="231"/>
      <c r="CG141" s="154"/>
      <c r="CN141" s="155"/>
      <c r="DN141" s="150" t="s">
        <v>301</v>
      </c>
      <c r="DO141" s="150" t="s">
        <v>83</v>
      </c>
      <c r="DP141" s="12" t="s">
        <v>83</v>
      </c>
      <c r="DQ141" s="12" t="s">
        <v>32</v>
      </c>
      <c r="DR141" s="12" t="s">
        <v>74</v>
      </c>
      <c r="DS141" s="150" t="s">
        <v>282</v>
      </c>
    </row>
    <row r="142" spans="2:137" s="12" customFormat="1" x14ac:dyDescent="0.2">
      <c r="B142" s="149"/>
      <c r="D142" s="138" t="s">
        <v>301</v>
      </c>
      <c r="E142" s="150" t="s">
        <v>1</v>
      </c>
      <c r="F142" s="151" t="s">
        <v>1431</v>
      </c>
      <c r="H142" s="152">
        <v>18.600000000000001</v>
      </c>
      <c r="I142" s="153"/>
      <c r="L142" s="149"/>
      <c r="N142" s="217">
        <f>13.52*1.2</f>
        <v>16.224</v>
      </c>
      <c r="O142" s="359" t="s">
        <v>3463</v>
      </c>
      <c r="Q142" s="231"/>
      <c r="CG142" s="154"/>
      <c r="CN142" s="155"/>
      <c r="DN142" s="150" t="s">
        <v>301</v>
      </c>
      <c r="DO142" s="150" t="s">
        <v>83</v>
      </c>
      <c r="DP142" s="12" t="s">
        <v>83</v>
      </c>
      <c r="DQ142" s="12" t="s">
        <v>32</v>
      </c>
      <c r="DR142" s="12" t="s">
        <v>74</v>
      </c>
      <c r="DS142" s="150" t="s">
        <v>282</v>
      </c>
    </row>
    <row r="143" spans="2:137" s="12" customFormat="1" x14ac:dyDescent="0.2">
      <c r="B143" s="149"/>
      <c r="D143" s="138" t="s">
        <v>301</v>
      </c>
      <c r="E143" s="150" t="s">
        <v>1</v>
      </c>
      <c r="F143" s="151" t="s">
        <v>1432</v>
      </c>
      <c r="H143" s="152">
        <v>60</v>
      </c>
      <c r="I143" s="153"/>
      <c r="L143" s="149"/>
      <c r="N143" s="217">
        <f>49.15*1.2</f>
        <v>58.98</v>
      </c>
      <c r="O143" s="359" t="s">
        <v>3464</v>
      </c>
      <c r="Q143" s="231"/>
      <c r="CG143" s="154"/>
      <c r="CN143" s="155"/>
      <c r="DN143" s="150" t="s">
        <v>301</v>
      </c>
      <c r="DO143" s="150" t="s">
        <v>83</v>
      </c>
      <c r="DP143" s="12" t="s">
        <v>83</v>
      </c>
      <c r="DQ143" s="12" t="s">
        <v>32</v>
      </c>
      <c r="DR143" s="12" t="s">
        <v>74</v>
      </c>
      <c r="DS143" s="150" t="s">
        <v>282</v>
      </c>
    </row>
    <row r="144" spans="2:137" s="12" customFormat="1" x14ac:dyDescent="0.2">
      <c r="B144" s="149"/>
      <c r="D144" s="138" t="s">
        <v>301</v>
      </c>
      <c r="E144" s="150" t="s">
        <v>1</v>
      </c>
      <c r="F144" s="151" t="s">
        <v>1433</v>
      </c>
      <c r="H144" s="152">
        <v>12.15</v>
      </c>
      <c r="I144" s="153"/>
      <c r="L144" s="149"/>
      <c r="N144" s="310">
        <f>H144</f>
        <v>12.15</v>
      </c>
      <c r="O144" s="359"/>
      <c r="Q144" s="231"/>
      <c r="CG144" s="154"/>
      <c r="CN144" s="155"/>
      <c r="DN144" s="150" t="s">
        <v>301</v>
      </c>
      <c r="DO144" s="150" t="s">
        <v>83</v>
      </c>
      <c r="DP144" s="12" t="s">
        <v>83</v>
      </c>
      <c r="DQ144" s="12" t="s">
        <v>32</v>
      </c>
      <c r="DR144" s="12" t="s">
        <v>74</v>
      </c>
      <c r="DS144" s="150" t="s">
        <v>282</v>
      </c>
    </row>
    <row r="145" spans="2:137" s="13" customFormat="1" x14ac:dyDescent="0.2">
      <c r="B145" s="156"/>
      <c r="D145" s="138" t="s">
        <v>301</v>
      </c>
      <c r="E145" s="157" t="s">
        <v>1</v>
      </c>
      <c r="F145" s="158" t="s">
        <v>305</v>
      </c>
      <c r="H145" s="159">
        <v>1994.67</v>
      </c>
      <c r="I145" s="160"/>
      <c r="L145" s="156"/>
      <c r="N145" s="219">
        <f>SUM(N137:N144)</f>
        <v>1983.5190000000002</v>
      </c>
      <c r="O145" s="368"/>
      <c r="Q145" s="232"/>
      <c r="CG145" s="161"/>
      <c r="CN145" s="162"/>
      <c r="DN145" s="157" t="s">
        <v>301</v>
      </c>
      <c r="DO145" s="157" t="s">
        <v>83</v>
      </c>
      <c r="DP145" s="13" t="s">
        <v>95</v>
      </c>
      <c r="DQ145" s="13" t="s">
        <v>32</v>
      </c>
      <c r="DR145" s="13" t="s">
        <v>81</v>
      </c>
      <c r="DS145" s="157" t="s">
        <v>282</v>
      </c>
    </row>
    <row r="146" spans="2:137" s="13" customFormat="1" x14ac:dyDescent="0.2">
      <c r="B146" s="156"/>
      <c r="D146" s="138"/>
      <c r="E146" s="157"/>
      <c r="F146" s="158"/>
      <c r="H146" s="159"/>
      <c r="I146" s="160"/>
      <c r="L146" s="156"/>
      <c r="N146" s="311">
        <f>N145-H145</f>
        <v>-11.15099999999984</v>
      </c>
      <c r="O146" s="368"/>
      <c r="Q146" s="232"/>
      <c r="CG146" s="161"/>
      <c r="CN146" s="162"/>
      <c r="DN146" s="157"/>
      <c r="DO146" s="157"/>
      <c r="DS146" s="157"/>
    </row>
    <row r="147" spans="2:137" s="1" customFormat="1" ht="24.2" customHeight="1" x14ac:dyDescent="0.2">
      <c r="B147" s="124"/>
      <c r="C147" s="125" t="s">
        <v>95</v>
      </c>
      <c r="D147" s="125" t="s">
        <v>284</v>
      </c>
      <c r="E147" s="126" t="s">
        <v>306</v>
      </c>
      <c r="F147" s="127" t="s">
        <v>307</v>
      </c>
      <c r="G147" s="128" t="s">
        <v>287</v>
      </c>
      <c r="H147" s="129">
        <v>6676</v>
      </c>
      <c r="I147" s="130">
        <v>55.314624729404002</v>
      </c>
      <c r="J147" s="131">
        <f>ROUND(I147*H147,2)</f>
        <v>369280.43</v>
      </c>
      <c r="K147" s="127" t="s">
        <v>293</v>
      </c>
      <c r="L147" s="198">
        <f>S147</f>
        <v>0</v>
      </c>
      <c r="M147" s="206">
        <f>ROUND(L147*I147,2)</f>
        <v>0</v>
      </c>
      <c r="N147" s="211">
        <f>N157</f>
        <v>-40.519999999999527</v>
      </c>
      <c r="O147" s="212">
        <f>ROUND(N147*I147,2)</f>
        <v>-2241.35</v>
      </c>
      <c r="P147" s="207">
        <f>H147-L147-N147</f>
        <v>6716.5199999999995</v>
      </c>
      <c r="Q147" s="228">
        <f>ROUND(P147*I147,2)</f>
        <v>371521.78</v>
      </c>
      <c r="R147" s="199"/>
      <c r="S147" s="200">
        <f>W147+Y147+AA147+AC147+AE147++AG147+AI147+AK147+AM147+AO147+AQ147+AS147+AU147+AW147</f>
        <v>0</v>
      </c>
      <c r="T147" s="200">
        <f>ROUND(S147*I147,2)</f>
        <v>0</v>
      </c>
      <c r="U147" s="200">
        <f>H147-S147</f>
        <v>6676</v>
      </c>
      <c r="V147" s="200">
        <f>ROUND(U147*I147,2)</f>
        <v>369280.43</v>
      </c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CG147" s="132" t="s">
        <v>1</v>
      </c>
      <c r="CH147" s="133" t="s">
        <v>40</v>
      </c>
      <c r="CJ147" s="134">
        <f>CI147*H147</f>
        <v>0</v>
      </c>
      <c r="CK147" s="134">
        <v>6.9999999999999994E-5</v>
      </c>
      <c r="CL147" s="134">
        <f>CK147*H147</f>
        <v>0.46731999999999996</v>
      </c>
      <c r="CM147" s="134">
        <v>0.115</v>
      </c>
      <c r="CN147" s="135">
        <f>CM147*H147</f>
        <v>767.74</v>
      </c>
      <c r="DL147" s="136" t="s">
        <v>95</v>
      </c>
      <c r="DN147" s="136" t="s">
        <v>284</v>
      </c>
      <c r="DO147" s="136" t="s">
        <v>83</v>
      </c>
      <c r="DS147" s="16" t="s">
        <v>282</v>
      </c>
      <c r="DY147" s="137">
        <f>IF(CH147="základní",J147,0)</f>
        <v>369280.43</v>
      </c>
      <c r="DZ147" s="137">
        <f>IF(CH147="snížená",J147,0)</f>
        <v>0</v>
      </c>
      <c r="EA147" s="137">
        <f>IF(CH147="zákl. přenesená",J147,0)</f>
        <v>0</v>
      </c>
      <c r="EB147" s="137">
        <f>IF(CH147="sníž. přenesená",J147,0)</f>
        <v>0</v>
      </c>
      <c r="EC147" s="137">
        <f>IF(CH147="nulová",J147,0)</f>
        <v>0</v>
      </c>
      <c r="ED147" s="16" t="s">
        <v>81</v>
      </c>
      <c r="EE147" s="137">
        <f>ROUND(I147*H147,2)</f>
        <v>369280.43</v>
      </c>
      <c r="EF147" s="16" t="s">
        <v>95</v>
      </c>
      <c r="EG147" s="136" t="s">
        <v>308</v>
      </c>
    </row>
    <row r="148" spans="2:137" s="1" customFormat="1" ht="29.25" x14ac:dyDescent="0.2">
      <c r="B148" s="31"/>
      <c r="D148" s="138" t="s">
        <v>289</v>
      </c>
      <c r="F148" s="139" t="s">
        <v>309</v>
      </c>
      <c r="I148" s="140"/>
      <c r="L148" s="31"/>
      <c r="N148" s="213"/>
      <c r="O148" s="214"/>
      <c r="Q148" s="229"/>
      <c r="CG148" s="141"/>
      <c r="CN148" s="50"/>
      <c r="DN148" s="16" t="s">
        <v>289</v>
      </c>
      <c r="DO148" s="16" t="s">
        <v>83</v>
      </c>
    </row>
    <row r="149" spans="2:137" s="1" customFormat="1" ht="29.25" x14ac:dyDescent="0.2">
      <c r="B149" s="31"/>
      <c r="D149" s="138" t="s">
        <v>299</v>
      </c>
      <c r="F149" s="142" t="s">
        <v>1426</v>
      </c>
      <c r="I149" s="140"/>
      <c r="L149" s="31"/>
      <c r="N149" s="213"/>
      <c r="O149" s="214"/>
      <c r="Q149" s="229"/>
      <c r="CG149" s="141"/>
      <c r="CN149" s="50"/>
      <c r="DN149" s="16" t="s">
        <v>299</v>
      </c>
      <c r="DO149" s="16" t="s">
        <v>83</v>
      </c>
    </row>
    <row r="150" spans="2:137" s="11" customFormat="1" x14ac:dyDescent="0.2">
      <c r="B150" s="143"/>
      <c r="D150" s="138" t="s">
        <v>301</v>
      </c>
      <c r="E150" s="144" t="s">
        <v>1</v>
      </c>
      <c r="F150" s="145" t="s">
        <v>310</v>
      </c>
      <c r="H150" s="144" t="s">
        <v>1</v>
      </c>
      <c r="I150" s="146"/>
      <c r="L150" s="143"/>
      <c r="N150" s="215"/>
      <c r="O150" s="216"/>
      <c r="Q150" s="230"/>
      <c r="CG150" s="147"/>
      <c r="CN150" s="148"/>
      <c r="DN150" s="144" t="s">
        <v>301</v>
      </c>
      <c r="DO150" s="144" t="s">
        <v>83</v>
      </c>
      <c r="DP150" s="11" t="s">
        <v>81</v>
      </c>
      <c r="DQ150" s="11" t="s">
        <v>32</v>
      </c>
      <c r="DR150" s="11" t="s">
        <v>74</v>
      </c>
      <c r="DS150" s="144" t="s">
        <v>282</v>
      </c>
    </row>
    <row r="151" spans="2:137" s="12" customFormat="1" x14ac:dyDescent="0.2">
      <c r="B151" s="149"/>
      <c r="D151" s="138" t="s">
        <v>301</v>
      </c>
      <c r="E151" s="150" t="s">
        <v>1</v>
      </c>
      <c r="F151" s="151" t="s">
        <v>1434</v>
      </c>
      <c r="H151" s="152">
        <v>6</v>
      </c>
      <c r="I151" s="153"/>
      <c r="L151" s="149"/>
      <c r="N151" s="217">
        <f>3.3*4</f>
        <v>13.2</v>
      </c>
      <c r="O151" s="359" t="s">
        <v>3465</v>
      </c>
      <c r="Q151" s="231"/>
      <c r="CG151" s="154"/>
      <c r="CN151" s="155"/>
      <c r="DN151" s="150" t="s">
        <v>301</v>
      </c>
      <c r="DO151" s="150" t="s">
        <v>83</v>
      </c>
      <c r="DP151" s="12" t="s">
        <v>83</v>
      </c>
      <c r="DQ151" s="12" t="s">
        <v>32</v>
      </c>
      <c r="DR151" s="12" t="s">
        <v>74</v>
      </c>
      <c r="DS151" s="150" t="s">
        <v>282</v>
      </c>
    </row>
    <row r="152" spans="2:137" s="12" customFormat="1" x14ac:dyDescent="0.2">
      <c r="B152" s="149"/>
      <c r="D152" s="138" t="s">
        <v>301</v>
      </c>
      <c r="E152" s="150" t="s">
        <v>1</v>
      </c>
      <c r="F152" s="151" t="s">
        <v>1435</v>
      </c>
      <c r="H152" s="152">
        <v>6248</v>
      </c>
      <c r="I152" s="153"/>
      <c r="L152" s="149"/>
      <c r="N152" s="217">
        <f>1552.77*4</f>
        <v>6211.08</v>
      </c>
      <c r="O152" s="359" t="s">
        <v>3466</v>
      </c>
      <c r="Q152" s="231"/>
      <c r="CG152" s="154"/>
      <c r="CN152" s="155"/>
      <c r="DN152" s="150" t="s">
        <v>301</v>
      </c>
      <c r="DO152" s="150" t="s">
        <v>83</v>
      </c>
      <c r="DP152" s="12" t="s">
        <v>83</v>
      </c>
      <c r="DQ152" s="12" t="s">
        <v>32</v>
      </c>
      <c r="DR152" s="12" t="s">
        <v>74</v>
      </c>
      <c r="DS152" s="150" t="s">
        <v>282</v>
      </c>
    </row>
    <row r="153" spans="2:137" s="12" customFormat="1" x14ac:dyDescent="0.2">
      <c r="B153" s="149"/>
      <c r="D153" s="138" t="s">
        <v>301</v>
      </c>
      <c r="E153" s="150" t="s">
        <v>1</v>
      </c>
      <c r="F153" s="151" t="s">
        <v>1436</v>
      </c>
      <c r="H153" s="152">
        <v>62</v>
      </c>
      <c r="I153" s="153"/>
      <c r="L153" s="149"/>
      <c r="N153" s="217">
        <f>13.52*4</f>
        <v>54.08</v>
      </c>
      <c r="O153" s="359" t="s">
        <v>3467</v>
      </c>
      <c r="Q153" s="231"/>
      <c r="CG153" s="154"/>
      <c r="CN153" s="155"/>
      <c r="DN153" s="150" t="s">
        <v>301</v>
      </c>
      <c r="DO153" s="150" t="s">
        <v>83</v>
      </c>
      <c r="DP153" s="12" t="s">
        <v>83</v>
      </c>
      <c r="DQ153" s="12" t="s">
        <v>32</v>
      </c>
      <c r="DR153" s="12" t="s">
        <v>74</v>
      </c>
      <c r="DS153" s="150" t="s">
        <v>282</v>
      </c>
    </row>
    <row r="154" spans="2:137" s="12" customFormat="1" x14ac:dyDescent="0.2">
      <c r="B154" s="149"/>
      <c r="D154" s="138" t="s">
        <v>301</v>
      </c>
      <c r="E154" s="150" t="s">
        <v>1</v>
      </c>
      <c r="F154" s="151" t="s">
        <v>1437</v>
      </c>
      <c r="H154" s="152">
        <v>160</v>
      </c>
      <c r="I154" s="153"/>
      <c r="L154" s="149"/>
      <c r="N154" s="217">
        <f>40.13*4</f>
        <v>160.52000000000001</v>
      </c>
      <c r="O154" s="359" t="s">
        <v>3468</v>
      </c>
      <c r="Q154" s="231"/>
      <c r="CG154" s="154"/>
      <c r="CN154" s="155"/>
      <c r="DN154" s="150" t="s">
        <v>301</v>
      </c>
      <c r="DO154" s="150" t="s">
        <v>83</v>
      </c>
      <c r="DP154" s="12" t="s">
        <v>83</v>
      </c>
      <c r="DQ154" s="12" t="s">
        <v>32</v>
      </c>
      <c r="DR154" s="12" t="s">
        <v>74</v>
      </c>
      <c r="DS154" s="150" t="s">
        <v>282</v>
      </c>
    </row>
    <row r="155" spans="2:137" s="12" customFormat="1" x14ac:dyDescent="0.2">
      <c r="B155" s="149"/>
      <c r="D155" s="138" t="s">
        <v>301</v>
      </c>
      <c r="E155" s="150" t="s">
        <v>1</v>
      </c>
      <c r="F155" s="151" t="s">
        <v>1438</v>
      </c>
      <c r="H155" s="152">
        <v>200</v>
      </c>
      <c r="I155" s="153"/>
      <c r="L155" s="149"/>
      <c r="N155" s="217">
        <f>49.15*4</f>
        <v>196.6</v>
      </c>
      <c r="O155" s="359" t="s">
        <v>3469</v>
      </c>
      <c r="Q155" s="231"/>
      <c r="CG155" s="154"/>
      <c r="CN155" s="155"/>
      <c r="DN155" s="150" t="s">
        <v>301</v>
      </c>
      <c r="DO155" s="150" t="s">
        <v>83</v>
      </c>
      <c r="DP155" s="12" t="s">
        <v>83</v>
      </c>
      <c r="DQ155" s="12" t="s">
        <v>32</v>
      </c>
      <c r="DR155" s="12" t="s">
        <v>74</v>
      </c>
      <c r="DS155" s="150" t="s">
        <v>282</v>
      </c>
    </row>
    <row r="156" spans="2:137" s="13" customFormat="1" x14ac:dyDescent="0.2">
      <c r="B156" s="156"/>
      <c r="D156" s="138" t="s">
        <v>301</v>
      </c>
      <c r="E156" s="157" t="s">
        <v>1</v>
      </c>
      <c r="F156" s="158" t="s">
        <v>305</v>
      </c>
      <c r="H156" s="159">
        <v>6676</v>
      </c>
      <c r="I156" s="160"/>
      <c r="L156" s="156"/>
      <c r="N156" s="219">
        <f>SUM(N151:N155)</f>
        <v>6635.4800000000005</v>
      </c>
      <c r="O156" s="220"/>
      <c r="Q156" s="232"/>
      <c r="CG156" s="161"/>
      <c r="CN156" s="162"/>
      <c r="DN156" s="157" t="s">
        <v>301</v>
      </c>
      <c r="DO156" s="157" t="s">
        <v>83</v>
      </c>
      <c r="DP156" s="13" t="s">
        <v>95</v>
      </c>
      <c r="DQ156" s="13" t="s">
        <v>32</v>
      </c>
      <c r="DR156" s="13" t="s">
        <v>81</v>
      </c>
      <c r="DS156" s="157" t="s">
        <v>282</v>
      </c>
    </row>
    <row r="157" spans="2:137" s="13" customFormat="1" x14ac:dyDescent="0.2">
      <c r="B157" s="156"/>
      <c r="D157" s="138"/>
      <c r="E157" s="157"/>
      <c r="F157" s="158"/>
      <c r="H157" s="159"/>
      <c r="I157" s="160"/>
      <c r="L157" s="156"/>
      <c r="N157" s="311">
        <f>N156-H156</f>
        <v>-40.519999999999527</v>
      </c>
      <c r="O157" s="220"/>
      <c r="Q157" s="232"/>
      <c r="CG157" s="161"/>
      <c r="CN157" s="162"/>
      <c r="DN157" s="157"/>
      <c r="DO157" s="157"/>
      <c r="DS157" s="157"/>
    </row>
    <row r="158" spans="2:137" s="1" customFormat="1" ht="24.2" customHeight="1" x14ac:dyDescent="0.2">
      <c r="B158" s="124"/>
      <c r="C158" s="125" t="s">
        <v>312</v>
      </c>
      <c r="D158" s="125" t="s">
        <v>284</v>
      </c>
      <c r="E158" s="126" t="s">
        <v>313</v>
      </c>
      <c r="F158" s="127" t="s">
        <v>314</v>
      </c>
      <c r="G158" s="128" t="s">
        <v>315</v>
      </c>
      <c r="H158" s="129">
        <v>1</v>
      </c>
      <c r="I158" s="130">
        <v>3788.8627999999999</v>
      </c>
      <c r="J158" s="131">
        <f>ROUND(I158*H158,2)</f>
        <v>3788.86</v>
      </c>
      <c r="K158" s="127" t="s">
        <v>1</v>
      </c>
      <c r="L158" s="198">
        <f>S158</f>
        <v>0</v>
      </c>
      <c r="M158" s="206">
        <f>ROUND(L158*I158,2)</f>
        <v>0</v>
      </c>
      <c r="N158" s="211"/>
      <c r="O158" s="212">
        <f>ROUND(N158*I158,2)</f>
        <v>0</v>
      </c>
      <c r="P158" s="207">
        <f>H158-L158-N158</f>
        <v>1</v>
      </c>
      <c r="Q158" s="228">
        <f>ROUND(P158*I158,2)</f>
        <v>3788.86</v>
      </c>
      <c r="R158" s="199"/>
      <c r="S158" s="200">
        <f>W158+Y158+AA158+AC158+AE158++AG158+AI158+AK158+AM158+AO158+AQ158+AS158+AU158+AW158</f>
        <v>0</v>
      </c>
      <c r="T158" s="200">
        <f>ROUND(S158*I158,2)</f>
        <v>0</v>
      </c>
      <c r="U158" s="200">
        <f>H158-S158</f>
        <v>1</v>
      </c>
      <c r="V158" s="200">
        <f>ROUND(U158*I158,2)</f>
        <v>3788.86</v>
      </c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CG158" s="132" t="s">
        <v>1</v>
      </c>
      <c r="CH158" s="133" t="s">
        <v>40</v>
      </c>
      <c r="CJ158" s="134">
        <f>CI158*H158</f>
        <v>0</v>
      </c>
      <c r="CK158" s="134">
        <v>0</v>
      </c>
      <c r="CL158" s="134">
        <f>CK158*H158</f>
        <v>0</v>
      </c>
      <c r="CM158" s="134">
        <v>0</v>
      </c>
      <c r="CN158" s="135">
        <f>CM158*H158</f>
        <v>0</v>
      </c>
      <c r="DL158" s="136" t="s">
        <v>95</v>
      </c>
      <c r="DN158" s="136" t="s">
        <v>284</v>
      </c>
      <c r="DO158" s="136" t="s">
        <v>83</v>
      </c>
      <c r="DS158" s="16" t="s">
        <v>282</v>
      </c>
      <c r="DY158" s="137">
        <f>IF(CH158="základní",J158,0)</f>
        <v>3788.86</v>
      </c>
      <c r="DZ158" s="137">
        <f>IF(CH158="snížená",J158,0)</f>
        <v>0</v>
      </c>
      <c r="EA158" s="137">
        <f>IF(CH158="zákl. přenesená",J158,0)</f>
        <v>0</v>
      </c>
      <c r="EB158" s="137">
        <f>IF(CH158="sníž. přenesená",J158,0)</f>
        <v>0</v>
      </c>
      <c r="EC158" s="137">
        <f>IF(CH158="nulová",J158,0)</f>
        <v>0</v>
      </c>
      <c r="ED158" s="16" t="s">
        <v>81</v>
      </c>
      <c r="EE158" s="137">
        <f>ROUND(I158*H158,2)</f>
        <v>3788.86</v>
      </c>
      <c r="EF158" s="16" t="s">
        <v>95</v>
      </c>
      <c r="EG158" s="136" t="s">
        <v>316</v>
      </c>
    </row>
    <row r="159" spans="2:137" s="1" customFormat="1" ht="19.5" x14ac:dyDescent="0.2">
      <c r="B159" s="31"/>
      <c r="D159" s="138" t="s">
        <v>289</v>
      </c>
      <c r="F159" s="139" t="s">
        <v>314</v>
      </c>
      <c r="I159" s="140"/>
      <c r="L159" s="31"/>
      <c r="N159" s="213"/>
      <c r="O159" s="214"/>
      <c r="Q159" s="229"/>
      <c r="CG159" s="141"/>
      <c r="CN159" s="50"/>
      <c r="DN159" s="16" t="s">
        <v>289</v>
      </c>
      <c r="DO159" s="16" t="s">
        <v>83</v>
      </c>
    </row>
    <row r="160" spans="2:137" s="1" customFormat="1" ht="19.5" x14ac:dyDescent="0.2">
      <c r="B160" s="31"/>
      <c r="D160" s="138" t="s">
        <v>299</v>
      </c>
      <c r="F160" s="142" t="s">
        <v>317</v>
      </c>
      <c r="I160" s="140"/>
      <c r="L160" s="31"/>
      <c r="N160" s="213"/>
      <c r="O160" s="214"/>
      <c r="Q160" s="229"/>
      <c r="CG160" s="141"/>
      <c r="CN160" s="50"/>
      <c r="DN160" s="16" t="s">
        <v>299</v>
      </c>
      <c r="DO160" s="16" t="s">
        <v>83</v>
      </c>
    </row>
    <row r="161" spans="2:137" s="12" customFormat="1" x14ac:dyDescent="0.2">
      <c r="B161" s="149"/>
      <c r="D161" s="138" t="s">
        <v>301</v>
      </c>
      <c r="E161" s="150" t="s">
        <v>1</v>
      </c>
      <c r="F161" s="151" t="s">
        <v>81</v>
      </c>
      <c r="H161" s="152">
        <v>1</v>
      </c>
      <c r="I161" s="153"/>
      <c r="L161" s="149"/>
      <c r="N161" s="217"/>
      <c r="O161" s="218"/>
      <c r="Q161" s="231"/>
      <c r="CG161" s="154"/>
      <c r="CN161" s="155"/>
      <c r="DN161" s="150" t="s">
        <v>301</v>
      </c>
      <c r="DO161" s="150" t="s">
        <v>83</v>
      </c>
      <c r="DP161" s="12" t="s">
        <v>83</v>
      </c>
      <c r="DQ161" s="12" t="s">
        <v>32</v>
      </c>
      <c r="DR161" s="12" t="s">
        <v>81</v>
      </c>
      <c r="DS161" s="150" t="s">
        <v>282</v>
      </c>
    </row>
    <row r="162" spans="2:137" s="1" customFormat="1" ht="37.9" customHeight="1" x14ac:dyDescent="0.2">
      <c r="B162" s="124"/>
      <c r="C162" s="125" t="s">
        <v>318</v>
      </c>
      <c r="D162" s="125" t="s">
        <v>284</v>
      </c>
      <c r="E162" s="126" t="s">
        <v>319</v>
      </c>
      <c r="F162" s="127" t="s">
        <v>320</v>
      </c>
      <c r="G162" s="128" t="s">
        <v>321</v>
      </c>
      <c r="H162" s="129">
        <v>1</v>
      </c>
      <c r="I162" s="130">
        <v>14208.235500000001</v>
      </c>
      <c r="J162" s="131">
        <f>ROUND(I162*H162,2)</f>
        <v>14208.24</v>
      </c>
      <c r="K162" s="127" t="s">
        <v>1</v>
      </c>
      <c r="L162" s="198">
        <f>S162</f>
        <v>0</v>
      </c>
      <c r="M162" s="206">
        <f>ROUND(L162*I162,2)</f>
        <v>0</v>
      </c>
      <c r="N162" s="211"/>
      <c r="O162" s="212">
        <f>ROUND(N162*I162,2)</f>
        <v>0</v>
      </c>
      <c r="P162" s="207">
        <f>H162-L162-N162</f>
        <v>1</v>
      </c>
      <c r="Q162" s="228">
        <f>ROUND(P162*I162,2)</f>
        <v>14208.24</v>
      </c>
      <c r="R162" s="199"/>
      <c r="S162" s="200">
        <f>W162+Y162+AA162+AC162+AE162++AG162+AI162+AK162+AM162+AO162+AQ162+AS162+AU162+AW162</f>
        <v>0</v>
      </c>
      <c r="T162" s="200">
        <f>ROUND(S162*I162,2)</f>
        <v>0</v>
      </c>
      <c r="U162" s="200">
        <f>H162-S162</f>
        <v>1</v>
      </c>
      <c r="V162" s="200">
        <f>ROUND(U162*I162,2)</f>
        <v>14208.24</v>
      </c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CG162" s="132" t="s">
        <v>1</v>
      </c>
      <c r="CH162" s="133" t="s">
        <v>40</v>
      </c>
      <c r="CJ162" s="134">
        <f>CI162*H162</f>
        <v>0</v>
      </c>
      <c r="CK162" s="134">
        <v>0</v>
      </c>
      <c r="CL162" s="134">
        <f>CK162*H162</f>
        <v>0</v>
      </c>
      <c r="CM162" s="134">
        <v>0</v>
      </c>
      <c r="CN162" s="135">
        <f>CM162*H162</f>
        <v>0</v>
      </c>
      <c r="DL162" s="136" t="s">
        <v>95</v>
      </c>
      <c r="DN162" s="136" t="s">
        <v>284</v>
      </c>
      <c r="DO162" s="136" t="s">
        <v>83</v>
      </c>
      <c r="DS162" s="16" t="s">
        <v>282</v>
      </c>
      <c r="DY162" s="137">
        <f>IF(CH162="základní",J162,0)</f>
        <v>14208.24</v>
      </c>
      <c r="DZ162" s="137">
        <f>IF(CH162="snížená",J162,0)</f>
        <v>0</v>
      </c>
      <c r="EA162" s="137">
        <f>IF(CH162="zákl. přenesená",J162,0)</f>
        <v>0</v>
      </c>
      <c r="EB162" s="137">
        <f>IF(CH162="sníž. přenesená",J162,0)</f>
        <v>0</v>
      </c>
      <c r="EC162" s="137">
        <f>IF(CH162="nulová",J162,0)</f>
        <v>0</v>
      </c>
      <c r="ED162" s="16" t="s">
        <v>81</v>
      </c>
      <c r="EE162" s="137">
        <f>ROUND(I162*H162,2)</f>
        <v>14208.24</v>
      </c>
      <c r="EF162" s="16" t="s">
        <v>95</v>
      </c>
      <c r="EG162" s="136" t="s">
        <v>1439</v>
      </c>
    </row>
    <row r="163" spans="2:137" s="1" customFormat="1" ht="19.5" x14ac:dyDescent="0.2">
      <c r="B163" s="31"/>
      <c r="D163" s="138" t="s">
        <v>289</v>
      </c>
      <c r="F163" s="139" t="s">
        <v>320</v>
      </c>
      <c r="I163" s="140"/>
      <c r="L163" s="31"/>
      <c r="N163" s="213"/>
      <c r="O163" s="214"/>
      <c r="Q163" s="229"/>
      <c r="CG163" s="141"/>
      <c r="CN163" s="50"/>
      <c r="DN163" s="16" t="s">
        <v>289</v>
      </c>
      <c r="DO163" s="16" t="s">
        <v>83</v>
      </c>
    </row>
    <row r="164" spans="2:137" s="1" customFormat="1" ht="19.5" x14ac:dyDescent="0.2">
      <c r="B164" s="31"/>
      <c r="D164" s="138" t="s">
        <v>299</v>
      </c>
      <c r="F164" s="142" t="s">
        <v>317</v>
      </c>
      <c r="I164" s="140"/>
      <c r="L164" s="31"/>
      <c r="N164" s="213"/>
      <c r="O164" s="214"/>
      <c r="Q164" s="229"/>
      <c r="CG164" s="141"/>
      <c r="CN164" s="50"/>
      <c r="DN164" s="16" t="s">
        <v>299</v>
      </c>
      <c r="DO164" s="16" t="s">
        <v>83</v>
      </c>
    </row>
    <row r="165" spans="2:137" s="1" customFormat="1" ht="24.2" customHeight="1" x14ac:dyDescent="0.2">
      <c r="B165" s="124"/>
      <c r="C165" s="125" t="s">
        <v>323</v>
      </c>
      <c r="D165" s="125" t="s">
        <v>284</v>
      </c>
      <c r="E165" s="126" t="s">
        <v>324</v>
      </c>
      <c r="F165" s="127" t="s">
        <v>325</v>
      </c>
      <c r="G165" s="128" t="s">
        <v>315</v>
      </c>
      <c r="H165" s="129">
        <v>20</v>
      </c>
      <c r="I165" s="130">
        <v>1847.0706150000001</v>
      </c>
      <c r="J165" s="131">
        <f>ROUND(I165*H165,2)</f>
        <v>36941.410000000003</v>
      </c>
      <c r="K165" s="127" t="s">
        <v>1</v>
      </c>
      <c r="L165" s="198">
        <f>S165</f>
        <v>0</v>
      </c>
      <c r="M165" s="206">
        <f>ROUND(L165*I165,2)</f>
        <v>0</v>
      </c>
      <c r="N165" s="211"/>
      <c r="O165" s="212">
        <f>ROUND(N165*I165,2)</f>
        <v>0</v>
      </c>
      <c r="P165" s="207">
        <f>H165-L165-N165</f>
        <v>20</v>
      </c>
      <c r="Q165" s="228">
        <f>ROUND(P165*I165,2)</f>
        <v>36941.410000000003</v>
      </c>
      <c r="R165" s="199"/>
      <c r="S165" s="200">
        <f>W165+Y165+AA165+AC165+AE165++AG165+AI165+AK165+AM165+AO165+AQ165+AS165+AU165+AW165</f>
        <v>0</v>
      </c>
      <c r="T165" s="200">
        <f>ROUND(S165*I165,2)</f>
        <v>0</v>
      </c>
      <c r="U165" s="200">
        <f>H165-S165</f>
        <v>20</v>
      </c>
      <c r="V165" s="200">
        <f>ROUND(U165*I165,2)</f>
        <v>36941.410000000003</v>
      </c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CG165" s="132" t="s">
        <v>1</v>
      </c>
      <c r="CH165" s="133" t="s">
        <v>40</v>
      </c>
      <c r="CJ165" s="134">
        <f>CI165*H165</f>
        <v>0</v>
      </c>
      <c r="CK165" s="134">
        <v>0</v>
      </c>
      <c r="CL165" s="134">
        <f>CK165*H165</f>
        <v>0</v>
      </c>
      <c r="CM165" s="134">
        <v>0</v>
      </c>
      <c r="CN165" s="135">
        <f>CM165*H165</f>
        <v>0</v>
      </c>
      <c r="DL165" s="136" t="s">
        <v>95</v>
      </c>
      <c r="DN165" s="136" t="s">
        <v>284</v>
      </c>
      <c r="DO165" s="136" t="s">
        <v>83</v>
      </c>
      <c r="DS165" s="16" t="s">
        <v>282</v>
      </c>
      <c r="DY165" s="137">
        <f>IF(CH165="základní",J165,0)</f>
        <v>36941.410000000003</v>
      </c>
      <c r="DZ165" s="137">
        <f>IF(CH165="snížená",J165,0)</f>
        <v>0</v>
      </c>
      <c r="EA165" s="137">
        <f>IF(CH165="zákl. přenesená",J165,0)</f>
        <v>0</v>
      </c>
      <c r="EB165" s="137">
        <f>IF(CH165="sníž. přenesená",J165,0)</f>
        <v>0</v>
      </c>
      <c r="EC165" s="137">
        <f>IF(CH165="nulová",J165,0)</f>
        <v>0</v>
      </c>
      <c r="ED165" s="16" t="s">
        <v>81</v>
      </c>
      <c r="EE165" s="137">
        <f>ROUND(I165*H165,2)</f>
        <v>36941.410000000003</v>
      </c>
      <c r="EF165" s="16" t="s">
        <v>95</v>
      </c>
      <c r="EG165" s="136" t="s">
        <v>326</v>
      </c>
    </row>
    <row r="166" spans="2:137" s="1" customFormat="1" ht="19.5" x14ac:dyDescent="0.2">
      <c r="B166" s="31"/>
      <c r="D166" s="138" t="s">
        <v>289</v>
      </c>
      <c r="F166" s="139" t="s">
        <v>325</v>
      </c>
      <c r="I166" s="140"/>
      <c r="L166" s="31"/>
      <c r="N166" s="213"/>
      <c r="O166" s="214"/>
      <c r="Q166" s="229"/>
      <c r="CG166" s="141"/>
      <c r="CN166" s="50"/>
      <c r="DN166" s="16" t="s">
        <v>289</v>
      </c>
      <c r="DO166" s="16" t="s">
        <v>83</v>
      </c>
    </row>
    <row r="167" spans="2:137" s="1" customFormat="1" ht="19.5" x14ac:dyDescent="0.2">
      <c r="B167" s="31"/>
      <c r="D167" s="138" t="s">
        <v>299</v>
      </c>
      <c r="F167" s="142" t="s">
        <v>317</v>
      </c>
      <c r="I167" s="140"/>
      <c r="L167" s="31"/>
      <c r="N167" s="213"/>
      <c r="O167" s="214"/>
      <c r="Q167" s="229"/>
      <c r="CG167" s="141"/>
      <c r="CN167" s="50"/>
      <c r="DN167" s="16" t="s">
        <v>299</v>
      </c>
      <c r="DO167" s="16" t="s">
        <v>83</v>
      </c>
    </row>
    <row r="168" spans="2:137" s="12" customFormat="1" x14ac:dyDescent="0.2">
      <c r="B168" s="149"/>
      <c r="D168" s="138" t="s">
        <v>301</v>
      </c>
      <c r="E168" s="150" t="s">
        <v>1</v>
      </c>
      <c r="F168" s="151" t="s">
        <v>404</v>
      </c>
      <c r="H168" s="152">
        <v>20</v>
      </c>
      <c r="I168" s="153"/>
      <c r="L168" s="149"/>
      <c r="N168" s="217"/>
      <c r="O168" s="218"/>
      <c r="Q168" s="231"/>
      <c r="CG168" s="154"/>
      <c r="CN168" s="155"/>
      <c r="DN168" s="150" t="s">
        <v>301</v>
      </c>
      <c r="DO168" s="150" t="s">
        <v>83</v>
      </c>
      <c r="DP168" s="12" t="s">
        <v>83</v>
      </c>
      <c r="DQ168" s="12" t="s">
        <v>32</v>
      </c>
      <c r="DR168" s="12" t="s">
        <v>81</v>
      </c>
      <c r="DS168" s="150" t="s">
        <v>282</v>
      </c>
    </row>
    <row r="169" spans="2:137" s="1" customFormat="1" ht="24.2" customHeight="1" x14ac:dyDescent="0.2">
      <c r="B169" s="124"/>
      <c r="C169" s="125" t="s">
        <v>328</v>
      </c>
      <c r="D169" s="125" t="s">
        <v>284</v>
      </c>
      <c r="E169" s="126" t="s">
        <v>329</v>
      </c>
      <c r="F169" s="127" t="s">
        <v>330</v>
      </c>
      <c r="G169" s="128" t="s">
        <v>331</v>
      </c>
      <c r="H169" s="129">
        <v>1200</v>
      </c>
      <c r="I169" s="130">
        <v>70.957591385341729</v>
      </c>
      <c r="J169" s="131">
        <f>ROUND(I169*H169,2)</f>
        <v>85149.11</v>
      </c>
      <c r="K169" s="127" t="s">
        <v>293</v>
      </c>
      <c r="L169" s="198">
        <f>S169</f>
        <v>0</v>
      </c>
      <c r="M169" s="206">
        <f>ROUND(L169*I169,2)</f>
        <v>0</v>
      </c>
      <c r="N169" s="211"/>
      <c r="O169" s="212">
        <f>ROUND(N169*I169,2)</f>
        <v>0</v>
      </c>
      <c r="P169" s="207">
        <f>H169-L169-N169</f>
        <v>1200</v>
      </c>
      <c r="Q169" s="228">
        <f>ROUND(P169*I169,2)</f>
        <v>85149.11</v>
      </c>
      <c r="R169" s="199"/>
      <c r="S169" s="200">
        <f>W169+Y169+AA169+AC169+AE169++AG169+AI169+AK169+AM169+AO169+AQ169+AS169+AU169+AW169</f>
        <v>0</v>
      </c>
      <c r="T169" s="200">
        <f>ROUND(S169*I169,2)</f>
        <v>0</v>
      </c>
      <c r="U169" s="200">
        <f>H169-S169</f>
        <v>1200</v>
      </c>
      <c r="V169" s="200">
        <f>ROUND(U169*I169,2)</f>
        <v>85149.11</v>
      </c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CG169" s="132" t="s">
        <v>1</v>
      </c>
      <c r="CH169" s="133" t="s">
        <v>40</v>
      </c>
      <c r="CJ169" s="134">
        <f>CI169*H169</f>
        <v>0</v>
      </c>
      <c r="CK169" s="134">
        <v>3.0000000000000001E-5</v>
      </c>
      <c r="CL169" s="134">
        <f>CK169*H169</f>
        <v>3.6000000000000004E-2</v>
      </c>
      <c r="CM169" s="134">
        <v>0</v>
      </c>
      <c r="CN169" s="135">
        <f>CM169*H169</f>
        <v>0</v>
      </c>
      <c r="DL169" s="136" t="s">
        <v>95</v>
      </c>
      <c r="DN169" s="136" t="s">
        <v>284</v>
      </c>
      <c r="DO169" s="136" t="s">
        <v>83</v>
      </c>
      <c r="DS169" s="16" t="s">
        <v>282</v>
      </c>
      <c r="DY169" s="137">
        <f>IF(CH169="základní",J169,0)</f>
        <v>85149.11</v>
      </c>
      <c r="DZ169" s="137">
        <f>IF(CH169="snížená",J169,0)</f>
        <v>0</v>
      </c>
      <c r="EA169" s="137">
        <f>IF(CH169="zákl. přenesená",J169,0)</f>
        <v>0</v>
      </c>
      <c r="EB169" s="137">
        <f>IF(CH169="sníž. přenesená",J169,0)</f>
        <v>0</v>
      </c>
      <c r="EC169" s="137">
        <f>IF(CH169="nulová",J169,0)</f>
        <v>0</v>
      </c>
      <c r="ED169" s="16" t="s">
        <v>81</v>
      </c>
      <c r="EE169" s="137">
        <f>ROUND(I169*H169,2)</f>
        <v>85149.11</v>
      </c>
      <c r="EF169" s="16" t="s">
        <v>95</v>
      </c>
      <c r="EG169" s="136" t="s">
        <v>332</v>
      </c>
    </row>
    <row r="170" spans="2:137" s="1" customFormat="1" ht="19.5" x14ac:dyDescent="0.2">
      <c r="B170" s="31"/>
      <c r="D170" s="138" t="s">
        <v>289</v>
      </c>
      <c r="F170" s="139" t="s">
        <v>333</v>
      </c>
      <c r="I170" s="140"/>
      <c r="L170" s="31"/>
      <c r="N170" s="213"/>
      <c r="O170" s="214"/>
      <c r="Q170" s="229"/>
      <c r="CG170" s="141"/>
      <c r="CN170" s="50"/>
      <c r="DN170" s="16" t="s">
        <v>289</v>
      </c>
      <c r="DO170" s="16" t="s">
        <v>83</v>
      </c>
    </row>
    <row r="171" spans="2:137" s="12" customFormat="1" x14ac:dyDescent="0.2">
      <c r="B171" s="149"/>
      <c r="D171" s="138" t="s">
        <v>301</v>
      </c>
      <c r="E171" s="150" t="s">
        <v>1</v>
      </c>
      <c r="F171" s="151" t="s">
        <v>334</v>
      </c>
      <c r="H171" s="152">
        <v>1200</v>
      </c>
      <c r="I171" s="153"/>
      <c r="L171" s="149"/>
      <c r="N171" s="217"/>
      <c r="O171" s="218"/>
      <c r="Q171" s="231"/>
      <c r="CG171" s="154"/>
      <c r="CN171" s="155"/>
      <c r="DN171" s="150" t="s">
        <v>301</v>
      </c>
      <c r="DO171" s="150" t="s">
        <v>83</v>
      </c>
      <c r="DP171" s="12" t="s">
        <v>83</v>
      </c>
      <c r="DQ171" s="12" t="s">
        <v>32</v>
      </c>
      <c r="DR171" s="12" t="s">
        <v>81</v>
      </c>
      <c r="DS171" s="150" t="s">
        <v>282</v>
      </c>
    </row>
    <row r="172" spans="2:137" s="1" customFormat="1" ht="24.2" customHeight="1" x14ac:dyDescent="0.2">
      <c r="B172" s="124"/>
      <c r="C172" s="125" t="s">
        <v>335</v>
      </c>
      <c r="D172" s="125" t="s">
        <v>284</v>
      </c>
      <c r="E172" s="126" t="s">
        <v>336</v>
      </c>
      <c r="F172" s="127" t="s">
        <v>337</v>
      </c>
      <c r="G172" s="128" t="s">
        <v>338</v>
      </c>
      <c r="H172" s="129">
        <v>150</v>
      </c>
      <c r="I172" s="130">
        <v>41.621835247115101</v>
      </c>
      <c r="J172" s="131">
        <f>ROUND(I172*H172,2)</f>
        <v>6243.28</v>
      </c>
      <c r="K172" s="127" t="s">
        <v>293</v>
      </c>
      <c r="L172" s="198">
        <f>S172</f>
        <v>0</v>
      </c>
      <c r="M172" s="206">
        <f>ROUND(L172*I172,2)</f>
        <v>0</v>
      </c>
      <c r="N172" s="211"/>
      <c r="O172" s="212">
        <f>ROUND(N172*I172,2)</f>
        <v>0</v>
      </c>
      <c r="P172" s="207">
        <f>H172-L172-N172</f>
        <v>150</v>
      </c>
      <c r="Q172" s="228">
        <f>ROUND(P172*I172,2)</f>
        <v>6243.28</v>
      </c>
      <c r="R172" s="199"/>
      <c r="S172" s="200">
        <f>W172+Y172+AA172+AC172+AE172++AG172+AI172+AK172+AM172+AO172+AQ172+AS172+AU172+AW172</f>
        <v>0</v>
      </c>
      <c r="T172" s="200">
        <f>ROUND(S172*I172,2)</f>
        <v>0</v>
      </c>
      <c r="U172" s="200">
        <f>H172-S172</f>
        <v>150</v>
      </c>
      <c r="V172" s="200">
        <f>ROUND(U172*I172,2)</f>
        <v>6243.28</v>
      </c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200"/>
      <c r="CG172" s="132" t="s">
        <v>1</v>
      </c>
      <c r="CH172" s="133" t="s">
        <v>40</v>
      </c>
      <c r="CJ172" s="134">
        <f>CI172*H172</f>
        <v>0</v>
      </c>
      <c r="CK172" s="134">
        <v>0</v>
      </c>
      <c r="CL172" s="134">
        <f>CK172*H172</f>
        <v>0</v>
      </c>
      <c r="CM172" s="134">
        <v>0</v>
      </c>
      <c r="CN172" s="135">
        <f>CM172*H172</f>
        <v>0</v>
      </c>
      <c r="DL172" s="136" t="s">
        <v>95</v>
      </c>
      <c r="DN172" s="136" t="s">
        <v>284</v>
      </c>
      <c r="DO172" s="136" t="s">
        <v>83</v>
      </c>
      <c r="DS172" s="16" t="s">
        <v>282</v>
      </c>
      <c r="DY172" s="137">
        <f>IF(CH172="základní",J172,0)</f>
        <v>6243.28</v>
      </c>
      <c r="DZ172" s="137">
        <f>IF(CH172="snížená",J172,0)</f>
        <v>0</v>
      </c>
      <c r="EA172" s="137">
        <f>IF(CH172="zákl. přenesená",J172,0)</f>
        <v>0</v>
      </c>
      <c r="EB172" s="137">
        <f>IF(CH172="sníž. přenesená",J172,0)</f>
        <v>0</v>
      </c>
      <c r="EC172" s="137">
        <f>IF(CH172="nulová",J172,0)</f>
        <v>0</v>
      </c>
      <c r="ED172" s="16" t="s">
        <v>81</v>
      </c>
      <c r="EE172" s="137">
        <f>ROUND(I172*H172,2)</f>
        <v>6243.28</v>
      </c>
      <c r="EF172" s="16" t="s">
        <v>95</v>
      </c>
      <c r="EG172" s="136" t="s">
        <v>339</v>
      </c>
    </row>
    <row r="173" spans="2:137" s="1" customFormat="1" ht="19.5" x14ac:dyDescent="0.2">
      <c r="B173" s="31"/>
      <c r="D173" s="138" t="s">
        <v>289</v>
      </c>
      <c r="F173" s="139" t="s">
        <v>340</v>
      </c>
      <c r="I173" s="140"/>
      <c r="L173" s="31"/>
      <c r="N173" s="213"/>
      <c r="O173" s="214"/>
      <c r="Q173" s="229"/>
      <c r="CG173" s="141"/>
      <c r="CN173" s="50"/>
      <c r="DN173" s="16" t="s">
        <v>289</v>
      </c>
      <c r="DO173" s="16" t="s">
        <v>83</v>
      </c>
    </row>
    <row r="174" spans="2:137" s="1" customFormat="1" ht="14.45" customHeight="1" x14ac:dyDescent="0.2">
      <c r="B174" s="124"/>
      <c r="C174" s="125" t="s">
        <v>341</v>
      </c>
      <c r="D174" s="125" t="s">
        <v>284</v>
      </c>
      <c r="E174" s="126" t="s">
        <v>342</v>
      </c>
      <c r="F174" s="127" t="s">
        <v>343</v>
      </c>
      <c r="G174" s="128" t="s">
        <v>344</v>
      </c>
      <c r="H174" s="129">
        <v>19.05</v>
      </c>
      <c r="I174" s="130">
        <v>235.02024596209694</v>
      </c>
      <c r="J174" s="131">
        <f>ROUND(I174*H174,2)</f>
        <v>4477.1400000000003</v>
      </c>
      <c r="K174" s="127" t="s">
        <v>293</v>
      </c>
      <c r="L174" s="198">
        <f>S174</f>
        <v>0</v>
      </c>
      <c r="M174" s="206">
        <f>ROUND(L174*I174,2)</f>
        <v>0</v>
      </c>
      <c r="N174" s="211"/>
      <c r="O174" s="212">
        <f>ROUND(N174*I174,2)</f>
        <v>0</v>
      </c>
      <c r="P174" s="207">
        <f>H174-L174-N174</f>
        <v>19.05</v>
      </c>
      <c r="Q174" s="228">
        <f>ROUND(P174*I174,2)</f>
        <v>4477.1400000000003</v>
      </c>
      <c r="R174" s="199"/>
      <c r="S174" s="200">
        <f>W174+Y174+AA174+AC174+AE174++AG174+AI174+AK174+AM174+AO174+AQ174+AS174+AU174+AW174</f>
        <v>0</v>
      </c>
      <c r="T174" s="200">
        <f>ROUND(S174*I174,2)</f>
        <v>0</v>
      </c>
      <c r="U174" s="200">
        <f>H174-S174</f>
        <v>19.05</v>
      </c>
      <c r="V174" s="200">
        <f>ROUND(U174*I174,2)</f>
        <v>4477.1400000000003</v>
      </c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CG174" s="132" t="s">
        <v>1</v>
      </c>
      <c r="CH174" s="133" t="s">
        <v>40</v>
      </c>
      <c r="CJ174" s="134">
        <f>CI174*H174</f>
        <v>0</v>
      </c>
      <c r="CK174" s="134">
        <v>3.6900000000000002E-2</v>
      </c>
      <c r="CL174" s="134">
        <f>CK174*H174</f>
        <v>0.70294500000000004</v>
      </c>
      <c r="CM174" s="134">
        <v>0</v>
      </c>
      <c r="CN174" s="135">
        <f>CM174*H174</f>
        <v>0</v>
      </c>
      <c r="DL174" s="136" t="s">
        <v>95</v>
      </c>
      <c r="DN174" s="136" t="s">
        <v>284</v>
      </c>
      <c r="DO174" s="136" t="s">
        <v>83</v>
      </c>
      <c r="DS174" s="16" t="s">
        <v>282</v>
      </c>
      <c r="DY174" s="137">
        <f>IF(CH174="základní",J174,0)</f>
        <v>4477.1400000000003</v>
      </c>
      <c r="DZ174" s="137">
        <f>IF(CH174="snížená",J174,0)</f>
        <v>0</v>
      </c>
      <c r="EA174" s="137">
        <f>IF(CH174="zákl. přenesená",J174,0)</f>
        <v>0</v>
      </c>
      <c r="EB174" s="137">
        <f>IF(CH174="sníž. přenesená",J174,0)</f>
        <v>0</v>
      </c>
      <c r="EC174" s="137">
        <f>IF(CH174="nulová",J174,0)</f>
        <v>0</v>
      </c>
      <c r="ED174" s="16" t="s">
        <v>81</v>
      </c>
      <c r="EE174" s="137">
        <f>ROUND(I174*H174,2)</f>
        <v>4477.1400000000003</v>
      </c>
      <c r="EF174" s="16" t="s">
        <v>95</v>
      </c>
      <c r="EG174" s="136" t="s">
        <v>345</v>
      </c>
    </row>
    <row r="175" spans="2:137" s="1" customFormat="1" ht="58.5" x14ac:dyDescent="0.2">
      <c r="B175" s="31"/>
      <c r="D175" s="138" t="s">
        <v>289</v>
      </c>
      <c r="F175" s="139" t="s">
        <v>346</v>
      </c>
      <c r="I175" s="140"/>
      <c r="L175" s="31"/>
      <c r="N175" s="213"/>
      <c r="O175" s="214"/>
      <c r="Q175" s="229"/>
      <c r="CG175" s="141"/>
      <c r="CN175" s="50"/>
      <c r="DN175" s="16" t="s">
        <v>289</v>
      </c>
      <c r="DO175" s="16" t="s">
        <v>83</v>
      </c>
    </row>
    <row r="176" spans="2:137" s="1" customFormat="1" ht="29.25" x14ac:dyDescent="0.2">
      <c r="B176" s="31"/>
      <c r="D176" s="138" t="s">
        <v>299</v>
      </c>
      <c r="F176" s="142" t="s">
        <v>1426</v>
      </c>
      <c r="I176" s="140"/>
      <c r="L176" s="31"/>
      <c r="N176" s="213"/>
      <c r="O176" s="214"/>
      <c r="Q176" s="229"/>
      <c r="CG176" s="141"/>
      <c r="CN176" s="50"/>
      <c r="DN176" s="16" t="s">
        <v>299</v>
      </c>
      <c r="DO176" s="16" t="s">
        <v>83</v>
      </c>
    </row>
    <row r="177" spans="2:137" s="12" customFormat="1" x14ac:dyDescent="0.2">
      <c r="B177" s="149"/>
      <c r="D177" s="138" t="s">
        <v>301</v>
      </c>
      <c r="E177" s="150" t="s">
        <v>1</v>
      </c>
      <c r="F177" s="151" t="s">
        <v>1440</v>
      </c>
      <c r="H177" s="152">
        <v>17.850000000000001</v>
      </c>
      <c r="I177" s="153"/>
      <c r="L177" s="149"/>
      <c r="N177" s="217"/>
      <c r="O177" s="218"/>
      <c r="Q177" s="231"/>
      <c r="CG177" s="154"/>
      <c r="CN177" s="155"/>
      <c r="DN177" s="150" t="s">
        <v>301</v>
      </c>
      <c r="DO177" s="150" t="s">
        <v>83</v>
      </c>
      <c r="DP177" s="12" t="s">
        <v>83</v>
      </c>
      <c r="DQ177" s="12" t="s">
        <v>32</v>
      </c>
      <c r="DR177" s="12" t="s">
        <v>74</v>
      </c>
      <c r="DS177" s="150" t="s">
        <v>282</v>
      </c>
    </row>
    <row r="178" spans="2:137" s="12" customFormat="1" x14ac:dyDescent="0.2">
      <c r="B178" s="149"/>
      <c r="D178" s="138" t="s">
        <v>301</v>
      </c>
      <c r="E178" s="150" t="s">
        <v>1</v>
      </c>
      <c r="F178" s="151" t="s">
        <v>1441</v>
      </c>
      <c r="H178" s="152">
        <v>1.2</v>
      </c>
      <c r="I178" s="153"/>
      <c r="L178" s="149"/>
      <c r="N178" s="217"/>
      <c r="O178" s="218"/>
      <c r="Q178" s="231"/>
      <c r="CG178" s="154"/>
      <c r="CN178" s="155"/>
      <c r="DN178" s="150" t="s">
        <v>301</v>
      </c>
      <c r="DO178" s="150" t="s">
        <v>83</v>
      </c>
      <c r="DP178" s="12" t="s">
        <v>83</v>
      </c>
      <c r="DQ178" s="12" t="s">
        <v>32</v>
      </c>
      <c r="DR178" s="12" t="s">
        <v>74</v>
      </c>
      <c r="DS178" s="150" t="s">
        <v>282</v>
      </c>
    </row>
    <row r="179" spans="2:137" s="13" customFormat="1" x14ac:dyDescent="0.2">
      <c r="B179" s="156"/>
      <c r="D179" s="138" t="s">
        <v>301</v>
      </c>
      <c r="E179" s="157" t="s">
        <v>1</v>
      </c>
      <c r="F179" s="158" t="s">
        <v>305</v>
      </c>
      <c r="H179" s="159">
        <v>19.05</v>
      </c>
      <c r="I179" s="160"/>
      <c r="L179" s="156"/>
      <c r="N179" s="219"/>
      <c r="O179" s="220"/>
      <c r="Q179" s="232"/>
      <c r="CG179" s="161"/>
      <c r="CN179" s="162"/>
      <c r="DN179" s="157" t="s">
        <v>301</v>
      </c>
      <c r="DO179" s="157" t="s">
        <v>83</v>
      </c>
      <c r="DP179" s="13" t="s">
        <v>95</v>
      </c>
      <c r="DQ179" s="13" t="s">
        <v>32</v>
      </c>
      <c r="DR179" s="13" t="s">
        <v>81</v>
      </c>
      <c r="DS179" s="157" t="s">
        <v>282</v>
      </c>
    </row>
    <row r="180" spans="2:137" s="1" customFormat="1" ht="24.2" customHeight="1" x14ac:dyDescent="0.2">
      <c r="B180" s="124"/>
      <c r="C180" s="125" t="s">
        <v>348</v>
      </c>
      <c r="D180" s="125" t="s">
        <v>284</v>
      </c>
      <c r="E180" s="126" t="s">
        <v>349</v>
      </c>
      <c r="F180" s="127" t="s">
        <v>350</v>
      </c>
      <c r="G180" s="128" t="s">
        <v>344</v>
      </c>
      <c r="H180" s="129">
        <v>19.05</v>
      </c>
      <c r="I180" s="130">
        <v>225.71950862012659</v>
      </c>
      <c r="J180" s="131">
        <f>ROUND(I180*H180,2)</f>
        <v>4299.96</v>
      </c>
      <c r="K180" s="127" t="s">
        <v>293</v>
      </c>
      <c r="L180" s="198">
        <f>S180</f>
        <v>0</v>
      </c>
      <c r="M180" s="206">
        <f>ROUND(L180*I180,2)</f>
        <v>0</v>
      </c>
      <c r="N180" s="211"/>
      <c r="O180" s="212">
        <f>ROUND(N180*I180,2)</f>
        <v>0</v>
      </c>
      <c r="P180" s="207">
        <f>H180-L180-N180</f>
        <v>19.05</v>
      </c>
      <c r="Q180" s="228">
        <f>ROUND(P180*I180,2)</f>
        <v>4299.96</v>
      </c>
      <c r="R180" s="199"/>
      <c r="S180" s="200">
        <f>W180+Y180+AA180+AC180+AE180++AG180+AI180+AK180+AM180+AO180+AQ180+AS180+AU180+AW180</f>
        <v>0</v>
      </c>
      <c r="T180" s="200">
        <f>ROUND(S180*I180,2)</f>
        <v>0</v>
      </c>
      <c r="U180" s="200">
        <f>H180-S180</f>
        <v>19.05</v>
      </c>
      <c r="V180" s="200">
        <f>ROUND(U180*I180,2)</f>
        <v>4299.96</v>
      </c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200"/>
      <c r="CG180" s="132" t="s">
        <v>1</v>
      </c>
      <c r="CH180" s="133" t="s">
        <v>40</v>
      </c>
      <c r="CJ180" s="134">
        <f>CI180*H180</f>
        <v>0</v>
      </c>
      <c r="CK180" s="134">
        <v>3.6900000000000002E-2</v>
      </c>
      <c r="CL180" s="134">
        <f>CK180*H180</f>
        <v>0.70294500000000004</v>
      </c>
      <c r="CM180" s="134">
        <v>0</v>
      </c>
      <c r="CN180" s="135">
        <f>CM180*H180</f>
        <v>0</v>
      </c>
      <c r="DL180" s="136" t="s">
        <v>95</v>
      </c>
      <c r="DN180" s="136" t="s">
        <v>284</v>
      </c>
      <c r="DO180" s="136" t="s">
        <v>83</v>
      </c>
      <c r="DS180" s="16" t="s">
        <v>282</v>
      </c>
      <c r="DY180" s="137">
        <f>IF(CH180="základní",J180,0)</f>
        <v>4299.96</v>
      </c>
      <c r="DZ180" s="137">
        <f>IF(CH180="snížená",J180,0)</f>
        <v>0</v>
      </c>
      <c r="EA180" s="137">
        <f>IF(CH180="zákl. přenesená",J180,0)</f>
        <v>0</v>
      </c>
      <c r="EB180" s="137">
        <f>IF(CH180="sníž. přenesená",J180,0)</f>
        <v>0</v>
      </c>
      <c r="EC180" s="137">
        <f>IF(CH180="nulová",J180,0)</f>
        <v>0</v>
      </c>
      <c r="ED180" s="16" t="s">
        <v>81</v>
      </c>
      <c r="EE180" s="137">
        <f>ROUND(I180*H180,2)</f>
        <v>4299.96</v>
      </c>
      <c r="EF180" s="16" t="s">
        <v>95</v>
      </c>
      <c r="EG180" s="136" t="s">
        <v>351</v>
      </c>
    </row>
    <row r="181" spans="2:137" s="1" customFormat="1" ht="58.5" x14ac:dyDescent="0.2">
      <c r="B181" s="31"/>
      <c r="D181" s="138" t="s">
        <v>289</v>
      </c>
      <c r="F181" s="139" t="s">
        <v>352</v>
      </c>
      <c r="I181" s="140"/>
      <c r="L181" s="31"/>
      <c r="N181" s="213"/>
      <c r="O181" s="214"/>
      <c r="Q181" s="229"/>
      <c r="CG181" s="141"/>
      <c r="CN181" s="50"/>
      <c r="DN181" s="16" t="s">
        <v>289</v>
      </c>
      <c r="DO181" s="16" t="s">
        <v>83</v>
      </c>
    </row>
    <row r="182" spans="2:137" s="1" customFormat="1" ht="29.25" x14ac:dyDescent="0.2">
      <c r="B182" s="31"/>
      <c r="D182" s="138" t="s">
        <v>299</v>
      </c>
      <c r="F182" s="142" t="s">
        <v>1426</v>
      </c>
      <c r="I182" s="140"/>
      <c r="L182" s="31"/>
      <c r="N182" s="213"/>
      <c r="O182" s="214"/>
      <c r="Q182" s="229"/>
      <c r="CG182" s="141"/>
      <c r="CN182" s="50"/>
      <c r="DN182" s="16" t="s">
        <v>299</v>
      </c>
      <c r="DO182" s="16" t="s">
        <v>83</v>
      </c>
    </row>
    <row r="183" spans="2:137" s="12" customFormat="1" x14ac:dyDescent="0.2">
      <c r="B183" s="149"/>
      <c r="D183" s="138" t="s">
        <v>301</v>
      </c>
      <c r="E183" s="150" t="s">
        <v>1</v>
      </c>
      <c r="F183" s="151" t="s">
        <v>1440</v>
      </c>
      <c r="H183" s="152">
        <v>17.850000000000001</v>
      </c>
      <c r="I183" s="153"/>
      <c r="L183" s="149"/>
      <c r="N183" s="217"/>
      <c r="O183" s="218"/>
      <c r="Q183" s="231"/>
      <c r="CG183" s="154"/>
      <c r="CN183" s="155"/>
      <c r="DN183" s="150" t="s">
        <v>301</v>
      </c>
      <c r="DO183" s="150" t="s">
        <v>83</v>
      </c>
      <c r="DP183" s="12" t="s">
        <v>83</v>
      </c>
      <c r="DQ183" s="12" t="s">
        <v>32</v>
      </c>
      <c r="DR183" s="12" t="s">
        <v>74</v>
      </c>
      <c r="DS183" s="150" t="s">
        <v>282</v>
      </c>
    </row>
    <row r="184" spans="2:137" s="12" customFormat="1" x14ac:dyDescent="0.2">
      <c r="B184" s="149"/>
      <c r="D184" s="138" t="s">
        <v>301</v>
      </c>
      <c r="E184" s="150" t="s">
        <v>1</v>
      </c>
      <c r="F184" s="151" t="s">
        <v>1441</v>
      </c>
      <c r="H184" s="152">
        <v>1.2</v>
      </c>
      <c r="I184" s="153"/>
      <c r="L184" s="149"/>
      <c r="N184" s="217"/>
      <c r="O184" s="218"/>
      <c r="Q184" s="231"/>
      <c r="CG184" s="154"/>
      <c r="CN184" s="155"/>
      <c r="DN184" s="150" t="s">
        <v>301</v>
      </c>
      <c r="DO184" s="150" t="s">
        <v>83</v>
      </c>
      <c r="DP184" s="12" t="s">
        <v>83</v>
      </c>
      <c r="DQ184" s="12" t="s">
        <v>32</v>
      </c>
      <c r="DR184" s="12" t="s">
        <v>74</v>
      </c>
      <c r="DS184" s="150" t="s">
        <v>282</v>
      </c>
    </row>
    <row r="185" spans="2:137" s="13" customFormat="1" x14ac:dyDescent="0.2">
      <c r="B185" s="156"/>
      <c r="D185" s="138" t="s">
        <v>301</v>
      </c>
      <c r="E185" s="157" t="s">
        <v>1</v>
      </c>
      <c r="F185" s="158" t="s">
        <v>305</v>
      </c>
      <c r="H185" s="159">
        <v>19.05</v>
      </c>
      <c r="I185" s="160"/>
      <c r="L185" s="156"/>
      <c r="N185" s="219"/>
      <c r="O185" s="220"/>
      <c r="Q185" s="232"/>
      <c r="CG185" s="161"/>
      <c r="CN185" s="162"/>
      <c r="DN185" s="157" t="s">
        <v>301</v>
      </c>
      <c r="DO185" s="157" t="s">
        <v>83</v>
      </c>
      <c r="DP185" s="13" t="s">
        <v>95</v>
      </c>
      <c r="DQ185" s="13" t="s">
        <v>32</v>
      </c>
      <c r="DR185" s="13" t="s">
        <v>81</v>
      </c>
      <c r="DS185" s="157" t="s">
        <v>282</v>
      </c>
    </row>
    <row r="186" spans="2:137" s="1" customFormat="1" ht="24.2" customHeight="1" x14ac:dyDescent="0.2">
      <c r="B186" s="124"/>
      <c r="C186" s="125" t="s">
        <v>327</v>
      </c>
      <c r="D186" s="125" t="s">
        <v>284</v>
      </c>
      <c r="E186" s="126" t="s">
        <v>364</v>
      </c>
      <c r="F186" s="127" t="s">
        <v>365</v>
      </c>
      <c r="G186" s="128" t="s">
        <v>366</v>
      </c>
      <c r="H186" s="129">
        <v>2780.2829999999999</v>
      </c>
      <c r="I186" s="130">
        <v>285.201942457955</v>
      </c>
      <c r="J186" s="131">
        <f>ROUND(I186*H186,2)</f>
        <v>792942.11</v>
      </c>
      <c r="K186" s="127" t="s">
        <v>293</v>
      </c>
      <c r="L186" s="198">
        <f>S186</f>
        <v>0</v>
      </c>
      <c r="M186" s="206">
        <f>ROUND(L186*I186,2)</f>
        <v>0</v>
      </c>
      <c r="N186" s="211">
        <f>N200</f>
        <v>-15.333125000000564</v>
      </c>
      <c r="O186" s="212">
        <f>ROUND(N186*I186,2)</f>
        <v>-4373.04</v>
      </c>
      <c r="P186" s="207">
        <f>H186-L186-N186</f>
        <v>2795.6161250000005</v>
      </c>
      <c r="Q186" s="228">
        <f>ROUND(P186*I186,2)</f>
        <v>797315.15</v>
      </c>
      <c r="R186" s="199">
        <v>124.242</v>
      </c>
      <c r="S186" s="200">
        <f>W186+Y186+AA186+AC186+AE186++AG186+AI186+AK186+AM186+AO186+AQ186+AS186+AU186+AW186</f>
        <v>0</v>
      </c>
      <c r="T186" s="200">
        <f>ROUND(S186*I186,2)</f>
        <v>0</v>
      </c>
      <c r="U186" s="200">
        <f>H186-S186</f>
        <v>2780.2829999999999</v>
      </c>
      <c r="V186" s="200">
        <f>ROUND(U186*I186,2)</f>
        <v>792942.11</v>
      </c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200"/>
      <c r="AV186" s="200"/>
      <c r="AW186" s="200"/>
      <c r="AX186" s="200"/>
      <c r="CG186" s="132" t="s">
        <v>1</v>
      </c>
      <c r="CH186" s="133" t="s">
        <v>40</v>
      </c>
      <c r="CJ186" s="134">
        <f>CI186*H186</f>
        <v>0</v>
      </c>
      <c r="CK186" s="134">
        <v>0</v>
      </c>
      <c r="CL186" s="134">
        <f>CK186*H186</f>
        <v>0</v>
      </c>
      <c r="CM186" s="134">
        <v>0</v>
      </c>
      <c r="CN186" s="135">
        <f>CM186*H186</f>
        <v>0</v>
      </c>
      <c r="DL186" s="136" t="s">
        <v>95</v>
      </c>
      <c r="DN186" s="136" t="s">
        <v>284</v>
      </c>
      <c r="DO186" s="136" t="s">
        <v>83</v>
      </c>
      <c r="DS186" s="16" t="s">
        <v>282</v>
      </c>
      <c r="DY186" s="137">
        <f>IF(CH186="základní",J186,0)</f>
        <v>792942.11</v>
      </c>
      <c r="DZ186" s="137">
        <f>IF(CH186="snížená",J186,0)</f>
        <v>0</v>
      </c>
      <c r="EA186" s="137">
        <f>IF(CH186="zákl. přenesená",J186,0)</f>
        <v>0</v>
      </c>
      <c r="EB186" s="137">
        <f>IF(CH186="sníž. přenesená",J186,0)</f>
        <v>0</v>
      </c>
      <c r="EC186" s="137">
        <f>IF(CH186="nulová",J186,0)</f>
        <v>0</v>
      </c>
      <c r="ED186" s="16" t="s">
        <v>81</v>
      </c>
      <c r="EE186" s="137">
        <f>ROUND(I186*H186,2)</f>
        <v>792942.11</v>
      </c>
      <c r="EF186" s="16" t="s">
        <v>95</v>
      </c>
      <c r="EG186" s="136" t="s">
        <v>367</v>
      </c>
    </row>
    <row r="187" spans="2:137" s="1" customFormat="1" ht="39" x14ac:dyDescent="0.2">
      <c r="B187" s="31"/>
      <c r="D187" s="138" t="s">
        <v>289</v>
      </c>
      <c r="F187" s="139" t="s">
        <v>368</v>
      </c>
      <c r="I187" s="140"/>
      <c r="L187" s="31"/>
      <c r="N187" s="213"/>
      <c r="O187" s="214"/>
      <c r="Q187" s="229"/>
      <c r="CG187" s="141"/>
      <c r="CN187" s="50"/>
      <c r="DN187" s="16" t="s">
        <v>289</v>
      </c>
      <c r="DO187" s="16" t="s">
        <v>83</v>
      </c>
    </row>
    <row r="188" spans="2:137" s="1" customFormat="1" ht="39" x14ac:dyDescent="0.2">
      <c r="B188" s="31"/>
      <c r="D188" s="138" t="s">
        <v>299</v>
      </c>
      <c r="F188" s="142" t="s">
        <v>1442</v>
      </c>
      <c r="I188" s="140"/>
      <c r="L188" s="31"/>
      <c r="N188" s="213"/>
      <c r="O188" s="214"/>
      <c r="Q188" s="229"/>
      <c r="CG188" s="141"/>
      <c r="CN188" s="50"/>
      <c r="DN188" s="16" t="s">
        <v>299</v>
      </c>
      <c r="DO188" s="16" t="s">
        <v>83</v>
      </c>
    </row>
    <row r="189" spans="2:137" s="11" customFormat="1" ht="22.5" x14ac:dyDescent="0.2">
      <c r="B189" s="143"/>
      <c r="D189" s="138" t="s">
        <v>301</v>
      </c>
      <c r="E189" s="144" t="s">
        <v>1</v>
      </c>
      <c r="F189" s="145" t="s">
        <v>370</v>
      </c>
      <c r="H189" s="144" t="s">
        <v>1</v>
      </c>
      <c r="I189" s="146"/>
      <c r="L189" s="143"/>
      <c r="N189" s="215"/>
      <c r="O189" s="216"/>
      <c r="Q189" s="230"/>
      <c r="CG189" s="147"/>
      <c r="CN189" s="148"/>
      <c r="DN189" s="144" t="s">
        <v>301</v>
      </c>
      <c r="DO189" s="144" t="s">
        <v>83</v>
      </c>
      <c r="DP189" s="11" t="s">
        <v>81</v>
      </c>
      <c r="DQ189" s="11" t="s">
        <v>32</v>
      </c>
      <c r="DR189" s="11" t="s">
        <v>74</v>
      </c>
      <c r="DS189" s="144" t="s">
        <v>282</v>
      </c>
    </row>
    <row r="190" spans="2:137" s="12" customFormat="1" x14ac:dyDescent="0.2">
      <c r="B190" s="149"/>
      <c r="D190" s="138" t="s">
        <v>301</v>
      </c>
      <c r="E190" s="150" t="s">
        <v>1</v>
      </c>
      <c r="F190" s="151" t="s">
        <v>1443</v>
      </c>
      <c r="H190" s="152">
        <v>4.125</v>
      </c>
      <c r="I190" s="153"/>
      <c r="L190" s="149"/>
      <c r="N190" s="217">
        <f>3.3*1*(3.2-0.45)</f>
        <v>9.0749999999999993</v>
      </c>
      <c r="O190" s="359" t="s">
        <v>3470</v>
      </c>
      <c r="Q190" s="231"/>
      <c r="CG190" s="154"/>
      <c r="CN190" s="155"/>
      <c r="DN190" s="150" t="s">
        <v>301</v>
      </c>
      <c r="DO190" s="150" t="s">
        <v>83</v>
      </c>
      <c r="DP190" s="12" t="s">
        <v>83</v>
      </c>
      <c r="DQ190" s="12" t="s">
        <v>32</v>
      </c>
      <c r="DR190" s="12" t="s">
        <v>74</v>
      </c>
      <c r="DS190" s="150" t="s">
        <v>282</v>
      </c>
    </row>
    <row r="191" spans="2:137" s="12" customFormat="1" x14ac:dyDescent="0.2">
      <c r="B191" s="149"/>
      <c r="D191" s="138" t="s">
        <v>301</v>
      </c>
      <c r="E191" s="150" t="s">
        <v>1</v>
      </c>
      <c r="F191" s="151" t="s">
        <v>1444</v>
      </c>
      <c r="H191" s="152">
        <v>4510.2749999999996</v>
      </c>
      <c r="I191" s="153"/>
      <c r="L191" s="149"/>
      <c r="N191" s="217">
        <f>1552.77*1.05*(3.2-0.45)</f>
        <v>4483.6233750000001</v>
      </c>
      <c r="O191" s="359" t="s">
        <v>3471</v>
      </c>
      <c r="Q191" s="231"/>
      <c r="AA191" s="12">
        <v>378.26250000000005</v>
      </c>
      <c r="CG191" s="154"/>
      <c r="CN191" s="155"/>
      <c r="DN191" s="150" t="s">
        <v>301</v>
      </c>
      <c r="DO191" s="150" t="s">
        <v>83</v>
      </c>
      <c r="DP191" s="12" t="s">
        <v>83</v>
      </c>
      <c r="DQ191" s="12" t="s">
        <v>32</v>
      </c>
      <c r="DR191" s="12" t="s">
        <v>74</v>
      </c>
      <c r="DS191" s="150" t="s">
        <v>282</v>
      </c>
    </row>
    <row r="192" spans="2:137" s="12" customFormat="1" x14ac:dyDescent="0.2">
      <c r="B192" s="149"/>
      <c r="D192" s="138" t="s">
        <v>301</v>
      </c>
      <c r="E192" s="150" t="s">
        <v>1</v>
      </c>
      <c r="F192" s="151" t="s">
        <v>1445</v>
      </c>
      <c r="H192" s="152">
        <v>115.5</v>
      </c>
      <c r="I192" s="153"/>
      <c r="L192" s="149"/>
      <c r="N192" s="217">
        <f>40.13*1.05*(3.2-0.45)</f>
        <v>115.87537500000002</v>
      </c>
      <c r="O192" s="359" t="s">
        <v>3472</v>
      </c>
      <c r="Q192" s="231"/>
      <c r="CG192" s="154"/>
      <c r="CN192" s="155"/>
      <c r="DN192" s="150" t="s">
        <v>301</v>
      </c>
      <c r="DO192" s="150" t="s">
        <v>83</v>
      </c>
      <c r="DP192" s="12" t="s">
        <v>83</v>
      </c>
      <c r="DQ192" s="12" t="s">
        <v>32</v>
      </c>
      <c r="DR192" s="12" t="s">
        <v>74</v>
      </c>
      <c r="DS192" s="150" t="s">
        <v>282</v>
      </c>
    </row>
    <row r="193" spans="2:137" s="12" customFormat="1" ht="22.5" x14ac:dyDescent="0.2">
      <c r="B193" s="149"/>
      <c r="D193" s="138" t="s">
        <v>301</v>
      </c>
      <c r="E193" s="150" t="s">
        <v>1</v>
      </c>
      <c r="F193" s="151" t="s">
        <v>1446</v>
      </c>
      <c r="H193" s="152">
        <v>671.75300000000004</v>
      </c>
      <c r="I193" s="153"/>
      <c r="L193" s="149"/>
      <c r="N193" s="310">
        <f>H193</f>
        <v>671.75300000000004</v>
      </c>
      <c r="O193" s="359"/>
      <c r="Q193" s="231"/>
      <c r="AA193" s="12">
        <v>95.964749999999981</v>
      </c>
      <c r="CG193" s="154"/>
      <c r="CN193" s="155"/>
      <c r="DN193" s="150" t="s">
        <v>301</v>
      </c>
      <c r="DO193" s="150" t="s">
        <v>83</v>
      </c>
      <c r="DP193" s="12" t="s">
        <v>83</v>
      </c>
      <c r="DQ193" s="12" t="s">
        <v>32</v>
      </c>
      <c r="DR193" s="12" t="s">
        <v>74</v>
      </c>
      <c r="DS193" s="150" t="s">
        <v>282</v>
      </c>
    </row>
    <row r="194" spans="2:137" s="12" customFormat="1" ht="22.5" x14ac:dyDescent="0.2">
      <c r="B194" s="149"/>
      <c r="D194" s="138" t="s">
        <v>301</v>
      </c>
      <c r="E194" s="150" t="s">
        <v>1</v>
      </c>
      <c r="F194" s="151" t="s">
        <v>1447</v>
      </c>
      <c r="H194" s="152">
        <v>6.9189999999999996</v>
      </c>
      <c r="I194" s="153"/>
      <c r="L194" s="149"/>
      <c r="N194" s="310">
        <f>H194</f>
        <v>6.9189999999999996</v>
      </c>
      <c r="O194" s="359"/>
      <c r="Q194" s="231"/>
      <c r="CG194" s="154"/>
      <c r="CN194" s="155"/>
      <c r="DN194" s="150" t="s">
        <v>301</v>
      </c>
      <c r="DO194" s="150" t="s">
        <v>83</v>
      </c>
      <c r="DP194" s="12" t="s">
        <v>83</v>
      </c>
      <c r="DQ194" s="12" t="s">
        <v>32</v>
      </c>
      <c r="DR194" s="12" t="s">
        <v>74</v>
      </c>
      <c r="DS194" s="150" t="s">
        <v>282</v>
      </c>
    </row>
    <row r="195" spans="2:137" s="12" customFormat="1" x14ac:dyDescent="0.2">
      <c r="B195" s="149"/>
      <c r="D195" s="138" t="s">
        <v>301</v>
      </c>
      <c r="E195" s="150" t="s">
        <v>1</v>
      </c>
      <c r="F195" s="151" t="s">
        <v>1448</v>
      </c>
      <c r="H195" s="152">
        <v>51.15</v>
      </c>
      <c r="I195" s="153"/>
      <c r="L195" s="149"/>
      <c r="N195" s="217">
        <f>13.52*1.2*(3.2-0.45)</f>
        <v>44.616</v>
      </c>
      <c r="O195" s="359" t="s">
        <v>3473</v>
      </c>
      <c r="Q195" s="231"/>
      <c r="CG195" s="154"/>
      <c r="CN195" s="155"/>
      <c r="DN195" s="150" t="s">
        <v>301</v>
      </c>
      <c r="DO195" s="150" t="s">
        <v>83</v>
      </c>
      <c r="DP195" s="12" t="s">
        <v>83</v>
      </c>
      <c r="DQ195" s="12" t="s">
        <v>32</v>
      </c>
      <c r="DR195" s="12" t="s">
        <v>74</v>
      </c>
      <c r="DS195" s="150" t="s">
        <v>282</v>
      </c>
    </row>
    <row r="196" spans="2:137" s="12" customFormat="1" x14ac:dyDescent="0.2">
      <c r="B196" s="149"/>
      <c r="D196" s="138" t="s">
        <v>301</v>
      </c>
      <c r="E196" s="150" t="s">
        <v>1</v>
      </c>
      <c r="F196" s="151" t="s">
        <v>1449</v>
      </c>
      <c r="H196" s="152">
        <v>165</v>
      </c>
      <c r="I196" s="153"/>
      <c r="L196" s="149"/>
      <c r="N196" s="217">
        <f>49.15*1.2*(3.2-0.45)</f>
        <v>162.19499999999999</v>
      </c>
      <c r="O196" s="359" t="s">
        <v>3474</v>
      </c>
      <c r="Q196" s="231"/>
      <c r="AA196" s="12">
        <v>165</v>
      </c>
      <c r="CG196" s="154"/>
      <c r="CN196" s="155"/>
      <c r="DN196" s="150" t="s">
        <v>301</v>
      </c>
      <c r="DO196" s="150" t="s">
        <v>83</v>
      </c>
      <c r="DP196" s="12" t="s">
        <v>83</v>
      </c>
      <c r="DQ196" s="12" t="s">
        <v>32</v>
      </c>
      <c r="DR196" s="12" t="s">
        <v>74</v>
      </c>
      <c r="DS196" s="150" t="s">
        <v>282</v>
      </c>
    </row>
    <row r="197" spans="2:137" s="12" customFormat="1" ht="22.5" x14ac:dyDescent="0.2">
      <c r="B197" s="149"/>
      <c r="D197" s="138" t="s">
        <v>301</v>
      </c>
      <c r="E197" s="150" t="s">
        <v>1</v>
      </c>
      <c r="F197" s="151" t="s">
        <v>1450</v>
      </c>
      <c r="H197" s="152">
        <v>35.843000000000004</v>
      </c>
      <c r="I197" s="153"/>
      <c r="L197" s="149"/>
      <c r="N197" s="310">
        <f>H197</f>
        <v>35.843000000000004</v>
      </c>
      <c r="O197" s="359"/>
      <c r="Q197" s="231"/>
      <c r="CG197" s="154"/>
      <c r="CN197" s="155"/>
      <c r="DN197" s="150" t="s">
        <v>301</v>
      </c>
      <c r="DO197" s="150" t="s">
        <v>83</v>
      </c>
      <c r="DP197" s="12" t="s">
        <v>83</v>
      </c>
      <c r="DQ197" s="12" t="s">
        <v>32</v>
      </c>
      <c r="DR197" s="12" t="s">
        <v>74</v>
      </c>
      <c r="DS197" s="150" t="s">
        <v>282</v>
      </c>
    </row>
    <row r="198" spans="2:137" s="14" customFormat="1" x14ac:dyDescent="0.2">
      <c r="B198" s="163"/>
      <c r="D198" s="138" t="s">
        <v>301</v>
      </c>
      <c r="E198" s="164" t="s">
        <v>1</v>
      </c>
      <c r="F198" s="165" t="s">
        <v>373</v>
      </c>
      <c r="H198" s="166">
        <v>5560.5649999999987</v>
      </c>
      <c r="I198" s="167"/>
      <c r="L198" s="163"/>
      <c r="N198" s="221">
        <f>SUM(N190:N197)</f>
        <v>5529.8997499999987</v>
      </c>
      <c r="O198" s="370"/>
      <c r="Q198" s="233"/>
      <c r="AA198" s="14">
        <v>639.22725000000003</v>
      </c>
      <c r="CG198" s="168"/>
      <c r="CN198" s="169"/>
      <c r="DN198" s="164" t="s">
        <v>301</v>
      </c>
      <c r="DO198" s="164" t="s">
        <v>83</v>
      </c>
      <c r="DP198" s="14" t="s">
        <v>90</v>
      </c>
      <c r="DQ198" s="14" t="s">
        <v>32</v>
      </c>
      <c r="DR198" s="14" t="s">
        <v>74</v>
      </c>
      <c r="DS198" s="164" t="s">
        <v>282</v>
      </c>
    </row>
    <row r="199" spans="2:137" s="12" customFormat="1" x14ac:dyDescent="0.2">
      <c r="B199" s="149"/>
      <c r="D199" s="138" t="s">
        <v>301</v>
      </c>
      <c r="E199" s="150" t="s">
        <v>1</v>
      </c>
      <c r="F199" s="151" t="s">
        <v>1451</v>
      </c>
      <c r="H199" s="152">
        <v>2780.2829999999999</v>
      </c>
      <c r="I199" s="153"/>
      <c r="L199" s="149"/>
      <c r="N199" s="217">
        <f>N198*0.5</f>
        <v>2764.9498749999993</v>
      </c>
      <c r="O199" s="359"/>
      <c r="Q199" s="231"/>
      <c r="AA199" s="12">
        <v>319.61362500000001</v>
      </c>
      <c r="CG199" s="154"/>
      <c r="CN199" s="155"/>
      <c r="DN199" s="150" t="s">
        <v>301</v>
      </c>
      <c r="DO199" s="150" t="s">
        <v>83</v>
      </c>
      <c r="DP199" s="12" t="s">
        <v>83</v>
      </c>
      <c r="DQ199" s="12" t="s">
        <v>32</v>
      </c>
      <c r="DR199" s="12" t="s">
        <v>81</v>
      </c>
      <c r="DS199" s="150" t="s">
        <v>282</v>
      </c>
    </row>
    <row r="200" spans="2:137" s="12" customFormat="1" x14ac:dyDescent="0.2">
      <c r="B200" s="149"/>
      <c r="D200" s="138"/>
      <c r="E200" s="150"/>
      <c r="F200" s="151"/>
      <c r="H200" s="152"/>
      <c r="I200" s="153"/>
      <c r="L200" s="149"/>
      <c r="N200" s="310">
        <f>N199-H199</f>
        <v>-15.333125000000564</v>
      </c>
      <c r="O200" s="359"/>
      <c r="Q200" s="231"/>
      <c r="CG200" s="154"/>
      <c r="CN200" s="155"/>
      <c r="DN200" s="150"/>
      <c r="DO200" s="150"/>
      <c r="DS200" s="150"/>
    </row>
    <row r="201" spans="2:137" s="1" customFormat="1" ht="24.2" customHeight="1" x14ac:dyDescent="0.2">
      <c r="B201" s="124"/>
      <c r="C201" s="125" t="s">
        <v>359</v>
      </c>
      <c r="D201" s="125" t="s">
        <v>284</v>
      </c>
      <c r="E201" s="126" t="s">
        <v>375</v>
      </c>
      <c r="F201" s="127" t="s">
        <v>376</v>
      </c>
      <c r="G201" s="128" t="s">
        <v>366</v>
      </c>
      <c r="H201" s="129">
        <v>2780.2829999999999</v>
      </c>
      <c r="I201" s="130">
        <v>390.55963566140201</v>
      </c>
      <c r="J201" s="131">
        <f>ROUND(I201*H201,2)</f>
        <v>1085866.32</v>
      </c>
      <c r="K201" s="127" t="s">
        <v>293</v>
      </c>
      <c r="L201" s="198">
        <f>S201</f>
        <v>0</v>
      </c>
      <c r="M201" s="206">
        <f>ROUND(L201*I201,2)</f>
        <v>0</v>
      </c>
      <c r="N201" s="211">
        <f>N186</f>
        <v>-15.333125000000564</v>
      </c>
      <c r="O201" s="212">
        <f>ROUND(N201*I201,2)</f>
        <v>-5988.5</v>
      </c>
      <c r="P201" s="207">
        <f>H201-L201-N201</f>
        <v>2795.6161250000005</v>
      </c>
      <c r="Q201" s="228">
        <f>ROUND(P201*I201,2)</f>
        <v>1091854.82</v>
      </c>
      <c r="R201" s="199">
        <v>124.242</v>
      </c>
      <c r="S201" s="200">
        <f>W201+Y201+AA201+AC201+AE201++AG201+AI201+AK201+AM201+AO201+AQ201+AS201+AU201+AW201</f>
        <v>0</v>
      </c>
      <c r="T201" s="200">
        <f>ROUND(S201*I201,2)</f>
        <v>0</v>
      </c>
      <c r="U201" s="200">
        <f>H201-S201</f>
        <v>2780.2829999999999</v>
      </c>
      <c r="V201" s="200">
        <f>ROUND(U201*I201,2)</f>
        <v>1085866.32</v>
      </c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200"/>
      <c r="AM201" s="200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200"/>
      <c r="CG201" s="132" t="s">
        <v>1</v>
      </c>
      <c r="CH201" s="133" t="s">
        <v>40</v>
      </c>
      <c r="CJ201" s="134">
        <f>CI201*H201</f>
        <v>0</v>
      </c>
      <c r="CK201" s="134">
        <v>0</v>
      </c>
      <c r="CL201" s="134">
        <f>CK201*H201</f>
        <v>0</v>
      </c>
      <c r="CM201" s="134">
        <v>0</v>
      </c>
      <c r="CN201" s="135">
        <f>CM201*H201</f>
        <v>0</v>
      </c>
      <c r="DL201" s="136" t="s">
        <v>95</v>
      </c>
      <c r="DN201" s="136" t="s">
        <v>284</v>
      </c>
      <c r="DO201" s="136" t="s">
        <v>83</v>
      </c>
      <c r="DS201" s="16" t="s">
        <v>282</v>
      </c>
      <c r="DY201" s="137">
        <f>IF(CH201="základní",J201,0)</f>
        <v>1085866.32</v>
      </c>
      <c r="DZ201" s="137">
        <f>IF(CH201="snížená",J201,0)</f>
        <v>0</v>
      </c>
      <c r="EA201" s="137">
        <f>IF(CH201="zákl. přenesená",J201,0)</f>
        <v>0</v>
      </c>
      <c r="EB201" s="137">
        <f>IF(CH201="sníž. přenesená",J201,0)</f>
        <v>0</v>
      </c>
      <c r="EC201" s="137">
        <f>IF(CH201="nulová",J201,0)</f>
        <v>0</v>
      </c>
      <c r="ED201" s="16" t="s">
        <v>81</v>
      </c>
      <c r="EE201" s="137">
        <f>ROUND(I201*H201,2)</f>
        <v>1085866.32</v>
      </c>
      <c r="EF201" s="16" t="s">
        <v>95</v>
      </c>
      <c r="EG201" s="136" t="s">
        <v>377</v>
      </c>
    </row>
    <row r="202" spans="2:137" s="1" customFormat="1" ht="39" x14ac:dyDescent="0.2">
      <c r="B202" s="31"/>
      <c r="D202" s="138" t="s">
        <v>289</v>
      </c>
      <c r="F202" s="139" t="s">
        <v>378</v>
      </c>
      <c r="I202" s="140"/>
      <c r="L202" s="31"/>
      <c r="N202" s="213"/>
      <c r="O202" s="214"/>
      <c r="Q202" s="229"/>
      <c r="CG202" s="141"/>
      <c r="CN202" s="50"/>
      <c r="DN202" s="16" t="s">
        <v>289</v>
      </c>
      <c r="DO202" s="16" t="s">
        <v>83</v>
      </c>
    </row>
    <row r="203" spans="2:137" s="1" customFormat="1" ht="39" x14ac:dyDescent="0.2">
      <c r="B203" s="31"/>
      <c r="D203" s="138" t="s">
        <v>299</v>
      </c>
      <c r="F203" s="142" t="s">
        <v>1442</v>
      </c>
      <c r="I203" s="140"/>
      <c r="L203" s="31"/>
      <c r="N203" s="213"/>
      <c r="O203" s="214"/>
      <c r="Q203" s="229"/>
      <c r="CG203" s="141"/>
      <c r="CN203" s="50"/>
      <c r="DN203" s="16" t="s">
        <v>299</v>
      </c>
      <c r="DO203" s="16" t="s">
        <v>83</v>
      </c>
    </row>
    <row r="204" spans="2:137" s="1" customFormat="1" ht="24.2" customHeight="1" x14ac:dyDescent="0.2">
      <c r="B204" s="124"/>
      <c r="C204" s="125" t="s">
        <v>363</v>
      </c>
      <c r="D204" s="125" t="s">
        <v>284</v>
      </c>
      <c r="E204" s="126" t="s">
        <v>380</v>
      </c>
      <c r="F204" s="127" t="s">
        <v>381</v>
      </c>
      <c r="G204" s="128" t="s">
        <v>366</v>
      </c>
      <c r="H204" s="129">
        <v>1112.1130000000001</v>
      </c>
      <c r="I204" s="130">
        <v>650.27058629099099</v>
      </c>
      <c r="J204" s="131">
        <f>ROUND(I204*H204,2)</f>
        <v>723174.37</v>
      </c>
      <c r="K204" s="127" t="s">
        <v>293</v>
      </c>
      <c r="L204" s="198">
        <f>S204</f>
        <v>0</v>
      </c>
      <c r="M204" s="206">
        <f>ROUND(L204*I204,2)</f>
        <v>0</v>
      </c>
      <c r="N204" s="211">
        <f>N208</f>
        <v>-6.1333999999999378</v>
      </c>
      <c r="O204" s="212">
        <f>ROUND(N204*I204,2)</f>
        <v>-3988.37</v>
      </c>
      <c r="P204" s="207">
        <f>H204-L204-N204</f>
        <v>1118.2464</v>
      </c>
      <c r="Q204" s="228">
        <f>ROUND(P204*I204,2)</f>
        <v>727162.74</v>
      </c>
      <c r="R204" s="199">
        <v>46.697000000000003</v>
      </c>
      <c r="S204" s="200">
        <f>W204+Y204+AA204+AC204+AE204++AG204+AI204+AK204+AM204+AO204+AQ204+AS204+AU204+AW204</f>
        <v>0</v>
      </c>
      <c r="T204" s="200">
        <f>ROUND(S204*I204,2)</f>
        <v>0</v>
      </c>
      <c r="U204" s="200">
        <f>H204-S204</f>
        <v>1112.1130000000001</v>
      </c>
      <c r="V204" s="200">
        <f>ROUND(U204*I204,2)</f>
        <v>723174.37</v>
      </c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0"/>
      <c r="AU204" s="200"/>
      <c r="AV204" s="200"/>
      <c r="AW204" s="200"/>
      <c r="AX204" s="200"/>
      <c r="CG204" s="132" t="s">
        <v>1</v>
      </c>
      <c r="CH204" s="133" t="s">
        <v>40</v>
      </c>
      <c r="CJ204" s="134">
        <f>CI204*H204</f>
        <v>0</v>
      </c>
      <c r="CK204" s="134">
        <v>0</v>
      </c>
      <c r="CL204" s="134">
        <f>CK204*H204</f>
        <v>0</v>
      </c>
      <c r="CM204" s="134">
        <v>0</v>
      </c>
      <c r="CN204" s="135">
        <f>CM204*H204</f>
        <v>0</v>
      </c>
      <c r="DL204" s="136" t="s">
        <v>95</v>
      </c>
      <c r="DN204" s="136" t="s">
        <v>284</v>
      </c>
      <c r="DO204" s="136" t="s">
        <v>83</v>
      </c>
      <c r="DS204" s="16" t="s">
        <v>282</v>
      </c>
      <c r="DY204" s="137">
        <f>IF(CH204="základní",J204,0)</f>
        <v>723174.37</v>
      </c>
      <c r="DZ204" s="137">
        <f>IF(CH204="snížená",J204,0)</f>
        <v>0</v>
      </c>
      <c r="EA204" s="137">
        <f>IF(CH204="zákl. přenesená",J204,0)</f>
        <v>0</v>
      </c>
      <c r="EB204" s="137">
        <f>IF(CH204="sníž. přenesená",J204,0)</f>
        <v>0</v>
      </c>
      <c r="EC204" s="137">
        <f>IF(CH204="nulová",J204,0)</f>
        <v>0</v>
      </c>
      <c r="ED204" s="16" t="s">
        <v>81</v>
      </c>
      <c r="EE204" s="137">
        <f>ROUND(I204*H204,2)</f>
        <v>723174.37</v>
      </c>
      <c r="EF204" s="16" t="s">
        <v>95</v>
      </c>
      <c r="EG204" s="136" t="s">
        <v>382</v>
      </c>
    </row>
    <row r="205" spans="2:137" s="1" customFormat="1" ht="29.25" x14ac:dyDescent="0.2">
      <c r="B205" s="31"/>
      <c r="D205" s="138" t="s">
        <v>289</v>
      </c>
      <c r="F205" s="139" t="s">
        <v>383</v>
      </c>
      <c r="I205" s="140"/>
      <c r="L205" s="31"/>
      <c r="N205" s="213"/>
      <c r="O205" s="214"/>
      <c r="Q205" s="229"/>
      <c r="CG205" s="141"/>
      <c r="CN205" s="50"/>
      <c r="DN205" s="16" t="s">
        <v>289</v>
      </c>
      <c r="DO205" s="16" t="s">
        <v>83</v>
      </c>
    </row>
    <row r="206" spans="2:137" s="11" customFormat="1" x14ac:dyDescent="0.2">
      <c r="B206" s="143"/>
      <c r="D206" s="138" t="s">
        <v>301</v>
      </c>
      <c r="E206" s="144" t="s">
        <v>1</v>
      </c>
      <c r="F206" s="145" t="s">
        <v>384</v>
      </c>
      <c r="H206" s="144" t="s">
        <v>1</v>
      </c>
      <c r="I206" s="146"/>
      <c r="L206" s="143"/>
      <c r="N206" s="215"/>
      <c r="O206" s="216"/>
      <c r="Q206" s="230"/>
      <c r="CG206" s="147"/>
      <c r="CN206" s="148"/>
      <c r="DN206" s="144" t="s">
        <v>301</v>
      </c>
      <c r="DO206" s="144" t="s">
        <v>83</v>
      </c>
      <c r="DP206" s="11" t="s">
        <v>81</v>
      </c>
      <c r="DQ206" s="11" t="s">
        <v>32</v>
      </c>
      <c r="DR206" s="11" t="s">
        <v>74</v>
      </c>
      <c r="DS206" s="144" t="s">
        <v>282</v>
      </c>
    </row>
    <row r="207" spans="2:137" s="12" customFormat="1" x14ac:dyDescent="0.2">
      <c r="B207" s="149"/>
      <c r="D207" s="138" t="s">
        <v>301</v>
      </c>
      <c r="E207" s="150" t="s">
        <v>1</v>
      </c>
      <c r="F207" s="151" t="s">
        <v>1452</v>
      </c>
      <c r="H207" s="152">
        <v>1112.1130000000001</v>
      </c>
      <c r="I207" s="153"/>
      <c r="L207" s="149"/>
      <c r="N207" s="217">
        <f>(2764.949+2764.949)*0.2</f>
        <v>1105.9796000000001</v>
      </c>
      <c r="O207" s="218" t="s">
        <v>3476</v>
      </c>
      <c r="Q207" s="231"/>
      <c r="CG207" s="154"/>
      <c r="CN207" s="155"/>
      <c r="DN207" s="150" t="s">
        <v>301</v>
      </c>
      <c r="DO207" s="150" t="s">
        <v>83</v>
      </c>
      <c r="DP207" s="12" t="s">
        <v>83</v>
      </c>
      <c r="DQ207" s="12" t="s">
        <v>32</v>
      </c>
      <c r="DR207" s="12" t="s">
        <v>81</v>
      </c>
      <c r="DS207" s="150" t="s">
        <v>282</v>
      </c>
    </row>
    <row r="208" spans="2:137" s="12" customFormat="1" x14ac:dyDescent="0.2">
      <c r="B208" s="149"/>
      <c r="D208" s="138"/>
      <c r="E208" s="150"/>
      <c r="F208" s="151"/>
      <c r="H208" s="152"/>
      <c r="I208" s="153"/>
      <c r="L208" s="149"/>
      <c r="N208" s="310">
        <f>N207-H207</f>
        <v>-6.1333999999999378</v>
      </c>
      <c r="O208" s="218"/>
      <c r="Q208" s="231"/>
      <c r="CG208" s="154"/>
      <c r="CN208" s="155"/>
      <c r="DN208" s="150"/>
      <c r="DO208" s="150"/>
      <c r="DS208" s="150"/>
    </row>
    <row r="209" spans="2:137" s="1" customFormat="1" ht="14.45" customHeight="1" x14ac:dyDescent="0.2">
      <c r="B209" s="124"/>
      <c r="C209" s="125" t="s">
        <v>8</v>
      </c>
      <c r="D209" s="125" t="s">
        <v>284</v>
      </c>
      <c r="E209" s="126" t="s">
        <v>387</v>
      </c>
      <c r="F209" s="127" t="s">
        <v>388</v>
      </c>
      <c r="G209" s="128" t="s">
        <v>287</v>
      </c>
      <c r="H209" s="129">
        <v>10681.6</v>
      </c>
      <c r="I209" s="130">
        <v>156.6895922457376</v>
      </c>
      <c r="J209" s="131">
        <f>ROUND(I209*H209,2)</f>
        <v>1673695.55</v>
      </c>
      <c r="K209" s="127" t="s">
        <v>293</v>
      </c>
      <c r="L209" s="198">
        <f>S209</f>
        <v>0</v>
      </c>
      <c r="M209" s="206">
        <f>ROUND(L209*I209,2)</f>
        <v>0</v>
      </c>
      <c r="N209" s="211">
        <f>N218</f>
        <v>-64.831999999998516</v>
      </c>
      <c r="O209" s="212">
        <f>ROUND(N209*I209,2)</f>
        <v>-10158.5</v>
      </c>
      <c r="P209" s="207">
        <f>H209-L209-N209</f>
        <v>10746.431999999999</v>
      </c>
      <c r="Q209" s="228">
        <f>ROUND(P209*I209,2)</f>
        <v>1683854.05</v>
      </c>
      <c r="R209" s="199">
        <v>415.6</v>
      </c>
      <c r="S209" s="200">
        <f>W209+Y209+AA209+AC209+AE209++AG209+AI209+AK209+AM209+AO209+AQ209+AS209+AU209+AW209</f>
        <v>0</v>
      </c>
      <c r="T209" s="200">
        <f>ROUND(S209*I209,2)</f>
        <v>0</v>
      </c>
      <c r="U209" s="200">
        <f>H209-S209</f>
        <v>10681.6</v>
      </c>
      <c r="V209" s="200">
        <f>ROUND(U209*I209,2)</f>
        <v>1673695.55</v>
      </c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CG209" s="132" t="s">
        <v>1</v>
      </c>
      <c r="CH209" s="133" t="s">
        <v>40</v>
      </c>
      <c r="CJ209" s="134">
        <f>CI209*H209</f>
        <v>0</v>
      </c>
      <c r="CK209" s="134">
        <v>5.9000000000000003E-4</v>
      </c>
      <c r="CL209" s="134">
        <f>CK209*H209</f>
        <v>6.3021440000000002</v>
      </c>
      <c r="CM209" s="134">
        <v>0</v>
      </c>
      <c r="CN209" s="135">
        <f>CM209*H209</f>
        <v>0</v>
      </c>
      <c r="DL209" s="136" t="s">
        <v>95</v>
      </c>
      <c r="DN209" s="136" t="s">
        <v>284</v>
      </c>
      <c r="DO209" s="136" t="s">
        <v>83</v>
      </c>
      <c r="DS209" s="16" t="s">
        <v>282</v>
      </c>
      <c r="DY209" s="137">
        <f>IF(CH209="základní",J209,0)</f>
        <v>1673695.55</v>
      </c>
      <c r="DZ209" s="137">
        <f>IF(CH209="snížená",J209,0)</f>
        <v>0</v>
      </c>
      <c r="EA209" s="137">
        <f>IF(CH209="zákl. přenesená",J209,0)</f>
        <v>0</v>
      </c>
      <c r="EB209" s="137">
        <f>IF(CH209="sníž. přenesená",J209,0)</f>
        <v>0</v>
      </c>
      <c r="EC209" s="137">
        <f>IF(CH209="nulová",J209,0)</f>
        <v>0</v>
      </c>
      <c r="ED209" s="16" t="s">
        <v>81</v>
      </c>
      <c r="EE209" s="137">
        <f>ROUND(I209*H209,2)</f>
        <v>1673695.55</v>
      </c>
      <c r="EF209" s="16" t="s">
        <v>95</v>
      </c>
      <c r="EG209" s="136" t="s">
        <v>389</v>
      </c>
    </row>
    <row r="210" spans="2:137" s="1" customFormat="1" ht="19.5" x14ac:dyDescent="0.2">
      <c r="B210" s="31"/>
      <c r="D210" s="138" t="s">
        <v>289</v>
      </c>
      <c r="F210" s="139" t="s">
        <v>390</v>
      </c>
      <c r="I210" s="140"/>
      <c r="L210" s="31"/>
      <c r="N210" s="213"/>
      <c r="O210" s="214"/>
      <c r="Q210" s="229"/>
      <c r="CG210" s="141"/>
      <c r="CN210" s="50"/>
      <c r="DN210" s="16" t="s">
        <v>289</v>
      </c>
      <c r="DO210" s="16" t="s">
        <v>83</v>
      </c>
    </row>
    <row r="211" spans="2:137" s="1" customFormat="1" ht="19.5" x14ac:dyDescent="0.2">
      <c r="B211" s="31"/>
      <c r="D211" s="138" t="s">
        <v>299</v>
      </c>
      <c r="F211" s="142" t="s">
        <v>317</v>
      </c>
      <c r="I211" s="140"/>
      <c r="L211" s="31"/>
      <c r="N211" s="213"/>
      <c r="O211" s="214"/>
      <c r="Q211" s="229"/>
      <c r="CG211" s="141"/>
      <c r="CN211" s="50"/>
      <c r="DN211" s="16" t="s">
        <v>299</v>
      </c>
      <c r="DO211" s="16" t="s">
        <v>83</v>
      </c>
    </row>
    <row r="212" spans="2:137" s="12" customFormat="1" x14ac:dyDescent="0.2">
      <c r="B212" s="149"/>
      <c r="D212" s="138" t="s">
        <v>301</v>
      </c>
      <c r="E212" s="150" t="s">
        <v>1</v>
      </c>
      <c r="F212" s="151" t="s">
        <v>1453</v>
      </c>
      <c r="H212" s="152">
        <v>9.6</v>
      </c>
      <c r="I212" s="153"/>
      <c r="L212" s="149"/>
      <c r="N212" s="217">
        <f>3.3*3.2*2</f>
        <v>21.12</v>
      </c>
      <c r="O212" s="359" t="s">
        <v>3477</v>
      </c>
      <c r="Q212" s="231"/>
      <c r="CG212" s="154"/>
      <c r="CN212" s="155"/>
      <c r="DN212" s="150" t="s">
        <v>301</v>
      </c>
      <c r="DO212" s="150" t="s">
        <v>83</v>
      </c>
      <c r="DP212" s="12" t="s">
        <v>83</v>
      </c>
      <c r="DQ212" s="12" t="s">
        <v>32</v>
      </c>
      <c r="DR212" s="12" t="s">
        <v>74</v>
      </c>
      <c r="DS212" s="150" t="s">
        <v>282</v>
      </c>
    </row>
    <row r="213" spans="2:137" s="12" customFormat="1" x14ac:dyDescent="0.2">
      <c r="B213" s="149"/>
      <c r="D213" s="138" t="s">
        <v>301</v>
      </c>
      <c r="E213" s="150" t="s">
        <v>1</v>
      </c>
      <c r="F213" s="151" t="s">
        <v>1454</v>
      </c>
      <c r="H213" s="152">
        <v>9996.7999999999993</v>
      </c>
      <c r="I213" s="153"/>
      <c r="L213" s="149"/>
      <c r="N213" s="217">
        <f>1552.77*3.2*2</f>
        <v>9937.728000000001</v>
      </c>
      <c r="O213" s="359" t="s">
        <v>3478</v>
      </c>
      <c r="Q213" s="231"/>
      <c r="AA213" s="12">
        <v>864</v>
      </c>
      <c r="CG213" s="154"/>
      <c r="CN213" s="155"/>
      <c r="DN213" s="150" t="s">
        <v>301</v>
      </c>
      <c r="DO213" s="150" t="s">
        <v>83</v>
      </c>
      <c r="DP213" s="12" t="s">
        <v>83</v>
      </c>
      <c r="DQ213" s="12" t="s">
        <v>32</v>
      </c>
      <c r="DR213" s="12" t="s">
        <v>74</v>
      </c>
      <c r="DS213" s="150" t="s">
        <v>282</v>
      </c>
    </row>
    <row r="214" spans="2:137" s="12" customFormat="1" x14ac:dyDescent="0.2">
      <c r="B214" s="149"/>
      <c r="D214" s="138" t="s">
        <v>301</v>
      </c>
      <c r="E214" s="150" t="s">
        <v>1</v>
      </c>
      <c r="F214" s="151" t="s">
        <v>1455</v>
      </c>
      <c r="H214" s="152">
        <v>99.2</v>
      </c>
      <c r="I214" s="153"/>
      <c r="L214" s="149"/>
      <c r="N214" s="217">
        <f>13.52*3.2*2</f>
        <v>86.528000000000006</v>
      </c>
      <c r="O214" s="359" t="s">
        <v>3479</v>
      </c>
      <c r="Q214" s="231"/>
      <c r="CG214" s="154"/>
      <c r="CN214" s="155"/>
      <c r="DN214" s="150" t="s">
        <v>301</v>
      </c>
      <c r="DO214" s="150" t="s">
        <v>83</v>
      </c>
      <c r="DP214" s="12" t="s">
        <v>83</v>
      </c>
      <c r="DQ214" s="12" t="s">
        <v>32</v>
      </c>
      <c r="DR214" s="12" t="s">
        <v>74</v>
      </c>
      <c r="DS214" s="150" t="s">
        <v>282</v>
      </c>
    </row>
    <row r="215" spans="2:137" s="12" customFormat="1" x14ac:dyDescent="0.2">
      <c r="B215" s="149"/>
      <c r="D215" s="138" t="s">
        <v>301</v>
      </c>
      <c r="E215" s="150" t="s">
        <v>1</v>
      </c>
      <c r="F215" s="151" t="s">
        <v>1456</v>
      </c>
      <c r="H215" s="152">
        <v>256</v>
      </c>
      <c r="I215" s="153"/>
      <c r="L215" s="149"/>
      <c r="N215" s="217">
        <f xml:space="preserve"> 40.13*3.2*2</f>
        <v>256.83200000000005</v>
      </c>
      <c r="O215" s="359" t="s">
        <v>3480</v>
      </c>
      <c r="Q215" s="231"/>
      <c r="CG215" s="154"/>
      <c r="CN215" s="155"/>
      <c r="DN215" s="150" t="s">
        <v>301</v>
      </c>
      <c r="DO215" s="150" t="s">
        <v>83</v>
      </c>
      <c r="DP215" s="12" t="s">
        <v>83</v>
      </c>
      <c r="DQ215" s="12" t="s">
        <v>32</v>
      </c>
      <c r="DR215" s="12" t="s">
        <v>74</v>
      </c>
      <c r="DS215" s="150" t="s">
        <v>282</v>
      </c>
    </row>
    <row r="216" spans="2:137" s="12" customFormat="1" x14ac:dyDescent="0.2">
      <c r="B216" s="149"/>
      <c r="D216" s="138" t="s">
        <v>301</v>
      </c>
      <c r="E216" s="150" t="s">
        <v>1</v>
      </c>
      <c r="F216" s="151" t="s">
        <v>1457</v>
      </c>
      <c r="H216" s="152">
        <v>320</v>
      </c>
      <c r="I216" s="153"/>
      <c r="L216" s="149"/>
      <c r="N216" s="217">
        <f>49.15*3.2*2</f>
        <v>314.56</v>
      </c>
      <c r="O216" s="359" t="s">
        <v>3481</v>
      </c>
      <c r="Q216" s="231"/>
      <c r="AA216" s="12">
        <v>320</v>
      </c>
      <c r="CG216" s="154"/>
      <c r="CN216" s="155"/>
      <c r="DN216" s="150" t="s">
        <v>301</v>
      </c>
      <c r="DO216" s="150" t="s">
        <v>83</v>
      </c>
      <c r="DP216" s="12" t="s">
        <v>83</v>
      </c>
      <c r="DQ216" s="12" t="s">
        <v>32</v>
      </c>
      <c r="DR216" s="12" t="s">
        <v>74</v>
      </c>
      <c r="DS216" s="150" t="s">
        <v>282</v>
      </c>
    </row>
    <row r="217" spans="2:137" s="13" customFormat="1" x14ac:dyDescent="0.2">
      <c r="B217" s="156"/>
      <c r="D217" s="138" t="s">
        <v>301</v>
      </c>
      <c r="E217" s="157" t="s">
        <v>1</v>
      </c>
      <c r="F217" s="158" t="s">
        <v>305</v>
      </c>
      <c r="H217" s="159">
        <v>10681.6</v>
      </c>
      <c r="I217" s="160"/>
      <c r="L217" s="156"/>
      <c r="N217" s="219">
        <f>SUM(N212:N216)</f>
        <v>10616.768000000002</v>
      </c>
      <c r="O217" s="220"/>
      <c r="Q217" s="232"/>
      <c r="CG217" s="161"/>
      <c r="CN217" s="162"/>
      <c r="DN217" s="157" t="s">
        <v>301</v>
      </c>
      <c r="DO217" s="157" t="s">
        <v>83</v>
      </c>
      <c r="DP217" s="13" t="s">
        <v>95</v>
      </c>
      <c r="DQ217" s="13" t="s">
        <v>32</v>
      </c>
      <c r="DR217" s="13" t="s">
        <v>81</v>
      </c>
      <c r="DS217" s="157" t="s">
        <v>282</v>
      </c>
    </row>
    <row r="218" spans="2:137" s="13" customFormat="1" x14ac:dyDescent="0.2">
      <c r="B218" s="156"/>
      <c r="D218" s="138"/>
      <c r="E218" s="157"/>
      <c r="F218" s="158"/>
      <c r="H218" s="159"/>
      <c r="I218" s="160"/>
      <c r="L218" s="156"/>
      <c r="N218" s="311">
        <f>N217-H217</f>
        <v>-64.831999999998516</v>
      </c>
      <c r="O218" s="220"/>
      <c r="Q218" s="232"/>
      <c r="CG218" s="161"/>
      <c r="CN218" s="162"/>
      <c r="DN218" s="157"/>
      <c r="DO218" s="157"/>
      <c r="DS218" s="157"/>
    </row>
    <row r="219" spans="2:137" s="1" customFormat="1" ht="24" customHeight="1" x14ac:dyDescent="0.2">
      <c r="B219" s="124"/>
      <c r="C219" s="125" t="s">
        <v>379</v>
      </c>
      <c r="D219" s="125" t="s">
        <v>284</v>
      </c>
      <c r="E219" s="126" t="s">
        <v>393</v>
      </c>
      <c r="F219" s="127" t="s">
        <v>394</v>
      </c>
      <c r="G219" s="128" t="s">
        <v>287</v>
      </c>
      <c r="H219" s="129">
        <v>10681.6</v>
      </c>
      <c r="I219" s="130">
        <v>103.33666316345877</v>
      </c>
      <c r="J219" s="131">
        <f>ROUND(I219*H219,2)</f>
        <v>1103800.8999999999</v>
      </c>
      <c r="K219" s="127" t="s">
        <v>293</v>
      </c>
      <c r="L219" s="198">
        <f>S219</f>
        <v>0</v>
      </c>
      <c r="M219" s="206">
        <f>ROUND(L219*I219,2)</f>
        <v>0</v>
      </c>
      <c r="N219" s="211">
        <f>N209</f>
        <v>-64.831999999998516</v>
      </c>
      <c r="O219" s="212">
        <f>ROUND(N219*I219,2)</f>
        <v>-6699.52</v>
      </c>
      <c r="P219" s="207">
        <f>H219-L219-N219</f>
        <v>10746.431999999999</v>
      </c>
      <c r="Q219" s="228">
        <f>ROUND(P219*I219,2)</f>
        <v>1110500.42</v>
      </c>
      <c r="R219" s="199">
        <v>415.6</v>
      </c>
      <c r="S219" s="200">
        <f>W219+Y219+AA219+AC219+AE219++AG219+AI219+AK219+AM219+AO219+AQ219+AS219+AU219+AW219</f>
        <v>0</v>
      </c>
      <c r="T219" s="200">
        <f>ROUND(S219*I219,2)</f>
        <v>0</v>
      </c>
      <c r="U219" s="200">
        <f>H219-S219</f>
        <v>10681.6</v>
      </c>
      <c r="V219" s="200">
        <f>ROUND(U219*I219,2)</f>
        <v>1103800.8999999999</v>
      </c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CG219" s="132" t="s">
        <v>1</v>
      </c>
      <c r="CH219" s="133" t="s">
        <v>40</v>
      </c>
      <c r="CJ219" s="134">
        <f>CI219*H219</f>
        <v>0</v>
      </c>
      <c r="CK219" s="134">
        <v>0</v>
      </c>
      <c r="CL219" s="134">
        <f>CK219*H219</f>
        <v>0</v>
      </c>
      <c r="CM219" s="134">
        <v>0</v>
      </c>
      <c r="CN219" s="135">
        <f>CM219*H219</f>
        <v>0</v>
      </c>
      <c r="DL219" s="136" t="s">
        <v>95</v>
      </c>
      <c r="DN219" s="136" t="s">
        <v>284</v>
      </c>
      <c r="DO219" s="136" t="s">
        <v>83</v>
      </c>
      <c r="DS219" s="16" t="s">
        <v>282</v>
      </c>
      <c r="DY219" s="137">
        <f>IF(CH219="základní",J219,0)</f>
        <v>1103800.8999999999</v>
      </c>
      <c r="DZ219" s="137">
        <f>IF(CH219="snížená",J219,0)</f>
        <v>0</v>
      </c>
      <c r="EA219" s="137">
        <f>IF(CH219="zákl. přenesená",J219,0)</f>
        <v>0</v>
      </c>
      <c r="EB219" s="137">
        <f>IF(CH219="sníž. přenesená",J219,0)</f>
        <v>0</v>
      </c>
      <c r="EC219" s="137">
        <f>IF(CH219="nulová",J219,0)</f>
        <v>0</v>
      </c>
      <c r="ED219" s="16" t="s">
        <v>81</v>
      </c>
      <c r="EE219" s="137">
        <f>ROUND(I219*H219,2)</f>
        <v>1103800.8999999999</v>
      </c>
      <c r="EF219" s="16" t="s">
        <v>95</v>
      </c>
      <c r="EG219" s="136" t="s">
        <v>395</v>
      </c>
    </row>
    <row r="220" spans="2:137" s="1" customFormat="1" ht="19.5" x14ac:dyDescent="0.2">
      <c r="B220" s="31"/>
      <c r="D220" s="138" t="s">
        <v>289</v>
      </c>
      <c r="F220" s="139" t="s">
        <v>396</v>
      </c>
      <c r="I220" s="140"/>
      <c r="L220" s="31"/>
      <c r="N220" s="213"/>
      <c r="O220" s="214"/>
      <c r="Q220" s="229"/>
      <c r="CG220" s="141"/>
      <c r="CN220" s="50"/>
      <c r="DN220" s="16" t="s">
        <v>289</v>
      </c>
      <c r="DO220" s="16" t="s">
        <v>83</v>
      </c>
    </row>
    <row r="221" spans="2:137" s="1" customFormat="1" ht="37.9" customHeight="1" x14ac:dyDescent="0.2">
      <c r="B221" s="124"/>
      <c r="C221" s="125" t="s">
        <v>386</v>
      </c>
      <c r="D221" s="125" t="s">
        <v>284</v>
      </c>
      <c r="E221" s="126" t="s">
        <v>398</v>
      </c>
      <c r="F221" s="127" t="s">
        <v>399</v>
      </c>
      <c r="G221" s="128" t="s">
        <v>366</v>
      </c>
      <c r="H221" s="129">
        <v>5560.5659999999998</v>
      </c>
      <c r="I221" s="130">
        <v>282.06861194786097</v>
      </c>
      <c r="J221" s="131">
        <f>ROUND(I221*H221,2)</f>
        <v>1568461.13</v>
      </c>
      <c r="K221" s="127" t="s">
        <v>293</v>
      </c>
      <c r="L221" s="198">
        <f>S221</f>
        <v>0</v>
      </c>
      <c r="M221" s="206">
        <f>ROUND(L221*I221,2)</f>
        <v>0</v>
      </c>
      <c r="N221" s="211">
        <f>N225</f>
        <v>-30.667999999999665</v>
      </c>
      <c r="O221" s="212">
        <f>ROUND(N221*I221,2)</f>
        <v>-8650.48</v>
      </c>
      <c r="P221" s="207">
        <f>H221-L221-N221</f>
        <v>5591.2339999999995</v>
      </c>
      <c r="Q221" s="228">
        <f>ROUND(P221*I221,2)</f>
        <v>1577111.61</v>
      </c>
      <c r="R221" s="199">
        <v>248.48400000000001</v>
      </c>
      <c r="S221" s="200">
        <f>W221+Y221+AA221+AC221+AE221++AG221+AI221+AK221+AM221+AO221+AQ221+AS221+AU221+AW221</f>
        <v>0</v>
      </c>
      <c r="T221" s="200">
        <f>ROUND(S221*I221,2)</f>
        <v>0</v>
      </c>
      <c r="U221" s="200">
        <f>H221-S221</f>
        <v>5560.5659999999998</v>
      </c>
      <c r="V221" s="200">
        <f>ROUND(U221*I221,2)</f>
        <v>1568461.13</v>
      </c>
      <c r="W221" s="200"/>
      <c r="X221" s="200"/>
      <c r="Y221" s="200"/>
      <c r="Z221" s="200"/>
      <c r="AA221" s="200"/>
      <c r="AB221" s="200"/>
      <c r="AC221" s="200"/>
      <c r="AD221" s="200"/>
      <c r="AE221" s="200"/>
      <c r="AF221" s="200"/>
      <c r="AG221" s="200"/>
      <c r="AH221" s="200"/>
      <c r="AI221" s="200"/>
      <c r="AJ221" s="200"/>
      <c r="AK221" s="200"/>
      <c r="AL221" s="200"/>
      <c r="AM221" s="200"/>
      <c r="AN221" s="200"/>
      <c r="AO221" s="200"/>
      <c r="AP221" s="200"/>
      <c r="AQ221" s="200"/>
      <c r="AR221" s="200"/>
      <c r="AS221" s="200"/>
      <c r="AT221" s="200"/>
      <c r="AU221" s="200"/>
      <c r="AV221" s="200"/>
      <c r="AW221" s="200"/>
      <c r="AX221" s="200"/>
      <c r="CG221" s="132" t="s">
        <v>1</v>
      </c>
      <c r="CH221" s="133" t="s">
        <v>40</v>
      </c>
      <c r="CJ221" s="134">
        <f>CI221*H221</f>
        <v>0</v>
      </c>
      <c r="CK221" s="134">
        <v>0</v>
      </c>
      <c r="CL221" s="134">
        <f>CK221*H221</f>
        <v>0</v>
      </c>
      <c r="CM221" s="134">
        <v>0</v>
      </c>
      <c r="CN221" s="135">
        <f>CM221*H221</f>
        <v>0</v>
      </c>
      <c r="DL221" s="136" t="s">
        <v>95</v>
      </c>
      <c r="DN221" s="136" t="s">
        <v>284</v>
      </c>
      <c r="DO221" s="136" t="s">
        <v>83</v>
      </c>
      <c r="DS221" s="16" t="s">
        <v>282</v>
      </c>
      <c r="DY221" s="137">
        <f>IF(CH221="základní",J221,0)</f>
        <v>1568461.13</v>
      </c>
      <c r="DZ221" s="137">
        <f>IF(CH221="snížená",J221,0)</f>
        <v>0</v>
      </c>
      <c r="EA221" s="137">
        <f>IF(CH221="zákl. přenesená",J221,0)</f>
        <v>0</v>
      </c>
      <c r="EB221" s="137">
        <f>IF(CH221="sníž. přenesená",J221,0)</f>
        <v>0</v>
      </c>
      <c r="EC221" s="137">
        <f>IF(CH221="nulová",J221,0)</f>
        <v>0</v>
      </c>
      <c r="ED221" s="16" t="s">
        <v>81</v>
      </c>
      <c r="EE221" s="137">
        <f>ROUND(I221*H221,2)</f>
        <v>1568461.13</v>
      </c>
      <c r="EF221" s="16" t="s">
        <v>95</v>
      </c>
      <c r="EG221" s="136" t="s">
        <v>400</v>
      </c>
    </row>
    <row r="222" spans="2:137" s="1" customFormat="1" ht="39" x14ac:dyDescent="0.2">
      <c r="B222" s="31"/>
      <c r="D222" s="138" t="s">
        <v>289</v>
      </c>
      <c r="F222" s="139" t="s">
        <v>401</v>
      </c>
      <c r="I222" s="140"/>
      <c r="L222" s="31"/>
      <c r="N222" s="213"/>
      <c r="O222" s="214"/>
      <c r="Q222" s="229"/>
      <c r="CG222" s="141"/>
      <c r="CN222" s="50"/>
      <c r="DN222" s="16" t="s">
        <v>289</v>
      </c>
      <c r="DO222" s="16" t="s">
        <v>83</v>
      </c>
    </row>
    <row r="223" spans="2:137" s="11" customFormat="1" x14ac:dyDescent="0.2">
      <c r="B223" s="143"/>
      <c r="D223" s="138" t="s">
        <v>301</v>
      </c>
      <c r="E223" s="144" t="s">
        <v>1</v>
      </c>
      <c r="F223" s="145" t="s">
        <v>1458</v>
      </c>
      <c r="H223" s="144" t="s">
        <v>1</v>
      </c>
      <c r="I223" s="146"/>
      <c r="L223" s="143"/>
      <c r="N223" s="215"/>
      <c r="O223" s="216"/>
      <c r="Q223" s="230"/>
      <c r="CG223" s="147"/>
      <c r="CN223" s="148"/>
      <c r="DN223" s="144" t="s">
        <v>301</v>
      </c>
      <c r="DO223" s="144" t="s">
        <v>83</v>
      </c>
      <c r="DP223" s="11" t="s">
        <v>81</v>
      </c>
      <c r="DQ223" s="11" t="s">
        <v>32</v>
      </c>
      <c r="DR223" s="11" t="s">
        <v>74</v>
      </c>
      <c r="DS223" s="144" t="s">
        <v>282</v>
      </c>
    </row>
    <row r="224" spans="2:137" s="12" customFormat="1" x14ac:dyDescent="0.2">
      <c r="B224" s="149"/>
      <c r="D224" s="138" t="s">
        <v>301</v>
      </c>
      <c r="E224" s="150" t="s">
        <v>1</v>
      </c>
      <c r="F224" s="151" t="s">
        <v>1459</v>
      </c>
      <c r="H224" s="152">
        <v>5560.5659999999998</v>
      </c>
      <c r="I224" s="153"/>
      <c r="L224" s="149"/>
      <c r="N224" s="217">
        <f>2764.949+2764.949</f>
        <v>5529.8980000000001</v>
      </c>
      <c r="O224" s="218" t="s">
        <v>3475</v>
      </c>
      <c r="Q224" s="231"/>
      <c r="CG224" s="154"/>
      <c r="CN224" s="155"/>
      <c r="DN224" s="150" t="s">
        <v>301</v>
      </c>
      <c r="DO224" s="150" t="s">
        <v>83</v>
      </c>
      <c r="DP224" s="12" t="s">
        <v>83</v>
      </c>
      <c r="DQ224" s="12" t="s">
        <v>32</v>
      </c>
      <c r="DR224" s="12" t="s">
        <v>81</v>
      </c>
      <c r="DS224" s="150" t="s">
        <v>282</v>
      </c>
    </row>
    <row r="225" spans="2:137" s="12" customFormat="1" x14ac:dyDescent="0.2">
      <c r="B225" s="149"/>
      <c r="D225" s="138"/>
      <c r="E225" s="150"/>
      <c r="F225" s="151"/>
      <c r="H225" s="152"/>
      <c r="I225" s="153"/>
      <c r="L225" s="149"/>
      <c r="N225" s="310">
        <f>N224-H224</f>
        <v>-30.667999999999665</v>
      </c>
      <c r="O225" s="218"/>
      <c r="Q225" s="231"/>
      <c r="CG225" s="154"/>
      <c r="CN225" s="155"/>
      <c r="DN225" s="150"/>
      <c r="DO225" s="150"/>
      <c r="DS225" s="150"/>
    </row>
    <row r="226" spans="2:137" s="1" customFormat="1" ht="48" customHeight="1" x14ac:dyDescent="0.2">
      <c r="B226" s="124"/>
      <c r="C226" s="125" t="s">
        <v>392</v>
      </c>
      <c r="D226" s="125" t="s">
        <v>284</v>
      </c>
      <c r="E226" s="126" t="s">
        <v>405</v>
      </c>
      <c r="F226" s="127" t="s">
        <v>406</v>
      </c>
      <c r="G226" s="128" t="s">
        <v>366</v>
      </c>
      <c r="H226" s="129">
        <v>27802.83</v>
      </c>
      <c r="I226" s="130">
        <v>3.4208109177592001</v>
      </c>
      <c r="J226" s="131">
        <f>ROUND(I226*H226,2)</f>
        <v>95108.22</v>
      </c>
      <c r="K226" s="127" t="s">
        <v>293</v>
      </c>
      <c r="L226" s="198">
        <f>S226</f>
        <v>0</v>
      </c>
      <c r="M226" s="206">
        <f>ROUND(L226*I226,2)</f>
        <v>0</v>
      </c>
      <c r="N226" s="211">
        <f>N229</f>
        <v>-153.34000000000015</v>
      </c>
      <c r="O226" s="212">
        <f>ROUND(N226*I226,2)</f>
        <v>-524.54999999999995</v>
      </c>
      <c r="P226" s="207">
        <f>H226-L226-N226</f>
        <v>27956.170000000002</v>
      </c>
      <c r="Q226" s="228">
        <f>ROUND(P226*I226,2)</f>
        <v>95632.77</v>
      </c>
      <c r="R226" s="199">
        <v>1242.42</v>
      </c>
      <c r="S226" s="200">
        <f>W226+Y226+AA226+AC226+AE226++AG226+AI226+AK226+AM226+AO226+AQ226+AS226+AU226+AW226</f>
        <v>0</v>
      </c>
      <c r="T226" s="200">
        <f>ROUND(S226*I226,2)</f>
        <v>0</v>
      </c>
      <c r="U226" s="200">
        <f>H226-S226</f>
        <v>27802.83</v>
      </c>
      <c r="V226" s="200">
        <f>ROUND(U226*I226,2)</f>
        <v>95108.22</v>
      </c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200"/>
      <c r="AK226" s="200"/>
      <c r="AL226" s="200"/>
      <c r="AM226" s="200"/>
      <c r="AN226" s="200"/>
      <c r="AO226" s="200"/>
      <c r="AP226" s="200"/>
      <c r="AQ226" s="200"/>
      <c r="AR226" s="200"/>
      <c r="AS226" s="200"/>
      <c r="AT226" s="200"/>
      <c r="AU226" s="200"/>
      <c r="AV226" s="200"/>
      <c r="AW226" s="200"/>
      <c r="AX226" s="200"/>
      <c r="CG226" s="132" t="s">
        <v>1</v>
      </c>
      <c r="CH226" s="133" t="s">
        <v>40</v>
      </c>
      <c r="CJ226" s="134">
        <f>CI226*H226</f>
        <v>0</v>
      </c>
      <c r="CK226" s="134">
        <v>0</v>
      </c>
      <c r="CL226" s="134">
        <f>CK226*H226</f>
        <v>0</v>
      </c>
      <c r="CM226" s="134">
        <v>0</v>
      </c>
      <c r="CN226" s="135">
        <f>CM226*H226</f>
        <v>0</v>
      </c>
      <c r="DL226" s="136" t="s">
        <v>95</v>
      </c>
      <c r="DN226" s="136" t="s">
        <v>284</v>
      </c>
      <c r="DO226" s="136" t="s">
        <v>83</v>
      </c>
      <c r="DS226" s="16" t="s">
        <v>282</v>
      </c>
      <c r="DY226" s="137">
        <f>IF(CH226="základní",J226,0)</f>
        <v>95108.22</v>
      </c>
      <c r="DZ226" s="137">
        <f>IF(CH226="snížená",J226,0)</f>
        <v>0</v>
      </c>
      <c r="EA226" s="137">
        <f>IF(CH226="zákl. přenesená",J226,0)</f>
        <v>0</v>
      </c>
      <c r="EB226" s="137">
        <f>IF(CH226="sníž. přenesená",J226,0)</f>
        <v>0</v>
      </c>
      <c r="EC226" s="137">
        <f>IF(CH226="nulová",J226,0)</f>
        <v>0</v>
      </c>
      <c r="ED226" s="16" t="s">
        <v>81</v>
      </c>
      <c r="EE226" s="137">
        <f>ROUND(I226*H226,2)</f>
        <v>95108.22</v>
      </c>
      <c r="EF226" s="16" t="s">
        <v>95</v>
      </c>
      <c r="EG226" s="136" t="s">
        <v>407</v>
      </c>
    </row>
    <row r="227" spans="2:137" s="1" customFormat="1" ht="48.75" x14ac:dyDescent="0.2">
      <c r="B227" s="31"/>
      <c r="D227" s="138" t="s">
        <v>289</v>
      </c>
      <c r="F227" s="139" t="s">
        <v>408</v>
      </c>
      <c r="I227" s="140"/>
      <c r="L227" s="31"/>
      <c r="N227" s="213"/>
      <c r="O227" s="214"/>
      <c r="Q227" s="229"/>
      <c r="CG227" s="141"/>
      <c r="CN227" s="50"/>
      <c r="DN227" s="16" t="s">
        <v>289</v>
      </c>
      <c r="DO227" s="16" t="s">
        <v>83</v>
      </c>
    </row>
    <row r="228" spans="2:137" s="12" customFormat="1" x14ac:dyDescent="0.2">
      <c r="B228" s="149"/>
      <c r="D228" s="138" t="s">
        <v>301</v>
      </c>
      <c r="F228" s="151" t="s">
        <v>1460</v>
      </c>
      <c r="H228" s="152">
        <v>27802.83</v>
      </c>
      <c r="I228" s="153"/>
      <c r="L228" s="149"/>
      <c r="N228" s="217">
        <f>5529.898*5</f>
        <v>27649.49</v>
      </c>
      <c r="O228" s="218" t="s">
        <v>3482</v>
      </c>
      <c r="Q228" s="231"/>
      <c r="CG228" s="154"/>
      <c r="CN228" s="155"/>
      <c r="DN228" s="150" t="s">
        <v>301</v>
      </c>
      <c r="DO228" s="150" t="s">
        <v>83</v>
      </c>
      <c r="DP228" s="12" t="s">
        <v>83</v>
      </c>
      <c r="DQ228" s="12" t="s">
        <v>3</v>
      </c>
      <c r="DR228" s="12" t="s">
        <v>81</v>
      </c>
      <c r="DS228" s="150" t="s">
        <v>282</v>
      </c>
    </row>
    <row r="229" spans="2:137" s="12" customFormat="1" x14ac:dyDescent="0.2">
      <c r="B229" s="149"/>
      <c r="D229" s="138"/>
      <c r="F229" s="151"/>
      <c r="H229" s="152"/>
      <c r="I229" s="153"/>
      <c r="L229" s="149"/>
      <c r="N229" s="310">
        <f>N228-H228</f>
        <v>-153.34000000000015</v>
      </c>
      <c r="O229" s="218"/>
      <c r="Q229" s="231"/>
      <c r="CG229" s="154"/>
      <c r="CN229" s="155"/>
      <c r="DN229" s="150"/>
      <c r="DO229" s="150"/>
      <c r="DS229" s="150"/>
    </row>
    <row r="230" spans="2:137" s="1" customFormat="1" ht="24.2" customHeight="1" x14ac:dyDescent="0.2">
      <c r="B230" s="124"/>
      <c r="C230" s="125" t="s">
        <v>397</v>
      </c>
      <c r="D230" s="125" t="s">
        <v>284</v>
      </c>
      <c r="E230" s="126" t="s">
        <v>410</v>
      </c>
      <c r="F230" s="127" t="s">
        <v>411</v>
      </c>
      <c r="G230" s="128" t="s">
        <v>287</v>
      </c>
      <c r="H230" s="129">
        <v>1994.67</v>
      </c>
      <c r="I230" s="130">
        <v>6.3644601414457247</v>
      </c>
      <c r="J230" s="131">
        <f>ROUND(I230*H230,2)</f>
        <v>12695</v>
      </c>
      <c r="K230" s="127" t="s">
        <v>293</v>
      </c>
      <c r="L230" s="198">
        <f>S230</f>
        <v>0</v>
      </c>
      <c r="M230" s="206">
        <f>ROUND(L230*I230,2)</f>
        <v>0</v>
      </c>
      <c r="N230" s="211">
        <f>N242</f>
        <v>-11.15099999999984</v>
      </c>
      <c r="O230" s="212">
        <f>ROUND(N230*I230,2)</f>
        <v>-70.97</v>
      </c>
      <c r="P230" s="207">
        <f>H230-L230-N230</f>
        <v>2005.8209999999999</v>
      </c>
      <c r="Q230" s="228">
        <f>ROUND(P230*I230,2)</f>
        <v>12765.97</v>
      </c>
      <c r="R230" s="199"/>
      <c r="S230" s="200">
        <f>W230+Y230+AA230+AC230+AE230++AG230+AI230+AK230+AM230+AO230+AQ230+AS230+AU230+AW230</f>
        <v>0</v>
      </c>
      <c r="T230" s="200">
        <f>ROUND(S230*I230,2)</f>
        <v>0</v>
      </c>
      <c r="U230" s="200">
        <f>H230-S230</f>
        <v>1994.67</v>
      </c>
      <c r="V230" s="200">
        <f>ROUND(U230*I230,2)</f>
        <v>12695</v>
      </c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200"/>
      <c r="CG230" s="132" t="s">
        <v>1</v>
      </c>
      <c r="CH230" s="133" t="s">
        <v>40</v>
      </c>
      <c r="CJ230" s="134">
        <f>CI230*H230</f>
        <v>0</v>
      </c>
      <c r="CK230" s="134">
        <v>0</v>
      </c>
      <c r="CL230" s="134">
        <f>CK230*H230</f>
        <v>0</v>
      </c>
      <c r="CM230" s="134">
        <v>0</v>
      </c>
      <c r="CN230" s="135">
        <f>CM230*H230</f>
        <v>0</v>
      </c>
      <c r="DL230" s="136" t="s">
        <v>95</v>
      </c>
      <c r="DN230" s="136" t="s">
        <v>284</v>
      </c>
      <c r="DO230" s="136" t="s">
        <v>83</v>
      </c>
      <c r="DS230" s="16" t="s">
        <v>282</v>
      </c>
      <c r="DY230" s="137">
        <f>IF(CH230="základní",J230,0)</f>
        <v>12695</v>
      </c>
      <c r="DZ230" s="137">
        <f>IF(CH230="snížená",J230,0)</f>
        <v>0</v>
      </c>
      <c r="EA230" s="137">
        <f>IF(CH230="zákl. přenesená",J230,0)</f>
        <v>0</v>
      </c>
      <c r="EB230" s="137">
        <f>IF(CH230="sníž. přenesená",J230,0)</f>
        <v>0</v>
      </c>
      <c r="EC230" s="137">
        <f>IF(CH230="nulová",J230,0)</f>
        <v>0</v>
      </c>
      <c r="ED230" s="16" t="s">
        <v>81</v>
      </c>
      <c r="EE230" s="137">
        <f>ROUND(I230*H230,2)</f>
        <v>12695</v>
      </c>
      <c r="EF230" s="16" t="s">
        <v>95</v>
      </c>
      <c r="EG230" s="136" t="s">
        <v>412</v>
      </c>
    </row>
    <row r="231" spans="2:137" s="1" customFormat="1" ht="19.5" x14ac:dyDescent="0.2">
      <c r="B231" s="31"/>
      <c r="D231" s="138" t="s">
        <v>289</v>
      </c>
      <c r="F231" s="139" t="s">
        <v>413</v>
      </c>
      <c r="I231" s="140"/>
      <c r="L231" s="31"/>
      <c r="N231" s="213"/>
      <c r="O231" s="214"/>
      <c r="Q231" s="229"/>
      <c r="CG231" s="141"/>
      <c r="CN231" s="50"/>
      <c r="DN231" s="16" t="s">
        <v>289</v>
      </c>
      <c r="DO231" s="16" t="s">
        <v>83</v>
      </c>
    </row>
    <row r="232" spans="2:137" s="1" customFormat="1" ht="19.5" x14ac:dyDescent="0.2">
      <c r="B232" s="31"/>
      <c r="D232" s="138" t="s">
        <v>299</v>
      </c>
      <c r="F232" s="142" t="s">
        <v>317</v>
      </c>
      <c r="I232" s="140"/>
      <c r="L232" s="31"/>
      <c r="N232" s="213"/>
      <c r="O232" s="214"/>
      <c r="Q232" s="229"/>
      <c r="CG232" s="141"/>
      <c r="CN232" s="50"/>
      <c r="DN232" s="16" t="s">
        <v>299</v>
      </c>
      <c r="DO232" s="16" t="s">
        <v>83</v>
      </c>
    </row>
    <row r="233" spans="2:137" s="12" customFormat="1" x14ac:dyDescent="0.2">
      <c r="B233" s="149"/>
      <c r="D233" s="138" t="s">
        <v>301</v>
      </c>
      <c r="E233" s="150" t="s">
        <v>1</v>
      </c>
      <c r="F233" s="151" t="s">
        <v>1427</v>
      </c>
      <c r="H233" s="152">
        <v>1.5</v>
      </c>
      <c r="I233" s="153"/>
      <c r="L233" s="149"/>
      <c r="N233" s="217">
        <f>3.3*1</f>
        <v>3.3</v>
      </c>
      <c r="O233" s="359" t="s">
        <v>3460</v>
      </c>
      <c r="Q233" s="231"/>
      <c r="CG233" s="154"/>
      <c r="CN233" s="155"/>
      <c r="DN233" s="150" t="s">
        <v>301</v>
      </c>
      <c r="DO233" s="150" t="s">
        <v>83</v>
      </c>
      <c r="DP233" s="12" t="s">
        <v>83</v>
      </c>
      <c r="DQ233" s="12" t="s">
        <v>32</v>
      </c>
      <c r="DR233" s="12" t="s">
        <v>74</v>
      </c>
      <c r="DS233" s="150" t="s">
        <v>282</v>
      </c>
    </row>
    <row r="234" spans="2:137" s="12" customFormat="1" x14ac:dyDescent="0.2">
      <c r="B234" s="149"/>
      <c r="D234" s="138" t="s">
        <v>301</v>
      </c>
      <c r="E234" s="150" t="s">
        <v>1</v>
      </c>
      <c r="F234" s="151" t="s">
        <v>1428</v>
      </c>
      <c r="H234" s="152">
        <v>1640.1</v>
      </c>
      <c r="I234" s="153"/>
      <c r="L234" s="149"/>
      <c r="N234" s="217">
        <f>1552.77*1.05</f>
        <v>1630.4085</v>
      </c>
      <c r="O234" s="359" t="s">
        <v>3461</v>
      </c>
      <c r="Q234" s="231"/>
      <c r="AA234" s="12">
        <v>141.75</v>
      </c>
      <c r="CG234" s="154"/>
      <c r="CN234" s="155"/>
      <c r="DN234" s="150" t="s">
        <v>301</v>
      </c>
      <c r="DO234" s="150" t="s">
        <v>83</v>
      </c>
      <c r="DP234" s="12" t="s">
        <v>83</v>
      </c>
      <c r="DQ234" s="12" t="s">
        <v>32</v>
      </c>
      <c r="DR234" s="12" t="s">
        <v>74</v>
      </c>
      <c r="DS234" s="150" t="s">
        <v>282</v>
      </c>
    </row>
    <row r="235" spans="2:137" s="12" customFormat="1" x14ac:dyDescent="0.2">
      <c r="B235" s="149"/>
      <c r="D235" s="138" t="s">
        <v>301</v>
      </c>
      <c r="E235" s="150" t="s">
        <v>1</v>
      </c>
      <c r="F235" s="151" t="s">
        <v>1429</v>
      </c>
      <c r="H235" s="152">
        <v>42</v>
      </c>
      <c r="I235" s="153"/>
      <c r="L235" s="149"/>
      <c r="N235" s="217">
        <f>40.13*1.05</f>
        <v>42.136500000000005</v>
      </c>
      <c r="O235" s="359" t="s">
        <v>3462</v>
      </c>
      <c r="Q235" s="231"/>
      <c r="CG235" s="154"/>
      <c r="CN235" s="155"/>
      <c r="DN235" s="150" t="s">
        <v>301</v>
      </c>
      <c r="DO235" s="150" t="s">
        <v>83</v>
      </c>
      <c r="DP235" s="12" t="s">
        <v>83</v>
      </c>
      <c r="DQ235" s="12" t="s">
        <v>32</v>
      </c>
      <c r="DR235" s="12" t="s">
        <v>74</v>
      </c>
      <c r="DS235" s="150" t="s">
        <v>282</v>
      </c>
    </row>
    <row r="236" spans="2:137" s="12" customFormat="1" x14ac:dyDescent="0.2">
      <c r="B236" s="149"/>
      <c r="D236" s="138" t="s">
        <v>301</v>
      </c>
      <c r="E236" s="150" t="s">
        <v>1</v>
      </c>
      <c r="F236" s="151" t="s">
        <v>1430</v>
      </c>
      <c r="H236" s="152">
        <v>218.29499999999999</v>
      </c>
      <c r="I236" s="153"/>
      <c r="L236" s="149"/>
      <c r="N236" s="310">
        <f>H236</f>
        <v>218.29499999999999</v>
      </c>
      <c r="O236" s="359"/>
      <c r="Q236" s="231"/>
      <c r="AA236" s="12">
        <v>31.185000000000006</v>
      </c>
      <c r="CG236" s="154"/>
      <c r="CN236" s="155"/>
      <c r="DN236" s="150" t="s">
        <v>301</v>
      </c>
      <c r="DO236" s="150" t="s">
        <v>83</v>
      </c>
      <c r="DP236" s="12" t="s">
        <v>83</v>
      </c>
      <c r="DQ236" s="12" t="s">
        <v>32</v>
      </c>
      <c r="DR236" s="12" t="s">
        <v>74</v>
      </c>
      <c r="DS236" s="150" t="s">
        <v>282</v>
      </c>
    </row>
    <row r="237" spans="2:137" s="12" customFormat="1" x14ac:dyDescent="0.2">
      <c r="B237" s="149"/>
      <c r="D237" s="138" t="s">
        <v>301</v>
      </c>
      <c r="E237" s="150" t="s">
        <v>1</v>
      </c>
      <c r="F237" s="151" t="s">
        <v>995</v>
      </c>
      <c r="H237" s="152">
        <v>2.0249999999999999</v>
      </c>
      <c r="I237" s="153"/>
      <c r="L237" s="149"/>
      <c r="N237" s="310">
        <f>H237</f>
        <v>2.0249999999999999</v>
      </c>
      <c r="O237" s="359"/>
      <c r="Q237" s="231"/>
      <c r="CG237" s="154"/>
      <c r="CN237" s="155"/>
      <c r="DN237" s="150" t="s">
        <v>301</v>
      </c>
      <c r="DO237" s="150" t="s">
        <v>83</v>
      </c>
      <c r="DP237" s="12" t="s">
        <v>83</v>
      </c>
      <c r="DQ237" s="12" t="s">
        <v>32</v>
      </c>
      <c r="DR237" s="12" t="s">
        <v>74</v>
      </c>
      <c r="DS237" s="150" t="s">
        <v>282</v>
      </c>
    </row>
    <row r="238" spans="2:137" s="12" customFormat="1" x14ac:dyDescent="0.2">
      <c r="B238" s="149"/>
      <c r="D238" s="138" t="s">
        <v>301</v>
      </c>
      <c r="E238" s="150" t="s">
        <v>1</v>
      </c>
      <c r="F238" s="151" t="s">
        <v>1431</v>
      </c>
      <c r="H238" s="152">
        <v>18.600000000000001</v>
      </c>
      <c r="I238" s="153"/>
      <c r="L238" s="149"/>
      <c r="N238" s="217">
        <f>13.52*1.2</f>
        <v>16.224</v>
      </c>
      <c r="O238" s="359" t="s">
        <v>3463</v>
      </c>
      <c r="Q238" s="231"/>
      <c r="CG238" s="154"/>
      <c r="CN238" s="155"/>
      <c r="DN238" s="150" t="s">
        <v>301</v>
      </c>
      <c r="DO238" s="150" t="s">
        <v>83</v>
      </c>
      <c r="DP238" s="12" t="s">
        <v>83</v>
      </c>
      <c r="DQ238" s="12" t="s">
        <v>32</v>
      </c>
      <c r="DR238" s="12" t="s">
        <v>74</v>
      </c>
      <c r="DS238" s="150" t="s">
        <v>282</v>
      </c>
    </row>
    <row r="239" spans="2:137" s="12" customFormat="1" x14ac:dyDescent="0.2">
      <c r="B239" s="149"/>
      <c r="D239" s="138" t="s">
        <v>301</v>
      </c>
      <c r="E239" s="150" t="s">
        <v>1</v>
      </c>
      <c r="F239" s="151" t="s">
        <v>1432</v>
      </c>
      <c r="H239" s="152">
        <v>60</v>
      </c>
      <c r="I239" s="153"/>
      <c r="L239" s="149"/>
      <c r="N239" s="217">
        <f>49.15*1.2</f>
        <v>58.98</v>
      </c>
      <c r="O239" s="359" t="s">
        <v>3464</v>
      </c>
      <c r="Q239" s="231"/>
      <c r="AA239" s="12">
        <v>60</v>
      </c>
      <c r="CG239" s="154"/>
      <c r="CN239" s="155"/>
      <c r="DN239" s="150" t="s">
        <v>301</v>
      </c>
      <c r="DO239" s="150" t="s">
        <v>83</v>
      </c>
      <c r="DP239" s="12" t="s">
        <v>83</v>
      </c>
      <c r="DQ239" s="12" t="s">
        <v>32</v>
      </c>
      <c r="DR239" s="12" t="s">
        <v>74</v>
      </c>
      <c r="DS239" s="150" t="s">
        <v>282</v>
      </c>
    </row>
    <row r="240" spans="2:137" s="12" customFormat="1" x14ac:dyDescent="0.2">
      <c r="B240" s="149"/>
      <c r="D240" s="138" t="s">
        <v>301</v>
      </c>
      <c r="E240" s="150" t="s">
        <v>1</v>
      </c>
      <c r="F240" s="151" t="s">
        <v>1433</v>
      </c>
      <c r="H240" s="152">
        <v>12.15</v>
      </c>
      <c r="I240" s="153"/>
      <c r="L240" s="149"/>
      <c r="N240" s="310">
        <f>H240</f>
        <v>12.15</v>
      </c>
      <c r="O240" s="218"/>
      <c r="Q240" s="231"/>
      <c r="CG240" s="154"/>
      <c r="CN240" s="155"/>
      <c r="DN240" s="150" t="s">
        <v>301</v>
      </c>
      <c r="DO240" s="150" t="s">
        <v>83</v>
      </c>
      <c r="DP240" s="12" t="s">
        <v>83</v>
      </c>
      <c r="DQ240" s="12" t="s">
        <v>32</v>
      </c>
      <c r="DR240" s="12" t="s">
        <v>74</v>
      </c>
      <c r="DS240" s="150" t="s">
        <v>282</v>
      </c>
    </row>
    <row r="241" spans="2:137" s="13" customFormat="1" x14ac:dyDescent="0.2">
      <c r="B241" s="156"/>
      <c r="D241" s="138" t="s">
        <v>301</v>
      </c>
      <c r="E241" s="157" t="s">
        <v>1</v>
      </c>
      <c r="F241" s="158" t="s">
        <v>305</v>
      </c>
      <c r="H241" s="159">
        <v>1994.67</v>
      </c>
      <c r="I241" s="160"/>
      <c r="L241" s="156"/>
      <c r="N241" s="219">
        <f>SUM(N233:N240)</f>
        <v>1983.5190000000002</v>
      </c>
      <c r="O241" s="220"/>
      <c r="Q241" s="232"/>
      <c r="CG241" s="161"/>
      <c r="CN241" s="162"/>
      <c r="DN241" s="157" t="s">
        <v>301</v>
      </c>
      <c r="DO241" s="157" t="s">
        <v>83</v>
      </c>
      <c r="DP241" s="13" t="s">
        <v>95</v>
      </c>
      <c r="DQ241" s="13" t="s">
        <v>32</v>
      </c>
      <c r="DR241" s="13" t="s">
        <v>81</v>
      </c>
      <c r="DS241" s="157" t="s">
        <v>282</v>
      </c>
    </row>
    <row r="242" spans="2:137" s="13" customFormat="1" x14ac:dyDescent="0.2">
      <c r="B242" s="156"/>
      <c r="D242" s="138"/>
      <c r="E242" s="157"/>
      <c r="F242" s="158"/>
      <c r="H242" s="159"/>
      <c r="I242" s="160"/>
      <c r="L242" s="156"/>
      <c r="N242" s="311">
        <f>N241-H241</f>
        <v>-11.15099999999984</v>
      </c>
      <c r="O242" s="220"/>
      <c r="Q242" s="232"/>
      <c r="CG242" s="161"/>
      <c r="CN242" s="162"/>
      <c r="DN242" s="157"/>
      <c r="DO242" s="157"/>
      <c r="DS242" s="157"/>
    </row>
    <row r="243" spans="2:137" s="1" customFormat="1" ht="24.2" customHeight="1" x14ac:dyDescent="0.2">
      <c r="B243" s="124"/>
      <c r="C243" s="125" t="s">
        <v>404</v>
      </c>
      <c r="D243" s="125" t="s">
        <v>284</v>
      </c>
      <c r="E243" s="126" t="s">
        <v>416</v>
      </c>
      <c r="F243" s="127" t="s">
        <v>417</v>
      </c>
      <c r="G243" s="128" t="s">
        <v>418</v>
      </c>
      <c r="H243" s="129">
        <v>10009.019</v>
      </c>
      <c r="I243" s="130">
        <v>110.6455721</v>
      </c>
      <c r="J243" s="131">
        <f>ROUND(I243*H243,2)</f>
        <v>1107453.6299999999</v>
      </c>
      <c r="K243" s="127" t="s">
        <v>293</v>
      </c>
      <c r="L243" s="198">
        <f>S243</f>
        <v>0</v>
      </c>
      <c r="M243" s="206">
        <f>ROUND(L243*I243,2)</f>
        <v>0</v>
      </c>
      <c r="N243" s="211">
        <f>N246</f>
        <v>-55.20260000000053</v>
      </c>
      <c r="O243" s="212">
        <f>ROUND(N243*I243,2)</f>
        <v>-6107.92</v>
      </c>
      <c r="P243" s="207">
        <f>H243-L243-N243</f>
        <v>10064.221600000001</v>
      </c>
      <c r="Q243" s="228">
        <f>ROUND(P243*I243,2)</f>
        <v>1113561.56</v>
      </c>
      <c r="R243" s="199">
        <v>447.27100000000002</v>
      </c>
      <c r="S243" s="200">
        <f>W243+Y243+AA243+AC243+AE243++AG243+AI243+AK243+AM243+AO243+AQ243+AS243+AU243+AW243</f>
        <v>0</v>
      </c>
      <c r="T243" s="200">
        <f>ROUND(S243*I243,2)</f>
        <v>0</v>
      </c>
      <c r="U243" s="200">
        <f>H243-S243</f>
        <v>10009.019</v>
      </c>
      <c r="V243" s="200">
        <f>ROUND(U243*I243,2)</f>
        <v>1107453.6299999999</v>
      </c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CG243" s="132" t="s">
        <v>1</v>
      </c>
      <c r="CH243" s="133" t="s">
        <v>40</v>
      </c>
      <c r="CJ243" s="134">
        <f>CI243*H243</f>
        <v>0</v>
      </c>
      <c r="CK243" s="134">
        <v>0</v>
      </c>
      <c r="CL243" s="134">
        <f>CK243*H243</f>
        <v>0</v>
      </c>
      <c r="CM243" s="134">
        <v>0</v>
      </c>
      <c r="CN243" s="135">
        <f>CM243*H243</f>
        <v>0</v>
      </c>
      <c r="DL243" s="136" t="s">
        <v>95</v>
      </c>
      <c r="DN243" s="136" t="s">
        <v>284</v>
      </c>
      <c r="DO243" s="136" t="s">
        <v>83</v>
      </c>
      <c r="DS243" s="16" t="s">
        <v>282</v>
      </c>
      <c r="DY243" s="137">
        <f>IF(CH243="základní",J243,0)</f>
        <v>1107453.6299999999</v>
      </c>
      <c r="DZ243" s="137">
        <f>IF(CH243="snížená",J243,0)</f>
        <v>0</v>
      </c>
      <c r="EA243" s="137">
        <f>IF(CH243="zákl. přenesená",J243,0)</f>
        <v>0</v>
      </c>
      <c r="EB243" s="137">
        <f>IF(CH243="sníž. přenesená",J243,0)</f>
        <v>0</v>
      </c>
      <c r="EC243" s="137">
        <f>IF(CH243="nulová",J243,0)</f>
        <v>0</v>
      </c>
      <c r="ED243" s="16" t="s">
        <v>81</v>
      </c>
      <c r="EE243" s="137">
        <f>ROUND(I243*H243,2)</f>
        <v>1107453.6299999999</v>
      </c>
      <c r="EF243" s="16" t="s">
        <v>95</v>
      </c>
      <c r="EG243" s="136" t="s">
        <v>419</v>
      </c>
    </row>
    <row r="244" spans="2:137" s="1" customFormat="1" ht="29.25" x14ac:dyDescent="0.2">
      <c r="B244" s="31"/>
      <c r="D244" s="138" t="s">
        <v>289</v>
      </c>
      <c r="F244" s="139" t="s">
        <v>420</v>
      </c>
      <c r="I244" s="140"/>
      <c r="L244" s="31"/>
      <c r="N244" s="213"/>
      <c r="O244" s="214"/>
      <c r="Q244" s="229"/>
      <c r="CG244" s="141"/>
      <c r="CN244" s="50"/>
      <c r="DN244" s="16" t="s">
        <v>289</v>
      </c>
      <c r="DO244" s="16" t="s">
        <v>83</v>
      </c>
    </row>
    <row r="245" spans="2:137" s="12" customFormat="1" x14ac:dyDescent="0.2">
      <c r="B245" s="149"/>
      <c r="D245" s="138" t="s">
        <v>301</v>
      </c>
      <c r="F245" s="151" t="s">
        <v>1461</v>
      </c>
      <c r="H245" s="152">
        <v>10009.019</v>
      </c>
      <c r="I245" s="153"/>
      <c r="L245" s="149"/>
      <c r="N245" s="217">
        <f>5529.898*1.8</f>
        <v>9953.8163999999997</v>
      </c>
      <c r="O245" s="218" t="s">
        <v>3483</v>
      </c>
      <c r="Q245" s="231"/>
      <c r="CG245" s="154"/>
      <c r="CN245" s="155"/>
      <c r="DN245" s="150" t="s">
        <v>301</v>
      </c>
      <c r="DO245" s="150" t="s">
        <v>83</v>
      </c>
      <c r="DP245" s="12" t="s">
        <v>83</v>
      </c>
      <c r="DQ245" s="12" t="s">
        <v>3</v>
      </c>
      <c r="DR245" s="12" t="s">
        <v>81</v>
      </c>
      <c r="DS245" s="150" t="s">
        <v>282</v>
      </c>
    </row>
    <row r="246" spans="2:137" s="12" customFormat="1" x14ac:dyDescent="0.2">
      <c r="B246" s="149"/>
      <c r="D246" s="138"/>
      <c r="F246" s="151"/>
      <c r="H246" s="152"/>
      <c r="I246" s="153"/>
      <c r="L246" s="149"/>
      <c r="N246" s="310">
        <f>N245-H245</f>
        <v>-55.20260000000053</v>
      </c>
      <c r="O246" s="218"/>
      <c r="Q246" s="231"/>
      <c r="CG246" s="154"/>
      <c r="CN246" s="155"/>
      <c r="DN246" s="150"/>
      <c r="DO246" s="150"/>
      <c r="DS246" s="150"/>
    </row>
    <row r="247" spans="2:137" s="1" customFormat="1" ht="24.2" customHeight="1" x14ac:dyDescent="0.2">
      <c r="B247" s="124"/>
      <c r="C247" s="125" t="s">
        <v>7</v>
      </c>
      <c r="D247" s="125" t="s">
        <v>284</v>
      </c>
      <c r="E247" s="126" t="s">
        <v>423</v>
      </c>
      <c r="F247" s="127" t="s">
        <v>424</v>
      </c>
      <c r="G247" s="128" t="s">
        <v>366</v>
      </c>
      <c r="H247" s="129">
        <v>4946.3289999999997</v>
      </c>
      <c r="I247" s="130">
        <v>140.64048227116101</v>
      </c>
      <c r="J247" s="131">
        <f>ROUND(I247*H247,2)</f>
        <v>695654.1</v>
      </c>
      <c r="K247" s="127" t="s">
        <v>293</v>
      </c>
      <c r="L247" s="198">
        <f>S247</f>
        <v>0</v>
      </c>
      <c r="M247" s="206">
        <f>ROUND(L247*I247,2)</f>
        <v>0</v>
      </c>
      <c r="N247" s="211">
        <f>N262</f>
        <v>-27.280849999999191</v>
      </c>
      <c r="O247" s="212">
        <f>ROUND(N247*I247,2)</f>
        <v>-3836.79</v>
      </c>
      <c r="P247" s="207">
        <f>H247-L247-N247</f>
        <v>4973.6098499999989</v>
      </c>
      <c r="Q247" s="228">
        <f>ROUND(P247*I247,2)</f>
        <v>699490.89</v>
      </c>
      <c r="R247" s="199">
        <v>240.27699999999999</v>
      </c>
      <c r="S247" s="200">
        <f>W247+Y247+AA247+AC247+AE247++AG247+AI247+AK247+AM247+AO247+AQ247+AS247+AU247+AW247</f>
        <v>0</v>
      </c>
      <c r="T247" s="200">
        <f>ROUND(S247*I247,2)</f>
        <v>0</v>
      </c>
      <c r="U247" s="200">
        <f>H247-S247</f>
        <v>4946.3289999999997</v>
      </c>
      <c r="V247" s="200">
        <f>ROUND(U247*I247,2)</f>
        <v>695654.1</v>
      </c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CG247" s="132" t="s">
        <v>1</v>
      </c>
      <c r="CH247" s="133" t="s">
        <v>40</v>
      </c>
      <c r="CJ247" s="134">
        <f>CI247*H247</f>
        <v>0</v>
      </c>
      <c r="CK247" s="134">
        <v>0</v>
      </c>
      <c r="CL247" s="134">
        <f>CK247*H247</f>
        <v>0</v>
      </c>
      <c r="CM247" s="134">
        <v>0</v>
      </c>
      <c r="CN247" s="135">
        <f>CM247*H247</f>
        <v>0</v>
      </c>
      <c r="DL247" s="136" t="s">
        <v>95</v>
      </c>
      <c r="DN247" s="136" t="s">
        <v>284</v>
      </c>
      <c r="DO247" s="136" t="s">
        <v>83</v>
      </c>
      <c r="DS247" s="16" t="s">
        <v>282</v>
      </c>
      <c r="DY247" s="137">
        <f>IF(CH247="základní",J247,0)</f>
        <v>695654.1</v>
      </c>
      <c r="DZ247" s="137">
        <f>IF(CH247="snížená",J247,0)</f>
        <v>0</v>
      </c>
      <c r="EA247" s="137">
        <f>IF(CH247="zákl. přenesená",J247,0)</f>
        <v>0</v>
      </c>
      <c r="EB247" s="137">
        <f>IF(CH247="sníž. přenesená",J247,0)</f>
        <v>0</v>
      </c>
      <c r="EC247" s="137">
        <f>IF(CH247="nulová",J247,0)</f>
        <v>0</v>
      </c>
      <c r="ED247" s="16" t="s">
        <v>81</v>
      </c>
      <c r="EE247" s="137">
        <f>ROUND(I247*H247,2)</f>
        <v>695654.1</v>
      </c>
      <c r="EF247" s="16" t="s">
        <v>95</v>
      </c>
      <c r="EG247" s="136" t="s">
        <v>425</v>
      </c>
    </row>
    <row r="248" spans="2:137" s="1" customFormat="1" ht="29.25" x14ac:dyDescent="0.2">
      <c r="B248" s="31"/>
      <c r="D248" s="138" t="s">
        <v>289</v>
      </c>
      <c r="F248" s="139" t="s">
        <v>426</v>
      </c>
      <c r="I248" s="140"/>
      <c r="L248" s="31"/>
      <c r="N248" s="213"/>
      <c r="O248" s="214"/>
      <c r="Q248" s="229"/>
      <c r="CG248" s="141"/>
      <c r="CN248" s="50"/>
      <c r="DN248" s="16" t="s">
        <v>289</v>
      </c>
      <c r="DO248" s="16" t="s">
        <v>83</v>
      </c>
    </row>
    <row r="249" spans="2:137" s="11" customFormat="1" x14ac:dyDescent="0.2">
      <c r="B249" s="143"/>
      <c r="D249" s="138" t="s">
        <v>301</v>
      </c>
      <c r="E249" s="144" t="s">
        <v>1</v>
      </c>
      <c r="F249" s="145" t="s">
        <v>1458</v>
      </c>
      <c r="H249" s="144" t="s">
        <v>1</v>
      </c>
      <c r="I249" s="146"/>
      <c r="L249" s="143"/>
      <c r="N249" s="215"/>
      <c r="O249" s="216"/>
      <c r="Q249" s="230"/>
      <c r="CG249" s="147"/>
      <c r="CN249" s="148"/>
      <c r="DN249" s="144" t="s">
        <v>301</v>
      </c>
      <c r="DO249" s="144" t="s">
        <v>83</v>
      </c>
      <c r="DP249" s="11" t="s">
        <v>81</v>
      </c>
      <c r="DQ249" s="11" t="s">
        <v>32</v>
      </c>
      <c r="DR249" s="11" t="s">
        <v>74</v>
      </c>
      <c r="DS249" s="144" t="s">
        <v>282</v>
      </c>
    </row>
    <row r="250" spans="2:137" s="12" customFormat="1" x14ac:dyDescent="0.2">
      <c r="B250" s="149"/>
      <c r="D250" s="138" t="s">
        <v>301</v>
      </c>
      <c r="E250" s="150" t="s">
        <v>1</v>
      </c>
      <c r="F250" s="151" t="s">
        <v>1459</v>
      </c>
      <c r="H250" s="152">
        <v>5560.5659999999998</v>
      </c>
      <c r="I250" s="153"/>
      <c r="L250" s="149"/>
      <c r="N250" s="217">
        <f>2764.949+2764.949</f>
        <v>5529.8980000000001</v>
      </c>
      <c r="O250" s="218" t="s">
        <v>3475</v>
      </c>
      <c r="Q250" s="231"/>
      <c r="CG250" s="154"/>
      <c r="CN250" s="155"/>
      <c r="DN250" s="150" t="s">
        <v>301</v>
      </c>
      <c r="DO250" s="150" t="s">
        <v>83</v>
      </c>
      <c r="DP250" s="12" t="s">
        <v>83</v>
      </c>
      <c r="DQ250" s="12" t="s">
        <v>32</v>
      </c>
      <c r="DR250" s="12" t="s">
        <v>74</v>
      </c>
      <c r="DS250" s="150" t="s">
        <v>282</v>
      </c>
    </row>
    <row r="251" spans="2:137" s="11" customFormat="1" x14ac:dyDescent="0.2">
      <c r="B251" s="143"/>
      <c r="D251" s="138" t="s">
        <v>301</v>
      </c>
      <c r="E251" s="144" t="s">
        <v>1</v>
      </c>
      <c r="F251" s="145" t="s">
        <v>428</v>
      </c>
      <c r="H251" s="144" t="s">
        <v>1</v>
      </c>
      <c r="I251" s="146"/>
      <c r="L251" s="143"/>
      <c r="N251" s="215"/>
      <c r="O251" s="216"/>
      <c r="Q251" s="230"/>
      <c r="CG251" s="147"/>
      <c r="CN251" s="148"/>
      <c r="DN251" s="144" t="s">
        <v>301</v>
      </c>
      <c r="DO251" s="144" t="s">
        <v>83</v>
      </c>
      <c r="DP251" s="11" t="s">
        <v>81</v>
      </c>
      <c r="DQ251" s="11" t="s">
        <v>32</v>
      </c>
      <c r="DR251" s="11" t="s">
        <v>74</v>
      </c>
      <c r="DS251" s="144" t="s">
        <v>282</v>
      </c>
    </row>
    <row r="252" spans="2:137" s="12" customFormat="1" x14ac:dyDescent="0.2">
      <c r="B252" s="149"/>
      <c r="D252" s="138" t="s">
        <v>301</v>
      </c>
      <c r="E252" s="150" t="s">
        <v>1</v>
      </c>
      <c r="F252" s="151" t="s">
        <v>1462</v>
      </c>
      <c r="H252" s="152">
        <v>-980.92499999999995</v>
      </c>
      <c r="I252" s="153"/>
      <c r="L252" s="149"/>
      <c r="N252" s="217">
        <f>-N275</f>
        <v>-974.19254999999998</v>
      </c>
      <c r="O252" s="218"/>
      <c r="Q252" s="231"/>
      <c r="CG252" s="154"/>
      <c r="CN252" s="155"/>
      <c r="DN252" s="150" t="s">
        <v>301</v>
      </c>
      <c r="DO252" s="150" t="s">
        <v>83</v>
      </c>
      <c r="DP252" s="12" t="s">
        <v>83</v>
      </c>
      <c r="DQ252" s="12" t="s">
        <v>32</v>
      </c>
      <c r="DR252" s="12" t="s">
        <v>74</v>
      </c>
      <c r="DS252" s="150" t="s">
        <v>282</v>
      </c>
    </row>
    <row r="253" spans="2:137" s="11" customFormat="1" x14ac:dyDescent="0.2">
      <c r="B253" s="143"/>
      <c r="D253" s="138" t="s">
        <v>301</v>
      </c>
      <c r="E253" s="144" t="s">
        <v>1</v>
      </c>
      <c r="F253" s="145" t="s">
        <v>430</v>
      </c>
      <c r="H253" s="144" t="s">
        <v>1</v>
      </c>
      <c r="I253" s="146"/>
      <c r="L253" s="143"/>
      <c r="N253" s="215"/>
      <c r="O253" s="216"/>
      <c r="Q253" s="230"/>
      <c r="CG253" s="147"/>
      <c r="CN253" s="148"/>
      <c r="DN253" s="144" t="s">
        <v>301</v>
      </c>
      <c r="DO253" s="144" t="s">
        <v>83</v>
      </c>
      <c r="DP253" s="11" t="s">
        <v>81</v>
      </c>
      <c r="DQ253" s="11" t="s">
        <v>32</v>
      </c>
      <c r="DR253" s="11" t="s">
        <v>74</v>
      </c>
      <c r="DS253" s="144" t="s">
        <v>282</v>
      </c>
    </row>
    <row r="254" spans="2:137" s="12" customFormat="1" x14ac:dyDescent="0.2">
      <c r="B254" s="149"/>
      <c r="D254" s="138" t="s">
        <v>301</v>
      </c>
      <c r="E254" s="150" t="s">
        <v>1</v>
      </c>
      <c r="F254" s="151" t="s">
        <v>1463</v>
      </c>
      <c r="H254" s="152">
        <v>-209.39500000000001</v>
      </c>
      <c r="I254" s="153"/>
      <c r="L254" s="149"/>
      <c r="N254" s="310">
        <f>-N297-H299</f>
        <v>-208.2799</v>
      </c>
      <c r="O254" s="218"/>
      <c r="Q254" s="231"/>
      <c r="CG254" s="154"/>
      <c r="CN254" s="155"/>
      <c r="DN254" s="150" t="s">
        <v>301</v>
      </c>
      <c r="DO254" s="150" t="s">
        <v>83</v>
      </c>
      <c r="DP254" s="12" t="s">
        <v>83</v>
      </c>
      <c r="DQ254" s="12" t="s">
        <v>32</v>
      </c>
      <c r="DR254" s="12" t="s">
        <v>74</v>
      </c>
      <c r="DS254" s="150" t="s">
        <v>282</v>
      </c>
    </row>
    <row r="255" spans="2:137" s="11" customFormat="1" x14ac:dyDescent="0.2">
      <c r="B255" s="143"/>
      <c r="D255" s="138" t="s">
        <v>301</v>
      </c>
      <c r="E255" s="144" t="s">
        <v>1</v>
      </c>
      <c r="F255" s="145" t="s">
        <v>432</v>
      </c>
      <c r="H255" s="144" t="s">
        <v>1</v>
      </c>
      <c r="I255" s="146"/>
      <c r="L255" s="143"/>
      <c r="N255" s="215"/>
      <c r="O255" s="216"/>
      <c r="Q255" s="230"/>
      <c r="CG255" s="147"/>
      <c r="CN255" s="148"/>
      <c r="DN255" s="144" t="s">
        <v>301</v>
      </c>
      <c r="DO255" s="144" t="s">
        <v>83</v>
      </c>
      <c r="DP255" s="11" t="s">
        <v>81</v>
      </c>
      <c r="DQ255" s="11" t="s">
        <v>32</v>
      </c>
      <c r="DR255" s="11" t="s">
        <v>74</v>
      </c>
      <c r="DS255" s="144" t="s">
        <v>282</v>
      </c>
    </row>
    <row r="256" spans="2:137" s="12" customFormat="1" x14ac:dyDescent="0.2">
      <c r="B256" s="149"/>
      <c r="D256" s="138" t="s">
        <v>301</v>
      </c>
      <c r="E256" s="150" t="s">
        <v>1</v>
      </c>
      <c r="F256" s="151" t="s">
        <v>1464</v>
      </c>
      <c r="H256" s="152">
        <v>-18.225000000000001</v>
      </c>
      <c r="I256" s="153"/>
      <c r="L256" s="149"/>
      <c r="N256" s="310">
        <f>H256</f>
        <v>-18.225000000000001</v>
      </c>
      <c r="O256" s="218"/>
      <c r="Q256" s="231"/>
      <c r="CG256" s="154"/>
      <c r="CN256" s="155"/>
      <c r="DN256" s="150" t="s">
        <v>301</v>
      </c>
      <c r="DO256" s="150" t="s">
        <v>83</v>
      </c>
      <c r="DP256" s="12" t="s">
        <v>83</v>
      </c>
      <c r="DQ256" s="12" t="s">
        <v>32</v>
      </c>
      <c r="DR256" s="12" t="s">
        <v>74</v>
      </c>
      <c r="DS256" s="150" t="s">
        <v>282</v>
      </c>
    </row>
    <row r="257" spans="2:137" s="12" customFormat="1" x14ac:dyDescent="0.2">
      <c r="B257" s="149"/>
      <c r="D257" s="138" t="s">
        <v>301</v>
      </c>
      <c r="E257" s="150" t="s">
        <v>1</v>
      </c>
      <c r="F257" s="151" t="s">
        <v>1465</v>
      </c>
      <c r="H257" s="152">
        <v>-200.84700000000001</v>
      </c>
      <c r="I257" s="153"/>
      <c r="L257" s="149"/>
      <c r="N257" s="310">
        <f>H257</f>
        <v>-200.84700000000001</v>
      </c>
      <c r="O257" s="218"/>
      <c r="Q257" s="231"/>
      <c r="CG257" s="154"/>
      <c r="CN257" s="155"/>
      <c r="DN257" s="150" t="s">
        <v>301</v>
      </c>
      <c r="DO257" s="150" t="s">
        <v>83</v>
      </c>
      <c r="DP257" s="12" t="s">
        <v>83</v>
      </c>
      <c r="DQ257" s="12" t="s">
        <v>32</v>
      </c>
      <c r="DR257" s="12" t="s">
        <v>74</v>
      </c>
      <c r="DS257" s="150" t="s">
        <v>282</v>
      </c>
    </row>
    <row r="258" spans="2:137" s="12" customFormat="1" x14ac:dyDescent="0.2">
      <c r="B258" s="149"/>
      <c r="D258" s="138" t="s">
        <v>301</v>
      </c>
      <c r="E258" s="150" t="s">
        <v>1</v>
      </c>
      <c r="F258" s="151" t="s">
        <v>1466</v>
      </c>
      <c r="H258" s="152">
        <v>-2.7130000000000001</v>
      </c>
      <c r="I258" s="153"/>
      <c r="L258" s="149"/>
      <c r="N258" s="310">
        <f>H258</f>
        <v>-2.7130000000000001</v>
      </c>
      <c r="O258" s="218"/>
      <c r="Q258" s="231"/>
      <c r="CG258" s="154"/>
      <c r="CN258" s="155"/>
      <c r="DN258" s="150" t="s">
        <v>301</v>
      </c>
      <c r="DO258" s="150" t="s">
        <v>83</v>
      </c>
      <c r="DP258" s="12" t="s">
        <v>83</v>
      </c>
      <c r="DQ258" s="12" t="s">
        <v>32</v>
      </c>
      <c r="DR258" s="12" t="s">
        <v>74</v>
      </c>
      <c r="DS258" s="150" t="s">
        <v>282</v>
      </c>
    </row>
    <row r="259" spans="2:137" s="11" customFormat="1" x14ac:dyDescent="0.2">
      <c r="B259" s="143"/>
      <c r="D259" s="138" t="s">
        <v>301</v>
      </c>
      <c r="E259" s="144" t="s">
        <v>1</v>
      </c>
      <c r="F259" s="145" t="s">
        <v>436</v>
      </c>
      <c r="H259" s="144" t="s">
        <v>1</v>
      </c>
      <c r="I259" s="146"/>
      <c r="L259" s="143"/>
      <c r="N259" s="215"/>
      <c r="O259" s="216"/>
      <c r="Q259" s="230"/>
      <c r="CG259" s="147"/>
      <c r="CN259" s="148"/>
      <c r="DN259" s="144" t="s">
        <v>301</v>
      </c>
      <c r="DO259" s="144" t="s">
        <v>83</v>
      </c>
      <c r="DP259" s="11" t="s">
        <v>81</v>
      </c>
      <c r="DQ259" s="11" t="s">
        <v>32</v>
      </c>
      <c r="DR259" s="11" t="s">
        <v>74</v>
      </c>
      <c r="DS259" s="144" t="s">
        <v>282</v>
      </c>
    </row>
    <row r="260" spans="2:137" s="12" customFormat="1" x14ac:dyDescent="0.2">
      <c r="B260" s="149"/>
      <c r="D260" s="138" t="s">
        <v>301</v>
      </c>
      <c r="E260" s="150" t="s">
        <v>1</v>
      </c>
      <c r="F260" s="151" t="s">
        <v>1467</v>
      </c>
      <c r="H260" s="152">
        <v>797.86800000000005</v>
      </c>
      <c r="I260" s="153"/>
      <c r="L260" s="149"/>
      <c r="N260" s="217">
        <f>1983.519*(0.45-0.05)</f>
        <v>793.4076</v>
      </c>
      <c r="O260" s="218" t="s">
        <v>3494</v>
      </c>
      <c r="Q260" s="231"/>
      <c r="CG260" s="154"/>
      <c r="CN260" s="155"/>
      <c r="DN260" s="150" t="s">
        <v>301</v>
      </c>
      <c r="DO260" s="150" t="s">
        <v>83</v>
      </c>
      <c r="DP260" s="12" t="s">
        <v>83</v>
      </c>
      <c r="DQ260" s="12" t="s">
        <v>32</v>
      </c>
      <c r="DR260" s="12" t="s">
        <v>74</v>
      </c>
      <c r="DS260" s="150" t="s">
        <v>282</v>
      </c>
    </row>
    <row r="261" spans="2:137" s="13" customFormat="1" x14ac:dyDescent="0.2">
      <c r="B261" s="156"/>
      <c r="D261" s="138" t="s">
        <v>301</v>
      </c>
      <c r="E261" s="157" t="s">
        <v>1</v>
      </c>
      <c r="F261" s="158" t="s">
        <v>305</v>
      </c>
      <c r="H261" s="159">
        <v>4946.3289999999997</v>
      </c>
      <c r="I261" s="160"/>
      <c r="L261" s="156"/>
      <c r="N261" s="219">
        <f>SUM(N250:N260)</f>
        <v>4919.0481500000005</v>
      </c>
      <c r="O261" s="220"/>
      <c r="Q261" s="232"/>
      <c r="CG261" s="161"/>
      <c r="CN261" s="162"/>
      <c r="DN261" s="157" t="s">
        <v>301</v>
      </c>
      <c r="DO261" s="157" t="s">
        <v>83</v>
      </c>
      <c r="DP261" s="13" t="s">
        <v>95</v>
      </c>
      <c r="DQ261" s="13" t="s">
        <v>32</v>
      </c>
      <c r="DR261" s="13" t="s">
        <v>81</v>
      </c>
      <c r="DS261" s="157" t="s">
        <v>282</v>
      </c>
    </row>
    <row r="262" spans="2:137" s="13" customFormat="1" x14ac:dyDescent="0.2">
      <c r="B262" s="156"/>
      <c r="D262" s="138"/>
      <c r="E262" s="157"/>
      <c r="F262" s="158"/>
      <c r="H262" s="159"/>
      <c r="I262" s="160"/>
      <c r="L262" s="156"/>
      <c r="N262" s="311">
        <f>N261-H261</f>
        <v>-27.280849999999191</v>
      </c>
      <c r="O262" s="220"/>
      <c r="Q262" s="232"/>
      <c r="CG262" s="161"/>
      <c r="CN262" s="162"/>
      <c r="DN262" s="157"/>
      <c r="DO262" s="157"/>
      <c r="DS262" s="157"/>
    </row>
    <row r="263" spans="2:137" s="1" customFormat="1" ht="14.45" customHeight="1" x14ac:dyDescent="0.2">
      <c r="B263" s="124"/>
      <c r="C263" s="170" t="s">
        <v>415</v>
      </c>
      <c r="D263" s="170" t="s">
        <v>439</v>
      </c>
      <c r="E263" s="171" t="s">
        <v>440</v>
      </c>
      <c r="F263" s="172" t="s">
        <v>441</v>
      </c>
      <c r="G263" s="173" t="s">
        <v>418</v>
      </c>
      <c r="H263" s="174">
        <v>9892.6579999999994</v>
      </c>
      <c r="I263" s="175">
        <v>390.0974172</v>
      </c>
      <c r="J263" s="176">
        <f>ROUND(I263*H263,2)</f>
        <v>3859100.34</v>
      </c>
      <c r="K263" s="172" t="s">
        <v>293</v>
      </c>
      <c r="L263" s="198">
        <f>S263</f>
        <v>0</v>
      </c>
      <c r="M263" s="206">
        <f>ROUND(L263*I263,2)</f>
        <v>0</v>
      </c>
      <c r="N263" s="211">
        <f>N266</f>
        <v>-54.561999999999998</v>
      </c>
      <c r="O263" s="212">
        <f>ROUND(N263*I263,2)</f>
        <v>-21284.5</v>
      </c>
      <c r="P263" s="207">
        <f>H263-L263-N263</f>
        <v>9947.2199999999993</v>
      </c>
      <c r="Q263" s="228">
        <f>ROUND(P263*I263,2)</f>
        <v>3880384.83</v>
      </c>
      <c r="R263" s="199">
        <v>480.55399999999997</v>
      </c>
      <c r="S263" s="200">
        <f>W263+Y263+AA263+AC263+AE263++AG263+AI263+AK263+AM263+AO263+AQ263+AS263+AU263+AW263</f>
        <v>0</v>
      </c>
      <c r="T263" s="200">
        <f>ROUND(S263*I263,2)</f>
        <v>0</v>
      </c>
      <c r="U263" s="200">
        <f>H263-S263</f>
        <v>9892.6579999999994</v>
      </c>
      <c r="V263" s="200">
        <f>ROUND(U263*I263,2)</f>
        <v>3859100.34</v>
      </c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77" t="s">
        <v>1</v>
      </c>
      <c r="CH263" s="178" t="s">
        <v>40</v>
      </c>
      <c r="CJ263" s="134">
        <f>CI263*H263</f>
        <v>0</v>
      </c>
      <c r="CK263" s="134">
        <v>1</v>
      </c>
      <c r="CL263" s="134">
        <f>CK263*H263</f>
        <v>9892.6579999999994</v>
      </c>
      <c r="CM263" s="134">
        <v>0</v>
      </c>
      <c r="CN263" s="135">
        <f>CM263*H263</f>
        <v>0</v>
      </c>
      <c r="DL263" s="136" t="s">
        <v>328</v>
      </c>
      <c r="DN263" s="136" t="s">
        <v>439</v>
      </c>
      <c r="DO263" s="136" t="s">
        <v>83</v>
      </c>
      <c r="DS263" s="16" t="s">
        <v>282</v>
      </c>
      <c r="DY263" s="137">
        <f>IF(CH263="základní",J263,0)</f>
        <v>3859100.34</v>
      </c>
      <c r="DZ263" s="137">
        <f>IF(CH263="snížená",J263,0)</f>
        <v>0</v>
      </c>
      <c r="EA263" s="137">
        <f>IF(CH263="zákl. přenesená",J263,0)</f>
        <v>0</v>
      </c>
      <c r="EB263" s="137">
        <f>IF(CH263="sníž. přenesená",J263,0)</f>
        <v>0</v>
      </c>
      <c r="EC263" s="137">
        <f>IF(CH263="nulová",J263,0)</f>
        <v>0</v>
      </c>
      <c r="ED263" s="16" t="s">
        <v>81</v>
      </c>
      <c r="EE263" s="137">
        <f>ROUND(I263*H263,2)</f>
        <v>3859100.34</v>
      </c>
      <c r="EF263" s="16" t="s">
        <v>95</v>
      </c>
      <c r="EG263" s="136" t="s">
        <v>442</v>
      </c>
    </row>
    <row r="264" spans="2:137" s="1" customFormat="1" x14ac:dyDescent="0.2">
      <c r="B264" s="31"/>
      <c r="D264" s="138" t="s">
        <v>289</v>
      </c>
      <c r="F264" s="139" t="s">
        <v>441</v>
      </c>
      <c r="I264" s="140"/>
      <c r="L264" s="31"/>
      <c r="N264" s="213"/>
      <c r="O264" s="214"/>
      <c r="Q264" s="229"/>
      <c r="CG264" s="141"/>
      <c r="CN264" s="50"/>
      <c r="DN264" s="16" t="s">
        <v>289</v>
      </c>
      <c r="DO264" s="16" t="s">
        <v>83</v>
      </c>
    </row>
    <row r="265" spans="2:137" s="1" customFormat="1" ht="19.5" x14ac:dyDescent="0.2">
      <c r="B265" s="31"/>
      <c r="D265" s="138" t="s">
        <v>299</v>
      </c>
      <c r="F265" s="142" t="s">
        <v>443</v>
      </c>
      <c r="I265" s="140"/>
      <c r="L265" s="31"/>
      <c r="N265" s="213"/>
      <c r="O265" s="214"/>
      <c r="Q265" s="229"/>
      <c r="CG265" s="141"/>
      <c r="CN265" s="50"/>
      <c r="DN265" s="16" t="s">
        <v>299</v>
      </c>
      <c r="DO265" s="16" t="s">
        <v>83</v>
      </c>
    </row>
    <row r="266" spans="2:137" s="12" customFormat="1" x14ac:dyDescent="0.2">
      <c r="B266" s="149"/>
      <c r="D266" s="138" t="s">
        <v>301</v>
      </c>
      <c r="F266" s="151" t="s">
        <v>1468</v>
      </c>
      <c r="H266" s="152">
        <v>9892.6579999999994</v>
      </c>
      <c r="I266" s="153"/>
      <c r="L266" s="149"/>
      <c r="N266" s="217">
        <f>-27.281*2</f>
        <v>-54.561999999999998</v>
      </c>
      <c r="O266" s="218" t="s">
        <v>3495</v>
      </c>
      <c r="Q266" s="231"/>
      <c r="CG266" s="154"/>
      <c r="CN266" s="155"/>
      <c r="DN266" s="150" t="s">
        <v>301</v>
      </c>
      <c r="DO266" s="150" t="s">
        <v>83</v>
      </c>
      <c r="DP266" s="12" t="s">
        <v>83</v>
      </c>
      <c r="DQ266" s="12" t="s">
        <v>3</v>
      </c>
      <c r="DR266" s="12" t="s">
        <v>81</v>
      </c>
      <c r="DS266" s="150" t="s">
        <v>282</v>
      </c>
    </row>
    <row r="267" spans="2:137" s="1" customFormat="1" ht="24.2" customHeight="1" x14ac:dyDescent="0.2">
      <c r="B267" s="124"/>
      <c r="C267" s="125" t="s">
        <v>422</v>
      </c>
      <c r="D267" s="125" t="s">
        <v>284</v>
      </c>
      <c r="E267" s="126" t="s">
        <v>446</v>
      </c>
      <c r="F267" s="127" t="s">
        <v>447</v>
      </c>
      <c r="G267" s="128" t="s">
        <v>366</v>
      </c>
      <c r="H267" s="129">
        <v>980.92499999999995</v>
      </c>
      <c r="I267" s="130">
        <v>510.38291484661499</v>
      </c>
      <c r="J267" s="131">
        <f>ROUND(I267*H267,2)</f>
        <v>500647.36</v>
      </c>
      <c r="K267" s="127" t="s">
        <v>293</v>
      </c>
      <c r="L267" s="198">
        <f>S267</f>
        <v>0</v>
      </c>
      <c r="M267" s="206">
        <f>ROUND(L267*I267,2)</f>
        <v>0</v>
      </c>
      <c r="N267" s="211">
        <f>N276</f>
        <v>-6.7324499999999716</v>
      </c>
      <c r="O267" s="212">
        <f>ROUND(N267*I267,2)</f>
        <v>-3436.13</v>
      </c>
      <c r="P267" s="207">
        <f>H267-L267-N267</f>
        <v>987.65744999999993</v>
      </c>
      <c r="Q267" s="228">
        <f>ROUND(P267*I267,2)</f>
        <v>504083.49</v>
      </c>
      <c r="R267" s="199"/>
      <c r="S267" s="200">
        <f>W267+Y267+AA267+AC267+AE267++AG267+AI267+AK267+AM267+AO267+AQ267+AS267+AU267+AW267</f>
        <v>0</v>
      </c>
      <c r="T267" s="200">
        <f>ROUND(S267*I267,2)</f>
        <v>0</v>
      </c>
      <c r="U267" s="200">
        <f>H267-S267</f>
        <v>980.92499999999995</v>
      </c>
      <c r="V267" s="200">
        <f>ROUND(U267*I267,2)</f>
        <v>500647.36</v>
      </c>
      <c r="W267" s="200"/>
      <c r="X267" s="200"/>
      <c r="Y267" s="200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0"/>
      <c r="AP267" s="200"/>
      <c r="AQ267" s="200"/>
      <c r="AR267" s="200"/>
      <c r="AS267" s="200"/>
      <c r="AT267" s="200"/>
      <c r="AU267" s="200"/>
      <c r="AV267" s="200"/>
      <c r="AW267" s="200"/>
      <c r="AX267" s="200"/>
      <c r="CG267" s="132" t="s">
        <v>1</v>
      </c>
      <c r="CH267" s="133" t="s">
        <v>40</v>
      </c>
      <c r="CJ267" s="134">
        <f>CI267*H267</f>
        <v>0</v>
      </c>
      <c r="CK267" s="134">
        <v>0</v>
      </c>
      <c r="CL267" s="134">
        <f>CK267*H267</f>
        <v>0</v>
      </c>
      <c r="CM267" s="134">
        <v>0</v>
      </c>
      <c r="CN267" s="135">
        <f>CM267*H267</f>
        <v>0</v>
      </c>
      <c r="DL267" s="136" t="s">
        <v>95</v>
      </c>
      <c r="DN267" s="136" t="s">
        <v>284</v>
      </c>
      <c r="DO267" s="136" t="s">
        <v>83</v>
      </c>
      <c r="DS267" s="16" t="s">
        <v>282</v>
      </c>
      <c r="DY267" s="137">
        <f>IF(CH267="základní",J267,0)</f>
        <v>500647.36</v>
      </c>
      <c r="DZ267" s="137">
        <f>IF(CH267="snížená",J267,0)</f>
        <v>0</v>
      </c>
      <c r="EA267" s="137">
        <f>IF(CH267="zákl. přenesená",J267,0)</f>
        <v>0</v>
      </c>
      <c r="EB267" s="137">
        <f>IF(CH267="sníž. přenesená",J267,0)</f>
        <v>0</v>
      </c>
      <c r="EC267" s="137">
        <f>IF(CH267="nulová",J267,0)</f>
        <v>0</v>
      </c>
      <c r="ED267" s="16" t="s">
        <v>81</v>
      </c>
      <c r="EE267" s="137">
        <f>ROUND(I267*H267,2)</f>
        <v>500647.36</v>
      </c>
      <c r="EF267" s="16" t="s">
        <v>95</v>
      </c>
      <c r="EG267" s="136" t="s">
        <v>448</v>
      </c>
    </row>
    <row r="268" spans="2:137" s="1" customFormat="1" ht="39" x14ac:dyDescent="0.2">
      <c r="B268" s="31"/>
      <c r="D268" s="138" t="s">
        <v>289</v>
      </c>
      <c r="F268" s="139" t="s">
        <v>449</v>
      </c>
      <c r="I268" s="140"/>
      <c r="L268" s="31"/>
      <c r="N268" s="213"/>
      <c r="O268" s="214"/>
      <c r="Q268" s="229"/>
      <c r="CG268" s="141"/>
      <c r="CN268" s="50"/>
      <c r="DN268" s="16" t="s">
        <v>289</v>
      </c>
      <c r="DO268" s="16" t="s">
        <v>83</v>
      </c>
    </row>
    <row r="269" spans="2:137" s="1" customFormat="1" ht="19.5" x14ac:dyDescent="0.2">
      <c r="B269" s="31"/>
      <c r="D269" s="138" t="s">
        <v>299</v>
      </c>
      <c r="F269" s="142" t="s">
        <v>317</v>
      </c>
      <c r="I269" s="140"/>
      <c r="L269" s="31"/>
      <c r="N269" s="213"/>
      <c r="O269" s="214"/>
      <c r="Q269" s="229"/>
      <c r="CG269" s="141"/>
      <c r="CN269" s="50"/>
      <c r="DN269" s="16" t="s">
        <v>299</v>
      </c>
      <c r="DO269" s="16" t="s">
        <v>83</v>
      </c>
    </row>
    <row r="270" spans="2:137" s="12" customFormat="1" x14ac:dyDescent="0.2">
      <c r="B270" s="149"/>
      <c r="D270" s="138" t="s">
        <v>301</v>
      </c>
      <c r="E270" s="150" t="s">
        <v>1</v>
      </c>
      <c r="F270" s="151" t="s">
        <v>1469</v>
      </c>
      <c r="H270" s="152">
        <v>0.75</v>
      </c>
      <c r="I270" s="153"/>
      <c r="L270" s="149"/>
      <c r="N270" s="217">
        <f>3.3*1*0.5</f>
        <v>1.65</v>
      </c>
      <c r="O270" s="359" t="s">
        <v>3484</v>
      </c>
      <c r="Q270" s="231"/>
      <c r="CG270" s="154"/>
      <c r="CN270" s="155"/>
      <c r="DN270" s="150" t="s">
        <v>301</v>
      </c>
      <c r="DO270" s="150" t="s">
        <v>83</v>
      </c>
      <c r="DP270" s="12" t="s">
        <v>83</v>
      </c>
      <c r="DQ270" s="12" t="s">
        <v>32</v>
      </c>
      <c r="DR270" s="12" t="s">
        <v>74</v>
      </c>
      <c r="DS270" s="150" t="s">
        <v>282</v>
      </c>
    </row>
    <row r="271" spans="2:137" s="12" customFormat="1" x14ac:dyDescent="0.2">
      <c r="B271" s="149"/>
      <c r="D271" s="138" t="s">
        <v>301</v>
      </c>
      <c r="E271" s="150" t="s">
        <v>1</v>
      </c>
      <c r="F271" s="151" t="s">
        <v>1470</v>
      </c>
      <c r="H271" s="152">
        <v>902.05499999999995</v>
      </c>
      <c r="I271" s="153"/>
      <c r="L271" s="149"/>
      <c r="N271" s="217">
        <f>1552.77*1.05*0.55</f>
        <v>896.72467500000005</v>
      </c>
      <c r="O271" s="359" t="s">
        <v>3485</v>
      </c>
      <c r="Q271" s="231"/>
      <c r="AA271" s="12">
        <v>77.962500000000006</v>
      </c>
      <c r="CG271" s="154"/>
      <c r="CN271" s="155"/>
      <c r="DN271" s="150" t="s">
        <v>301</v>
      </c>
      <c r="DO271" s="150" t="s">
        <v>83</v>
      </c>
      <c r="DP271" s="12" t="s">
        <v>83</v>
      </c>
      <c r="DQ271" s="12" t="s">
        <v>32</v>
      </c>
      <c r="DR271" s="12" t="s">
        <v>74</v>
      </c>
      <c r="DS271" s="150" t="s">
        <v>282</v>
      </c>
    </row>
    <row r="272" spans="2:137" s="12" customFormat="1" x14ac:dyDescent="0.2">
      <c r="B272" s="149"/>
      <c r="D272" s="138" t="s">
        <v>301</v>
      </c>
      <c r="E272" s="150" t="s">
        <v>1</v>
      </c>
      <c r="F272" s="151" t="s">
        <v>1471</v>
      </c>
      <c r="H272" s="152">
        <v>13.02</v>
      </c>
      <c r="I272" s="153"/>
      <c r="L272" s="149"/>
      <c r="N272" s="217">
        <f>13.52*1.2*0.7</f>
        <v>11.3568</v>
      </c>
      <c r="O272" s="359" t="s">
        <v>3486</v>
      </c>
      <c r="Q272" s="231"/>
      <c r="CG272" s="154"/>
      <c r="CN272" s="155"/>
      <c r="DN272" s="150" t="s">
        <v>301</v>
      </c>
      <c r="DO272" s="150" t="s">
        <v>83</v>
      </c>
      <c r="DP272" s="12" t="s">
        <v>83</v>
      </c>
      <c r="DQ272" s="12" t="s">
        <v>32</v>
      </c>
      <c r="DR272" s="12" t="s">
        <v>74</v>
      </c>
      <c r="DS272" s="150" t="s">
        <v>282</v>
      </c>
    </row>
    <row r="273" spans="2:137" s="12" customFormat="1" x14ac:dyDescent="0.2">
      <c r="B273" s="149"/>
      <c r="D273" s="138" t="s">
        <v>301</v>
      </c>
      <c r="E273" s="150" t="s">
        <v>1</v>
      </c>
      <c r="F273" s="151" t="s">
        <v>1472</v>
      </c>
      <c r="H273" s="152">
        <v>23.1</v>
      </c>
      <c r="I273" s="153"/>
      <c r="L273" s="149"/>
      <c r="N273" s="217">
        <f>40.13*1.05*0.55</f>
        <v>23.175075000000003</v>
      </c>
      <c r="O273" s="359" t="s">
        <v>3487</v>
      </c>
      <c r="Q273" s="231"/>
      <c r="CG273" s="154"/>
      <c r="CN273" s="155"/>
      <c r="DN273" s="150" t="s">
        <v>301</v>
      </c>
      <c r="DO273" s="150" t="s">
        <v>83</v>
      </c>
      <c r="DP273" s="12" t="s">
        <v>83</v>
      </c>
      <c r="DQ273" s="12" t="s">
        <v>32</v>
      </c>
      <c r="DR273" s="12" t="s">
        <v>74</v>
      </c>
      <c r="DS273" s="150" t="s">
        <v>282</v>
      </c>
    </row>
    <row r="274" spans="2:137" s="12" customFormat="1" x14ac:dyDescent="0.2">
      <c r="B274" s="149"/>
      <c r="D274" s="138" t="s">
        <v>301</v>
      </c>
      <c r="E274" s="150" t="s">
        <v>1</v>
      </c>
      <c r="F274" s="151" t="s">
        <v>1473</v>
      </c>
      <c r="H274" s="152">
        <v>42</v>
      </c>
      <c r="I274" s="153"/>
      <c r="L274" s="149"/>
      <c r="N274" s="217">
        <f>49.15*1.2*0.7</f>
        <v>41.285999999999994</v>
      </c>
      <c r="O274" s="359" t="s">
        <v>3488</v>
      </c>
      <c r="Q274" s="231"/>
      <c r="AA274" s="12">
        <v>42</v>
      </c>
      <c r="CG274" s="154"/>
      <c r="CN274" s="155"/>
      <c r="DN274" s="150" t="s">
        <v>301</v>
      </c>
      <c r="DO274" s="150" t="s">
        <v>83</v>
      </c>
      <c r="DP274" s="12" t="s">
        <v>83</v>
      </c>
      <c r="DQ274" s="12" t="s">
        <v>32</v>
      </c>
      <c r="DR274" s="12" t="s">
        <v>74</v>
      </c>
      <c r="DS274" s="150" t="s">
        <v>282</v>
      </c>
    </row>
    <row r="275" spans="2:137" s="13" customFormat="1" x14ac:dyDescent="0.2">
      <c r="B275" s="156"/>
      <c r="D275" s="138" t="s">
        <v>301</v>
      </c>
      <c r="E275" s="157" t="s">
        <v>1</v>
      </c>
      <c r="F275" s="158" t="s">
        <v>305</v>
      </c>
      <c r="H275" s="159">
        <v>980.92499999999995</v>
      </c>
      <c r="I275" s="160"/>
      <c r="L275" s="156"/>
      <c r="N275" s="219">
        <f>SUM(N270:N274)</f>
        <v>974.19254999999998</v>
      </c>
      <c r="O275" s="220"/>
      <c r="Q275" s="232"/>
      <c r="CG275" s="161"/>
      <c r="CN275" s="162"/>
      <c r="DN275" s="157" t="s">
        <v>301</v>
      </c>
      <c r="DO275" s="157" t="s">
        <v>83</v>
      </c>
      <c r="DP275" s="13" t="s">
        <v>95</v>
      </c>
      <c r="DQ275" s="13" t="s">
        <v>32</v>
      </c>
      <c r="DR275" s="13" t="s">
        <v>81</v>
      </c>
      <c r="DS275" s="157" t="s">
        <v>282</v>
      </c>
    </row>
    <row r="276" spans="2:137" s="13" customFormat="1" x14ac:dyDescent="0.2">
      <c r="B276" s="156"/>
      <c r="D276" s="138"/>
      <c r="E276" s="157"/>
      <c r="F276" s="158"/>
      <c r="H276" s="159"/>
      <c r="I276" s="160"/>
      <c r="L276" s="156"/>
      <c r="N276" s="311">
        <f>N275-H275</f>
        <v>-6.7324499999999716</v>
      </c>
      <c r="O276" s="220"/>
      <c r="Q276" s="232"/>
      <c r="CG276" s="161"/>
      <c r="CN276" s="162"/>
      <c r="DN276" s="157"/>
      <c r="DO276" s="157"/>
      <c r="DS276" s="157"/>
    </row>
    <row r="277" spans="2:137" s="1" customFormat="1" ht="14.45" customHeight="1" x14ac:dyDescent="0.2">
      <c r="B277" s="124"/>
      <c r="C277" s="170" t="s">
        <v>438</v>
      </c>
      <c r="D277" s="170" t="s">
        <v>439</v>
      </c>
      <c r="E277" s="171" t="s">
        <v>452</v>
      </c>
      <c r="F277" s="172" t="s">
        <v>453</v>
      </c>
      <c r="G277" s="173" t="s">
        <v>418</v>
      </c>
      <c r="H277" s="174">
        <v>1961.85</v>
      </c>
      <c r="I277" s="175">
        <v>380.62816190000001</v>
      </c>
      <c r="J277" s="176">
        <f>ROUND(I277*H277,2)</f>
        <v>746735.36</v>
      </c>
      <c r="K277" s="172" t="s">
        <v>293</v>
      </c>
      <c r="L277" s="198">
        <f>S277</f>
        <v>0</v>
      </c>
      <c r="M277" s="206">
        <f>ROUND(L277*I277,2)</f>
        <v>0</v>
      </c>
      <c r="N277" s="211">
        <f>N279</f>
        <v>-13.464</v>
      </c>
      <c r="O277" s="212">
        <f>ROUND(N277*I277,2)</f>
        <v>-5124.78</v>
      </c>
      <c r="P277" s="207">
        <f>H277-L277-N277</f>
        <v>1975.3139999999999</v>
      </c>
      <c r="Q277" s="228">
        <f>ROUND(P277*I277,2)</f>
        <v>751860.14</v>
      </c>
      <c r="R277" s="199"/>
      <c r="S277" s="200">
        <f>W277+Y277+AA277+AC277+AE277++AG277+AI277+AK277+AM277+AO277+AQ277+AS277+AU277+AW277</f>
        <v>0</v>
      </c>
      <c r="T277" s="200">
        <f>ROUND(S277*I277,2)</f>
        <v>0</v>
      </c>
      <c r="U277" s="200">
        <f>H277-S277</f>
        <v>1961.85</v>
      </c>
      <c r="V277" s="200">
        <f>ROUND(U277*I277,2)</f>
        <v>746735.36</v>
      </c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77" t="s">
        <v>1</v>
      </c>
      <c r="CH277" s="178" t="s">
        <v>40</v>
      </c>
      <c r="CJ277" s="134">
        <f>CI277*H277</f>
        <v>0</v>
      </c>
      <c r="CK277" s="134">
        <v>1</v>
      </c>
      <c r="CL277" s="134">
        <f>CK277*H277</f>
        <v>1961.85</v>
      </c>
      <c r="CM277" s="134">
        <v>0</v>
      </c>
      <c r="CN277" s="135">
        <f>CM277*H277</f>
        <v>0</v>
      </c>
      <c r="DL277" s="136" t="s">
        <v>328</v>
      </c>
      <c r="DN277" s="136" t="s">
        <v>439</v>
      </c>
      <c r="DO277" s="136" t="s">
        <v>83</v>
      </c>
      <c r="DS277" s="16" t="s">
        <v>282</v>
      </c>
      <c r="DY277" s="137">
        <f>IF(CH277="základní",J277,0)</f>
        <v>746735.36</v>
      </c>
      <c r="DZ277" s="137">
        <f>IF(CH277="snížená",J277,0)</f>
        <v>0</v>
      </c>
      <c r="EA277" s="137">
        <f>IF(CH277="zákl. přenesená",J277,0)</f>
        <v>0</v>
      </c>
      <c r="EB277" s="137">
        <f>IF(CH277="sníž. přenesená",J277,0)</f>
        <v>0</v>
      </c>
      <c r="EC277" s="137">
        <f>IF(CH277="nulová",J277,0)</f>
        <v>0</v>
      </c>
      <c r="ED277" s="16" t="s">
        <v>81</v>
      </c>
      <c r="EE277" s="137">
        <f>ROUND(I277*H277,2)</f>
        <v>746735.36</v>
      </c>
      <c r="EF277" s="16" t="s">
        <v>95</v>
      </c>
      <c r="EG277" s="136" t="s">
        <v>454</v>
      </c>
    </row>
    <row r="278" spans="2:137" s="1" customFormat="1" x14ac:dyDescent="0.2">
      <c r="B278" s="31"/>
      <c r="D278" s="138" t="s">
        <v>289</v>
      </c>
      <c r="F278" s="139" t="s">
        <v>453</v>
      </c>
      <c r="I278" s="140"/>
      <c r="L278" s="31"/>
      <c r="N278" s="213"/>
      <c r="O278" s="214"/>
      <c r="Q278" s="229"/>
      <c r="CG278" s="141"/>
      <c r="CN278" s="50"/>
      <c r="DN278" s="16" t="s">
        <v>289</v>
      </c>
      <c r="DO278" s="16" t="s">
        <v>83</v>
      </c>
    </row>
    <row r="279" spans="2:137" s="12" customFormat="1" x14ac:dyDescent="0.2">
      <c r="B279" s="149"/>
      <c r="D279" s="138" t="s">
        <v>301</v>
      </c>
      <c r="F279" s="151" t="s">
        <v>1474</v>
      </c>
      <c r="H279" s="152">
        <v>1961.85</v>
      </c>
      <c r="I279" s="153"/>
      <c r="L279" s="149"/>
      <c r="N279" s="217">
        <f>-6.732*2</f>
        <v>-13.464</v>
      </c>
      <c r="O279" s="359" t="s">
        <v>3496</v>
      </c>
      <c r="Q279" s="231"/>
      <c r="CG279" s="154"/>
      <c r="CN279" s="155"/>
      <c r="DN279" s="150" t="s">
        <v>301</v>
      </c>
      <c r="DO279" s="150" t="s">
        <v>83</v>
      </c>
      <c r="DP279" s="12" t="s">
        <v>83</v>
      </c>
      <c r="DQ279" s="12" t="s">
        <v>3</v>
      </c>
      <c r="DR279" s="12" t="s">
        <v>81</v>
      </c>
      <c r="DS279" s="150" t="s">
        <v>282</v>
      </c>
    </row>
    <row r="280" spans="2:137" s="1" customFormat="1" ht="24.2" customHeight="1" x14ac:dyDescent="0.2">
      <c r="B280" s="124"/>
      <c r="C280" s="125" t="s">
        <v>445</v>
      </c>
      <c r="D280" s="125" t="s">
        <v>284</v>
      </c>
      <c r="E280" s="126" t="s">
        <v>457</v>
      </c>
      <c r="F280" s="127" t="s">
        <v>458</v>
      </c>
      <c r="G280" s="128" t="s">
        <v>418</v>
      </c>
      <c r="H280" s="129">
        <v>11854.508</v>
      </c>
      <c r="I280" s="130">
        <v>61.737071122597108</v>
      </c>
      <c r="J280" s="131">
        <f>ROUND(I280*H280,2)</f>
        <v>731862.6</v>
      </c>
      <c r="K280" s="127" t="s">
        <v>293</v>
      </c>
      <c r="L280" s="198">
        <f>S280</f>
        <v>0</v>
      </c>
      <c r="M280" s="206">
        <f>ROUND(L280*I280,2)</f>
        <v>0</v>
      </c>
      <c r="N280" s="211">
        <f>N282</f>
        <v>-68.025999999999996</v>
      </c>
      <c r="O280" s="212">
        <f>ROUND(N280*I280,2)</f>
        <v>-4199.7299999999996</v>
      </c>
      <c r="P280" s="207">
        <f>H280-L280-N280</f>
        <v>11922.534</v>
      </c>
      <c r="Q280" s="228">
        <f>ROUND(P280*I280,2)</f>
        <v>736062.33</v>
      </c>
      <c r="R280" s="199">
        <v>480.55399999999997</v>
      </c>
      <c r="S280" s="200">
        <f>W280+Y280+AA280+AC280+AE280++AG280+AI280+AK280+AM280+AO280+AQ280+AS280+AU280+AW280</f>
        <v>0</v>
      </c>
      <c r="T280" s="200">
        <f>ROUND(S280*I280,2)</f>
        <v>0</v>
      </c>
      <c r="U280" s="200">
        <f>H280-S280</f>
        <v>11854.508</v>
      </c>
      <c r="V280" s="200">
        <f>ROUND(U280*I280,2)</f>
        <v>731862.6</v>
      </c>
      <c r="W280" s="200"/>
      <c r="X280" s="200"/>
      <c r="Y280" s="200"/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0"/>
      <c r="AP280" s="200"/>
      <c r="AQ280" s="200"/>
      <c r="AR280" s="200"/>
      <c r="AS280" s="200"/>
      <c r="AT280" s="200"/>
      <c r="AU280" s="200"/>
      <c r="AV280" s="200"/>
      <c r="AW280" s="200"/>
      <c r="AX280" s="200"/>
      <c r="CG280" s="132" t="s">
        <v>1</v>
      </c>
      <c r="CH280" s="133" t="s">
        <v>40</v>
      </c>
      <c r="CJ280" s="134">
        <f>CI280*H280</f>
        <v>0</v>
      </c>
      <c r="CK280" s="134">
        <v>0</v>
      </c>
      <c r="CL280" s="134">
        <f>CK280*H280</f>
        <v>0</v>
      </c>
      <c r="CM280" s="134">
        <v>0</v>
      </c>
      <c r="CN280" s="135">
        <f>CM280*H280</f>
        <v>0</v>
      </c>
      <c r="DL280" s="136" t="s">
        <v>95</v>
      </c>
      <c r="DN280" s="136" t="s">
        <v>284</v>
      </c>
      <c r="DO280" s="136" t="s">
        <v>83</v>
      </c>
      <c r="DS280" s="16" t="s">
        <v>282</v>
      </c>
      <c r="DY280" s="137">
        <f>IF(CH280="základní",J280,0)</f>
        <v>731862.6</v>
      </c>
      <c r="DZ280" s="137">
        <f>IF(CH280="snížená",J280,0)</f>
        <v>0</v>
      </c>
      <c r="EA280" s="137">
        <f>IF(CH280="zákl. přenesená",J280,0)</f>
        <v>0</v>
      </c>
      <c r="EB280" s="137">
        <f>IF(CH280="sníž. přenesená",J280,0)</f>
        <v>0</v>
      </c>
      <c r="EC280" s="137">
        <f>IF(CH280="nulová",J280,0)</f>
        <v>0</v>
      </c>
      <c r="ED280" s="16" t="s">
        <v>81</v>
      </c>
      <c r="EE280" s="137">
        <f>ROUND(I280*H280,2)</f>
        <v>731862.6</v>
      </c>
      <c r="EF280" s="16" t="s">
        <v>95</v>
      </c>
      <c r="EG280" s="136" t="s">
        <v>459</v>
      </c>
    </row>
    <row r="281" spans="2:137" s="1" customFormat="1" ht="29.25" x14ac:dyDescent="0.2">
      <c r="B281" s="31"/>
      <c r="D281" s="138" t="s">
        <v>289</v>
      </c>
      <c r="F281" s="139" t="s">
        <v>460</v>
      </c>
      <c r="I281" s="140"/>
      <c r="L281" s="31"/>
      <c r="N281" s="213"/>
      <c r="O281" s="214"/>
      <c r="Q281" s="229"/>
      <c r="CG281" s="141"/>
      <c r="CN281" s="50"/>
      <c r="DN281" s="16" t="s">
        <v>289</v>
      </c>
      <c r="DO281" s="16" t="s">
        <v>83</v>
      </c>
    </row>
    <row r="282" spans="2:137" s="12" customFormat="1" x14ac:dyDescent="0.2">
      <c r="B282" s="149"/>
      <c r="D282" s="138" t="s">
        <v>301</v>
      </c>
      <c r="E282" s="150" t="s">
        <v>1</v>
      </c>
      <c r="F282" s="151" t="s">
        <v>1475</v>
      </c>
      <c r="H282" s="152">
        <v>11854.508</v>
      </c>
      <c r="I282" s="153"/>
      <c r="L282" s="149"/>
      <c r="N282" s="217">
        <f>-54.562-13.464</f>
        <v>-68.025999999999996</v>
      </c>
      <c r="O282" s="218" t="s">
        <v>3497</v>
      </c>
      <c r="Q282" s="231"/>
      <c r="CG282" s="154"/>
      <c r="CN282" s="155"/>
      <c r="DN282" s="150" t="s">
        <v>301</v>
      </c>
      <c r="DO282" s="150" t="s">
        <v>83</v>
      </c>
      <c r="DP282" s="12" t="s">
        <v>83</v>
      </c>
      <c r="DQ282" s="12" t="s">
        <v>32</v>
      </c>
      <c r="DR282" s="12" t="s">
        <v>81</v>
      </c>
      <c r="DS282" s="150" t="s">
        <v>282</v>
      </c>
    </row>
    <row r="283" spans="2:137" s="10" customFormat="1" ht="22.9" customHeight="1" x14ac:dyDescent="0.2">
      <c r="B283" s="112"/>
      <c r="D283" s="113" t="s">
        <v>73</v>
      </c>
      <c r="E283" s="122" t="s">
        <v>83</v>
      </c>
      <c r="F283" s="122" t="s">
        <v>462</v>
      </c>
      <c r="I283" s="115"/>
      <c r="J283" s="123">
        <f>EE283</f>
        <v>440730.02</v>
      </c>
      <c r="L283" s="112"/>
      <c r="M283" s="202">
        <f>M284</f>
        <v>0</v>
      </c>
      <c r="N283" s="223"/>
      <c r="O283" s="224">
        <f t="shared" ref="O283:V283" si="3">O284</f>
        <v>-2675.01</v>
      </c>
      <c r="P283" s="202"/>
      <c r="Q283" s="234">
        <f t="shared" si="3"/>
        <v>443405.03</v>
      </c>
      <c r="R283" s="202"/>
      <c r="S283" s="202"/>
      <c r="T283" s="202">
        <f t="shared" si="3"/>
        <v>0</v>
      </c>
      <c r="U283" s="202"/>
      <c r="V283" s="202">
        <f t="shared" si="3"/>
        <v>440730.02</v>
      </c>
      <c r="CG283" s="117"/>
      <c r="CJ283" s="118">
        <f>SUM(CJ284:CJ287)</f>
        <v>0</v>
      </c>
      <c r="CL283" s="118">
        <f>SUM(CL284:CL287)</f>
        <v>341.62761</v>
      </c>
      <c r="CN283" s="119">
        <f>SUM(CN284:CN287)</f>
        <v>0</v>
      </c>
      <c r="DL283" s="113" t="s">
        <v>81</v>
      </c>
      <c r="DN283" s="120" t="s">
        <v>73</v>
      </c>
      <c r="DO283" s="120" t="s">
        <v>81</v>
      </c>
      <c r="DS283" s="113" t="s">
        <v>282</v>
      </c>
      <c r="EE283" s="121">
        <f>SUM(EE284:EE287)</f>
        <v>440730.02</v>
      </c>
    </row>
    <row r="284" spans="2:137" s="1" customFormat="1" ht="37.9" customHeight="1" x14ac:dyDescent="0.2">
      <c r="B284" s="124"/>
      <c r="C284" s="125" t="s">
        <v>451</v>
      </c>
      <c r="D284" s="125" t="s">
        <v>284</v>
      </c>
      <c r="E284" s="126" t="s">
        <v>464</v>
      </c>
      <c r="F284" s="127" t="s">
        <v>465</v>
      </c>
      <c r="G284" s="128" t="s">
        <v>344</v>
      </c>
      <c r="H284" s="129">
        <v>1669</v>
      </c>
      <c r="I284" s="130">
        <v>264.06831423630393</v>
      </c>
      <c r="J284" s="131">
        <f>ROUND(I284*H284,2)</f>
        <v>440730.02</v>
      </c>
      <c r="K284" s="127" t="s">
        <v>293</v>
      </c>
      <c r="L284" s="198">
        <f>S284</f>
        <v>0</v>
      </c>
      <c r="M284" s="206">
        <f>ROUND(L284*I284,2)</f>
        <v>0</v>
      </c>
      <c r="N284" s="211">
        <f>N287</f>
        <v>-10.130000000000109</v>
      </c>
      <c r="O284" s="212">
        <f>ROUND(N284*I284,2)</f>
        <v>-2675.01</v>
      </c>
      <c r="P284" s="207">
        <f>H284-L284-N284</f>
        <v>1679.13</v>
      </c>
      <c r="Q284" s="228">
        <f>ROUND(P284*I284,2)</f>
        <v>443405.03</v>
      </c>
      <c r="R284" s="199"/>
      <c r="S284" s="200">
        <f>W284+Y284+AA284+AC284+AE284++AG284+AI284+AK284+AM284+AO284+AQ284+AS284+AU284+AW284</f>
        <v>0</v>
      </c>
      <c r="T284" s="200">
        <f>ROUND(S284*I284,2)</f>
        <v>0</v>
      </c>
      <c r="U284" s="200">
        <f>H284-S284</f>
        <v>1669</v>
      </c>
      <c r="V284" s="200">
        <f>ROUND(U284*I284,2)</f>
        <v>440730.02</v>
      </c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200"/>
      <c r="AT284" s="200"/>
      <c r="AU284" s="200"/>
      <c r="AV284" s="200"/>
      <c r="AW284" s="200"/>
      <c r="AX284" s="200"/>
      <c r="CG284" s="132" t="s">
        <v>1</v>
      </c>
      <c r="CH284" s="133" t="s">
        <v>40</v>
      </c>
      <c r="CJ284" s="134">
        <f>CI284*H284</f>
        <v>0</v>
      </c>
      <c r="CK284" s="134">
        <v>0.20469000000000001</v>
      </c>
      <c r="CL284" s="134">
        <f>CK284*H284</f>
        <v>341.62761</v>
      </c>
      <c r="CM284" s="134">
        <v>0</v>
      </c>
      <c r="CN284" s="135">
        <f>CM284*H284</f>
        <v>0</v>
      </c>
      <c r="DL284" s="136" t="s">
        <v>95</v>
      </c>
      <c r="DN284" s="136" t="s">
        <v>284</v>
      </c>
      <c r="DO284" s="136" t="s">
        <v>83</v>
      </c>
      <c r="DS284" s="16" t="s">
        <v>282</v>
      </c>
      <c r="DY284" s="137">
        <f>IF(CH284="základní",J284,0)</f>
        <v>440730.02</v>
      </c>
      <c r="DZ284" s="137">
        <f>IF(CH284="snížená",J284,0)</f>
        <v>0</v>
      </c>
      <c r="EA284" s="137">
        <f>IF(CH284="zákl. přenesená",J284,0)</f>
        <v>0</v>
      </c>
      <c r="EB284" s="137">
        <f>IF(CH284="sníž. přenesená",J284,0)</f>
        <v>0</v>
      </c>
      <c r="EC284" s="137">
        <f>IF(CH284="nulová",J284,0)</f>
        <v>0</v>
      </c>
      <c r="ED284" s="16" t="s">
        <v>81</v>
      </c>
      <c r="EE284" s="137">
        <f>ROUND(I284*H284,2)</f>
        <v>440730.02</v>
      </c>
      <c r="EF284" s="16" t="s">
        <v>95</v>
      </c>
      <c r="EG284" s="136" t="s">
        <v>466</v>
      </c>
    </row>
    <row r="285" spans="2:137" s="1" customFormat="1" ht="39" x14ac:dyDescent="0.2">
      <c r="B285" s="31"/>
      <c r="D285" s="138" t="s">
        <v>289</v>
      </c>
      <c r="F285" s="139" t="s">
        <v>467</v>
      </c>
      <c r="I285" s="140"/>
      <c r="L285" s="31"/>
      <c r="N285" s="213"/>
      <c r="O285" s="214"/>
      <c r="Q285" s="229"/>
      <c r="CG285" s="141"/>
      <c r="CN285" s="50"/>
      <c r="DN285" s="16" t="s">
        <v>289</v>
      </c>
      <c r="DO285" s="16" t="s">
        <v>83</v>
      </c>
    </row>
    <row r="286" spans="2:137" s="1" customFormat="1" ht="19.5" x14ac:dyDescent="0.2">
      <c r="B286" s="31"/>
      <c r="D286" s="138" t="s">
        <v>299</v>
      </c>
      <c r="F286" s="142" t="s">
        <v>317</v>
      </c>
      <c r="I286" s="140"/>
      <c r="L286" s="31"/>
      <c r="N286" s="213"/>
      <c r="O286" s="214"/>
      <c r="Q286" s="229"/>
      <c r="CG286" s="141"/>
      <c r="CN286" s="50"/>
      <c r="DN286" s="16" t="s">
        <v>299</v>
      </c>
      <c r="DO286" s="16" t="s">
        <v>83</v>
      </c>
    </row>
    <row r="287" spans="2:137" s="12" customFormat="1" x14ac:dyDescent="0.2">
      <c r="B287" s="149"/>
      <c r="D287" s="138" t="s">
        <v>301</v>
      </c>
      <c r="E287" s="150" t="s">
        <v>1</v>
      </c>
      <c r="F287" s="151" t="s">
        <v>1476</v>
      </c>
      <c r="H287" s="152">
        <v>1669</v>
      </c>
      <c r="I287" s="153"/>
      <c r="L287" s="149"/>
      <c r="N287" s="217">
        <f>1658.87-1669</f>
        <v>-10.130000000000109</v>
      </c>
      <c r="O287" s="218" t="s">
        <v>3498</v>
      </c>
      <c r="Q287" s="231"/>
      <c r="CG287" s="154"/>
      <c r="CN287" s="155"/>
      <c r="DN287" s="150" t="s">
        <v>301</v>
      </c>
      <c r="DO287" s="150" t="s">
        <v>83</v>
      </c>
      <c r="DP287" s="12" t="s">
        <v>83</v>
      </c>
      <c r="DQ287" s="12" t="s">
        <v>32</v>
      </c>
      <c r="DR287" s="12" t="s">
        <v>81</v>
      </c>
      <c r="DS287" s="150" t="s">
        <v>282</v>
      </c>
    </row>
    <row r="288" spans="2:137" s="10" customFormat="1" ht="22.9" customHeight="1" x14ac:dyDescent="0.2">
      <c r="B288" s="112"/>
      <c r="D288" s="113" t="s">
        <v>73</v>
      </c>
      <c r="E288" s="122" t="s">
        <v>95</v>
      </c>
      <c r="F288" s="122" t="s">
        <v>469</v>
      </c>
      <c r="I288" s="115"/>
      <c r="J288" s="123">
        <f>EE288</f>
        <v>347666.07</v>
      </c>
      <c r="L288" s="112"/>
      <c r="M288" s="202">
        <f>SUM(M289:M325)</f>
        <v>0</v>
      </c>
      <c r="N288" s="223"/>
      <c r="O288" s="224">
        <f t="shared" ref="O288:V288" si="4">SUM(O289:O325)</f>
        <v>-1338.31</v>
      </c>
      <c r="P288" s="202"/>
      <c r="Q288" s="234">
        <f t="shared" si="4"/>
        <v>349004.37999999995</v>
      </c>
      <c r="R288" s="202"/>
      <c r="S288" s="202"/>
      <c r="T288" s="202">
        <f t="shared" si="4"/>
        <v>0</v>
      </c>
      <c r="U288" s="202"/>
      <c r="V288" s="202">
        <f t="shared" si="4"/>
        <v>347666.07</v>
      </c>
      <c r="CG288" s="117"/>
      <c r="CJ288" s="118">
        <f>SUM(CJ289:CJ332)</f>
        <v>0</v>
      </c>
      <c r="CL288" s="118">
        <f>SUM(CL289:CL332)</f>
        <v>6.4690000000000012</v>
      </c>
      <c r="CN288" s="119">
        <f>SUM(CN289:CN332)</f>
        <v>0</v>
      </c>
      <c r="DL288" s="113" t="s">
        <v>81</v>
      </c>
      <c r="DN288" s="120" t="s">
        <v>73</v>
      </c>
      <c r="DO288" s="120" t="s">
        <v>81</v>
      </c>
      <c r="DS288" s="113" t="s">
        <v>282</v>
      </c>
      <c r="EE288" s="121">
        <f>SUM(EE289:EE332)</f>
        <v>347666.07</v>
      </c>
    </row>
    <row r="289" spans="2:137" s="1" customFormat="1" ht="14.45" customHeight="1" x14ac:dyDescent="0.2">
      <c r="B289" s="124"/>
      <c r="C289" s="125" t="s">
        <v>456</v>
      </c>
      <c r="D289" s="125" t="s">
        <v>284</v>
      </c>
      <c r="E289" s="126" t="s">
        <v>471</v>
      </c>
      <c r="F289" s="127" t="s">
        <v>472</v>
      </c>
      <c r="G289" s="128" t="s">
        <v>366</v>
      </c>
      <c r="H289" s="129">
        <v>176.22</v>
      </c>
      <c r="I289" s="130">
        <v>1200.17173250368</v>
      </c>
      <c r="J289" s="131">
        <f>ROUND(I289*H289,2)</f>
        <v>211494.26</v>
      </c>
      <c r="K289" s="127" t="s">
        <v>293</v>
      </c>
      <c r="L289" s="198">
        <f>S289</f>
        <v>0</v>
      </c>
      <c r="M289" s="206">
        <f>ROUND(L289*I289,2)</f>
        <v>0</v>
      </c>
      <c r="N289" s="211">
        <f>N298</f>
        <v>-1.115099999999984</v>
      </c>
      <c r="O289" s="212">
        <f>ROUND(N289*I289,2)</f>
        <v>-1338.31</v>
      </c>
      <c r="P289" s="207">
        <f>H289-L289-N289</f>
        <v>177.33509999999998</v>
      </c>
      <c r="Q289" s="228">
        <f>ROUND(P289*I289,2)</f>
        <v>212832.57</v>
      </c>
      <c r="R289" s="199"/>
      <c r="S289" s="200">
        <f>W289+Y289+AA289+AC289+AE289++AG289+AI289+AK289+AM289+AO289+AQ289+AS289+AU289+AW289</f>
        <v>0</v>
      </c>
      <c r="T289" s="200">
        <f>ROUND(S289*I289,2)</f>
        <v>0</v>
      </c>
      <c r="U289" s="200">
        <f>H289-S289</f>
        <v>176.22</v>
      </c>
      <c r="V289" s="200">
        <f>ROUND(U289*I289,2)</f>
        <v>211494.26</v>
      </c>
      <c r="W289" s="200"/>
      <c r="X289" s="200"/>
      <c r="Y289" s="200"/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0"/>
      <c r="AP289" s="200"/>
      <c r="AQ289" s="200"/>
      <c r="AR289" s="200"/>
      <c r="AS289" s="200"/>
      <c r="AT289" s="200"/>
      <c r="AU289" s="200"/>
      <c r="AV289" s="200"/>
      <c r="AW289" s="200"/>
      <c r="AX289" s="200"/>
      <c r="CG289" s="132" t="s">
        <v>1</v>
      </c>
      <c r="CH289" s="133" t="s">
        <v>40</v>
      </c>
      <c r="CJ289" s="134">
        <f>CI289*H289</f>
        <v>0</v>
      </c>
      <c r="CK289" s="134">
        <v>0</v>
      </c>
      <c r="CL289" s="134">
        <f>CK289*H289</f>
        <v>0</v>
      </c>
      <c r="CM289" s="134">
        <v>0</v>
      </c>
      <c r="CN289" s="135">
        <f>CM289*H289</f>
        <v>0</v>
      </c>
      <c r="DL289" s="136" t="s">
        <v>95</v>
      </c>
      <c r="DN289" s="136" t="s">
        <v>284</v>
      </c>
      <c r="DO289" s="136" t="s">
        <v>83</v>
      </c>
      <c r="DS289" s="16" t="s">
        <v>282</v>
      </c>
      <c r="DY289" s="137">
        <f>IF(CH289="základní",J289,0)</f>
        <v>211494.26</v>
      </c>
      <c r="DZ289" s="137">
        <f>IF(CH289="snížená",J289,0)</f>
        <v>0</v>
      </c>
      <c r="EA289" s="137">
        <f>IF(CH289="zákl. přenesená",J289,0)</f>
        <v>0</v>
      </c>
      <c r="EB289" s="137">
        <f>IF(CH289="sníž. přenesená",J289,0)</f>
        <v>0</v>
      </c>
      <c r="EC289" s="137">
        <f>IF(CH289="nulová",J289,0)</f>
        <v>0</v>
      </c>
      <c r="ED289" s="16" t="s">
        <v>81</v>
      </c>
      <c r="EE289" s="137">
        <f>ROUND(I289*H289,2)</f>
        <v>211494.26</v>
      </c>
      <c r="EF289" s="16" t="s">
        <v>95</v>
      </c>
      <c r="EG289" s="136" t="s">
        <v>473</v>
      </c>
    </row>
    <row r="290" spans="2:137" s="1" customFormat="1" ht="19.5" x14ac:dyDescent="0.2">
      <c r="B290" s="31"/>
      <c r="D290" s="138" t="s">
        <v>289</v>
      </c>
      <c r="F290" s="139" t="s">
        <v>474</v>
      </c>
      <c r="I290" s="140"/>
      <c r="L290" s="31"/>
      <c r="N290" s="213"/>
      <c r="O290" s="214"/>
      <c r="Q290" s="229"/>
      <c r="CG290" s="141"/>
      <c r="CN290" s="50"/>
      <c r="DN290" s="16" t="s">
        <v>289</v>
      </c>
      <c r="DO290" s="16" t="s">
        <v>83</v>
      </c>
    </row>
    <row r="291" spans="2:137" s="1" customFormat="1" ht="19.5" x14ac:dyDescent="0.2">
      <c r="B291" s="31"/>
      <c r="D291" s="138" t="s">
        <v>299</v>
      </c>
      <c r="F291" s="142" t="s">
        <v>317</v>
      </c>
      <c r="I291" s="140"/>
      <c r="L291" s="31"/>
      <c r="N291" s="213"/>
      <c r="O291" s="214"/>
      <c r="Q291" s="229"/>
      <c r="CG291" s="141"/>
      <c r="CN291" s="50"/>
      <c r="DN291" s="16" t="s">
        <v>299</v>
      </c>
      <c r="DO291" s="16" t="s">
        <v>83</v>
      </c>
    </row>
    <row r="292" spans="2:137" s="12" customFormat="1" x14ac:dyDescent="0.2">
      <c r="B292" s="149"/>
      <c r="D292" s="138" t="s">
        <v>301</v>
      </c>
      <c r="E292" s="150" t="s">
        <v>1</v>
      </c>
      <c r="F292" s="151" t="s">
        <v>1477</v>
      </c>
      <c r="H292" s="152">
        <v>0.15</v>
      </c>
      <c r="I292" s="153"/>
      <c r="L292" s="149"/>
      <c r="N292" s="217">
        <f>3.3*1*0.1</f>
        <v>0.33</v>
      </c>
      <c r="O292" s="359" t="s">
        <v>3489</v>
      </c>
      <c r="Q292" s="231"/>
      <c r="CG292" s="154"/>
      <c r="CN292" s="155"/>
      <c r="DN292" s="150" t="s">
        <v>301</v>
      </c>
      <c r="DO292" s="150" t="s">
        <v>83</v>
      </c>
      <c r="DP292" s="12" t="s">
        <v>83</v>
      </c>
      <c r="DQ292" s="12" t="s">
        <v>32</v>
      </c>
      <c r="DR292" s="12" t="s">
        <v>74</v>
      </c>
      <c r="DS292" s="150" t="s">
        <v>282</v>
      </c>
    </row>
    <row r="293" spans="2:137" s="12" customFormat="1" x14ac:dyDescent="0.2">
      <c r="B293" s="149"/>
      <c r="D293" s="138" t="s">
        <v>301</v>
      </c>
      <c r="E293" s="150" t="s">
        <v>1</v>
      </c>
      <c r="F293" s="151" t="s">
        <v>1478</v>
      </c>
      <c r="H293" s="152">
        <v>164.01</v>
      </c>
      <c r="I293" s="153"/>
      <c r="L293" s="149"/>
      <c r="N293" s="217">
        <f>1552.77*1.05*0.1</f>
        <v>163.04085000000001</v>
      </c>
      <c r="O293" s="359" t="s">
        <v>3490</v>
      </c>
      <c r="Q293" s="231"/>
      <c r="AA293" s="12">
        <v>14.175000000000001</v>
      </c>
      <c r="CG293" s="154"/>
      <c r="CN293" s="155"/>
      <c r="DN293" s="150" t="s">
        <v>301</v>
      </c>
      <c r="DO293" s="150" t="s">
        <v>83</v>
      </c>
      <c r="DP293" s="12" t="s">
        <v>83</v>
      </c>
      <c r="DQ293" s="12" t="s">
        <v>32</v>
      </c>
      <c r="DR293" s="12" t="s">
        <v>74</v>
      </c>
      <c r="DS293" s="150" t="s">
        <v>282</v>
      </c>
    </row>
    <row r="294" spans="2:137" s="12" customFormat="1" x14ac:dyDescent="0.2">
      <c r="B294" s="149"/>
      <c r="D294" s="138" t="s">
        <v>301</v>
      </c>
      <c r="E294" s="150" t="s">
        <v>1</v>
      </c>
      <c r="F294" s="151" t="s">
        <v>1479</v>
      </c>
      <c r="H294" s="152">
        <v>1.86</v>
      </c>
      <c r="I294" s="153"/>
      <c r="L294" s="149"/>
      <c r="N294" s="217">
        <f>13.52*1.2*0.1</f>
        <v>1.6224000000000001</v>
      </c>
      <c r="O294" s="359" t="s">
        <v>3491</v>
      </c>
      <c r="Q294" s="231"/>
      <c r="CG294" s="154"/>
      <c r="CN294" s="155"/>
      <c r="DN294" s="150" t="s">
        <v>301</v>
      </c>
      <c r="DO294" s="150" t="s">
        <v>83</v>
      </c>
      <c r="DP294" s="12" t="s">
        <v>83</v>
      </c>
      <c r="DQ294" s="12" t="s">
        <v>32</v>
      </c>
      <c r="DR294" s="12" t="s">
        <v>74</v>
      </c>
      <c r="DS294" s="150" t="s">
        <v>282</v>
      </c>
    </row>
    <row r="295" spans="2:137" s="12" customFormat="1" x14ac:dyDescent="0.2">
      <c r="B295" s="149"/>
      <c r="D295" s="138" t="s">
        <v>301</v>
      </c>
      <c r="E295" s="150" t="s">
        <v>1</v>
      </c>
      <c r="F295" s="151" t="s">
        <v>1480</v>
      </c>
      <c r="H295" s="152">
        <v>4.2</v>
      </c>
      <c r="I295" s="153"/>
      <c r="L295" s="149"/>
      <c r="N295" s="217">
        <f>40.13*1.05*0.1</f>
        <v>4.2136500000000003</v>
      </c>
      <c r="O295" s="359" t="s">
        <v>3492</v>
      </c>
      <c r="Q295" s="231"/>
      <c r="CG295" s="154"/>
      <c r="CN295" s="155"/>
      <c r="DN295" s="150" t="s">
        <v>301</v>
      </c>
      <c r="DO295" s="150" t="s">
        <v>83</v>
      </c>
      <c r="DP295" s="12" t="s">
        <v>83</v>
      </c>
      <c r="DQ295" s="12" t="s">
        <v>32</v>
      </c>
      <c r="DR295" s="12" t="s">
        <v>74</v>
      </c>
      <c r="DS295" s="150" t="s">
        <v>282</v>
      </c>
    </row>
    <row r="296" spans="2:137" s="12" customFormat="1" x14ac:dyDescent="0.2">
      <c r="B296" s="149"/>
      <c r="D296" s="138" t="s">
        <v>301</v>
      </c>
      <c r="E296" s="150" t="s">
        <v>1</v>
      </c>
      <c r="F296" s="151" t="s">
        <v>1481</v>
      </c>
      <c r="H296" s="152">
        <v>6</v>
      </c>
      <c r="I296" s="153"/>
      <c r="L296" s="149"/>
      <c r="N296" s="217">
        <f>49.15*1.2*0.1</f>
        <v>5.8979999999999997</v>
      </c>
      <c r="O296" s="359" t="s">
        <v>3493</v>
      </c>
      <c r="Q296" s="231"/>
      <c r="AA296" s="12">
        <v>6</v>
      </c>
      <c r="CG296" s="154"/>
      <c r="CN296" s="155"/>
      <c r="DN296" s="150" t="s">
        <v>301</v>
      </c>
      <c r="DO296" s="150" t="s">
        <v>83</v>
      </c>
      <c r="DP296" s="12" t="s">
        <v>83</v>
      </c>
      <c r="DQ296" s="12" t="s">
        <v>32</v>
      </c>
      <c r="DR296" s="12" t="s">
        <v>74</v>
      </c>
      <c r="DS296" s="150" t="s">
        <v>282</v>
      </c>
    </row>
    <row r="297" spans="2:137" s="13" customFormat="1" x14ac:dyDescent="0.2">
      <c r="B297" s="156"/>
      <c r="D297" s="138" t="s">
        <v>301</v>
      </c>
      <c r="E297" s="157" t="s">
        <v>1</v>
      </c>
      <c r="F297" s="158" t="s">
        <v>305</v>
      </c>
      <c r="H297" s="159">
        <v>176.22</v>
      </c>
      <c r="I297" s="160"/>
      <c r="L297" s="156"/>
      <c r="N297" s="219">
        <f>SUM(N292:N296)</f>
        <v>175.10490000000001</v>
      </c>
      <c r="O297" s="220"/>
      <c r="Q297" s="232"/>
      <c r="CG297" s="161"/>
      <c r="CN297" s="162"/>
      <c r="DN297" s="157" t="s">
        <v>301</v>
      </c>
      <c r="DO297" s="157" t="s">
        <v>83</v>
      </c>
      <c r="DP297" s="13" t="s">
        <v>95</v>
      </c>
      <c r="DQ297" s="13" t="s">
        <v>32</v>
      </c>
      <c r="DR297" s="13" t="s">
        <v>81</v>
      </c>
      <c r="DS297" s="157" t="s">
        <v>282</v>
      </c>
    </row>
    <row r="298" spans="2:137" s="13" customFormat="1" x14ac:dyDescent="0.2">
      <c r="B298" s="156"/>
      <c r="D298" s="138"/>
      <c r="E298" s="157"/>
      <c r="F298" s="158"/>
      <c r="H298" s="159"/>
      <c r="I298" s="160"/>
      <c r="L298" s="156"/>
      <c r="N298" s="311">
        <f>N297-H297</f>
        <v>-1.115099999999984</v>
      </c>
      <c r="O298" s="220"/>
      <c r="Q298" s="232"/>
      <c r="CG298" s="161"/>
      <c r="CN298" s="162"/>
      <c r="DN298" s="157"/>
      <c r="DO298" s="157"/>
      <c r="DS298" s="157"/>
    </row>
    <row r="299" spans="2:137" s="1" customFormat="1" ht="14.45" customHeight="1" x14ac:dyDescent="0.2">
      <c r="B299" s="124"/>
      <c r="C299" s="125" t="s">
        <v>463</v>
      </c>
      <c r="D299" s="125" t="s">
        <v>284</v>
      </c>
      <c r="E299" s="126" t="s">
        <v>477</v>
      </c>
      <c r="F299" s="127" t="s">
        <v>478</v>
      </c>
      <c r="G299" s="128" t="s">
        <v>366</v>
      </c>
      <c r="H299" s="129">
        <v>33.174999999999997</v>
      </c>
      <c r="I299" s="130">
        <v>1200.17173250368</v>
      </c>
      <c r="J299" s="131">
        <f>ROUND(I299*H299,2)</f>
        <v>39815.699999999997</v>
      </c>
      <c r="K299" s="127" t="s">
        <v>1</v>
      </c>
      <c r="L299" s="198">
        <f>S299</f>
        <v>0</v>
      </c>
      <c r="M299" s="206">
        <f>ROUND(L299*I299,2)</f>
        <v>0</v>
      </c>
      <c r="N299" s="211"/>
      <c r="O299" s="212">
        <f>ROUND(N299*I299,2)</f>
        <v>0</v>
      </c>
      <c r="P299" s="207">
        <f>H299-L299-N299</f>
        <v>33.174999999999997</v>
      </c>
      <c r="Q299" s="228">
        <f>ROUND(P299*I299,2)</f>
        <v>39815.699999999997</v>
      </c>
      <c r="R299" s="199"/>
      <c r="S299" s="200">
        <f>W299+Y299+AA299+AC299+AE299++AG299+AI299+AK299+AM299+AO299+AQ299+AS299+AU299+AW299</f>
        <v>0</v>
      </c>
      <c r="T299" s="200">
        <f>ROUND(S299*I299,2)</f>
        <v>0</v>
      </c>
      <c r="U299" s="200">
        <f>H299-S299</f>
        <v>33.174999999999997</v>
      </c>
      <c r="V299" s="200">
        <f>ROUND(U299*I299,2)</f>
        <v>39815.699999999997</v>
      </c>
      <c r="W299" s="200"/>
      <c r="X299" s="200"/>
      <c r="Y299" s="200"/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0"/>
      <c r="AP299" s="200"/>
      <c r="AQ299" s="200"/>
      <c r="AR299" s="200"/>
      <c r="AS299" s="200"/>
      <c r="AT299" s="200"/>
      <c r="AU299" s="200"/>
      <c r="AV299" s="200"/>
      <c r="AW299" s="200"/>
      <c r="AX299" s="200"/>
      <c r="CG299" s="132" t="s">
        <v>1</v>
      </c>
      <c r="CH299" s="133" t="s">
        <v>40</v>
      </c>
      <c r="CJ299" s="134">
        <f>CI299*H299</f>
        <v>0</v>
      </c>
      <c r="CK299" s="134">
        <v>0</v>
      </c>
      <c r="CL299" s="134">
        <f>CK299*H299</f>
        <v>0</v>
      </c>
      <c r="CM299" s="134">
        <v>0</v>
      </c>
      <c r="CN299" s="135">
        <f>CM299*H299</f>
        <v>0</v>
      </c>
      <c r="DL299" s="136" t="s">
        <v>95</v>
      </c>
      <c r="DN299" s="136" t="s">
        <v>284</v>
      </c>
      <c r="DO299" s="136" t="s">
        <v>83</v>
      </c>
      <c r="DS299" s="16" t="s">
        <v>282</v>
      </c>
      <c r="DY299" s="137">
        <f>IF(CH299="základní",J299,0)</f>
        <v>39815.699999999997</v>
      </c>
      <c r="DZ299" s="137">
        <f>IF(CH299="snížená",J299,0)</f>
        <v>0</v>
      </c>
      <c r="EA299" s="137">
        <f>IF(CH299="zákl. přenesená",J299,0)</f>
        <v>0</v>
      </c>
      <c r="EB299" s="137">
        <f>IF(CH299="sníž. přenesená",J299,0)</f>
        <v>0</v>
      </c>
      <c r="EC299" s="137">
        <f>IF(CH299="nulová",J299,0)</f>
        <v>0</v>
      </c>
      <c r="ED299" s="16" t="s">
        <v>81</v>
      </c>
      <c r="EE299" s="137">
        <f>ROUND(I299*H299,2)</f>
        <v>39815.699999999997</v>
      </c>
      <c r="EF299" s="16" t="s">
        <v>95</v>
      </c>
      <c r="EG299" s="136" t="s">
        <v>479</v>
      </c>
    </row>
    <row r="300" spans="2:137" s="1" customFormat="1" ht="19.5" x14ac:dyDescent="0.2">
      <c r="B300" s="31"/>
      <c r="D300" s="138" t="s">
        <v>289</v>
      </c>
      <c r="F300" s="139" t="s">
        <v>474</v>
      </c>
      <c r="I300" s="140"/>
      <c r="L300" s="31"/>
      <c r="N300" s="213"/>
      <c r="O300" s="214"/>
      <c r="Q300" s="229"/>
      <c r="CG300" s="141"/>
      <c r="CN300" s="50"/>
      <c r="DN300" s="16" t="s">
        <v>289</v>
      </c>
      <c r="DO300" s="16" t="s">
        <v>83</v>
      </c>
    </row>
    <row r="301" spans="2:137" s="1" customFormat="1" ht="19.5" x14ac:dyDescent="0.2">
      <c r="B301" s="31"/>
      <c r="D301" s="138" t="s">
        <v>299</v>
      </c>
      <c r="F301" s="142" t="s">
        <v>317</v>
      </c>
      <c r="I301" s="140"/>
      <c r="L301" s="31"/>
      <c r="N301" s="213"/>
      <c r="O301" s="214"/>
      <c r="Q301" s="229"/>
      <c r="CG301" s="141"/>
      <c r="CN301" s="50"/>
      <c r="DN301" s="16" t="s">
        <v>299</v>
      </c>
      <c r="DO301" s="16" t="s">
        <v>83</v>
      </c>
    </row>
    <row r="302" spans="2:137" s="11" customFormat="1" x14ac:dyDescent="0.2">
      <c r="B302" s="143"/>
      <c r="D302" s="138" t="s">
        <v>301</v>
      </c>
      <c r="E302" s="144" t="s">
        <v>1</v>
      </c>
      <c r="F302" s="145" t="s">
        <v>765</v>
      </c>
      <c r="H302" s="144" t="s">
        <v>1</v>
      </c>
      <c r="I302" s="146"/>
      <c r="L302" s="143"/>
      <c r="N302" s="215"/>
      <c r="O302" s="216"/>
      <c r="Q302" s="230"/>
      <c r="CG302" s="147"/>
      <c r="CN302" s="148"/>
      <c r="DN302" s="144" t="s">
        <v>301</v>
      </c>
      <c r="DO302" s="144" t="s">
        <v>83</v>
      </c>
      <c r="DP302" s="11" t="s">
        <v>81</v>
      </c>
      <c r="DQ302" s="11" t="s">
        <v>32</v>
      </c>
      <c r="DR302" s="11" t="s">
        <v>74</v>
      </c>
      <c r="DS302" s="144" t="s">
        <v>282</v>
      </c>
    </row>
    <row r="303" spans="2:137" s="12" customFormat="1" x14ac:dyDescent="0.2">
      <c r="B303" s="149"/>
      <c r="D303" s="138" t="s">
        <v>301</v>
      </c>
      <c r="E303" s="150" t="s">
        <v>1</v>
      </c>
      <c r="F303" s="151" t="s">
        <v>1482</v>
      </c>
      <c r="H303" s="152">
        <v>32.5</v>
      </c>
      <c r="I303" s="153"/>
      <c r="L303" s="149"/>
      <c r="N303" s="217"/>
      <c r="O303" s="218"/>
      <c r="Q303" s="231"/>
      <c r="AA303" s="12">
        <v>4.375</v>
      </c>
      <c r="CG303" s="154"/>
      <c r="CN303" s="155"/>
      <c r="DN303" s="150" t="s">
        <v>301</v>
      </c>
      <c r="DO303" s="150" t="s">
        <v>83</v>
      </c>
      <c r="DP303" s="12" t="s">
        <v>83</v>
      </c>
      <c r="DQ303" s="12" t="s">
        <v>32</v>
      </c>
      <c r="DR303" s="12" t="s">
        <v>74</v>
      </c>
      <c r="DS303" s="150" t="s">
        <v>282</v>
      </c>
    </row>
    <row r="304" spans="2:137" s="11" customFormat="1" x14ac:dyDescent="0.2">
      <c r="B304" s="143"/>
      <c r="D304" s="138" t="s">
        <v>301</v>
      </c>
      <c r="E304" s="144" t="s">
        <v>1</v>
      </c>
      <c r="F304" s="145" t="s">
        <v>916</v>
      </c>
      <c r="H304" s="144" t="s">
        <v>1</v>
      </c>
      <c r="I304" s="146"/>
      <c r="L304" s="143"/>
      <c r="N304" s="215"/>
      <c r="O304" s="216"/>
      <c r="Q304" s="230"/>
      <c r="CG304" s="147"/>
      <c r="CN304" s="148"/>
      <c r="DN304" s="144" t="s">
        <v>301</v>
      </c>
      <c r="DO304" s="144" t="s">
        <v>83</v>
      </c>
      <c r="DP304" s="11" t="s">
        <v>81</v>
      </c>
      <c r="DQ304" s="11" t="s">
        <v>32</v>
      </c>
      <c r="DR304" s="11" t="s">
        <v>74</v>
      </c>
      <c r="DS304" s="144" t="s">
        <v>282</v>
      </c>
    </row>
    <row r="305" spans="2:137" s="12" customFormat="1" x14ac:dyDescent="0.2">
      <c r="B305" s="149"/>
      <c r="D305" s="138" t="s">
        <v>301</v>
      </c>
      <c r="E305" s="150" t="s">
        <v>1</v>
      </c>
      <c r="F305" s="151" t="s">
        <v>1022</v>
      </c>
      <c r="H305" s="152">
        <v>0.67500000000000004</v>
      </c>
      <c r="I305" s="153"/>
      <c r="L305" s="149"/>
      <c r="N305" s="217"/>
      <c r="O305" s="218"/>
      <c r="Q305" s="231"/>
      <c r="CG305" s="154"/>
      <c r="CN305" s="155"/>
      <c r="DN305" s="150" t="s">
        <v>301</v>
      </c>
      <c r="DO305" s="150" t="s">
        <v>83</v>
      </c>
      <c r="DP305" s="12" t="s">
        <v>83</v>
      </c>
      <c r="DQ305" s="12" t="s">
        <v>32</v>
      </c>
      <c r="DR305" s="12" t="s">
        <v>74</v>
      </c>
      <c r="DS305" s="150" t="s">
        <v>282</v>
      </c>
    </row>
    <row r="306" spans="2:137" s="13" customFormat="1" x14ac:dyDescent="0.2">
      <c r="B306" s="156"/>
      <c r="D306" s="138" t="s">
        <v>301</v>
      </c>
      <c r="E306" s="157" t="s">
        <v>1</v>
      </c>
      <c r="F306" s="158" t="s">
        <v>305</v>
      </c>
      <c r="H306" s="159">
        <v>33.174999999999997</v>
      </c>
      <c r="I306" s="160"/>
      <c r="L306" s="156"/>
      <c r="N306" s="219"/>
      <c r="O306" s="220"/>
      <c r="Q306" s="232"/>
      <c r="CG306" s="161"/>
      <c r="CN306" s="162"/>
      <c r="DN306" s="157" t="s">
        <v>301</v>
      </c>
      <c r="DO306" s="157" t="s">
        <v>83</v>
      </c>
      <c r="DP306" s="13" t="s">
        <v>95</v>
      </c>
      <c r="DQ306" s="13" t="s">
        <v>32</v>
      </c>
      <c r="DR306" s="13" t="s">
        <v>81</v>
      </c>
      <c r="DS306" s="157" t="s">
        <v>282</v>
      </c>
    </row>
    <row r="307" spans="2:137" s="1" customFormat="1" ht="29.25" customHeight="1" x14ac:dyDescent="0.2">
      <c r="B307" s="124"/>
      <c r="C307" s="125" t="s">
        <v>470</v>
      </c>
      <c r="D307" s="125" t="s">
        <v>284</v>
      </c>
      <c r="E307" s="126" t="s">
        <v>483</v>
      </c>
      <c r="F307" s="127" t="s">
        <v>484</v>
      </c>
      <c r="G307" s="128" t="s">
        <v>485</v>
      </c>
      <c r="H307" s="129">
        <v>74</v>
      </c>
      <c r="I307" s="130">
        <v>136.11246338547087</v>
      </c>
      <c r="J307" s="131">
        <f>ROUND(I307*H307,2)</f>
        <v>10072.32</v>
      </c>
      <c r="K307" s="127" t="s">
        <v>293</v>
      </c>
      <c r="L307" s="198">
        <f>S307</f>
        <v>0</v>
      </c>
      <c r="M307" s="206">
        <f>ROUND(L307*I307,2)</f>
        <v>0</v>
      </c>
      <c r="N307" s="211"/>
      <c r="O307" s="212">
        <f>ROUND(N307*I307,2)</f>
        <v>0</v>
      </c>
      <c r="P307" s="207">
        <f>H307-L307-N307</f>
        <v>74</v>
      </c>
      <c r="Q307" s="228">
        <f>ROUND(P307*I307,2)</f>
        <v>10072.32</v>
      </c>
      <c r="R307" s="199">
        <v>11</v>
      </c>
      <c r="S307" s="200">
        <f>W307+Y307+AA307+AC307+AE307++AG307+AI307+AK307+AM307+AO307+AQ307+AS307+AU307+AW307</f>
        <v>0</v>
      </c>
      <c r="T307" s="200">
        <f>ROUND(S307*I307,2)</f>
        <v>0</v>
      </c>
      <c r="U307" s="200">
        <f>H307-S307</f>
        <v>74</v>
      </c>
      <c r="V307" s="200">
        <f>ROUND(U307*I307,2)</f>
        <v>10072.32</v>
      </c>
      <c r="W307" s="200"/>
      <c r="X307" s="200"/>
      <c r="Y307" s="200"/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0"/>
      <c r="AP307" s="200"/>
      <c r="AQ307" s="200"/>
      <c r="AR307" s="200"/>
      <c r="AS307" s="200"/>
      <c r="AT307" s="200"/>
      <c r="AU307" s="200"/>
      <c r="AV307" s="200"/>
      <c r="AW307" s="200"/>
      <c r="AX307" s="200"/>
      <c r="CG307" s="132" t="s">
        <v>1</v>
      </c>
      <c r="CH307" s="133" t="s">
        <v>40</v>
      </c>
      <c r="CJ307" s="134">
        <f>CI307*H307</f>
        <v>0</v>
      </c>
      <c r="CK307" s="134">
        <v>6.6E-3</v>
      </c>
      <c r="CL307" s="134">
        <f>CK307*H307</f>
        <v>0.4884</v>
      </c>
      <c r="CM307" s="134">
        <v>0</v>
      </c>
      <c r="CN307" s="135">
        <f>CM307*H307</f>
        <v>0</v>
      </c>
      <c r="DL307" s="136" t="s">
        <v>95</v>
      </c>
      <c r="DN307" s="136" t="s">
        <v>284</v>
      </c>
      <c r="DO307" s="136" t="s">
        <v>83</v>
      </c>
      <c r="DS307" s="16" t="s">
        <v>282</v>
      </c>
      <c r="DY307" s="137">
        <f>IF(CH307="základní",J307,0)</f>
        <v>10072.32</v>
      </c>
      <c r="DZ307" s="137">
        <f>IF(CH307="snížená",J307,0)</f>
        <v>0</v>
      </c>
      <c r="EA307" s="137">
        <f>IF(CH307="zákl. přenesená",J307,0)</f>
        <v>0</v>
      </c>
      <c r="EB307" s="137">
        <f>IF(CH307="sníž. přenesená",J307,0)</f>
        <v>0</v>
      </c>
      <c r="EC307" s="137">
        <f>IF(CH307="nulová",J307,0)</f>
        <v>0</v>
      </c>
      <c r="ED307" s="16" t="s">
        <v>81</v>
      </c>
      <c r="EE307" s="137">
        <f>ROUND(I307*H307,2)</f>
        <v>10072.32</v>
      </c>
      <c r="EF307" s="16" t="s">
        <v>95</v>
      </c>
      <c r="EG307" s="136" t="s">
        <v>486</v>
      </c>
    </row>
    <row r="308" spans="2:137" s="1" customFormat="1" ht="19.5" x14ac:dyDescent="0.2">
      <c r="B308" s="31"/>
      <c r="D308" s="138" t="s">
        <v>289</v>
      </c>
      <c r="F308" s="139" t="s">
        <v>487</v>
      </c>
      <c r="I308" s="140"/>
      <c r="L308" s="31"/>
      <c r="N308" s="213"/>
      <c r="O308" s="214"/>
      <c r="Q308" s="229"/>
      <c r="CG308" s="141"/>
      <c r="CN308" s="50"/>
      <c r="DN308" s="16" t="s">
        <v>289</v>
      </c>
      <c r="DO308" s="16" t="s">
        <v>83</v>
      </c>
    </row>
    <row r="309" spans="2:137" s="1" customFormat="1" ht="19.5" x14ac:dyDescent="0.2">
      <c r="B309" s="31"/>
      <c r="D309" s="138" t="s">
        <v>299</v>
      </c>
      <c r="F309" s="142" t="s">
        <v>317</v>
      </c>
      <c r="I309" s="140"/>
      <c r="L309" s="31"/>
      <c r="N309" s="213"/>
      <c r="O309" s="214"/>
      <c r="Q309" s="229"/>
      <c r="CG309" s="141"/>
      <c r="CN309" s="50"/>
      <c r="DN309" s="16" t="s">
        <v>299</v>
      </c>
      <c r="DO309" s="16" t="s">
        <v>83</v>
      </c>
    </row>
    <row r="310" spans="2:137" s="12" customFormat="1" x14ac:dyDescent="0.2">
      <c r="B310" s="149"/>
      <c r="D310" s="138" t="s">
        <v>301</v>
      </c>
      <c r="E310" s="150" t="s">
        <v>1</v>
      </c>
      <c r="F310" s="151" t="s">
        <v>1483</v>
      </c>
      <c r="H310" s="152">
        <v>74</v>
      </c>
      <c r="I310" s="153"/>
      <c r="L310" s="149"/>
      <c r="N310" s="217"/>
      <c r="O310" s="218"/>
      <c r="Q310" s="231"/>
      <c r="CG310" s="154"/>
      <c r="CN310" s="155"/>
      <c r="DN310" s="150" t="s">
        <v>301</v>
      </c>
      <c r="DO310" s="150" t="s">
        <v>83</v>
      </c>
      <c r="DP310" s="12" t="s">
        <v>83</v>
      </c>
      <c r="DQ310" s="12" t="s">
        <v>32</v>
      </c>
      <c r="DR310" s="12" t="s">
        <v>81</v>
      </c>
      <c r="DS310" s="150" t="s">
        <v>282</v>
      </c>
    </row>
    <row r="311" spans="2:137" s="1" customFormat="1" ht="24.2" customHeight="1" x14ac:dyDescent="0.2">
      <c r="B311" s="124"/>
      <c r="C311" s="170" t="s">
        <v>476</v>
      </c>
      <c r="D311" s="170" t="s">
        <v>439</v>
      </c>
      <c r="E311" s="171" t="s">
        <v>490</v>
      </c>
      <c r="F311" s="172" t="s">
        <v>491</v>
      </c>
      <c r="G311" s="173" t="s">
        <v>485</v>
      </c>
      <c r="H311" s="174">
        <v>2</v>
      </c>
      <c r="I311" s="175">
        <v>209.33466970000001</v>
      </c>
      <c r="J311" s="176">
        <f>ROUND(I311*H311,2)</f>
        <v>418.67</v>
      </c>
      <c r="K311" s="172" t="s">
        <v>293</v>
      </c>
      <c r="L311" s="198">
        <f>S311</f>
        <v>0</v>
      </c>
      <c r="M311" s="206">
        <f>ROUND(L311*I311,2)</f>
        <v>0</v>
      </c>
      <c r="N311" s="211"/>
      <c r="O311" s="212">
        <f>ROUND(N311*I311,2)</f>
        <v>0</v>
      </c>
      <c r="P311" s="207">
        <f>H311-L311-N311</f>
        <v>2</v>
      </c>
      <c r="Q311" s="228">
        <f>ROUND(P311*I311,2)</f>
        <v>418.67</v>
      </c>
      <c r="R311" s="199">
        <v>1</v>
      </c>
      <c r="S311" s="200">
        <f>W311+Y311+AA311+AC311+AE311++AG311+AI311+AK311+AM311+AO311+AQ311+AS311+AU311+AW311</f>
        <v>0</v>
      </c>
      <c r="T311" s="200">
        <f>ROUND(S311*I311,2)</f>
        <v>0</v>
      </c>
      <c r="U311" s="200">
        <f>H311-S311</f>
        <v>2</v>
      </c>
      <c r="V311" s="200">
        <f>ROUND(U311*I311,2)</f>
        <v>418.67</v>
      </c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77" t="s">
        <v>1</v>
      </c>
      <c r="CH311" s="178" t="s">
        <v>40</v>
      </c>
      <c r="CJ311" s="134">
        <f>CI311*H311</f>
        <v>0</v>
      </c>
      <c r="CK311" s="134">
        <v>2.8000000000000001E-2</v>
      </c>
      <c r="CL311" s="134">
        <f>CK311*H311</f>
        <v>5.6000000000000001E-2</v>
      </c>
      <c r="CM311" s="134">
        <v>0</v>
      </c>
      <c r="CN311" s="135">
        <f>CM311*H311</f>
        <v>0</v>
      </c>
      <c r="DL311" s="136" t="s">
        <v>328</v>
      </c>
      <c r="DN311" s="136" t="s">
        <v>439</v>
      </c>
      <c r="DO311" s="136" t="s">
        <v>83</v>
      </c>
      <c r="DS311" s="16" t="s">
        <v>282</v>
      </c>
      <c r="DY311" s="137">
        <f>IF(CH311="základní",J311,0)</f>
        <v>418.67</v>
      </c>
      <c r="DZ311" s="137">
        <f>IF(CH311="snížená",J311,0)</f>
        <v>0</v>
      </c>
      <c r="EA311" s="137">
        <f>IF(CH311="zákl. přenesená",J311,0)</f>
        <v>0</v>
      </c>
      <c r="EB311" s="137">
        <f>IF(CH311="sníž. přenesená",J311,0)</f>
        <v>0</v>
      </c>
      <c r="EC311" s="137">
        <f>IF(CH311="nulová",J311,0)</f>
        <v>0</v>
      </c>
      <c r="ED311" s="16" t="s">
        <v>81</v>
      </c>
      <c r="EE311" s="137">
        <f>ROUND(I311*H311,2)</f>
        <v>418.67</v>
      </c>
      <c r="EF311" s="16" t="s">
        <v>95</v>
      </c>
      <c r="EG311" s="136" t="s">
        <v>1484</v>
      </c>
    </row>
    <row r="312" spans="2:137" s="1" customFormat="1" x14ac:dyDescent="0.2">
      <c r="B312" s="31"/>
      <c r="D312" s="138" t="s">
        <v>289</v>
      </c>
      <c r="F312" s="139" t="s">
        <v>491</v>
      </c>
      <c r="I312" s="140"/>
      <c r="L312" s="31"/>
      <c r="N312" s="213"/>
      <c r="O312" s="214"/>
      <c r="Q312" s="229"/>
      <c r="CG312" s="141"/>
      <c r="CN312" s="50"/>
      <c r="DN312" s="16" t="s">
        <v>289</v>
      </c>
      <c r="DO312" s="16" t="s">
        <v>83</v>
      </c>
    </row>
    <row r="313" spans="2:137" s="1" customFormat="1" ht="24.2" customHeight="1" x14ac:dyDescent="0.2">
      <c r="B313" s="124"/>
      <c r="C313" s="170" t="s">
        <v>482</v>
      </c>
      <c r="D313" s="170" t="s">
        <v>439</v>
      </c>
      <c r="E313" s="171" t="s">
        <v>494</v>
      </c>
      <c r="F313" s="172" t="s">
        <v>495</v>
      </c>
      <c r="G313" s="173" t="s">
        <v>485</v>
      </c>
      <c r="H313" s="174">
        <v>15</v>
      </c>
      <c r="I313" s="175">
        <v>244.3816506</v>
      </c>
      <c r="J313" s="176">
        <f>ROUND(I313*H313,2)</f>
        <v>3665.72</v>
      </c>
      <c r="K313" s="172" t="s">
        <v>293</v>
      </c>
      <c r="L313" s="198">
        <f>S313</f>
        <v>0</v>
      </c>
      <c r="M313" s="206">
        <f>ROUND(L313*I313,2)</f>
        <v>0</v>
      </c>
      <c r="N313" s="211"/>
      <c r="O313" s="212">
        <f>ROUND(N313*I313,2)</f>
        <v>0</v>
      </c>
      <c r="P313" s="207">
        <f>H313-L313-N313</f>
        <v>15</v>
      </c>
      <c r="Q313" s="228">
        <f>ROUND(P313*I313,2)</f>
        <v>3665.72</v>
      </c>
      <c r="R313" s="199">
        <v>5</v>
      </c>
      <c r="S313" s="200">
        <f>W313+Y313+AA313+AC313+AE313++AG313+AI313+AK313+AM313+AO313+AQ313+AS313+AU313+AW313</f>
        <v>0</v>
      </c>
      <c r="T313" s="200">
        <f>ROUND(S313*I313,2)</f>
        <v>0</v>
      </c>
      <c r="U313" s="200">
        <f>H313-S313</f>
        <v>15</v>
      </c>
      <c r="V313" s="200">
        <f>ROUND(U313*I313,2)</f>
        <v>3665.72</v>
      </c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77" t="s">
        <v>1</v>
      </c>
      <c r="CH313" s="178" t="s">
        <v>40</v>
      </c>
      <c r="CJ313" s="134">
        <f>CI313*H313</f>
        <v>0</v>
      </c>
      <c r="CK313" s="134">
        <v>0.04</v>
      </c>
      <c r="CL313" s="134">
        <f>CK313*H313</f>
        <v>0.6</v>
      </c>
      <c r="CM313" s="134">
        <v>0</v>
      </c>
      <c r="CN313" s="135">
        <f>CM313*H313</f>
        <v>0</v>
      </c>
      <c r="DL313" s="136" t="s">
        <v>328</v>
      </c>
      <c r="DN313" s="136" t="s">
        <v>439</v>
      </c>
      <c r="DO313" s="136" t="s">
        <v>83</v>
      </c>
      <c r="DS313" s="16" t="s">
        <v>282</v>
      </c>
      <c r="DY313" s="137">
        <f>IF(CH313="základní",J313,0)</f>
        <v>3665.72</v>
      </c>
      <c r="DZ313" s="137">
        <f>IF(CH313="snížená",J313,0)</f>
        <v>0</v>
      </c>
      <c r="EA313" s="137">
        <f>IF(CH313="zákl. přenesená",J313,0)</f>
        <v>0</v>
      </c>
      <c r="EB313" s="137">
        <f>IF(CH313="sníž. přenesená",J313,0)</f>
        <v>0</v>
      </c>
      <c r="EC313" s="137">
        <f>IF(CH313="nulová",J313,0)</f>
        <v>0</v>
      </c>
      <c r="ED313" s="16" t="s">
        <v>81</v>
      </c>
      <c r="EE313" s="137">
        <f>ROUND(I313*H313,2)</f>
        <v>3665.72</v>
      </c>
      <c r="EF313" s="16" t="s">
        <v>95</v>
      </c>
      <c r="EG313" s="136" t="s">
        <v>1485</v>
      </c>
    </row>
    <row r="314" spans="2:137" s="1" customFormat="1" x14ac:dyDescent="0.2">
      <c r="B314" s="31"/>
      <c r="D314" s="138" t="s">
        <v>289</v>
      </c>
      <c r="F314" s="139" t="s">
        <v>495</v>
      </c>
      <c r="I314" s="140"/>
      <c r="L314" s="31"/>
      <c r="N314" s="213"/>
      <c r="O314" s="214"/>
      <c r="Q314" s="229"/>
      <c r="CG314" s="141"/>
      <c r="CN314" s="50"/>
      <c r="DN314" s="16" t="s">
        <v>289</v>
      </c>
      <c r="DO314" s="16" t="s">
        <v>83</v>
      </c>
    </row>
    <row r="315" spans="2:137" s="1" customFormat="1" ht="24.2" customHeight="1" x14ac:dyDescent="0.2">
      <c r="B315" s="124"/>
      <c r="C315" s="170" t="s">
        <v>489</v>
      </c>
      <c r="D315" s="170" t="s">
        <v>439</v>
      </c>
      <c r="E315" s="171" t="s">
        <v>498</v>
      </c>
      <c r="F315" s="172" t="s">
        <v>499</v>
      </c>
      <c r="G315" s="173" t="s">
        <v>485</v>
      </c>
      <c r="H315" s="174">
        <v>23</v>
      </c>
      <c r="I315" s="175">
        <v>292.68965129999998</v>
      </c>
      <c r="J315" s="176">
        <f>ROUND(I315*H315,2)</f>
        <v>6731.86</v>
      </c>
      <c r="K315" s="172" t="s">
        <v>293</v>
      </c>
      <c r="L315" s="198">
        <f>S315</f>
        <v>0</v>
      </c>
      <c r="M315" s="206">
        <f>ROUND(L315*I315,2)</f>
        <v>0</v>
      </c>
      <c r="N315" s="211"/>
      <c r="O315" s="212">
        <f>ROUND(N315*I315,2)</f>
        <v>0</v>
      </c>
      <c r="P315" s="207">
        <f>H315-L315-N315</f>
        <v>23</v>
      </c>
      <c r="Q315" s="228">
        <f>ROUND(P315*I315,2)</f>
        <v>6731.86</v>
      </c>
      <c r="R315" s="199">
        <v>4</v>
      </c>
      <c r="S315" s="200">
        <f>W315+Y315+AA315+AC315+AE315++AG315+AI315+AK315+AM315+AO315+AQ315+AS315+AU315+AW315</f>
        <v>0</v>
      </c>
      <c r="T315" s="200">
        <f>ROUND(S315*I315,2)</f>
        <v>0</v>
      </c>
      <c r="U315" s="200">
        <f>H315-S315</f>
        <v>23</v>
      </c>
      <c r="V315" s="200">
        <f>ROUND(U315*I315,2)</f>
        <v>6731.86</v>
      </c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77" t="s">
        <v>1</v>
      </c>
      <c r="CH315" s="178" t="s">
        <v>40</v>
      </c>
      <c r="CJ315" s="134">
        <f>CI315*H315</f>
        <v>0</v>
      </c>
      <c r="CK315" s="134">
        <v>5.0999999999999997E-2</v>
      </c>
      <c r="CL315" s="134">
        <f>CK315*H315</f>
        <v>1.1729999999999998</v>
      </c>
      <c r="CM315" s="134">
        <v>0</v>
      </c>
      <c r="CN315" s="135">
        <f>CM315*H315</f>
        <v>0</v>
      </c>
      <c r="DL315" s="136" t="s">
        <v>328</v>
      </c>
      <c r="DN315" s="136" t="s">
        <v>439</v>
      </c>
      <c r="DO315" s="136" t="s">
        <v>83</v>
      </c>
      <c r="DS315" s="16" t="s">
        <v>282</v>
      </c>
      <c r="DY315" s="137">
        <f>IF(CH315="základní",J315,0)</f>
        <v>6731.86</v>
      </c>
      <c r="DZ315" s="137">
        <f>IF(CH315="snížená",J315,0)</f>
        <v>0</v>
      </c>
      <c r="EA315" s="137">
        <f>IF(CH315="zákl. přenesená",J315,0)</f>
        <v>0</v>
      </c>
      <c r="EB315" s="137">
        <f>IF(CH315="sníž. přenesená",J315,0)</f>
        <v>0</v>
      </c>
      <c r="EC315" s="137">
        <f>IF(CH315="nulová",J315,0)</f>
        <v>0</v>
      </c>
      <c r="ED315" s="16" t="s">
        <v>81</v>
      </c>
      <c r="EE315" s="137">
        <f>ROUND(I315*H315,2)</f>
        <v>6731.86</v>
      </c>
      <c r="EF315" s="16" t="s">
        <v>95</v>
      </c>
      <c r="EG315" s="136" t="s">
        <v>1486</v>
      </c>
    </row>
    <row r="316" spans="2:137" s="1" customFormat="1" x14ac:dyDescent="0.2">
      <c r="B316" s="31"/>
      <c r="D316" s="138" t="s">
        <v>289</v>
      </c>
      <c r="F316" s="139" t="s">
        <v>499</v>
      </c>
      <c r="I316" s="140"/>
      <c r="L316" s="31"/>
      <c r="N316" s="213"/>
      <c r="O316" s="214"/>
      <c r="Q316" s="229"/>
      <c r="CG316" s="141"/>
      <c r="CN316" s="50"/>
      <c r="DN316" s="16" t="s">
        <v>289</v>
      </c>
      <c r="DO316" s="16" t="s">
        <v>83</v>
      </c>
    </row>
    <row r="317" spans="2:137" s="1" customFormat="1" ht="24.2" customHeight="1" x14ac:dyDescent="0.2">
      <c r="B317" s="124"/>
      <c r="C317" s="170" t="s">
        <v>493</v>
      </c>
      <c r="D317" s="170" t="s">
        <v>439</v>
      </c>
      <c r="E317" s="171" t="s">
        <v>502</v>
      </c>
      <c r="F317" s="172" t="s">
        <v>503</v>
      </c>
      <c r="G317" s="173" t="s">
        <v>485</v>
      </c>
      <c r="H317" s="174">
        <v>34</v>
      </c>
      <c r="I317" s="175">
        <v>314.47561239999999</v>
      </c>
      <c r="J317" s="176">
        <f>ROUND(I317*H317,2)</f>
        <v>10692.17</v>
      </c>
      <c r="K317" s="172" t="s">
        <v>293</v>
      </c>
      <c r="L317" s="198">
        <f>S317</f>
        <v>0</v>
      </c>
      <c r="M317" s="206">
        <f>ROUND(L317*I317,2)</f>
        <v>0</v>
      </c>
      <c r="N317" s="211"/>
      <c r="O317" s="212">
        <f>ROUND(N317*I317,2)</f>
        <v>0</v>
      </c>
      <c r="P317" s="207">
        <f>H317-L317-N317</f>
        <v>34</v>
      </c>
      <c r="Q317" s="228">
        <f>ROUND(P317*I317,2)</f>
        <v>10692.17</v>
      </c>
      <c r="R317" s="199">
        <v>1</v>
      </c>
      <c r="S317" s="200">
        <f>W317+Y317+AA317+AC317+AE317++AG317+AI317+AK317+AM317+AO317+AQ317+AS317+AU317+AW317</f>
        <v>0</v>
      </c>
      <c r="T317" s="200">
        <f>ROUND(S317*I317,2)</f>
        <v>0</v>
      </c>
      <c r="U317" s="200">
        <f>H317-S317</f>
        <v>34</v>
      </c>
      <c r="V317" s="200">
        <f>ROUND(U317*I317,2)</f>
        <v>10692.17</v>
      </c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77" t="s">
        <v>1</v>
      </c>
      <c r="CH317" s="178" t="s">
        <v>40</v>
      </c>
      <c r="CJ317" s="134">
        <f>CI317*H317</f>
        <v>0</v>
      </c>
      <c r="CK317" s="134">
        <v>6.8000000000000005E-2</v>
      </c>
      <c r="CL317" s="134">
        <f>CK317*H317</f>
        <v>2.3120000000000003</v>
      </c>
      <c r="CM317" s="134">
        <v>0</v>
      </c>
      <c r="CN317" s="135">
        <f>CM317*H317</f>
        <v>0</v>
      </c>
      <c r="DL317" s="136" t="s">
        <v>328</v>
      </c>
      <c r="DN317" s="136" t="s">
        <v>439</v>
      </c>
      <c r="DO317" s="136" t="s">
        <v>83</v>
      </c>
      <c r="DS317" s="16" t="s">
        <v>282</v>
      </c>
      <c r="DY317" s="137">
        <f>IF(CH317="základní",J317,0)</f>
        <v>10692.17</v>
      </c>
      <c r="DZ317" s="137">
        <f>IF(CH317="snížená",J317,0)</f>
        <v>0</v>
      </c>
      <c r="EA317" s="137">
        <f>IF(CH317="zákl. přenesená",J317,0)</f>
        <v>0</v>
      </c>
      <c r="EB317" s="137">
        <f>IF(CH317="sníž. přenesená",J317,0)</f>
        <v>0</v>
      </c>
      <c r="EC317" s="137">
        <f>IF(CH317="nulová",J317,0)</f>
        <v>0</v>
      </c>
      <c r="ED317" s="16" t="s">
        <v>81</v>
      </c>
      <c r="EE317" s="137">
        <f>ROUND(I317*H317,2)</f>
        <v>10692.17</v>
      </c>
      <c r="EF317" s="16" t="s">
        <v>95</v>
      </c>
      <c r="EG317" s="136" t="s">
        <v>504</v>
      </c>
    </row>
    <row r="318" spans="2:137" s="1" customFormat="1" x14ac:dyDescent="0.2">
      <c r="B318" s="31"/>
      <c r="D318" s="138" t="s">
        <v>289</v>
      </c>
      <c r="F318" s="139" t="s">
        <v>503</v>
      </c>
      <c r="I318" s="140"/>
      <c r="L318" s="31"/>
      <c r="N318" s="213"/>
      <c r="O318" s="214"/>
      <c r="Q318" s="229"/>
      <c r="CG318" s="141"/>
      <c r="CN318" s="50"/>
      <c r="DN318" s="16" t="s">
        <v>289</v>
      </c>
      <c r="DO318" s="16" t="s">
        <v>83</v>
      </c>
    </row>
    <row r="319" spans="2:137" s="1" customFormat="1" ht="32.25" customHeight="1" x14ac:dyDescent="0.2">
      <c r="B319" s="124"/>
      <c r="C319" s="125" t="s">
        <v>497</v>
      </c>
      <c r="D319" s="125" t="s">
        <v>284</v>
      </c>
      <c r="E319" s="126" t="s">
        <v>506</v>
      </c>
      <c r="F319" s="127" t="s">
        <v>507</v>
      </c>
      <c r="G319" s="128" t="s">
        <v>485</v>
      </c>
      <c r="H319" s="129">
        <v>21</v>
      </c>
      <c r="I319" s="130">
        <v>217.77896833494168</v>
      </c>
      <c r="J319" s="131">
        <f>ROUND(I319*H319,2)</f>
        <v>4573.3599999999997</v>
      </c>
      <c r="K319" s="127" t="s">
        <v>293</v>
      </c>
      <c r="L319" s="198">
        <f>S319</f>
        <v>0</v>
      </c>
      <c r="M319" s="206">
        <f>ROUND(L319*I319,2)</f>
        <v>0</v>
      </c>
      <c r="N319" s="211"/>
      <c r="O319" s="212">
        <f>ROUND(N319*I319,2)</f>
        <v>0</v>
      </c>
      <c r="P319" s="207">
        <f>H319-L319-N319</f>
        <v>21</v>
      </c>
      <c r="Q319" s="228">
        <f>ROUND(P319*I319,2)</f>
        <v>4573.3599999999997</v>
      </c>
      <c r="R319" s="199"/>
      <c r="S319" s="200">
        <f>W319+Y319+AA319+AC319+AE319++AG319+AI319+AK319+AM319+AO319+AQ319+AS319+AU319+AW319</f>
        <v>0</v>
      </c>
      <c r="T319" s="200">
        <f>ROUND(S319*I319,2)</f>
        <v>0</v>
      </c>
      <c r="U319" s="200">
        <f>H319-S319</f>
        <v>21</v>
      </c>
      <c r="V319" s="200">
        <f>ROUND(U319*I319,2)</f>
        <v>4573.3599999999997</v>
      </c>
      <c r="W319" s="200"/>
      <c r="X319" s="200"/>
      <c r="Y319" s="200"/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0"/>
      <c r="AP319" s="200"/>
      <c r="AQ319" s="200"/>
      <c r="AR319" s="200"/>
      <c r="AS319" s="200"/>
      <c r="AT319" s="200"/>
      <c r="AU319" s="200"/>
      <c r="AV319" s="200"/>
      <c r="AW319" s="200"/>
      <c r="AX319" s="200"/>
      <c r="CG319" s="132" t="s">
        <v>1</v>
      </c>
      <c r="CH319" s="133" t="s">
        <v>40</v>
      </c>
      <c r="CJ319" s="134">
        <f>CI319*H319</f>
        <v>0</v>
      </c>
      <c r="CK319" s="134">
        <v>6.6E-3</v>
      </c>
      <c r="CL319" s="134">
        <f>CK319*H319</f>
        <v>0.1386</v>
      </c>
      <c r="CM319" s="134">
        <v>0</v>
      </c>
      <c r="CN319" s="135">
        <f>CM319*H319</f>
        <v>0</v>
      </c>
      <c r="DL319" s="136" t="s">
        <v>95</v>
      </c>
      <c r="DN319" s="136" t="s">
        <v>284</v>
      </c>
      <c r="DO319" s="136" t="s">
        <v>83</v>
      </c>
      <c r="DS319" s="16" t="s">
        <v>282</v>
      </c>
      <c r="DY319" s="137">
        <f>IF(CH319="základní",J319,0)</f>
        <v>4573.3599999999997</v>
      </c>
      <c r="DZ319" s="137">
        <f>IF(CH319="snížená",J319,0)</f>
        <v>0</v>
      </c>
      <c r="EA319" s="137">
        <f>IF(CH319="zákl. přenesená",J319,0)</f>
        <v>0</v>
      </c>
      <c r="EB319" s="137">
        <f>IF(CH319="sníž. přenesená",J319,0)</f>
        <v>0</v>
      </c>
      <c r="EC319" s="137">
        <f>IF(CH319="nulová",J319,0)</f>
        <v>0</v>
      </c>
      <c r="ED319" s="16" t="s">
        <v>81</v>
      </c>
      <c r="EE319" s="137">
        <f>ROUND(I319*H319,2)</f>
        <v>4573.3599999999997</v>
      </c>
      <c r="EF319" s="16" t="s">
        <v>95</v>
      </c>
      <c r="EG319" s="136" t="s">
        <v>508</v>
      </c>
    </row>
    <row r="320" spans="2:137" s="1" customFormat="1" ht="19.5" x14ac:dyDescent="0.2">
      <c r="B320" s="31"/>
      <c r="D320" s="138" t="s">
        <v>289</v>
      </c>
      <c r="F320" s="139" t="s">
        <v>509</v>
      </c>
      <c r="I320" s="140"/>
      <c r="L320" s="31"/>
      <c r="N320" s="213"/>
      <c r="O320" s="214"/>
      <c r="Q320" s="229"/>
      <c r="CG320" s="141"/>
      <c r="CN320" s="50"/>
      <c r="DN320" s="16" t="s">
        <v>289</v>
      </c>
      <c r="DO320" s="16" t="s">
        <v>83</v>
      </c>
    </row>
    <row r="321" spans="2:137" s="1" customFormat="1" ht="19.5" x14ac:dyDescent="0.2">
      <c r="B321" s="31"/>
      <c r="D321" s="138" t="s">
        <v>299</v>
      </c>
      <c r="F321" s="142" t="s">
        <v>317</v>
      </c>
      <c r="I321" s="140"/>
      <c r="L321" s="31"/>
      <c r="N321" s="213"/>
      <c r="O321" s="214"/>
      <c r="Q321" s="229"/>
      <c r="CG321" s="141"/>
      <c r="CN321" s="50"/>
      <c r="DN321" s="16" t="s">
        <v>299</v>
      </c>
      <c r="DO321" s="16" t="s">
        <v>83</v>
      </c>
    </row>
    <row r="322" spans="2:137" s="12" customFormat="1" x14ac:dyDescent="0.2">
      <c r="B322" s="149"/>
      <c r="D322" s="138" t="s">
        <v>301</v>
      </c>
      <c r="E322" s="150" t="s">
        <v>1</v>
      </c>
      <c r="F322" s="151" t="s">
        <v>7</v>
      </c>
      <c r="H322" s="152">
        <v>21</v>
      </c>
      <c r="I322" s="153"/>
      <c r="L322" s="149"/>
      <c r="N322" s="217"/>
      <c r="O322" s="218"/>
      <c r="Q322" s="231"/>
      <c r="CG322" s="154"/>
      <c r="CN322" s="155"/>
      <c r="DN322" s="150" t="s">
        <v>301</v>
      </c>
      <c r="DO322" s="150" t="s">
        <v>83</v>
      </c>
      <c r="DP322" s="12" t="s">
        <v>83</v>
      </c>
      <c r="DQ322" s="12" t="s">
        <v>32</v>
      </c>
      <c r="DR322" s="12" t="s">
        <v>81</v>
      </c>
      <c r="DS322" s="150" t="s">
        <v>282</v>
      </c>
    </row>
    <row r="323" spans="2:137" s="1" customFormat="1" ht="24.2" customHeight="1" x14ac:dyDescent="0.2">
      <c r="B323" s="124"/>
      <c r="C323" s="170" t="s">
        <v>501</v>
      </c>
      <c r="D323" s="170" t="s">
        <v>439</v>
      </c>
      <c r="E323" s="171" t="s">
        <v>511</v>
      </c>
      <c r="F323" s="172" t="s">
        <v>512</v>
      </c>
      <c r="G323" s="173" t="s">
        <v>485</v>
      </c>
      <c r="H323" s="174">
        <v>21</v>
      </c>
      <c r="I323" s="175">
        <v>354.2586718</v>
      </c>
      <c r="J323" s="176">
        <f>ROUND(I323*H323,2)</f>
        <v>7439.43</v>
      </c>
      <c r="K323" s="172" t="s">
        <v>293</v>
      </c>
      <c r="L323" s="198">
        <f>S323</f>
        <v>0</v>
      </c>
      <c r="M323" s="206">
        <f>ROUND(L323*I323,2)</f>
        <v>0</v>
      </c>
      <c r="N323" s="211"/>
      <c r="O323" s="212">
        <f>ROUND(N323*I323,2)</f>
        <v>0</v>
      </c>
      <c r="P323" s="207">
        <f>H323-L323-N323</f>
        <v>21</v>
      </c>
      <c r="Q323" s="228">
        <f>ROUND(P323*I323,2)</f>
        <v>7439.43</v>
      </c>
      <c r="R323" s="199"/>
      <c r="S323" s="200">
        <f>W323+Y323+AA323+AC323+AE323++AG323+AI323+AK323+AM323+AO323+AQ323+AS323+AU323+AW323</f>
        <v>0</v>
      </c>
      <c r="T323" s="200">
        <f>ROUND(S323*I323,2)</f>
        <v>0</v>
      </c>
      <c r="U323" s="200">
        <f>H323-S323</f>
        <v>21</v>
      </c>
      <c r="V323" s="200">
        <f>ROUND(U323*I323,2)</f>
        <v>7439.43</v>
      </c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77" t="s">
        <v>1</v>
      </c>
      <c r="CH323" s="178" t="s">
        <v>40</v>
      </c>
      <c r="CJ323" s="134">
        <f>CI323*H323</f>
        <v>0</v>
      </c>
      <c r="CK323" s="134">
        <v>8.1000000000000003E-2</v>
      </c>
      <c r="CL323" s="134">
        <f>CK323*H323</f>
        <v>1.7010000000000001</v>
      </c>
      <c r="CM323" s="134">
        <v>0</v>
      </c>
      <c r="CN323" s="135">
        <f>CM323*H323</f>
        <v>0</v>
      </c>
      <c r="DL323" s="136" t="s">
        <v>328</v>
      </c>
      <c r="DN323" s="136" t="s">
        <v>439</v>
      </c>
      <c r="DO323" s="136" t="s">
        <v>83</v>
      </c>
      <c r="DS323" s="16" t="s">
        <v>282</v>
      </c>
      <c r="DY323" s="137">
        <f>IF(CH323="základní",J323,0)</f>
        <v>7439.43</v>
      </c>
      <c r="DZ323" s="137">
        <f>IF(CH323="snížená",J323,0)</f>
        <v>0</v>
      </c>
      <c r="EA323" s="137">
        <f>IF(CH323="zákl. přenesená",J323,0)</f>
        <v>0</v>
      </c>
      <c r="EB323" s="137">
        <f>IF(CH323="sníž. přenesená",J323,0)</f>
        <v>0</v>
      </c>
      <c r="EC323" s="137">
        <f>IF(CH323="nulová",J323,0)</f>
        <v>0</v>
      </c>
      <c r="ED323" s="16" t="s">
        <v>81</v>
      </c>
      <c r="EE323" s="137">
        <f>ROUND(I323*H323,2)</f>
        <v>7439.43</v>
      </c>
      <c r="EF323" s="16" t="s">
        <v>95</v>
      </c>
      <c r="EG323" s="136" t="s">
        <v>513</v>
      </c>
    </row>
    <row r="324" spans="2:137" s="1" customFormat="1" x14ac:dyDescent="0.2">
      <c r="B324" s="31"/>
      <c r="D324" s="138" t="s">
        <v>289</v>
      </c>
      <c r="F324" s="139" t="s">
        <v>512</v>
      </c>
      <c r="I324" s="140"/>
      <c r="L324" s="31"/>
      <c r="N324" s="213"/>
      <c r="O324" s="214"/>
      <c r="Q324" s="229"/>
      <c r="CG324" s="141"/>
      <c r="CN324" s="50"/>
      <c r="DN324" s="16" t="s">
        <v>289</v>
      </c>
      <c r="DO324" s="16" t="s">
        <v>83</v>
      </c>
    </row>
    <row r="325" spans="2:137" s="1" customFormat="1" ht="24.2" customHeight="1" x14ac:dyDescent="0.2">
      <c r="B325" s="124"/>
      <c r="C325" s="125" t="s">
        <v>505</v>
      </c>
      <c r="D325" s="125" t="s">
        <v>284</v>
      </c>
      <c r="E325" s="126" t="s">
        <v>515</v>
      </c>
      <c r="F325" s="127" t="s">
        <v>516</v>
      </c>
      <c r="G325" s="128" t="s">
        <v>366</v>
      </c>
      <c r="H325" s="129">
        <v>18.225000000000001</v>
      </c>
      <c r="I325" s="130">
        <v>2895.0660868876225</v>
      </c>
      <c r="J325" s="131">
        <f>ROUND(I325*H325,2)</f>
        <v>52762.58</v>
      </c>
      <c r="K325" s="127" t="s">
        <v>293</v>
      </c>
      <c r="L325" s="198">
        <f>S325</f>
        <v>0</v>
      </c>
      <c r="M325" s="206">
        <f>ROUND(L325*I325,2)</f>
        <v>0</v>
      </c>
      <c r="N325" s="211"/>
      <c r="O325" s="212">
        <f>ROUND(N325*I325,2)</f>
        <v>0</v>
      </c>
      <c r="P325" s="207">
        <f>H325-L325-N325</f>
        <v>18.225000000000001</v>
      </c>
      <c r="Q325" s="228">
        <f>ROUND(P325*I325,2)</f>
        <v>52762.58</v>
      </c>
      <c r="R325" s="199"/>
      <c r="S325" s="200">
        <f>W325+Y325+AA325+AC325+AE325++AG325+AI325+AK325+AM325+AO325+AQ325+AS325+AU325+AW325</f>
        <v>0</v>
      </c>
      <c r="T325" s="200">
        <f>ROUND(S325*I325,2)</f>
        <v>0</v>
      </c>
      <c r="U325" s="200">
        <f>H325-S325</f>
        <v>18.225000000000001</v>
      </c>
      <c r="V325" s="200">
        <f>ROUND(U325*I325,2)</f>
        <v>52762.58</v>
      </c>
      <c r="W325" s="200"/>
      <c r="X325" s="200"/>
      <c r="Y325" s="200"/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0"/>
      <c r="AP325" s="200"/>
      <c r="AQ325" s="200"/>
      <c r="AR325" s="200"/>
      <c r="AS325" s="200"/>
      <c r="AT325" s="200"/>
      <c r="AU325" s="200"/>
      <c r="AV325" s="200"/>
      <c r="AW325" s="200"/>
      <c r="AX325" s="200"/>
      <c r="CG325" s="132" t="s">
        <v>1</v>
      </c>
      <c r="CH325" s="133" t="s">
        <v>40</v>
      </c>
      <c r="CJ325" s="134">
        <f>CI325*H325</f>
        <v>0</v>
      </c>
      <c r="CK325" s="134">
        <v>0</v>
      </c>
      <c r="CL325" s="134">
        <f>CK325*H325</f>
        <v>0</v>
      </c>
      <c r="CM325" s="134">
        <v>0</v>
      </c>
      <c r="CN325" s="135">
        <f>CM325*H325</f>
        <v>0</v>
      </c>
      <c r="DL325" s="136" t="s">
        <v>95</v>
      </c>
      <c r="DN325" s="136" t="s">
        <v>284</v>
      </c>
      <c r="DO325" s="136" t="s">
        <v>83</v>
      </c>
      <c r="DS325" s="16" t="s">
        <v>282</v>
      </c>
      <c r="DY325" s="137">
        <f>IF(CH325="základní",J325,0)</f>
        <v>52762.58</v>
      </c>
      <c r="DZ325" s="137">
        <f>IF(CH325="snížená",J325,0)</f>
        <v>0</v>
      </c>
      <c r="EA325" s="137">
        <f>IF(CH325="zákl. přenesená",J325,0)</f>
        <v>0</v>
      </c>
      <c r="EB325" s="137">
        <f>IF(CH325="sníž. přenesená",J325,0)</f>
        <v>0</v>
      </c>
      <c r="EC325" s="137">
        <f>IF(CH325="nulová",J325,0)</f>
        <v>0</v>
      </c>
      <c r="ED325" s="16" t="s">
        <v>81</v>
      </c>
      <c r="EE325" s="137">
        <f>ROUND(I325*H325,2)</f>
        <v>52762.58</v>
      </c>
      <c r="EF325" s="16" t="s">
        <v>95</v>
      </c>
      <c r="EG325" s="136" t="s">
        <v>517</v>
      </c>
    </row>
    <row r="326" spans="2:137" s="1" customFormat="1" ht="29.25" x14ac:dyDescent="0.2">
      <c r="B326" s="31"/>
      <c r="D326" s="138" t="s">
        <v>289</v>
      </c>
      <c r="F326" s="139" t="s">
        <v>518</v>
      </c>
      <c r="I326" s="140"/>
      <c r="L326" s="31"/>
      <c r="N326" s="213"/>
      <c r="O326" s="214"/>
      <c r="Q326" s="229"/>
      <c r="CG326" s="141"/>
      <c r="CN326" s="50"/>
      <c r="DN326" s="16" t="s">
        <v>289</v>
      </c>
      <c r="DO326" s="16" t="s">
        <v>83</v>
      </c>
    </row>
    <row r="327" spans="2:137" s="1" customFormat="1" ht="19.5" x14ac:dyDescent="0.2">
      <c r="B327" s="31"/>
      <c r="D327" s="138" t="s">
        <v>299</v>
      </c>
      <c r="F327" s="142" t="s">
        <v>317</v>
      </c>
      <c r="I327" s="140"/>
      <c r="L327" s="31"/>
      <c r="N327" s="213"/>
      <c r="O327" s="214"/>
      <c r="Q327" s="229"/>
      <c r="CG327" s="141"/>
      <c r="CN327" s="50"/>
      <c r="DN327" s="16" t="s">
        <v>299</v>
      </c>
      <c r="DO327" s="16" t="s">
        <v>83</v>
      </c>
    </row>
    <row r="328" spans="2:137" s="11" customFormat="1" x14ac:dyDescent="0.2">
      <c r="B328" s="143"/>
      <c r="D328" s="138" t="s">
        <v>301</v>
      </c>
      <c r="E328" s="144" t="s">
        <v>1</v>
      </c>
      <c r="F328" s="145" t="s">
        <v>765</v>
      </c>
      <c r="H328" s="144" t="s">
        <v>1</v>
      </c>
      <c r="I328" s="146"/>
      <c r="L328" s="143"/>
      <c r="N328" s="215"/>
      <c r="O328" s="216"/>
      <c r="Q328" s="230"/>
      <c r="CG328" s="147"/>
      <c r="CN328" s="148"/>
      <c r="DN328" s="144" t="s">
        <v>301</v>
      </c>
      <c r="DO328" s="144" t="s">
        <v>83</v>
      </c>
      <c r="DP328" s="11" t="s">
        <v>81</v>
      </c>
      <c r="DQ328" s="11" t="s">
        <v>32</v>
      </c>
      <c r="DR328" s="11" t="s">
        <v>74</v>
      </c>
      <c r="DS328" s="144" t="s">
        <v>282</v>
      </c>
    </row>
    <row r="329" spans="2:137" s="12" customFormat="1" x14ac:dyDescent="0.2">
      <c r="B329" s="149"/>
      <c r="D329" s="138" t="s">
        <v>301</v>
      </c>
      <c r="E329" s="150" t="s">
        <v>1</v>
      </c>
      <c r="F329" s="151" t="s">
        <v>1487</v>
      </c>
      <c r="H329" s="152">
        <v>17.55</v>
      </c>
      <c r="I329" s="153"/>
      <c r="L329" s="149"/>
      <c r="N329" s="217"/>
      <c r="O329" s="218"/>
      <c r="Q329" s="231"/>
      <c r="CG329" s="154"/>
      <c r="CN329" s="155"/>
      <c r="DN329" s="150" t="s">
        <v>301</v>
      </c>
      <c r="DO329" s="150" t="s">
        <v>83</v>
      </c>
      <c r="DP329" s="12" t="s">
        <v>83</v>
      </c>
      <c r="DQ329" s="12" t="s">
        <v>32</v>
      </c>
      <c r="DR329" s="12" t="s">
        <v>74</v>
      </c>
      <c r="DS329" s="150" t="s">
        <v>282</v>
      </c>
    </row>
    <row r="330" spans="2:137" s="11" customFormat="1" x14ac:dyDescent="0.2">
      <c r="B330" s="143"/>
      <c r="D330" s="138" t="s">
        <v>301</v>
      </c>
      <c r="E330" s="144" t="s">
        <v>1</v>
      </c>
      <c r="F330" s="145" t="s">
        <v>916</v>
      </c>
      <c r="H330" s="144" t="s">
        <v>1</v>
      </c>
      <c r="I330" s="146"/>
      <c r="L330" s="143"/>
      <c r="N330" s="215"/>
      <c r="O330" s="216"/>
      <c r="Q330" s="230"/>
      <c r="CG330" s="147"/>
      <c r="CN330" s="148"/>
      <c r="DN330" s="144" t="s">
        <v>301</v>
      </c>
      <c r="DO330" s="144" t="s">
        <v>83</v>
      </c>
      <c r="DP330" s="11" t="s">
        <v>81</v>
      </c>
      <c r="DQ330" s="11" t="s">
        <v>32</v>
      </c>
      <c r="DR330" s="11" t="s">
        <v>74</v>
      </c>
      <c r="DS330" s="144" t="s">
        <v>282</v>
      </c>
    </row>
    <row r="331" spans="2:137" s="12" customFormat="1" x14ac:dyDescent="0.2">
      <c r="B331" s="149"/>
      <c r="D331" s="138" t="s">
        <v>301</v>
      </c>
      <c r="E331" s="150" t="s">
        <v>1</v>
      </c>
      <c r="F331" s="151" t="s">
        <v>1022</v>
      </c>
      <c r="H331" s="152">
        <v>0.67500000000000004</v>
      </c>
      <c r="I331" s="153"/>
      <c r="L331" s="149"/>
      <c r="N331" s="217"/>
      <c r="O331" s="218"/>
      <c r="Q331" s="231"/>
      <c r="CG331" s="154"/>
      <c r="CN331" s="155"/>
      <c r="DN331" s="150" t="s">
        <v>301</v>
      </c>
      <c r="DO331" s="150" t="s">
        <v>83</v>
      </c>
      <c r="DP331" s="12" t="s">
        <v>83</v>
      </c>
      <c r="DQ331" s="12" t="s">
        <v>32</v>
      </c>
      <c r="DR331" s="12" t="s">
        <v>74</v>
      </c>
      <c r="DS331" s="150" t="s">
        <v>282</v>
      </c>
    </row>
    <row r="332" spans="2:137" s="13" customFormat="1" x14ac:dyDescent="0.2">
      <c r="B332" s="156"/>
      <c r="D332" s="138" t="s">
        <v>301</v>
      </c>
      <c r="E332" s="157" t="s">
        <v>1</v>
      </c>
      <c r="F332" s="158" t="s">
        <v>305</v>
      </c>
      <c r="H332" s="159">
        <v>18.225000000000001</v>
      </c>
      <c r="I332" s="160"/>
      <c r="L332" s="156"/>
      <c r="N332" s="219"/>
      <c r="O332" s="220"/>
      <c r="Q332" s="232"/>
      <c r="CG332" s="161"/>
      <c r="CN332" s="162"/>
      <c r="DN332" s="157" t="s">
        <v>301</v>
      </c>
      <c r="DO332" s="157" t="s">
        <v>83</v>
      </c>
      <c r="DP332" s="13" t="s">
        <v>95</v>
      </c>
      <c r="DQ332" s="13" t="s">
        <v>32</v>
      </c>
      <c r="DR332" s="13" t="s">
        <v>81</v>
      </c>
      <c r="DS332" s="157" t="s">
        <v>282</v>
      </c>
    </row>
    <row r="333" spans="2:137" s="10" customFormat="1" ht="22.9" customHeight="1" x14ac:dyDescent="0.2">
      <c r="B333" s="112"/>
      <c r="D333" s="113" t="s">
        <v>73</v>
      </c>
      <c r="E333" s="122" t="s">
        <v>312</v>
      </c>
      <c r="F333" s="122" t="s">
        <v>520</v>
      </c>
      <c r="I333" s="115"/>
      <c r="J333" s="123">
        <f>EE333</f>
        <v>4183157.83</v>
      </c>
      <c r="L333" s="112"/>
      <c r="M333" s="202">
        <f>SUM(M334:M347)</f>
        <v>0</v>
      </c>
      <c r="N333" s="211"/>
      <c r="O333" s="224">
        <f t="shared" ref="O333:V333" si="5">SUM(O334:O347)</f>
        <v>-24687.54</v>
      </c>
      <c r="P333" s="202"/>
      <c r="Q333" s="234">
        <f t="shared" si="5"/>
        <v>4207845.3600000003</v>
      </c>
      <c r="R333" s="202"/>
      <c r="S333" s="202"/>
      <c r="T333" s="202">
        <f t="shared" si="5"/>
        <v>0</v>
      </c>
      <c r="U333" s="202"/>
      <c r="V333" s="202">
        <f t="shared" si="5"/>
        <v>4183157.83</v>
      </c>
      <c r="CG333" s="117"/>
      <c r="CJ333" s="118">
        <f>SUM(CJ334:CJ351)</f>
        <v>0</v>
      </c>
      <c r="CL333" s="118">
        <f>SUM(CL334:CL351)</f>
        <v>0</v>
      </c>
      <c r="CN333" s="119">
        <f>SUM(CN334:CN351)</f>
        <v>0</v>
      </c>
      <c r="DL333" s="113" t="s">
        <v>81</v>
      </c>
      <c r="DN333" s="120" t="s">
        <v>73</v>
      </c>
      <c r="DO333" s="120" t="s">
        <v>81</v>
      </c>
      <c r="DS333" s="113" t="s">
        <v>282</v>
      </c>
      <c r="EE333" s="121">
        <f>SUM(EE334:EE351)</f>
        <v>4183157.83</v>
      </c>
    </row>
    <row r="334" spans="2:137" s="1" customFormat="1" ht="24.2" customHeight="1" x14ac:dyDescent="0.2">
      <c r="B334" s="124"/>
      <c r="C334" s="125" t="s">
        <v>510</v>
      </c>
      <c r="D334" s="125" t="s">
        <v>284</v>
      </c>
      <c r="E334" s="126" t="s">
        <v>522</v>
      </c>
      <c r="F334" s="127" t="s">
        <v>523</v>
      </c>
      <c r="G334" s="128" t="s">
        <v>287</v>
      </c>
      <c r="H334" s="129">
        <v>1994.67</v>
      </c>
      <c r="I334" s="130">
        <v>130.95617506780872</v>
      </c>
      <c r="J334" s="131">
        <f>ROUND(I334*H334,2)</f>
        <v>261214.35</v>
      </c>
      <c r="K334" s="127" t="s">
        <v>293</v>
      </c>
      <c r="L334" s="198">
        <f>S334</f>
        <v>0</v>
      </c>
      <c r="M334" s="206">
        <f>ROUND(L334*I334,2)</f>
        <v>0</v>
      </c>
      <c r="N334" s="211">
        <f>N129</f>
        <v>-11.15099999999984</v>
      </c>
      <c r="O334" s="212">
        <f>ROUND(N334*I334,2)</f>
        <v>-1460.29</v>
      </c>
      <c r="P334" s="207">
        <f>H334-L334-N334</f>
        <v>2005.8209999999999</v>
      </c>
      <c r="Q334" s="228">
        <f>ROUND(P334*I334,2)</f>
        <v>262674.65000000002</v>
      </c>
      <c r="R334" s="199"/>
      <c r="S334" s="200">
        <f>W334+Y334+AA334+AC334+AE334++AG334+AI334+AK334+AM334+AO334+AQ334+AS334+AU334+AW334</f>
        <v>0</v>
      </c>
      <c r="T334" s="200">
        <f>ROUND(S334*I334,2)</f>
        <v>0</v>
      </c>
      <c r="U334" s="200">
        <f>H334-S334</f>
        <v>1994.67</v>
      </c>
      <c r="V334" s="200">
        <f>ROUND(U334*I334,2)</f>
        <v>261214.35</v>
      </c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200"/>
      <c r="AR334" s="200"/>
      <c r="AS334" s="200"/>
      <c r="AT334" s="200"/>
      <c r="AU334" s="200"/>
      <c r="AV334" s="200"/>
      <c r="AW334" s="200"/>
      <c r="AX334" s="200"/>
      <c r="CG334" s="132" t="s">
        <v>1</v>
      </c>
      <c r="CH334" s="133" t="s">
        <v>40</v>
      </c>
      <c r="CJ334" s="134">
        <f>CI334*H334</f>
        <v>0</v>
      </c>
      <c r="CK334" s="134">
        <v>0</v>
      </c>
      <c r="CL334" s="134">
        <f>CK334*H334</f>
        <v>0</v>
      </c>
      <c r="CM334" s="134">
        <v>0</v>
      </c>
      <c r="CN334" s="135">
        <f>CM334*H334</f>
        <v>0</v>
      </c>
      <c r="DL334" s="136" t="s">
        <v>95</v>
      </c>
      <c r="DN334" s="136" t="s">
        <v>284</v>
      </c>
      <c r="DO334" s="136" t="s">
        <v>83</v>
      </c>
      <c r="DS334" s="16" t="s">
        <v>282</v>
      </c>
      <c r="DY334" s="137">
        <f>IF(CH334="základní",J334,0)</f>
        <v>261214.35</v>
      </c>
      <c r="DZ334" s="137">
        <f>IF(CH334="snížená",J334,0)</f>
        <v>0</v>
      </c>
      <c r="EA334" s="137">
        <f>IF(CH334="zákl. přenesená",J334,0)</f>
        <v>0</v>
      </c>
      <c r="EB334" s="137">
        <f>IF(CH334="sníž. přenesená",J334,0)</f>
        <v>0</v>
      </c>
      <c r="EC334" s="137">
        <f>IF(CH334="nulová",J334,0)</f>
        <v>0</v>
      </c>
      <c r="ED334" s="16" t="s">
        <v>81</v>
      </c>
      <c r="EE334" s="137">
        <f>ROUND(I334*H334,2)</f>
        <v>261214.35</v>
      </c>
      <c r="EF334" s="16" t="s">
        <v>95</v>
      </c>
      <c r="EG334" s="136" t="s">
        <v>524</v>
      </c>
    </row>
    <row r="335" spans="2:137" s="1" customFormat="1" ht="19.5" x14ac:dyDescent="0.2">
      <c r="B335" s="31"/>
      <c r="D335" s="138" t="s">
        <v>289</v>
      </c>
      <c r="F335" s="139" t="s">
        <v>525</v>
      </c>
      <c r="I335" s="140"/>
      <c r="L335" s="31"/>
      <c r="N335" s="213"/>
      <c r="O335" s="214"/>
      <c r="Q335" s="229"/>
      <c r="CG335" s="141"/>
      <c r="CN335" s="50"/>
      <c r="DN335" s="16" t="s">
        <v>289</v>
      </c>
      <c r="DO335" s="16" t="s">
        <v>83</v>
      </c>
    </row>
    <row r="336" spans="2:137" s="1" customFormat="1" ht="14.45" customHeight="1" x14ac:dyDescent="0.2">
      <c r="B336" s="124"/>
      <c r="C336" s="125" t="s">
        <v>514</v>
      </c>
      <c r="D336" s="125" t="s">
        <v>284</v>
      </c>
      <c r="E336" s="126" t="s">
        <v>527</v>
      </c>
      <c r="F336" s="127" t="s">
        <v>528</v>
      </c>
      <c r="G336" s="128" t="s">
        <v>287</v>
      </c>
      <c r="H336" s="129">
        <v>1994.67</v>
      </c>
      <c r="I336" s="130">
        <v>200.20823792465458</v>
      </c>
      <c r="J336" s="131">
        <f>ROUND(I336*H336,2)</f>
        <v>399349.37</v>
      </c>
      <c r="K336" s="127" t="s">
        <v>293</v>
      </c>
      <c r="L336" s="198">
        <f>S336</f>
        <v>0</v>
      </c>
      <c r="M336" s="206">
        <f>ROUND(L336*I336,2)</f>
        <v>0</v>
      </c>
      <c r="N336" s="211">
        <f>N334</f>
        <v>-11.15099999999984</v>
      </c>
      <c r="O336" s="212">
        <f>ROUND(N336*I336,2)</f>
        <v>-2232.52</v>
      </c>
      <c r="P336" s="207">
        <f>H336-L336-N336</f>
        <v>2005.8209999999999</v>
      </c>
      <c r="Q336" s="228">
        <f>ROUND(P336*I336,2)</f>
        <v>401581.89</v>
      </c>
      <c r="R336" s="199"/>
      <c r="S336" s="200">
        <f>W336+Y336+AA336+AC336+AE336++AG336+AI336+AK336+AM336+AO336+AQ336+AS336+AU336+AW336</f>
        <v>0</v>
      </c>
      <c r="T336" s="200">
        <f>ROUND(S336*I336,2)</f>
        <v>0</v>
      </c>
      <c r="U336" s="200">
        <f>H336-S336</f>
        <v>1994.67</v>
      </c>
      <c r="V336" s="200">
        <f>ROUND(U336*I336,2)</f>
        <v>399349.37</v>
      </c>
      <c r="W336" s="200"/>
      <c r="X336" s="200"/>
      <c r="Y336" s="200"/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  <c r="AP336" s="200"/>
      <c r="AQ336" s="200"/>
      <c r="AR336" s="200"/>
      <c r="AS336" s="200"/>
      <c r="AT336" s="200"/>
      <c r="AU336" s="200"/>
      <c r="AV336" s="200"/>
      <c r="AW336" s="200"/>
      <c r="AX336" s="200"/>
      <c r="CG336" s="132" t="s">
        <v>1</v>
      </c>
      <c r="CH336" s="133" t="s">
        <v>40</v>
      </c>
      <c r="CJ336" s="134">
        <f>CI336*H336</f>
        <v>0</v>
      </c>
      <c r="CK336" s="134">
        <v>0</v>
      </c>
      <c r="CL336" s="134">
        <f>CK336*H336</f>
        <v>0</v>
      </c>
      <c r="CM336" s="134">
        <v>0</v>
      </c>
      <c r="CN336" s="135">
        <f>CM336*H336</f>
        <v>0</v>
      </c>
      <c r="DL336" s="136" t="s">
        <v>95</v>
      </c>
      <c r="DN336" s="136" t="s">
        <v>284</v>
      </c>
      <c r="DO336" s="136" t="s">
        <v>83</v>
      </c>
      <c r="DS336" s="16" t="s">
        <v>282</v>
      </c>
      <c r="DY336" s="137">
        <f>IF(CH336="základní",J336,0)</f>
        <v>399349.37</v>
      </c>
      <c r="DZ336" s="137">
        <f>IF(CH336="snížená",J336,0)</f>
        <v>0</v>
      </c>
      <c r="EA336" s="137">
        <f>IF(CH336="zákl. přenesená",J336,0)</f>
        <v>0</v>
      </c>
      <c r="EB336" s="137">
        <f>IF(CH336="sníž. přenesená",J336,0)</f>
        <v>0</v>
      </c>
      <c r="EC336" s="137">
        <f>IF(CH336="nulová",J336,0)</f>
        <v>0</v>
      </c>
      <c r="ED336" s="16" t="s">
        <v>81</v>
      </c>
      <c r="EE336" s="137">
        <f>ROUND(I336*H336,2)</f>
        <v>399349.37</v>
      </c>
      <c r="EF336" s="16" t="s">
        <v>95</v>
      </c>
      <c r="EG336" s="136" t="s">
        <v>529</v>
      </c>
    </row>
    <row r="337" spans="2:137" s="1" customFormat="1" ht="19.5" x14ac:dyDescent="0.2">
      <c r="B337" s="31"/>
      <c r="D337" s="138" t="s">
        <v>289</v>
      </c>
      <c r="F337" s="139" t="s">
        <v>530</v>
      </c>
      <c r="I337" s="140"/>
      <c r="L337" s="31"/>
      <c r="N337" s="213"/>
      <c r="O337" s="214"/>
      <c r="Q337" s="229"/>
      <c r="CG337" s="141"/>
      <c r="CN337" s="50"/>
      <c r="DN337" s="16" t="s">
        <v>289</v>
      </c>
      <c r="DO337" s="16" t="s">
        <v>83</v>
      </c>
    </row>
    <row r="338" spans="2:137" s="1" customFormat="1" ht="24.2" customHeight="1" x14ac:dyDescent="0.2">
      <c r="B338" s="124"/>
      <c r="C338" s="125" t="s">
        <v>521</v>
      </c>
      <c r="D338" s="125" t="s">
        <v>284</v>
      </c>
      <c r="E338" s="126" t="s">
        <v>532</v>
      </c>
      <c r="F338" s="127" t="s">
        <v>533</v>
      </c>
      <c r="G338" s="128" t="s">
        <v>287</v>
      </c>
      <c r="H338" s="129">
        <v>1994.67</v>
      </c>
      <c r="I338" s="130">
        <v>40.878739778868102</v>
      </c>
      <c r="J338" s="131">
        <f>ROUND(I338*H338,2)</f>
        <v>81539.600000000006</v>
      </c>
      <c r="K338" s="127" t="s">
        <v>293</v>
      </c>
      <c r="L338" s="198">
        <f>S338</f>
        <v>0</v>
      </c>
      <c r="M338" s="206">
        <f>ROUND(L338*I338,2)</f>
        <v>0</v>
      </c>
      <c r="N338" s="211">
        <f>N336</f>
        <v>-11.15099999999984</v>
      </c>
      <c r="O338" s="212">
        <f>ROUND(N338*I338,2)</f>
        <v>-455.84</v>
      </c>
      <c r="P338" s="207">
        <f>H338-L338-N338</f>
        <v>2005.8209999999999</v>
      </c>
      <c r="Q338" s="228">
        <f>ROUND(P338*I338,2)</f>
        <v>81995.429999999993</v>
      </c>
      <c r="R338" s="199"/>
      <c r="S338" s="200">
        <f>W338+Y338+AA338+AC338+AE338++AG338+AI338+AK338+AM338+AO338+AQ338+AS338+AU338+AW338</f>
        <v>0</v>
      </c>
      <c r="T338" s="200">
        <f>ROUND(S338*I338,2)</f>
        <v>0</v>
      </c>
      <c r="U338" s="200">
        <f>H338-S338</f>
        <v>1994.67</v>
      </c>
      <c r="V338" s="200">
        <f>ROUND(U338*I338,2)</f>
        <v>81539.600000000006</v>
      </c>
      <c r="W338" s="200"/>
      <c r="X338" s="200"/>
      <c r="Y338" s="200"/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0"/>
      <c r="AP338" s="200"/>
      <c r="AQ338" s="200"/>
      <c r="AR338" s="200"/>
      <c r="AS338" s="200"/>
      <c r="AT338" s="200"/>
      <c r="AU338" s="200"/>
      <c r="AV338" s="200"/>
      <c r="AW338" s="200"/>
      <c r="AX338" s="200"/>
      <c r="CG338" s="132" t="s">
        <v>1</v>
      </c>
      <c r="CH338" s="133" t="s">
        <v>40</v>
      </c>
      <c r="CJ338" s="134">
        <f>CI338*H338</f>
        <v>0</v>
      </c>
      <c r="CK338" s="134">
        <v>0</v>
      </c>
      <c r="CL338" s="134">
        <f>CK338*H338</f>
        <v>0</v>
      </c>
      <c r="CM338" s="134">
        <v>0</v>
      </c>
      <c r="CN338" s="135">
        <f>CM338*H338</f>
        <v>0</v>
      </c>
      <c r="DL338" s="136" t="s">
        <v>95</v>
      </c>
      <c r="DN338" s="136" t="s">
        <v>284</v>
      </c>
      <c r="DO338" s="136" t="s">
        <v>83</v>
      </c>
      <c r="DS338" s="16" t="s">
        <v>282</v>
      </c>
      <c r="DY338" s="137">
        <f>IF(CH338="základní",J338,0)</f>
        <v>81539.600000000006</v>
      </c>
      <c r="DZ338" s="137">
        <f>IF(CH338="snížená",J338,0)</f>
        <v>0</v>
      </c>
      <c r="EA338" s="137">
        <f>IF(CH338="zákl. přenesená",J338,0)</f>
        <v>0</v>
      </c>
      <c r="EB338" s="137">
        <f>IF(CH338="sníž. přenesená",J338,0)</f>
        <v>0</v>
      </c>
      <c r="EC338" s="137">
        <f>IF(CH338="nulová",J338,0)</f>
        <v>0</v>
      </c>
      <c r="ED338" s="16" t="s">
        <v>81</v>
      </c>
      <c r="EE338" s="137">
        <f>ROUND(I338*H338,2)</f>
        <v>81539.600000000006</v>
      </c>
      <c r="EF338" s="16" t="s">
        <v>95</v>
      </c>
      <c r="EG338" s="136" t="s">
        <v>534</v>
      </c>
    </row>
    <row r="339" spans="2:137" s="1" customFormat="1" ht="19.5" x14ac:dyDescent="0.2">
      <c r="B339" s="31"/>
      <c r="D339" s="138" t="s">
        <v>289</v>
      </c>
      <c r="F339" s="139" t="s">
        <v>535</v>
      </c>
      <c r="I339" s="140"/>
      <c r="L339" s="31"/>
      <c r="N339" s="213"/>
      <c r="O339" s="214"/>
      <c r="Q339" s="229"/>
      <c r="CG339" s="141"/>
      <c r="CN339" s="50"/>
      <c r="DN339" s="16" t="s">
        <v>289</v>
      </c>
      <c r="DO339" s="16" t="s">
        <v>83</v>
      </c>
    </row>
    <row r="340" spans="2:137" s="1" customFormat="1" ht="24.2" customHeight="1" x14ac:dyDescent="0.2">
      <c r="B340" s="124"/>
      <c r="C340" s="125" t="s">
        <v>526</v>
      </c>
      <c r="D340" s="125" t="s">
        <v>284</v>
      </c>
      <c r="E340" s="126" t="s">
        <v>537</v>
      </c>
      <c r="F340" s="127" t="s">
        <v>538</v>
      </c>
      <c r="G340" s="128" t="s">
        <v>287</v>
      </c>
      <c r="H340" s="129">
        <v>1994.67</v>
      </c>
      <c r="I340" s="130">
        <v>362.67856108310502</v>
      </c>
      <c r="J340" s="131">
        <f>ROUND(I340*H340,2)</f>
        <v>723424.05</v>
      </c>
      <c r="K340" s="127" t="s">
        <v>293</v>
      </c>
      <c r="L340" s="198">
        <f>S340</f>
        <v>0</v>
      </c>
      <c r="M340" s="206">
        <f>ROUND(L340*I340,2)</f>
        <v>0</v>
      </c>
      <c r="N340" s="211">
        <f>N336</f>
        <v>-11.15099999999984</v>
      </c>
      <c r="O340" s="212">
        <f>ROUND(N340*I340,2)</f>
        <v>-4044.23</v>
      </c>
      <c r="P340" s="207">
        <f>H340-L340-N340</f>
        <v>2005.8209999999999</v>
      </c>
      <c r="Q340" s="228">
        <f>ROUND(P340*I340,2)</f>
        <v>727468.27</v>
      </c>
      <c r="R340" s="199"/>
      <c r="S340" s="200">
        <f>W340+Y340+AA340+AC340+AE340++AG340+AI340+AK340+AM340+AO340+AQ340+AS340+AU340+AW340</f>
        <v>0</v>
      </c>
      <c r="T340" s="200">
        <f>ROUND(S340*I340,2)</f>
        <v>0</v>
      </c>
      <c r="U340" s="200">
        <f>H340-S340</f>
        <v>1994.67</v>
      </c>
      <c r="V340" s="200">
        <f>ROUND(U340*I340,2)</f>
        <v>723424.05</v>
      </c>
      <c r="W340" s="200"/>
      <c r="X340" s="200"/>
      <c r="Y340" s="200"/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0"/>
      <c r="AP340" s="200"/>
      <c r="AQ340" s="200"/>
      <c r="AR340" s="200"/>
      <c r="AS340" s="200"/>
      <c r="AT340" s="200"/>
      <c r="AU340" s="200"/>
      <c r="AV340" s="200"/>
      <c r="AW340" s="200"/>
      <c r="AX340" s="200"/>
      <c r="CG340" s="132" t="s">
        <v>1</v>
      </c>
      <c r="CH340" s="133" t="s">
        <v>40</v>
      </c>
      <c r="CJ340" s="134">
        <f>CI340*H340</f>
        <v>0</v>
      </c>
      <c r="CK340" s="134">
        <v>0</v>
      </c>
      <c r="CL340" s="134">
        <f>CK340*H340</f>
        <v>0</v>
      </c>
      <c r="CM340" s="134">
        <v>0</v>
      </c>
      <c r="CN340" s="135">
        <f>CM340*H340</f>
        <v>0</v>
      </c>
      <c r="DL340" s="136" t="s">
        <v>95</v>
      </c>
      <c r="DN340" s="136" t="s">
        <v>284</v>
      </c>
      <c r="DO340" s="136" t="s">
        <v>83</v>
      </c>
      <c r="DS340" s="16" t="s">
        <v>282</v>
      </c>
      <c r="DY340" s="137">
        <f>IF(CH340="základní",J340,0)</f>
        <v>723424.05</v>
      </c>
      <c r="DZ340" s="137">
        <f>IF(CH340="snížená",J340,0)</f>
        <v>0</v>
      </c>
      <c r="EA340" s="137">
        <f>IF(CH340="zákl. přenesená",J340,0)</f>
        <v>0</v>
      </c>
      <c r="EB340" s="137">
        <f>IF(CH340="sníž. přenesená",J340,0)</f>
        <v>0</v>
      </c>
      <c r="EC340" s="137">
        <f>IF(CH340="nulová",J340,0)</f>
        <v>0</v>
      </c>
      <c r="ED340" s="16" t="s">
        <v>81</v>
      </c>
      <c r="EE340" s="137">
        <f>ROUND(I340*H340,2)</f>
        <v>723424.05</v>
      </c>
      <c r="EF340" s="16" t="s">
        <v>95</v>
      </c>
      <c r="EG340" s="136" t="s">
        <v>539</v>
      </c>
    </row>
    <row r="341" spans="2:137" s="1" customFormat="1" ht="29.25" x14ac:dyDescent="0.2">
      <c r="B341" s="31"/>
      <c r="D341" s="138" t="s">
        <v>289</v>
      </c>
      <c r="F341" s="139" t="s">
        <v>540</v>
      </c>
      <c r="I341" s="140"/>
      <c r="L341" s="31"/>
      <c r="N341" s="213"/>
      <c r="O341" s="214"/>
      <c r="Q341" s="229"/>
      <c r="CG341" s="141"/>
      <c r="CN341" s="50"/>
      <c r="DN341" s="16" t="s">
        <v>289</v>
      </c>
      <c r="DO341" s="16" t="s">
        <v>83</v>
      </c>
    </row>
    <row r="342" spans="2:137" s="1" customFormat="1" ht="29.25" x14ac:dyDescent="0.2">
      <c r="B342" s="31"/>
      <c r="D342" s="138" t="s">
        <v>299</v>
      </c>
      <c r="F342" s="142" t="s">
        <v>1426</v>
      </c>
      <c r="I342" s="140"/>
      <c r="L342" s="31"/>
      <c r="N342" s="213"/>
      <c r="O342" s="214"/>
      <c r="Q342" s="229"/>
      <c r="CG342" s="141"/>
      <c r="CN342" s="50"/>
      <c r="DN342" s="16" t="s">
        <v>299</v>
      </c>
      <c r="DO342" s="16" t="s">
        <v>83</v>
      </c>
    </row>
    <row r="343" spans="2:137" s="11" customFormat="1" x14ac:dyDescent="0.2">
      <c r="B343" s="143"/>
      <c r="D343" s="138" t="s">
        <v>301</v>
      </c>
      <c r="E343" s="144" t="s">
        <v>1</v>
      </c>
      <c r="F343" s="145" t="s">
        <v>541</v>
      </c>
      <c r="H343" s="144" t="s">
        <v>1</v>
      </c>
      <c r="I343" s="146"/>
      <c r="L343" s="143"/>
      <c r="N343" s="215"/>
      <c r="O343" s="216"/>
      <c r="Q343" s="230"/>
      <c r="CG343" s="147"/>
      <c r="CN343" s="148"/>
      <c r="DN343" s="144" t="s">
        <v>301</v>
      </c>
      <c r="DO343" s="144" t="s">
        <v>83</v>
      </c>
      <c r="DP343" s="11" t="s">
        <v>81</v>
      </c>
      <c r="DQ343" s="11" t="s">
        <v>32</v>
      </c>
      <c r="DR343" s="11" t="s">
        <v>74</v>
      </c>
      <c r="DS343" s="144" t="s">
        <v>282</v>
      </c>
    </row>
    <row r="344" spans="2:137" s="12" customFormat="1" x14ac:dyDescent="0.2">
      <c r="B344" s="149"/>
      <c r="D344" s="138" t="s">
        <v>301</v>
      </c>
      <c r="E344" s="150" t="s">
        <v>1</v>
      </c>
      <c r="F344" s="151" t="s">
        <v>1488</v>
      </c>
      <c r="H344" s="152">
        <v>1994.67</v>
      </c>
      <c r="I344" s="153"/>
      <c r="L344" s="149"/>
      <c r="N344" s="217"/>
      <c r="O344" s="218"/>
      <c r="Q344" s="231"/>
      <c r="CG344" s="154"/>
      <c r="CN344" s="155"/>
      <c r="DN344" s="150" t="s">
        <v>301</v>
      </c>
      <c r="DO344" s="150" t="s">
        <v>83</v>
      </c>
      <c r="DP344" s="12" t="s">
        <v>83</v>
      </c>
      <c r="DQ344" s="12" t="s">
        <v>32</v>
      </c>
      <c r="DR344" s="12" t="s">
        <v>81</v>
      </c>
      <c r="DS344" s="150" t="s">
        <v>282</v>
      </c>
    </row>
    <row r="345" spans="2:137" s="1" customFormat="1" ht="14.45" customHeight="1" x14ac:dyDescent="0.2">
      <c r="B345" s="124"/>
      <c r="C345" s="125" t="s">
        <v>531</v>
      </c>
      <c r="D345" s="125" t="s">
        <v>284</v>
      </c>
      <c r="E345" s="126" t="s">
        <v>544</v>
      </c>
      <c r="F345" s="127" t="s">
        <v>545</v>
      </c>
      <c r="G345" s="128" t="s">
        <v>287</v>
      </c>
      <c r="H345" s="129">
        <v>6676</v>
      </c>
      <c r="I345" s="130">
        <v>18.105699236185</v>
      </c>
      <c r="J345" s="131">
        <f>ROUND(I345*H345,2)</f>
        <v>120873.65</v>
      </c>
      <c r="K345" s="127" t="s">
        <v>293</v>
      </c>
      <c r="L345" s="198">
        <f>S345</f>
        <v>0</v>
      </c>
      <c r="M345" s="206">
        <f>ROUND(L345*I345,2)</f>
        <v>0</v>
      </c>
      <c r="N345" s="211">
        <f>N147</f>
        <v>-40.519999999999527</v>
      </c>
      <c r="O345" s="212">
        <f>ROUND(N345*I345,2)</f>
        <v>-733.64</v>
      </c>
      <c r="P345" s="207">
        <f>H345-L345-N345</f>
        <v>6716.5199999999995</v>
      </c>
      <c r="Q345" s="228">
        <f>ROUND(P345*I345,2)</f>
        <v>121607.29</v>
      </c>
      <c r="R345" s="199"/>
      <c r="S345" s="200">
        <f>W345+Y345+AA345+AC345+AE345++AG345+AI345+AK345+AM345+AO345+AQ345+AS345+AU345+AW345</f>
        <v>0</v>
      </c>
      <c r="T345" s="200">
        <f>ROUND(S345*I345,2)</f>
        <v>0</v>
      </c>
      <c r="U345" s="200">
        <f>H345-S345</f>
        <v>6676</v>
      </c>
      <c r="V345" s="200">
        <f>ROUND(U345*I345,2)</f>
        <v>120873.65</v>
      </c>
      <c r="W345" s="200"/>
      <c r="X345" s="200"/>
      <c r="Y345" s="200"/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0"/>
      <c r="AP345" s="200"/>
      <c r="AQ345" s="200"/>
      <c r="AR345" s="200"/>
      <c r="AS345" s="200"/>
      <c r="AT345" s="200"/>
      <c r="AU345" s="200"/>
      <c r="AV345" s="200"/>
      <c r="AW345" s="200"/>
      <c r="AX345" s="200"/>
      <c r="CG345" s="132" t="s">
        <v>1</v>
      </c>
      <c r="CH345" s="133" t="s">
        <v>40</v>
      </c>
      <c r="CJ345" s="134">
        <f>CI345*H345</f>
        <v>0</v>
      </c>
      <c r="CK345" s="134">
        <v>0</v>
      </c>
      <c r="CL345" s="134">
        <f>CK345*H345</f>
        <v>0</v>
      </c>
      <c r="CM345" s="134">
        <v>0</v>
      </c>
      <c r="CN345" s="135">
        <f>CM345*H345</f>
        <v>0</v>
      </c>
      <c r="DL345" s="136" t="s">
        <v>95</v>
      </c>
      <c r="DN345" s="136" t="s">
        <v>284</v>
      </c>
      <c r="DO345" s="136" t="s">
        <v>83</v>
      </c>
      <c r="DS345" s="16" t="s">
        <v>282</v>
      </c>
      <c r="DY345" s="137">
        <f>IF(CH345="základní",J345,0)</f>
        <v>120873.65</v>
      </c>
      <c r="DZ345" s="137">
        <f>IF(CH345="snížená",J345,0)</f>
        <v>0</v>
      </c>
      <c r="EA345" s="137">
        <f>IF(CH345="zákl. přenesená",J345,0)</f>
        <v>0</v>
      </c>
      <c r="EB345" s="137">
        <f>IF(CH345="sníž. přenesená",J345,0)</f>
        <v>0</v>
      </c>
      <c r="EC345" s="137">
        <f>IF(CH345="nulová",J345,0)</f>
        <v>0</v>
      </c>
      <c r="ED345" s="16" t="s">
        <v>81</v>
      </c>
      <c r="EE345" s="137">
        <f>ROUND(I345*H345,2)</f>
        <v>120873.65</v>
      </c>
      <c r="EF345" s="16" t="s">
        <v>95</v>
      </c>
      <c r="EG345" s="136" t="s">
        <v>546</v>
      </c>
    </row>
    <row r="346" spans="2:137" s="1" customFormat="1" ht="19.5" x14ac:dyDescent="0.2">
      <c r="B346" s="31"/>
      <c r="D346" s="138" t="s">
        <v>289</v>
      </c>
      <c r="F346" s="139" t="s">
        <v>547</v>
      </c>
      <c r="I346" s="140"/>
      <c r="L346" s="31"/>
      <c r="N346" s="213"/>
      <c r="O346" s="214"/>
      <c r="Q346" s="229"/>
      <c r="CG346" s="141"/>
      <c r="CN346" s="50"/>
      <c r="DN346" s="16" t="s">
        <v>289</v>
      </c>
      <c r="DO346" s="16" t="s">
        <v>83</v>
      </c>
    </row>
    <row r="347" spans="2:137" s="1" customFormat="1" ht="24.2" customHeight="1" x14ac:dyDescent="0.2">
      <c r="B347" s="124"/>
      <c r="C347" s="125" t="s">
        <v>536</v>
      </c>
      <c r="D347" s="125" t="s">
        <v>284</v>
      </c>
      <c r="E347" s="126" t="s">
        <v>549</v>
      </c>
      <c r="F347" s="127" t="s">
        <v>550</v>
      </c>
      <c r="G347" s="128" t="s">
        <v>287</v>
      </c>
      <c r="H347" s="129">
        <v>6676</v>
      </c>
      <c r="I347" s="130">
        <v>388.96896513366403</v>
      </c>
      <c r="J347" s="131">
        <f>ROUND(I347*H347,2)</f>
        <v>2596756.81</v>
      </c>
      <c r="K347" s="127" t="s">
        <v>293</v>
      </c>
      <c r="L347" s="198">
        <f>S347</f>
        <v>0</v>
      </c>
      <c r="M347" s="206">
        <f>ROUND(L347*I347,2)</f>
        <v>0</v>
      </c>
      <c r="N347" s="211">
        <f>N345</f>
        <v>-40.519999999999527</v>
      </c>
      <c r="O347" s="212">
        <f>ROUND(N347*I347,2)</f>
        <v>-15761.02</v>
      </c>
      <c r="P347" s="207">
        <f>H347-L347-N347</f>
        <v>6716.5199999999995</v>
      </c>
      <c r="Q347" s="228">
        <f>ROUND(P347*I347,2)</f>
        <v>2612517.83</v>
      </c>
      <c r="R347" s="199"/>
      <c r="S347" s="200">
        <f>W347+Y347+AA347+AC347+AE347++AG347+AI347+AK347+AM347+AO347+AQ347+AS347+AU347+AW347</f>
        <v>0</v>
      </c>
      <c r="T347" s="200">
        <f>ROUND(S347*I347,2)</f>
        <v>0</v>
      </c>
      <c r="U347" s="200">
        <f>H347-S347</f>
        <v>6676</v>
      </c>
      <c r="V347" s="200">
        <f>ROUND(U347*I347,2)</f>
        <v>2596756.81</v>
      </c>
      <c r="W347" s="200"/>
      <c r="X347" s="200"/>
      <c r="Y347" s="200"/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0"/>
      <c r="AP347" s="200"/>
      <c r="AQ347" s="200"/>
      <c r="AR347" s="200"/>
      <c r="AS347" s="200"/>
      <c r="AT347" s="200"/>
      <c r="AU347" s="200"/>
      <c r="AV347" s="200"/>
      <c r="AW347" s="200"/>
      <c r="AX347" s="200"/>
      <c r="CG347" s="132" t="s">
        <v>1</v>
      </c>
      <c r="CH347" s="133" t="s">
        <v>40</v>
      </c>
      <c r="CJ347" s="134">
        <f>CI347*H347</f>
        <v>0</v>
      </c>
      <c r="CK347" s="134">
        <v>0</v>
      </c>
      <c r="CL347" s="134">
        <f>CK347*H347</f>
        <v>0</v>
      </c>
      <c r="CM347" s="134">
        <v>0</v>
      </c>
      <c r="CN347" s="135">
        <f>CM347*H347</f>
        <v>0</v>
      </c>
      <c r="DL347" s="136" t="s">
        <v>95</v>
      </c>
      <c r="DN347" s="136" t="s">
        <v>284</v>
      </c>
      <c r="DO347" s="136" t="s">
        <v>83</v>
      </c>
      <c r="DS347" s="16" t="s">
        <v>282</v>
      </c>
      <c r="DY347" s="137">
        <f>IF(CH347="základní",J347,0)</f>
        <v>2596756.81</v>
      </c>
      <c r="DZ347" s="137">
        <f>IF(CH347="snížená",J347,0)</f>
        <v>0</v>
      </c>
      <c r="EA347" s="137">
        <f>IF(CH347="zákl. přenesená",J347,0)</f>
        <v>0</v>
      </c>
      <c r="EB347" s="137">
        <f>IF(CH347="sníž. přenesená",J347,0)</f>
        <v>0</v>
      </c>
      <c r="EC347" s="137">
        <f>IF(CH347="nulová",J347,0)</f>
        <v>0</v>
      </c>
      <c r="ED347" s="16" t="s">
        <v>81</v>
      </c>
      <c r="EE347" s="137">
        <f>ROUND(I347*H347,2)</f>
        <v>2596756.81</v>
      </c>
      <c r="EF347" s="16" t="s">
        <v>95</v>
      </c>
      <c r="EG347" s="136" t="s">
        <v>551</v>
      </c>
    </row>
    <row r="348" spans="2:137" s="1" customFormat="1" ht="29.25" x14ac:dyDescent="0.2">
      <c r="B348" s="31"/>
      <c r="D348" s="138" t="s">
        <v>289</v>
      </c>
      <c r="F348" s="139" t="s">
        <v>552</v>
      </c>
      <c r="I348" s="140"/>
      <c r="L348" s="31"/>
      <c r="N348" s="213"/>
      <c r="O348" s="214"/>
      <c r="Q348" s="229"/>
      <c r="CG348" s="141"/>
      <c r="CN348" s="50"/>
      <c r="DN348" s="16" t="s">
        <v>289</v>
      </c>
      <c r="DO348" s="16" t="s">
        <v>83</v>
      </c>
    </row>
    <row r="349" spans="2:137" s="1" customFormat="1" ht="29.25" x14ac:dyDescent="0.2">
      <c r="B349" s="31"/>
      <c r="D349" s="138" t="s">
        <v>299</v>
      </c>
      <c r="F349" s="142" t="s">
        <v>1426</v>
      </c>
      <c r="I349" s="140"/>
      <c r="L349" s="31"/>
      <c r="N349" s="213"/>
      <c r="O349" s="214"/>
      <c r="Q349" s="229"/>
      <c r="CG349" s="141"/>
      <c r="CN349" s="50"/>
      <c r="DN349" s="16" t="s">
        <v>299</v>
      </c>
      <c r="DO349" s="16" t="s">
        <v>83</v>
      </c>
    </row>
    <row r="350" spans="2:137" s="11" customFormat="1" x14ac:dyDescent="0.2">
      <c r="B350" s="143"/>
      <c r="D350" s="138" t="s">
        <v>301</v>
      </c>
      <c r="E350" s="144" t="s">
        <v>1</v>
      </c>
      <c r="F350" s="145" t="s">
        <v>553</v>
      </c>
      <c r="H350" s="144" t="s">
        <v>1</v>
      </c>
      <c r="I350" s="146"/>
      <c r="L350" s="143"/>
      <c r="N350" s="215"/>
      <c r="O350" s="216"/>
      <c r="Q350" s="230"/>
      <c r="CG350" s="147"/>
      <c r="CN350" s="148"/>
      <c r="DN350" s="144" t="s">
        <v>301</v>
      </c>
      <c r="DO350" s="144" t="s">
        <v>83</v>
      </c>
      <c r="DP350" s="11" t="s">
        <v>81</v>
      </c>
      <c r="DQ350" s="11" t="s">
        <v>32</v>
      </c>
      <c r="DR350" s="11" t="s">
        <v>74</v>
      </c>
      <c r="DS350" s="144" t="s">
        <v>282</v>
      </c>
    </row>
    <row r="351" spans="2:137" s="12" customFormat="1" x14ac:dyDescent="0.2">
      <c r="B351" s="149"/>
      <c r="D351" s="138" t="s">
        <v>301</v>
      </c>
      <c r="E351" s="150" t="s">
        <v>1</v>
      </c>
      <c r="F351" s="151" t="s">
        <v>1489</v>
      </c>
      <c r="H351" s="152">
        <v>6676</v>
      </c>
      <c r="I351" s="153"/>
      <c r="L351" s="149"/>
      <c r="N351" s="217"/>
      <c r="O351" s="218"/>
      <c r="Q351" s="231"/>
      <c r="CG351" s="154"/>
      <c r="CN351" s="155"/>
      <c r="DN351" s="150" t="s">
        <v>301</v>
      </c>
      <c r="DO351" s="150" t="s">
        <v>83</v>
      </c>
      <c r="DP351" s="12" t="s">
        <v>83</v>
      </c>
      <c r="DQ351" s="12" t="s">
        <v>32</v>
      </c>
      <c r="DR351" s="12" t="s">
        <v>81</v>
      </c>
      <c r="DS351" s="150" t="s">
        <v>282</v>
      </c>
    </row>
    <row r="352" spans="2:137" s="10" customFormat="1" ht="22.9" customHeight="1" x14ac:dyDescent="0.2">
      <c r="B352" s="112"/>
      <c r="D352" s="113" t="s">
        <v>73</v>
      </c>
      <c r="E352" s="122" t="s">
        <v>328</v>
      </c>
      <c r="F352" s="122" t="s">
        <v>555</v>
      </c>
      <c r="I352" s="115"/>
      <c r="J352" s="123">
        <f>EE352</f>
        <v>3331663.1400000011</v>
      </c>
      <c r="L352" s="112"/>
      <c r="M352" s="202">
        <f>SUM(M353:M488)</f>
        <v>0</v>
      </c>
      <c r="N352" s="211"/>
      <c r="O352" s="224">
        <f t="shared" ref="O352:V352" si="6">SUM(O353:O488)</f>
        <v>-20648.530000000002</v>
      </c>
      <c r="P352" s="202"/>
      <c r="Q352" s="234">
        <f t="shared" si="6"/>
        <v>3352311.6700000004</v>
      </c>
      <c r="R352" s="202"/>
      <c r="S352" s="202"/>
      <c r="T352" s="202">
        <f t="shared" si="6"/>
        <v>0</v>
      </c>
      <c r="U352" s="202"/>
      <c r="V352" s="202">
        <f t="shared" si="6"/>
        <v>3331663.1400000011</v>
      </c>
      <c r="CG352" s="117"/>
      <c r="CJ352" s="118">
        <f>SUM(CJ353:CJ489)</f>
        <v>0</v>
      </c>
      <c r="CL352" s="118">
        <f>SUM(CL353:CL489)</f>
        <v>288.65076209999995</v>
      </c>
      <c r="CN352" s="119">
        <f>SUM(CN353:CN489)</f>
        <v>0</v>
      </c>
      <c r="DL352" s="113" t="s">
        <v>81</v>
      </c>
      <c r="DN352" s="120" t="s">
        <v>73</v>
      </c>
      <c r="DO352" s="120" t="s">
        <v>81</v>
      </c>
      <c r="DS352" s="113" t="s">
        <v>282</v>
      </c>
      <c r="EE352" s="121">
        <f>SUM(EE353:EE489)</f>
        <v>3331663.1400000011</v>
      </c>
    </row>
    <row r="353" spans="2:137" s="1" customFormat="1" ht="24.2" customHeight="1" x14ac:dyDescent="0.2">
      <c r="B353" s="124"/>
      <c r="C353" s="125" t="s">
        <v>543</v>
      </c>
      <c r="D353" s="125" t="s">
        <v>284</v>
      </c>
      <c r="E353" s="126" t="s">
        <v>770</v>
      </c>
      <c r="F353" s="127" t="s">
        <v>771</v>
      </c>
      <c r="G353" s="128" t="s">
        <v>344</v>
      </c>
      <c r="H353" s="129">
        <v>1.5</v>
      </c>
      <c r="I353" s="130">
        <v>729.66571088016701</v>
      </c>
      <c r="J353" s="131">
        <f>ROUND(I353*H353,2)</f>
        <v>1094.5</v>
      </c>
      <c r="K353" s="127" t="s">
        <v>293</v>
      </c>
      <c r="L353" s="198">
        <f>S353</f>
        <v>0</v>
      </c>
      <c r="M353" s="206">
        <f>ROUND(L353*I353,2)</f>
        <v>0</v>
      </c>
      <c r="N353" s="211">
        <f>N356</f>
        <v>1.7999999999999998</v>
      </c>
      <c r="O353" s="212">
        <f>ROUND(N353*I353,2)</f>
        <v>1313.4</v>
      </c>
      <c r="P353" s="207">
        <f>H353-L353-N353</f>
        <v>-0.29999999999999982</v>
      </c>
      <c r="Q353" s="228">
        <f>ROUND(P353*I353,2)</f>
        <v>-218.9</v>
      </c>
      <c r="R353" s="199"/>
      <c r="S353" s="200">
        <f>W353+Y353+AA353+AC353+AE353++AG353+AI353+AK353+AM353+AO353+AQ353+AS353+AU353+AW353</f>
        <v>0</v>
      </c>
      <c r="T353" s="200">
        <f>ROUND(S353*I353,2)</f>
        <v>0</v>
      </c>
      <c r="U353" s="200">
        <f>H353-S353</f>
        <v>1.5</v>
      </c>
      <c r="V353" s="200">
        <f>ROUND(U353*I353,2)</f>
        <v>1094.5</v>
      </c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200"/>
      <c r="AT353" s="200"/>
      <c r="AU353" s="200"/>
      <c r="AV353" s="200"/>
      <c r="AW353" s="200"/>
      <c r="AX353" s="200"/>
      <c r="CG353" s="132" t="s">
        <v>1</v>
      </c>
      <c r="CH353" s="133" t="s">
        <v>40</v>
      </c>
      <c r="CJ353" s="134">
        <f>CI353*H353</f>
        <v>0</v>
      </c>
      <c r="CK353" s="134">
        <v>6.5599999999999999E-3</v>
      </c>
      <c r="CL353" s="134">
        <f>CK353*H353</f>
        <v>9.8399999999999998E-3</v>
      </c>
      <c r="CM353" s="134">
        <v>0</v>
      </c>
      <c r="CN353" s="135">
        <f>CM353*H353</f>
        <v>0</v>
      </c>
      <c r="DL353" s="136" t="s">
        <v>95</v>
      </c>
      <c r="DN353" s="136" t="s">
        <v>284</v>
      </c>
      <c r="DO353" s="136" t="s">
        <v>83</v>
      </c>
      <c r="DS353" s="16" t="s">
        <v>282</v>
      </c>
      <c r="DY353" s="137">
        <f>IF(CH353="základní",J353,0)</f>
        <v>1094.5</v>
      </c>
      <c r="DZ353" s="137">
        <f>IF(CH353="snížená",J353,0)</f>
        <v>0</v>
      </c>
      <c r="EA353" s="137">
        <f>IF(CH353="zákl. přenesená",J353,0)</f>
        <v>0</v>
      </c>
      <c r="EB353" s="137">
        <f>IF(CH353="sníž. přenesená",J353,0)</f>
        <v>0</v>
      </c>
      <c r="EC353" s="137">
        <f>IF(CH353="nulová",J353,0)</f>
        <v>0</v>
      </c>
      <c r="ED353" s="16" t="s">
        <v>81</v>
      </c>
      <c r="EE353" s="137">
        <f>ROUND(I353*H353,2)</f>
        <v>1094.5</v>
      </c>
      <c r="EF353" s="16" t="s">
        <v>95</v>
      </c>
      <c r="EG353" s="136" t="s">
        <v>772</v>
      </c>
    </row>
    <row r="354" spans="2:137" s="1" customFormat="1" ht="29.25" x14ac:dyDescent="0.2">
      <c r="B354" s="31"/>
      <c r="D354" s="138" t="s">
        <v>289</v>
      </c>
      <c r="F354" s="139" t="s">
        <v>773</v>
      </c>
      <c r="I354" s="140"/>
      <c r="L354" s="31"/>
      <c r="N354" s="213"/>
      <c r="O354" s="214"/>
      <c r="Q354" s="229"/>
      <c r="CG354" s="141"/>
      <c r="CN354" s="50"/>
      <c r="DN354" s="16" t="s">
        <v>289</v>
      </c>
      <c r="DO354" s="16" t="s">
        <v>83</v>
      </c>
    </row>
    <row r="355" spans="2:137" s="1" customFormat="1" ht="29.25" x14ac:dyDescent="0.2">
      <c r="B355" s="31"/>
      <c r="D355" s="138" t="s">
        <v>299</v>
      </c>
      <c r="F355" s="142" t="s">
        <v>1426</v>
      </c>
      <c r="I355" s="140"/>
      <c r="L355" s="31"/>
      <c r="N355" s="213"/>
      <c r="O355" s="214"/>
      <c r="Q355" s="229"/>
      <c r="CG355" s="141"/>
      <c r="CN355" s="50"/>
      <c r="DN355" s="16" t="s">
        <v>299</v>
      </c>
      <c r="DO355" s="16" t="s">
        <v>83</v>
      </c>
    </row>
    <row r="356" spans="2:137" s="12" customFormat="1" x14ac:dyDescent="0.2">
      <c r="B356" s="149"/>
      <c r="D356" s="138" t="s">
        <v>301</v>
      </c>
      <c r="E356" s="150" t="s">
        <v>1</v>
      </c>
      <c r="F356" s="151" t="s">
        <v>1490</v>
      </c>
      <c r="H356" s="152">
        <v>1.5</v>
      </c>
      <c r="I356" s="153"/>
      <c r="L356" s="149"/>
      <c r="N356" s="217">
        <f>3.3-1.5</f>
        <v>1.7999999999999998</v>
      </c>
      <c r="O356" s="359" t="s">
        <v>3499</v>
      </c>
      <c r="Q356" s="231"/>
      <c r="CG356" s="154"/>
      <c r="CN356" s="155"/>
      <c r="DN356" s="150" t="s">
        <v>301</v>
      </c>
      <c r="DO356" s="150" t="s">
        <v>83</v>
      </c>
      <c r="DP356" s="12" t="s">
        <v>83</v>
      </c>
      <c r="DQ356" s="12" t="s">
        <v>32</v>
      </c>
      <c r="DR356" s="12" t="s">
        <v>81</v>
      </c>
      <c r="DS356" s="150" t="s">
        <v>282</v>
      </c>
    </row>
    <row r="357" spans="2:137" s="1" customFormat="1" ht="24.2" customHeight="1" x14ac:dyDescent="0.2">
      <c r="B357" s="124"/>
      <c r="C357" s="125" t="s">
        <v>548</v>
      </c>
      <c r="D357" s="125" t="s">
        <v>284</v>
      </c>
      <c r="E357" s="126" t="s">
        <v>1491</v>
      </c>
      <c r="F357" s="127" t="s">
        <v>1492</v>
      </c>
      <c r="G357" s="128" t="s">
        <v>344</v>
      </c>
      <c r="H357" s="129">
        <v>40</v>
      </c>
      <c r="I357" s="130">
        <v>78.513202009701885</v>
      </c>
      <c r="J357" s="131">
        <f>ROUND(I357*H357,2)</f>
        <v>3140.53</v>
      </c>
      <c r="K357" s="127" t="s">
        <v>293</v>
      </c>
      <c r="L357" s="198">
        <f>S357</f>
        <v>0</v>
      </c>
      <c r="M357" s="206">
        <f>ROUND(L357*I357,2)</f>
        <v>0</v>
      </c>
      <c r="N357" s="211"/>
      <c r="O357" s="212">
        <f>ROUND(N357*I357,2)</f>
        <v>0</v>
      </c>
      <c r="P357" s="207">
        <f>H357-L357-N357</f>
        <v>40</v>
      </c>
      <c r="Q357" s="228">
        <f>ROUND(P357*I357,2)</f>
        <v>3140.53</v>
      </c>
      <c r="R357" s="199"/>
      <c r="S357" s="200">
        <f>W357+Y357+AA357+AC357+AE357++AG357+AI357+AK357+AM357+AO357+AQ357+AS357+AU357+AW357</f>
        <v>0</v>
      </c>
      <c r="T357" s="200">
        <f>ROUND(S357*I357,2)</f>
        <v>0</v>
      </c>
      <c r="U357" s="200">
        <f>H357-S357</f>
        <v>40</v>
      </c>
      <c r="V357" s="200">
        <f>ROUND(U357*I357,2)</f>
        <v>3140.53</v>
      </c>
      <c r="W357" s="200"/>
      <c r="X357" s="200"/>
      <c r="Y357" s="200"/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0"/>
      <c r="AP357" s="200"/>
      <c r="AQ357" s="200"/>
      <c r="AR357" s="200"/>
      <c r="AS357" s="200"/>
      <c r="AT357" s="200"/>
      <c r="AU357" s="200"/>
      <c r="AV357" s="200"/>
      <c r="AW357" s="200"/>
      <c r="AX357" s="200"/>
      <c r="CG357" s="132" t="s">
        <v>1</v>
      </c>
      <c r="CH357" s="133" t="s">
        <v>40</v>
      </c>
      <c r="CJ357" s="134">
        <f>CI357*H357</f>
        <v>0</v>
      </c>
      <c r="CK357" s="134">
        <v>0</v>
      </c>
      <c r="CL357" s="134">
        <f>CK357*H357</f>
        <v>0</v>
      </c>
      <c r="CM357" s="134">
        <v>0</v>
      </c>
      <c r="CN357" s="135">
        <f>CM357*H357</f>
        <v>0</v>
      </c>
      <c r="DL357" s="136" t="s">
        <v>95</v>
      </c>
      <c r="DN357" s="136" t="s">
        <v>284</v>
      </c>
      <c r="DO357" s="136" t="s">
        <v>83</v>
      </c>
      <c r="DS357" s="16" t="s">
        <v>282</v>
      </c>
      <c r="DY357" s="137">
        <f>IF(CH357="základní",J357,0)</f>
        <v>3140.53</v>
      </c>
      <c r="DZ357" s="137">
        <f>IF(CH357="snížená",J357,0)</f>
        <v>0</v>
      </c>
      <c r="EA357" s="137">
        <f>IF(CH357="zákl. přenesená",J357,0)</f>
        <v>0</v>
      </c>
      <c r="EB357" s="137">
        <f>IF(CH357="sníž. přenesená",J357,0)</f>
        <v>0</v>
      </c>
      <c r="EC357" s="137">
        <f>IF(CH357="nulová",J357,0)</f>
        <v>0</v>
      </c>
      <c r="ED357" s="16" t="s">
        <v>81</v>
      </c>
      <c r="EE357" s="137">
        <f>ROUND(I357*H357,2)</f>
        <v>3140.53</v>
      </c>
      <c r="EF357" s="16" t="s">
        <v>95</v>
      </c>
      <c r="EG357" s="136" t="s">
        <v>1493</v>
      </c>
    </row>
    <row r="358" spans="2:137" s="1" customFormat="1" ht="19.5" x14ac:dyDescent="0.2">
      <c r="B358" s="31"/>
      <c r="D358" s="138" t="s">
        <v>289</v>
      </c>
      <c r="F358" s="139" t="s">
        <v>1494</v>
      </c>
      <c r="I358" s="140"/>
      <c r="L358" s="31"/>
      <c r="N358" s="213"/>
      <c r="O358" s="214"/>
      <c r="Q358" s="229"/>
      <c r="CG358" s="141"/>
      <c r="CN358" s="50"/>
      <c r="DN358" s="16" t="s">
        <v>289</v>
      </c>
      <c r="DO358" s="16" t="s">
        <v>83</v>
      </c>
    </row>
    <row r="359" spans="2:137" s="1" customFormat="1" ht="29.25" x14ac:dyDescent="0.2">
      <c r="B359" s="31"/>
      <c r="D359" s="138" t="s">
        <v>299</v>
      </c>
      <c r="F359" s="142" t="s">
        <v>1426</v>
      </c>
      <c r="I359" s="140"/>
      <c r="L359" s="31"/>
      <c r="N359" s="213"/>
      <c r="O359" s="214"/>
      <c r="Q359" s="229"/>
      <c r="CG359" s="141"/>
      <c r="CN359" s="50"/>
      <c r="DN359" s="16" t="s">
        <v>299</v>
      </c>
      <c r="DO359" s="16" t="s">
        <v>83</v>
      </c>
    </row>
    <row r="360" spans="2:137" s="12" customFormat="1" x14ac:dyDescent="0.2">
      <c r="B360" s="149"/>
      <c r="D360" s="138" t="s">
        <v>301</v>
      </c>
      <c r="E360" s="150" t="s">
        <v>1</v>
      </c>
      <c r="F360" s="151" t="s">
        <v>1495</v>
      </c>
      <c r="H360" s="152">
        <v>40</v>
      </c>
      <c r="I360" s="153"/>
      <c r="L360" s="149"/>
      <c r="N360" s="217">
        <f>40.13-40</f>
        <v>0.13000000000000256</v>
      </c>
      <c r="O360" s="359" t="s">
        <v>3500</v>
      </c>
      <c r="Q360" s="231"/>
      <c r="CG360" s="154"/>
      <c r="CN360" s="155"/>
      <c r="DN360" s="150" t="s">
        <v>301</v>
      </c>
      <c r="DO360" s="150" t="s">
        <v>83</v>
      </c>
      <c r="DP360" s="12" t="s">
        <v>83</v>
      </c>
      <c r="DQ360" s="12" t="s">
        <v>32</v>
      </c>
      <c r="DR360" s="12" t="s">
        <v>81</v>
      </c>
      <c r="DS360" s="150" t="s">
        <v>282</v>
      </c>
    </row>
    <row r="361" spans="2:137" s="1" customFormat="1" ht="24.2" customHeight="1" x14ac:dyDescent="0.2">
      <c r="B361" s="124"/>
      <c r="C361" s="170" t="s">
        <v>556</v>
      </c>
      <c r="D361" s="170" t="s">
        <v>439</v>
      </c>
      <c r="E361" s="171" t="s">
        <v>1496</v>
      </c>
      <c r="F361" s="172" t="s">
        <v>1497</v>
      </c>
      <c r="G361" s="173" t="s">
        <v>344</v>
      </c>
      <c r="H361" s="174">
        <v>42</v>
      </c>
      <c r="I361" s="175">
        <v>1326.1019799999999</v>
      </c>
      <c r="J361" s="176">
        <f>ROUND(I361*H361,2)</f>
        <v>55696.28</v>
      </c>
      <c r="K361" s="172" t="s">
        <v>293</v>
      </c>
      <c r="L361" s="198">
        <f>S361</f>
        <v>0</v>
      </c>
      <c r="M361" s="206">
        <f>ROUND(L361*I361,2)</f>
        <v>0</v>
      </c>
      <c r="N361" s="211">
        <f>N364</f>
        <v>0.13650000000000517</v>
      </c>
      <c r="O361" s="212">
        <f>ROUND(N361*I361,2)</f>
        <v>181.01</v>
      </c>
      <c r="P361" s="207">
        <f>H361-L361-N361</f>
        <v>41.863499999999995</v>
      </c>
      <c r="Q361" s="228">
        <f>ROUND(P361*I361,2)</f>
        <v>55515.27</v>
      </c>
      <c r="R361" s="199"/>
      <c r="S361" s="200">
        <f>W361+Y361+AA361+AC361+AE361++AG361+AI361+AK361+AM361+AO361+AQ361+AS361+AU361+AW361</f>
        <v>0</v>
      </c>
      <c r="T361" s="200">
        <f>ROUND(S361*I361,2)</f>
        <v>0</v>
      </c>
      <c r="U361" s="200">
        <f>H361-S361</f>
        <v>42</v>
      </c>
      <c r="V361" s="200">
        <f>ROUND(U361*I361,2)</f>
        <v>55696.28</v>
      </c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77" t="s">
        <v>1</v>
      </c>
      <c r="CH361" s="178" t="s">
        <v>40</v>
      </c>
      <c r="CJ361" s="134">
        <f>CI361*H361</f>
        <v>0</v>
      </c>
      <c r="CK361" s="134">
        <v>1.14E-2</v>
      </c>
      <c r="CL361" s="134">
        <f>CK361*H361</f>
        <v>0.4788</v>
      </c>
      <c r="CM361" s="134">
        <v>0</v>
      </c>
      <c r="CN361" s="135">
        <f>CM361*H361</f>
        <v>0</v>
      </c>
      <c r="DL361" s="136" t="s">
        <v>328</v>
      </c>
      <c r="DN361" s="136" t="s">
        <v>439</v>
      </c>
      <c r="DO361" s="136" t="s">
        <v>83</v>
      </c>
      <c r="DS361" s="16" t="s">
        <v>282</v>
      </c>
      <c r="DY361" s="137">
        <f>IF(CH361="základní",J361,0)</f>
        <v>55696.28</v>
      </c>
      <c r="DZ361" s="137">
        <f>IF(CH361="snížená",J361,0)</f>
        <v>0</v>
      </c>
      <c r="EA361" s="137">
        <f>IF(CH361="zákl. přenesená",J361,0)</f>
        <v>0</v>
      </c>
      <c r="EB361" s="137">
        <f>IF(CH361="sníž. přenesená",J361,0)</f>
        <v>0</v>
      </c>
      <c r="EC361" s="137">
        <f>IF(CH361="nulová",J361,0)</f>
        <v>0</v>
      </c>
      <c r="ED361" s="16" t="s">
        <v>81</v>
      </c>
      <c r="EE361" s="137">
        <f>ROUND(I361*H361,2)</f>
        <v>55696.28</v>
      </c>
      <c r="EF361" s="16" t="s">
        <v>95</v>
      </c>
      <c r="EG361" s="136" t="s">
        <v>1498</v>
      </c>
    </row>
    <row r="362" spans="2:137" s="1" customFormat="1" ht="19.5" x14ac:dyDescent="0.2">
      <c r="B362" s="31"/>
      <c r="D362" s="138" t="s">
        <v>289</v>
      </c>
      <c r="F362" s="139" t="s">
        <v>1497</v>
      </c>
      <c r="I362" s="140"/>
      <c r="L362" s="31"/>
      <c r="N362" s="213"/>
      <c r="O362" s="214"/>
      <c r="Q362" s="229"/>
      <c r="CG362" s="141"/>
      <c r="CN362" s="50"/>
      <c r="DN362" s="16" t="s">
        <v>289</v>
      </c>
      <c r="DO362" s="16" t="s">
        <v>83</v>
      </c>
    </row>
    <row r="363" spans="2:137" s="12" customFormat="1" x14ac:dyDescent="0.2">
      <c r="B363" s="149"/>
      <c r="D363" s="138" t="s">
        <v>301</v>
      </c>
      <c r="F363" s="151" t="s">
        <v>1499</v>
      </c>
      <c r="H363" s="152">
        <v>42</v>
      </c>
      <c r="I363" s="153"/>
      <c r="L363" s="149"/>
      <c r="N363" s="217">
        <f>40.13*1.05</f>
        <v>42.136500000000005</v>
      </c>
      <c r="O363" s="359" t="s">
        <v>3462</v>
      </c>
      <c r="Q363" s="231"/>
      <c r="CG363" s="154"/>
      <c r="CN363" s="155"/>
      <c r="DN363" s="150" t="s">
        <v>301</v>
      </c>
      <c r="DO363" s="150" t="s">
        <v>83</v>
      </c>
      <c r="DP363" s="12" t="s">
        <v>83</v>
      </c>
      <c r="DQ363" s="12" t="s">
        <v>3</v>
      </c>
      <c r="DR363" s="12" t="s">
        <v>81</v>
      </c>
      <c r="DS363" s="150" t="s">
        <v>282</v>
      </c>
    </row>
    <row r="364" spans="2:137" s="12" customFormat="1" x14ac:dyDescent="0.2">
      <c r="B364" s="149"/>
      <c r="D364" s="138"/>
      <c r="F364" s="151"/>
      <c r="H364" s="152"/>
      <c r="I364" s="153"/>
      <c r="L364" s="149"/>
      <c r="N364" s="310">
        <f>N363-H363</f>
        <v>0.13650000000000517</v>
      </c>
      <c r="O364" s="359"/>
      <c r="Q364" s="231"/>
      <c r="CG364" s="154"/>
      <c r="CN364" s="155"/>
      <c r="DN364" s="150"/>
      <c r="DO364" s="150"/>
      <c r="DS364" s="150"/>
    </row>
    <row r="365" spans="2:137" s="1" customFormat="1" ht="24.2" customHeight="1" x14ac:dyDescent="0.2">
      <c r="B365" s="124"/>
      <c r="C365" s="125" t="s">
        <v>562</v>
      </c>
      <c r="D365" s="125" t="s">
        <v>284</v>
      </c>
      <c r="E365" s="126" t="s">
        <v>557</v>
      </c>
      <c r="F365" s="127" t="s">
        <v>558</v>
      </c>
      <c r="G365" s="128" t="s">
        <v>344</v>
      </c>
      <c r="H365" s="129">
        <v>1562</v>
      </c>
      <c r="I365" s="130">
        <v>850.78954015145496</v>
      </c>
      <c r="J365" s="131">
        <f>ROUND(I365*H365,2)</f>
        <v>1328933.26</v>
      </c>
      <c r="K365" s="127" t="s">
        <v>293</v>
      </c>
      <c r="L365" s="198">
        <f>S365</f>
        <v>0</v>
      </c>
      <c r="M365" s="206">
        <f>ROUND(L365*I365,2)</f>
        <v>0</v>
      </c>
      <c r="N365" s="211">
        <f>N368</f>
        <v>-9.2300000000000182</v>
      </c>
      <c r="O365" s="212">
        <f>ROUND(N365*I365,2)</f>
        <v>-7852.79</v>
      </c>
      <c r="P365" s="207">
        <f>H365-L365-N365</f>
        <v>1571.23</v>
      </c>
      <c r="Q365" s="228">
        <f>ROUND(P365*I365,2)</f>
        <v>1336786.05</v>
      </c>
      <c r="R365" s="199"/>
      <c r="S365" s="200">
        <f>W365+Y365+AA365+AC365+AE365++AG365+AI365+AK365+AM365+AO365+AQ365+AS365+AU365+AW365</f>
        <v>0</v>
      </c>
      <c r="T365" s="200">
        <f>ROUND(S365*I365,2)</f>
        <v>0</v>
      </c>
      <c r="U365" s="200">
        <f>H365-S365</f>
        <v>1562</v>
      </c>
      <c r="V365" s="200">
        <f>ROUND(U365*I365,2)</f>
        <v>1328933.26</v>
      </c>
      <c r="W365" s="200"/>
      <c r="X365" s="200"/>
      <c r="Y365" s="200"/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0"/>
      <c r="AP365" s="200"/>
      <c r="AQ365" s="200"/>
      <c r="AR365" s="200"/>
      <c r="AS365" s="200"/>
      <c r="AT365" s="200"/>
      <c r="AU365" s="200"/>
      <c r="AV365" s="200"/>
      <c r="AW365" s="200"/>
      <c r="AX365" s="200"/>
      <c r="CG365" s="132" t="s">
        <v>1</v>
      </c>
      <c r="CH365" s="133" t="s">
        <v>40</v>
      </c>
      <c r="CJ365" s="134">
        <f>CI365*H365</f>
        <v>0</v>
      </c>
      <c r="CK365" s="134">
        <v>1.323E-2</v>
      </c>
      <c r="CL365" s="134">
        <f>CK365*H365</f>
        <v>20.66526</v>
      </c>
      <c r="CM365" s="134">
        <v>0</v>
      </c>
      <c r="CN365" s="135">
        <f>CM365*H365</f>
        <v>0</v>
      </c>
      <c r="DL365" s="136" t="s">
        <v>95</v>
      </c>
      <c r="DN365" s="136" t="s">
        <v>284</v>
      </c>
      <c r="DO365" s="136" t="s">
        <v>83</v>
      </c>
      <c r="DS365" s="16" t="s">
        <v>282</v>
      </c>
      <c r="DY365" s="137">
        <f>IF(CH365="základní",J365,0)</f>
        <v>1328933.26</v>
      </c>
      <c r="DZ365" s="137">
        <f>IF(CH365="snížená",J365,0)</f>
        <v>0</v>
      </c>
      <c r="EA365" s="137">
        <f>IF(CH365="zákl. přenesená",J365,0)</f>
        <v>0</v>
      </c>
      <c r="EB365" s="137">
        <f>IF(CH365="sníž. přenesená",J365,0)</f>
        <v>0</v>
      </c>
      <c r="EC365" s="137">
        <f>IF(CH365="nulová",J365,0)</f>
        <v>0</v>
      </c>
      <c r="ED365" s="16" t="s">
        <v>81</v>
      </c>
      <c r="EE365" s="137">
        <f>ROUND(I365*H365,2)</f>
        <v>1328933.26</v>
      </c>
      <c r="EF365" s="16" t="s">
        <v>95</v>
      </c>
      <c r="EG365" s="136" t="s">
        <v>559</v>
      </c>
    </row>
    <row r="366" spans="2:137" s="1" customFormat="1" ht="29.25" x14ac:dyDescent="0.2">
      <c r="B366" s="31"/>
      <c r="D366" s="138" t="s">
        <v>289</v>
      </c>
      <c r="F366" s="139" t="s">
        <v>560</v>
      </c>
      <c r="I366" s="140"/>
      <c r="L366" s="31"/>
      <c r="N366" s="213"/>
      <c r="O366" s="214"/>
      <c r="Q366" s="229"/>
      <c r="CG366" s="141"/>
      <c r="CN366" s="50"/>
      <c r="DN366" s="16" t="s">
        <v>289</v>
      </c>
      <c r="DO366" s="16" t="s">
        <v>83</v>
      </c>
    </row>
    <row r="367" spans="2:137" s="1" customFormat="1" ht="29.25" x14ac:dyDescent="0.2">
      <c r="B367" s="31"/>
      <c r="D367" s="138" t="s">
        <v>299</v>
      </c>
      <c r="F367" s="142" t="s">
        <v>1426</v>
      </c>
      <c r="I367" s="140"/>
      <c r="L367" s="31"/>
      <c r="N367" s="213"/>
      <c r="O367" s="214"/>
      <c r="Q367" s="229"/>
      <c r="CG367" s="141"/>
      <c r="CN367" s="50"/>
      <c r="DN367" s="16" t="s">
        <v>299</v>
      </c>
      <c r="DO367" s="16" t="s">
        <v>83</v>
      </c>
    </row>
    <row r="368" spans="2:137" s="12" customFormat="1" x14ac:dyDescent="0.2">
      <c r="B368" s="149"/>
      <c r="D368" s="138" t="s">
        <v>301</v>
      </c>
      <c r="E368" s="150" t="s">
        <v>1</v>
      </c>
      <c r="F368" s="151" t="s">
        <v>1500</v>
      </c>
      <c r="H368" s="152">
        <v>1562</v>
      </c>
      <c r="I368" s="153"/>
      <c r="L368" s="149"/>
      <c r="N368" s="217">
        <f>1552.77-1562</f>
        <v>-9.2300000000000182</v>
      </c>
      <c r="O368" s="359" t="s">
        <v>3501</v>
      </c>
      <c r="Q368" s="231"/>
      <c r="CG368" s="154"/>
      <c r="CN368" s="155"/>
      <c r="DN368" s="150" t="s">
        <v>301</v>
      </c>
      <c r="DO368" s="150" t="s">
        <v>83</v>
      </c>
      <c r="DP368" s="12" t="s">
        <v>83</v>
      </c>
      <c r="DQ368" s="12" t="s">
        <v>32</v>
      </c>
      <c r="DR368" s="12" t="s">
        <v>81</v>
      </c>
      <c r="DS368" s="150" t="s">
        <v>282</v>
      </c>
    </row>
    <row r="369" spans="2:137" s="1" customFormat="1" ht="24.2" customHeight="1" x14ac:dyDescent="0.2">
      <c r="B369" s="124"/>
      <c r="C369" s="125" t="s">
        <v>568</v>
      </c>
      <c r="D369" s="125" t="s">
        <v>284</v>
      </c>
      <c r="E369" s="126" t="s">
        <v>1501</v>
      </c>
      <c r="F369" s="127" t="s">
        <v>1502</v>
      </c>
      <c r="G369" s="128" t="s">
        <v>344</v>
      </c>
      <c r="H369" s="129">
        <v>50</v>
      </c>
      <c r="I369" s="130">
        <v>213.88765284829205</v>
      </c>
      <c r="J369" s="131">
        <f>ROUND(I369*H369,2)</f>
        <v>10694.38</v>
      </c>
      <c r="K369" s="127" t="s">
        <v>293</v>
      </c>
      <c r="L369" s="198">
        <f>S369</f>
        <v>0</v>
      </c>
      <c r="M369" s="206">
        <f>ROUND(L369*I369,2)</f>
        <v>0</v>
      </c>
      <c r="N369" s="211">
        <f>N372</f>
        <v>-0.85000000000000142</v>
      </c>
      <c r="O369" s="212">
        <f>ROUND(N369*I369,2)</f>
        <v>-181.8</v>
      </c>
      <c r="P369" s="207">
        <f>H369-L369-N369</f>
        <v>50.85</v>
      </c>
      <c r="Q369" s="228">
        <f>ROUND(P369*I369,2)</f>
        <v>10876.19</v>
      </c>
      <c r="R369" s="199"/>
      <c r="S369" s="200">
        <f>W369+Y369+AA369+AC369+AE369++AG369+AI369+AK369+AM369+AO369+AQ369+AS369+AU369+AW369</f>
        <v>0</v>
      </c>
      <c r="T369" s="200">
        <f>ROUND(S369*I369,2)</f>
        <v>0</v>
      </c>
      <c r="U369" s="200">
        <f>H369-S369</f>
        <v>50</v>
      </c>
      <c r="V369" s="200">
        <f>ROUND(U369*I369,2)</f>
        <v>10694.38</v>
      </c>
      <c r="W369" s="200"/>
      <c r="X369" s="200"/>
      <c r="Y369" s="200"/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0"/>
      <c r="AP369" s="200"/>
      <c r="AQ369" s="200"/>
      <c r="AR369" s="200"/>
      <c r="AS369" s="200"/>
      <c r="AT369" s="200"/>
      <c r="AU369" s="200"/>
      <c r="AV369" s="200"/>
      <c r="AW369" s="200"/>
      <c r="AX369" s="200"/>
      <c r="CG369" s="132" t="s">
        <v>1</v>
      </c>
      <c r="CH369" s="133" t="s">
        <v>40</v>
      </c>
      <c r="CJ369" s="134">
        <f>CI369*H369</f>
        <v>0</v>
      </c>
      <c r="CK369" s="134">
        <v>0</v>
      </c>
      <c r="CL369" s="134">
        <f>CK369*H369</f>
        <v>0</v>
      </c>
      <c r="CM369" s="134">
        <v>0</v>
      </c>
      <c r="CN369" s="135">
        <f>CM369*H369</f>
        <v>0</v>
      </c>
      <c r="DL369" s="136" t="s">
        <v>95</v>
      </c>
      <c r="DN369" s="136" t="s">
        <v>284</v>
      </c>
      <c r="DO369" s="136" t="s">
        <v>83</v>
      </c>
      <c r="DS369" s="16" t="s">
        <v>282</v>
      </c>
      <c r="DY369" s="137">
        <f>IF(CH369="základní",J369,0)</f>
        <v>10694.38</v>
      </c>
      <c r="DZ369" s="137">
        <f>IF(CH369="snížená",J369,0)</f>
        <v>0</v>
      </c>
      <c r="EA369" s="137">
        <f>IF(CH369="zákl. přenesená",J369,0)</f>
        <v>0</v>
      </c>
      <c r="EB369" s="137">
        <f>IF(CH369="sníž. přenesená",J369,0)</f>
        <v>0</v>
      </c>
      <c r="EC369" s="137">
        <f>IF(CH369="nulová",J369,0)</f>
        <v>0</v>
      </c>
      <c r="ED369" s="16" t="s">
        <v>81</v>
      </c>
      <c r="EE369" s="137">
        <f>ROUND(I369*H369,2)</f>
        <v>10694.38</v>
      </c>
      <c r="EF369" s="16" t="s">
        <v>95</v>
      </c>
      <c r="EG369" s="136" t="s">
        <v>1503</v>
      </c>
    </row>
    <row r="370" spans="2:137" s="1" customFormat="1" ht="19.5" x14ac:dyDescent="0.2">
      <c r="B370" s="31"/>
      <c r="D370" s="138" t="s">
        <v>289</v>
      </c>
      <c r="F370" s="139" t="s">
        <v>1504</v>
      </c>
      <c r="I370" s="140"/>
      <c r="L370" s="31"/>
      <c r="N370" s="213"/>
      <c r="O370" s="214"/>
      <c r="Q370" s="229"/>
      <c r="CG370" s="141"/>
      <c r="CN370" s="50"/>
      <c r="DN370" s="16" t="s">
        <v>289</v>
      </c>
      <c r="DO370" s="16" t="s">
        <v>83</v>
      </c>
    </row>
    <row r="371" spans="2:137" s="1" customFormat="1" ht="29.25" x14ac:dyDescent="0.2">
      <c r="B371" s="31"/>
      <c r="D371" s="138" t="s">
        <v>299</v>
      </c>
      <c r="F371" s="142" t="s">
        <v>1426</v>
      </c>
      <c r="I371" s="140"/>
      <c r="L371" s="31"/>
      <c r="N371" s="213"/>
      <c r="O371" s="214"/>
      <c r="Q371" s="229"/>
      <c r="CG371" s="141"/>
      <c r="CN371" s="50"/>
      <c r="DN371" s="16" t="s">
        <v>299</v>
      </c>
      <c r="DO371" s="16" t="s">
        <v>83</v>
      </c>
    </row>
    <row r="372" spans="2:137" s="12" customFormat="1" x14ac:dyDescent="0.2">
      <c r="B372" s="149"/>
      <c r="D372" s="138" t="s">
        <v>301</v>
      </c>
      <c r="E372" s="150" t="s">
        <v>1</v>
      </c>
      <c r="F372" s="151" t="s">
        <v>581</v>
      </c>
      <c r="H372" s="152">
        <v>50</v>
      </c>
      <c r="I372" s="153"/>
      <c r="L372" s="149"/>
      <c r="N372" s="217">
        <f>49.15-50</f>
        <v>-0.85000000000000142</v>
      </c>
      <c r="O372" s="359" t="s">
        <v>3502</v>
      </c>
      <c r="Q372" s="231"/>
      <c r="CG372" s="154"/>
      <c r="CN372" s="155"/>
      <c r="DN372" s="150" t="s">
        <v>301</v>
      </c>
      <c r="DO372" s="150" t="s">
        <v>83</v>
      </c>
      <c r="DP372" s="12" t="s">
        <v>83</v>
      </c>
      <c r="DQ372" s="12" t="s">
        <v>32</v>
      </c>
      <c r="DR372" s="12" t="s">
        <v>81</v>
      </c>
      <c r="DS372" s="150" t="s">
        <v>282</v>
      </c>
    </row>
    <row r="373" spans="2:137" s="1" customFormat="1" ht="24.2" customHeight="1" x14ac:dyDescent="0.2">
      <c r="B373" s="124"/>
      <c r="C373" s="170" t="s">
        <v>572</v>
      </c>
      <c r="D373" s="170" t="s">
        <v>439</v>
      </c>
      <c r="E373" s="171" t="s">
        <v>1505</v>
      </c>
      <c r="F373" s="172" t="s">
        <v>1506</v>
      </c>
      <c r="G373" s="173" t="s">
        <v>344</v>
      </c>
      <c r="H373" s="174">
        <v>52.5</v>
      </c>
      <c r="I373" s="175">
        <v>2368.0392499999998</v>
      </c>
      <c r="J373" s="176">
        <f>ROUND(I373*H373,2)</f>
        <v>124322.06</v>
      </c>
      <c r="K373" s="172" t="s">
        <v>293</v>
      </c>
      <c r="L373" s="198">
        <f>S373</f>
        <v>0</v>
      </c>
      <c r="M373" s="206">
        <f>ROUND(L373*I373,2)</f>
        <v>0</v>
      </c>
      <c r="N373" s="211">
        <f>N376</f>
        <v>-0.89249999999999829</v>
      </c>
      <c r="O373" s="212">
        <f>ROUND(N373*I373,2)</f>
        <v>-2113.48</v>
      </c>
      <c r="P373" s="207">
        <f>H373-L373-N373</f>
        <v>53.392499999999998</v>
      </c>
      <c r="Q373" s="228">
        <f>ROUND(P373*I373,2)</f>
        <v>126435.54</v>
      </c>
      <c r="R373" s="199"/>
      <c r="S373" s="200">
        <f>W373+Y373+AA373+AC373+AE373++AG373+AI373+AK373+AM373+AO373+AQ373+AS373+AU373+AW373</f>
        <v>0</v>
      </c>
      <c r="T373" s="200">
        <f>ROUND(S373*I373,2)</f>
        <v>0</v>
      </c>
      <c r="U373" s="200">
        <f>H373-S373</f>
        <v>52.5</v>
      </c>
      <c r="V373" s="200">
        <f>ROUND(U373*I373,2)</f>
        <v>124322.06</v>
      </c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77" t="s">
        <v>1</v>
      </c>
      <c r="CH373" s="178" t="s">
        <v>40</v>
      </c>
      <c r="CJ373" s="134">
        <f>CI373*H373</f>
        <v>0</v>
      </c>
      <c r="CK373" s="134">
        <v>2.7E-2</v>
      </c>
      <c r="CL373" s="134">
        <f>CK373*H373</f>
        <v>1.4175</v>
      </c>
      <c r="CM373" s="134">
        <v>0</v>
      </c>
      <c r="CN373" s="135">
        <f>CM373*H373</f>
        <v>0</v>
      </c>
      <c r="DL373" s="136" t="s">
        <v>328</v>
      </c>
      <c r="DN373" s="136" t="s">
        <v>439</v>
      </c>
      <c r="DO373" s="136" t="s">
        <v>83</v>
      </c>
      <c r="DS373" s="16" t="s">
        <v>282</v>
      </c>
      <c r="DY373" s="137">
        <f>IF(CH373="základní",J373,0)</f>
        <v>124322.06</v>
      </c>
      <c r="DZ373" s="137">
        <f>IF(CH373="snížená",J373,0)</f>
        <v>0</v>
      </c>
      <c r="EA373" s="137">
        <f>IF(CH373="zákl. přenesená",J373,0)</f>
        <v>0</v>
      </c>
      <c r="EB373" s="137">
        <f>IF(CH373="sníž. přenesená",J373,0)</f>
        <v>0</v>
      </c>
      <c r="EC373" s="137">
        <f>IF(CH373="nulová",J373,0)</f>
        <v>0</v>
      </c>
      <c r="ED373" s="16" t="s">
        <v>81</v>
      </c>
      <c r="EE373" s="137">
        <f>ROUND(I373*H373,2)</f>
        <v>124322.06</v>
      </c>
      <c r="EF373" s="16" t="s">
        <v>95</v>
      </c>
      <c r="EG373" s="136" t="s">
        <v>1507</v>
      </c>
    </row>
    <row r="374" spans="2:137" s="1" customFormat="1" ht="19.5" x14ac:dyDescent="0.2">
      <c r="B374" s="31"/>
      <c r="D374" s="138" t="s">
        <v>289</v>
      </c>
      <c r="F374" s="139" t="s">
        <v>1506</v>
      </c>
      <c r="I374" s="140"/>
      <c r="L374" s="31"/>
      <c r="N374" s="213"/>
      <c r="O374" s="214"/>
      <c r="Q374" s="229"/>
      <c r="CG374" s="141"/>
      <c r="CN374" s="50"/>
      <c r="DN374" s="16" t="s">
        <v>289</v>
      </c>
      <c r="DO374" s="16" t="s">
        <v>83</v>
      </c>
    </row>
    <row r="375" spans="2:137" s="12" customFormat="1" x14ac:dyDescent="0.2">
      <c r="B375" s="149"/>
      <c r="D375" s="138" t="s">
        <v>301</v>
      </c>
      <c r="F375" s="151" t="s">
        <v>1508</v>
      </c>
      <c r="H375" s="152">
        <v>52.5</v>
      </c>
      <c r="I375" s="153"/>
      <c r="L375" s="149"/>
      <c r="N375" s="217">
        <f>49.15*1.05</f>
        <v>51.607500000000002</v>
      </c>
      <c r="O375" s="359" t="s">
        <v>3503</v>
      </c>
      <c r="Q375" s="231"/>
      <c r="CG375" s="154"/>
      <c r="CN375" s="155"/>
      <c r="DN375" s="150" t="s">
        <v>301</v>
      </c>
      <c r="DO375" s="150" t="s">
        <v>83</v>
      </c>
      <c r="DP375" s="12" t="s">
        <v>83</v>
      </c>
      <c r="DQ375" s="12" t="s">
        <v>3</v>
      </c>
      <c r="DR375" s="12" t="s">
        <v>81</v>
      </c>
      <c r="DS375" s="150" t="s">
        <v>282</v>
      </c>
    </row>
    <row r="376" spans="2:137" s="12" customFormat="1" x14ac:dyDescent="0.2">
      <c r="B376" s="149"/>
      <c r="D376" s="138"/>
      <c r="F376" s="151"/>
      <c r="H376" s="152"/>
      <c r="I376" s="153"/>
      <c r="L376" s="149"/>
      <c r="N376" s="310">
        <f>N375-H375</f>
        <v>-0.89249999999999829</v>
      </c>
      <c r="O376" s="359"/>
      <c r="Q376" s="231"/>
      <c r="CG376" s="154"/>
      <c r="CN376" s="155"/>
      <c r="DN376" s="150"/>
      <c r="DO376" s="150"/>
      <c r="DS376" s="150"/>
    </row>
    <row r="377" spans="2:137" s="1" customFormat="1" ht="24.2" customHeight="1" x14ac:dyDescent="0.2">
      <c r="B377" s="124"/>
      <c r="C377" s="125" t="s">
        <v>576</v>
      </c>
      <c r="D377" s="125" t="s">
        <v>284</v>
      </c>
      <c r="E377" s="126" t="s">
        <v>1509</v>
      </c>
      <c r="F377" s="127" t="s">
        <v>1510</v>
      </c>
      <c r="G377" s="128" t="s">
        <v>344</v>
      </c>
      <c r="H377" s="129">
        <v>15.5</v>
      </c>
      <c r="I377" s="130">
        <v>1903.3322656917801</v>
      </c>
      <c r="J377" s="131">
        <f>ROUND(I377*H377,2)</f>
        <v>29501.65</v>
      </c>
      <c r="K377" s="127" t="s">
        <v>293</v>
      </c>
      <c r="L377" s="198">
        <f>S377</f>
        <v>0</v>
      </c>
      <c r="M377" s="206">
        <f>ROUND(L377*I377,2)</f>
        <v>0</v>
      </c>
      <c r="N377" s="211">
        <f>N380</f>
        <v>-1.9800000000000004</v>
      </c>
      <c r="O377" s="212">
        <f>ROUND(N377*I377,2)</f>
        <v>-3768.6</v>
      </c>
      <c r="P377" s="207">
        <f>H377-L377-N377</f>
        <v>17.48</v>
      </c>
      <c r="Q377" s="228">
        <f>ROUND(P377*I377,2)</f>
        <v>33270.25</v>
      </c>
      <c r="R377" s="199"/>
      <c r="S377" s="200">
        <f>W377+Y377+AA377+AC377+AE377++AG377+AI377+AK377+AM377+AO377+AQ377+AS377+AU377+AW377</f>
        <v>0</v>
      </c>
      <c r="T377" s="200">
        <f>ROUND(S377*I377,2)</f>
        <v>0</v>
      </c>
      <c r="U377" s="200">
        <f>H377-S377</f>
        <v>15.5</v>
      </c>
      <c r="V377" s="200">
        <f>ROUND(U377*I377,2)</f>
        <v>29501.65</v>
      </c>
      <c r="W377" s="200"/>
      <c r="X377" s="200"/>
      <c r="Y377" s="200"/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0"/>
      <c r="AP377" s="200"/>
      <c r="AQ377" s="200"/>
      <c r="AR377" s="200"/>
      <c r="AS377" s="200"/>
      <c r="AT377" s="200"/>
      <c r="AU377" s="200"/>
      <c r="AV377" s="200"/>
      <c r="AW377" s="200"/>
      <c r="AX377" s="200"/>
      <c r="CG377" s="132" t="s">
        <v>1</v>
      </c>
      <c r="CH377" s="133" t="s">
        <v>40</v>
      </c>
      <c r="CJ377" s="134">
        <f>CI377*H377</f>
        <v>0</v>
      </c>
      <c r="CK377" s="134">
        <v>2.649E-2</v>
      </c>
      <c r="CL377" s="134">
        <f>CK377*H377</f>
        <v>0.41059499999999999</v>
      </c>
      <c r="CM377" s="134">
        <v>0</v>
      </c>
      <c r="CN377" s="135">
        <f>CM377*H377</f>
        <v>0</v>
      </c>
      <c r="DL377" s="136" t="s">
        <v>95</v>
      </c>
      <c r="DN377" s="136" t="s">
        <v>284</v>
      </c>
      <c r="DO377" s="136" t="s">
        <v>83</v>
      </c>
      <c r="DS377" s="16" t="s">
        <v>282</v>
      </c>
      <c r="DY377" s="137">
        <f>IF(CH377="základní",J377,0)</f>
        <v>29501.65</v>
      </c>
      <c r="DZ377" s="137">
        <f>IF(CH377="snížená",J377,0)</f>
        <v>0</v>
      </c>
      <c r="EA377" s="137">
        <f>IF(CH377="zákl. přenesená",J377,0)</f>
        <v>0</v>
      </c>
      <c r="EB377" s="137">
        <f>IF(CH377="sníž. přenesená",J377,0)</f>
        <v>0</v>
      </c>
      <c r="EC377" s="137">
        <f>IF(CH377="nulová",J377,0)</f>
        <v>0</v>
      </c>
      <c r="ED377" s="16" t="s">
        <v>81</v>
      </c>
      <c r="EE377" s="137">
        <f>ROUND(I377*H377,2)</f>
        <v>29501.65</v>
      </c>
      <c r="EF377" s="16" t="s">
        <v>95</v>
      </c>
      <c r="EG377" s="136" t="s">
        <v>1511</v>
      </c>
    </row>
    <row r="378" spans="2:137" s="1" customFormat="1" ht="29.25" x14ac:dyDescent="0.2">
      <c r="B378" s="31"/>
      <c r="D378" s="138" t="s">
        <v>289</v>
      </c>
      <c r="F378" s="139" t="s">
        <v>1512</v>
      </c>
      <c r="I378" s="140"/>
      <c r="L378" s="31"/>
      <c r="N378" s="213"/>
      <c r="O378" s="214"/>
      <c r="Q378" s="229"/>
      <c r="CG378" s="141"/>
      <c r="CN378" s="50"/>
      <c r="DN378" s="16" t="s">
        <v>289</v>
      </c>
      <c r="DO378" s="16" t="s">
        <v>83</v>
      </c>
    </row>
    <row r="379" spans="2:137" s="1" customFormat="1" ht="29.25" x14ac:dyDescent="0.2">
      <c r="B379" s="31"/>
      <c r="D379" s="138" t="s">
        <v>299</v>
      </c>
      <c r="F379" s="142" t="s">
        <v>1426</v>
      </c>
      <c r="I379" s="140"/>
      <c r="L379" s="31"/>
      <c r="N379" s="213"/>
      <c r="O379" s="214"/>
      <c r="Q379" s="229"/>
      <c r="CG379" s="141"/>
      <c r="CN379" s="50"/>
      <c r="DN379" s="16" t="s">
        <v>299</v>
      </c>
      <c r="DO379" s="16" t="s">
        <v>83</v>
      </c>
    </row>
    <row r="380" spans="2:137" s="12" customFormat="1" x14ac:dyDescent="0.2">
      <c r="B380" s="149"/>
      <c r="D380" s="138" t="s">
        <v>301</v>
      </c>
      <c r="E380" s="150" t="s">
        <v>1</v>
      </c>
      <c r="F380" s="151" t="s">
        <v>1513</v>
      </c>
      <c r="H380" s="152">
        <v>15.5</v>
      </c>
      <c r="I380" s="153"/>
      <c r="L380" s="149"/>
      <c r="N380" s="217">
        <f>13.52-15.5</f>
        <v>-1.9800000000000004</v>
      </c>
      <c r="O380" s="359" t="s">
        <v>3504</v>
      </c>
      <c r="Q380" s="231"/>
      <c r="CG380" s="154"/>
      <c r="CN380" s="155"/>
      <c r="DN380" s="150" t="s">
        <v>301</v>
      </c>
      <c r="DO380" s="150" t="s">
        <v>83</v>
      </c>
      <c r="DP380" s="12" t="s">
        <v>83</v>
      </c>
      <c r="DQ380" s="12" t="s">
        <v>32</v>
      </c>
      <c r="DR380" s="12" t="s">
        <v>81</v>
      </c>
      <c r="DS380" s="150" t="s">
        <v>282</v>
      </c>
    </row>
    <row r="381" spans="2:137" s="1" customFormat="1" ht="24.2" customHeight="1" x14ac:dyDescent="0.2">
      <c r="B381" s="124"/>
      <c r="C381" s="125" t="s">
        <v>581</v>
      </c>
      <c r="D381" s="125" t="s">
        <v>284</v>
      </c>
      <c r="E381" s="126" t="s">
        <v>563</v>
      </c>
      <c r="F381" s="127" t="s">
        <v>564</v>
      </c>
      <c r="G381" s="128" t="s">
        <v>485</v>
      </c>
      <c r="H381" s="129">
        <v>47</v>
      </c>
      <c r="I381" s="130">
        <v>428.93856860779169</v>
      </c>
      <c r="J381" s="131">
        <f>ROUND(I381*H381,2)</f>
        <v>20160.11</v>
      </c>
      <c r="K381" s="127" t="s">
        <v>293</v>
      </c>
      <c r="L381" s="198">
        <f>S381</f>
        <v>0</v>
      </c>
      <c r="M381" s="206">
        <f>ROUND(L381*I381,2)</f>
        <v>0</v>
      </c>
      <c r="N381" s="211">
        <v>-3</v>
      </c>
      <c r="O381" s="212">
        <f>ROUND(N381*I381,2)</f>
        <v>-1286.82</v>
      </c>
      <c r="P381" s="207">
        <f>H381-L381-N381</f>
        <v>50</v>
      </c>
      <c r="Q381" s="228">
        <f>ROUND(P381*I381,2)</f>
        <v>21446.93</v>
      </c>
      <c r="R381" s="199"/>
      <c r="S381" s="200">
        <f>W381+Y381+AA381+AC381+AE381++AG381+AI381+AK381+AM381+AO381+AQ381+AS381+AU381+AW381</f>
        <v>0</v>
      </c>
      <c r="T381" s="200">
        <f>ROUND(S381*I381,2)</f>
        <v>0</v>
      </c>
      <c r="U381" s="200">
        <f>H381-S381</f>
        <v>47</v>
      </c>
      <c r="V381" s="200">
        <f>ROUND(U381*I381,2)</f>
        <v>20160.11</v>
      </c>
      <c r="W381" s="200"/>
      <c r="X381" s="200"/>
      <c r="Y381" s="200"/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0"/>
      <c r="AP381" s="200"/>
      <c r="AQ381" s="200"/>
      <c r="AR381" s="200"/>
      <c r="AS381" s="200"/>
      <c r="AT381" s="200"/>
      <c r="AU381" s="200"/>
      <c r="AV381" s="200"/>
      <c r="AW381" s="200"/>
      <c r="AX381" s="200"/>
      <c r="CG381" s="132" t="s">
        <v>1</v>
      </c>
      <c r="CH381" s="133" t="s">
        <v>40</v>
      </c>
      <c r="CJ381" s="134">
        <f>CI381*H381</f>
        <v>0</v>
      </c>
      <c r="CK381" s="134">
        <v>2.0000000000000002E-5</v>
      </c>
      <c r="CL381" s="134">
        <f>CK381*H381</f>
        <v>9.4000000000000008E-4</v>
      </c>
      <c r="CM381" s="134">
        <v>0</v>
      </c>
      <c r="CN381" s="135">
        <f>CM381*H381</f>
        <v>0</v>
      </c>
      <c r="DL381" s="136" t="s">
        <v>95</v>
      </c>
      <c r="DN381" s="136" t="s">
        <v>284</v>
      </c>
      <c r="DO381" s="136" t="s">
        <v>83</v>
      </c>
      <c r="DS381" s="16" t="s">
        <v>282</v>
      </c>
      <c r="DY381" s="137">
        <f>IF(CH381="základní",J381,0)</f>
        <v>20160.11</v>
      </c>
      <c r="DZ381" s="137">
        <f>IF(CH381="snížená",J381,0)</f>
        <v>0</v>
      </c>
      <c r="EA381" s="137">
        <f>IF(CH381="zákl. přenesená",J381,0)</f>
        <v>0</v>
      </c>
      <c r="EB381" s="137">
        <f>IF(CH381="sníž. přenesená",J381,0)</f>
        <v>0</v>
      </c>
      <c r="EC381" s="137">
        <f>IF(CH381="nulová",J381,0)</f>
        <v>0</v>
      </c>
      <c r="ED381" s="16" t="s">
        <v>81</v>
      </c>
      <c r="EE381" s="137">
        <f>ROUND(I381*H381,2)</f>
        <v>20160.11</v>
      </c>
      <c r="EF381" s="16" t="s">
        <v>95</v>
      </c>
      <c r="EG381" s="136" t="s">
        <v>565</v>
      </c>
    </row>
    <row r="382" spans="2:137" s="1" customFormat="1" ht="19.5" x14ac:dyDescent="0.2">
      <c r="B382" s="31"/>
      <c r="D382" s="138" t="s">
        <v>289</v>
      </c>
      <c r="F382" s="139" t="s">
        <v>566</v>
      </c>
      <c r="I382" s="140"/>
      <c r="L382" s="31"/>
      <c r="N382" s="213"/>
      <c r="O382" s="214"/>
      <c r="Q382" s="229"/>
      <c r="CG382" s="141"/>
      <c r="CN382" s="50"/>
      <c r="DN382" s="16" t="s">
        <v>289</v>
      </c>
      <c r="DO382" s="16" t="s">
        <v>83</v>
      </c>
    </row>
    <row r="383" spans="2:137" s="1" customFormat="1" ht="19.5" x14ac:dyDescent="0.2">
      <c r="B383" s="31"/>
      <c r="D383" s="138" t="s">
        <v>299</v>
      </c>
      <c r="F383" s="142" t="s">
        <v>317</v>
      </c>
      <c r="I383" s="140"/>
      <c r="L383" s="31"/>
      <c r="N383" s="213"/>
      <c r="O383" s="214"/>
      <c r="Q383" s="229"/>
      <c r="CG383" s="141"/>
      <c r="CN383" s="50"/>
      <c r="DN383" s="16" t="s">
        <v>299</v>
      </c>
      <c r="DO383" s="16" t="s">
        <v>83</v>
      </c>
    </row>
    <row r="384" spans="2:137" s="12" customFormat="1" x14ac:dyDescent="0.2">
      <c r="B384" s="149"/>
      <c r="D384" s="138" t="s">
        <v>301</v>
      </c>
      <c r="E384" s="150" t="s">
        <v>1</v>
      </c>
      <c r="F384" s="151" t="s">
        <v>1514</v>
      </c>
      <c r="H384" s="152">
        <v>47</v>
      </c>
      <c r="I384" s="153"/>
      <c r="L384" s="149"/>
      <c r="N384" s="217"/>
      <c r="O384" s="218"/>
      <c r="Q384" s="231"/>
      <c r="CG384" s="154"/>
      <c r="CN384" s="155"/>
      <c r="DN384" s="150" t="s">
        <v>301</v>
      </c>
      <c r="DO384" s="150" t="s">
        <v>83</v>
      </c>
      <c r="DP384" s="12" t="s">
        <v>83</v>
      </c>
      <c r="DQ384" s="12" t="s">
        <v>32</v>
      </c>
      <c r="DR384" s="12" t="s">
        <v>81</v>
      </c>
      <c r="DS384" s="150" t="s">
        <v>282</v>
      </c>
    </row>
    <row r="385" spans="2:137" s="1" customFormat="1" ht="24.2" customHeight="1" x14ac:dyDescent="0.2">
      <c r="B385" s="124"/>
      <c r="C385" s="170" t="s">
        <v>589</v>
      </c>
      <c r="D385" s="170" t="s">
        <v>439</v>
      </c>
      <c r="E385" s="171" t="s">
        <v>569</v>
      </c>
      <c r="F385" s="172" t="s">
        <v>570</v>
      </c>
      <c r="G385" s="173" t="s">
        <v>485</v>
      </c>
      <c r="H385" s="174">
        <v>45</v>
      </c>
      <c r="I385" s="175">
        <v>1984.4168915</v>
      </c>
      <c r="J385" s="176">
        <f>ROUND(I385*H385,2)</f>
        <v>89298.76</v>
      </c>
      <c r="K385" s="172" t="s">
        <v>293</v>
      </c>
      <c r="L385" s="198">
        <f>S385</f>
        <v>0</v>
      </c>
      <c r="M385" s="206">
        <f>ROUND(L385*I385,2)</f>
        <v>0</v>
      </c>
      <c r="N385" s="211">
        <v>-3</v>
      </c>
      <c r="O385" s="212">
        <f>ROUND(N385*I385,2)</f>
        <v>-5953.25</v>
      </c>
      <c r="P385" s="207">
        <f>H385-L385-N385</f>
        <v>48</v>
      </c>
      <c r="Q385" s="228">
        <f>ROUND(P385*I385,2)</f>
        <v>95252.01</v>
      </c>
      <c r="R385" s="199"/>
      <c r="S385" s="200">
        <f>W385+Y385+AA385+AC385+AE385++AG385+AI385+AK385+AM385+AO385+AQ385+AS385+AU385+AW385</f>
        <v>0</v>
      </c>
      <c r="T385" s="200">
        <f>ROUND(S385*I385,2)</f>
        <v>0</v>
      </c>
      <c r="U385" s="200">
        <f>H385-S385</f>
        <v>45</v>
      </c>
      <c r="V385" s="200">
        <f>ROUND(U385*I385,2)</f>
        <v>89298.76</v>
      </c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77" t="s">
        <v>1</v>
      </c>
      <c r="CH385" s="178" t="s">
        <v>40</v>
      </c>
      <c r="CJ385" s="134">
        <f>CI385*H385</f>
        <v>0</v>
      </c>
      <c r="CK385" s="134">
        <v>4.2599999999999999E-3</v>
      </c>
      <c r="CL385" s="134">
        <f>CK385*H385</f>
        <v>0.19169999999999998</v>
      </c>
      <c r="CM385" s="134">
        <v>0</v>
      </c>
      <c r="CN385" s="135">
        <f>CM385*H385</f>
        <v>0</v>
      </c>
      <c r="DL385" s="136" t="s">
        <v>328</v>
      </c>
      <c r="DN385" s="136" t="s">
        <v>439</v>
      </c>
      <c r="DO385" s="136" t="s">
        <v>83</v>
      </c>
      <c r="DS385" s="16" t="s">
        <v>282</v>
      </c>
      <c r="DY385" s="137">
        <f>IF(CH385="základní",J385,0)</f>
        <v>89298.76</v>
      </c>
      <c r="DZ385" s="137">
        <f>IF(CH385="snížená",J385,0)</f>
        <v>0</v>
      </c>
      <c r="EA385" s="137">
        <f>IF(CH385="zákl. přenesená",J385,0)</f>
        <v>0</v>
      </c>
      <c r="EB385" s="137">
        <f>IF(CH385="sníž. přenesená",J385,0)</f>
        <v>0</v>
      </c>
      <c r="EC385" s="137">
        <f>IF(CH385="nulová",J385,0)</f>
        <v>0</v>
      </c>
      <c r="ED385" s="16" t="s">
        <v>81</v>
      </c>
      <c r="EE385" s="137">
        <f>ROUND(I385*H385,2)</f>
        <v>89298.76</v>
      </c>
      <c r="EF385" s="16" t="s">
        <v>95</v>
      </c>
      <c r="EG385" s="136" t="s">
        <v>571</v>
      </c>
    </row>
    <row r="386" spans="2:137" s="1" customFormat="1" x14ac:dyDescent="0.2">
      <c r="B386" s="31"/>
      <c r="D386" s="138" t="s">
        <v>289</v>
      </c>
      <c r="F386" s="139" t="s">
        <v>570</v>
      </c>
      <c r="I386" s="140"/>
      <c r="L386" s="31"/>
      <c r="N386" s="213"/>
      <c r="O386" s="214"/>
      <c r="Q386" s="229"/>
      <c r="CG386" s="141"/>
      <c r="CN386" s="50"/>
      <c r="DN386" s="16" t="s">
        <v>289</v>
      </c>
      <c r="DO386" s="16" t="s">
        <v>83</v>
      </c>
    </row>
    <row r="387" spans="2:137" s="1" customFormat="1" ht="24.2" customHeight="1" x14ac:dyDescent="0.2">
      <c r="B387" s="124"/>
      <c r="C387" s="170" t="s">
        <v>594</v>
      </c>
      <c r="D387" s="170" t="s">
        <v>439</v>
      </c>
      <c r="E387" s="171" t="s">
        <v>1146</v>
      </c>
      <c r="F387" s="172" t="s">
        <v>1515</v>
      </c>
      <c r="G387" s="173" t="s">
        <v>485</v>
      </c>
      <c r="H387" s="174">
        <v>2</v>
      </c>
      <c r="I387" s="175">
        <v>3078.4510249999998</v>
      </c>
      <c r="J387" s="176">
        <f>ROUND(I387*H387,2)</f>
        <v>6156.9</v>
      </c>
      <c r="K387" s="172" t="s">
        <v>1</v>
      </c>
      <c r="L387" s="198">
        <f>S387</f>
        <v>0</v>
      </c>
      <c r="M387" s="206">
        <f>ROUND(L387*I387,2)</f>
        <v>0</v>
      </c>
      <c r="N387" s="211"/>
      <c r="O387" s="212">
        <f>ROUND(N387*I387,2)</f>
        <v>0</v>
      </c>
      <c r="P387" s="207">
        <f>H387-L387-N387</f>
        <v>2</v>
      </c>
      <c r="Q387" s="228">
        <f>ROUND(P387*I387,2)</f>
        <v>6156.9</v>
      </c>
      <c r="R387" s="199"/>
      <c r="S387" s="200">
        <f>W387+Y387+AA387+AC387+AE387++AG387+AI387+AK387+AM387+AO387+AQ387+AS387+AU387+AW387</f>
        <v>0</v>
      </c>
      <c r="T387" s="200">
        <f>ROUND(S387*I387,2)</f>
        <v>0</v>
      </c>
      <c r="U387" s="200">
        <f>H387-S387</f>
        <v>2</v>
      </c>
      <c r="V387" s="200">
        <f>ROUND(U387*I387,2)</f>
        <v>6156.9</v>
      </c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77" t="s">
        <v>1</v>
      </c>
      <c r="CH387" s="178" t="s">
        <v>40</v>
      </c>
      <c r="CJ387" s="134">
        <f>CI387*H387</f>
        <v>0</v>
      </c>
      <c r="CK387" s="134">
        <v>4.2599999999999999E-3</v>
      </c>
      <c r="CL387" s="134">
        <f>CK387*H387</f>
        <v>8.5199999999999998E-3</v>
      </c>
      <c r="CM387" s="134">
        <v>0</v>
      </c>
      <c r="CN387" s="135">
        <f>CM387*H387</f>
        <v>0</v>
      </c>
      <c r="DL387" s="136" t="s">
        <v>328</v>
      </c>
      <c r="DN387" s="136" t="s">
        <v>439</v>
      </c>
      <c r="DO387" s="136" t="s">
        <v>83</v>
      </c>
      <c r="DS387" s="16" t="s">
        <v>282</v>
      </c>
      <c r="DY387" s="137">
        <f>IF(CH387="základní",J387,0)</f>
        <v>6156.9</v>
      </c>
      <c r="DZ387" s="137">
        <f>IF(CH387="snížená",J387,0)</f>
        <v>0</v>
      </c>
      <c r="EA387" s="137">
        <f>IF(CH387="zákl. přenesená",J387,0)</f>
        <v>0</v>
      </c>
      <c r="EB387" s="137">
        <f>IF(CH387="sníž. přenesená",J387,0)</f>
        <v>0</v>
      </c>
      <c r="EC387" s="137">
        <f>IF(CH387="nulová",J387,0)</f>
        <v>0</v>
      </c>
      <c r="ED387" s="16" t="s">
        <v>81</v>
      </c>
      <c r="EE387" s="137">
        <f>ROUND(I387*H387,2)</f>
        <v>6156.9</v>
      </c>
      <c r="EF387" s="16" t="s">
        <v>95</v>
      </c>
      <c r="EG387" s="136" t="s">
        <v>1516</v>
      </c>
    </row>
    <row r="388" spans="2:137" s="1" customFormat="1" ht="19.5" x14ac:dyDescent="0.2">
      <c r="B388" s="31"/>
      <c r="D388" s="138" t="s">
        <v>289</v>
      </c>
      <c r="F388" s="139" t="s">
        <v>1515</v>
      </c>
      <c r="I388" s="140"/>
      <c r="L388" s="31"/>
      <c r="N388" s="213"/>
      <c r="O388" s="214"/>
      <c r="Q388" s="229"/>
      <c r="CG388" s="141"/>
      <c r="CN388" s="50"/>
      <c r="DN388" s="16" t="s">
        <v>289</v>
      </c>
      <c r="DO388" s="16" t="s">
        <v>83</v>
      </c>
    </row>
    <row r="389" spans="2:137" s="1" customFormat="1" ht="24.2" customHeight="1" x14ac:dyDescent="0.2">
      <c r="B389" s="124"/>
      <c r="C389" s="125" t="s">
        <v>599</v>
      </c>
      <c r="D389" s="125" t="s">
        <v>284</v>
      </c>
      <c r="E389" s="126" t="s">
        <v>573</v>
      </c>
      <c r="F389" s="127" t="s">
        <v>574</v>
      </c>
      <c r="G389" s="128" t="s">
        <v>344</v>
      </c>
      <c r="H389" s="129">
        <v>1669</v>
      </c>
      <c r="I389" s="130">
        <v>37.888627999999997</v>
      </c>
      <c r="J389" s="131">
        <f>ROUND(I389*H389,2)</f>
        <v>63236.12</v>
      </c>
      <c r="K389" s="127" t="s">
        <v>1</v>
      </c>
      <c r="L389" s="198">
        <f>S389</f>
        <v>0</v>
      </c>
      <c r="M389" s="206">
        <f>ROUND(L389*I389,2)</f>
        <v>0</v>
      </c>
      <c r="N389" s="211">
        <f>N391</f>
        <v>-10.130000000000109</v>
      </c>
      <c r="O389" s="212">
        <f>ROUND(N389*I389,2)</f>
        <v>-383.81</v>
      </c>
      <c r="P389" s="207">
        <f>H389-L389-N389</f>
        <v>1679.13</v>
      </c>
      <c r="Q389" s="228">
        <f>ROUND(P389*I389,2)</f>
        <v>63619.93</v>
      </c>
      <c r="R389" s="199"/>
      <c r="S389" s="200">
        <f>W389+Y389+AA389+AC389+AE389++AG389+AI389+AK389+AM389+AO389+AQ389+AS389+AU389+AW389</f>
        <v>0</v>
      </c>
      <c r="T389" s="200">
        <f>ROUND(S389*I389,2)</f>
        <v>0</v>
      </c>
      <c r="U389" s="200">
        <f>H389-S389</f>
        <v>1669</v>
      </c>
      <c r="V389" s="200">
        <f>ROUND(U389*I389,2)</f>
        <v>63236.12</v>
      </c>
      <c r="W389" s="200"/>
      <c r="X389" s="200"/>
      <c r="Y389" s="200"/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0"/>
      <c r="AP389" s="200"/>
      <c r="AQ389" s="200"/>
      <c r="AR389" s="200"/>
      <c r="AS389" s="200"/>
      <c r="AT389" s="200"/>
      <c r="AU389" s="200"/>
      <c r="AV389" s="200"/>
      <c r="AW389" s="200"/>
      <c r="AX389" s="200"/>
      <c r="CG389" s="132" t="s">
        <v>1</v>
      </c>
      <c r="CH389" s="133" t="s">
        <v>40</v>
      </c>
      <c r="CJ389" s="134">
        <f>CI389*H389</f>
        <v>0</v>
      </c>
      <c r="CK389" s="134">
        <v>0</v>
      </c>
      <c r="CL389" s="134">
        <f>CK389*H389</f>
        <v>0</v>
      </c>
      <c r="CM389" s="134">
        <v>0</v>
      </c>
      <c r="CN389" s="135">
        <f>CM389*H389</f>
        <v>0</v>
      </c>
      <c r="DL389" s="136" t="s">
        <v>95</v>
      </c>
      <c r="DN389" s="136" t="s">
        <v>284</v>
      </c>
      <c r="DO389" s="136" t="s">
        <v>83</v>
      </c>
      <c r="DS389" s="16" t="s">
        <v>282</v>
      </c>
      <c r="DY389" s="137">
        <f>IF(CH389="základní",J389,0)</f>
        <v>63236.12</v>
      </c>
      <c r="DZ389" s="137">
        <f>IF(CH389="snížená",J389,0)</f>
        <v>0</v>
      </c>
      <c r="EA389" s="137">
        <f>IF(CH389="zákl. přenesená",J389,0)</f>
        <v>0</v>
      </c>
      <c r="EB389" s="137">
        <f>IF(CH389="sníž. přenesená",J389,0)</f>
        <v>0</v>
      </c>
      <c r="EC389" s="137">
        <f>IF(CH389="nulová",J389,0)</f>
        <v>0</v>
      </c>
      <c r="ED389" s="16" t="s">
        <v>81</v>
      </c>
      <c r="EE389" s="137">
        <f>ROUND(I389*H389,2)</f>
        <v>63236.12</v>
      </c>
      <c r="EF389" s="16" t="s">
        <v>95</v>
      </c>
      <c r="EG389" s="136" t="s">
        <v>575</v>
      </c>
    </row>
    <row r="390" spans="2:137" s="1" customFormat="1" ht="19.5" x14ac:dyDescent="0.2">
      <c r="B390" s="31"/>
      <c r="D390" s="138" t="s">
        <v>289</v>
      </c>
      <c r="F390" s="139" t="s">
        <v>574</v>
      </c>
      <c r="I390" s="140"/>
      <c r="L390" s="31"/>
      <c r="N390" s="213"/>
      <c r="O390" s="214"/>
      <c r="Q390" s="229"/>
      <c r="CG390" s="141"/>
      <c r="CN390" s="50"/>
      <c r="DN390" s="16" t="s">
        <v>289</v>
      </c>
      <c r="DO390" s="16" t="s">
        <v>83</v>
      </c>
    </row>
    <row r="391" spans="2:137" s="12" customFormat="1" x14ac:dyDescent="0.2">
      <c r="B391" s="149"/>
      <c r="D391" s="138" t="s">
        <v>301</v>
      </c>
      <c r="E391" s="150" t="s">
        <v>1</v>
      </c>
      <c r="F391" s="151" t="s">
        <v>1517</v>
      </c>
      <c r="H391" s="152">
        <v>1669</v>
      </c>
      <c r="I391" s="153"/>
      <c r="L391" s="149"/>
      <c r="N391" s="217">
        <f>1658.87-1669</f>
        <v>-10.130000000000109</v>
      </c>
      <c r="O391" s="218" t="s">
        <v>3498</v>
      </c>
      <c r="Q391" s="231"/>
      <c r="CG391" s="154"/>
      <c r="CN391" s="155"/>
      <c r="DN391" s="150" t="s">
        <v>301</v>
      </c>
      <c r="DO391" s="150" t="s">
        <v>83</v>
      </c>
      <c r="DP391" s="12" t="s">
        <v>83</v>
      </c>
      <c r="DQ391" s="12" t="s">
        <v>32</v>
      </c>
      <c r="DR391" s="12" t="s">
        <v>81</v>
      </c>
      <c r="DS391" s="150" t="s">
        <v>282</v>
      </c>
    </row>
    <row r="392" spans="2:137" s="1" customFormat="1" ht="14.45" customHeight="1" x14ac:dyDescent="0.2">
      <c r="B392" s="124"/>
      <c r="C392" s="125" t="s">
        <v>604</v>
      </c>
      <c r="D392" s="125" t="s">
        <v>284</v>
      </c>
      <c r="E392" s="126" t="s">
        <v>577</v>
      </c>
      <c r="F392" s="127" t="s">
        <v>578</v>
      </c>
      <c r="G392" s="128" t="s">
        <v>344</v>
      </c>
      <c r="H392" s="129">
        <v>1669</v>
      </c>
      <c r="I392" s="130">
        <v>23.6803925</v>
      </c>
      <c r="J392" s="131">
        <f>ROUND(I392*H392,2)</f>
        <v>39522.58</v>
      </c>
      <c r="K392" s="127" t="s">
        <v>1</v>
      </c>
      <c r="L392" s="198">
        <f>S392</f>
        <v>0</v>
      </c>
      <c r="M392" s="206">
        <f>ROUND(L392*I392,2)</f>
        <v>0</v>
      </c>
      <c r="N392" s="211">
        <f>N389</f>
        <v>-10.130000000000109</v>
      </c>
      <c r="O392" s="212">
        <f>ROUND(N392*I392,2)</f>
        <v>-239.88</v>
      </c>
      <c r="P392" s="207">
        <f>H392-L392-N392</f>
        <v>1679.13</v>
      </c>
      <c r="Q392" s="228">
        <f>ROUND(P392*I392,2)</f>
        <v>39762.46</v>
      </c>
      <c r="R392" s="199"/>
      <c r="S392" s="200">
        <f>W392+Y392+AA392+AC392+AE392++AG392+AI392+AK392+AM392+AO392+AQ392+AS392+AU392+AW392</f>
        <v>0</v>
      </c>
      <c r="T392" s="200">
        <f>ROUND(S392*I392,2)</f>
        <v>0</v>
      </c>
      <c r="U392" s="200">
        <f>H392-S392</f>
        <v>1669</v>
      </c>
      <c r="V392" s="200">
        <f>ROUND(U392*I392,2)</f>
        <v>39522.58</v>
      </c>
      <c r="W392" s="200"/>
      <c r="X392" s="200"/>
      <c r="Y392" s="200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0"/>
      <c r="AP392" s="200"/>
      <c r="AQ392" s="200"/>
      <c r="AR392" s="200"/>
      <c r="AS392" s="200"/>
      <c r="AT392" s="200"/>
      <c r="AU392" s="200"/>
      <c r="AV392" s="200"/>
      <c r="AW392" s="200"/>
      <c r="AX392" s="200"/>
      <c r="CG392" s="132" t="s">
        <v>1</v>
      </c>
      <c r="CH392" s="133" t="s">
        <v>40</v>
      </c>
      <c r="CJ392" s="134">
        <f>CI392*H392</f>
        <v>0</v>
      </c>
      <c r="CK392" s="134">
        <v>0</v>
      </c>
      <c r="CL392" s="134">
        <f>CK392*H392</f>
        <v>0</v>
      </c>
      <c r="CM392" s="134">
        <v>0</v>
      </c>
      <c r="CN392" s="135">
        <f>CM392*H392</f>
        <v>0</v>
      </c>
      <c r="DL392" s="136" t="s">
        <v>95</v>
      </c>
      <c r="DN392" s="136" t="s">
        <v>284</v>
      </c>
      <c r="DO392" s="136" t="s">
        <v>83</v>
      </c>
      <c r="DS392" s="16" t="s">
        <v>282</v>
      </c>
      <c r="DY392" s="137">
        <f>IF(CH392="základní",J392,0)</f>
        <v>39522.58</v>
      </c>
      <c r="DZ392" s="137">
        <f>IF(CH392="snížená",J392,0)</f>
        <v>0</v>
      </c>
      <c r="EA392" s="137">
        <f>IF(CH392="zákl. přenesená",J392,0)</f>
        <v>0</v>
      </c>
      <c r="EB392" s="137">
        <f>IF(CH392="sníž. přenesená",J392,0)</f>
        <v>0</v>
      </c>
      <c r="EC392" s="137">
        <f>IF(CH392="nulová",J392,0)</f>
        <v>0</v>
      </c>
      <c r="ED392" s="16" t="s">
        <v>81</v>
      </c>
      <c r="EE392" s="137">
        <f>ROUND(I392*H392,2)</f>
        <v>39522.58</v>
      </c>
      <c r="EF392" s="16" t="s">
        <v>95</v>
      </c>
      <c r="EG392" s="136" t="s">
        <v>579</v>
      </c>
    </row>
    <row r="393" spans="2:137" s="1" customFormat="1" x14ac:dyDescent="0.2">
      <c r="B393" s="31"/>
      <c r="D393" s="138" t="s">
        <v>289</v>
      </c>
      <c r="F393" s="139" t="s">
        <v>578</v>
      </c>
      <c r="I393" s="140"/>
      <c r="L393" s="31"/>
      <c r="N393" s="213"/>
      <c r="O393" s="214"/>
      <c r="Q393" s="229"/>
      <c r="CG393" s="141"/>
      <c r="CN393" s="50"/>
      <c r="DN393" s="16" t="s">
        <v>289</v>
      </c>
      <c r="DO393" s="16" t="s">
        <v>83</v>
      </c>
    </row>
    <row r="394" spans="2:137" s="1" customFormat="1" ht="29.25" x14ac:dyDescent="0.2">
      <c r="B394" s="31"/>
      <c r="D394" s="138" t="s">
        <v>299</v>
      </c>
      <c r="F394" s="142" t="s">
        <v>580</v>
      </c>
      <c r="I394" s="140"/>
      <c r="L394" s="31"/>
      <c r="N394" s="213"/>
      <c r="O394" s="214"/>
      <c r="Q394" s="229"/>
      <c r="CG394" s="141"/>
      <c r="CN394" s="50"/>
      <c r="DN394" s="16" t="s">
        <v>299</v>
      </c>
      <c r="DO394" s="16" t="s">
        <v>83</v>
      </c>
    </row>
    <row r="395" spans="2:137" s="1" customFormat="1" ht="14.45" customHeight="1" x14ac:dyDescent="0.2">
      <c r="B395" s="124"/>
      <c r="C395" s="125" t="s">
        <v>609</v>
      </c>
      <c r="D395" s="125" t="s">
        <v>284</v>
      </c>
      <c r="E395" s="126" t="s">
        <v>776</v>
      </c>
      <c r="F395" s="127" t="s">
        <v>777</v>
      </c>
      <c r="G395" s="128" t="s">
        <v>344</v>
      </c>
      <c r="H395" s="129">
        <v>1.5</v>
      </c>
      <c r="I395" s="130">
        <v>21.984104604889872</v>
      </c>
      <c r="J395" s="131">
        <f>ROUND(I395*H395,2)</f>
        <v>32.979999999999997</v>
      </c>
      <c r="K395" s="127" t="s">
        <v>293</v>
      </c>
      <c r="L395" s="198">
        <f>S395</f>
        <v>0</v>
      </c>
      <c r="M395" s="206">
        <f>ROUND(L395*I395,2)</f>
        <v>0</v>
      </c>
      <c r="N395" s="211">
        <f>N397</f>
        <v>1.7999999999999998</v>
      </c>
      <c r="O395" s="212">
        <f>ROUND(N395*I395,2)</f>
        <v>39.57</v>
      </c>
      <c r="P395" s="207">
        <f>H395-L395-N395</f>
        <v>-0.29999999999999982</v>
      </c>
      <c r="Q395" s="228">
        <f>ROUND(P395*I395,2)</f>
        <v>-6.6</v>
      </c>
      <c r="R395" s="199"/>
      <c r="S395" s="200">
        <f>W395+Y395+AA395+AC395+AE395++AG395+AI395+AK395+AM395+AO395+AQ395+AS395+AU395+AW395</f>
        <v>0</v>
      </c>
      <c r="T395" s="200">
        <f>ROUND(S395*I395,2)</f>
        <v>0</v>
      </c>
      <c r="U395" s="200">
        <f>H395-S395</f>
        <v>1.5</v>
      </c>
      <c r="V395" s="200">
        <f>ROUND(U395*I395,2)</f>
        <v>32.979999999999997</v>
      </c>
      <c r="W395" s="200"/>
      <c r="X395" s="200"/>
      <c r="Y395" s="200"/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0"/>
      <c r="AP395" s="200"/>
      <c r="AQ395" s="200"/>
      <c r="AR395" s="200"/>
      <c r="AS395" s="200"/>
      <c r="AT395" s="200"/>
      <c r="AU395" s="200"/>
      <c r="AV395" s="200"/>
      <c r="AW395" s="200"/>
      <c r="AX395" s="200"/>
      <c r="CG395" s="132" t="s">
        <v>1</v>
      </c>
      <c r="CH395" s="133" t="s">
        <v>40</v>
      </c>
      <c r="CJ395" s="134">
        <f>CI395*H395</f>
        <v>0</v>
      </c>
      <c r="CK395" s="134">
        <v>0</v>
      </c>
      <c r="CL395" s="134">
        <f>CK395*H395</f>
        <v>0</v>
      </c>
      <c r="CM395" s="134">
        <v>0</v>
      </c>
      <c r="CN395" s="135">
        <f>CM395*H395</f>
        <v>0</v>
      </c>
      <c r="DL395" s="136" t="s">
        <v>95</v>
      </c>
      <c r="DN395" s="136" t="s">
        <v>284</v>
      </c>
      <c r="DO395" s="136" t="s">
        <v>83</v>
      </c>
      <c r="DS395" s="16" t="s">
        <v>282</v>
      </c>
      <c r="DY395" s="137">
        <f>IF(CH395="základní",J395,0)</f>
        <v>32.979999999999997</v>
      </c>
      <c r="DZ395" s="137">
        <f>IF(CH395="snížená",J395,0)</f>
        <v>0</v>
      </c>
      <c r="EA395" s="137">
        <f>IF(CH395="zákl. přenesená",J395,0)</f>
        <v>0</v>
      </c>
      <c r="EB395" s="137">
        <f>IF(CH395="sníž. přenesená",J395,0)</f>
        <v>0</v>
      </c>
      <c r="EC395" s="137">
        <f>IF(CH395="nulová",J395,0)</f>
        <v>0</v>
      </c>
      <c r="ED395" s="16" t="s">
        <v>81</v>
      </c>
      <c r="EE395" s="137">
        <f>ROUND(I395*H395,2)</f>
        <v>32.979999999999997</v>
      </c>
      <c r="EF395" s="16" t="s">
        <v>95</v>
      </c>
      <c r="EG395" s="136" t="s">
        <v>778</v>
      </c>
    </row>
    <row r="396" spans="2:137" s="1" customFormat="1" x14ac:dyDescent="0.2">
      <c r="B396" s="31"/>
      <c r="D396" s="138" t="s">
        <v>289</v>
      </c>
      <c r="F396" s="139" t="s">
        <v>779</v>
      </c>
      <c r="I396" s="140"/>
      <c r="L396" s="31"/>
      <c r="N396" s="213"/>
      <c r="O396" s="214"/>
      <c r="Q396" s="229"/>
      <c r="CG396" s="141"/>
      <c r="CN396" s="50"/>
      <c r="DN396" s="16" t="s">
        <v>289</v>
      </c>
      <c r="DO396" s="16" t="s">
        <v>83</v>
      </c>
    </row>
    <row r="397" spans="2:137" s="1" customFormat="1" ht="19.5" x14ac:dyDescent="0.2">
      <c r="B397" s="31"/>
      <c r="D397" s="138" t="s">
        <v>299</v>
      </c>
      <c r="F397" s="142" t="s">
        <v>587</v>
      </c>
      <c r="I397" s="140"/>
      <c r="L397" s="31"/>
      <c r="N397" s="213">
        <f>3.3-1.5</f>
        <v>1.7999999999999998</v>
      </c>
      <c r="O397" s="214" t="s">
        <v>3499</v>
      </c>
      <c r="Q397" s="229"/>
      <c r="CG397" s="141"/>
      <c r="CN397" s="50"/>
      <c r="DN397" s="16" t="s">
        <v>299</v>
      </c>
      <c r="DO397" s="16" t="s">
        <v>83</v>
      </c>
    </row>
    <row r="398" spans="2:137" s="1" customFormat="1" ht="24.2" customHeight="1" x14ac:dyDescent="0.2">
      <c r="B398" s="124"/>
      <c r="C398" s="125" t="s">
        <v>614</v>
      </c>
      <c r="D398" s="125" t="s">
        <v>284</v>
      </c>
      <c r="E398" s="126" t="s">
        <v>582</v>
      </c>
      <c r="F398" s="127" t="s">
        <v>583</v>
      </c>
      <c r="G398" s="128" t="s">
        <v>584</v>
      </c>
      <c r="H398" s="129">
        <v>52</v>
      </c>
      <c r="I398" s="130">
        <v>933.22469567263556</v>
      </c>
      <c r="J398" s="131">
        <f>ROUND(I398*H398,2)</f>
        <v>48527.68</v>
      </c>
      <c r="K398" s="127" t="s">
        <v>293</v>
      </c>
      <c r="L398" s="198">
        <f>S398</f>
        <v>0</v>
      </c>
      <c r="M398" s="206">
        <f>ROUND(L398*I398,2)</f>
        <v>0</v>
      </c>
      <c r="N398" s="211"/>
      <c r="O398" s="212">
        <f>ROUND(N398*I398,2)</f>
        <v>0</v>
      </c>
      <c r="P398" s="207">
        <f>H398-L398-N398</f>
        <v>52</v>
      </c>
      <c r="Q398" s="228">
        <f>ROUND(P398*I398,2)</f>
        <v>48527.68</v>
      </c>
      <c r="R398" s="199"/>
      <c r="S398" s="200">
        <f>W398+Y398+AA398+AC398+AE398++AG398+AI398+AK398+AM398+AO398+AQ398+AS398+AU398+AW398</f>
        <v>0</v>
      </c>
      <c r="T398" s="200">
        <f>ROUND(S398*I398,2)</f>
        <v>0</v>
      </c>
      <c r="U398" s="200">
        <f>H398-S398</f>
        <v>52</v>
      </c>
      <c r="V398" s="200">
        <f>ROUND(U398*I398,2)</f>
        <v>48527.68</v>
      </c>
      <c r="W398" s="200"/>
      <c r="X398" s="200"/>
      <c r="Y398" s="200"/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0"/>
      <c r="AP398" s="200"/>
      <c r="AQ398" s="200"/>
      <c r="AR398" s="200"/>
      <c r="AS398" s="200"/>
      <c r="AT398" s="200"/>
      <c r="AU398" s="200"/>
      <c r="AV398" s="200"/>
      <c r="AW398" s="200"/>
      <c r="AX398" s="200"/>
      <c r="CG398" s="132" t="s">
        <v>1</v>
      </c>
      <c r="CH398" s="133" t="s">
        <v>40</v>
      </c>
      <c r="CJ398" s="134">
        <f>CI398*H398</f>
        <v>0</v>
      </c>
      <c r="CK398" s="134">
        <v>3.1E-4</v>
      </c>
      <c r="CL398" s="134">
        <f>CK398*H398</f>
        <v>1.6119999999999999E-2</v>
      </c>
      <c r="CM398" s="134">
        <v>0</v>
      </c>
      <c r="CN398" s="135">
        <f>CM398*H398</f>
        <v>0</v>
      </c>
      <c r="DL398" s="136" t="s">
        <v>95</v>
      </c>
      <c r="DN398" s="136" t="s">
        <v>284</v>
      </c>
      <c r="DO398" s="136" t="s">
        <v>83</v>
      </c>
      <c r="DS398" s="16" t="s">
        <v>282</v>
      </c>
      <c r="DY398" s="137">
        <f>IF(CH398="základní",J398,0)</f>
        <v>48527.68</v>
      </c>
      <c r="DZ398" s="137">
        <f>IF(CH398="snížená",J398,0)</f>
        <v>0</v>
      </c>
      <c r="EA398" s="137">
        <f>IF(CH398="zákl. přenesená",J398,0)</f>
        <v>0</v>
      </c>
      <c r="EB398" s="137">
        <f>IF(CH398="sníž. přenesená",J398,0)</f>
        <v>0</v>
      </c>
      <c r="EC398" s="137">
        <f>IF(CH398="nulová",J398,0)</f>
        <v>0</v>
      </c>
      <c r="ED398" s="16" t="s">
        <v>81</v>
      </c>
      <c r="EE398" s="137">
        <f>ROUND(I398*H398,2)</f>
        <v>48527.68</v>
      </c>
      <c r="EF398" s="16" t="s">
        <v>95</v>
      </c>
      <c r="EG398" s="136" t="s">
        <v>585</v>
      </c>
    </row>
    <row r="399" spans="2:137" s="1" customFormat="1" x14ac:dyDescent="0.2">
      <c r="B399" s="31"/>
      <c r="D399" s="138" t="s">
        <v>289</v>
      </c>
      <c r="F399" s="139" t="s">
        <v>586</v>
      </c>
      <c r="I399" s="140"/>
      <c r="L399" s="31"/>
      <c r="N399" s="213"/>
      <c r="O399" s="214"/>
      <c r="Q399" s="229"/>
      <c r="CG399" s="141"/>
      <c r="CN399" s="50"/>
      <c r="DN399" s="16" t="s">
        <v>289</v>
      </c>
      <c r="DO399" s="16" t="s">
        <v>83</v>
      </c>
    </row>
    <row r="400" spans="2:137" s="1" customFormat="1" ht="19.5" x14ac:dyDescent="0.2">
      <c r="B400" s="31"/>
      <c r="D400" s="138" t="s">
        <v>299</v>
      </c>
      <c r="F400" s="142" t="s">
        <v>587</v>
      </c>
      <c r="I400" s="140"/>
      <c r="L400" s="31"/>
      <c r="N400" s="213"/>
      <c r="O400" s="214"/>
      <c r="Q400" s="229"/>
      <c r="CG400" s="141"/>
      <c r="CN400" s="50"/>
      <c r="DN400" s="16" t="s">
        <v>299</v>
      </c>
      <c r="DO400" s="16" t="s">
        <v>83</v>
      </c>
    </row>
    <row r="401" spans="2:137" s="11" customFormat="1" x14ac:dyDescent="0.2">
      <c r="B401" s="143"/>
      <c r="D401" s="138" t="s">
        <v>301</v>
      </c>
      <c r="E401" s="144" t="s">
        <v>1</v>
      </c>
      <c r="F401" s="145" t="s">
        <v>588</v>
      </c>
      <c r="H401" s="144" t="s">
        <v>1</v>
      </c>
      <c r="I401" s="146"/>
      <c r="L401" s="143"/>
      <c r="N401" s="215"/>
      <c r="O401" s="216"/>
      <c r="Q401" s="230"/>
      <c r="CG401" s="147"/>
      <c r="CN401" s="148"/>
      <c r="DN401" s="144" t="s">
        <v>301</v>
      </c>
      <c r="DO401" s="144" t="s">
        <v>83</v>
      </c>
      <c r="DP401" s="11" t="s">
        <v>81</v>
      </c>
      <c r="DQ401" s="11" t="s">
        <v>32</v>
      </c>
      <c r="DR401" s="11" t="s">
        <v>74</v>
      </c>
      <c r="DS401" s="144" t="s">
        <v>282</v>
      </c>
    </row>
    <row r="402" spans="2:137" s="12" customFormat="1" x14ac:dyDescent="0.2">
      <c r="B402" s="149"/>
      <c r="D402" s="138" t="s">
        <v>301</v>
      </c>
      <c r="E402" s="150" t="s">
        <v>1</v>
      </c>
      <c r="F402" s="151" t="s">
        <v>1518</v>
      </c>
      <c r="H402" s="152">
        <v>52</v>
      </c>
      <c r="I402" s="153"/>
      <c r="L402" s="149"/>
      <c r="N402" s="217"/>
      <c r="O402" s="218"/>
      <c r="Q402" s="231"/>
      <c r="CG402" s="154"/>
      <c r="CN402" s="155"/>
      <c r="DN402" s="150" t="s">
        <v>301</v>
      </c>
      <c r="DO402" s="150" t="s">
        <v>83</v>
      </c>
      <c r="DP402" s="12" t="s">
        <v>83</v>
      </c>
      <c r="DQ402" s="12" t="s">
        <v>32</v>
      </c>
      <c r="DR402" s="12" t="s">
        <v>81</v>
      </c>
      <c r="DS402" s="150" t="s">
        <v>282</v>
      </c>
    </row>
    <row r="403" spans="2:137" s="1" customFormat="1" ht="24.2" customHeight="1" x14ac:dyDescent="0.2">
      <c r="B403" s="124"/>
      <c r="C403" s="125" t="s">
        <v>618</v>
      </c>
      <c r="D403" s="125" t="s">
        <v>284</v>
      </c>
      <c r="E403" s="126" t="s">
        <v>590</v>
      </c>
      <c r="F403" s="127" t="s">
        <v>591</v>
      </c>
      <c r="G403" s="128" t="s">
        <v>344</v>
      </c>
      <c r="H403" s="129">
        <v>1602</v>
      </c>
      <c r="I403" s="130">
        <v>29.453410986389244</v>
      </c>
      <c r="J403" s="131">
        <f>ROUND(I403*H403,2)</f>
        <v>47184.36</v>
      </c>
      <c r="K403" s="127" t="s">
        <v>293</v>
      </c>
      <c r="L403" s="198">
        <f>S403</f>
        <v>0</v>
      </c>
      <c r="M403" s="206">
        <f>ROUND(L403*I403,2)</f>
        <v>0</v>
      </c>
      <c r="N403" s="211">
        <f>N406</f>
        <v>-9.0999999999999091</v>
      </c>
      <c r="O403" s="212">
        <f>ROUND(N403*I403,2)</f>
        <v>-268.02999999999997</v>
      </c>
      <c r="P403" s="207">
        <f>H403-L403-N403</f>
        <v>1611.1</v>
      </c>
      <c r="Q403" s="228">
        <f>ROUND(P403*I403,2)</f>
        <v>47452.39</v>
      </c>
      <c r="R403" s="199"/>
      <c r="S403" s="200">
        <f>W403+Y403+AA403+AC403+AE403++AG403+AI403+AK403+AM403+AO403+AQ403+AS403+AU403+AW403</f>
        <v>0</v>
      </c>
      <c r="T403" s="200">
        <f>ROUND(S403*I403,2)</f>
        <v>0</v>
      </c>
      <c r="U403" s="200">
        <f>H403-S403</f>
        <v>1602</v>
      </c>
      <c r="V403" s="200">
        <f>ROUND(U403*I403,2)</f>
        <v>47184.36</v>
      </c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200"/>
      <c r="AT403" s="200"/>
      <c r="AU403" s="200"/>
      <c r="AV403" s="200"/>
      <c r="AW403" s="200"/>
      <c r="AX403" s="200"/>
      <c r="CG403" s="132" t="s">
        <v>1</v>
      </c>
      <c r="CH403" s="133" t="s">
        <v>40</v>
      </c>
      <c r="CJ403" s="134">
        <f>CI403*H403</f>
        <v>0</v>
      </c>
      <c r="CK403" s="134">
        <v>0</v>
      </c>
      <c r="CL403" s="134">
        <f>CK403*H403</f>
        <v>0</v>
      </c>
      <c r="CM403" s="134">
        <v>0</v>
      </c>
      <c r="CN403" s="135">
        <f>CM403*H403</f>
        <v>0</v>
      </c>
      <c r="DL403" s="136" t="s">
        <v>95</v>
      </c>
      <c r="DN403" s="136" t="s">
        <v>284</v>
      </c>
      <c r="DO403" s="136" t="s">
        <v>83</v>
      </c>
      <c r="DS403" s="16" t="s">
        <v>282</v>
      </c>
      <c r="DY403" s="137">
        <f>IF(CH403="základní",J403,0)</f>
        <v>47184.36</v>
      </c>
      <c r="DZ403" s="137">
        <f>IF(CH403="snížená",J403,0)</f>
        <v>0</v>
      </c>
      <c r="EA403" s="137">
        <f>IF(CH403="zákl. přenesená",J403,0)</f>
        <v>0</v>
      </c>
      <c r="EB403" s="137">
        <f>IF(CH403="sníž. přenesená",J403,0)</f>
        <v>0</v>
      </c>
      <c r="EC403" s="137">
        <f>IF(CH403="nulová",J403,0)</f>
        <v>0</v>
      </c>
      <c r="ED403" s="16" t="s">
        <v>81</v>
      </c>
      <c r="EE403" s="137">
        <f>ROUND(I403*H403,2)</f>
        <v>47184.36</v>
      </c>
      <c r="EF403" s="16" t="s">
        <v>95</v>
      </c>
      <c r="EG403" s="136" t="s">
        <v>592</v>
      </c>
    </row>
    <row r="404" spans="2:137" s="1" customFormat="1" x14ac:dyDescent="0.2">
      <c r="B404" s="31"/>
      <c r="D404" s="138" t="s">
        <v>289</v>
      </c>
      <c r="F404" s="139" t="s">
        <v>593</v>
      </c>
      <c r="I404" s="140"/>
      <c r="L404" s="31"/>
      <c r="N404" s="213"/>
      <c r="O404" s="214"/>
      <c r="Q404" s="229"/>
      <c r="CG404" s="141"/>
      <c r="CN404" s="50"/>
      <c r="DN404" s="16" t="s">
        <v>289</v>
      </c>
      <c r="DO404" s="16" t="s">
        <v>83</v>
      </c>
    </row>
    <row r="405" spans="2:137" s="1" customFormat="1" ht="19.5" x14ac:dyDescent="0.2">
      <c r="B405" s="31"/>
      <c r="D405" s="138" t="s">
        <v>299</v>
      </c>
      <c r="F405" s="142" t="s">
        <v>587</v>
      </c>
      <c r="I405" s="140"/>
      <c r="L405" s="31"/>
      <c r="N405" s="213"/>
      <c r="O405" s="214"/>
      <c r="Q405" s="229"/>
      <c r="CG405" s="141"/>
      <c r="CN405" s="50"/>
      <c r="DN405" s="16" t="s">
        <v>299</v>
      </c>
      <c r="DO405" s="16" t="s">
        <v>83</v>
      </c>
    </row>
    <row r="406" spans="2:137" s="12" customFormat="1" x14ac:dyDescent="0.2">
      <c r="B406" s="149"/>
      <c r="D406" s="138" t="s">
        <v>301</v>
      </c>
      <c r="E406" s="150" t="s">
        <v>1</v>
      </c>
      <c r="F406" s="151" t="s">
        <v>1519</v>
      </c>
      <c r="H406" s="152">
        <v>1602</v>
      </c>
      <c r="I406" s="153"/>
      <c r="L406" s="149"/>
      <c r="N406" s="217">
        <f>1592.9-1602</f>
        <v>-9.0999999999999091</v>
      </c>
      <c r="O406" s="359" t="s">
        <v>3505</v>
      </c>
      <c r="Q406" s="231"/>
      <c r="CG406" s="154"/>
      <c r="CN406" s="155"/>
      <c r="DN406" s="150" t="s">
        <v>301</v>
      </c>
      <c r="DO406" s="150" t="s">
        <v>83</v>
      </c>
      <c r="DP406" s="12" t="s">
        <v>83</v>
      </c>
      <c r="DQ406" s="12" t="s">
        <v>32</v>
      </c>
      <c r="DR406" s="12" t="s">
        <v>81</v>
      </c>
      <c r="DS406" s="150" t="s">
        <v>282</v>
      </c>
    </row>
    <row r="407" spans="2:137" s="1" customFormat="1" ht="24.2" customHeight="1" x14ac:dyDescent="0.2">
      <c r="B407" s="124"/>
      <c r="C407" s="125" t="s">
        <v>622</v>
      </c>
      <c r="D407" s="125" t="s">
        <v>284</v>
      </c>
      <c r="E407" s="126" t="s">
        <v>1520</v>
      </c>
      <c r="F407" s="127" t="s">
        <v>1521</v>
      </c>
      <c r="G407" s="128" t="s">
        <v>584</v>
      </c>
      <c r="H407" s="129">
        <v>3</v>
      </c>
      <c r="I407" s="130">
        <v>1046.5928102450885</v>
      </c>
      <c r="J407" s="131">
        <f>ROUND(I407*H407,2)</f>
        <v>3139.78</v>
      </c>
      <c r="K407" s="127" t="s">
        <v>293</v>
      </c>
      <c r="L407" s="198">
        <f>S407</f>
        <v>0</v>
      </c>
      <c r="M407" s="206">
        <f>ROUND(L407*I407,2)</f>
        <v>0</v>
      </c>
      <c r="N407" s="211"/>
      <c r="O407" s="212">
        <f>ROUND(N407*I407,2)</f>
        <v>0</v>
      </c>
      <c r="P407" s="207">
        <f>H407-L407-N407</f>
        <v>3</v>
      </c>
      <c r="Q407" s="228">
        <f>ROUND(P407*I407,2)</f>
        <v>3139.78</v>
      </c>
      <c r="R407" s="199"/>
      <c r="S407" s="200">
        <f>W407+Y407+AA407+AC407+AE407++AG407+AI407+AK407+AM407+AO407+AQ407+AS407+AU407+AW407</f>
        <v>0</v>
      </c>
      <c r="T407" s="200">
        <f>ROUND(S407*I407,2)</f>
        <v>0</v>
      </c>
      <c r="U407" s="200">
        <f>H407-S407</f>
        <v>3</v>
      </c>
      <c r="V407" s="200">
        <f>ROUND(U407*I407,2)</f>
        <v>3139.78</v>
      </c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0"/>
      <c r="AP407" s="200"/>
      <c r="AQ407" s="200"/>
      <c r="AR407" s="200"/>
      <c r="AS407" s="200"/>
      <c r="AT407" s="200"/>
      <c r="AU407" s="200"/>
      <c r="AV407" s="200"/>
      <c r="AW407" s="200"/>
      <c r="AX407" s="200"/>
      <c r="CG407" s="132" t="s">
        <v>1</v>
      </c>
      <c r="CH407" s="133" t="s">
        <v>40</v>
      </c>
      <c r="CJ407" s="134">
        <f>CI407*H407</f>
        <v>0</v>
      </c>
      <c r="CK407" s="134">
        <v>2.5000000000000001E-4</v>
      </c>
      <c r="CL407" s="134">
        <f>CK407*H407</f>
        <v>7.5000000000000002E-4</v>
      </c>
      <c r="CM407" s="134">
        <v>0</v>
      </c>
      <c r="CN407" s="135">
        <f>CM407*H407</f>
        <v>0</v>
      </c>
      <c r="DL407" s="136" t="s">
        <v>95</v>
      </c>
      <c r="DN407" s="136" t="s">
        <v>284</v>
      </c>
      <c r="DO407" s="136" t="s">
        <v>83</v>
      </c>
      <c r="DS407" s="16" t="s">
        <v>282</v>
      </c>
      <c r="DY407" s="137">
        <f>IF(CH407="základní",J407,0)</f>
        <v>3139.78</v>
      </c>
      <c r="DZ407" s="137">
        <f>IF(CH407="snížená",J407,0)</f>
        <v>0</v>
      </c>
      <c r="EA407" s="137">
        <f>IF(CH407="zákl. přenesená",J407,0)</f>
        <v>0</v>
      </c>
      <c r="EB407" s="137">
        <f>IF(CH407="sníž. přenesená",J407,0)</f>
        <v>0</v>
      </c>
      <c r="EC407" s="137">
        <f>IF(CH407="nulová",J407,0)</f>
        <v>0</v>
      </c>
      <c r="ED407" s="16" t="s">
        <v>81</v>
      </c>
      <c r="EE407" s="137">
        <f>ROUND(I407*H407,2)</f>
        <v>3139.78</v>
      </c>
      <c r="EF407" s="16" t="s">
        <v>95</v>
      </c>
      <c r="EG407" s="136" t="s">
        <v>1522</v>
      </c>
    </row>
    <row r="408" spans="2:137" s="1" customFormat="1" x14ac:dyDescent="0.2">
      <c r="B408" s="31"/>
      <c r="D408" s="138" t="s">
        <v>289</v>
      </c>
      <c r="F408" s="139" t="s">
        <v>1523</v>
      </c>
      <c r="I408" s="140"/>
      <c r="L408" s="31"/>
      <c r="N408" s="213"/>
      <c r="O408" s="214"/>
      <c r="Q408" s="229"/>
      <c r="CG408" s="141"/>
      <c r="CN408" s="50"/>
      <c r="DN408" s="16" t="s">
        <v>289</v>
      </c>
      <c r="DO408" s="16" t="s">
        <v>83</v>
      </c>
    </row>
    <row r="409" spans="2:137" s="1" customFormat="1" ht="19.5" x14ac:dyDescent="0.2">
      <c r="B409" s="31"/>
      <c r="D409" s="138" t="s">
        <v>299</v>
      </c>
      <c r="F409" s="142" t="s">
        <v>587</v>
      </c>
      <c r="I409" s="140"/>
      <c r="L409" s="31"/>
      <c r="N409" s="213"/>
      <c r="O409" s="214"/>
      <c r="Q409" s="229"/>
      <c r="CG409" s="141"/>
      <c r="CN409" s="50"/>
      <c r="DN409" s="16" t="s">
        <v>299</v>
      </c>
      <c r="DO409" s="16" t="s">
        <v>83</v>
      </c>
    </row>
    <row r="410" spans="2:137" s="11" customFormat="1" x14ac:dyDescent="0.2">
      <c r="B410" s="143"/>
      <c r="D410" s="138" t="s">
        <v>301</v>
      </c>
      <c r="E410" s="144" t="s">
        <v>1</v>
      </c>
      <c r="F410" s="145" t="s">
        <v>588</v>
      </c>
      <c r="H410" s="144" t="s">
        <v>1</v>
      </c>
      <c r="I410" s="146"/>
      <c r="L410" s="143"/>
      <c r="N410" s="215"/>
      <c r="O410" s="216"/>
      <c r="Q410" s="230"/>
      <c r="CG410" s="147"/>
      <c r="CN410" s="148"/>
      <c r="DN410" s="144" t="s">
        <v>301</v>
      </c>
      <c r="DO410" s="144" t="s">
        <v>83</v>
      </c>
      <c r="DP410" s="11" t="s">
        <v>81</v>
      </c>
      <c r="DQ410" s="11" t="s">
        <v>32</v>
      </c>
      <c r="DR410" s="11" t="s">
        <v>74</v>
      </c>
      <c r="DS410" s="144" t="s">
        <v>282</v>
      </c>
    </row>
    <row r="411" spans="2:137" s="12" customFormat="1" x14ac:dyDescent="0.2">
      <c r="B411" s="149"/>
      <c r="D411" s="138" t="s">
        <v>301</v>
      </c>
      <c r="E411" s="150" t="s">
        <v>1</v>
      </c>
      <c r="F411" s="151" t="s">
        <v>90</v>
      </c>
      <c r="H411" s="152">
        <v>3</v>
      </c>
      <c r="I411" s="153"/>
      <c r="L411" s="149"/>
      <c r="N411" s="217"/>
      <c r="O411" s="218"/>
      <c r="Q411" s="231"/>
      <c r="CG411" s="154"/>
      <c r="CN411" s="155"/>
      <c r="DN411" s="150" t="s">
        <v>301</v>
      </c>
      <c r="DO411" s="150" t="s">
        <v>83</v>
      </c>
      <c r="DP411" s="12" t="s">
        <v>83</v>
      </c>
      <c r="DQ411" s="12" t="s">
        <v>32</v>
      </c>
      <c r="DR411" s="12" t="s">
        <v>81</v>
      </c>
      <c r="DS411" s="150" t="s">
        <v>282</v>
      </c>
    </row>
    <row r="412" spans="2:137" s="1" customFormat="1" ht="14.45" customHeight="1" x14ac:dyDescent="0.2">
      <c r="B412" s="124"/>
      <c r="C412" s="125" t="s">
        <v>627</v>
      </c>
      <c r="D412" s="125" t="s">
        <v>284</v>
      </c>
      <c r="E412" s="126" t="s">
        <v>1524</v>
      </c>
      <c r="F412" s="127" t="s">
        <v>1525</v>
      </c>
      <c r="G412" s="128" t="s">
        <v>344</v>
      </c>
      <c r="H412" s="129">
        <v>65.5</v>
      </c>
      <c r="I412" s="130">
        <v>47.367037910469364</v>
      </c>
      <c r="J412" s="131">
        <f>ROUND(I412*H412,2)</f>
        <v>3102.54</v>
      </c>
      <c r="K412" s="127" t="s">
        <v>293</v>
      </c>
      <c r="L412" s="198">
        <f>S412</f>
        <v>0</v>
      </c>
      <c r="M412" s="206">
        <f>ROUND(L412*I412,2)</f>
        <v>0</v>
      </c>
      <c r="N412" s="211">
        <f>N415</f>
        <v>-2.8299999999999983</v>
      </c>
      <c r="O412" s="212">
        <f>ROUND(N412*I412,2)</f>
        <v>-134.05000000000001</v>
      </c>
      <c r="P412" s="207">
        <f>H412-L412-N412</f>
        <v>68.33</v>
      </c>
      <c r="Q412" s="228">
        <f>ROUND(P412*I412,2)</f>
        <v>3236.59</v>
      </c>
      <c r="R412" s="199"/>
      <c r="S412" s="200">
        <f>W412+Y412+AA412+AC412+AE412++AG412+AI412+AK412+AM412+AO412+AQ412+AS412+AU412+AW412</f>
        <v>0</v>
      </c>
      <c r="T412" s="200">
        <f>ROUND(S412*I412,2)</f>
        <v>0</v>
      </c>
      <c r="U412" s="200">
        <f>H412-S412</f>
        <v>65.5</v>
      </c>
      <c r="V412" s="200">
        <f>ROUND(U412*I412,2)</f>
        <v>3102.54</v>
      </c>
      <c r="W412" s="200"/>
      <c r="X412" s="200"/>
      <c r="Y412" s="200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0"/>
      <c r="AP412" s="200"/>
      <c r="AQ412" s="200"/>
      <c r="AR412" s="200"/>
      <c r="AS412" s="200"/>
      <c r="AT412" s="200"/>
      <c r="AU412" s="200"/>
      <c r="AV412" s="200"/>
      <c r="AW412" s="200"/>
      <c r="AX412" s="200"/>
      <c r="CG412" s="132" t="s">
        <v>1</v>
      </c>
      <c r="CH412" s="133" t="s">
        <v>40</v>
      </c>
      <c r="CJ412" s="134">
        <f>CI412*H412</f>
        <v>0</v>
      </c>
      <c r="CK412" s="134">
        <v>0</v>
      </c>
      <c r="CL412" s="134">
        <f>CK412*H412</f>
        <v>0</v>
      </c>
      <c r="CM412" s="134">
        <v>0</v>
      </c>
      <c r="CN412" s="135">
        <f>CM412*H412</f>
        <v>0</v>
      </c>
      <c r="DL412" s="136" t="s">
        <v>95</v>
      </c>
      <c r="DN412" s="136" t="s">
        <v>284</v>
      </c>
      <c r="DO412" s="136" t="s">
        <v>83</v>
      </c>
      <c r="DS412" s="16" t="s">
        <v>282</v>
      </c>
      <c r="DY412" s="137">
        <f>IF(CH412="základní",J412,0)</f>
        <v>3102.54</v>
      </c>
      <c r="DZ412" s="137">
        <f>IF(CH412="snížená",J412,0)</f>
        <v>0</v>
      </c>
      <c r="EA412" s="137">
        <f>IF(CH412="zákl. přenesená",J412,0)</f>
        <v>0</v>
      </c>
      <c r="EB412" s="137">
        <f>IF(CH412="sníž. přenesená",J412,0)</f>
        <v>0</v>
      </c>
      <c r="EC412" s="137">
        <f>IF(CH412="nulová",J412,0)</f>
        <v>0</v>
      </c>
      <c r="ED412" s="16" t="s">
        <v>81</v>
      </c>
      <c r="EE412" s="137">
        <f>ROUND(I412*H412,2)</f>
        <v>3102.54</v>
      </c>
      <c r="EF412" s="16" t="s">
        <v>95</v>
      </c>
      <c r="EG412" s="136" t="s">
        <v>1526</v>
      </c>
    </row>
    <row r="413" spans="2:137" s="1" customFormat="1" x14ac:dyDescent="0.2">
      <c r="B413" s="31"/>
      <c r="D413" s="138" t="s">
        <v>289</v>
      </c>
      <c r="F413" s="139" t="s">
        <v>1527</v>
      </c>
      <c r="I413" s="140"/>
      <c r="L413" s="31"/>
      <c r="N413" s="213"/>
      <c r="O413" s="214"/>
      <c r="Q413" s="229"/>
      <c r="CG413" s="141"/>
      <c r="CN413" s="50"/>
      <c r="DN413" s="16" t="s">
        <v>289</v>
      </c>
      <c r="DO413" s="16" t="s">
        <v>83</v>
      </c>
    </row>
    <row r="414" spans="2:137" s="1" customFormat="1" ht="19.5" x14ac:dyDescent="0.2">
      <c r="B414" s="31"/>
      <c r="D414" s="138" t="s">
        <v>299</v>
      </c>
      <c r="F414" s="142" t="s">
        <v>587</v>
      </c>
      <c r="I414" s="140"/>
      <c r="L414" s="31"/>
      <c r="N414" s="213"/>
      <c r="O414" s="214"/>
      <c r="Q414" s="229"/>
      <c r="CG414" s="141"/>
      <c r="CN414" s="50"/>
      <c r="DN414" s="16" t="s">
        <v>299</v>
      </c>
      <c r="DO414" s="16" t="s">
        <v>83</v>
      </c>
    </row>
    <row r="415" spans="2:137" s="12" customFormat="1" x14ac:dyDescent="0.2">
      <c r="B415" s="149"/>
      <c r="D415" s="138" t="s">
        <v>301</v>
      </c>
      <c r="E415" s="150" t="s">
        <v>1</v>
      </c>
      <c r="F415" s="151" t="s">
        <v>1528</v>
      </c>
      <c r="H415" s="152">
        <v>65.5</v>
      </c>
      <c r="I415" s="153"/>
      <c r="L415" s="149"/>
      <c r="N415" s="217">
        <f>62.67-65.5</f>
        <v>-2.8299999999999983</v>
      </c>
      <c r="O415" s="218" t="s">
        <v>3506</v>
      </c>
      <c r="Q415" s="231"/>
      <c r="CG415" s="154"/>
      <c r="CN415" s="155"/>
      <c r="DN415" s="150" t="s">
        <v>301</v>
      </c>
      <c r="DO415" s="150" t="s">
        <v>83</v>
      </c>
      <c r="DP415" s="12" t="s">
        <v>83</v>
      </c>
      <c r="DQ415" s="12" t="s">
        <v>32</v>
      </c>
      <c r="DR415" s="12" t="s">
        <v>81</v>
      </c>
      <c r="DS415" s="150" t="s">
        <v>282</v>
      </c>
    </row>
    <row r="416" spans="2:137" s="1" customFormat="1" ht="24.2" customHeight="1" x14ac:dyDescent="0.2">
      <c r="B416" s="124"/>
      <c r="C416" s="125" t="s">
        <v>631</v>
      </c>
      <c r="D416" s="125" t="s">
        <v>284</v>
      </c>
      <c r="E416" s="126" t="s">
        <v>595</v>
      </c>
      <c r="F416" s="127" t="s">
        <v>596</v>
      </c>
      <c r="G416" s="128" t="s">
        <v>485</v>
      </c>
      <c r="H416" s="129">
        <v>112</v>
      </c>
      <c r="I416" s="130">
        <v>867.6587001634532</v>
      </c>
      <c r="J416" s="131">
        <f>ROUND(I416*H416,2)</f>
        <v>97177.77</v>
      </c>
      <c r="K416" s="127" t="s">
        <v>293</v>
      </c>
      <c r="L416" s="198">
        <f>S416</f>
        <v>0</v>
      </c>
      <c r="M416" s="206">
        <f>ROUND(L416*I416,2)</f>
        <v>0</v>
      </c>
      <c r="N416" s="211"/>
      <c r="O416" s="212">
        <f>ROUND(N416*I416,2)</f>
        <v>0</v>
      </c>
      <c r="P416" s="207">
        <f>H416-L416-N416</f>
        <v>112</v>
      </c>
      <c r="Q416" s="228">
        <f>ROUND(P416*I416,2)</f>
        <v>97177.77</v>
      </c>
      <c r="R416" s="199">
        <v>12</v>
      </c>
      <c r="S416" s="200">
        <f>W416+Y416+AA416+AC416+AE416++AG416+AI416+AK416+AM416+AO416+AQ416+AS416+AU416+AW416</f>
        <v>0</v>
      </c>
      <c r="T416" s="200">
        <f>ROUND(S416*I416,2)</f>
        <v>0</v>
      </c>
      <c r="U416" s="200">
        <f>H416-S416</f>
        <v>112</v>
      </c>
      <c r="V416" s="200">
        <f>ROUND(U416*I416,2)</f>
        <v>97177.77</v>
      </c>
      <c r="W416" s="200"/>
      <c r="X416" s="200"/>
      <c r="Y416" s="200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0"/>
      <c r="AP416" s="200"/>
      <c r="AQ416" s="200"/>
      <c r="AR416" s="200"/>
      <c r="AS416" s="200"/>
      <c r="AT416" s="200"/>
      <c r="AU416" s="200"/>
      <c r="AV416" s="200"/>
      <c r="AW416" s="200"/>
      <c r="AX416" s="200"/>
      <c r="CG416" s="132" t="s">
        <v>1</v>
      </c>
      <c r="CH416" s="133" t="s">
        <v>40</v>
      </c>
      <c r="CJ416" s="134">
        <f>CI416*H416</f>
        <v>0</v>
      </c>
      <c r="CK416" s="134">
        <v>1.0189999999999999E-2</v>
      </c>
      <c r="CL416" s="134">
        <f>CK416*H416</f>
        <v>1.1412799999999999</v>
      </c>
      <c r="CM416" s="134">
        <v>0</v>
      </c>
      <c r="CN416" s="135">
        <f>CM416*H416</f>
        <v>0</v>
      </c>
      <c r="DL416" s="136" t="s">
        <v>95</v>
      </c>
      <c r="DN416" s="136" t="s">
        <v>284</v>
      </c>
      <c r="DO416" s="136" t="s">
        <v>83</v>
      </c>
      <c r="DS416" s="16" t="s">
        <v>282</v>
      </c>
      <c r="DY416" s="137">
        <f>IF(CH416="základní",J416,0)</f>
        <v>97177.77</v>
      </c>
      <c r="DZ416" s="137">
        <f>IF(CH416="snížená",J416,0)</f>
        <v>0</v>
      </c>
      <c r="EA416" s="137">
        <f>IF(CH416="zákl. přenesená",J416,0)</f>
        <v>0</v>
      </c>
      <c r="EB416" s="137">
        <f>IF(CH416="sníž. přenesená",J416,0)</f>
        <v>0</v>
      </c>
      <c r="EC416" s="137">
        <f>IF(CH416="nulová",J416,0)</f>
        <v>0</v>
      </c>
      <c r="ED416" s="16" t="s">
        <v>81</v>
      </c>
      <c r="EE416" s="137">
        <f>ROUND(I416*H416,2)</f>
        <v>97177.77</v>
      </c>
      <c r="EF416" s="16" t="s">
        <v>95</v>
      </c>
      <c r="EG416" s="136" t="s">
        <v>597</v>
      </c>
    </row>
    <row r="417" spans="2:137" s="1" customFormat="1" ht="19.5" x14ac:dyDescent="0.2">
      <c r="B417" s="31"/>
      <c r="D417" s="138" t="s">
        <v>289</v>
      </c>
      <c r="F417" s="139" t="s">
        <v>596</v>
      </c>
      <c r="I417" s="140"/>
      <c r="L417" s="31"/>
      <c r="N417" s="213"/>
      <c r="O417" s="214"/>
      <c r="Q417" s="229"/>
      <c r="CG417" s="141"/>
      <c r="CN417" s="50"/>
      <c r="DN417" s="16" t="s">
        <v>289</v>
      </c>
      <c r="DO417" s="16" t="s">
        <v>83</v>
      </c>
    </row>
    <row r="418" spans="2:137" s="1" customFormat="1" ht="19.5" x14ac:dyDescent="0.2">
      <c r="B418" s="31"/>
      <c r="D418" s="138" t="s">
        <v>299</v>
      </c>
      <c r="F418" s="142" t="s">
        <v>317</v>
      </c>
      <c r="I418" s="140"/>
      <c r="L418" s="31"/>
      <c r="N418" s="213"/>
      <c r="O418" s="214"/>
      <c r="Q418" s="229"/>
      <c r="CG418" s="141"/>
      <c r="CN418" s="50"/>
      <c r="DN418" s="16" t="s">
        <v>299</v>
      </c>
      <c r="DO418" s="16" t="s">
        <v>83</v>
      </c>
    </row>
    <row r="419" spans="2:137" s="12" customFormat="1" x14ac:dyDescent="0.2">
      <c r="B419" s="149"/>
      <c r="D419" s="138" t="s">
        <v>301</v>
      </c>
      <c r="E419" s="150" t="s">
        <v>1</v>
      </c>
      <c r="F419" s="151" t="s">
        <v>1529</v>
      </c>
      <c r="H419" s="152">
        <v>112</v>
      </c>
      <c r="I419" s="153"/>
      <c r="L419" s="149"/>
      <c r="N419" s="217"/>
      <c r="O419" s="218"/>
      <c r="Q419" s="231"/>
      <c r="CG419" s="154"/>
      <c r="CN419" s="155"/>
      <c r="DN419" s="150" t="s">
        <v>301</v>
      </c>
      <c r="DO419" s="150" t="s">
        <v>83</v>
      </c>
      <c r="DP419" s="12" t="s">
        <v>83</v>
      </c>
      <c r="DQ419" s="12" t="s">
        <v>32</v>
      </c>
      <c r="DR419" s="12" t="s">
        <v>81</v>
      </c>
      <c r="DS419" s="150" t="s">
        <v>282</v>
      </c>
    </row>
    <row r="420" spans="2:137" s="1" customFormat="1" ht="24.2" customHeight="1" x14ac:dyDescent="0.2">
      <c r="B420" s="124"/>
      <c r="C420" s="170" t="s">
        <v>635</v>
      </c>
      <c r="D420" s="170" t="s">
        <v>439</v>
      </c>
      <c r="E420" s="171" t="s">
        <v>600</v>
      </c>
      <c r="F420" s="172" t="s">
        <v>601</v>
      </c>
      <c r="G420" s="173" t="s">
        <v>485</v>
      </c>
      <c r="H420" s="174">
        <v>24</v>
      </c>
      <c r="I420" s="175">
        <v>1250.3247240000001</v>
      </c>
      <c r="J420" s="176">
        <f>ROUND(I420*H420,2)</f>
        <v>30007.79</v>
      </c>
      <c r="K420" s="172" t="s">
        <v>293</v>
      </c>
      <c r="L420" s="198">
        <f>S420</f>
        <v>0</v>
      </c>
      <c r="M420" s="206">
        <f>ROUND(L420*I420,2)</f>
        <v>0</v>
      </c>
      <c r="N420" s="211"/>
      <c r="O420" s="212">
        <f>ROUND(N420*I420,2)</f>
        <v>0</v>
      </c>
      <c r="P420" s="207">
        <f>H420-L420-N420</f>
        <v>24</v>
      </c>
      <c r="Q420" s="228">
        <f>ROUND(P420*I420,2)</f>
        <v>30007.79</v>
      </c>
      <c r="R420" s="199">
        <v>5</v>
      </c>
      <c r="S420" s="200">
        <f>W420+Y420+AA420+AC420+AE420++AG420+AI420+AK420+AM420+AO420+AQ420+AS420+AU420+AW420</f>
        <v>0</v>
      </c>
      <c r="T420" s="200">
        <f>ROUND(S420*I420,2)</f>
        <v>0</v>
      </c>
      <c r="U420" s="200">
        <f>H420-S420</f>
        <v>24</v>
      </c>
      <c r="V420" s="200">
        <f>ROUND(U420*I420,2)</f>
        <v>30007.79</v>
      </c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77" t="s">
        <v>1</v>
      </c>
      <c r="CH420" s="178" t="s">
        <v>40</v>
      </c>
      <c r="CJ420" s="134">
        <f>CI420*H420</f>
        <v>0</v>
      </c>
      <c r="CK420" s="134">
        <v>0.254</v>
      </c>
      <c r="CL420" s="134">
        <f>CK420*H420</f>
        <v>6.0960000000000001</v>
      </c>
      <c r="CM420" s="134">
        <v>0</v>
      </c>
      <c r="CN420" s="135">
        <f>CM420*H420</f>
        <v>0</v>
      </c>
      <c r="DL420" s="136" t="s">
        <v>328</v>
      </c>
      <c r="DN420" s="136" t="s">
        <v>439</v>
      </c>
      <c r="DO420" s="136" t="s">
        <v>83</v>
      </c>
      <c r="DS420" s="16" t="s">
        <v>282</v>
      </c>
      <c r="DY420" s="137">
        <f>IF(CH420="základní",J420,0)</f>
        <v>30007.79</v>
      </c>
      <c r="DZ420" s="137">
        <f>IF(CH420="snížená",J420,0)</f>
        <v>0</v>
      </c>
      <c r="EA420" s="137">
        <f>IF(CH420="zákl. přenesená",J420,0)</f>
        <v>0</v>
      </c>
      <c r="EB420" s="137">
        <f>IF(CH420="sníž. přenesená",J420,0)</f>
        <v>0</v>
      </c>
      <c r="EC420" s="137">
        <f>IF(CH420="nulová",J420,0)</f>
        <v>0</v>
      </c>
      <c r="ED420" s="16" t="s">
        <v>81</v>
      </c>
      <c r="EE420" s="137">
        <f>ROUND(I420*H420,2)</f>
        <v>30007.79</v>
      </c>
      <c r="EF420" s="16" t="s">
        <v>95</v>
      </c>
      <c r="EG420" s="136" t="s">
        <v>1530</v>
      </c>
    </row>
    <row r="421" spans="2:137" s="1" customFormat="1" x14ac:dyDescent="0.2">
      <c r="B421" s="31"/>
      <c r="D421" s="138" t="s">
        <v>289</v>
      </c>
      <c r="F421" s="139" t="s">
        <v>603</v>
      </c>
      <c r="I421" s="140"/>
      <c r="L421" s="31"/>
      <c r="N421" s="213"/>
      <c r="O421" s="214"/>
      <c r="Q421" s="229"/>
      <c r="CG421" s="141"/>
      <c r="CN421" s="50"/>
      <c r="DN421" s="16" t="s">
        <v>289</v>
      </c>
      <c r="DO421" s="16" t="s">
        <v>83</v>
      </c>
    </row>
    <row r="422" spans="2:137" s="1" customFormat="1" ht="24.2" customHeight="1" x14ac:dyDescent="0.2">
      <c r="B422" s="124"/>
      <c r="C422" s="170" t="s">
        <v>639</v>
      </c>
      <c r="D422" s="170" t="s">
        <v>439</v>
      </c>
      <c r="E422" s="171" t="s">
        <v>605</v>
      </c>
      <c r="F422" s="172" t="s">
        <v>606</v>
      </c>
      <c r="G422" s="173" t="s">
        <v>485</v>
      </c>
      <c r="H422" s="174">
        <v>24</v>
      </c>
      <c r="I422" s="175">
        <v>2008.0972839999999</v>
      </c>
      <c r="J422" s="176">
        <f>ROUND(I422*H422,2)</f>
        <v>48194.33</v>
      </c>
      <c r="K422" s="172" t="s">
        <v>293</v>
      </c>
      <c r="L422" s="198">
        <f>S422</f>
        <v>0</v>
      </c>
      <c r="M422" s="206">
        <f>ROUND(L422*I422,2)</f>
        <v>0</v>
      </c>
      <c r="N422" s="211"/>
      <c r="O422" s="212">
        <f>ROUND(N422*I422,2)</f>
        <v>0</v>
      </c>
      <c r="P422" s="207">
        <f>H422-L422-N422</f>
        <v>24</v>
      </c>
      <c r="Q422" s="228">
        <f>ROUND(P422*I422,2)</f>
        <v>48194.33</v>
      </c>
      <c r="R422" s="199">
        <v>2</v>
      </c>
      <c r="S422" s="200">
        <f>W422+Y422+AA422+AC422+AE422++AG422+AI422+AK422+AM422+AO422+AQ422+AS422+AU422+AW422</f>
        <v>0</v>
      </c>
      <c r="T422" s="200">
        <f>ROUND(S422*I422,2)</f>
        <v>0</v>
      </c>
      <c r="U422" s="200">
        <f>H422-S422</f>
        <v>24</v>
      </c>
      <c r="V422" s="200">
        <f>ROUND(U422*I422,2)</f>
        <v>48194.33</v>
      </c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77" t="s">
        <v>1</v>
      </c>
      <c r="CH422" s="178" t="s">
        <v>40</v>
      </c>
      <c r="CJ422" s="134">
        <f>CI422*H422</f>
        <v>0</v>
      </c>
      <c r="CK422" s="134">
        <v>0.50600000000000001</v>
      </c>
      <c r="CL422" s="134">
        <f>CK422*H422</f>
        <v>12.144</v>
      </c>
      <c r="CM422" s="134">
        <v>0</v>
      </c>
      <c r="CN422" s="135">
        <f>CM422*H422</f>
        <v>0</v>
      </c>
      <c r="DL422" s="136" t="s">
        <v>328</v>
      </c>
      <c r="DN422" s="136" t="s">
        <v>439</v>
      </c>
      <c r="DO422" s="136" t="s">
        <v>83</v>
      </c>
      <c r="DS422" s="16" t="s">
        <v>282</v>
      </c>
      <c r="DY422" s="137">
        <f>IF(CH422="základní",J422,0)</f>
        <v>48194.33</v>
      </c>
      <c r="DZ422" s="137">
        <f>IF(CH422="snížená",J422,0)</f>
        <v>0</v>
      </c>
      <c r="EA422" s="137">
        <f>IF(CH422="zákl. přenesená",J422,0)</f>
        <v>0</v>
      </c>
      <c r="EB422" s="137">
        <f>IF(CH422="sníž. přenesená",J422,0)</f>
        <v>0</v>
      </c>
      <c r="EC422" s="137">
        <f>IF(CH422="nulová",J422,0)</f>
        <v>0</v>
      </c>
      <c r="ED422" s="16" t="s">
        <v>81</v>
      </c>
      <c r="EE422" s="137">
        <f>ROUND(I422*H422,2)</f>
        <v>48194.33</v>
      </c>
      <c r="EF422" s="16" t="s">
        <v>95</v>
      </c>
      <c r="EG422" s="136" t="s">
        <v>607</v>
      </c>
    </row>
    <row r="423" spans="2:137" s="1" customFormat="1" x14ac:dyDescent="0.2">
      <c r="B423" s="31"/>
      <c r="D423" s="138" t="s">
        <v>289</v>
      </c>
      <c r="F423" s="139" t="s">
        <v>608</v>
      </c>
      <c r="I423" s="140"/>
      <c r="L423" s="31"/>
      <c r="N423" s="213"/>
      <c r="O423" s="214"/>
      <c r="Q423" s="229"/>
      <c r="CG423" s="141"/>
      <c r="CN423" s="50"/>
      <c r="DN423" s="16" t="s">
        <v>289</v>
      </c>
      <c r="DO423" s="16" t="s">
        <v>83</v>
      </c>
    </row>
    <row r="424" spans="2:137" s="1" customFormat="1" ht="24.2" customHeight="1" x14ac:dyDescent="0.2">
      <c r="B424" s="124"/>
      <c r="C424" s="170" t="s">
        <v>643</v>
      </c>
      <c r="D424" s="170" t="s">
        <v>439</v>
      </c>
      <c r="E424" s="171" t="s">
        <v>610</v>
      </c>
      <c r="F424" s="172" t="s">
        <v>611</v>
      </c>
      <c r="G424" s="173" t="s">
        <v>485</v>
      </c>
      <c r="H424" s="174">
        <v>64</v>
      </c>
      <c r="I424" s="175">
        <v>2661.676117</v>
      </c>
      <c r="J424" s="176">
        <f>ROUND(I424*H424,2)</f>
        <v>170347.27</v>
      </c>
      <c r="K424" s="172" t="s">
        <v>293</v>
      </c>
      <c r="L424" s="198">
        <f>S424</f>
        <v>0</v>
      </c>
      <c r="M424" s="206">
        <f>ROUND(L424*I424,2)</f>
        <v>0</v>
      </c>
      <c r="N424" s="211"/>
      <c r="O424" s="212">
        <f>ROUND(N424*I424,2)</f>
        <v>0</v>
      </c>
      <c r="P424" s="207">
        <f>H424-L424-N424</f>
        <v>64</v>
      </c>
      <c r="Q424" s="228">
        <f>ROUND(P424*I424,2)</f>
        <v>170347.27</v>
      </c>
      <c r="R424" s="199">
        <v>5</v>
      </c>
      <c r="S424" s="200">
        <f>W424+Y424+AA424+AC424+AE424++AG424+AI424+AK424+AM424+AO424+AQ424+AS424+AU424+AW424</f>
        <v>0</v>
      </c>
      <c r="T424" s="200">
        <f>ROUND(S424*I424,2)</f>
        <v>0</v>
      </c>
      <c r="U424" s="200">
        <f>H424-S424</f>
        <v>64</v>
      </c>
      <c r="V424" s="200">
        <f>ROUND(U424*I424,2)</f>
        <v>170347.27</v>
      </c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77" t="s">
        <v>1</v>
      </c>
      <c r="CH424" s="178" t="s">
        <v>40</v>
      </c>
      <c r="CJ424" s="134">
        <f>CI424*H424</f>
        <v>0</v>
      </c>
      <c r="CK424" s="134">
        <v>1.0129999999999999</v>
      </c>
      <c r="CL424" s="134">
        <f>CK424*H424</f>
        <v>64.831999999999994</v>
      </c>
      <c r="CM424" s="134">
        <v>0</v>
      </c>
      <c r="CN424" s="135">
        <f>CM424*H424</f>
        <v>0</v>
      </c>
      <c r="DL424" s="136" t="s">
        <v>328</v>
      </c>
      <c r="DN424" s="136" t="s">
        <v>439</v>
      </c>
      <c r="DO424" s="136" t="s">
        <v>83</v>
      </c>
      <c r="DS424" s="16" t="s">
        <v>282</v>
      </c>
      <c r="DY424" s="137">
        <f>IF(CH424="základní",J424,0)</f>
        <v>170347.27</v>
      </c>
      <c r="DZ424" s="137">
        <f>IF(CH424="snížená",J424,0)</f>
        <v>0</v>
      </c>
      <c r="EA424" s="137">
        <f>IF(CH424="zákl. přenesená",J424,0)</f>
        <v>0</v>
      </c>
      <c r="EB424" s="137">
        <f>IF(CH424="sníž. přenesená",J424,0)</f>
        <v>0</v>
      </c>
      <c r="EC424" s="137">
        <f>IF(CH424="nulová",J424,0)</f>
        <v>0</v>
      </c>
      <c r="ED424" s="16" t="s">
        <v>81</v>
      </c>
      <c r="EE424" s="137">
        <f>ROUND(I424*H424,2)</f>
        <v>170347.27</v>
      </c>
      <c r="EF424" s="16" t="s">
        <v>95</v>
      </c>
      <c r="EG424" s="136" t="s">
        <v>612</v>
      </c>
    </row>
    <row r="425" spans="2:137" s="1" customFormat="1" x14ac:dyDescent="0.2">
      <c r="B425" s="31"/>
      <c r="D425" s="138" t="s">
        <v>289</v>
      </c>
      <c r="F425" s="139" t="s">
        <v>613</v>
      </c>
      <c r="I425" s="140"/>
      <c r="L425" s="31"/>
      <c r="N425" s="213"/>
      <c r="O425" s="214"/>
      <c r="Q425" s="229"/>
      <c r="CG425" s="141"/>
      <c r="CN425" s="50"/>
      <c r="DN425" s="16" t="s">
        <v>289</v>
      </c>
      <c r="DO425" s="16" t="s">
        <v>83</v>
      </c>
    </row>
    <row r="426" spans="2:137" s="1" customFormat="1" ht="24.2" customHeight="1" x14ac:dyDescent="0.2">
      <c r="B426" s="124"/>
      <c r="C426" s="125" t="s">
        <v>650</v>
      </c>
      <c r="D426" s="125" t="s">
        <v>284</v>
      </c>
      <c r="E426" s="126" t="s">
        <v>615</v>
      </c>
      <c r="F426" s="127" t="s">
        <v>616</v>
      </c>
      <c r="G426" s="128" t="s">
        <v>485</v>
      </c>
      <c r="H426" s="129">
        <v>51</v>
      </c>
      <c r="I426" s="130">
        <v>900.06084521218918</v>
      </c>
      <c r="J426" s="131">
        <f>ROUND(I426*H426,2)</f>
        <v>45903.1</v>
      </c>
      <c r="K426" s="127" t="s">
        <v>293</v>
      </c>
      <c r="L426" s="198">
        <f>S426</f>
        <v>0</v>
      </c>
      <c r="M426" s="206">
        <f>ROUND(L426*I426,2)</f>
        <v>0</v>
      </c>
      <c r="N426" s="211"/>
      <c r="O426" s="212">
        <f>ROUND(N426*I426,2)</f>
        <v>0</v>
      </c>
      <c r="P426" s="207">
        <f>H426-L426-N426</f>
        <v>51</v>
      </c>
      <c r="Q426" s="228">
        <f>ROUND(P426*I426,2)</f>
        <v>45903.1</v>
      </c>
      <c r="R426" s="199"/>
      <c r="S426" s="200">
        <f>W426+Y426+AA426+AC426+AE426++AG426+AI426+AK426+AM426+AO426+AQ426+AS426+AU426+AW426</f>
        <v>0</v>
      </c>
      <c r="T426" s="200">
        <f>ROUND(S426*I426,2)</f>
        <v>0</v>
      </c>
      <c r="U426" s="200">
        <f>H426-S426</f>
        <v>51</v>
      </c>
      <c r="V426" s="200">
        <f>ROUND(U426*I426,2)</f>
        <v>45903.1</v>
      </c>
      <c r="W426" s="200"/>
      <c r="X426" s="200"/>
      <c r="Y426" s="200"/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0"/>
      <c r="AP426" s="200"/>
      <c r="AQ426" s="200"/>
      <c r="AR426" s="200"/>
      <c r="AS426" s="200"/>
      <c r="AT426" s="200"/>
      <c r="AU426" s="200"/>
      <c r="AV426" s="200"/>
      <c r="AW426" s="200"/>
      <c r="AX426" s="200"/>
      <c r="CG426" s="132" t="s">
        <v>1</v>
      </c>
      <c r="CH426" s="133" t="s">
        <v>40</v>
      </c>
      <c r="CJ426" s="134">
        <f>CI426*H426</f>
        <v>0</v>
      </c>
      <c r="CK426" s="134">
        <v>1.248E-2</v>
      </c>
      <c r="CL426" s="134">
        <f>CK426*H426</f>
        <v>0.63647999999999993</v>
      </c>
      <c r="CM426" s="134">
        <v>0</v>
      </c>
      <c r="CN426" s="135">
        <f>CM426*H426</f>
        <v>0</v>
      </c>
      <c r="DL426" s="136" t="s">
        <v>95</v>
      </c>
      <c r="DN426" s="136" t="s">
        <v>284</v>
      </c>
      <c r="DO426" s="136" t="s">
        <v>83</v>
      </c>
      <c r="DS426" s="16" t="s">
        <v>282</v>
      </c>
      <c r="DY426" s="137">
        <f>IF(CH426="základní",J426,0)</f>
        <v>45903.1</v>
      </c>
      <c r="DZ426" s="137">
        <f>IF(CH426="snížená",J426,0)</f>
        <v>0</v>
      </c>
      <c r="EA426" s="137">
        <f>IF(CH426="zákl. přenesená",J426,0)</f>
        <v>0</v>
      </c>
      <c r="EB426" s="137">
        <f>IF(CH426="sníž. přenesená",J426,0)</f>
        <v>0</v>
      </c>
      <c r="EC426" s="137">
        <f>IF(CH426="nulová",J426,0)</f>
        <v>0</v>
      </c>
      <c r="ED426" s="16" t="s">
        <v>81</v>
      </c>
      <c r="EE426" s="137">
        <f>ROUND(I426*H426,2)</f>
        <v>45903.1</v>
      </c>
      <c r="EF426" s="16" t="s">
        <v>95</v>
      </c>
      <c r="EG426" s="136" t="s">
        <v>617</v>
      </c>
    </row>
    <row r="427" spans="2:137" s="1" customFormat="1" ht="19.5" x14ac:dyDescent="0.2">
      <c r="B427" s="31"/>
      <c r="D427" s="138" t="s">
        <v>289</v>
      </c>
      <c r="F427" s="139" t="s">
        <v>616</v>
      </c>
      <c r="I427" s="140"/>
      <c r="L427" s="31"/>
      <c r="N427" s="213"/>
      <c r="O427" s="214"/>
      <c r="Q427" s="229"/>
      <c r="CG427" s="141"/>
      <c r="CN427" s="50"/>
      <c r="DN427" s="16" t="s">
        <v>289</v>
      </c>
      <c r="DO427" s="16" t="s">
        <v>83</v>
      </c>
    </row>
    <row r="428" spans="2:137" s="1" customFormat="1" ht="19.5" x14ac:dyDescent="0.2">
      <c r="B428" s="31"/>
      <c r="D428" s="138" t="s">
        <v>299</v>
      </c>
      <c r="F428" s="142" t="s">
        <v>317</v>
      </c>
      <c r="I428" s="140"/>
      <c r="L428" s="31"/>
      <c r="N428" s="213"/>
      <c r="O428" s="214"/>
      <c r="Q428" s="229"/>
      <c r="CG428" s="141"/>
      <c r="CN428" s="50"/>
      <c r="DN428" s="16" t="s">
        <v>299</v>
      </c>
      <c r="DO428" s="16" t="s">
        <v>83</v>
      </c>
    </row>
    <row r="429" spans="2:137" s="12" customFormat="1" x14ac:dyDescent="0.2">
      <c r="B429" s="149"/>
      <c r="D429" s="138" t="s">
        <v>301</v>
      </c>
      <c r="E429" s="150" t="s">
        <v>1</v>
      </c>
      <c r="F429" s="151" t="s">
        <v>589</v>
      </c>
      <c r="H429" s="152">
        <v>51</v>
      </c>
      <c r="I429" s="153"/>
      <c r="L429" s="149"/>
      <c r="N429" s="217"/>
      <c r="O429" s="218"/>
      <c r="Q429" s="231"/>
      <c r="CG429" s="154"/>
      <c r="CN429" s="155"/>
      <c r="DN429" s="150" t="s">
        <v>301</v>
      </c>
      <c r="DO429" s="150" t="s">
        <v>83</v>
      </c>
      <c r="DP429" s="12" t="s">
        <v>83</v>
      </c>
      <c r="DQ429" s="12" t="s">
        <v>32</v>
      </c>
      <c r="DR429" s="12" t="s">
        <v>81</v>
      </c>
      <c r="DS429" s="150" t="s">
        <v>282</v>
      </c>
    </row>
    <row r="430" spans="2:137" s="1" customFormat="1" ht="24.2" customHeight="1" x14ac:dyDescent="0.2">
      <c r="B430" s="124"/>
      <c r="C430" s="170" t="s">
        <v>655</v>
      </c>
      <c r="D430" s="170" t="s">
        <v>439</v>
      </c>
      <c r="E430" s="171" t="s">
        <v>619</v>
      </c>
      <c r="F430" s="172" t="s">
        <v>620</v>
      </c>
      <c r="G430" s="173" t="s">
        <v>485</v>
      </c>
      <c r="H430" s="174">
        <v>51</v>
      </c>
      <c r="I430" s="175">
        <v>2453.2886629999998</v>
      </c>
      <c r="J430" s="176">
        <f>ROUND(I430*H430,2)</f>
        <v>125117.72</v>
      </c>
      <c r="K430" s="172" t="s">
        <v>293</v>
      </c>
      <c r="L430" s="198">
        <f>S430</f>
        <v>0</v>
      </c>
      <c r="M430" s="206">
        <f>ROUND(L430*I430,2)</f>
        <v>0</v>
      </c>
      <c r="N430" s="211"/>
      <c r="O430" s="212">
        <f>ROUND(N430*I430,2)</f>
        <v>0</v>
      </c>
      <c r="P430" s="207">
        <f>H430-L430-N430</f>
        <v>51</v>
      </c>
      <c r="Q430" s="228">
        <f>ROUND(P430*I430,2)</f>
        <v>125117.72</v>
      </c>
      <c r="R430" s="199"/>
      <c r="S430" s="200">
        <f>W430+Y430+AA430+AC430+AE430++AG430+AI430+AK430+AM430+AO430+AQ430+AS430+AU430+AW430</f>
        <v>0</v>
      </c>
      <c r="T430" s="200">
        <f>ROUND(S430*I430,2)</f>
        <v>0</v>
      </c>
      <c r="U430" s="200">
        <f>H430-S430</f>
        <v>51</v>
      </c>
      <c r="V430" s="200">
        <f>ROUND(U430*I430,2)</f>
        <v>125117.72</v>
      </c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77" t="s">
        <v>1</v>
      </c>
      <c r="CH430" s="178" t="s">
        <v>40</v>
      </c>
      <c r="CJ430" s="134">
        <f>CI430*H430</f>
        <v>0</v>
      </c>
      <c r="CK430" s="134">
        <v>0.54800000000000004</v>
      </c>
      <c r="CL430" s="134">
        <f>CK430*H430</f>
        <v>27.948</v>
      </c>
      <c r="CM430" s="134">
        <v>0</v>
      </c>
      <c r="CN430" s="135">
        <f>CM430*H430</f>
        <v>0</v>
      </c>
      <c r="DL430" s="136" t="s">
        <v>328</v>
      </c>
      <c r="DN430" s="136" t="s">
        <v>439</v>
      </c>
      <c r="DO430" s="136" t="s">
        <v>83</v>
      </c>
      <c r="DS430" s="16" t="s">
        <v>282</v>
      </c>
      <c r="DY430" s="137">
        <f>IF(CH430="základní",J430,0)</f>
        <v>125117.72</v>
      </c>
      <c r="DZ430" s="137">
        <f>IF(CH430="snížená",J430,0)</f>
        <v>0</v>
      </c>
      <c r="EA430" s="137">
        <f>IF(CH430="zákl. přenesená",J430,0)</f>
        <v>0</v>
      </c>
      <c r="EB430" s="137">
        <f>IF(CH430="sníž. přenesená",J430,0)</f>
        <v>0</v>
      </c>
      <c r="EC430" s="137">
        <f>IF(CH430="nulová",J430,0)</f>
        <v>0</v>
      </c>
      <c r="ED430" s="16" t="s">
        <v>81</v>
      </c>
      <c r="EE430" s="137">
        <f>ROUND(I430*H430,2)</f>
        <v>125117.72</v>
      </c>
      <c r="EF430" s="16" t="s">
        <v>95</v>
      </c>
      <c r="EG430" s="136" t="s">
        <v>621</v>
      </c>
    </row>
    <row r="431" spans="2:137" s="1" customFormat="1" ht="19.5" x14ac:dyDescent="0.2">
      <c r="B431" s="31"/>
      <c r="D431" s="138" t="s">
        <v>289</v>
      </c>
      <c r="F431" s="139" t="s">
        <v>620</v>
      </c>
      <c r="I431" s="140"/>
      <c r="L431" s="31"/>
      <c r="N431" s="213"/>
      <c r="O431" s="214"/>
      <c r="Q431" s="229"/>
      <c r="CG431" s="141"/>
      <c r="CN431" s="50"/>
      <c r="DN431" s="16" t="s">
        <v>289</v>
      </c>
      <c r="DO431" s="16" t="s">
        <v>83</v>
      </c>
    </row>
    <row r="432" spans="2:137" s="1" customFormat="1" ht="24.2" customHeight="1" x14ac:dyDescent="0.2">
      <c r="B432" s="124"/>
      <c r="C432" s="125" t="s">
        <v>660</v>
      </c>
      <c r="D432" s="125" t="s">
        <v>284</v>
      </c>
      <c r="E432" s="126" t="s">
        <v>623</v>
      </c>
      <c r="F432" s="127" t="s">
        <v>624</v>
      </c>
      <c r="G432" s="128" t="s">
        <v>485</v>
      </c>
      <c r="H432" s="129">
        <v>52</v>
      </c>
      <c r="I432" s="130">
        <v>1039.9593659999746</v>
      </c>
      <c r="J432" s="131">
        <f>ROUND(I432*H432,2)</f>
        <v>54077.89</v>
      </c>
      <c r="K432" s="127" t="s">
        <v>293</v>
      </c>
      <c r="L432" s="198">
        <f>S432</f>
        <v>0</v>
      </c>
      <c r="M432" s="206">
        <f>ROUND(L432*I432,2)</f>
        <v>0</v>
      </c>
      <c r="N432" s="211"/>
      <c r="O432" s="212">
        <f>ROUND(N432*I432,2)</f>
        <v>0</v>
      </c>
      <c r="P432" s="207">
        <f>H432-L432-N432</f>
        <v>52</v>
      </c>
      <c r="Q432" s="228">
        <f>ROUND(P432*I432,2)</f>
        <v>54077.89</v>
      </c>
      <c r="R432" s="199"/>
      <c r="S432" s="200">
        <f>W432+Y432+AA432+AC432+AE432++AG432+AI432+AK432+AM432+AO432+AQ432+AS432+AU432+AW432</f>
        <v>0</v>
      </c>
      <c r="T432" s="200">
        <f>ROUND(S432*I432,2)</f>
        <v>0</v>
      </c>
      <c r="U432" s="200">
        <f>H432-S432</f>
        <v>52</v>
      </c>
      <c r="V432" s="200">
        <f>ROUND(U432*I432,2)</f>
        <v>54077.89</v>
      </c>
      <c r="W432" s="200"/>
      <c r="X432" s="200"/>
      <c r="Y432" s="200"/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0"/>
      <c r="AP432" s="200"/>
      <c r="AQ432" s="200"/>
      <c r="AR432" s="200"/>
      <c r="AS432" s="200"/>
      <c r="AT432" s="200"/>
      <c r="AU432" s="200"/>
      <c r="AV432" s="200"/>
      <c r="AW432" s="200"/>
      <c r="AX432" s="200"/>
      <c r="CG432" s="132" t="s">
        <v>1</v>
      </c>
      <c r="CH432" s="133" t="s">
        <v>40</v>
      </c>
      <c r="CJ432" s="134">
        <f>CI432*H432</f>
        <v>0</v>
      </c>
      <c r="CK432" s="134">
        <v>2.8539999999999999E-2</v>
      </c>
      <c r="CL432" s="134">
        <f>CK432*H432</f>
        <v>1.4840800000000001</v>
      </c>
      <c r="CM432" s="134">
        <v>0</v>
      </c>
      <c r="CN432" s="135">
        <f>CM432*H432</f>
        <v>0</v>
      </c>
      <c r="DL432" s="136" t="s">
        <v>95</v>
      </c>
      <c r="DN432" s="136" t="s">
        <v>284</v>
      </c>
      <c r="DO432" s="136" t="s">
        <v>83</v>
      </c>
      <c r="DS432" s="16" t="s">
        <v>282</v>
      </c>
      <c r="DY432" s="137">
        <f>IF(CH432="základní",J432,0)</f>
        <v>54077.89</v>
      </c>
      <c r="DZ432" s="137">
        <f>IF(CH432="snížená",J432,0)</f>
        <v>0</v>
      </c>
      <c r="EA432" s="137">
        <f>IF(CH432="zákl. přenesená",J432,0)</f>
        <v>0</v>
      </c>
      <c r="EB432" s="137">
        <f>IF(CH432="sníž. přenesená",J432,0)</f>
        <v>0</v>
      </c>
      <c r="EC432" s="137">
        <f>IF(CH432="nulová",J432,0)</f>
        <v>0</v>
      </c>
      <c r="ED432" s="16" t="s">
        <v>81</v>
      </c>
      <c r="EE432" s="137">
        <f>ROUND(I432*H432,2)</f>
        <v>54077.89</v>
      </c>
      <c r="EF432" s="16" t="s">
        <v>95</v>
      </c>
      <c r="EG432" s="136" t="s">
        <v>625</v>
      </c>
    </row>
    <row r="433" spans="2:137" s="1" customFormat="1" ht="19.5" x14ac:dyDescent="0.2">
      <c r="B433" s="31"/>
      <c r="D433" s="138" t="s">
        <v>289</v>
      </c>
      <c r="F433" s="139" t="s">
        <v>624</v>
      </c>
      <c r="I433" s="140"/>
      <c r="L433" s="31"/>
      <c r="N433" s="213"/>
      <c r="O433" s="214"/>
      <c r="Q433" s="229"/>
      <c r="CG433" s="141"/>
      <c r="CN433" s="50"/>
      <c r="DN433" s="16" t="s">
        <v>289</v>
      </c>
      <c r="DO433" s="16" t="s">
        <v>83</v>
      </c>
    </row>
    <row r="434" spans="2:137" s="1" customFormat="1" ht="19.5" x14ac:dyDescent="0.2">
      <c r="B434" s="31"/>
      <c r="D434" s="138" t="s">
        <v>299</v>
      </c>
      <c r="F434" s="142" t="s">
        <v>317</v>
      </c>
      <c r="I434" s="140"/>
      <c r="L434" s="31"/>
      <c r="N434" s="213"/>
      <c r="O434" s="214"/>
      <c r="Q434" s="229"/>
      <c r="CG434" s="141"/>
      <c r="CN434" s="50"/>
      <c r="DN434" s="16" t="s">
        <v>299</v>
      </c>
      <c r="DO434" s="16" t="s">
        <v>83</v>
      </c>
    </row>
    <row r="435" spans="2:137" s="12" customFormat="1" x14ac:dyDescent="0.2">
      <c r="B435" s="149"/>
      <c r="D435" s="138" t="s">
        <v>301</v>
      </c>
      <c r="E435" s="150" t="s">
        <v>1</v>
      </c>
      <c r="F435" s="151" t="s">
        <v>1531</v>
      </c>
      <c r="H435" s="152">
        <v>52</v>
      </c>
      <c r="I435" s="153"/>
      <c r="L435" s="149"/>
      <c r="N435" s="217"/>
      <c r="O435" s="218"/>
      <c r="Q435" s="231"/>
      <c r="CG435" s="154"/>
      <c r="CN435" s="155"/>
      <c r="DN435" s="150" t="s">
        <v>301</v>
      </c>
      <c r="DO435" s="150" t="s">
        <v>83</v>
      </c>
      <c r="DP435" s="12" t="s">
        <v>83</v>
      </c>
      <c r="DQ435" s="12" t="s">
        <v>32</v>
      </c>
      <c r="DR435" s="12" t="s">
        <v>81</v>
      </c>
      <c r="DS435" s="150" t="s">
        <v>282</v>
      </c>
    </row>
    <row r="436" spans="2:137" s="1" customFormat="1" ht="62.65" customHeight="1" x14ac:dyDescent="0.2">
      <c r="B436" s="124"/>
      <c r="C436" s="170" t="s">
        <v>666</v>
      </c>
      <c r="D436" s="170" t="s">
        <v>439</v>
      </c>
      <c r="E436" s="171" t="s">
        <v>632</v>
      </c>
      <c r="F436" s="172" t="s">
        <v>633</v>
      </c>
      <c r="G436" s="173" t="s">
        <v>485</v>
      </c>
      <c r="H436" s="174">
        <v>45</v>
      </c>
      <c r="I436" s="175">
        <v>9051.3334500000001</v>
      </c>
      <c r="J436" s="176">
        <f>ROUND(I436*H436,2)</f>
        <v>407310.01</v>
      </c>
      <c r="K436" s="172" t="s">
        <v>1</v>
      </c>
      <c r="L436" s="198">
        <f>S436</f>
        <v>0</v>
      </c>
      <c r="M436" s="206">
        <f>ROUND(L436*I436,2)</f>
        <v>0</v>
      </c>
      <c r="N436" s="211"/>
      <c r="O436" s="212">
        <f>ROUND(N436*I436,2)</f>
        <v>0</v>
      </c>
      <c r="P436" s="207">
        <f>H436-L436-N436</f>
        <v>45</v>
      </c>
      <c r="Q436" s="228">
        <f>ROUND(P436*I436,2)</f>
        <v>407310.01</v>
      </c>
      <c r="R436" s="199"/>
      <c r="S436" s="200">
        <f>W436+Y436+AA436+AC436+AE436++AG436+AI436+AK436+AM436+AO436+AQ436+AS436+AU436+AW436</f>
        <v>0</v>
      </c>
      <c r="T436" s="200">
        <f>ROUND(S436*I436,2)</f>
        <v>0</v>
      </c>
      <c r="U436" s="200">
        <f>H436-S436</f>
        <v>45</v>
      </c>
      <c r="V436" s="200">
        <f>ROUND(U436*I436,2)</f>
        <v>407310.01</v>
      </c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77" t="s">
        <v>1</v>
      </c>
      <c r="CH436" s="178" t="s">
        <v>40</v>
      </c>
      <c r="CJ436" s="134">
        <f>CI436*H436</f>
        <v>0</v>
      </c>
      <c r="CK436" s="134">
        <v>1.87</v>
      </c>
      <c r="CL436" s="134">
        <f>CK436*H436</f>
        <v>84.15</v>
      </c>
      <c r="CM436" s="134">
        <v>0</v>
      </c>
      <c r="CN436" s="135">
        <f>CM436*H436</f>
        <v>0</v>
      </c>
      <c r="DL436" s="136" t="s">
        <v>328</v>
      </c>
      <c r="DN436" s="136" t="s">
        <v>439</v>
      </c>
      <c r="DO436" s="136" t="s">
        <v>83</v>
      </c>
      <c r="DS436" s="16" t="s">
        <v>282</v>
      </c>
      <c r="DY436" s="137">
        <f>IF(CH436="základní",J436,0)</f>
        <v>407310.01</v>
      </c>
      <c r="DZ436" s="137">
        <f>IF(CH436="snížená",J436,0)</f>
        <v>0</v>
      </c>
      <c r="EA436" s="137">
        <f>IF(CH436="zákl. přenesená",J436,0)</f>
        <v>0</v>
      </c>
      <c r="EB436" s="137">
        <f>IF(CH436="sníž. přenesená",J436,0)</f>
        <v>0</v>
      </c>
      <c r="EC436" s="137">
        <f>IF(CH436="nulová",J436,0)</f>
        <v>0</v>
      </c>
      <c r="ED436" s="16" t="s">
        <v>81</v>
      </c>
      <c r="EE436" s="137">
        <f>ROUND(I436*H436,2)</f>
        <v>407310.01</v>
      </c>
      <c r="EF436" s="16" t="s">
        <v>95</v>
      </c>
      <c r="EG436" s="136" t="s">
        <v>634</v>
      </c>
    </row>
    <row r="437" spans="2:137" s="1" customFormat="1" ht="39" x14ac:dyDescent="0.2">
      <c r="B437" s="31"/>
      <c r="D437" s="138" t="s">
        <v>289</v>
      </c>
      <c r="F437" s="139" t="s">
        <v>633</v>
      </c>
      <c r="I437" s="140"/>
      <c r="L437" s="31"/>
      <c r="N437" s="213"/>
      <c r="O437" s="214"/>
      <c r="Q437" s="229"/>
      <c r="CG437" s="141"/>
      <c r="CN437" s="50"/>
      <c r="DN437" s="16" t="s">
        <v>289</v>
      </c>
      <c r="DO437" s="16" t="s">
        <v>83</v>
      </c>
    </row>
    <row r="438" spans="2:137" s="1" customFormat="1" ht="49.15" customHeight="1" x14ac:dyDescent="0.2">
      <c r="B438" s="124"/>
      <c r="C438" s="170" t="s">
        <v>670</v>
      </c>
      <c r="D438" s="170" t="s">
        <v>439</v>
      </c>
      <c r="E438" s="171" t="s">
        <v>636</v>
      </c>
      <c r="F438" s="172" t="s">
        <v>637</v>
      </c>
      <c r="G438" s="173" t="s">
        <v>485</v>
      </c>
      <c r="H438" s="174">
        <v>4</v>
      </c>
      <c r="I438" s="175">
        <v>12313.804099999999</v>
      </c>
      <c r="J438" s="176">
        <f>ROUND(I438*H438,2)</f>
        <v>49255.22</v>
      </c>
      <c r="K438" s="172" t="s">
        <v>1</v>
      </c>
      <c r="L438" s="198">
        <f>S438</f>
        <v>0</v>
      </c>
      <c r="M438" s="206">
        <f>ROUND(L438*I438,2)</f>
        <v>0</v>
      </c>
      <c r="N438" s="211"/>
      <c r="O438" s="212">
        <f>ROUND(N438*I438,2)</f>
        <v>0</v>
      </c>
      <c r="P438" s="207">
        <f>H438-L438-N438</f>
        <v>4</v>
      </c>
      <c r="Q438" s="228">
        <f>ROUND(P438*I438,2)</f>
        <v>49255.22</v>
      </c>
      <c r="R438" s="199"/>
      <c r="S438" s="200">
        <f>W438+Y438+AA438+AC438+AE438++AG438+AI438+AK438+AM438+AO438+AQ438+AS438+AU438+AW438</f>
        <v>0</v>
      </c>
      <c r="T438" s="200">
        <f>ROUND(S438*I438,2)</f>
        <v>0</v>
      </c>
      <c r="U438" s="200">
        <f>H438-S438</f>
        <v>4</v>
      </c>
      <c r="V438" s="200">
        <f>ROUND(U438*I438,2)</f>
        <v>49255.22</v>
      </c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77" t="s">
        <v>1</v>
      </c>
      <c r="CH438" s="178" t="s">
        <v>40</v>
      </c>
      <c r="CJ438" s="134">
        <f>CI438*H438</f>
        <v>0</v>
      </c>
      <c r="CK438" s="134">
        <v>1.87</v>
      </c>
      <c r="CL438" s="134">
        <f>CK438*H438</f>
        <v>7.48</v>
      </c>
      <c r="CM438" s="134">
        <v>0</v>
      </c>
      <c r="CN438" s="135">
        <f>CM438*H438</f>
        <v>0</v>
      </c>
      <c r="DL438" s="136" t="s">
        <v>328</v>
      </c>
      <c r="DN438" s="136" t="s">
        <v>439</v>
      </c>
      <c r="DO438" s="136" t="s">
        <v>83</v>
      </c>
      <c r="DS438" s="16" t="s">
        <v>282</v>
      </c>
      <c r="DY438" s="137">
        <f>IF(CH438="základní",J438,0)</f>
        <v>49255.22</v>
      </c>
      <c r="DZ438" s="137">
        <f>IF(CH438="snížená",J438,0)</f>
        <v>0</v>
      </c>
      <c r="EA438" s="137">
        <f>IF(CH438="zákl. přenesená",J438,0)</f>
        <v>0</v>
      </c>
      <c r="EB438" s="137">
        <f>IF(CH438="sníž. přenesená",J438,0)</f>
        <v>0</v>
      </c>
      <c r="EC438" s="137">
        <f>IF(CH438="nulová",J438,0)</f>
        <v>0</v>
      </c>
      <c r="ED438" s="16" t="s">
        <v>81</v>
      </c>
      <c r="EE438" s="137">
        <f>ROUND(I438*H438,2)</f>
        <v>49255.22</v>
      </c>
      <c r="EF438" s="16" t="s">
        <v>95</v>
      </c>
      <c r="EG438" s="136" t="s">
        <v>1532</v>
      </c>
    </row>
    <row r="439" spans="2:137" s="1" customFormat="1" ht="29.25" x14ac:dyDescent="0.2">
      <c r="B439" s="31"/>
      <c r="D439" s="138" t="s">
        <v>289</v>
      </c>
      <c r="F439" s="139" t="s">
        <v>637</v>
      </c>
      <c r="I439" s="140"/>
      <c r="L439" s="31"/>
      <c r="N439" s="213"/>
      <c r="O439" s="214"/>
      <c r="Q439" s="229"/>
      <c r="CG439" s="141"/>
      <c r="CN439" s="50"/>
      <c r="DN439" s="16" t="s">
        <v>289</v>
      </c>
      <c r="DO439" s="16" t="s">
        <v>83</v>
      </c>
    </row>
    <row r="440" spans="2:137" s="1" customFormat="1" ht="62.65" customHeight="1" x14ac:dyDescent="0.2">
      <c r="B440" s="124"/>
      <c r="C440" s="170" t="s">
        <v>675</v>
      </c>
      <c r="D440" s="170" t="s">
        <v>439</v>
      </c>
      <c r="E440" s="171" t="s">
        <v>1533</v>
      </c>
      <c r="F440" s="172" t="s">
        <v>1534</v>
      </c>
      <c r="G440" s="173" t="s">
        <v>485</v>
      </c>
      <c r="H440" s="174">
        <v>2</v>
      </c>
      <c r="I440" s="175">
        <v>9998.5491500000007</v>
      </c>
      <c r="J440" s="176">
        <f>ROUND(I440*H440,2)</f>
        <v>19997.099999999999</v>
      </c>
      <c r="K440" s="172" t="s">
        <v>1</v>
      </c>
      <c r="L440" s="198">
        <f>S440</f>
        <v>0</v>
      </c>
      <c r="M440" s="206">
        <f>ROUND(L440*I440,2)</f>
        <v>0</v>
      </c>
      <c r="N440" s="211"/>
      <c r="O440" s="212">
        <f>ROUND(N440*I440,2)</f>
        <v>0</v>
      </c>
      <c r="P440" s="207">
        <f>H440-L440-N440</f>
        <v>2</v>
      </c>
      <c r="Q440" s="228">
        <f>ROUND(P440*I440,2)</f>
        <v>19997.099999999999</v>
      </c>
      <c r="R440" s="199"/>
      <c r="S440" s="200">
        <f>W440+Y440+AA440+AC440+AE440++AG440+AI440+AK440+AM440+AO440+AQ440+AS440+AU440+AW440</f>
        <v>0</v>
      </c>
      <c r="T440" s="200">
        <f>ROUND(S440*I440,2)</f>
        <v>0</v>
      </c>
      <c r="U440" s="200">
        <f>H440-S440</f>
        <v>2</v>
      </c>
      <c r="V440" s="200">
        <f>ROUND(U440*I440,2)</f>
        <v>19997.099999999999</v>
      </c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77" t="s">
        <v>1</v>
      </c>
      <c r="CH440" s="178" t="s">
        <v>40</v>
      </c>
      <c r="CJ440" s="134">
        <f>CI440*H440</f>
        <v>0</v>
      </c>
      <c r="CK440" s="134">
        <v>1.87</v>
      </c>
      <c r="CL440" s="134">
        <f>CK440*H440</f>
        <v>3.74</v>
      </c>
      <c r="CM440" s="134">
        <v>0</v>
      </c>
      <c r="CN440" s="135">
        <f>CM440*H440</f>
        <v>0</v>
      </c>
      <c r="DL440" s="136" t="s">
        <v>328</v>
      </c>
      <c r="DN440" s="136" t="s">
        <v>439</v>
      </c>
      <c r="DO440" s="136" t="s">
        <v>83</v>
      </c>
      <c r="DS440" s="16" t="s">
        <v>282</v>
      </c>
      <c r="DY440" s="137">
        <f>IF(CH440="základní",J440,0)</f>
        <v>19997.099999999999</v>
      </c>
      <c r="DZ440" s="137">
        <f>IF(CH440="snížená",J440,0)</f>
        <v>0</v>
      </c>
      <c r="EA440" s="137">
        <f>IF(CH440="zákl. přenesená",J440,0)</f>
        <v>0</v>
      </c>
      <c r="EB440" s="137">
        <f>IF(CH440="sníž. přenesená",J440,0)</f>
        <v>0</v>
      </c>
      <c r="EC440" s="137">
        <f>IF(CH440="nulová",J440,0)</f>
        <v>0</v>
      </c>
      <c r="ED440" s="16" t="s">
        <v>81</v>
      </c>
      <c r="EE440" s="137">
        <f>ROUND(I440*H440,2)</f>
        <v>19997.099999999999</v>
      </c>
      <c r="EF440" s="16" t="s">
        <v>95</v>
      </c>
      <c r="EG440" s="136" t="s">
        <v>1535</v>
      </c>
    </row>
    <row r="441" spans="2:137" s="1" customFormat="1" ht="39" x14ac:dyDescent="0.2">
      <c r="B441" s="31"/>
      <c r="D441" s="138" t="s">
        <v>289</v>
      </c>
      <c r="F441" s="139" t="s">
        <v>1534</v>
      </c>
      <c r="I441" s="140"/>
      <c r="L441" s="31"/>
      <c r="N441" s="213"/>
      <c r="O441" s="214"/>
      <c r="Q441" s="229"/>
      <c r="CG441" s="141"/>
      <c r="CN441" s="50"/>
      <c r="DN441" s="16" t="s">
        <v>289</v>
      </c>
      <c r="DO441" s="16" t="s">
        <v>83</v>
      </c>
    </row>
    <row r="442" spans="2:137" s="1" customFormat="1" ht="62.65" customHeight="1" x14ac:dyDescent="0.2">
      <c r="B442" s="124"/>
      <c r="C442" s="170" t="s">
        <v>681</v>
      </c>
      <c r="D442" s="170" t="s">
        <v>439</v>
      </c>
      <c r="E442" s="171" t="s">
        <v>1536</v>
      </c>
      <c r="F442" s="172" t="s">
        <v>1537</v>
      </c>
      <c r="G442" s="173" t="s">
        <v>485</v>
      </c>
      <c r="H442" s="174">
        <v>1</v>
      </c>
      <c r="I442" s="175">
        <v>10892.98055</v>
      </c>
      <c r="J442" s="176">
        <f>ROUND(I442*H442,2)</f>
        <v>10892.98</v>
      </c>
      <c r="K442" s="172" t="s">
        <v>1</v>
      </c>
      <c r="L442" s="198">
        <f>S442</f>
        <v>0</v>
      </c>
      <c r="M442" s="206">
        <f>ROUND(L442*I442,2)</f>
        <v>0</v>
      </c>
      <c r="N442" s="211"/>
      <c r="O442" s="212">
        <f>ROUND(N442*I442,2)</f>
        <v>0</v>
      </c>
      <c r="P442" s="207">
        <f>H442-L442-N442</f>
        <v>1</v>
      </c>
      <c r="Q442" s="228">
        <f>ROUND(P442*I442,2)</f>
        <v>10892.98</v>
      </c>
      <c r="R442" s="199"/>
      <c r="S442" s="200">
        <f>W442+Y442+AA442+AC442+AE442++AG442+AI442+AK442+AM442+AO442+AQ442+AS442+AU442+AW442</f>
        <v>0</v>
      </c>
      <c r="T442" s="200">
        <f>ROUND(S442*I442,2)</f>
        <v>0</v>
      </c>
      <c r="U442" s="200">
        <f>H442-S442</f>
        <v>1</v>
      </c>
      <c r="V442" s="200">
        <f>ROUND(U442*I442,2)</f>
        <v>10892.98</v>
      </c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77" t="s">
        <v>1</v>
      </c>
      <c r="CH442" s="178" t="s">
        <v>40</v>
      </c>
      <c r="CJ442" s="134">
        <f>CI442*H442</f>
        <v>0</v>
      </c>
      <c r="CK442" s="134">
        <v>1.87</v>
      </c>
      <c r="CL442" s="134">
        <f>CK442*H442</f>
        <v>1.87</v>
      </c>
      <c r="CM442" s="134">
        <v>0</v>
      </c>
      <c r="CN442" s="135">
        <f>CM442*H442</f>
        <v>0</v>
      </c>
      <c r="DL442" s="136" t="s">
        <v>328</v>
      </c>
      <c r="DN442" s="136" t="s">
        <v>439</v>
      </c>
      <c r="DO442" s="136" t="s">
        <v>83</v>
      </c>
      <c r="DS442" s="16" t="s">
        <v>282</v>
      </c>
      <c r="DY442" s="137">
        <f>IF(CH442="základní",J442,0)</f>
        <v>10892.98</v>
      </c>
      <c r="DZ442" s="137">
        <f>IF(CH442="snížená",J442,0)</f>
        <v>0</v>
      </c>
      <c r="EA442" s="137">
        <f>IF(CH442="zákl. přenesená",J442,0)</f>
        <v>0</v>
      </c>
      <c r="EB442" s="137">
        <f>IF(CH442="sníž. přenesená",J442,0)</f>
        <v>0</v>
      </c>
      <c r="EC442" s="137">
        <f>IF(CH442="nulová",J442,0)</f>
        <v>0</v>
      </c>
      <c r="ED442" s="16" t="s">
        <v>81</v>
      </c>
      <c r="EE442" s="137">
        <f>ROUND(I442*H442,2)</f>
        <v>10892.98</v>
      </c>
      <c r="EF442" s="16" t="s">
        <v>95</v>
      </c>
      <c r="EG442" s="136" t="s">
        <v>1538</v>
      </c>
    </row>
    <row r="443" spans="2:137" s="1" customFormat="1" ht="39" x14ac:dyDescent="0.2">
      <c r="B443" s="31"/>
      <c r="D443" s="138" t="s">
        <v>289</v>
      </c>
      <c r="F443" s="139" t="s">
        <v>1537</v>
      </c>
      <c r="I443" s="140"/>
      <c r="L443" s="31"/>
      <c r="N443" s="213"/>
      <c r="O443" s="214"/>
      <c r="Q443" s="229"/>
      <c r="CG443" s="141"/>
      <c r="CN443" s="50"/>
      <c r="DN443" s="16" t="s">
        <v>289</v>
      </c>
      <c r="DO443" s="16" t="s">
        <v>83</v>
      </c>
    </row>
    <row r="444" spans="2:137" s="1" customFormat="1" ht="24.2" customHeight="1" x14ac:dyDescent="0.2">
      <c r="B444" s="124"/>
      <c r="C444" s="170" t="s">
        <v>688</v>
      </c>
      <c r="D444" s="170" t="s">
        <v>439</v>
      </c>
      <c r="E444" s="171" t="s">
        <v>640</v>
      </c>
      <c r="F444" s="172" t="s">
        <v>641</v>
      </c>
      <c r="G444" s="173" t="s">
        <v>485</v>
      </c>
      <c r="H444" s="174">
        <v>164</v>
      </c>
      <c r="I444" s="175">
        <v>182.81263010000001</v>
      </c>
      <c r="J444" s="176">
        <f>ROUND(I444*H444,2)</f>
        <v>29981.27</v>
      </c>
      <c r="K444" s="172" t="s">
        <v>293</v>
      </c>
      <c r="L444" s="198">
        <f>S444</f>
        <v>0</v>
      </c>
      <c r="M444" s="206">
        <f>ROUND(L444*I444,2)</f>
        <v>0</v>
      </c>
      <c r="N444" s="211"/>
      <c r="O444" s="212">
        <f>ROUND(N444*I444,2)</f>
        <v>0</v>
      </c>
      <c r="P444" s="207">
        <f>H444-L444-N444</f>
        <v>164</v>
      </c>
      <c r="Q444" s="228">
        <f>ROUND(P444*I444,2)</f>
        <v>29981.27</v>
      </c>
      <c r="R444" s="199"/>
      <c r="S444" s="200">
        <f>W444+Y444+AA444+AC444+AE444++AG444+AI444+AK444+AM444+AO444+AQ444+AS444+AU444+AW444</f>
        <v>0</v>
      </c>
      <c r="T444" s="200">
        <f>ROUND(S444*I444,2)</f>
        <v>0</v>
      </c>
      <c r="U444" s="200">
        <f>H444-S444</f>
        <v>164</v>
      </c>
      <c r="V444" s="200">
        <f>ROUND(U444*I444,2)</f>
        <v>29981.27</v>
      </c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77" t="s">
        <v>1</v>
      </c>
      <c r="CH444" s="178" t="s">
        <v>40</v>
      </c>
      <c r="CJ444" s="134">
        <f>CI444*H444</f>
        <v>0</v>
      </c>
      <c r="CK444" s="134">
        <v>2E-3</v>
      </c>
      <c r="CL444" s="134">
        <f>CK444*H444</f>
        <v>0.32800000000000001</v>
      </c>
      <c r="CM444" s="134">
        <v>0</v>
      </c>
      <c r="CN444" s="135">
        <f>CM444*H444</f>
        <v>0</v>
      </c>
      <c r="DL444" s="136" t="s">
        <v>328</v>
      </c>
      <c r="DN444" s="136" t="s">
        <v>439</v>
      </c>
      <c r="DO444" s="136" t="s">
        <v>83</v>
      </c>
      <c r="DS444" s="16" t="s">
        <v>282</v>
      </c>
      <c r="DY444" s="137">
        <f>IF(CH444="základní",J444,0)</f>
        <v>29981.27</v>
      </c>
      <c r="DZ444" s="137">
        <f>IF(CH444="snížená",J444,0)</f>
        <v>0</v>
      </c>
      <c r="EA444" s="137">
        <f>IF(CH444="zákl. přenesená",J444,0)</f>
        <v>0</v>
      </c>
      <c r="EB444" s="137">
        <f>IF(CH444="sníž. přenesená",J444,0)</f>
        <v>0</v>
      </c>
      <c r="EC444" s="137">
        <f>IF(CH444="nulová",J444,0)</f>
        <v>0</v>
      </c>
      <c r="ED444" s="16" t="s">
        <v>81</v>
      </c>
      <c r="EE444" s="137">
        <f>ROUND(I444*H444,2)</f>
        <v>29981.27</v>
      </c>
      <c r="EF444" s="16" t="s">
        <v>95</v>
      </c>
      <c r="EG444" s="136" t="s">
        <v>642</v>
      </c>
    </row>
    <row r="445" spans="2:137" s="1" customFormat="1" x14ac:dyDescent="0.2">
      <c r="B445" s="31"/>
      <c r="D445" s="138" t="s">
        <v>289</v>
      </c>
      <c r="F445" s="139" t="s">
        <v>641</v>
      </c>
      <c r="I445" s="140"/>
      <c r="L445" s="31"/>
      <c r="N445" s="213"/>
      <c r="O445" s="214"/>
      <c r="Q445" s="229"/>
      <c r="CG445" s="141"/>
      <c r="CN445" s="50"/>
      <c r="DN445" s="16" t="s">
        <v>289</v>
      </c>
      <c r="DO445" s="16" t="s">
        <v>83</v>
      </c>
    </row>
    <row r="446" spans="2:137" s="1" customFormat="1" ht="24.2" customHeight="1" x14ac:dyDescent="0.2">
      <c r="B446" s="124"/>
      <c r="C446" s="125" t="s">
        <v>697</v>
      </c>
      <c r="D446" s="125" t="s">
        <v>284</v>
      </c>
      <c r="E446" s="126" t="s">
        <v>785</v>
      </c>
      <c r="F446" s="127" t="s">
        <v>786</v>
      </c>
      <c r="G446" s="128" t="s">
        <v>485</v>
      </c>
      <c r="H446" s="129">
        <v>1</v>
      </c>
      <c r="I446" s="130">
        <v>670.01283357972886</v>
      </c>
      <c r="J446" s="131">
        <f>ROUND(I446*H446,2)</f>
        <v>670.01</v>
      </c>
      <c r="K446" s="127" t="s">
        <v>293</v>
      </c>
      <c r="L446" s="198">
        <f>S446</f>
        <v>0</v>
      </c>
      <c r="M446" s="206">
        <f>ROUND(L446*I446,2)</f>
        <v>0</v>
      </c>
      <c r="N446" s="211"/>
      <c r="O446" s="212">
        <f>ROUND(N446*I446,2)</f>
        <v>0</v>
      </c>
      <c r="P446" s="207">
        <f>H446-L446-N446</f>
        <v>1</v>
      </c>
      <c r="Q446" s="228">
        <f>ROUND(P446*I446,2)</f>
        <v>670.01</v>
      </c>
      <c r="R446" s="199"/>
      <c r="S446" s="200">
        <f>W446+Y446+AA446+AC446+AE446++AG446+AI446+AK446+AM446+AO446+AQ446+AS446+AU446+AW446</f>
        <v>0</v>
      </c>
      <c r="T446" s="200">
        <f>ROUND(S446*I446,2)</f>
        <v>0</v>
      </c>
      <c r="U446" s="200">
        <f>H446-S446</f>
        <v>1</v>
      </c>
      <c r="V446" s="200">
        <f>ROUND(U446*I446,2)</f>
        <v>670.01</v>
      </c>
      <c r="W446" s="200"/>
      <c r="X446" s="200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200"/>
      <c r="AT446" s="200"/>
      <c r="AU446" s="200"/>
      <c r="AV446" s="200"/>
      <c r="AW446" s="200"/>
      <c r="AX446" s="200"/>
      <c r="CG446" s="132" t="s">
        <v>1</v>
      </c>
      <c r="CH446" s="133" t="s">
        <v>40</v>
      </c>
      <c r="CJ446" s="134">
        <f>CI446*H446</f>
        <v>0</v>
      </c>
      <c r="CK446" s="134">
        <v>3.9269999999999999E-2</v>
      </c>
      <c r="CL446" s="134">
        <f>CK446*H446</f>
        <v>3.9269999999999999E-2</v>
      </c>
      <c r="CM446" s="134">
        <v>0</v>
      </c>
      <c r="CN446" s="135">
        <f>CM446*H446</f>
        <v>0</v>
      </c>
      <c r="DL446" s="136" t="s">
        <v>95</v>
      </c>
      <c r="DN446" s="136" t="s">
        <v>284</v>
      </c>
      <c r="DO446" s="136" t="s">
        <v>83</v>
      </c>
      <c r="DS446" s="16" t="s">
        <v>282</v>
      </c>
      <c r="DY446" s="137">
        <f>IF(CH446="základní",J446,0)</f>
        <v>670.01</v>
      </c>
      <c r="DZ446" s="137">
        <f>IF(CH446="snížená",J446,0)</f>
        <v>0</v>
      </c>
      <c r="EA446" s="137">
        <f>IF(CH446="zákl. přenesená",J446,0)</f>
        <v>0</v>
      </c>
      <c r="EB446" s="137">
        <f>IF(CH446="sníž. přenesená",J446,0)</f>
        <v>0</v>
      </c>
      <c r="EC446" s="137">
        <f>IF(CH446="nulová",J446,0)</f>
        <v>0</v>
      </c>
      <c r="ED446" s="16" t="s">
        <v>81</v>
      </c>
      <c r="EE446" s="137">
        <f>ROUND(I446*H446,2)</f>
        <v>670.01</v>
      </c>
      <c r="EF446" s="16" t="s">
        <v>95</v>
      </c>
      <c r="EG446" s="136" t="s">
        <v>787</v>
      </c>
    </row>
    <row r="447" spans="2:137" s="1" customFormat="1" ht="19.5" x14ac:dyDescent="0.2">
      <c r="B447" s="31"/>
      <c r="D447" s="138" t="s">
        <v>289</v>
      </c>
      <c r="F447" s="139" t="s">
        <v>786</v>
      </c>
      <c r="I447" s="140"/>
      <c r="L447" s="31"/>
      <c r="N447" s="213"/>
      <c r="O447" s="214"/>
      <c r="Q447" s="229"/>
      <c r="CG447" s="141"/>
      <c r="CN447" s="50"/>
      <c r="DN447" s="16" t="s">
        <v>289</v>
      </c>
      <c r="DO447" s="16" t="s">
        <v>83</v>
      </c>
    </row>
    <row r="448" spans="2:137" s="1" customFormat="1" ht="19.5" x14ac:dyDescent="0.2">
      <c r="B448" s="31"/>
      <c r="D448" s="138" t="s">
        <v>299</v>
      </c>
      <c r="F448" s="142" t="s">
        <v>317</v>
      </c>
      <c r="I448" s="140"/>
      <c r="L448" s="31"/>
      <c r="N448" s="213"/>
      <c r="O448" s="214"/>
      <c r="Q448" s="229"/>
      <c r="CG448" s="141"/>
      <c r="CN448" s="50"/>
      <c r="DN448" s="16" t="s">
        <v>299</v>
      </c>
      <c r="DO448" s="16" t="s">
        <v>83</v>
      </c>
    </row>
    <row r="449" spans="2:137" s="12" customFormat="1" x14ac:dyDescent="0.2">
      <c r="B449" s="149"/>
      <c r="D449" s="138" t="s">
        <v>301</v>
      </c>
      <c r="E449" s="150" t="s">
        <v>1</v>
      </c>
      <c r="F449" s="151" t="s">
        <v>81</v>
      </c>
      <c r="H449" s="152">
        <v>1</v>
      </c>
      <c r="I449" s="153"/>
      <c r="L449" s="149"/>
      <c r="N449" s="217"/>
      <c r="O449" s="218"/>
      <c r="Q449" s="231"/>
      <c r="CG449" s="154"/>
      <c r="CN449" s="155"/>
      <c r="DN449" s="150" t="s">
        <v>301</v>
      </c>
      <c r="DO449" s="150" t="s">
        <v>83</v>
      </c>
      <c r="DP449" s="12" t="s">
        <v>83</v>
      </c>
      <c r="DQ449" s="12" t="s">
        <v>32</v>
      </c>
      <c r="DR449" s="12" t="s">
        <v>81</v>
      </c>
      <c r="DS449" s="150" t="s">
        <v>282</v>
      </c>
    </row>
    <row r="450" spans="2:137" s="1" customFormat="1" ht="24.2" customHeight="1" x14ac:dyDescent="0.2">
      <c r="B450" s="124"/>
      <c r="C450" s="170" t="s">
        <v>704</v>
      </c>
      <c r="D450" s="170" t="s">
        <v>439</v>
      </c>
      <c r="E450" s="171" t="s">
        <v>788</v>
      </c>
      <c r="F450" s="172" t="s">
        <v>789</v>
      </c>
      <c r="G450" s="173" t="s">
        <v>485</v>
      </c>
      <c r="H450" s="174">
        <v>1</v>
      </c>
      <c r="I450" s="175">
        <v>3220.5333799999999</v>
      </c>
      <c r="J450" s="176">
        <f>ROUND(I450*H450,2)</f>
        <v>3220.53</v>
      </c>
      <c r="K450" s="172" t="s">
        <v>1</v>
      </c>
      <c r="L450" s="198">
        <f>S450</f>
        <v>0</v>
      </c>
      <c r="M450" s="206">
        <f>ROUND(L450*I450,2)</f>
        <v>0</v>
      </c>
      <c r="N450" s="211"/>
      <c r="O450" s="212">
        <f>ROUND(N450*I450,2)</f>
        <v>0</v>
      </c>
      <c r="P450" s="207">
        <f>H450-L450-N450</f>
        <v>1</v>
      </c>
      <c r="Q450" s="228">
        <f>ROUND(P450*I450,2)</f>
        <v>3220.53</v>
      </c>
      <c r="R450" s="199"/>
      <c r="S450" s="200">
        <f>W450+Y450+AA450+AC450+AE450++AG450+AI450+AK450+AM450+AO450+AQ450+AS450+AU450+AW450</f>
        <v>0</v>
      </c>
      <c r="T450" s="200">
        <f>ROUND(S450*I450,2)</f>
        <v>0</v>
      </c>
      <c r="U450" s="200">
        <f>H450-S450</f>
        <v>1</v>
      </c>
      <c r="V450" s="200">
        <f>ROUND(U450*I450,2)</f>
        <v>3220.53</v>
      </c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77" t="s">
        <v>1</v>
      </c>
      <c r="CH450" s="178" t="s">
        <v>40</v>
      </c>
      <c r="CJ450" s="134">
        <f>CI450*H450</f>
        <v>0</v>
      </c>
      <c r="CK450" s="134">
        <v>0.44900000000000001</v>
      </c>
      <c r="CL450" s="134">
        <f>CK450*H450</f>
        <v>0.44900000000000001</v>
      </c>
      <c r="CM450" s="134">
        <v>0</v>
      </c>
      <c r="CN450" s="135">
        <f>CM450*H450</f>
        <v>0</v>
      </c>
      <c r="DL450" s="136" t="s">
        <v>328</v>
      </c>
      <c r="DN450" s="136" t="s">
        <v>439</v>
      </c>
      <c r="DO450" s="136" t="s">
        <v>83</v>
      </c>
      <c r="DS450" s="16" t="s">
        <v>282</v>
      </c>
      <c r="DY450" s="137">
        <f>IF(CH450="základní",J450,0)</f>
        <v>3220.53</v>
      </c>
      <c r="DZ450" s="137">
        <f>IF(CH450="snížená",J450,0)</f>
        <v>0</v>
      </c>
      <c r="EA450" s="137">
        <f>IF(CH450="zákl. přenesená",J450,0)</f>
        <v>0</v>
      </c>
      <c r="EB450" s="137">
        <f>IF(CH450="sníž. přenesená",J450,0)</f>
        <v>0</v>
      </c>
      <c r="EC450" s="137">
        <f>IF(CH450="nulová",J450,0)</f>
        <v>0</v>
      </c>
      <c r="ED450" s="16" t="s">
        <v>81</v>
      </c>
      <c r="EE450" s="137">
        <f>ROUND(I450*H450,2)</f>
        <v>3220.53</v>
      </c>
      <c r="EF450" s="16" t="s">
        <v>95</v>
      </c>
      <c r="EG450" s="136" t="s">
        <v>790</v>
      </c>
    </row>
    <row r="451" spans="2:137" s="1" customFormat="1" x14ac:dyDescent="0.2">
      <c r="B451" s="31"/>
      <c r="D451" s="138" t="s">
        <v>289</v>
      </c>
      <c r="F451" s="139" t="s">
        <v>791</v>
      </c>
      <c r="I451" s="140"/>
      <c r="L451" s="31"/>
      <c r="N451" s="213"/>
      <c r="O451" s="214"/>
      <c r="Q451" s="229"/>
      <c r="CG451" s="141"/>
      <c r="CN451" s="50"/>
      <c r="DN451" s="16" t="s">
        <v>289</v>
      </c>
      <c r="DO451" s="16" t="s">
        <v>83</v>
      </c>
    </row>
    <row r="452" spans="2:137" s="1" customFormat="1" ht="24.2" customHeight="1" x14ac:dyDescent="0.2">
      <c r="B452" s="124"/>
      <c r="C452" s="125" t="s">
        <v>710</v>
      </c>
      <c r="D452" s="125" t="s">
        <v>284</v>
      </c>
      <c r="E452" s="126" t="s">
        <v>1028</v>
      </c>
      <c r="F452" s="127" t="s">
        <v>1539</v>
      </c>
      <c r="G452" s="128" t="s">
        <v>485</v>
      </c>
      <c r="H452" s="129">
        <v>1</v>
      </c>
      <c r="I452" s="130">
        <v>6140.7931243984813</v>
      </c>
      <c r="J452" s="131">
        <f>ROUND(I452*H452,2)</f>
        <v>6140.79</v>
      </c>
      <c r="K452" s="127" t="s">
        <v>293</v>
      </c>
      <c r="L452" s="198">
        <f>S452</f>
        <v>0</v>
      </c>
      <c r="M452" s="206">
        <f>ROUND(L452*I452,2)</f>
        <v>0</v>
      </c>
      <c r="N452" s="211"/>
      <c r="O452" s="212">
        <f>ROUND(N452*I452,2)</f>
        <v>0</v>
      </c>
      <c r="P452" s="207">
        <f>H452-L452-N452</f>
        <v>1</v>
      </c>
      <c r="Q452" s="228">
        <f>ROUND(P452*I452,2)</f>
        <v>6140.79</v>
      </c>
      <c r="R452" s="199"/>
      <c r="S452" s="200">
        <f>W452+Y452+AA452+AC452+AE452++AG452+AI452+AK452+AM452+AO452+AQ452+AS452+AU452+AW452</f>
        <v>0</v>
      </c>
      <c r="T452" s="200">
        <f>ROUND(S452*I452,2)</f>
        <v>0</v>
      </c>
      <c r="U452" s="200">
        <f>H452-S452</f>
        <v>1</v>
      </c>
      <c r="V452" s="200">
        <f>ROUND(U452*I452,2)</f>
        <v>6140.79</v>
      </c>
      <c r="W452" s="200"/>
      <c r="X452" s="200"/>
      <c r="Y452" s="200"/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0"/>
      <c r="AP452" s="200"/>
      <c r="AQ452" s="200"/>
      <c r="AR452" s="200"/>
      <c r="AS452" s="200"/>
      <c r="AT452" s="200"/>
      <c r="AU452" s="200"/>
      <c r="AV452" s="200"/>
      <c r="AW452" s="200"/>
      <c r="AX452" s="200"/>
      <c r="CG452" s="132" t="s">
        <v>1</v>
      </c>
      <c r="CH452" s="133" t="s">
        <v>40</v>
      </c>
      <c r="CJ452" s="134">
        <f>CI452*H452</f>
        <v>0</v>
      </c>
      <c r="CK452" s="134">
        <v>0.10833</v>
      </c>
      <c r="CL452" s="134">
        <f>CK452*H452</f>
        <v>0.10833</v>
      </c>
      <c r="CM452" s="134">
        <v>0</v>
      </c>
      <c r="CN452" s="135">
        <f>CM452*H452</f>
        <v>0</v>
      </c>
      <c r="DL452" s="136" t="s">
        <v>95</v>
      </c>
      <c r="DN452" s="136" t="s">
        <v>284</v>
      </c>
      <c r="DO452" s="136" t="s">
        <v>83</v>
      </c>
      <c r="DS452" s="16" t="s">
        <v>282</v>
      </c>
      <c r="DY452" s="137">
        <f>IF(CH452="základní",J452,0)</f>
        <v>6140.79</v>
      </c>
      <c r="DZ452" s="137">
        <f>IF(CH452="snížená",J452,0)</f>
        <v>0</v>
      </c>
      <c r="EA452" s="137">
        <f>IF(CH452="zákl. přenesená",J452,0)</f>
        <v>0</v>
      </c>
      <c r="EB452" s="137">
        <f>IF(CH452="sníž. přenesená",J452,0)</f>
        <v>0</v>
      </c>
      <c r="EC452" s="137">
        <f>IF(CH452="nulová",J452,0)</f>
        <v>0</v>
      </c>
      <c r="ED452" s="16" t="s">
        <v>81</v>
      </c>
      <c r="EE452" s="137">
        <f>ROUND(I452*H452,2)</f>
        <v>6140.79</v>
      </c>
      <c r="EF452" s="16" t="s">
        <v>95</v>
      </c>
      <c r="EG452" s="136" t="s">
        <v>1540</v>
      </c>
    </row>
    <row r="453" spans="2:137" s="1" customFormat="1" ht="29.25" x14ac:dyDescent="0.2">
      <c r="B453" s="31"/>
      <c r="D453" s="138" t="s">
        <v>289</v>
      </c>
      <c r="F453" s="139" t="s">
        <v>1031</v>
      </c>
      <c r="I453" s="140"/>
      <c r="L453" s="31"/>
      <c r="N453" s="213"/>
      <c r="O453" s="214"/>
      <c r="Q453" s="229"/>
      <c r="CG453" s="141"/>
      <c r="CN453" s="50"/>
      <c r="DN453" s="16" t="s">
        <v>289</v>
      </c>
      <c r="DO453" s="16" t="s">
        <v>83</v>
      </c>
    </row>
    <row r="454" spans="2:137" s="1" customFormat="1" ht="19.5" x14ac:dyDescent="0.2">
      <c r="B454" s="31"/>
      <c r="D454" s="138" t="s">
        <v>299</v>
      </c>
      <c r="F454" s="142" t="s">
        <v>317</v>
      </c>
      <c r="I454" s="140"/>
      <c r="L454" s="31"/>
      <c r="N454" s="213"/>
      <c r="O454" s="214"/>
      <c r="Q454" s="229"/>
      <c r="CG454" s="141"/>
      <c r="CN454" s="50"/>
      <c r="DN454" s="16" t="s">
        <v>299</v>
      </c>
      <c r="DO454" s="16" t="s">
        <v>83</v>
      </c>
    </row>
    <row r="455" spans="2:137" s="12" customFormat="1" x14ac:dyDescent="0.2">
      <c r="B455" s="149"/>
      <c r="D455" s="138" t="s">
        <v>301</v>
      </c>
      <c r="E455" s="150" t="s">
        <v>1</v>
      </c>
      <c r="F455" s="151" t="s">
        <v>81</v>
      </c>
      <c r="H455" s="152">
        <v>1</v>
      </c>
      <c r="I455" s="153"/>
      <c r="L455" s="149"/>
      <c r="N455" s="217"/>
      <c r="O455" s="218"/>
      <c r="Q455" s="231"/>
      <c r="CG455" s="154"/>
      <c r="CN455" s="155"/>
      <c r="DN455" s="150" t="s">
        <v>301</v>
      </c>
      <c r="DO455" s="150" t="s">
        <v>83</v>
      </c>
      <c r="DP455" s="12" t="s">
        <v>83</v>
      </c>
      <c r="DQ455" s="12" t="s">
        <v>32</v>
      </c>
      <c r="DR455" s="12" t="s">
        <v>81</v>
      </c>
      <c r="DS455" s="150" t="s">
        <v>282</v>
      </c>
    </row>
    <row r="456" spans="2:137" s="1" customFormat="1" ht="24.2" customHeight="1" x14ac:dyDescent="0.2">
      <c r="B456" s="124"/>
      <c r="C456" s="125" t="s">
        <v>715</v>
      </c>
      <c r="D456" s="125" t="s">
        <v>284</v>
      </c>
      <c r="E456" s="126" t="s">
        <v>928</v>
      </c>
      <c r="F456" s="127" t="s">
        <v>929</v>
      </c>
      <c r="G456" s="128" t="s">
        <v>485</v>
      </c>
      <c r="H456" s="129">
        <v>2</v>
      </c>
      <c r="I456" s="130">
        <v>6179.0606386784812</v>
      </c>
      <c r="J456" s="131">
        <f>ROUND(I456*H456,2)</f>
        <v>12358.12</v>
      </c>
      <c r="K456" s="127" t="s">
        <v>293</v>
      </c>
      <c r="L456" s="198">
        <f>S456</f>
        <v>0</v>
      </c>
      <c r="M456" s="206">
        <f>ROUND(L456*I456,2)</f>
        <v>0</v>
      </c>
      <c r="N456" s="211"/>
      <c r="O456" s="212">
        <f>ROUND(N456*I456,2)</f>
        <v>0</v>
      </c>
      <c r="P456" s="207">
        <f>H456-L456-N456</f>
        <v>2</v>
      </c>
      <c r="Q456" s="228">
        <f>ROUND(P456*I456,2)</f>
        <v>12358.12</v>
      </c>
      <c r="R456" s="199"/>
      <c r="S456" s="200">
        <f>W456+Y456+AA456+AC456+AE456++AG456+AI456+AK456+AM456+AO456+AQ456+AS456+AU456+AW456</f>
        <v>0</v>
      </c>
      <c r="T456" s="200">
        <f>ROUND(S456*I456,2)</f>
        <v>0</v>
      </c>
      <c r="U456" s="200">
        <f>H456-S456</f>
        <v>2</v>
      </c>
      <c r="V456" s="200">
        <f>ROUND(U456*I456,2)</f>
        <v>12358.12</v>
      </c>
      <c r="W456" s="200"/>
      <c r="X456" s="200"/>
      <c r="Y456" s="200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0"/>
      <c r="AP456" s="200"/>
      <c r="AQ456" s="200"/>
      <c r="AR456" s="200"/>
      <c r="AS456" s="200"/>
      <c r="AT456" s="200"/>
      <c r="AU456" s="200"/>
      <c r="AV456" s="200"/>
      <c r="AW456" s="200"/>
      <c r="AX456" s="200"/>
      <c r="CG456" s="132" t="s">
        <v>1</v>
      </c>
      <c r="CH456" s="133" t="s">
        <v>40</v>
      </c>
      <c r="CJ456" s="134">
        <f>CI456*H456</f>
        <v>0</v>
      </c>
      <c r="CK456" s="134">
        <v>0.10833</v>
      </c>
      <c r="CL456" s="134">
        <f>CK456*H456</f>
        <v>0.21665999999999999</v>
      </c>
      <c r="CM456" s="134">
        <v>0</v>
      </c>
      <c r="CN456" s="135">
        <f>CM456*H456</f>
        <v>0</v>
      </c>
      <c r="DL456" s="136" t="s">
        <v>95</v>
      </c>
      <c r="DN456" s="136" t="s">
        <v>284</v>
      </c>
      <c r="DO456" s="136" t="s">
        <v>83</v>
      </c>
      <c r="DS456" s="16" t="s">
        <v>282</v>
      </c>
      <c r="DY456" s="137">
        <f>IF(CH456="základní",J456,0)</f>
        <v>12358.12</v>
      </c>
      <c r="DZ456" s="137">
        <f>IF(CH456="snížená",J456,0)</f>
        <v>0</v>
      </c>
      <c r="EA456" s="137">
        <f>IF(CH456="zákl. přenesená",J456,0)</f>
        <v>0</v>
      </c>
      <c r="EB456" s="137">
        <f>IF(CH456="sníž. přenesená",J456,0)</f>
        <v>0</v>
      </c>
      <c r="EC456" s="137">
        <f>IF(CH456="nulová",J456,0)</f>
        <v>0</v>
      </c>
      <c r="ED456" s="16" t="s">
        <v>81</v>
      </c>
      <c r="EE456" s="137">
        <f>ROUND(I456*H456,2)</f>
        <v>12358.12</v>
      </c>
      <c r="EF456" s="16" t="s">
        <v>95</v>
      </c>
      <c r="EG456" s="136" t="s">
        <v>1541</v>
      </c>
    </row>
    <row r="457" spans="2:137" s="1" customFormat="1" ht="29.25" x14ac:dyDescent="0.2">
      <c r="B457" s="31"/>
      <c r="D457" s="138" t="s">
        <v>289</v>
      </c>
      <c r="F457" s="139" t="s">
        <v>931</v>
      </c>
      <c r="I457" s="140"/>
      <c r="L457" s="31"/>
      <c r="N457" s="213"/>
      <c r="O457" s="214"/>
      <c r="Q457" s="229"/>
      <c r="CG457" s="141"/>
      <c r="CN457" s="50"/>
      <c r="DN457" s="16" t="s">
        <v>289</v>
      </c>
      <c r="DO457" s="16" t="s">
        <v>83</v>
      </c>
    </row>
    <row r="458" spans="2:137" s="12" customFormat="1" x14ac:dyDescent="0.2">
      <c r="B458" s="149"/>
      <c r="D458" s="138" t="s">
        <v>301</v>
      </c>
      <c r="E458" s="150" t="s">
        <v>1</v>
      </c>
      <c r="F458" s="151" t="s">
        <v>83</v>
      </c>
      <c r="H458" s="152">
        <v>2</v>
      </c>
      <c r="I458" s="153"/>
      <c r="L458" s="149"/>
      <c r="N458" s="217"/>
      <c r="O458" s="218"/>
      <c r="Q458" s="231"/>
      <c r="CG458" s="154"/>
      <c r="CN458" s="155"/>
      <c r="DN458" s="150" t="s">
        <v>301</v>
      </c>
      <c r="DO458" s="150" t="s">
        <v>83</v>
      </c>
      <c r="DP458" s="12" t="s">
        <v>83</v>
      </c>
      <c r="DQ458" s="12" t="s">
        <v>32</v>
      </c>
      <c r="DR458" s="12" t="s">
        <v>81</v>
      </c>
      <c r="DS458" s="150" t="s">
        <v>282</v>
      </c>
    </row>
    <row r="459" spans="2:137" s="1" customFormat="1" ht="24.2" customHeight="1" x14ac:dyDescent="0.2">
      <c r="B459" s="124"/>
      <c r="C459" s="125" t="s">
        <v>718</v>
      </c>
      <c r="D459" s="125" t="s">
        <v>284</v>
      </c>
      <c r="E459" s="126" t="s">
        <v>1034</v>
      </c>
      <c r="F459" s="127" t="s">
        <v>1035</v>
      </c>
      <c r="G459" s="128" t="s">
        <v>485</v>
      </c>
      <c r="H459" s="129">
        <v>3</v>
      </c>
      <c r="I459" s="130">
        <v>4993.6517165286823</v>
      </c>
      <c r="J459" s="131">
        <f>ROUND(I459*H459,2)</f>
        <v>14980.96</v>
      </c>
      <c r="K459" s="127" t="s">
        <v>293</v>
      </c>
      <c r="L459" s="198">
        <f>S459</f>
        <v>0</v>
      </c>
      <c r="M459" s="206">
        <f>ROUND(L459*I459,2)</f>
        <v>0</v>
      </c>
      <c r="N459" s="211"/>
      <c r="O459" s="212">
        <f>ROUND(N459*I459,2)</f>
        <v>0</v>
      </c>
      <c r="P459" s="207">
        <f>H459-L459-N459</f>
        <v>3</v>
      </c>
      <c r="Q459" s="228">
        <f>ROUND(P459*I459,2)</f>
        <v>14980.96</v>
      </c>
      <c r="R459" s="199"/>
      <c r="S459" s="200">
        <f>W459+Y459+AA459+AC459+AE459++AG459+AI459+AK459+AM459+AO459+AQ459+AS459+AU459+AW459</f>
        <v>0</v>
      </c>
      <c r="T459" s="200">
        <f>ROUND(S459*I459,2)</f>
        <v>0</v>
      </c>
      <c r="U459" s="200">
        <f>H459-S459</f>
        <v>3</v>
      </c>
      <c r="V459" s="200">
        <f>ROUND(U459*I459,2)</f>
        <v>14980.96</v>
      </c>
      <c r="W459" s="200"/>
      <c r="X459" s="200"/>
      <c r="Y459" s="200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0"/>
      <c r="AP459" s="200"/>
      <c r="AQ459" s="200"/>
      <c r="AR459" s="200"/>
      <c r="AS459" s="200"/>
      <c r="AT459" s="200"/>
      <c r="AU459" s="200"/>
      <c r="AV459" s="200"/>
      <c r="AW459" s="200"/>
      <c r="AX459" s="200"/>
      <c r="CG459" s="132" t="s">
        <v>1</v>
      </c>
      <c r="CH459" s="133" t="s">
        <v>40</v>
      </c>
      <c r="CJ459" s="134">
        <f>CI459*H459</f>
        <v>0</v>
      </c>
      <c r="CK459" s="134">
        <v>3.637E-2</v>
      </c>
      <c r="CL459" s="134">
        <f>CK459*H459</f>
        <v>0.10911</v>
      </c>
      <c r="CM459" s="134">
        <v>0</v>
      </c>
      <c r="CN459" s="135">
        <f>CM459*H459</f>
        <v>0</v>
      </c>
      <c r="DL459" s="136" t="s">
        <v>95</v>
      </c>
      <c r="DN459" s="136" t="s">
        <v>284</v>
      </c>
      <c r="DO459" s="136" t="s">
        <v>83</v>
      </c>
      <c r="DS459" s="16" t="s">
        <v>282</v>
      </c>
      <c r="DY459" s="137">
        <f>IF(CH459="základní",J459,0)</f>
        <v>14980.96</v>
      </c>
      <c r="DZ459" s="137">
        <f>IF(CH459="snížená",J459,0)</f>
        <v>0</v>
      </c>
      <c r="EA459" s="137">
        <f>IF(CH459="zákl. přenesená",J459,0)</f>
        <v>0</v>
      </c>
      <c r="EB459" s="137">
        <f>IF(CH459="sníž. přenesená",J459,0)</f>
        <v>0</v>
      </c>
      <c r="EC459" s="137">
        <f>IF(CH459="nulová",J459,0)</f>
        <v>0</v>
      </c>
      <c r="ED459" s="16" t="s">
        <v>81</v>
      </c>
      <c r="EE459" s="137">
        <f>ROUND(I459*H459,2)</f>
        <v>14980.96</v>
      </c>
      <c r="EF459" s="16" t="s">
        <v>95</v>
      </c>
      <c r="EG459" s="136" t="s">
        <v>1542</v>
      </c>
    </row>
    <row r="460" spans="2:137" s="1" customFormat="1" ht="19.5" x14ac:dyDescent="0.2">
      <c r="B460" s="31"/>
      <c r="D460" s="138" t="s">
        <v>289</v>
      </c>
      <c r="F460" s="139" t="s">
        <v>1037</v>
      </c>
      <c r="I460" s="140"/>
      <c r="L460" s="31"/>
      <c r="N460" s="213"/>
      <c r="O460" s="214"/>
      <c r="Q460" s="229"/>
      <c r="CG460" s="141"/>
      <c r="CN460" s="50"/>
      <c r="DN460" s="16" t="s">
        <v>289</v>
      </c>
      <c r="DO460" s="16" t="s">
        <v>83</v>
      </c>
    </row>
    <row r="461" spans="2:137" s="1" customFormat="1" ht="24.2" customHeight="1" x14ac:dyDescent="0.2">
      <c r="B461" s="124"/>
      <c r="C461" s="125" t="s">
        <v>724</v>
      </c>
      <c r="D461" s="125" t="s">
        <v>284</v>
      </c>
      <c r="E461" s="126" t="s">
        <v>936</v>
      </c>
      <c r="F461" s="127" t="s">
        <v>937</v>
      </c>
      <c r="G461" s="128" t="s">
        <v>485</v>
      </c>
      <c r="H461" s="129">
        <v>3</v>
      </c>
      <c r="I461" s="130">
        <v>1078.0568828114554</v>
      </c>
      <c r="J461" s="131">
        <f>ROUND(I461*H461,2)</f>
        <v>3234.17</v>
      </c>
      <c r="K461" s="127" t="s">
        <v>293</v>
      </c>
      <c r="L461" s="198">
        <f>S461</f>
        <v>0</v>
      </c>
      <c r="M461" s="206">
        <f>ROUND(L461*I461,2)</f>
        <v>0</v>
      </c>
      <c r="N461" s="211"/>
      <c r="O461" s="212">
        <f>ROUND(N461*I461,2)</f>
        <v>0</v>
      </c>
      <c r="P461" s="207">
        <f>H461-L461-N461</f>
        <v>3</v>
      </c>
      <c r="Q461" s="228">
        <f>ROUND(P461*I461,2)</f>
        <v>3234.17</v>
      </c>
      <c r="R461" s="199"/>
      <c r="S461" s="200">
        <f>W461+Y461+AA461+AC461+AE461++AG461+AI461+AK461+AM461+AO461+AQ461+AS461+AU461+AW461</f>
        <v>0</v>
      </c>
      <c r="T461" s="200">
        <f>ROUND(S461*I461,2)</f>
        <v>0</v>
      </c>
      <c r="U461" s="200">
        <f>H461-S461</f>
        <v>3</v>
      </c>
      <c r="V461" s="200">
        <f>ROUND(U461*I461,2)</f>
        <v>3234.17</v>
      </c>
      <c r="W461" s="200"/>
      <c r="X461" s="200"/>
      <c r="Y461" s="200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0"/>
      <c r="AP461" s="200"/>
      <c r="AQ461" s="200"/>
      <c r="AR461" s="200"/>
      <c r="AS461" s="200"/>
      <c r="AT461" s="200"/>
      <c r="AU461" s="200"/>
      <c r="AV461" s="200"/>
      <c r="AW461" s="200"/>
      <c r="AX461" s="200"/>
      <c r="CG461" s="132" t="s">
        <v>1</v>
      </c>
      <c r="CH461" s="133" t="s">
        <v>40</v>
      </c>
      <c r="CJ461" s="134">
        <f>CI461*H461</f>
        <v>0</v>
      </c>
      <c r="CK461" s="134">
        <v>0</v>
      </c>
      <c r="CL461" s="134">
        <f>CK461*H461</f>
        <v>0</v>
      </c>
      <c r="CM461" s="134">
        <v>0</v>
      </c>
      <c r="CN461" s="135">
        <f>CM461*H461</f>
        <v>0</v>
      </c>
      <c r="DL461" s="136" t="s">
        <v>95</v>
      </c>
      <c r="DN461" s="136" t="s">
        <v>284</v>
      </c>
      <c r="DO461" s="136" t="s">
        <v>83</v>
      </c>
      <c r="DS461" s="16" t="s">
        <v>282</v>
      </c>
      <c r="DY461" s="137">
        <f>IF(CH461="základní",J461,0)</f>
        <v>3234.17</v>
      </c>
      <c r="DZ461" s="137">
        <f>IF(CH461="snížená",J461,0)</f>
        <v>0</v>
      </c>
      <c r="EA461" s="137">
        <f>IF(CH461="zákl. přenesená",J461,0)</f>
        <v>0</v>
      </c>
      <c r="EB461" s="137">
        <f>IF(CH461="sníž. přenesená",J461,0)</f>
        <v>0</v>
      </c>
      <c r="EC461" s="137">
        <f>IF(CH461="nulová",J461,0)</f>
        <v>0</v>
      </c>
      <c r="ED461" s="16" t="s">
        <v>81</v>
      </c>
      <c r="EE461" s="137">
        <f>ROUND(I461*H461,2)</f>
        <v>3234.17</v>
      </c>
      <c r="EF461" s="16" t="s">
        <v>95</v>
      </c>
      <c r="EG461" s="136" t="s">
        <v>1543</v>
      </c>
    </row>
    <row r="462" spans="2:137" s="1" customFormat="1" ht="19.5" x14ac:dyDescent="0.2">
      <c r="B462" s="31"/>
      <c r="D462" s="138" t="s">
        <v>289</v>
      </c>
      <c r="F462" s="139" t="s">
        <v>939</v>
      </c>
      <c r="I462" s="140"/>
      <c r="L462" s="31"/>
      <c r="N462" s="213"/>
      <c r="O462" s="214"/>
      <c r="Q462" s="229"/>
      <c r="CG462" s="141"/>
      <c r="CN462" s="50"/>
      <c r="DN462" s="16" t="s">
        <v>289</v>
      </c>
      <c r="DO462" s="16" t="s">
        <v>83</v>
      </c>
    </row>
    <row r="463" spans="2:137" s="1" customFormat="1" ht="24.2" customHeight="1" x14ac:dyDescent="0.2">
      <c r="B463" s="124"/>
      <c r="C463" s="125" t="s">
        <v>1544</v>
      </c>
      <c r="D463" s="125" t="s">
        <v>284</v>
      </c>
      <c r="E463" s="126" t="s">
        <v>940</v>
      </c>
      <c r="F463" s="127" t="s">
        <v>941</v>
      </c>
      <c r="G463" s="128" t="s">
        <v>485</v>
      </c>
      <c r="H463" s="129">
        <v>3</v>
      </c>
      <c r="I463" s="130">
        <v>8864.0454366400263</v>
      </c>
      <c r="J463" s="131">
        <f>ROUND(I463*H463,2)</f>
        <v>26592.14</v>
      </c>
      <c r="K463" s="127" t="s">
        <v>293</v>
      </c>
      <c r="L463" s="198">
        <f>S463</f>
        <v>0</v>
      </c>
      <c r="M463" s="206">
        <f>ROUND(L463*I463,2)</f>
        <v>0</v>
      </c>
      <c r="N463" s="211"/>
      <c r="O463" s="212">
        <f>ROUND(N463*I463,2)</f>
        <v>0</v>
      </c>
      <c r="P463" s="207">
        <f>H463-L463-N463</f>
        <v>3</v>
      </c>
      <c r="Q463" s="228">
        <f>ROUND(P463*I463,2)</f>
        <v>26592.14</v>
      </c>
      <c r="R463" s="199"/>
      <c r="S463" s="200">
        <f>W463+Y463+AA463+AC463+AE463++AG463+AI463+AK463+AM463+AO463+AQ463+AS463+AU463+AW463</f>
        <v>0</v>
      </c>
      <c r="T463" s="200">
        <f>ROUND(S463*I463,2)</f>
        <v>0</v>
      </c>
      <c r="U463" s="200">
        <f>H463-S463</f>
        <v>3</v>
      </c>
      <c r="V463" s="200">
        <f>ROUND(U463*I463,2)</f>
        <v>26592.14</v>
      </c>
      <c r="W463" s="200"/>
      <c r="X463" s="200"/>
      <c r="Y463" s="200"/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0"/>
      <c r="AP463" s="200"/>
      <c r="AQ463" s="200"/>
      <c r="AR463" s="200"/>
      <c r="AS463" s="200"/>
      <c r="AT463" s="200"/>
      <c r="AU463" s="200"/>
      <c r="AV463" s="200"/>
      <c r="AW463" s="200"/>
      <c r="AX463" s="200"/>
      <c r="CG463" s="132" t="s">
        <v>1</v>
      </c>
      <c r="CH463" s="133" t="s">
        <v>40</v>
      </c>
      <c r="CJ463" s="134">
        <f>CI463*H463</f>
        <v>0</v>
      </c>
      <c r="CK463" s="134">
        <v>0.21007999999999999</v>
      </c>
      <c r="CL463" s="134">
        <f>CK463*H463</f>
        <v>0.63023999999999991</v>
      </c>
      <c r="CM463" s="134">
        <v>0</v>
      </c>
      <c r="CN463" s="135">
        <f>CM463*H463</f>
        <v>0</v>
      </c>
      <c r="DL463" s="136" t="s">
        <v>95</v>
      </c>
      <c r="DN463" s="136" t="s">
        <v>284</v>
      </c>
      <c r="DO463" s="136" t="s">
        <v>83</v>
      </c>
      <c r="DS463" s="16" t="s">
        <v>282</v>
      </c>
      <c r="DY463" s="137">
        <f>IF(CH463="základní",J463,0)</f>
        <v>26592.14</v>
      </c>
      <c r="DZ463" s="137">
        <f>IF(CH463="snížená",J463,0)</f>
        <v>0</v>
      </c>
      <c r="EA463" s="137">
        <f>IF(CH463="zákl. přenesená",J463,0)</f>
        <v>0</v>
      </c>
      <c r="EB463" s="137">
        <f>IF(CH463="sníž. přenesená",J463,0)</f>
        <v>0</v>
      </c>
      <c r="EC463" s="137">
        <f>IF(CH463="nulová",J463,0)</f>
        <v>0</v>
      </c>
      <c r="ED463" s="16" t="s">
        <v>81</v>
      </c>
      <c r="EE463" s="137">
        <f>ROUND(I463*H463,2)</f>
        <v>26592.14</v>
      </c>
      <c r="EF463" s="16" t="s">
        <v>95</v>
      </c>
      <c r="EG463" s="136" t="s">
        <v>1545</v>
      </c>
    </row>
    <row r="464" spans="2:137" s="1" customFormat="1" ht="29.25" x14ac:dyDescent="0.2">
      <c r="B464" s="31"/>
      <c r="D464" s="138" t="s">
        <v>289</v>
      </c>
      <c r="F464" s="139" t="s">
        <v>943</v>
      </c>
      <c r="I464" s="140"/>
      <c r="L464" s="31"/>
      <c r="N464" s="213"/>
      <c r="O464" s="214"/>
      <c r="Q464" s="229"/>
      <c r="CG464" s="141"/>
      <c r="CN464" s="50"/>
      <c r="DN464" s="16" t="s">
        <v>289</v>
      </c>
      <c r="DO464" s="16" t="s">
        <v>83</v>
      </c>
    </row>
    <row r="465" spans="2:137" s="1" customFormat="1" ht="37.9" customHeight="1" x14ac:dyDescent="0.2">
      <c r="B465" s="124"/>
      <c r="C465" s="125" t="s">
        <v>1546</v>
      </c>
      <c r="D465" s="125" t="s">
        <v>284</v>
      </c>
      <c r="E465" s="126" t="s">
        <v>1547</v>
      </c>
      <c r="F465" s="127" t="s">
        <v>1548</v>
      </c>
      <c r="G465" s="128" t="s">
        <v>485</v>
      </c>
      <c r="H465" s="129">
        <v>1</v>
      </c>
      <c r="I465" s="130">
        <v>28416.471000000001</v>
      </c>
      <c r="J465" s="131">
        <f>ROUND(I465*H465,2)</f>
        <v>28416.47</v>
      </c>
      <c r="K465" s="127" t="s">
        <v>1</v>
      </c>
      <c r="L465" s="198">
        <f>S465</f>
        <v>0</v>
      </c>
      <c r="M465" s="206">
        <f>ROUND(L465*I465,2)</f>
        <v>0</v>
      </c>
      <c r="N465" s="211"/>
      <c r="O465" s="212">
        <f>ROUND(N465*I465,2)</f>
        <v>0</v>
      </c>
      <c r="P465" s="207">
        <f>H465-L465-N465</f>
        <v>1</v>
      </c>
      <c r="Q465" s="228">
        <f>ROUND(P465*I465,2)</f>
        <v>28416.47</v>
      </c>
      <c r="R465" s="199"/>
      <c r="S465" s="200">
        <f>W465+Y465+AA465+AC465+AE465++AG465+AI465+AK465+AM465+AO465+AQ465+AS465+AU465+AW465</f>
        <v>0</v>
      </c>
      <c r="T465" s="200">
        <f>ROUND(S465*I465,2)</f>
        <v>0</v>
      </c>
      <c r="U465" s="200">
        <f>H465-S465</f>
        <v>1</v>
      </c>
      <c r="V465" s="200">
        <f>ROUND(U465*I465,2)</f>
        <v>28416.47</v>
      </c>
      <c r="W465" s="200"/>
      <c r="X465" s="200"/>
      <c r="Y465" s="200"/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0"/>
      <c r="AP465" s="200"/>
      <c r="AQ465" s="200"/>
      <c r="AR465" s="200"/>
      <c r="AS465" s="200"/>
      <c r="AT465" s="200"/>
      <c r="AU465" s="200"/>
      <c r="AV465" s="200"/>
      <c r="AW465" s="200"/>
      <c r="AX465" s="200"/>
      <c r="CG465" s="132" t="s">
        <v>1</v>
      </c>
      <c r="CH465" s="133" t="s">
        <v>40</v>
      </c>
      <c r="CJ465" s="134">
        <f>CI465*H465</f>
        <v>0</v>
      </c>
      <c r="CK465" s="134">
        <v>4.5614299999999997</v>
      </c>
      <c r="CL465" s="134">
        <f>CK465*H465</f>
        <v>4.5614299999999997</v>
      </c>
      <c r="CM465" s="134">
        <v>0</v>
      </c>
      <c r="CN465" s="135">
        <f>CM465*H465</f>
        <v>0</v>
      </c>
      <c r="DL465" s="136" t="s">
        <v>95</v>
      </c>
      <c r="DN465" s="136" t="s">
        <v>284</v>
      </c>
      <c r="DO465" s="136" t="s">
        <v>83</v>
      </c>
      <c r="DS465" s="16" t="s">
        <v>282</v>
      </c>
      <c r="DY465" s="137">
        <f>IF(CH465="základní",J465,0)</f>
        <v>28416.47</v>
      </c>
      <c r="DZ465" s="137">
        <f>IF(CH465="snížená",J465,0)</f>
        <v>0</v>
      </c>
      <c r="EA465" s="137">
        <f>IF(CH465="zákl. přenesená",J465,0)</f>
        <v>0</v>
      </c>
      <c r="EB465" s="137">
        <f>IF(CH465="sníž. přenesená",J465,0)</f>
        <v>0</v>
      </c>
      <c r="EC465" s="137">
        <f>IF(CH465="nulová",J465,0)</f>
        <v>0</v>
      </c>
      <c r="ED465" s="16" t="s">
        <v>81</v>
      </c>
      <c r="EE465" s="137">
        <f>ROUND(I465*H465,2)</f>
        <v>28416.47</v>
      </c>
      <c r="EF465" s="16" t="s">
        <v>95</v>
      </c>
      <c r="EG465" s="136" t="s">
        <v>1549</v>
      </c>
    </row>
    <row r="466" spans="2:137" s="1" customFormat="1" ht="19.5" x14ac:dyDescent="0.2">
      <c r="B466" s="31"/>
      <c r="D466" s="138" t="s">
        <v>289</v>
      </c>
      <c r="F466" s="139" t="s">
        <v>1548</v>
      </c>
      <c r="I466" s="140"/>
      <c r="L466" s="31"/>
      <c r="N466" s="213"/>
      <c r="O466" s="214"/>
      <c r="Q466" s="229"/>
      <c r="CG466" s="141"/>
      <c r="CN466" s="50"/>
      <c r="DN466" s="16" t="s">
        <v>289</v>
      </c>
      <c r="DO466" s="16" t="s">
        <v>83</v>
      </c>
    </row>
    <row r="467" spans="2:137" s="1" customFormat="1" ht="29.25" x14ac:dyDescent="0.2">
      <c r="B467" s="31"/>
      <c r="D467" s="138" t="s">
        <v>299</v>
      </c>
      <c r="F467" s="142" t="s">
        <v>1426</v>
      </c>
      <c r="I467" s="140"/>
      <c r="L467" s="31"/>
      <c r="N467" s="213"/>
      <c r="O467" s="214"/>
      <c r="Q467" s="229"/>
      <c r="CG467" s="141"/>
      <c r="CN467" s="50"/>
      <c r="DN467" s="16" t="s">
        <v>299</v>
      </c>
      <c r="DO467" s="16" t="s">
        <v>83</v>
      </c>
    </row>
    <row r="468" spans="2:137" s="12" customFormat="1" x14ac:dyDescent="0.2">
      <c r="B468" s="149"/>
      <c r="D468" s="138" t="s">
        <v>301</v>
      </c>
      <c r="E468" s="150" t="s">
        <v>1</v>
      </c>
      <c r="F468" s="151" t="s">
        <v>1550</v>
      </c>
      <c r="H468" s="152">
        <v>1</v>
      </c>
      <c r="I468" s="153"/>
      <c r="L468" s="149"/>
      <c r="N468" s="217"/>
      <c r="O468" s="218"/>
      <c r="Q468" s="231"/>
      <c r="CG468" s="154"/>
      <c r="CN468" s="155"/>
      <c r="DN468" s="150" t="s">
        <v>301</v>
      </c>
      <c r="DO468" s="150" t="s">
        <v>83</v>
      </c>
      <c r="DP468" s="12" t="s">
        <v>83</v>
      </c>
      <c r="DQ468" s="12" t="s">
        <v>32</v>
      </c>
      <c r="DR468" s="12" t="s">
        <v>81</v>
      </c>
      <c r="DS468" s="150" t="s">
        <v>282</v>
      </c>
    </row>
    <row r="469" spans="2:137" s="1" customFormat="1" ht="14.45" customHeight="1" x14ac:dyDescent="0.2">
      <c r="B469" s="124"/>
      <c r="C469" s="125" t="s">
        <v>1551</v>
      </c>
      <c r="D469" s="125" t="s">
        <v>284</v>
      </c>
      <c r="E469" s="126" t="s">
        <v>644</v>
      </c>
      <c r="F469" s="127" t="s">
        <v>645</v>
      </c>
      <c r="G469" s="128" t="s">
        <v>287</v>
      </c>
      <c r="H469" s="129">
        <v>7.01</v>
      </c>
      <c r="I469" s="130">
        <v>2368.0392499999998</v>
      </c>
      <c r="J469" s="131">
        <f>ROUND(I469*H469,2)</f>
        <v>16599.96</v>
      </c>
      <c r="K469" s="127" t="s">
        <v>1</v>
      </c>
      <c r="L469" s="198">
        <f>S469</f>
        <v>0</v>
      </c>
      <c r="M469" s="206">
        <f>ROUND(L469*I469,2)</f>
        <v>0</v>
      </c>
      <c r="N469" s="211"/>
      <c r="O469" s="212">
        <f>ROUND(N469*I469,2)</f>
        <v>0</v>
      </c>
      <c r="P469" s="207">
        <f>H469-L469-N469</f>
        <v>7.01</v>
      </c>
      <c r="Q469" s="228">
        <f>ROUND(P469*I469,2)</f>
        <v>16599.96</v>
      </c>
      <c r="R469" s="199"/>
      <c r="S469" s="200">
        <f>W469+Y469+AA469+AC469+AE469++AG469+AI469+AK469+AM469+AO469+AQ469+AS469+AU469+AW469</f>
        <v>0</v>
      </c>
      <c r="T469" s="200">
        <f>ROUND(S469*I469,2)</f>
        <v>0</v>
      </c>
      <c r="U469" s="200">
        <f>H469-S469</f>
        <v>7.01</v>
      </c>
      <c r="V469" s="200">
        <f>ROUND(U469*I469,2)</f>
        <v>16599.96</v>
      </c>
      <c r="W469" s="200"/>
      <c r="X469" s="200"/>
      <c r="Y469" s="200"/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0"/>
      <c r="AP469" s="200"/>
      <c r="AQ469" s="200"/>
      <c r="AR469" s="200"/>
      <c r="AS469" s="200"/>
      <c r="AT469" s="200"/>
      <c r="AU469" s="200"/>
      <c r="AV469" s="200"/>
      <c r="AW469" s="200"/>
      <c r="AX469" s="200"/>
      <c r="CG469" s="132" t="s">
        <v>1</v>
      </c>
      <c r="CH469" s="133" t="s">
        <v>40</v>
      </c>
      <c r="CJ469" s="134">
        <f>CI469*H469</f>
        <v>0</v>
      </c>
      <c r="CK469" s="134">
        <v>4.8207100000000001</v>
      </c>
      <c r="CL469" s="134">
        <f>CK469*H469</f>
        <v>33.793177100000001</v>
      </c>
      <c r="CM469" s="134">
        <v>0</v>
      </c>
      <c r="CN469" s="135">
        <f>CM469*H469</f>
        <v>0</v>
      </c>
      <c r="DL469" s="136" t="s">
        <v>95</v>
      </c>
      <c r="DN469" s="136" t="s">
        <v>284</v>
      </c>
      <c r="DO469" s="136" t="s">
        <v>83</v>
      </c>
      <c r="DS469" s="16" t="s">
        <v>282</v>
      </c>
      <c r="DY469" s="137">
        <f>IF(CH469="základní",J469,0)</f>
        <v>16599.96</v>
      </c>
      <c r="DZ469" s="137">
        <f>IF(CH469="snížená",J469,0)</f>
        <v>0</v>
      </c>
      <c r="EA469" s="137">
        <f>IF(CH469="zákl. přenesená",J469,0)</f>
        <v>0</v>
      </c>
      <c r="EB469" s="137">
        <f>IF(CH469="sníž. přenesená",J469,0)</f>
        <v>0</v>
      </c>
      <c r="EC469" s="137">
        <f>IF(CH469="nulová",J469,0)</f>
        <v>0</v>
      </c>
      <c r="ED469" s="16" t="s">
        <v>81</v>
      </c>
      <c r="EE469" s="137">
        <f>ROUND(I469*H469,2)</f>
        <v>16599.96</v>
      </c>
      <c r="EF469" s="16" t="s">
        <v>95</v>
      </c>
      <c r="EG469" s="136" t="s">
        <v>1552</v>
      </c>
    </row>
    <row r="470" spans="2:137" s="1" customFormat="1" ht="29.25" x14ac:dyDescent="0.2">
      <c r="B470" s="31"/>
      <c r="D470" s="138" t="s">
        <v>289</v>
      </c>
      <c r="F470" s="139" t="s">
        <v>647</v>
      </c>
      <c r="I470" s="140"/>
      <c r="L470" s="31"/>
      <c r="N470" s="213"/>
      <c r="O470" s="214"/>
      <c r="Q470" s="229"/>
      <c r="CG470" s="141"/>
      <c r="CN470" s="50"/>
      <c r="DN470" s="16" t="s">
        <v>289</v>
      </c>
      <c r="DO470" s="16" t="s">
        <v>83</v>
      </c>
    </row>
    <row r="471" spans="2:137" s="1" customFormat="1" ht="19.5" x14ac:dyDescent="0.2">
      <c r="B471" s="31"/>
      <c r="D471" s="138" t="s">
        <v>299</v>
      </c>
      <c r="F471" s="142" t="s">
        <v>317</v>
      </c>
      <c r="I471" s="140"/>
      <c r="L471" s="31"/>
      <c r="N471" s="213"/>
      <c r="O471" s="214"/>
      <c r="Q471" s="229"/>
      <c r="CG471" s="141"/>
      <c r="CN471" s="50"/>
      <c r="DN471" s="16" t="s">
        <v>299</v>
      </c>
      <c r="DO471" s="16" t="s">
        <v>83</v>
      </c>
    </row>
    <row r="472" spans="2:137" s="11" customFormat="1" x14ac:dyDescent="0.2">
      <c r="B472" s="143"/>
      <c r="D472" s="138" t="s">
        <v>301</v>
      </c>
      <c r="E472" s="144" t="s">
        <v>1</v>
      </c>
      <c r="F472" s="145" t="s">
        <v>648</v>
      </c>
      <c r="H472" s="144" t="s">
        <v>1</v>
      </c>
      <c r="I472" s="146"/>
      <c r="L472" s="143"/>
      <c r="N472" s="215"/>
      <c r="O472" s="216"/>
      <c r="Q472" s="230"/>
      <c r="CG472" s="147"/>
      <c r="CN472" s="148"/>
      <c r="DN472" s="144" t="s">
        <v>301</v>
      </c>
      <c r="DO472" s="144" t="s">
        <v>83</v>
      </c>
      <c r="DP472" s="11" t="s">
        <v>81</v>
      </c>
      <c r="DQ472" s="11" t="s">
        <v>32</v>
      </c>
      <c r="DR472" s="11" t="s">
        <v>74</v>
      </c>
      <c r="DS472" s="144" t="s">
        <v>282</v>
      </c>
    </row>
    <row r="473" spans="2:137" s="12" customFormat="1" x14ac:dyDescent="0.2">
      <c r="B473" s="149"/>
      <c r="D473" s="138" t="s">
        <v>301</v>
      </c>
      <c r="E473" s="150" t="s">
        <v>1</v>
      </c>
      <c r="F473" s="151" t="s">
        <v>1553</v>
      </c>
      <c r="H473" s="152">
        <v>7.01</v>
      </c>
      <c r="I473" s="153"/>
      <c r="L473" s="149"/>
      <c r="N473" s="217"/>
      <c r="O473" s="218"/>
      <c r="Q473" s="231"/>
      <c r="CG473" s="154"/>
      <c r="CN473" s="155"/>
      <c r="DN473" s="150" t="s">
        <v>301</v>
      </c>
      <c r="DO473" s="150" t="s">
        <v>83</v>
      </c>
      <c r="DP473" s="12" t="s">
        <v>83</v>
      </c>
      <c r="DQ473" s="12" t="s">
        <v>32</v>
      </c>
      <c r="DR473" s="12" t="s">
        <v>81</v>
      </c>
      <c r="DS473" s="150" t="s">
        <v>282</v>
      </c>
    </row>
    <row r="474" spans="2:137" s="1" customFormat="1" ht="37.9" customHeight="1" x14ac:dyDescent="0.2">
      <c r="B474" s="124"/>
      <c r="C474" s="125" t="s">
        <v>1069</v>
      </c>
      <c r="D474" s="125" t="s">
        <v>284</v>
      </c>
      <c r="E474" s="126" t="s">
        <v>792</v>
      </c>
      <c r="F474" s="127" t="s">
        <v>793</v>
      </c>
      <c r="G474" s="128" t="s">
        <v>315</v>
      </c>
      <c r="H474" s="129">
        <v>1</v>
      </c>
      <c r="I474" s="130">
        <v>5683.2942000000003</v>
      </c>
      <c r="J474" s="131">
        <f>ROUND(I474*H474,2)</f>
        <v>5683.29</v>
      </c>
      <c r="K474" s="127" t="s">
        <v>1</v>
      </c>
      <c r="L474" s="198">
        <f>S474</f>
        <v>0</v>
      </c>
      <c r="M474" s="206">
        <f>ROUND(L474*I474,2)</f>
        <v>0</v>
      </c>
      <c r="N474" s="211"/>
      <c r="O474" s="212">
        <f>ROUND(N474*I474,2)</f>
        <v>0</v>
      </c>
      <c r="P474" s="207">
        <f>H474-L474-N474</f>
        <v>1</v>
      </c>
      <c r="Q474" s="228">
        <f>ROUND(P474*I474,2)</f>
        <v>5683.29</v>
      </c>
      <c r="R474" s="199"/>
      <c r="S474" s="200">
        <f>W474+Y474+AA474+AC474+AE474++AG474+AI474+AK474+AM474+AO474+AQ474+AS474+AU474+AW474</f>
        <v>0</v>
      </c>
      <c r="T474" s="200">
        <f>ROUND(S474*I474,2)</f>
        <v>0</v>
      </c>
      <c r="U474" s="200">
        <f>H474-S474</f>
        <v>1</v>
      </c>
      <c r="V474" s="200">
        <f>ROUND(U474*I474,2)</f>
        <v>5683.29</v>
      </c>
      <c r="W474" s="200"/>
      <c r="X474" s="200"/>
      <c r="Y474" s="200"/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0"/>
      <c r="AP474" s="200"/>
      <c r="AQ474" s="200"/>
      <c r="AR474" s="200"/>
      <c r="AS474" s="200"/>
      <c r="AT474" s="200"/>
      <c r="AU474" s="200"/>
      <c r="AV474" s="200"/>
      <c r="AW474" s="200"/>
      <c r="AX474" s="200"/>
      <c r="CG474" s="132" t="s">
        <v>1</v>
      </c>
      <c r="CH474" s="133" t="s">
        <v>40</v>
      </c>
      <c r="CJ474" s="134">
        <f>CI474*H474</f>
        <v>0</v>
      </c>
      <c r="CK474" s="134">
        <v>0</v>
      </c>
      <c r="CL474" s="134">
        <f>CK474*H474</f>
        <v>0</v>
      </c>
      <c r="CM474" s="134">
        <v>0</v>
      </c>
      <c r="CN474" s="135">
        <f>CM474*H474</f>
        <v>0</v>
      </c>
      <c r="DL474" s="136" t="s">
        <v>95</v>
      </c>
      <c r="DN474" s="136" t="s">
        <v>284</v>
      </c>
      <c r="DO474" s="136" t="s">
        <v>83</v>
      </c>
      <c r="DS474" s="16" t="s">
        <v>282</v>
      </c>
      <c r="DY474" s="137">
        <f>IF(CH474="základní",J474,0)</f>
        <v>5683.29</v>
      </c>
      <c r="DZ474" s="137">
        <f>IF(CH474="snížená",J474,0)</f>
        <v>0</v>
      </c>
      <c r="EA474" s="137">
        <f>IF(CH474="zákl. přenesená",J474,0)</f>
        <v>0</v>
      </c>
      <c r="EB474" s="137">
        <f>IF(CH474="sníž. přenesená",J474,0)</f>
        <v>0</v>
      </c>
      <c r="EC474" s="137">
        <f>IF(CH474="nulová",J474,0)</f>
        <v>0</v>
      </c>
      <c r="ED474" s="16" t="s">
        <v>81</v>
      </c>
      <c r="EE474" s="137">
        <f>ROUND(I474*H474,2)</f>
        <v>5683.29</v>
      </c>
      <c r="EF474" s="16" t="s">
        <v>95</v>
      </c>
      <c r="EG474" s="136" t="s">
        <v>658</v>
      </c>
    </row>
    <row r="475" spans="2:137" s="1" customFormat="1" ht="19.5" x14ac:dyDescent="0.2">
      <c r="B475" s="31"/>
      <c r="D475" s="138" t="s">
        <v>289</v>
      </c>
      <c r="F475" s="139" t="s">
        <v>793</v>
      </c>
      <c r="I475" s="140"/>
      <c r="L475" s="31"/>
      <c r="N475" s="213"/>
      <c r="O475" s="214"/>
      <c r="Q475" s="229"/>
      <c r="CG475" s="141"/>
      <c r="CN475" s="50"/>
      <c r="DN475" s="16" t="s">
        <v>289</v>
      </c>
      <c r="DO475" s="16" t="s">
        <v>83</v>
      </c>
    </row>
    <row r="476" spans="2:137" s="1" customFormat="1" ht="19.5" x14ac:dyDescent="0.2">
      <c r="B476" s="31"/>
      <c r="D476" s="138" t="s">
        <v>299</v>
      </c>
      <c r="F476" s="142" t="s">
        <v>317</v>
      </c>
      <c r="I476" s="140"/>
      <c r="L476" s="31"/>
      <c r="N476" s="213"/>
      <c r="O476" s="214"/>
      <c r="Q476" s="229"/>
      <c r="CG476" s="141"/>
      <c r="CN476" s="50"/>
      <c r="DN476" s="16" t="s">
        <v>299</v>
      </c>
      <c r="DO476" s="16" t="s">
        <v>83</v>
      </c>
    </row>
    <row r="477" spans="2:137" s="12" customFormat="1" x14ac:dyDescent="0.2">
      <c r="B477" s="149"/>
      <c r="D477" s="138" t="s">
        <v>301</v>
      </c>
      <c r="E477" s="150" t="s">
        <v>1</v>
      </c>
      <c r="F477" s="151" t="s">
        <v>1554</v>
      </c>
      <c r="H477" s="152">
        <v>1</v>
      </c>
      <c r="I477" s="153"/>
      <c r="L477" s="149"/>
      <c r="N477" s="217"/>
      <c r="O477" s="218"/>
      <c r="Q477" s="231"/>
      <c r="CG477" s="154"/>
      <c r="CN477" s="155"/>
      <c r="DN477" s="150" t="s">
        <v>301</v>
      </c>
      <c r="DO477" s="150" t="s">
        <v>83</v>
      </c>
      <c r="DP477" s="12" t="s">
        <v>83</v>
      </c>
      <c r="DQ477" s="12" t="s">
        <v>32</v>
      </c>
      <c r="DR477" s="12" t="s">
        <v>81</v>
      </c>
      <c r="DS477" s="150" t="s">
        <v>282</v>
      </c>
    </row>
    <row r="478" spans="2:137" s="1" customFormat="1" ht="62.65" customHeight="1" x14ac:dyDescent="0.2">
      <c r="B478" s="124"/>
      <c r="C478" s="125" t="s">
        <v>1555</v>
      </c>
      <c r="D478" s="125" t="s">
        <v>284</v>
      </c>
      <c r="E478" s="126" t="s">
        <v>795</v>
      </c>
      <c r="F478" s="127" t="s">
        <v>796</v>
      </c>
      <c r="G478" s="128" t="s">
        <v>315</v>
      </c>
      <c r="H478" s="129">
        <v>1</v>
      </c>
      <c r="I478" s="130">
        <v>35994.196600000003</v>
      </c>
      <c r="J478" s="131">
        <f>ROUND(I478*H478,2)</f>
        <v>35994.199999999997</v>
      </c>
      <c r="K478" s="127" t="s">
        <v>1</v>
      </c>
      <c r="L478" s="198">
        <f>S478</f>
        <v>0</v>
      </c>
      <c r="M478" s="206">
        <f>ROUND(L478*I478,2)</f>
        <v>0</v>
      </c>
      <c r="N478" s="211"/>
      <c r="O478" s="212">
        <f>ROUND(N478*I478,2)</f>
        <v>0</v>
      </c>
      <c r="P478" s="207">
        <f>H478-L478-N478</f>
        <v>1</v>
      </c>
      <c r="Q478" s="228">
        <f>ROUND(P478*I478,2)</f>
        <v>35994.199999999997</v>
      </c>
      <c r="R478" s="199"/>
      <c r="S478" s="200">
        <f>W478+Y478+AA478+AC478+AE478++AG478+AI478+AK478+AM478+AO478+AQ478+AS478+AU478+AW478</f>
        <v>0</v>
      </c>
      <c r="T478" s="200">
        <f>ROUND(S478*I478,2)</f>
        <v>0</v>
      </c>
      <c r="U478" s="200">
        <f>H478-S478</f>
        <v>1</v>
      </c>
      <c r="V478" s="200">
        <f>ROUND(U478*I478,2)</f>
        <v>35994.199999999997</v>
      </c>
      <c r="W478" s="200"/>
      <c r="X478" s="200"/>
      <c r="Y478" s="200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0"/>
      <c r="AP478" s="200"/>
      <c r="AQ478" s="200"/>
      <c r="AR478" s="200"/>
      <c r="AS478" s="200"/>
      <c r="AT478" s="200"/>
      <c r="AU478" s="200"/>
      <c r="AV478" s="200"/>
      <c r="AW478" s="200"/>
      <c r="AX478" s="200"/>
      <c r="CG478" s="132" t="s">
        <v>1</v>
      </c>
      <c r="CH478" s="133" t="s">
        <v>40</v>
      </c>
      <c r="CJ478" s="134">
        <f>CI478*H478</f>
        <v>0</v>
      </c>
      <c r="CK478" s="134">
        <v>0</v>
      </c>
      <c r="CL478" s="134">
        <f>CK478*H478</f>
        <v>0</v>
      </c>
      <c r="CM478" s="134">
        <v>0</v>
      </c>
      <c r="CN478" s="135">
        <f>CM478*H478</f>
        <v>0</v>
      </c>
      <c r="DL478" s="136" t="s">
        <v>95</v>
      </c>
      <c r="DN478" s="136" t="s">
        <v>284</v>
      </c>
      <c r="DO478" s="136" t="s">
        <v>83</v>
      </c>
      <c r="DS478" s="16" t="s">
        <v>282</v>
      </c>
      <c r="DY478" s="137">
        <f>IF(CH478="základní",J478,0)</f>
        <v>35994.199999999997</v>
      </c>
      <c r="DZ478" s="137">
        <f>IF(CH478="snížená",J478,0)</f>
        <v>0</v>
      </c>
      <c r="EA478" s="137">
        <f>IF(CH478="zákl. přenesená",J478,0)</f>
        <v>0</v>
      </c>
      <c r="EB478" s="137">
        <f>IF(CH478="sníž. přenesená",J478,0)</f>
        <v>0</v>
      </c>
      <c r="EC478" s="137">
        <f>IF(CH478="nulová",J478,0)</f>
        <v>0</v>
      </c>
      <c r="ED478" s="16" t="s">
        <v>81</v>
      </c>
      <c r="EE478" s="137">
        <f>ROUND(I478*H478,2)</f>
        <v>35994.199999999997</v>
      </c>
      <c r="EF478" s="16" t="s">
        <v>95</v>
      </c>
      <c r="EG478" s="136" t="s">
        <v>797</v>
      </c>
    </row>
    <row r="479" spans="2:137" s="1" customFormat="1" ht="39" x14ac:dyDescent="0.2">
      <c r="B479" s="31"/>
      <c r="D479" s="138" t="s">
        <v>289</v>
      </c>
      <c r="F479" s="139" t="s">
        <v>796</v>
      </c>
      <c r="I479" s="140"/>
      <c r="L479" s="31"/>
      <c r="N479" s="213"/>
      <c r="O479" s="214"/>
      <c r="Q479" s="229"/>
      <c r="CG479" s="141"/>
      <c r="CN479" s="50"/>
      <c r="DN479" s="16" t="s">
        <v>289</v>
      </c>
      <c r="DO479" s="16" t="s">
        <v>83</v>
      </c>
    </row>
    <row r="480" spans="2:137" s="1" customFormat="1" ht="19.5" x14ac:dyDescent="0.2">
      <c r="B480" s="31"/>
      <c r="D480" s="138" t="s">
        <v>299</v>
      </c>
      <c r="F480" s="142" t="s">
        <v>317</v>
      </c>
      <c r="I480" s="140"/>
      <c r="L480" s="31"/>
      <c r="N480" s="213"/>
      <c r="O480" s="214"/>
      <c r="Q480" s="229"/>
      <c r="CG480" s="141"/>
      <c r="CN480" s="50"/>
      <c r="DN480" s="16" t="s">
        <v>299</v>
      </c>
      <c r="DO480" s="16" t="s">
        <v>83</v>
      </c>
    </row>
    <row r="481" spans="2:137" s="12" customFormat="1" x14ac:dyDescent="0.2">
      <c r="B481" s="149"/>
      <c r="D481" s="138" t="s">
        <v>301</v>
      </c>
      <c r="E481" s="150" t="s">
        <v>1</v>
      </c>
      <c r="F481" s="151" t="s">
        <v>1556</v>
      </c>
      <c r="H481" s="152">
        <v>1</v>
      </c>
      <c r="I481" s="153"/>
      <c r="L481" s="149"/>
      <c r="N481" s="217"/>
      <c r="O481" s="218"/>
      <c r="Q481" s="231"/>
      <c r="CG481" s="154"/>
      <c r="CN481" s="155"/>
      <c r="DN481" s="150" t="s">
        <v>301</v>
      </c>
      <c r="DO481" s="150" t="s">
        <v>83</v>
      </c>
      <c r="DP481" s="12" t="s">
        <v>83</v>
      </c>
      <c r="DQ481" s="12" t="s">
        <v>32</v>
      </c>
      <c r="DR481" s="12" t="s">
        <v>81</v>
      </c>
      <c r="DS481" s="150" t="s">
        <v>282</v>
      </c>
    </row>
    <row r="482" spans="2:137" s="1" customFormat="1" ht="24.2" customHeight="1" x14ac:dyDescent="0.2">
      <c r="B482" s="124"/>
      <c r="C482" s="125" t="s">
        <v>1557</v>
      </c>
      <c r="D482" s="125" t="s">
        <v>284</v>
      </c>
      <c r="E482" s="126" t="s">
        <v>661</v>
      </c>
      <c r="F482" s="127" t="s">
        <v>662</v>
      </c>
      <c r="G482" s="128" t="s">
        <v>485</v>
      </c>
      <c r="H482" s="129">
        <v>52</v>
      </c>
      <c r="I482" s="130">
        <v>1019.8832798103068</v>
      </c>
      <c r="J482" s="131">
        <f>ROUND(I482*H482,2)</f>
        <v>53033.93</v>
      </c>
      <c r="K482" s="127" t="s">
        <v>293</v>
      </c>
      <c r="L482" s="198">
        <f>S482</f>
        <v>0</v>
      </c>
      <c r="M482" s="206">
        <f>ROUND(L482*I482,2)</f>
        <v>0</v>
      </c>
      <c r="N482" s="211"/>
      <c r="O482" s="212">
        <f>ROUND(N482*I482,2)</f>
        <v>0</v>
      </c>
      <c r="P482" s="207">
        <f>H482-L482-N482</f>
        <v>52</v>
      </c>
      <c r="Q482" s="228">
        <f>ROUND(P482*I482,2)</f>
        <v>53033.93</v>
      </c>
      <c r="R482" s="199"/>
      <c r="S482" s="200">
        <f>W482+Y482+AA482+AC482+AE482++AG482+AI482+AK482+AM482+AO482+AQ482+AS482+AU482+AW482</f>
        <v>0</v>
      </c>
      <c r="T482" s="200">
        <f>ROUND(S482*I482,2)</f>
        <v>0</v>
      </c>
      <c r="U482" s="200">
        <f>H482-S482</f>
        <v>52</v>
      </c>
      <c r="V482" s="200">
        <f>ROUND(U482*I482,2)</f>
        <v>53033.93</v>
      </c>
      <c r="W482" s="200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00"/>
      <c r="AT482" s="200"/>
      <c r="AU482" s="200"/>
      <c r="AV482" s="200"/>
      <c r="AW482" s="200"/>
      <c r="AX482" s="200"/>
      <c r="CG482" s="132" t="s">
        <v>1</v>
      </c>
      <c r="CH482" s="133" t="s">
        <v>40</v>
      </c>
      <c r="CJ482" s="134">
        <f>CI482*H482</f>
        <v>0</v>
      </c>
      <c r="CK482" s="134">
        <v>0.21734000000000001</v>
      </c>
      <c r="CL482" s="134">
        <f>CK482*H482</f>
        <v>11.301680000000001</v>
      </c>
      <c r="CM482" s="134">
        <v>0</v>
      </c>
      <c r="CN482" s="135">
        <f>CM482*H482</f>
        <v>0</v>
      </c>
      <c r="DL482" s="136" t="s">
        <v>95</v>
      </c>
      <c r="DN482" s="136" t="s">
        <v>284</v>
      </c>
      <c r="DO482" s="136" t="s">
        <v>83</v>
      </c>
      <c r="DS482" s="16" t="s">
        <v>282</v>
      </c>
      <c r="DY482" s="137">
        <f>IF(CH482="základní",J482,0)</f>
        <v>53033.93</v>
      </c>
      <c r="DZ482" s="137">
        <f>IF(CH482="snížená",J482,0)</f>
        <v>0</v>
      </c>
      <c r="EA482" s="137">
        <f>IF(CH482="zákl. přenesená",J482,0)</f>
        <v>0</v>
      </c>
      <c r="EB482" s="137">
        <f>IF(CH482="sníž. přenesená",J482,0)</f>
        <v>0</v>
      </c>
      <c r="EC482" s="137">
        <f>IF(CH482="nulová",J482,0)</f>
        <v>0</v>
      </c>
      <c r="ED482" s="16" t="s">
        <v>81</v>
      </c>
      <c r="EE482" s="137">
        <f>ROUND(I482*H482,2)</f>
        <v>53033.93</v>
      </c>
      <c r="EF482" s="16" t="s">
        <v>95</v>
      </c>
      <c r="EG482" s="136" t="s">
        <v>663</v>
      </c>
    </row>
    <row r="483" spans="2:137" s="1" customFormat="1" ht="19.5" x14ac:dyDescent="0.2">
      <c r="B483" s="31"/>
      <c r="D483" s="138" t="s">
        <v>289</v>
      </c>
      <c r="F483" s="139" t="s">
        <v>664</v>
      </c>
      <c r="I483" s="140"/>
      <c r="L483" s="31"/>
      <c r="N483" s="213"/>
      <c r="O483" s="214"/>
      <c r="Q483" s="229"/>
      <c r="CG483" s="141"/>
      <c r="CN483" s="50"/>
      <c r="DN483" s="16" t="s">
        <v>289</v>
      </c>
      <c r="DO483" s="16" t="s">
        <v>83</v>
      </c>
    </row>
    <row r="484" spans="2:137" s="1" customFormat="1" ht="19.5" x14ac:dyDescent="0.2">
      <c r="B484" s="31"/>
      <c r="D484" s="138" t="s">
        <v>299</v>
      </c>
      <c r="F484" s="142" t="s">
        <v>317</v>
      </c>
      <c r="I484" s="140"/>
      <c r="L484" s="31"/>
      <c r="N484" s="213"/>
      <c r="O484" s="214"/>
      <c r="Q484" s="229"/>
      <c r="CG484" s="141"/>
      <c r="CN484" s="50"/>
      <c r="DN484" s="16" t="s">
        <v>299</v>
      </c>
      <c r="DO484" s="16" t="s">
        <v>83</v>
      </c>
    </row>
    <row r="485" spans="2:137" s="12" customFormat="1" x14ac:dyDescent="0.2">
      <c r="B485" s="149"/>
      <c r="D485" s="138" t="s">
        <v>301</v>
      </c>
      <c r="E485" s="150" t="s">
        <v>1</v>
      </c>
      <c r="F485" s="151" t="s">
        <v>1558</v>
      </c>
      <c r="H485" s="152">
        <v>52</v>
      </c>
      <c r="I485" s="153"/>
      <c r="L485" s="149"/>
      <c r="N485" s="217"/>
      <c r="O485" s="218"/>
      <c r="Q485" s="231"/>
      <c r="CG485" s="154"/>
      <c r="CN485" s="155"/>
      <c r="DN485" s="150" t="s">
        <v>301</v>
      </c>
      <c r="DO485" s="150" t="s">
        <v>83</v>
      </c>
      <c r="DP485" s="12" t="s">
        <v>83</v>
      </c>
      <c r="DQ485" s="12" t="s">
        <v>32</v>
      </c>
      <c r="DR485" s="12" t="s">
        <v>81</v>
      </c>
      <c r="DS485" s="150" t="s">
        <v>282</v>
      </c>
    </row>
    <row r="486" spans="2:137" s="1" customFormat="1" ht="24.2" customHeight="1" x14ac:dyDescent="0.2">
      <c r="B486" s="124"/>
      <c r="C486" s="170" t="s">
        <v>1559</v>
      </c>
      <c r="D486" s="170" t="s">
        <v>439</v>
      </c>
      <c r="E486" s="171" t="s">
        <v>667</v>
      </c>
      <c r="F486" s="172" t="s">
        <v>668</v>
      </c>
      <c r="G486" s="173" t="s">
        <v>485</v>
      </c>
      <c r="H486" s="174">
        <v>51</v>
      </c>
      <c r="I486" s="175">
        <v>3125.8118100000002</v>
      </c>
      <c r="J486" s="176">
        <f>ROUND(I486*H486,2)</f>
        <v>159416.4</v>
      </c>
      <c r="K486" s="172" t="s">
        <v>1</v>
      </c>
      <c r="L486" s="198">
        <f>S486</f>
        <v>0</v>
      </c>
      <c r="M486" s="206">
        <f>ROUND(L486*I486,2)</f>
        <v>0</v>
      </c>
      <c r="N486" s="211"/>
      <c r="O486" s="212">
        <f>ROUND(N486*I486,2)</f>
        <v>0</v>
      </c>
      <c r="P486" s="207">
        <f>H486-L486-N486</f>
        <v>51</v>
      </c>
      <c r="Q486" s="228">
        <f>ROUND(P486*I486,2)</f>
        <v>159416.4</v>
      </c>
      <c r="R486" s="199"/>
      <c r="S486" s="200">
        <f>W486+Y486+AA486+AC486+AE486++AG486+AI486+AK486+AM486+AO486+AQ486+AS486+AU486+AW486</f>
        <v>0</v>
      </c>
      <c r="T486" s="200">
        <f>ROUND(S486*I486,2)</f>
        <v>0</v>
      </c>
      <c r="U486" s="200">
        <f>H486-S486</f>
        <v>51</v>
      </c>
      <c r="V486" s="200">
        <f>ROUND(U486*I486,2)</f>
        <v>159416.4</v>
      </c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77" t="s">
        <v>1</v>
      </c>
      <c r="CH486" s="178" t="s">
        <v>40</v>
      </c>
      <c r="CJ486" s="134">
        <f>CI486*H486</f>
        <v>0</v>
      </c>
      <c r="CK486" s="134">
        <v>4.5999999999999999E-2</v>
      </c>
      <c r="CL486" s="134">
        <f>CK486*H486</f>
        <v>2.3460000000000001</v>
      </c>
      <c r="CM486" s="134">
        <v>0</v>
      </c>
      <c r="CN486" s="135">
        <f>CM486*H486</f>
        <v>0</v>
      </c>
      <c r="DL486" s="136" t="s">
        <v>328</v>
      </c>
      <c r="DN486" s="136" t="s">
        <v>439</v>
      </c>
      <c r="DO486" s="136" t="s">
        <v>83</v>
      </c>
      <c r="DS486" s="16" t="s">
        <v>282</v>
      </c>
      <c r="DY486" s="137">
        <f>IF(CH486="základní",J486,0)</f>
        <v>159416.4</v>
      </c>
      <c r="DZ486" s="137">
        <f>IF(CH486="snížená",J486,0)</f>
        <v>0</v>
      </c>
      <c r="EA486" s="137">
        <f>IF(CH486="zákl. přenesená",J486,0)</f>
        <v>0</v>
      </c>
      <c r="EB486" s="137">
        <f>IF(CH486="sníž. přenesená",J486,0)</f>
        <v>0</v>
      </c>
      <c r="EC486" s="137">
        <f>IF(CH486="nulová",J486,0)</f>
        <v>0</v>
      </c>
      <c r="ED486" s="16" t="s">
        <v>81</v>
      </c>
      <c r="EE486" s="137">
        <f>ROUND(I486*H486,2)</f>
        <v>159416.4</v>
      </c>
      <c r="EF486" s="16" t="s">
        <v>95</v>
      </c>
      <c r="EG486" s="136" t="s">
        <v>669</v>
      </c>
    </row>
    <row r="487" spans="2:137" s="1" customFormat="1" ht="19.5" x14ac:dyDescent="0.2">
      <c r="B487" s="31"/>
      <c r="D487" s="138" t="s">
        <v>289</v>
      </c>
      <c r="F487" s="139" t="s">
        <v>668</v>
      </c>
      <c r="I487" s="140"/>
      <c r="L487" s="31"/>
      <c r="N487" s="213"/>
      <c r="O487" s="214"/>
      <c r="Q487" s="229"/>
      <c r="CG487" s="141"/>
      <c r="CN487" s="50"/>
      <c r="DN487" s="16" t="s">
        <v>289</v>
      </c>
      <c r="DO487" s="16" t="s">
        <v>83</v>
      </c>
    </row>
    <row r="488" spans="2:137" s="1" customFormat="1" ht="24.2" customHeight="1" x14ac:dyDescent="0.2">
      <c r="B488" s="124"/>
      <c r="C488" s="170" t="s">
        <v>1560</v>
      </c>
      <c r="D488" s="170" t="s">
        <v>439</v>
      </c>
      <c r="E488" s="171" t="s">
        <v>671</v>
      </c>
      <c r="F488" s="172" t="s">
        <v>672</v>
      </c>
      <c r="G488" s="173" t="s">
        <v>485</v>
      </c>
      <c r="H488" s="174">
        <v>1</v>
      </c>
      <c r="I488" s="175">
        <v>3315.25495</v>
      </c>
      <c r="J488" s="176">
        <f>ROUND(I488*H488,2)</f>
        <v>3315.25</v>
      </c>
      <c r="K488" s="172" t="s">
        <v>1</v>
      </c>
      <c r="L488" s="198">
        <f>S488</f>
        <v>0</v>
      </c>
      <c r="M488" s="206">
        <f>ROUND(L488*I488,2)</f>
        <v>0</v>
      </c>
      <c r="N488" s="211"/>
      <c r="O488" s="212">
        <f>ROUND(N488*I488,2)</f>
        <v>0</v>
      </c>
      <c r="P488" s="207">
        <f>H488-L488-N488</f>
        <v>1</v>
      </c>
      <c r="Q488" s="228">
        <f>ROUND(P488*I488,2)</f>
        <v>3315.25</v>
      </c>
      <c r="R488" s="199"/>
      <c r="S488" s="200">
        <f>W488+Y488+AA488+AC488+AE488++AG488+AI488+AK488+AM488+AO488+AQ488+AS488+AU488+AW488</f>
        <v>0</v>
      </c>
      <c r="T488" s="200">
        <f>ROUND(S488*I488,2)</f>
        <v>0</v>
      </c>
      <c r="U488" s="200">
        <f>H488-S488</f>
        <v>1</v>
      </c>
      <c r="V488" s="200">
        <f>ROUND(U488*I488,2)</f>
        <v>3315.25</v>
      </c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77" t="s">
        <v>1</v>
      </c>
      <c r="CH488" s="178" t="s">
        <v>40</v>
      </c>
      <c r="CJ488" s="134">
        <f>CI488*H488</f>
        <v>0</v>
      </c>
      <c r="CK488" s="134">
        <v>4.5999999999999999E-2</v>
      </c>
      <c r="CL488" s="134">
        <f>CK488*H488</f>
        <v>4.5999999999999999E-2</v>
      </c>
      <c r="CM488" s="134">
        <v>0</v>
      </c>
      <c r="CN488" s="135">
        <f>CM488*H488</f>
        <v>0</v>
      </c>
      <c r="DL488" s="136" t="s">
        <v>328</v>
      </c>
      <c r="DN488" s="136" t="s">
        <v>439</v>
      </c>
      <c r="DO488" s="136" t="s">
        <v>83</v>
      </c>
      <c r="DS488" s="16" t="s">
        <v>282</v>
      </c>
      <c r="DY488" s="137">
        <f>IF(CH488="základní",J488,0)</f>
        <v>3315.25</v>
      </c>
      <c r="DZ488" s="137">
        <f>IF(CH488="snížená",J488,0)</f>
        <v>0</v>
      </c>
      <c r="EA488" s="137">
        <f>IF(CH488="zákl. přenesená",J488,0)</f>
        <v>0</v>
      </c>
      <c r="EB488" s="137">
        <f>IF(CH488="sníž. přenesená",J488,0)</f>
        <v>0</v>
      </c>
      <c r="EC488" s="137">
        <f>IF(CH488="nulová",J488,0)</f>
        <v>0</v>
      </c>
      <c r="ED488" s="16" t="s">
        <v>81</v>
      </c>
      <c r="EE488" s="137">
        <f>ROUND(I488*H488,2)</f>
        <v>3315.25</v>
      </c>
      <c r="EF488" s="16" t="s">
        <v>95</v>
      </c>
      <c r="EG488" s="136" t="s">
        <v>673</v>
      </c>
    </row>
    <row r="489" spans="2:137" s="1" customFormat="1" ht="19.5" x14ac:dyDescent="0.2">
      <c r="B489" s="31"/>
      <c r="D489" s="138" t="s">
        <v>289</v>
      </c>
      <c r="F489" s="139" t="s">
        <v>672</v>
      </c>
      <c r="I489" s="140"/>
      <c r="L489" s="31"/>
      <c r="N489" s="213"/>
      <c r="O489" s="214"/>
      <c r="Q489" s="229"/>
      <c r="CG489" s="141"/>
      <c r="CN489" s="50"/>
      <c r="DN489" s="16" t="s">
        <v>289</v>
      </c>
      <c r="DO489" s="16" t="s">
        <v>83</v>
      </c>
    </row>
    <row r="490" spans="2:137" s="10" customFormat="1" ht="22.9" customHeight="1" x14ac:dyDescent="0.2">
      <c r="B490" s="112"/>
      <c r="D490" s="113" t="s">
        <v>73</v>
      </c>
      <c r="E490" s="122" t="s">
        <v>335</v>
      </c>
      <c r="F490" s="122" t="s">
        <v>674</v>
      </c>
      <c r="I490" s="115"/>
      <c r="J490" s="123">
        <f>EE490</f>
        <v>103246.17</v>
      </c>
      <c r="L490" s="112"/>
      <c r="M490" s="202">
        <f>M491+M496</f>
        <v>0</v>
      </c>
      <c r="N490" s="211"/>
      <c r="O490" s="224">
        <f t="shared" ref="O490:V490" si="7">O491+O496</f>
        <v>0</v>
      </c>
      <c r="P490" s="202"/>
      <c r="Q490" s="234">
        <f t="shared" si="7"/>
        <v>103246.17</v>
      </c>
      <c r="R490" s="202"/>
      <c r="S490" s="202"/>
      <c r="T490" s="202">
        <f t="shared" si="7"/>
        <v>0</v>
      </c>
      <c r="U490" s="202"/>
      <c r="V490" s="202">
        <f t="shared" si="7"/>
        <v>103246.17</v>
      </c>
      <c r="CG490" s="117"/>
      <c r="CJ490" s="118">
        <f>SUM(CJ491:CJ500)</f>
        <v>0</v>
      </c>
      <c r="CL490" s="118">
        <f>SUM(CL491:CL500)</f>
        <v>7.2000000000000005E-4</v>
      </c>
      <c r="CN490" s="119">
        <f>SUM(CN491:CN500)</f>
        <v>0</v>
      </c>
      <c r="DL490" s="113" t="s">
        <v>81</v>
      </c>
      <c r="DN490" s="120" t="s">
        <v>73</v>
      </c>
      <c r="DO490" s="120" t="s">
        <v>81</v>
      </c>
      <c r="DS490" s="113" t="s">
        <v>282</v>
      </c>
      <c r="EE490" s="121">
        <f>SUM(EE491:EE500)</f>
        <v>103246.17</v>
      </c>
    </row>
    <row r="491" spans="2:137" s="1" customFormat="1" ht="24.2" customHeight="1" x14ac:dyDescent="0.2">
      <c r="B491" s="124"/>
      <c r="C491" s="125" t="s">
        <v>1561</v>
      </c>
      <c r="D491" s="125" t="s">
        <v>284</v>
      </c>
      <c r="E491" s="126" t="s">
        <v>682</v>
      </c>
      <c r="F491" s="127" t="s">
        <v>683</v>
      </c>
      <c r="G491" s="128" t="s">
        <v>344</v>
      </c>
      <c r="H491" s="129">
        <v>8</v>
      </c>
      <c r="I491" s="130">
        <v>118.35908321829292</v>
      </c>
      <c r="J491" s="131">
        <f>ROUND(I491*H491,2)</f>
        <v>946.87</v>
      </c>
      <c r="K491" s="127" t="s">
        <v>293</v>
      </c>
      <c r="L491" s="198">
        <f>S491</f>
        <v>0</v>
      </c>
      <c r="M491" s="206">
        <f>ROUND(L491*I491,2)</f>
        <v>0</v>
      </c>
      <c r="N491" s="211"/>
      <c r="O491" s="212">
        <f>ROUND(N491*I491,2)</f>
        <v>0</v>
      </c>
      <c r="P491" s="207">
        <f>H491-L491-N491</f>
        <v>8</v>
      </c>
      <c r="Q491" s="228">
        <f>ROUND(P491*I491,2)</f>
        <v>946.87</v>
      </c>
      <c r="R491" s="199"/>
      <c r="S491" s="200">
        <f>W491+Y491+AA491+AC491+AE491++AG491+AI491+AK491+AM491+AO491+AQ491+AS491+AU491+AW491</f>
        <v>0</v>
      </c>
      <c r="T491" s="200">
        <f>ROUND(S491*I491,2)</f>
        <v>0</v>
      </c>
      <c r="U491" s="200">
        <f>H491-S491</f>
        <v>8</v>
      </c>
      <c r="V491" s="200">
        <f>ROUND(U491*I491,2)</f>
        <v>946.87</v>
      </c>
      <c r="W491" s="200"/>
      <c r="X491" s="200"/>
      <c r="Y491" s="200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0"/>
      <c r="AP491" s="200"/>
      <c r="AQ491" s="200"/>
      <c r="AR491" s="200"/>
      <c r="AS491" s="200"/>
      <c r="AT491" s="200"/>
      <c r="AU491" s="200"/>
      <c r="AV491" s="200"/>
      <c r="AW491" s="200"/>
      <c r="AX491" s="200"/>
      <c r="CG491" s="132" t="s">
        <v>1</v>
      </c>
      <c r="CH491" s="133" t="s">
        <v>40</v>
      </c>
      <c r="CJ491" s="134">
        <f>CI491*H491</f>
        <v>0</v>
      </c>
      <c r="CK491" s="134">
        <v>9.0000000000000006E-5</v>
      </c>
      <c r="CL491" s="134">
        <f>CK491*H491</f>
        <v>7.2000000000000005E-4</v>
      </c>
      <c r="CM491" s="134">
        <v>0</v>
      </c>
      <c r="CN491" s="135">
        <f>CM491*H491</f>
        <v>0</v>
      </c>
      <c r="DL491" s="136" t="s">
        <v>95</v>
      </c>
      <c r="DN491" s="136" t="s">
        <v>284</v>
      </c>
      <c r="DO491" s="136" t="s">
        <v>83</v>
      </c>
      <c r="DS491" s="16" t="s">
        <v>282</v>
      </c>
      <c r="DY491" s="137">
        <f>IF(CH491="základní",J491,0)</f>
        <v>946.87</v>
      </c>
      <c r="DZ491" s="137">
        <f>IF(CH491="snížená",J491,0)</f>
        <v>0</v>
      </c>
      <c r="EA491" s="137">
        <f>IF(CH491="zákl. přenesená",J491,0)</f>
        <v>0</v>
      </c>
      <c r="EB491" s="137">
        <f>IF(CH491="sníž. přenesená",J491,0)</f>
        <v>0</v>
      </c>
      <c r="EC491" s="137">
        <f>IF(CH491="nulová",J491,0)</f>
        <v>0</v>
      </c>
      <c r="ED491" s="16" t="s">
        <v>81</v>
      </c>
      <c r="EE491" s="137">
        <f>ROUND(I491*H491,2)</f>
        <v>946.87</v>
      </c>
      <c r="EF491" s="16" t="s">
        <v>95</v>
      </c>
      <c r="EG491" s="136" t="s">
        <v>684</v>
      </c>
    </row>
    <row r="492" spans="2:137" s="1" customFormat="1" ht="39" x14ac:dyDescent="0.2">
      <c r="B492" s="31"/>
      <c r="D492" s="138" t="s">
        <v>289</v>
      </c>
      <c r="F492" s="139" t="s">
        <v>685</v>
      </c>
      <c r="I492" s="140"/>
      <c r="L492" s="31"/>
      <c r="N492" s="213"/>
      <c r="O492" s="214"/>
      <c r="Q492" s="229"/>
      <c r="CG492" s="141"/>
      <c r="CN492" s="50"/>
      <c r="DN492" s="16" t="s">
        <v>289</v>
      </c>
      <c r="DO492" s="16" t="s">
        <v>83</v>
      </c>
    </row>
    <row r="493" spans="2:137" s="1" customFormat="1" ht="19.5" x14ac:dyDescent="0.2">
      <c r="B493" s="31"/>
      <c r="D493" s="138" t="s">
        <v>299</v>
      </c>
      <c r="F493" s="142" t="s">
        <v>317</v>
      </c>
      <c r="I493" s="140"/>
      <c r="L493" s="31"/>
      <c r="N493" s="213"/>
      <c r="O493" s="214"/>
      <c r="Q493" s="229"/>
      <c r="CG493" s="141"/>
      <c r="CN493" s="50"/>
      <c r="DN493" s="16" t="s">
        <v>299</v>
      </c>
      <c r="DO493" s="16" t="s">
        <v>83</v>
      </c>
    </row>
    <row r="494" spans="2:137" s="11" customFormat="1" x14ac:dyDescent="0.2">
      <c r="B494" s="143"/>
      <c r="D494" s="138" t="s">
        <v>301</v>
      </c>
      <c r="E494" s="144" t="s">
        <v>1</v>
      </c>
      <c r="F494" s="145" t="s">
        <v>686</v>
      </c>
      <c r="H494" s="144" t="s">
        <v>1</v>
      </c>
      <c r="I494" s="146"/>
      <c r="L494" s="143"/>
      <c r="N494" s="215"/>
      <c r="O494" s="216"/>
      <c r="Q494" s="230"/>
      <c r="CG494" s="147"/>
      <c r="CN494" s="148"/>
      <c r="DN494" s="144" t="s">
        <v>301</v>
      </c>
      <c r="DO494" s="144" t="s">
        <v>83</v>
      </c>
      <c r="DP494" s="11" t="s">
        <v>81</v>
      </c>
      <c r="DQ494" s="11" t="s">
        <v>32</v>
      </c>
      <c r="DR494" s="11" t="s">
        <v>74</v>
      </c>
      <c r="DS494" s="144" t="s">
        <v>282</v>
      </c>
    </row>
    <row r="495" spans="2:137" s="12" customFormat="1" x14ac:dyDescent="0.2">
      <c r="B495" s="149"/>
      <c r="D495" s="138" t="s">
        <v>301</v>
      </c>
      <c r="E495" s="150" t="s">
        <v>1</v>
      </c>
      <c r="F495" s="151" t="s">
        <v>1420</v>
      </c>
      <c r="H495" s="152">
        <v>8</v>
      </c>
      <c r="I495" s="153"/>
      <c r="L495" s="149"/>
      <c r="N495" s="217"/>
      <c r="O495" s="218"/>
      <c r="Q495" s="231"/>
      <c r="CG495" s="154"/>
      <c r="CN495" s="155"/>
      <c r="DN495" s="150" t="s">
        <v>301</v>
      </c>
      <c r="DO495" s="150" t="s">
        <v>83</v>
      </c>
      <c r="DP495" s="12" t="s">
        <v>83</v>
      </c>
      <c r="DQ495" s="12" t="s">
        <v>32</v>
      </c>
      <c r="DR495" s="12" t="s">
        <v>81</v>
      </c>
      <c r="DS495" s="150" t="s">
        <v>282</v>
      </c>
    </row>
    <row r="496" spans="2:137" s="1" customFormat="1" ht="14.45" customHeight="1" x14ac:dyDescent="0.2">
      <c r="B496" s="124"/>
      <c r="C496" s="125" t="s">
        <v>1562</v>
      </c>
      <c r="D496" s="125" t="s">
        <v>284</v>
      </c>
      <c r="E496" s="126" t="s">
        <v>689</v>
      </c>
      <c r="F496" s="127" t="s">
        <v>690</v>
      </c>
      <c r="G496" s="128" t="s">
        <v>315</v>
      </c>
      <c r="H496" s="129">
        <v>60</v>
      </c>
      <c r="I496" s="130">
        <v>1704.9882600000001</v>
      </c>
      <c r="J496" s="131">
        <f>ROUND(I496*H496,2)</f>
        <v>102299.3</v>
      </c>
      <c r="K496" s="127" t="s">
        <v>1</v>
      </c>
      <c r="L496" s="198">
        <f>S496</f>
        <v>0</v>
      </c>
      <c r="M496" s="206">
        <f>ROUND(L496*I496,2)</f>
        <v>0</v>
      </c>
      <c r="N496" s="211"/>
      <c r="O496" s="212">
        <f>ROUND(N496*I496,2)</f>
        <v>0</v>
      </c>
      <c r="P496" s="207">
        <f>H496-L496-N496</f>
        <v>60</v>
      </c>
      <c r="Q496" s="228">
        <f>ROUND(P496*I496,2)</f>
        <v>102299.3</v>
      </c>
      <c r="R496" s="199"/>
      <c r="S496" s="200">
        <f>W496+Y496+AA496+AC496+AE496++AG496+AI496+AK496+AM496+AO496+AQ496+AS496+AU496+AW496</f>
        <v>0</v>
      </c>
      <c r="T496" s="200">
        <f>ROUND(S496*I496,2)</f>
        <v>0</v>
      </c>
      <c r="U496" s="200">
        <f>H496-S496</f>
        <v>60</v>
      </c>
      <c r="V496" s="200">
        <f>ROUND(U496*I496,2)</f>
        <v>102299.3</v>
      </c>
      <c r="W496" s="200"/>
      <c r="X496" s="200"/>
      <c r="Y496" s="200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0"/>
      <c r="AP496" s="200"/>
      <c r="AQ496" s="200"/>
      <c r="AR496" s="200"/>
      <c r="AS496" s="200"/>
      <c r="AT496" s="200"/>
      <c r="AU496" s="200"/>
      <c r="AV496" s="200"/>
      <c r="AW496" s="200"/>
      <c r="AX496" s="200"/>
      <c r="CG496" s="132" t="s">
        <v>1</v>
      </c>
      <c r="CH496" s="133" t="s">
        <v>40</v>
      </c>
      <c r="CJ496" s="134">
        <f>CI496*H496</f>
        <v>0</v>
      </c>
      <c r="CK496" s="134">
        <v>0</v>
      </c>
      <c r="CL496" s="134">
        <f>CK496*H496</f>
        <v>0</v>
      </c>
      <c r="CM496" s="134">
        <v>0</v>
      </c>
      <c r="CN496" s="135">
        <f>CM496*H496</f>
        <v>0</v>
      </c>
      <c r="DL496" s="136" t="s">
        <v>95</v>
      </c>
      <c r="DN496" s="136" t="s">
        <v>284</v>
      </c>
      <c r="DO496" s="136" t="s">
        <v>83</v>
      </c>
      <c r="DS496" s="16" t="s">
        <v>282</v>
      </c>
      <c r="DY496" s="137">
        <f>IF(CH496="základní",J496,0)</f>
        <v>102299.3</v>
      </c>
      <c r="DZ496" s="137">
        <f>IF(CH496="snížená",J496,0)</f>
        <v>0</v>
      </c>
      <c r="EA496" s="137">
        <f>IF(CH496="zákl. přenesená",J496,0)</f>
        <v>0</v>
      </c>
      <c r="EB496" s="137">
        <f>IF(CH496="sníž. přenesená",J496,0)</f>
        <v>0</v>
      </c>
      <c r="EC496" s="137">
        <f>IF(CH496="nulová",J496,0)</f>
        <v>0</v>
      </c>
      <c r="ED496" s="16" t="s">
        <v>81</v>
      </c>
      <c r="EE496" s="137">
        <f>ROUND(I496*H496,2)</f>
        <v>102299.3</v>
      </c>
      <c r="EF496" s="16" t="s">
        <v>95</v>
      </c>
      <c r="EG496" s="136" t="s">
        <v>691</v>
      </c>
    </row>
    <row r="497" spans="2:137" s="1" customFormat="1" ht="48.75" x14ac:dyDescent="0.2">
      <c r="B497" s="31"/>
      <c r="D497" s="138" t="s">
        <v>289</v>
      </c>
      <c r="F497" s="139" t="s">
        <v>692</v>
      </c>
      <c r="I497" s="140"/>
      <c r="L497" s="31"/>
      <c r="N497" s="213"/>
      <c r="O497" s="214"/>
      <c r="Q497" s="229"/>
      <c r="CG497" s="141"/>
      <c r="CN497" s="50"/>
      <c r="DN497" s="16" t="s">
        <v>289</v>
      </c>
      <c r="DO497" s="16" t="s">
        <v>83</v>
      </c>
    </row>
    <row r="498" spans="2:137" s="1" customFormat="1" ht="19.5" x14ac:dyDescent="0.2">
      <c r="B498" s="31"/>
      <c r="D498" s="138" t="s">
        <v>299</v>
      </c>
      <c r="F498" s="142" t="s">
        <v>693</v>
      </c>
      <c r="I498" s="140"/>
      <c r="L498" s="31"/>
      <c r="N498" s="213"/>
      <c r="O498" s="214"/>
      <c r="Q498" s="229"/>
      <c r="CG498" s="141"/>
      <c r="CN498" s="50"/>
      <c r="DN498" s="16" t="s">
        <v>299</v>
      </c>
      <c r="DO498" s="16" t="s">
        <v>83</v>
      </c>
    </row>
    <row r="499" spans="2:137" s="11" customFormat="1" x14ac:dyDescent="0.2">
      <c r="B499" s="143"/>
      <c r="D499" s="138" t="s">
        <v>301</v>
      </c>
      <c r="E499" s="144" t="s">
        <v>1</v>
      </c>
      <c r="F499" s="145" t="s">
        <v>694</v>
      </c>
      <c r="H499" s="144" t="s">
        <v>1</v>
      </c>
      <c r="I499" s="146"/>
      <c r="L499" s="143"/>
      <c r="N499" s="215"/>
      <c r="O499" s="216"/>
      <c r="Q499" s="230"/>
      <c r="CG499" s="147"/>
      <c r="CN499" s="148"/>
      <c r="DN499" s="144" t="s">
        <v>301</v>
      </c>
      <c r="DO499" s="144" t="s">
        <v>83</v>
      </c>
      <c r="DP499" s="11" t="s">
        <v>81</v>
      </c>
      <c r="DQ499" s="11" t="s">
        <v>32</v>
      </c>
      <c r="DR499" s="11" t="s">
        <v>74</v>
      </c>
      <c r="DS499" s="144" t="s">
        <v>282</v>
      </c>
    </row>
    <row r="500" spans="2:137" s="12" customFormat="1" x14ac:dyDescent="0.2">
      <c r="B500" s="149"/>
      <c r="D500" s="138" t="s">
        <v>301</v>
      </c>
      <c r="E500" s="150" t="s">
        <v>1</v>
      </c>
      <c r="F500" s="151" t="s">
        <v>631</v>
      </c>
      <c r="H500" s="152">
        <v>60</v>
      </c>
      <c r="I500" s="153"/>
      <c r="L500" s="149"/>
      <c r="N500" s="217"/>
      <c r="O500" s="218"/>
      <c r="Q500" s="231"/>
      <c r="CG500" s="154"/>
      <c r="CN500" s="155"/>
      <c r="DN500" s="150" t="s">
        <v>301</v>
      </c>
      <c r="DO500" s="150" t="s">
        <v>83</v>
      </c>
      <c r="DP500" s="12" t="s">
        <v>83</v>
      </c>
      <c r="DQ500" s="12" t="s">
        <v>32</v>
      </c>
      <c r="DR500" s="12" t="s">
        <v>81</v>
      </c>
      <c r="DS500" s="150" t="s">
        <v>282</v>
      </c>
    </row>
    <row r="501" spans="2:137" s="10" customFormat="1" ht="22.9" customHeight="1" x14ac:dyDescent="0.2">
      <c r="B501" s="112"/>
      <c r="D501" s="113" t="s">
        <v>73</v>
      </c>
      <c r="E501" s="122" t="s">
        <v>695</v>
      </c>
      <c r="F501" s="122" t="s">
        <v>696</v>
      </c>
      <c r="I501" s="115"/>
      <c r="J501" s="123">
        <f>EE501</f>
        <v>1284063.3299999998</v>
      </c>
      <c r="L501" s="112"/>
      <c r="M501" s="202">
        <f>SUM(M502:M518)</f>
        <v>0</v>
      </c>
      <c r="N501" s="211"/>
      <c r="O501" s="224">
        <f t="shared" ref="O501:V501" si="8">SUM(O502:O518)</f>
        <v>-7704.3599999999988</v>
      </c>
      <c r="P501" s="202"/>
      <c r="Q501" s="234">
        <f t="shared" si="8"/>
        <v>1291767.6900000002</v>
      </c>
      <c r="R501" s="202"/>
      <c r="S501" s="202"/>
      <c r="T501" s="202">
        <f t="shared" si="8"/>
        <v>0</v>
      </c>
      <c r="U501" s="202"/>
      <c r="V501" s="202">
        <f t="shared" si="8"/>
        <v>1284063.3299999998</v>
      </c>
      <c r="CG501" s="117"/>
      <c r="CJ501" s="118">
        <f>SUM(CJ502:CJ520)</f>
        <v>0</v>
      </c>
      <c r="CL501" s="118">
        <f>SUM(CL502:CL520)</f>
        <v>0</v>
      </c>
      <c r="CN501" s="119">
        <f>SUM(CN502:CN520)</f>
        <v>0</v>
      </c>
      <c r="DL501" s="113" t="s">
        <v>81</v>
      </c>
      <c r="DN501" s="120" t="s">
        <v>73</v>
      </c>
      <c r="DO501" s="120" t="s">
        <v>81</v>
      </c>
      <c r="DS501" s="113" t="s">
        <v>282</v>
      </c>
      <c r="EE501" s="121">
        <f>SUM(EE502:EE520)</f>
        <v>1284063.3299999998</v>
      </c>
    </row>
    <row r="502" spans="2:137" s="1" customFormat="1" ht="14.45" customHeight="1" x14ac:dyDescent="0.2">
      <c r="B502" s="124"/>
      <c r="C502" s="125" t="s">
        <v>1563</v>
      </c>
      <c r="D502" s="125" t="s">
        <v>284</v>
      </c>
      <c r="E502" s="126" t="s">
        <v>698</v>
      </c>
      <c r="F502" s="127" t="s">
        <v>699</v>
      </c>
      <c r="G502" s="128" t="s">
        <v>418</v>
      </c>
      <c r="H502" s="129">
        <v>3277.0349999999999</v>
      </c>
      <c r="I502" s="130">
        <v>40.477390926043419</v>
      </c>
      <c r="J502" s="131">
        <f>ROUND(I502*H502,2)</f>
        <v>132645.82999999999</v>
      </c>
      <c r="K502" s="127" t="s">
        <v>293</v>
      </c>
      <c r="L502" s="198">
        <f>S502</f>
        <v>0</v>
      </c>
      <c r="M502" s="206">
        <f>ROUND(L502*I502,2)</f>
        <v>0</v>
      </c>
      <c r="N502" s="211">
        <f>N504</f>
        <v>-19.662210000000414</v>
      </c>
      <c r="O502" s="212">
        <f>ROUND(N502*I502,2)</f>
        <v>-795.87</v>
      </c>
      <c r="P502" s="207">
        <f>H502-L502-N502</f>
        <v>3296.6972100000003</v>
      </c>
      <c r="Q502" s="228">
        <f>ROUND(P502*I502,2)</f>
        <v>133441.70000000001</v>
      </c>
      <c r="R502" s="199"/>
      <c r="S502" s="200">
        <f>W502+Y502+AA502+AC502+AE502++AG502+AI502+AK502+AM502+AO502+AQ502+AS502+AU502+AW502</f>
        <v>0</v>
      </c>
      <c r="T502" s="200">
        <f>ROUND(S502*I502,2)</f>
        <v>0</v>
      </c>
      <c r="U502" s="200">
        <f>H502-S502</f>
        <v>3277.0349999999999</v>
      </c>
      <c r="V502" s="200">
        <f>ROUND(U502*I502,2)</f>
        <v>132645.82999999999</v>
      </c>
      <c r="W502" s="200"/>
      <c r="X502" s="200"/>
      <c r="Y502" s="200"/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0"/>
      <c r="AP502" s="200"/>
      <c r="AQ502" s="200"/>
      <c r="AR502" s="200"/>
      <c r="AS502" s="200"/>
      <c r="AT502" s="200"/>
      <c r="AU502" s="200"/>
      <c r="AV502" s="200"/>
      <c r="AW502" s="200"/>
      <c r="AX502" s="200"/>
      <c r="CG502" s="132" t="s">
        <v>1</v>
      </c>
      <c r="CH502" s="133" t="s">
        <v>40</v>
      </c>
      <c r="CJ502" s="134">
        <f>CI502*H502</f>
        <v>0</v>
      </c>
      <c r="CK502" s="134">
        <v>0</v>
      </c>
      <c r="CL502" s="134">
        <f>CK502*H502</f>
        <v>0</v>
      </c>
      <c r="CM502" s="134">
        <v>0</v>
      </c>
      <c r="CN502" s="135">
        <f>CM502*H502</f>
        <v>0</v>
      </c>
      <c r="DL502" s="136" t="s">
        <v>95</v>
      </c>
      <c r="DN502" s="136" t="s">
        <v>284</v>
      </c>
      <c r="DO502" s="136" t="s">
        <v>83</v>
      </c>
      <c r="DS502" s="16" t="s">
        <v>282</v>
      </c>
      <c r="DY502" s="137">
        <f>IF(CH502="základní",J502,0)</f>
        <v>132645.82999999999</v>
      </c>
      <c r="DZ502" s="137">
        <f>IF(CH502="snížená",J502,0)</f>
        <v>0</v>
      </c>
      <c r="EA502" s="137">
        <f>IF(CH502="zákl. přenesená",J502,0)</f>
        <v>0</v>
      </c>
      <c r="EB502" s="137">
        <f>IF(CH502="sníž. přenesená",J502,0)</f>
        <v>0</v>
      </c>
      <c r="EC502" s="137">
        <f>IF(CH502="nulová",J502,0)</f>
        <v>0</v>
      </c>
      <c r="ED502" s="16" t="s">
        <v>81</v>
      </c>
      <c r="EE502" s="137">
        <f>ROUND(I502*H502,2)</f>
        <v>132645.82999999999</v>
      </c>
      <c r="EF502" s="16" t="s">
        <v>95</v>
      </c>
      <c r="EG502" s="136" t="s">
        <v>700</v>
      </c>
    </row>
    <row r="503" spans="2:137" s="1" customFormat="1" ht="19.5" x14ac:dyDescent="0.2">
      <c r="B503" s="31"/>
      <c r="D503" s="138" t="s">
        <v>289</v>
      </c>
      <c r="F503" s="139" t="s">
        <v>701</v>
      </c>
      <c r="I503" s="140"/>
      <c r="L503" s="31"/>
      <c r="N503" s="213">
        <f>0.994*3277.035</f>
        <v>3257.3727899999999</v>
      </c>
      <c r="O503" s="214" t="s">
        <v>3918</v>
      </c>
      <c r="Q503" s="229"/>
      <c r="CG503" s="141"/>
      <c r="CN503" s="50"/>
      <c r="DN503" s="16" t="s">
        <v>289</v>
      </c>
      <c r="DO503" s="16" t="s">
        <v>83</v>
      </c>
    </row>
    <row r="504" spans="2:137" s="12" customFormat="1" x14ac:dyDescent="0.2">
      <c r="B504" s="149"/>
      <c r="D504" s="138" t="s">
        <v>301</v>
      </c>
      <c r="E504" s="150" t="s">
        <v>1</v>
      </c>
      <c r="F504" s="151" t="s">
        <v>1564</v>
      </c>
      <c r="H504" s="152">
        <v>2313.8180000000002</v>
      </c>
      <c r="I504" s="153"/>
      <c r="L504" s="149"/>
      <c r="N504" s="310">
        <f>N503-H506</f>
        <v>-19.662210000000414</v>
      </c>
      <c r="O504" s="218"/>
      <c r="Q504" s="231"/>
      <c r="CG504" s="154"/>
      <c r="CN504" s="155"/>
      <c r="DN504" s="150" t="s">
        <v>301</v>
      </c>
      <c r="DO504" s="150" t="s">
        <v>83</v>
      </c>
      <c r="DP504" s="12" t="s">
        <v>83</v>
      </c>
      <c r="DQ504" s="12" t="s">
        <v>32</v>
      </c>
      <c r="DR504" s="12" t="s">
        <v>74</v>
      </c>
      <c r="DS504" s="150" t="s">
        <v>282</v>
      </c>
    </row>
    <row r="505" spans="2:137" s="12" customFormat="1" x14ac:dyDescent="0.2">
      <c r="B505" s="149"/>
      <c r="D505" s="138" t="s">
        <v>301</v>
      </c>
      <c r="E505" s="150" t="s">
        <v>1</v>
      </c>
      <c r="F505" s="151" t="s">
        <v>1565</v>
      </c>
      <c r="H505" s="152">
        <v>963.21699999999998</v>
      </c>
      <c r="I505" s="153"/>
      <c r="L505" s="149"/>
      <c r="N505" s="217"/>
      <c r="O505" s="218"/>
      <c r="Q505" s="231"/>
      <c r="CG505" s="154"/>
      <c r="CN505" s="155"/>
      <c r="DN505" s="150" t="s">
        <v>301</v>
      </c>
      <c r="DO505" s="150" t="s">
        <v>83</v>
      </c>
      <c r="DP505" s="12" t="s">
        <v>83</v>
      </c>
      <c r="DQ505" s="12" t="s">
        <v>32</v>
      </c>
      <c r="DR505" s="12" t="s">
        <v>74</v>
      </c>
      <c r="DS505" s="150" t="s">
        <v>282</v>
      </c>
    </row>
    <row r="506" spans="2:137" s="13" customFormat="1" x14ac:dyDescent="0.2">
      <c r="B506" s="156"/>
      <c r="D506" s="138" t="s">
        <v>301</v>
      </c>
      <c r="E506" s="157" t="s">
        <v>1</v>
      </c>
      <c r="F506" s="158" t="s">
        <v>305</v>
      </c>
      <c r="H506" s="159">
        <v>3277.0350000000003</v>
      </c>
      <c r="I506" s="160"/>
      <c r="L506" s="156"/>
      <c r="N506" s="219"/>
      <c r="O506" s="220"/>
      <c r="Q506" s="232"/>
      <c r="CG506" s="161"/>
      <c r="CN506" s="162"/>
      <c r="DN506" s="157" t="s">
        <v>301</v>
      </c>
      <c r="DO506" s="157" t="s">
        <v>83</v>
      </c>
      <c r="DP506" s="13" t="s">
        <v>95</v>
      </c>
      <c r="DQ506" s="13" t="s">
        <v>32</v>
      </c>
      <c r="DR506" s="13" t="s">
        <v>81</v>
      </c>
      <c r="DS506" s="157" t="s">
        <v>282</v>
      </c>
    </row>
    <row r="507" spans="2:137" s="1" customFormat="1" ht="24.2" customHeight="1" x14ac:dyDescent="0.2">
      <c r="B507" s="124"/>
      <c r="C507" s="125" t="s">
        <v>1566</v>
      </c>
      <c r="D507" s="125" t="s">
        <v>284</v>
      </c>
      <c r="E507" s="126" t="s">
        <v>705</v>
      </c>
      <c r="F507" s="127" t="s">
        <v>706</v>
      </c>
      <c r="G507" s="128" t="s">
        <v>418</v>
      </c>
      <c r="H507" s="129">
        <v>45878.49</v>
      </c>
      <c r="I507" s="130">
        <v>3.1192340975392101</v>
      </c>
      <c r="J507" s="131">
        <f>ROUND(I507*H507,2)</f>
        <v>143105.75</v>
      </c>
      <c r="K507" s="127" t="s">
        <v>293</v>
      </c>
      <c r="L507" s="198">
        <f>S507</f>
        <v>0</v>
      </c>
      <c r="M507" s="206">
        <f>ROUND(L507*I507,2)</f>
        <v>0</v>
      </c>
      <c r="N507" s="211">
        <f>N509</f>
        <v>-275.27094000000216</v>
      </c>
      <c r="O507" s="212">
        <f>ROUND(N507*I507,2)</f>
        <v>-858.63</v>
      </c>
      <c r="P507" s="207">
        <f>H507-L507-N507</f>
        <v>46153.76094</v>
      </c>
      <c r="Q507" s="228">
        <f>ROUND(P507*I507,2)</f>
        <v>143964.38</v>
      </c>
      <c r="R507" s="199"/>
      <c r="S507" s="200">
        <f>W507+Y507+AA507+AC507+AE507++AG507+AI507+AK507+AM507+AO507+AQ507+AS507+AU507+AW507</f>
        <v>0</v>
      </c>
      <c r="T507" s="200">
        <f>ROUND(S507*I507,2)</f>
        <v>0</v>
      </c>
      <c r="U507" s="200">
        <f>H507-S507</f>
        <v>45878.49</v>
      </c>
      <c r="V507" s="200">
        <f>ROUND(U507*I507,2)</f>
        <v>143105.75</v>
      </c>
      <c r="W507" s="200"/>
      <c r="X507" s="200"/>
      <c r="Y507" s="200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0"/>
      <c r="AP507" s="200"/>
      <c r="AQ507" s="200"/>
      <c r="AR507" s="200"/>
      <c r="AS507" s="200"/>
      <c r="AT507" s="200"/>
      <c r="AU507" s="200"/>
      <c r="AV507" s="200"/>
      <c r="AW507" s="200"/>
      <c r="AX507" s="200"/>
      <c r="CG507" s="132" t="s">
        <v>1</v>
      </c>
      <c r="CH507" s="133" t="s">
        <v>40</v>
      </c>
      <c r="CJ507" s="134">
        <f>CI507*H507</f>
        <v>0</v>
      </c>
      <c r="CK507" s="134">
        <v>0</v>
      </c>
      <c r="CL507" s="134">
        <f>CK507*H507</f>
        <v>0</v>
      </c>
      <c r="CM507" s="134">
        <v>0</v>
      </c>
      <c r="CN507" s="135">
        <f>CM507*H507</f>
        <v>0</v>
      </c>
      <c r="DL507" s="136" t="s">
        <v>95</v>
      </c>
      <c r="DN507" s="136" t="s">
        <v>284</v>
      </c>
      <c r="DO507" s="136" t="s">
        <v>83</v>
      </c>
      <c r="DS507" s="16" t="s">
        <v>282</v>
      </c>
      <c r="DY507" s="137">
        <f>IF(CH507="základní",J507,0)</f>
        <v>143105.75</v>
      </c>
      <c r="DZ507" s="137">
        <f>IF(CH507="snížená",J507,0)</f>
        <v>0</v>
      </c>
      <c r="EA507" s="137">
        <f>IF(CH507="zákl. přenesená",J507,0)</f>
        <v>0</v>
      </c>
      <c r="EB507" s="137">
        <f>IF(CH507="sníž. přenesená",J507,0)</f>
        <v>0</v>
      </c>
      <c r="EC507" s="137">
        <f>IF(CH507="nulová",J507,0)</f>
        <v>0</v>
      </c>
      <c r="ED507" s="16" t="s">
        <v>81</v>
      </c>
      <c r="EE507" s="137">
        <f>ROUND(I507*H507,2)</f>
        <v>143105.75</v>
      </c>
      <c r="EF507" s="16" t="s">
        <v>95</v>
      </c>
      <c r="EG507" s="136" t="s">
        <v>707</v>
      </c>
    </row>
    <row r="508" spans="2:137" s="1" customFormat="1" ht="29.25" x14ac:dyDescent="0.2">
      <c r="B508" s="31"/>
      <c r="D508" s="138" t="s">
        <v>289</v>
      </c>
      <c r="F508" s="139" t="s">
        <v>708</v>
      </c>
      <c r="I508" s="140"/>
      <c r="L508" s="31"/>
      <c r="N508" s="213">
        <f>0.994*45878.49</f>
        <v>45603.219059999996</v>
      </c>
      <c r="O508" s="214" t="s">
        <v>3919</v>
      </c>
      <c r="Q508" s="229"/>
      <c r="CG508" s="141"/>
      <c r="CN508" s="50"/>
      <c r="DN508" s="16" t="s">
        <v>289</v>
      </c>
      <c r="DO508" s="16" t="s">
        <v>83</v>
      </c>
    </row>
    <row r="509" spans="2:137" s="12" customFormat="1" x14ac:dyDescent="0.2">
      <c r="B509" s="149"/>
      <c r="D509" s="138" t="s">
        <v>301</v>
      </c>
      <c r="E509" s="150" t="s">
        <v>1</v>
      </c>
      <c r="F509" s="151" t="s">
        <v>1564</v>
      </c>
      <c r="H509" s="152">
        <v>2313.8180000000002</v>
      </c>
      <c r="I509" s="153"/>
      <c r="L509" s="149"/>
      <c r="N509" s="310">
        <f>N508-H512</f>
        <v>-275.27094000000216</v>
      </c>
      <c r="O509" s="218"/>
      <c r="Q509" s="231"/>
      <c r="CG509" s="154"/>
      <c r="CN509" s="155"/>
      <c r="DN509" s="150" t="s">
        <v>301</v>
      </c>
      <c r="DO509" s="150" t="s">
        <v>83</v>
      </c>
      <c r="DP509" s="12" t="s">
        <v>83</v>
      </c>
      <c r="DQ509" s="12" t="s">
        <v>32</v>
      </c>
      <c r="DR509" s="12" t="s">
        <v>74</v>
      </c>
      <c r="DS509" s="150" t="s">
        <v>282</v>
      </c>
    </row>
    <row r="510" spans="2:137" s="12" customFormat="1" x14ac:dyDescent="0.2">
      <c r="B510" s="149"/>
      <c r="D510" s="138" t="s">
        <v>301</v>
      </c>
      <c r="E510" s="150" t="s">
        <v>1</v>
      </c>
      <c r="F510" s="151" t="s">
        <v>1565</v>
      </c>
      <c r="H510" s="152">
        <v>963.21699999999998</v>
      </c>
      <c r="I510" s="153"/>
      <c r="L510" s="149"/>
      <c r="N510" s="217"/>
      <c r="O510" s="218"/>
      <c r="Q510" s="231"/>
      <c r="CG510" s="154"/>
      <c r="CN510" s="155"/>
      <c r="DN510" s="150" t="s">
        <v>301</v>
      </c>
      <c r="DO510" s="150" t="s">
        <v>83</v>
      </c>
      <c r="DP510" s="12" t="s">
        <v>83</v>
      </c>
      <c r="DQ510" s="12" t="s">
        <v>32</v>
      </c>
      <c r="DR510" s="12" t="s">
        <v>74</v>
      </c>
      <c r="DS510" s="150" t="s">
        <v>282</v>
      </c>
    </row>
    <row r="511" spans="2:137" s="13" customFormat="1" x14ac:dyDescent="0.2">
      <c r="B511" s="156"/>
      <c r="D511" s="138" t="s">
        <v>301</v>
      </c>
      <c r="E511" s="157" t="s">
        <v>1</v>
      </c>
      <c r="F511" s="158" t="s">
        <v>305</v>
      </c>
      <c r="H511" s="159">
        <v>3277.0350000000003</v>
      </c>
      <c r="I511" s="160"/>
      <c r="L511" s="156"/>
      <c r="N511" s="219"/>
      <c r="O511" s="220"/>
      <c r="Q511" s="232"/>
      <c r="CG511" s="161"/>
      <c r="CN511" s="162"/>
      <c r="DN511" s="157" t="s">
        <v>301</v>
      </c>
      <c r="DO511" s="157" t="s">
        <v>83</v>
      </c>
      <c r="DP511" s="13" t="s">
        <v>95</v>
      </c>
      <c r="DQ511" s="13" t="s">
        <v>32</v>
      </c>
      <c r="DR511" s="13" t="s">
        <v>81</v>
      </c>
      <c r="DS511" s="157" t="s">
        <v>282</v>
      </c>
    </row>
    <row r="512" spans="2:137" s="12" customFormat="1" x14ac:dyDescent="0.2">
      <c r="B512" s="149"/>
      <c r="D512" s="138" t="s">
        <v>301</v>
      </c>
      <c r="F512" s="151" t="s">
        <v>1567</v>
      </c>
      <c r="H512" s="152">
        <v>45878.49</v>
      </c>
      <c r="I512" s="153"/>
      <c r="L512" s="149"/>
      <c r="N512" s="217"/>
      <c r="O512" s="218"/>
      <c r="Q512" s="231"/>
      <c r="CG512" s="154"/>
      <c r="CN512" s="155"/>
      <c r="DN512" s="150" t="s">
        <v>301</v>
      </c>
      <c r="DO512" s="150" t="s">
        <v>83</v>
      </c>
      <c r="DP512" s="12" t="s">
        <v>83</v>
      </c>
      <c r="DQ512" s="12" t="s">
        <v>3</v>
      </c>
      <c r="DR512" s="12" t="s">
        <v>81</v>
      </c>
      <c r="DS512" s="150" t="s">
        <v>282</v>
      </c>
    </row>
    <row r="513" spans="2:137" s="1" customFormat="1" ht="24.2" customHeight="1" x14ac:dyDescent="0.2">
      <c r="B513" s="124"/>
      <c r="C513" s="125" t="s">
        <v>1568</v>
      </c>
      <c r="D513" s="125" t="s">
        <v>284</v>
      </c>
      <c r="E513" s="126" t="s">
        <v>711</v>
      </c>
      <c r="F513" s="127" t="s">
        <v>712</v>
      </c>
      <c r="G513" s="128" t="s">
        <v>418</v>
      </c>
      <c r="H513" s="129">
        <v>3277.0349999999999</v>
      </c>
      <c r="I513" s="130">
        <v>155.98322812074767</v>
      </c>
      <c r="J513" s="131">
        <f>ROUND(I513*H513,2)</f>
        <v>511162.5</v>
      </c>
      <c r="K513" s="127" t="s">
        <v>293</v>
      </c>
      <c r="L513" s="198">
        <f>S513</f>
        <v>0</v>
      </c>
      <c r="M513" s="206">
        <f>ROUND(L513*I513,2)</f>
        <v>0</v>
      </c>
      <c r="N513" s="211">
        <f>N502</f>
        <v>-19.662210000000414</v>
      </c>
      <c r="O513" s="212">
        <f>ROUND(N513*I513,2)</f>
        <v>-3066.97</v>
      </c>
      <c r="P513" s="207">
        <f>H513-L513-N513</f>
        <v>3296.6972100000003</v>
      </c>
      <c r="Q513" s="228">
        <f>ROUND(P513*I513,2)</f>
        <v>514229.47</v>
      </c>
      <c r="R513" s="199"/>
      <c r="S513" s="200">
        <f>W513+Y513+AA513+AC513+AE513++AG513+AI513+AK513+AM513+AO513+AQ513+AS513+AU513+AW513</f>
        <v>0</v>
      </c>
      <c r="T513" s="200">
        <f>ROUND(S513*I513,2)</f>
        <v>0</v>
      </c>
      <c r="U513" s="200">
        <f>H513-S513</f>
        <v>3277.0349999999999</v>
      </c>
      <c r="V513" s="200">
        <f>ROUND(U513*I513,2)</f>
        <v>511162.5</v>
      </c>
      <c r="W513" s="200"/>
      <c r="X513" s="200"/>
      <c r="Y513" s="200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00"/>
      <c r="AT513" s="200"/>
      <c r="AU513" s="200"/>
      <c r="AV513" s="200"/>
      <c r="AW513" s="200"/>
      <c r="AX513" s="200"/>
      <c r="CG513" s="132" t="s">
        <v>1</v>
      </c>
      <c r="CH513" s="133" t="s">
        <v>40</v>
      </c>
      <c r="CJ513" s="134">
        <f>CI513*H513</f>
        <v>0</v>
      </c>
      <c r="CK513" s="134">
        <v>0</v>
      </c>
      <c r="CL513" s="134">
        <f>CK513*H513</f>
        <v>0</v>
      </c>
      <c r="CM513" s="134">
        <v>0</v>
      </c>
      <c r="CN513" s="135">
        <f>CM513*H513</f>
        <v>0</v>
      </c>
      <c r="DL513" s="136" t="s">
        <v>95</v>
      </c>
      <c r="DN513" s="136" t="s">
        <v>284</v>
      </c>
      <c r="DO513" s="136" t="s">
        <v>83</v>
      </c>
      <c r="DS513" s="16" t="s">
        <v>282</v>
      </c>
      <c r="DY513" s="137">
        <f>IF(CH513="základní",J513,0)</f>
        <v>511162.5</v>
      </c>
      <c r="DZ513" s="137">
        <f>IF(CH513="snížená",J513,0)</f>
        <v>0</v>
      </c>
      <c r="EA513" s="137">
        <f>IF(CH513="zákl. přenesená",J513,0)</f>
        <v>0</v>
      </c>
      <c r="EB513" s="137">
        <f>IF(CH513="sníž. přenesená",J513,0)</f>
        <v>0</v>
      </c>
      <c r="EC513" s="137">
        <f>IF(CH513="nulová",J513,0)</f>
        <v>0</v>
      </c>
      <c r="ED513" s="16" t="s">
        <v>81</v>
      </c>
      <c r="EE513" s="137">
        <f>ROUND(I513*H513,2)</f>
        <v>511162.5</v>
      </c>
      <c r="EF513" s="16" t="s">
        <v>95</v>
      </c>
      <c r="EG513" s="136" t="s">
        <v>713</v>
      </c>
    </row>
    <row r="514" spans="2:137" s="1" customFormat="1" x14ac:dyDescent="0.2">
      <c r="B514" s="31"/>
      <c r="D514" s="138" t="s">
        <v>289</v>
      </c>
      <c r="F514" s="139" t="s">
        <v>714</v>
      </c>
      <c r="I514" s="140"/>
      <c r="L514" s="31"/>
      <c r="N514" s="213"/>
      <c r="O514" s="214"/>
      <c r="Q514" s="229"/>
      <c r="CG514" s="141"/>
      <c r="CN514" s="50"/>
      <c r="DN514" s="16" t="s">
        <v>289</v>
      </c>
      <c r="DO514" s="16" t="s">
        <v>83</v>
      </c>
    </row>
    <row r="515" spans="2:137" s="1" customFormat="1" ht="37.9" customHeight="1" x14ac:dyDescent="0.2">
      <c r="B515" s="124"/>
      <c r="C515" s="125" t="s">
        <v>1569</v>
      </c>
      <c r="D515" s="125" t="s">
        <v>284</v>
      </c>
      <c r="E515" s="126" t="s">
        <v>716</v>
      </c>
      <c r="F515" s="127" t="s">
        <v>420</v>
      </c>
      <c r="G515" s="128" t="s">
        <v>418</v>
      </c>
      <c r="H515" s="129">
        <v>2313.8180000000002</v>
      </c>
      <c r="I515" s="130">
        <v>110.6455721</v>
      </c>
      <c r="J515" s="131">
        <f>ROUND(I515*H515,2)</f>
        <v>256013.72</v>
      </c>
      <c r="K515" s="127" t="s">
        <v>293</v>
      </c>
      <c r="L515" s="198">
        <f>S515</f>
        <v>0</v>
      </c>
      <c r="M515" s="206">
        <f>ROUND(L515*I515,2)</f>
        <v>0</v>
      </c>
      <c r="N515" s="211">
        <f>N517</f>
        <v>-13.882908000000043</v>
      </c>
      <c r="O515" s="212">
        <f>ROUND(N515*I515,2)</f>
        <v>-1536.08</v>
      </c>
      <c r="P515" s="207">
        <f>H515-L515-N515</f>
        <v>2327.7009080000003</v>
      </c>
      <c r="Q515" s="228">
        <f>ROUND(P515*I515,2)</f>
        <v>257549.8</v>
      </c>
      <c r="R515" s="199"/>
      <c r="S515" s="200">
        <f>W515+Y515+AA515+AC515+AE515++AG515+AI515+AK515+AM515+AO515+AQ515+AS515+AU515+AW515</f>
        <v>0</v>
      </c>
      <c r="T515" s="200">
        <f>ROUND(S515*I515,2)</f>
        <v>0</v>
      </c>
      <c r="U515" s="200">
        <f>H515-S515</f>
        <v>2313.8180000000002</v>
      </c>
      <c r="V515" s="200">
        <f>ROUND(U515*I515,2)</f>
        <v>256013.72</v>
      </c>
      <c r="W515" s="200"/>
      <c r="X515" s="200"/>
      <c r="Y515" s="200"/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0"/>
      <c r="AP515" s="200"/>
      <c r="AQ515" s="200"/>
      <c r="AR515" s="200"/>
      <c r="AS515" s="200"/>
      <c r="AT515" s="200"/>
      <c r="AU515" s="200"/>
      <c r="AV515" s="200"/>
      <c r="AW515" s="200"/>
      <c r="AX515" s="200"/>
      <c r="CG515" s="132" t="s">
        <v>1</v>
      </c>
      <c r="CH515" s="133" t="s">
        <v>40</v>
      </c>
      <c r="CJ515" s="134">
        <f>CI515*H515</f>
        <v>0</v>
      </c>
      <c r="CK515" s="134">
        <v>0</v>
      </c>
      <c r="CL515" s="134">
        <f>CK515*H515</f>
        <v>0</v>
      </c>
      <c r="CM515" s="134">
        <v>0</v>
      </c>
      <c r="CN515" s="135">
        <f>CM515*H515</f>
        <v>0</v>
      </c>
      <c r="DL515" s="136" t="s">
        <v>95</v>
      </c>
      <c r="DN515" s="136" t="s">
        <v>284</v>
      </c>
      <c r="DO515" s="136" t="s">
        <v>83</v>
      </c>
      <c r="DS515" s="16" t="s">
        <v>282</v>
      </c>
      <c r="DY515" s="137">
        <f>IF(CH515="základní",J515,0)</f>
        <v>256013.72</v>
      </c>
      <c r="DZ515" s="137">
        <f>IF(CH515="snížená",J515,0)</f>
        <v>0</v>
      </c>
      <c r="EA515" s="137">
        <f>IF(CH515="zákl. přenesená",J515,0)</f>
        <v>0</v>
      </c>
      <c r="EB515" s="137">
        <f>IF(CH515="sníž. přenesená",J515,0)</f>
        <v>0</v>
      </c>
      <c r="EC515" s="137">
        <f>IF(CH515="nulová",J515,0)</f>
        <v>0</v>
      </c>
      <c r="ED515" s="16" t="s">
        <v>81</v>
      </c>
      <c r="EE515" s="137">
        <f>ROUND(I515*H515,2)</f>
        <v>256013.72</v>
      </c>
      <c r="EF515" s="16" t="s">
        <v>95</v>
      </c>
      <c r="EG515" s="136" t="s">
        <v>717</v>
      </c>
    </row>
    <row r="516" spans="2:137" s="1" customFormat="1" ht="29.25" x14ac:dyDescent="0.2">
      <c r="B516" s="31"/>
      <c r="D516" s="138" t="s">
        <v>289</v>
      </c>
      <c r="F516" s="139" t="s">
        <v>420</v>
      </c>
      <c r="I516" s="140"/>
      <c r="L516" s="31"/>
      <c r="N516" s="213">
        <f>0.994*2313.818</f>
        <v>2299.9350920000002</v>
      </c>
      <c r="O516" s="214" t="s">
        <v>3920</v>
      </c>
      <c r="Q516" s="229"/>
      <c r="CG516" s="141"/>
      <c r="CN516" s="50"/>
      <c r="DN516" s="16" t="s">
        <v>289</v>
      </c>
      <c r="DO516" s="16" t="s">
        <v>83</v>
      </c>
    </row>
    <row r="517" spans="2:137" s="12" customFormat="1" x14ac:dyDescent="0.2">
      <c r="B517" s="149"/>
      <c r="D517" s="138" t="s">
        <v>301</v>
      </c>
      <c r="E517" s="150" t="s">
        <v>1</v>
      </c>
      <c r="F517" s="151" t="s">
        <v>1564</v>
      </c>
      <c r="H517" s="152">
        <v>2313.8180000000002</v>
      </c>
      <c r="I517" s="153"/>
      <c r="L517" s="149"/>
      <c r="N517" s="310">
        <f>N516-H517</f>
        <v>-13.882908000000043</v>
      </c>
      <c r="O517" s="218"/>
      <c r="Q517" s="231"/>
      <c r="CG517" s="154"/>
      <c r="CN517" s="155"/>
      <c r="DN517" s="150" t="s">
        <v>301</v>
      </c>
      <c r="DO517" s="150" t="s">
        <v>83</v>
      </c>
      <c r="DP517" s="12" t="s">
        <v>83</v>
      </c>
      <c r="DQ517" s="12" t="s">
        <v>32</v>
      </c>
      <c r="DR517" s="12" t="s">
        <v>81</v>
      </c>
      <c r="DS517" s="150" t="s">
        <v>282</v>
      </c>
    </row>
    <row r="518" spans="2:137" s="1" customFormat="1" ht="37.9" customHeight="1" x14ac:dyDescent="0.2">
      <c r="B518" s="124"/>
      <c r="C518" s="125" t="s">
        <v>1570</v>
      </c>
      <c r="D518" s="125" t="s">
        <v>284</v>
      </c>
      <c r="E518" s="126" t="s">
        <v>719</v>
      </c>
      <c r="F518" s="127" t="s">
        <v>720</v>
      </c>
      <c r="G518" s="128" t="s">
        <v>418</v>
      </c>
      <c r="H518" s="129">
        <v>963.21699999999998</v>
      </c>
      <c r="I518" s="130">
        <v>250.3439285</v>
      </c>
      <c r="J518" s="131">
        <f>ROUND(I518*H518,2)</f>
        <v>241135.53</v>
      </c>
      <c r="K518" s="127" t="s">
        <v>293</v>
      </c>
      <c r="L518" s="198">
        <f>S518</f>
        <v>0</v>
      </c>
      <c r="M518" s="206">
        <f>ROUND(L518*I518,2)</f>
        <v>0</v>
      </c>
      <c r="N518" s="211">
        <f>N520</f>
        <v>-5.7793020000000297</v>
      </c>
      <c r="O518" s="212">
        <f>ROUND(N518*I518,2)</f>
        <v>-1446.81</v>
      </c>
      <c r="P518" s="207">
        <f>H518-L518-N518</f>
        <v>968.99630200000001</v>
      </c>
      <c r="Q518" s="228">
        <f>ROUND(P518*I518,2)</f>
        <v>242582.34</v>
      </c>
      <c r="R518" s="199"/>
      <c r="S518" s="200">
        <f>W518+Y518+AA518+AC518+AE518++AG518+AI518+AK518+AM518+AO518+AQ518+AS518+AU518+AW518</f>
        <v>0</v>
      </c>
      <c r="T518" s="200">
        <f>ROUND(S518*I518,2)</f>
        <v>0</v>
      </c>
      <c r="U518" s="200">
        <f>H518-S518</f>
        <v>963.21699999999998</v>
      </c>
      <c r="V518" s="200">
        <f>ROUND(U518*I518,2)</f>
        <v>241135.53</v>
      </c>
      <c r="W518" s="200"/>
      <c r="X518" s="200"/>
      <c r="Y518" s="200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0"/>
      <c r="AP518" s="200"/>
      <c r="AQ518" s="200"/>
      <c r="AR518" s="200"/>
      <c r="AS518" s="200"/>
      <c r="AT518" s="200"/>
      <c r="AU518" s="200"/>
      <c r="AV518" s="200"/>
      <c r="AW518" s="200"/>
      <c r="AX518" s="200"/>
      <c r="CG518" s="132" t="s">
        <v>1</v>
      </c>
      <c r="CH518" s="133" t="s">
        <v>40</v>
      </c>
      <c r="CJ518" s="134">
        <f>CI518*H518</f>
        <v>0</v>
      </c>
      <c r="CK518" s="134">
        <v>0</v>
      </c>
      <c r="CL518" s="134">
        <f>CK518*H518</f>
        <v>0</v>
      </c>
      <c r="CM518" s="134">
        <v>0</v>
      </c>
      <c r="CN518" s="135">
        <f>CM518*H518</f>
        <v>0</v>
      </c>
      <c r="DL518" s="136" t="s">
        <v>95</v>
      </c>
      <c r="DN518" s="136" t="s">
        <v>284</v>
      </c>
      <c r="DO518" s="136" t="s">
        <v>83</v>
      </c>
      <c r="DS518" s="16" t="s">
        <v>282</v>
      </c>
      <c r="DY518" s="137">
        <f>IF(CH518="základní",J518,0)</f>
        <v>241135.53</v>
      </c>
      <c r="DZ518" s="137">
        <f>IF(CH518="snížená",J518,0)</f>
        <v>0</v>
      </c>
      <c r="EA518" s="137">
        <f>IF(CH518="zákl. přenesená",J518,0)</f>
        <v>0</v>
      </c>
      <c r="EB518" s="137">
        <f>IF(CH518="sníž. přenesená",J518,0)</f>
        <v>0</v>
      </c>
      <c r="EC518" s="137">
        <f>IF(CH518="nulová",J518,0)</f>
        <v>0</v>
      </c>
      <c r="ED518" s="16" t="s">
        <v>81</v>
      </c>
      <c r="EE518" s="137">
        <f>ROUND(I518*H518,2)</f>
        <v>241135.53</v>
      </c>
      <c r="EF518" s="16" t="s">
        <v>95</v>
      </c>
      <c r="EG518" s="136" t="s">
        <v>721</v>
      </c>
    </row>
    <row r="519" spans="2:137" s="1" customFormat="1" ht="29.25" x14ac:dyDescent="0.2">
      <c r="B519" s="31"/>
      <c r="D519" s="138" t="s">
        <v>289</v>
      </c>
      <c r="F519" s="139" t="s">
        <v>720</v>
      </c>
      <c r="I519" s="140"/>
      <c r="L519" s="31"/>
      <c r="N519" s="213">
        <f>0.994*963.217</f>
        <v>957.43769799999995</v>
      </c>
      <c r="O519" s="214" t="s">
        <v>3921</v>
      </c>
      <c r="Q519" s="229"/>
      <c r="CG519" s="141"/>
      <c r="CN519" s="50"/>
      <c r="DN519" s="16" t="s">
        <v>289</v>
      </c>
      <c r="DO519" s="16" t="s">
        <v>83</v>
      </c>
    </row>
    <row r="520" spans="2:137" s="12" customFormat="1" x14ac:dyDescent="0.2">
      <c r="B520" s="149"/>
      <c r="D520" s="138" t="s">
        <v>301</v>
      </c>
      <c r="E520" s="150" t="s">
        <v>1</v>
      </c>
      <c r="F520" s="151" t="s">
        <v>1565</v>
      </c>
      <c r="H520" s="152">
        <v>963.21699999999998</v>
      </c>
      <c r="I520" s="153"/>
      <c r="L520" s="149"/>
      <c r="N520" s="310">
        <f>N519-H520</f>
        <v>-5.7793020000000297</v>
      </c>
      <c r="O520" s="218"/>
      <c r="Q520" s="231"/>
      <c r="CG520" s="154"/>
      <c r="CN520" s="155"/>
      <c r="DN520" s="150" t="s">
        <v>301</v>
      </c>
      <c r="DO520" s="150" t="s">
        <v>83</v>
      </c>
      <c r="DP520" s="12" t="s">
        <v>83</v>
      </c>
      <c r="DQ520" s="12" t="s">
        <v>32</v>
      </c>
      <c r="DR520" s="12" t="s">
        <v>81</v>
      </c>
      <c r="DS520" s="150" t="s">
        <v>282</v>
      </c>
    </row>
    <row r="521" spans="2:137" s="10" customFormat="1" ht="22.9" customHeight="1" x14ac:dyDescent="0.2">
      <c r="B521" s="112"/>
      <c r="D521" s="113" t="s">
        <v>73</v>
      </c>
      <c r="E521" s="122" t="s">
        <v>722</v>
      </c>
      <c r="F521" s="122" t="s">
        <v>723</v>
      </c>
      <c r="I521" s="115"/>
      <c r="J521" s="123">
        <f>EE521</f>
        <v>583504.24</v>
      </c>
      <c r="L521" s="112"/>
      <c r="M521" s="202">
        <f>M522</f>
        <v>0</v>
      </c>
      <c r="N521" s="211"/>
      <c r="O521" s="224">
        <f t="shared" ref="O521:V521" si="9">O522</f>
        <v>-3501.03</v>
      </c>
      <c r="P521" s="202"/>
      <c r="Q521" s="234">
        <f t="shared" si="9"/>
        <v>587005.26</v>
      </c>
      <c r="R521" s="202"/>
      <c r="S521" s="202"/>
      <c r="T521" s="202">
        <f t="shared" si="9"/>
        <v>0</v>
      </c>
      <c r="U521" s="202"/>
      <c r="V521" s="202">
        <f t="shared" si="9"/>
        <v>583504.24</v>
      </c>
      <c r="CG521" s="117"/>
      <c r="CJ521" s="118">
        <f>SUM(CJ522:CJ525)</f>
        <v>0</v>
      </c>
      <c r="CL521" s="118">
        <f>SUM(CL522:CL525)</f>
        <v>0</v>
      </c>
      <c r="CN521" s="119">
        <f>SUM(CN522:CN525)</f>
        <v>0</v>
      </c>
      <c r="DL521" s="113" t="s">
        <v>81</v>
      </c>
      <c r="DN521" s="120" t="s">
        <v>73</v>
      </c>
      <c r="DO521" s="120" t="s">
        <v>81</v>
      </c>
      <c r="DS521" s="113" t="s">
        <v>282</v>
      </c>
      <c r="EE521" s="121">
        <f>SUM(EE522:EE525)</f>
        <v>583504.24</v>
      </c>
    </row>
    <row r="522" spans="2:137" s="1" customFormat="1" ht="24.2" customHeight="1" x14ac:dyDescent="0.2">
      <c r="B522" s="124"/>
      <c r="C522" s="125" t="s">
        <v>1571</v>
      </c>
      <c r="D522" s="125" t="s">
        <v>284</v>
      </c>
      <c r="E522" s="126" t="s">
        <v>725</v>
      </c>
      <c r="F522" s="127" t="s">
        <v>726</v>
      </c>
      <c r="G522" s="128" t="s">
        <v>418</v>
      </c>
      <c r="H522" s="129">
        <v>644.91200000000003</v>
      </c>
      <c r="I522" s="130">
        <v>904.78117744148574</v>
      </c>
      <c r="J522" s="131">
        <f>ROUND(I522*H522,2)</f>
        <v>583504.24</v>
      </c>
      <c r="K522" s="127" t="s">
        <v>293</v>
      </c>
      <c r="L522" s="198">
        <f>S522</f>
        <v>0</v>
      </c>
      <c r="M522" s="206">
        <f>ROUND(L522*I522,2)</f>
        <v>0</v>
      </c>
      <c r="N522" s="211">
        <f>N524</f>
        <v>-3.8694719999999734</v>
      </c>
      <c r="O522" s="212">
        <f>ROUND(N522*I522,2)</f>
        <v>-3501.03</v>
      </c>
      <c r="P522" s="207">
        <f>H522-L522-N522</f>
        <v>648.78147200000001</v>
      </c>
      <c r="Q522" s="228">
        <f>ROUND(P522*I522,2)</f>
        <v>587005.26</v>
      </c>
      <c r="R522" s="199"/>
      <c r="S522" s="200">
        <f>W522+Y522+AA522+AC522+AE522++AG522+AI522+AK522+AM522+AO522+AQ522+AS522+AU522+AW522</f>
        <v>0</v>
      </c>
      <c r="T522" s="200">
        <f>ROUND(S522*I522,2)</f>
        <v>0</v>
      </c>
      <c r="U522" s="200">
        <f>H522-S522</f>
        <v>644.91200000000003</v>
      </c>
      <c r="V522" s="200">
        <f>ROUND(U522*I522,2)</f>
        <v>583504.24</v>
      </c>
      <c r="W522" s="200"/>
      <c r="X522" s="200"/>
      <c r="Y522" s="200"/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200"/>
      <c r="AN522" s="200"/>
      <c r="AO522" s="200"/>
      <c r="AP522" s="200"/>
      <c r="AQ522" s="200"/>
      <c r="AR522" s="200"/>
      <c r="AS522" s="200"/>
      <c r="AT522" s="200"/>
      <c r="AU522" s="200"/>
      <c r="AV522" s="200"/>
      <c r="AW522" s="200"/>
      <c r="AX522" s="200"/>
      <c r="CG522" s="132" t="s">
        <v>1</v>
      </c>
      <c r="CH522" s="133" t="s">
        <v>40</v>
      </c>
      <c r="CJ522" s="134">
        <f>CI522*H522</f>
        <v>0</v>
      </c>
      <c r="CK522" s="134">
        <v>0</v>
      </c>
      <c r="CL522" s="134">
        <f>CK522*H522</f>
        <v>0</v>
      </c>
      <c r="CM522" s="134">
        <v>0</v>
      </c>
      <c r="CN522" s="135">
        <f>CM522*H522</f>
        <v>0</v>
      </c>
      <c r="DL522" s="136" t="s">
        <v>95</v>
      </c>
      <c r="DN522" s="136" t="s">
        <v>284</v>
      </c>
      <c r="DO522" s="136" t="s">
        <v>83</v>
      </c>
      <c r="DS522" s="16" t="s">
        <v>282</v>
      </c>
      <c r="DY522" s="137">
        <f>IF(CH522="základní",J522,0)</f>
        <v>583504.24</v>
      </c>
      <c r="DZ522" s="137">
        <f>IF(CH522="snížená",J522,0)</f>
        <v>0</v>
      </c>
      <c r="EA522" s="137">
        <f>IF(CH522="zákl. přenesená",J522,0)</f>
        <v>0</v>
      </c>
      <c r="EB522" s="137">
        <f>IF(CH522="sníž. přenesená",J522,0)</f>
        <v>0</v>
      </c>
      <c r="EC522" s="137">
        <f>IF(CH522="nulová",J522,0)</f>
        <v>0</v>
      </c>
      <c r="ED522" s="16" t="s">
        <v>81</v>
      </c>
      <c r="EE522" s="137">
        <f>ROUND(I522*H522,2)</f>
        <v>583504.24</v>
      </c>
      <c r="EF522" s="16" t="s">
        <v>95</v>
      </c>
      <c r="EG522" s="136" t="s">
        <v>727</v>
      </c>
    </row>
    <row r="523" spans="2:137" s="1" customFormat="1" ht="29.25" x14ac:dyDescent="0.2">
      <c r="B523" s="31"/>
      <c r="D523" s="138" t="s">
        <v>289</v>
      </c>
      <c r="F523" s="139" t="s">
        <v>728</v>
      </c>
      <c r="I523" s="140"/>
      <c r="L523" s="31"/>
      <c r="N523" s="213">
        <f>0.994*644.912</f>
        <v>641.04252800000006</v>
      </c>
      <c r="O523" s="214" t="s">
        <v>3922</v>
      </c>
      <c r="Q523" s="229"/>
      <c r="CG523" s="141"/>
      <c r="CN523" s="50"/>
      <c r="DN523" s="16" t="s">
        <v>289</v>
      </c>
      <c r="DO523" s="16" t="s">
        <v>83</v>
      </c>
    </row>
    <row r="524" spans="2:137" s="11" customFormat="1" x14ac:dyDescent="0.2">
      <c r="B524" s="143"/>
      <c r="D524" s="138" t="s">
        <v>301</v>
      </c>
      <c r="E524" s="144" t="s">
        <v>1</v>
      </c>
      <c r="F524" s="145" t="s">
        <v>729</v>
      </c>
      <c r="H524" s="144" t="s">
        <v>1</v>
      </c>
      <c r="I524" s="146"/>
      <c r="L524" s="143"/>
      <c r="N524" s="319">
        <f>N523-H525</f>
        <v>-3.8694719999999734</v>
      </c>
      <c r="O524" s="216"/>
      <c r="Q524" s="230"/>
      <c r="CG524" s="147"/>
      <c r="CN524" s="148"/>
      <c r="DN524" s="144" t="s">
        <v>301</v>
      </c>
      <c r="DO524" s="144" t="s">
        <v>83</v>
      </c>
      <c r="DP524" s="11" t="s">
        <v>81</v>
      </c>
      <c r="DQ524" s="11" t="s">
        <v>32</v>
      </c>
      <c r="DR524" s="11" t="s">
        <v>74</v>
      </c>
      <c r="DS524" s="144" t="s">
        <v>282</v>
      </c>
    </row>
    <row r="525" spans="2:137" s="12" customFormat="1" x14ac:dyDescent="0.2">
      <c r="B525" s="149"/>
      <c r="D525" s="138" t="s">
        <v>301</v>
      </c>
      <c r="E525" s="150" t="s">
        <v>1</v>
      </c>
      <c r="F525" s="151" t="s">
        <v>1572</v>
      </c>
      <c r="H525" s="152">
        <v>644.91200000000003</v>
      </c>
      <c r="I525" s="153"/>
      <c r="L525" s="149"/>
      <c r="N525" s="217"/>
      <c r="O525" s="218"/>
      <c r="Q525" s="231"/>
      <c r="CG525" s="179"/>
      <c r="CH525" s="180"/>
      <c r="CI525" s="180"/>
      <c r="CJ525" s="180"/>
      <c r="CK525" s="180"/>
      <c r="CL525" s="180"/>
      <c r="CM525" s="180"/>
      <c r="CN525" s="181"/>
      <c r="DN525" s="150" t="s">
        <v>301</v>
      </c>
      <c r="DO525" s="150" t="s">
        <v>83</v>
      </c>
      <c r="DP525" s="12" t="s">
        <v>83</v>
      </c>
      <c r="DQ525" s="12" t="s">
        <v>32</v>
      </c>
      <c r="DR525" s="12" t="s">
        <v>81</v>
      </c>
      <c r="DS525" s="150" t="s">
        <v>282</v>
      </c>
    </row>
    <row r="526" spans="2:137" s="1" customFormat="1" ht="6.95" customHeight="1" thickBot="1" x14ac:dyDescent="0.25">
      <c r="B526" s="43"/>
      <c r="C526" s="44"/>
      <c r="D526" s="44"/>
      <c r="E526" s="44"/>
      <c r="F526" s="44"/>
      <c r="G526" s="44"/>
      <c r="H526" s="44"/>
      <c r="I526" s="44"/>
      <c r="J526" s="44"/>
      <c r="K526" s="44"/>
      <c r="L526" s="235"/>
      <c r="M526" s="237"/>
      <c r="N526" s="239"/>
      <c r="O526" s="240"/>
      <c r="P526" s="238"/>
      <c r="Q526" s="241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</row>
  </sheetData>
  <autoFilter ref="C124:K525"/>
  <mergeCells count="33">
    <mergeCell ref="H123:K123"/>
    <mergeCell ref="E117:H117"/>
    <mergeCell ref="L2:CP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  <mergeCell ref="L124:Q124"/>
    <mergeCell ref="L125:M125"/>
    <mergeCell ref="N125:O125"/>
    <mergeCell ref="P125:Q125"/>
    <mergeCell ref="S125:T125"/>
    <mergeCell ref="U125:V125"/>
    <mergeCell ref="W125:X125"/>
    <mergeCell ref="Y125:Z125"/>
    <mergeCell ref="AA125:AB125"/>
    <mergeCell ref="AC125:AD125"/>
    <mergeCell ref="AE125:AF125"/>
    <mergeCell ref="AG125:AH125"/>
    <mergeCell ref="AI125:AJ125"/>
    <mergeCell ref="AK125:AL125"/>
    <mergeCell ref="AM125:AN125"/>
    <mergeCell ref="AO125:AP125"/>
    <mergeCell ref="AQ125:AR125"/>
    <mergeCell ref="AS125:AT125"/>
    <mergeCell ref="AU125:AV125"/>
    <mergeCell ref="AW125:AX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B382"/>
  <sheetViews>
    <sheetView windowProtection="1" showGridLines="0" topLeftCell="A350" zoomScale="90" zoomScaleNormal="90" workbookViewId="0">
      <selection activeCell="P350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1640625" customWidth="1"/>
    <col min="13" max="13" width="17.6640625" customWidth="1"/>
    <col min="14" max="14" width="12.1640625" customWidth="1"/>
    <col min="15" max="15" width="18" customWidth="1"/>
    <col min="16" max="16" width="12.1640625" hidden="1" customWidth="1"/>
    <col min="17" max="17" width="15.5" hidden="1" customWidth="1"/>
    <col min="18" max="19" width="12.1640625" customWidth="1"/>
    <col min="20" max="20" width="14.83203125" customWidth="1"/>
    <col min="21" max="21" width="12.1640625" customWidth="1"/>
    <col min="22" max="22" width="16.6640625" customWidth="1"/>
    <col min="23" max="23" width="12.1640625" customWidth="1"/>
    <col min="24" max="24" width="15" customWidth="1"/>
    <col min="25" max="104" width="12.1640625" customWidth="1"/>
    <col min="105" max="105" width="11.33203125" customWidth="1"/>
    <col min="106" max="106" width="10.83203125" customWidth="1"/>
    <col min="108" max="113" width="14.1640625" customWidth="1"/>
    <col min="114" max="114" width="16.33203125" customWidth="1"/>
    <col min="115" max="115" width="12.33203125" customWidth="1"/>
    <col min="116" max="116" width="16.33203125" customWidth="1"/>
    <col min="117" max="117" width="12.33203125" customWidth="1"/>
    <col min="118" max="118" width="15" customWidth="1"/>
    <col min="119" max="119" width="11" customWidth="1"/>
    <col min="120" max="120" width="15" customWidth="1"/>
    <col min="121" max="121" width="16.33203125" customWidth="1"/>
    <col min="122" max="122" width="11" customWidth="1"/>
    <col min="123" max="123" width="15" customWidth="1"/>
    <col min="124" max="124" width="16.33203125" customWidth="1"/>
    <col min="137" max="158" width="9.33203125" hidden="1"/>
  </cols>
  <sheetData>
    <row r="1" spans="2:139" hidden="1" x14ac:dyDescent="0.2"/>
    <row r="2" spans="2:139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9"/>
      <c r="DC2" s="399"/>
      <c r="DD2" s="399"/>
      <c r="DE2" s="399"/>
      <c r="DF2" s="399"/>
      <c r="DG2" s="399"/>
      <c r="DH2" s="399"/>
      <c r="DI2" s="399"/>
      <c r="DJ2" s="399"/>
      <c r="DK2" s="399"/>
      <c r="EI2" s="16" t="s">
        <v>138</v>
      </c>
    </row>
    <row r="3" spans="2:139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I3" s="16" t="s">
        <v>83</v>
      </c>
    </row>
    <row r="4" spans="2:139" ht="24.95" hidden="1" customHeight="1" x14ac:dyDescent="0.2">
      <c r="B4" s="19"/>
      <c r="D4" s="20" t="s">
        <v>243</v>
      </c>
      <c r="L4" s="19"/>
      <c r="DB4" s="79" t="s">
        <v>10</v>
      </c>
      <c r="EI4" s="16" t="s">
        <v>3</v>
      </c>
    </row>
    <row r="5" spans="2:139" ht="6.95" hidden="1" customHeight="1" x14ac:dyDescent="0.2">
      <c r="B5" s="19"/>
      <c r="L5" s="19"/>
    </row>
    <row r="6" spans="2:139" ht="12" hidden="1" customHeight="1" x14ac:dyDescent="0.2">
      <c r="B6" s="19"/>
      <c r="D6" s="26" t="s">
        <v>16</v>
      </c>
      <c r="L6" s="19"/>
    </row>
    <row r="7" spans="2:139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39" ht="12.75" hidden="1" x14ac:dyDescent="0.2">
      <c r="B8" s="19"/>
      <c r="D8" s="26" t="s">
        <v>244</v>
      </c>
      <c r="L8" s="19"/>
    </row>
    <row r="9" spans="2:139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39" ht="12" hidden="1" customHeight="1" x14ac:dyDescent="0.2">
      <c r="B10" s="19"/>
      <c r="D10" s="26" t="s">
        <v>246</v>
      </c>
      <c r="L10" s="19"/>
    </row>
    <row r="11" spans="2:139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39" s="1" customFormat="1" ht="12" hidden="1" customHeight="1" x14ac:dyDescent="0.2">
      <c r="B12" s="31"/>
      <c r="D12" s="26" t="s">
        <v>248</v>
      </c>
      <c r="L12" s="31"/>
    </row>
    <row r="13" spans="2:139" s="1" customFormat="1" ht="16.5" hidden="1" customHeight="1" x14ac:dyDescent="0.2">
      <c r="B13" s="31"/>
      <c r="E13" s="432" t="s">
        <v>1573</v>
      </c>
      <c r="F13" s="433"/>
      <c r="G13" s="433"/>
      <c r="H13" s="433"/>
      <c r="L13" s="31"/>
    </row>
    <row r="14" spans="2:139" s="1" customFormat="1" hidden="1" x14ac:dyDescent="0.2">
      <c r="B14" s="31"/>
      <c r="L14" s="31"/>
    </row>
    <row r="15" spans="2:139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39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1490317.25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ROUND((SUM(ET121:ET381)),  2)</f>
        <v>1490317.25</v>
      </c>
      <c r="I37" s="84">
        <v>0.21</v>
      </c>
      <c r="J37" s="71">
        <f>ROUND(((SUM(ET121:ET381))*I37),  2)</f>
        <v>312966.62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ROUND((SUM(EU121:EU381)),  2)</f>
        <v>0</v>
      </c>
      <c r="I38" s="84">
        <v>0.15</v>
      </c>
      <c r="J38" s="71">
        <f>ROUND(((SUM(EU121:EU381))*I38),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ROUND((SUM(EV121:EV381)),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ROUND((SUM(EW121:EW381)),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ROUND((SUM(EX121:EX381)),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1803283.87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00002 - DSO 01.3b Stoka DA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40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40" s="1" customFormat="1" ht="10.35" hidden="1" customHeight="1" x14ac:dyDescent="0.2">
      <c r="B98" s="31"/>
      <c r="L98" s="31"/>
    </row>
    <row r="99" spans="2:140" s="1" customFormat="1" ht="22.9" hidden="1" customHeight="1" x14ac:dyDescent="0.2">
      <c r="B99" s="31"/>
      <c r="C99" s="95" t="s">
        <v>256</v>
      </c>
      <c r="J99" s="58">
        <f>J121</f>
        <v>1490317.2500000002</v>
      </c>
      <c r="L99" s="31"/>
      <c r="EJ99" s="16" t="s">
        <v>257</v>
      </c>
    </row>
    <row r="100" spans="2:140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1490317.2500000002</v>
      </c>
      <c r="L100" s="96"/>
    </row>
    <row r="101" spans="2:140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867341.57</v>
      </c>
      <c r="L101" s="100"/>
    </row>
    <row r="102" spans="2:140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J233</f>
        <v>27727.17</v>
      </c>
      <c r="L102" s="100"/>
    </row>
    <row r="103" spans="2:140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J238</f>
        <v>21239.889999999996</v>
      </c>
      <c r="L103" s="100"/>
    </row>
    <row r="104" spans="2:140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J266</f>
        <v>261793.99</v>
      </c>
      <c r="L104" s="100"/>
    </row>
    <row r="105" spans="2:140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J285</f>
        <v>185388.14999999997</v>
      </c>
      <c r="L105" s="100"/>
    </row>
    <row r="106" spans="2:140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J346</f>
        <v>7766.82</v>
      </c>
      <c r="L106" s="100"/>
    </row>
    <row r="107" spans="2:140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J357</f>
        <v>79930.59</v>
      </c>
      <c r="L107" s="100"/>
    </row>
    <row r="108" spans="2:140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J377</f>
        <v>39129.07</v>
      </c>
      <c r="L108" s="100"/>
    </row>
    <row r="109" spans="2:140" s="1" customFormat="1" ht="21.75" hidden="1" customHeight="1" x14ac:dyDescent="0.2">
      <c r="B109" s="31"/>
      <c r="L109" s="31"/>
    </row>
    <row r="110" spans="2:140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40" hidden="1" x14ac:dyDescent="0.2"/>
    <row r="112" spans="2:140" hidden="1" x14ac:dyDescent="0.2"/>
    <row r="114" spans="2:158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58" s="1" customFormat="1" ht="24.95" customHeight="1" x14ac:dyDescent="0.2">
      <c r="B115" s="31"/>
      <c r="C115" s="20" t="s">
        <v>3307</v>
      </c>
      <c r="L115" s="31"/>
    </row>
    <row r="116" spans="2:158" s="1" customFormat="1" ht="6.95" customHeight="1" x14ac:dyDescent="0.2">
      <c r="B116" s="31"/>
      <c r="L116" s="31"/>
    </row>
    <row r="117" spans="2:158" s="1" customFormat="1" ht="16.5" customHeight="1" x14ac:dyDescent="0.2">
      <c r="B117" s="31"/>
      <c r="E117" s="432" t="s">
        <v>3345</v>
      </c>
      <c r="F117" s="433"/>
      <c r="G117" s="433"/>
      <c r="H117" s="433"/>
      <c r="L117" s="31"/>
    </row>
    <row r="118" spans="2:158" s="1" customFormat="1" ht="15.2" customHeight="1" x14ac:dyDescent="0.2">
      <c r="B118" s="31"/>
      <c r="C118" s="26"/>
      <c r="F118" s="24"/>
      <c r="I118" s="26"/>
      <c r="J118" s="29"/>
      <c r="L118" s="31"/>
    </row>
    <row r="119" spans="2:158" s="1" customFormat="1" ht="28.5" customHeight="1" x14ac:dyDescent="0.2">
      <c r="B119" s="31"/>
      <c r="G119" s="446" t="s">
        <v>3305</v>
      </c>
      <c r="H119" s="446"/>
      <c r="I119" s="446"/>
      <c r="J119" s="446"/>
      <c r="K119" s="447"/>
      <c r="L119" s="31"/>
    </row>
    <row r="120" spans="2:158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DB120" s="52" t="s">
        <v>1</v>
      </c>
      <c r="DC120" s="53" t="s">
        <v>39</v>
      </c>
      <c r="DD120" s="53" t="s">
        <v>273</v>
      </c>
      <c r="DE120" s="53" t="s">
        <v>274</v>
      </c>
      <c r="DF120" s="53" t="s">
        <v>275</v>
      </c>
      <c r="DG120" s="53" t="s">
        <v>276</v>
      </c>
      <c r="DH120" s="53" t="s">
        <v>277</v>
      </c>
      <c r="DI120" s="54" t="s">
        <v>278</v>
      </c>
    </row>
    <row r="121" spans="2:158" s="1" customFormat="1" ht="22.9" customHeight="1" x14ac:dyDescent="0.25">
      <c r="B121" s="31"/>
      <c r="C121" s="57" t="s">
        <v>279</v>
      </c>
      <c r="G121" s="1" t="s">
        <v>3306</v>
      </c>
      <c r="J121" s="108">
        <f>EZ121</f>
        <v>1490317.2500000002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3323</v>
      </c>
      <c r="X121" s="444"/>
      <c r="Y121" s="444" t="s">
        <v>3324</v>
      </c>
      <c r="Z121" s="444"/>
      <c r="AA121" s="444" t="s">
        <v>3325</v>
      </c>
      <c r="AB121" s="444"/>
      <c r="AC121" s="444" t="s">
        <v>3326</v>
      </c>
      <c r="AD121" s="444"/>
      <c r="AE121" s="444" t="s">
        <v>3327</v>
      </c>
      <c r="AF121" s="445"/>
      <c r="DB121" s="55"/>
      <c r="DC121" s="49"/>
      <c r="DD121" s="49"/>
      <c r="DE121" s="109">
        <f>DE122</f>
        <v>0</v>
      </c>
      <c r="DF121" s="49"/>
      <c r="DG121" s="109">
        <f>DG122</f>
        <v>659.77506519999997</v>
      </c>
      <c r="DH121" s="49"/>
      <c r="DI121" s="110">
        <f>DI122</f>
        <v>203.80767</v>
      </c>
      <c r="EI121" s="16" t="s">
        <v>73</v>
      </c>
      <c r="EJ121" s="16" t="s">
        <v>257</v>
      </c>
      <c r="EZ121" s="111">
        <f>EZ122</f>
        <v>1490317.2500000002</v>
      </c>
    </row>
    <row r="122" spans="2:158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EZ122</f>
        <v>1490317.2500000002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5" t="s">
        <v>3328</v>
      </c>
      <c r="DB122" s="117"/>
      <c r="DE122" s="118">
        <f>DE124+DE233+DE238+DE266+DE285+DE346+DE357+DE377</f>
        <v>0</v>
      </c>
      <c r="DG122" s="118">
        <f>DG124+DG233+DG238+DG266+DG285+DG346+DG357+DG377</f>
        <v>659.77506519999997</v>
      </c>
      <c r="DI122" s="119">
        <f>DI124+DI233+DI238+DI266+DI285+DI346+DI357+DI377</f>
        <v>203.80767</v>
      </c>
      <c r="EG122" s="113" t="s">
        <v>81</v>
      </c>
      <c r="EI122" s="120" t="s">
        <v>73</v>
      </c>
      <c r="EJ122" s="120" t="s">
        <v>74</v>
      </c>
      <c r="EN122" s="113" t="s">
        <v>282</v>
      </c>
      <c r="EZ122" s="121">
        <f>EZ124+EZ233+EZ238+EZ266+EZ285+EZ346+EZ357+EZ377</f>
        <v>1490317.2500000002</v>
      </c>
    </row>
    <row r="123" spans="2:158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M124+M233+M238+M266+M285+M346+M357+M377</f>
        <v>0</v>
      </c>
      <c r="N123" s="208"/>
      <c r="O123" s="208">
        <f>O124+O233+O238+O266+O285+O346+O357+O377</f>
        <v>214158.59</v>
      </c>
      <c r="P123" s="192"/>
      <c r="Q123" s="192">
        <f>Q124+Q233+Q238+Q266+Q285+Q346+Q357+Q377</f>
        <v>1276158.6399999999</v>
      </c>
      <c r="S123" s="196"/>
      <c r="T123" s="197">
        <f>T124+T233+T238+T266+T285+T346+T357+T377</f>
        <v>0</v>
      </c>
      <c r="U123" s="197"/>
      <c r="V123" s="197">
        <f>V124+V233+V238+V266+V285+V346+V357+V377</f>
        <v>1490317.2500000002</v>
      </c>
      <c r="W123" s="197"/>
      <c r="X123" s="197">
        <f>X124+X233+X238+X266+X285+X346+X357+X377</f>
        <v>0</v>
      </c>
      <c r="Y123" s="197"/>
      <c r="Z123" s="197">
        <f>Z124+Z233+Z238+Z266+Z285+Z346+Z357+Z377</f>
        <v>0</v>
      </c>
      <c r="AA123" s="197"/>
      <c r="AB123" s="197">
        <f>AB124+AB233+AB238+AB266+AB285+AB346+AB357+AB377</f>
        <v>0</v>
      </c>
      <c r="AC123" s="197"/>
      <c r="AD123" s="197">
        <f>AD124+AD233+AD238+AD266+AD285+AD346+AD357+AD377</f>
        <v>0</v>
      </c>
      <c r="AE123" s="197"/>
      <c r="AF123" s="197">
        <f>AF124+AF233+AF238+AF266+AF285+AF346+AF357+AF377</f>
        <v>0</v>
      </c>
      <c r="DB123" s="117"/>
      <c r="DE123" s="118"/>
      <c r="DG123" s="118"/>
      <c r="DI123" s="119"/>
      <c r="EG123" s="113"/>
      <c r="EI123" s="120"/>
      <c r="EJ123" s="120"/>
      <c r="EN123" s="113"/>
      <c r="EZ123" s="121"/>
    </row>
    <row r="124" spans="2:158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EZ124</f>
        <v>867341.57</v>
      </c>
      <c r="L124" s="112"/>
      <c r="M124" s="270">
        <f>SUM(M125:M230)</f>
        <v>0</v>
      </c>
      <c r="N124" s="299"/>
      <c r="O124" s="300">
        <f>SUM(O125:O230)</f>
        <v>129044.37</v>
      </c>
      <c r="P124" s="270"/>
      <c r="Q124" s="286">
        <f>SUM(Q125:Q230)</f>
        <v>738297.19999999984</v>
      </c>
      <c r="R124" s="270"/>
      <c r="S124" s="270"/>
      <c r="T124" s="270">
        <f>SUM(T125:T230)</f>
        <v>0</v>
      </c>
      <c r="U124" s="270"/>
      <c r="V124" s="270">
        <f>SUM(V125:V230)</f>
        <v>867341.57</v>
      </c>
      <c r="DB124" s="117"/>
      <c r="DE124" s="118">
        <f>SUM(DE125:DE232)</f>
        <v>0</v>
      </c>
      <c r="DG124" s="118">
        <f>SUM(DG125:DG232)</f>
        <v>617.08970499999998</v>
      </c>
      <c r="DI124" s="119">
        <f>SUM(DI125:DI232)</f>
        <v>203.80767</v>
      </c>
      <c r="EG124" s="113" t="s">
        <v>81</v>
      </c>
      <c r="EI124" s="120" t="s">
        <v>73</v>
      </c>
      <c r="EJ124" s="120" t="s">
        <v>81</v>
      </c>
      <c r="EN124" s="113" t="s">
        <v>282</v>
      </c>
      <c r="EZ124" s="121">
        <f>SUM(EZ125:EZ232)</f>
        <v>867341.57</v>
      </c>
    </row>
    <row r="125" spans="2:158" s="1" customFormat="1" ht="24.2" customHeight="1" x14ac:dyDescent="0.2">
      <c r="B125" s="124"/>
      <c r="C125" s="125" t="s">
        <v>81</v>
      </c>
      <c r="D125" s="125" t="s">
        <v>284</v>
      </c>
      <c r="E125" s="126" t="s">
        <v>285</v>
      </c>
      <c r="F125" s="127" t="s">
        <v>286</v>
      </c>
      <c r="G125" s="128" t="s">
        <v>287</v>
      </c>
      <c r="H125" s="129">
        <v>123.61499999999999</v>
      </c>
      <c r="I125" s="130">
        <v>68.767172335543137</v>
      </c>
      <c r="J125" s="131">
        <f>ROUND(I125*H125,2)</f>
        <v>8500.65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N127</f>
        <v>18.312000000000026</v>
      </c>
      <c r="O125" s="294">
        <f>ROUND(N125*I125,2)</f>
        <v>1259.26</v>
      </c>
      <c r="P125" s="273">
        <f>H125-L125-N125</f>
        <v>105.30299999999997</v>
      </c>
      <c r="Q125" s="287">
        <f>ROUND(P125*I125,2)</f>
        <v>7241.39</v>
      </c>
      <c r="R125" s="137"/>
      <c r="S125" s="269">
        <f>W125+Y125+AA125+AC125+AE125</f>
        <v>0</v>
      </c>
      <c r="T125" s="269">
        <f>ROUND(S125*I125,2)</f>
        <v>0</v>
      </c>
      <c r="U125" s="269">
        <f>H125-S125</f>
        <v>123.61499999999999</v>
      </c>
      <c r="V125" s="269">
        <f>ROUND(U125*I125,2)</f>
        <v>8500.65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DB125" s="132" t="s">
        <v>1</v>
      </c>
      <c r="DC125" s="133" t="s">
        <v>40</v>
      </c>
      <c r="DE125" s="134">
        <f>DD125*H125</f>
        <v>0</v>
      </c>
      <c r="DF125" s="134">
        <v>0</v>
      </c>
      <c r="DG125" s="134">
        <f>DF125*H125</f>
        <v>0</v>
      </c>
      <c r="DH125" s="134">
        <v>0.57999999999999996</v>
      </c>
      <c r="DI125" s="135">
        <f>DH125*H125</f>
        <v>71.696699999999993</v>
      </c>
      <c r="EG125" s="136" t="s">
        <v>95</v>
      </c>
      <c r="EI125" s="136" t="s">
        <v>284</v>
      </c>
      <c r="EJ125" s="136" t="s">
        <v>83</v>
      </c>
      <c r="EN125" s="16" t="s">
        <v>282</v>
      </c>
      <c r="ET125" s="137">
        <f>IF(DC125="základní",J125,0)</f>
        <v>8500.65</v>
      </c>
      <c r="EU125" s="137">
        <f>IF(DC125="snížená",J125,0)</f>
        <v>0</v>
      </c>
      <c r="EV125" s="137">
        <f>IF(DC125="zákl. přenesená",J125,0)</f>
        <v>0</v>
      </c>
      <c r="EW125" s="137">
        <f>IF(DC125="sníž. přenesená",J125,0)</f>
        <v>0</v>
      </c>
      <c r="EX125" s="137">
        <f>IF(DC125="nulová",J125,0)</f>
        <v>0</v>
      </c>
      <c r="EY125" s="16" t="s">
        <v>81</v>
      </c>
      <c r="EZ125" s="137">
        <f>ROUND(I125*H125,2)</f>
        <v>8500.65</v>
      </c>
      <c r="FA125" s="16" t="s">
        <v>95</v>
      </c>
      <c r="FB125" s="136" t="s">
        <v>288</v>
      </c>
    </row>
    <row r="126" spans="2:158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DB126" s="141"/>
      <c r="DI126" s="50"/>
      <c r="EI126" s="16" t="s">
        <v>289</v>
      </c>
      <c r="EJ126" s="16" t="s">
        <v>83</v>
      </c>
    </row>
    <row r="127" spans="2:158" s="1" customFormat="1" ht="24.2" customHeight="1" x14ac:dyDescent="0.2">
      <c r="B127" s="124"/>
      <c r="C127" s="125" t="s">
        <v>83</v>
      </c>
      <c r="D127" s="125" t="s">
        <v>284</v>
      </c>
      <c r="E127" s="126" t="s">
        <v>291</v>
      </c>
      <c r="F127" s="127" t="s">
        <v>292</v>
      </c>
      <c r="G127" s="128" t="s">
        <v>287</v>
      </c>
      <c r="H127" s="129">
        <v>123.61499999999999</v>
      </c>
      <c r="I127" s="130">
        <v>68.767172335543137</v>
      </c>
      <c r="J127" s="131">
        <f>ROUND(I127*H127,2)</f>
        <v>8500.65</v>
      </c>
      <c r="K127" s="127" t="s">
        <v>293</v>
      </c>
      <c r="L127" s="268">
        <f>S127</f>
        <v>0</v>
      </c>
      <c r="M127" s="272">
        <f>ROUND(L127*I127,2)</f>
        <v>0</v>
      </c>
      <c r="N127" s="243">
        <f>N129</f>
        <v>18.312000000000026</v>
      </c>
      <c r="O127" s="294">
        <f>ROUND(N127*I127,2)</f>
        <v>1259.26</v>
      </c>
      <c r="P127" s="273">
        <f>H127-L127-N127</f>
        <v>105.30299999999997</v>
      </c>
      <c r="Q127" s="287">
        <f>ROUND(P127*I127,2)</f>
        <v>7241.39</v>
      </c>
      <c r="R127" s="137"/>
      <c r="S127" s="269">
        <f>W127+Y127+AA127+AC127+AE127</f>
        <v>0</v>
      </c>
      <c r="T127" s="269">
        <f>ROUND(S127*I127,2)</f>
        <v>0</v>
      </c>
      <c r="U127" s="269">
        <f>H127-S127</f>
        <v>123.61499999999999</v>
      </c>
      <c r="V127" s="269">
        <f>ROUND(U127*I127,2)</f>
        <v>8500.65</v>
      </c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DB127" s="132" t="s">
        <v>1</v>
      </c>
      <c r="DC127" s="133" t="s">
        <v>40</v>
      </c>
      <c r="DE127" s="134">
        <f>DD127*H127</f>
        <v>0</v>
      </c>
      <c r="DF127" s="134">
        <v>0</v>
      </c>
      <c r="DG127" s="134">
        <f>DF127*H127</f>
        <v>0</v>
      </c>
      <c r="DH127" s="134">
        <v>0.57999999999999996</v>
      </c>
      <c r="DI127" s="135">
        <f>DH127*H127</f>
        <v>71.696699999999993</v>
      </c>
      <c r="EG127" s="136" t="s">
        <v>95</v>
      </c>
      <c r="EI127" s="136" t="s">
        <v>284</v>
      </c>
      <c r="EJ127" s="136" t="s">
        <v>83</v>
      </c>
      <c r="EN127" s="16" t="s">
        <v>282</v>
      </c>
      <c r="ET127" s="137">
        <f>IF(DC127="základní",J127,0)</f>
        <v>8500.65</v>
      </c>
      <c r="EU127" s="137">
        <f>IF(DC127="snížená",J127,0)</f>
        <v>0</v>
      </c>
      <c r="EV127" s="137">
        <f>IF(DC127="zákl. přenesená",J127,0)</f>
        <v>0</v>
      </c>
      <c r="EW127" s="137">
        <f>IF(DC127="sníž. přenesená",J127,0)</f>
        <v>0</v>
      </c>
      <c r="EX127" s="137">
        <f>IF(DC127="nulová",J127,0)</f>
        <v>0</v>
      </c>
      <c r="EY127" s="16" t="s">
        <v>81</v>
      </c>
      <c r="EZ127" s="137">
        <f>ROUND(I127*H127,2)</f>
        <v>8500.65</v>
      </c>
      <c r="FA127" s="16" t="s">
        <v>95</v>
      </c>
      <c r="FB127" s="136" t="s">
        <v>294</v>
      </c>
    </row>
    <row r="128" spans="2:158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DB128" s="141"/>
      <c r="DI128" s="50"/>
      <c r="EI128" s="16" t="s">
        <v>289</v>
      </c>
      <c r="EJ128" s="16" t="s">
        <v>83</v>
      </c>
    </row>
    <row r="129" spans="2:158" s="1" customFormat="1" ht="24.2" customHeight="1" x14ac:dyDescent="0.2">
      <c r="B129" s="124"/>
      <c r="C129" s="125" t="s">
        <v>90</v>
      </c>
      <c r="D129" s="125" t="s">
        <v>284</v>
      </c>
      <c r="E129" s="126" t="s">
        <v>295</v>
      </c>
      <c r="F129" s="127" t="s">
        <v>296</v>
      </c>
      <c r="G129" s="128" t="s">
        <v>287</v>
      </c>
      <c r="H129" s="129">
        <v>123.61499999999999</v>
      </c>
      <c r="I129" s="130">
        <v>27.886826761540966</v>
      </c>
      <c r="J129" s="131">
        <f>ROUND(I129*H129,2)</f>
        <v>3447.23</v>
      </c>
      <c r="K129" s="127" t="s">
        <v>293</v>
      </c>
      <c r="L129" s="268">
        <f>S129</f>
        <v>0</v>
      </c>
      <c r="M129" s="272">
        <f>ROUND(L129*I129,2)</f>
        <v>0</v>
      </c>
      <c r="N129" s="243">
        <f>N136</f>
        <v>18.312000000000026</v>
      </c>
      <c r="O129" s="294">
        <f>ROUND(N129*I129,2)</f>
        <v>510.66</v>
      </c>
      <c r="P129" s="273">
        <f>H129-L129-N129</f>
        <v>105.30299999999997</v>
      </c>
      <c r="Q129" s="287">
        <f>ROUND(P129*I129,2)</f>
        <v>2936.57</v>
      </c>
      <c r="R129" s="137"/>
      <c r="S129" s="269">
        <f>W129+Y129+AA129+AC129+AE129</f>
        <v>0</v>
      </c>
      <c r="T129" s="269">
        <f>ROUND(S129*I129,2)</f>
        <v>0</v>
      </c>
      <c r="U129" s="269">
        <f>H129-S129</f>
        <v>123.61499999999999</v>
      </c>
      <c r="V129" s="269">
        <f>ROUND(U129*I129,2)</f>
        <v>3447.23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DB129" s="132" t="s">
        <v>1</v>
      </c>
      <c r="DC129" s="133" t="s">
        <v>40</v>
      </c>
      <c r="DE129" s="134">
        <f>DD129*H129</f>
        <v>0</v>
      </c>
      <c r="DF129" s="134">
        <v>0</v>
      </c>
      <c r="DG129" s="134">
        <f>DF129*H129</f>
        <v>0</v>
      </c>
      <c r="DH129" s="134">
        <v>9.8000000000000004E-2</v>
      </c>
      <c r="DI129" s="135">
        <f>DH129*H129</f>
        <v>12.114269999999999</v>
      </c>
      <c r="EG129" s="136" t="s">
        <v>95</v>
      </c>
      <c r="EI129" s="136" t="s">
        <v>284</v>
      </c>
      <c r="EJ129" s="136" t="s">
        <v>83</v>
      </c>
      <c r="EN129" s="16" t="s">
        <v>282</v>
      </c>
      <c r="ET129" s="137">
        <f>IF(DC129="základní",J129,0)</f>
        <v>3447.23</v>
      </c>
      <c r="EU129" s="137">
        <f>IF(DC129="snížená",J129,0)</f>
        <v>0</v>
      </c>
      <c r="EV129" s="137">
        <f>IF(DC129="zákl. přenesená",J129,0)</f>
        <v>0</v>
      </c>
      <c r="EW129" s="137">
        <f>IF(DC129="sníž. přenesená",J129,0)</f>
        <v>0</v>
      </c>
      <c r="EX129" s="137">
        <f>IF(DC129="nulová",J129,0)</f>
        <v>0</v>
      </c>
      <c r="EY129" s="16" t="s">
        <v>81</v>
      </c>
      <c r="EZ129" s="137">
        <f>ROUND(I129*H129,2)</f>
        <v>3447.23</v>
      </c>
      <c r="FA129" s="16" t="s">
        <v>95</v>
      </c>
      <c r="FB129" s="136" t="s">
        <v>297</v>
      </c>
    </row>
    <row r="130" spans="2:158" s="1" customFormat="1" ht="29.25" x14ac:dyDescent="0.2">
      <c r="B130" s="31"/>
      <c r="D130" s="138" t="s">
        <v>289</v>
      </c>
      <c r="F130" s="139" t="s">
        <v>298</v>
      </c>
      <c r="I130" s="140"/>
      <c r="L130" s="31"/>
      <c r="N130" s="213"/>
      <c r="O130" s="214"/>
      <c r="Q130" s="229"/>
      <c r="DB130" s="141"/>
      <c r="DI130" s="50"/>
      <c r="EI130" s="16" t="s">
        <v>289</v>
      </c>
      <c r="EJ130" s="16" t="s">
        <v>83</v>
      </c>
    </row>
    <row r="131" spans="2:158" s="1" customFormat="1" ht="29.25" x14ac:dyDescent="0.2">
      <c r="B131" s="31"/>
      <c r="D131" s="138" t="s">
        <v>299</v>
      </c>
      <c r="F131" s="142" t="s">
        <v>1574</v>
      </c>
      <c r="I131" s="140"/>
      <c r="L131" s="31"/>
      <c r="N131" s="213"/>
      <c r="O131" s="214"/>
      <c r="Q131" s="229"/>
      <c r="DB131" s="141"/>
      <c r="DI131" s="50"/>
      <c r="EI131" s="16" t="s">
        <v>299</v>
      </c>
      <c r="EJ131" s="16" t="s">
        <v>83</v>
      </c>
    </row>
    <row r="132" spans="2:158" s="11" customFormat="1" x14ac:dyDescent="0.2">
      <c r="B132" s="143"/>
      <c r="D132" s="138" t="s">
        <v>301</v>
      </c>
      <c r="E132" s="144" t="s">
        <v>1</v>
      </c>
      <c r="F132" s="145" t="s">
        <v>302</v>
      </c>
      <c r="H132" s="144" t="s">
        <v>1</v>
      </c>
      <c r="I132" s="146"/>
      <c r="L132" s="143"/>
      <c r="N132" s="215"/>
      <c r="O132" s="216"/>
      <c r="Q132" s="230"/>
      <c r="DB132" s="147"/>
      <c r="DI132" s="148"/>
      <c r="EI132" s="144" t="s">
        <v>301</v>
      </c>
      <c r="EJ132" s="144" t="s">
        <v>83</v>
      </c>
      <c r="EK132" s="11" t="s">
        <v>81</v>
      </c>
      <c r="EL132" s="11" t="s">
        <v>32</v>
      </c>
      <c r="EM132" s="11" t="s">
        <v>74</v>
      </c>
      <c r="EN132" s="144" t="s">
        <v>282</v>
      </c>
    </row>
    <row r="133" spans="2:158" s="12" customFormat="1" x14ac:dyDescent="0.2">
      <c r="B133" s="149"/>
      <c r="D133" s="138" t="s">
        <v>301</v>
      </c>
      <c r="E133" s="150" t="s">
        <v>1</v>
      </c>
      <c r="F133" s="151" t="s">
        <v>1575</v>
      </c>
      <c r="H133" s="152">
        <v>110.25</v>
      </c>
      <c r="I133" s="153"/>
      <c r="L133" s="149"/>
      <c r="N133" s="217">
        <f>122.44*1.05</f>
        <v>128.56200000000001</v>
      </c>
      <c r="O133" s="359" t="s">
        <v>3507</v>
      </c>
      <c r="Q133" s="231"/>
      <c r="DB133" s="154"/>
      <c r="DI133" s="155"/>
      <c r="EI133" s="150" t="s">
        <v>301</v>
      </c>
      <c r="EJ133" s="150" t="s">
        <v>83</v>
      </c>
      <c r="EK133" s="12" t="s">
        <v>83</v>
      </c>
      <c r="EL133" s="12" t="s">
        <v>32</v>
      </c>
      <c r="EM133" s="12" t="s">
        <v>74</v>
      </c>
      <c r="EN133" s="150" t="s">
        <v>282</v>
      </c>
    </row>
    <row r="134" spans="2:158" s="12" customFormat="1" x14ac:dyDescent="0.2">
      <c r="B134" s="149"/>
      <c r="D134" s="138" t="s">
        <v>301</v>
      </c>
      <c r="E134" s="150" t="s">
        <v>1</v>
      </c>
      <c r="F134" s="151" t="s">
        <v>736</v>
      </c>
      <c r="H134" s="152">
        <v>13.365</v>
      </c>
      <c r="I134" s="153"/>
      <c r="L134" s="149"/>
      <c r="N134" s="310">
        <f>H134</f>
        <v>13.365</v>
      </c>
      <c r="O134" s="218"/>
      <c r="Q134" s="231"/>
      <c r="DB134" s="154"/>
      <c r="DI134" s="155"/>
      <c r="EI134" s="150" t="s">
        <v>301</v>
      </c>
      <c r="EJ134" s="150" t="s">
        <v>83</v>
      </c>
      <c r="EK134" s="12" t="s">
        <v>83</v>
      </c>
      <c r="EL134" s="12" t="s">
        <v>32</v>
      </c>
      <c r="EM134" s="12" t="s">
        <v>74</v>
      </c>
      <c r="EN134" s="150" t="s">
        <v>282</v>
      </c>
    </row>
    <row r="135" spans="2:158" s="13" customFormat="1" x14ac:dyDescent="0.2">
      <c r="B135" s="156"/>
      <c r="D135" s="138" t="s">
        <v>301</v>
      </c>
      <c r="E135" s="157" t="s">
        <v>1</v>
      </c>
      <c r="F135" s="158" t="s">
        <v>305</v>
      </c>
      <c r="H135" s="159">
        <v>123.61499999999999</v>
      </c>
      <c r="I135" s="160"/>
      <c r="L135" s="156"/>
      <c r="N135" s="219">
        <f>SUM(N133:N134)</f>
        <v>141.92700000000002</v>
      </c>
      <c r="O135" s="220"/>
      <c r="Q135" s="232"/>
      <c r="DB135" s="161"/>
      <c r="DI135" s="162"/>
      <c r="EI135" s="157" t="s">
        <v>301</v>
      </c>
      <c r="EJ135" s="157" t="s">
        <v>83</v>
      </c>
      <c r="EK135" s="13" t="s">
        <v>95</v>
      </c>
      <c r="EL135" s="13" t="s">
        <v>32</v>
      </c>
      <c r="EM135" s="13" t="s">
        <v>81</v>
      </c>
      <c r="EN135" s="157" t="s">
        <v>282</v>
      </c>
    </row>
    <row r="136" spans="2:158" s="13" customFormat="1" x14ac:dyDescent="0.2">
      <c r="B136" s="156"/>
      <c r="D136" s="138"/>
      <c r="E136" s="157"/>
      <c r="F136" s="158"/>
      <c r="H136" s="159"/>
      <c r="I136" s="160"/>
      <c r="L136" s="156"/>
      <c r="N136" s="311">
        <f>N135-H135</f>
        <v>18.312000000000026</v>
      </c>
      <c r="O136" s="220"/>
      <c r="Q136" s="232"/>
      <c r="DB136" s="161"/>
      <c r="DI136" s="162"/>
      <c r="EI136" s="157"/>
      <c r="EJ136" s="157"/>
      <c r="EN136" s="157"/>
    </row>
    <row r="137" spans="2:158" s="1" customFormat="1" ht="24.2" customHeight="1" x14ac:dyDescent="0.2">
      <c r="B137" s="124"/>
      <c r="C137" s="125" t="s">
        <v>95</v>
      </c>
      <c r="D137" s="125" t="s">
        <v>284</v>
      </c>
      <c r="E137" s="126" t="s">
        <v>306</v>
      </c>
      <c r="F137" s="127" t="s">
        <v>307</v>
      </c>
      <c r="G137" s="128" t="s">
        <v>287</v>
      </c>
      <c r="H137" s="129">
        <v>420</v>
      </c>
      <c r="I137" s="130">
        <v>55.314624729404002</v>
      </c>
      <c r="J137" s="131">
        <f>ROUND(I137*H137,2)</f>
        <v>23232.14</v>
      </c>
      <c r="K137" s="127" t="s">
        <v>293</v>
      </c>
      <c r="L137" s="268">
        <f>S137</f>
        <v>0</v>
      </c>
      <c r="M137" s="272">
        <f>ROUND(L137*I137,2)</f>
        <v>0</v>
      </c>
      <c r="N137" s="243">
        <f>N142</f>
        <v>69.759999999999991</v>
      </c>
      <c r="O137" s="294">
        <f>ROUND(N137*I137,2)</f>
        <v>3858.75</v>
      </c>
      <c r="P137" s="273">
        <f>H137-L137-N137</f>
        <v>350.24</v>
      </c>
      <c r="Q137" s="287">
        <f>ROUND(P137*I137,2)</f>
        <v>19373.39</v>
      </c>
      <c r="R137" s="137"/>
      <c r="S137" s="269">
        <f>W137+Y137+AA137+AC137+AE137</f>
        <v>0</v>
      </c>
      <c r="T137" s="269">
        <f>ROUND(S137*I137,2)</f>
        <v>0</v>
      </c>
      <c r="U137" s="269">
        <f>H137-S137</f>
        <v>420</v>
      </c>
      <c r="V137" s="269">
        <f>ROUND(U137*I137,2)</f>
        <v>23232.14</v>
      </c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DB137" s="132" t="s">
        <v>1</v>
      </c>
      <c r="DC137" s="133" t="s">
        <v>40</v>
      </c>
      <c r="DE137" s="134">
        <f>DD137*H137</f>
        <v>0</v>
      </c>
      <c r="DF137" s="134">
        <v>6.9999999999999994E-5</v>
      </c>
      <c r="DG137" s="134">
        <f>DF137*H137</f>
        <v>2.9399999999999999E-2</v>
      </c>
      <c r="DH137" s="134">
        <v>0.115</v>
      </c>
      <c r="DI137" s="135">
        <f>DH137*H137</f>
        <v>48.300000000000004</v>
      </c>
      <c r="EG137" s="136" t="s">
        <v>95</v>
      </c>
      <c r="EI137" s="136" t="s">
        <v>284</v>
      </c>
      <c r="EJ137" s="136" t="s">
        <v>83</v>
      </c>
      <c r="EN137" s="16" t="s">
        <v>282</v>
      </c>
      <c r="ET137" s="137">
        <f>IF(DC137="základní",J137,0)</f>
        <v>23232.14</v>
      </c>
      <c r="EU137" s="137">
        <f>IF(DC137="snížená",J137,0)</f>
        <v>0</v>
      </c>
      <c r="EV137" s="137">
        <f>IF(DC137="zákl. přenesená",J137,0)</f>
        <v>0</v>
      </c>
      <c r="EW137" s="137">
        <f>IF(DC137="sníž. přenesená",J137,0)</f>
        <v>0</v>
      </c>
      <c r="EX137" s="137">
        <f>IF(DC137="nulová",J137,0)</f>
        <v>0</v>
      </c>
      <c r="EY137" s="16" t="s">
        <v>81</v>
      </c>
      <c r="EZ137" s="137">
        <f>ROUND(I137*H137,2)</f>
        <v>23232.14</v>
      </c>
      <c r="FA137" s="16" t="s">
        <v>95</v>
      </c>
      <c r="FB137" s="136" t="s">
        <v>308</v>
      </c>
    </row>
    <row r="138" spans="2:158" s="1" customFormat="1" ht="29.25" x14ac:dyDescent="0.2">
      <c r="B138" s="31"/>
      <c r="D138" s="138" t="s">
        <v>289</v>
      </c>
      <c r="F138" s="139" t="s">
        <v>309</v>
      </c>
      <c r="I138" s="140"/>
      <c r="L138" s="31"/>
      <c r="N138" s="213"/>
      <c r="O138" s="214"/>
      <c r="Q138" s="229"/>
      <c r="DB138" s="141"/>
      <c r="DI138" s="50"/>
      <c r="EI138" s="16" t="s">
        <v>289</v>
      </c>
      <c r="EJ138" s="16" t="s">
        <v>83</v>
      </c>
    </row>
    <row r="139" spans="2:158" s="1" customFormat="1" ht="29.25" x14ac:dyDescent="0.2">
      <c r="B139" s="31"/>
      <c r="D139" s="138" t="s">
        <v>299</v>
      </c>
      <c r="F139" s="142" t="s">
        <v>1574</v>
      </c>
      <c r="I139" s="140"/>
      <c r="L139" s="31"/>
      <c r="N139" s="213"/>
      <c r="O139" s="214"/>
      <c r="Q139" s="229"/>
      <c r="DB139" s="141"/>
      <c r="DI139" s="50"/>
      <c r="EI139" s="16" t="s">
        <v>299</v>
      </c>
      <c r="EJ139" s="16" t="s">
        <v>83</v>
      </c>
    </row>
    <row r="140" spans="2:158" s="11" customFormat="1" x14ac:dyDescent="0.2">
      <c r="B140" s="143"/>
      <c r="D140" s="138" t="s">
        <v>301</v>
      </c>
      <c r="E140" s="144" t="s">
        <v>1</v>
      </c>
      <c r="F140" s="145" t="s">
        <v>310</v>
      </c>
      <c r="H140" s="144" t="s">
        <v>1</v>
      </c>
      <c r="I140" s="146"/>
      <c r="L140" s="143"/>
      <c r="N140" s="215"/>
      <c r="O140" s="216"/>
      <c r="Q140" s="230"/>
      <c r="DB140" s="147"/>
      <c r="DI140" s="148"/>
      <c r="EI140" s="144" t="s">
        <v>301</v>
      </c>
      <c r="EJ140" s="144" t="s">
        <v>83</v>
      </c>
      <c r="EK140" s="11" t="s">
        <v>81</v>
      </c>
      <c r="EL140" s="11" t="s">
        <v>32</v>
      </c>
      <c r="EM140" s="11" t="s">
        <v>74</v>
      </c>
      <c r="EN140" s="144" t="s">
        <v>282</v>
      </c>
    </row>
    <row r="141" spans="2:158" s="12" customFormat="1" x14ac:dyDescent="0.2">
      <c r="B141" s="149"/>
      <c r="D141" s="138" t="s">
        <v>301</v>
      </c>
      <c r="E141" s="150" t="s">
        <v>1</v>
      </c>
      <c r="F141" s="151" t="s">
        <v>1576</v>
      </c>
      <c r="H141" s="152">
        <v>420</v>
      </c>
      <c r="I141" s="153"/>
      <c r="L141" s="149"/>
      <c r="N141" s="217">
        <f>122.44*4</f>
        <v>489.76</v>
      </c>
      <c r="O141" s="359" t="s">
        <v>3508</v>
      </c>
      <c r="Q141" s="231"/>
      <c r="DB141" s="154"/>
      <c r="DI141" s="155"/>
      <c r="EI141" s="150" t="s">
        <v>301</v>
      </c>
      <c r="EJ141" s="150" t="s">
        <v>83</v>
      </c>
      <c r="EK141" s="12" t="s">
        <v>83</v>
      </c>
      <c r="EL141" s="12" t="s">
        <v>32</v>
      </c>
      <c r="EM141" s="12" t="s">
        <v>81</v>
      </c>
      <c r="EN141" s="150" t="s">
        <v>282</v>
      </c>
    </row>
    <row r="142" spans="2:158" s="12" customFormat="1" x14ac:dyDescent="0.2">
      <c r="B142" s="149"/>
      <c r="D142" s="138"/>
      <c r="E142" s="150"/>
      <c r="F142" s="151"/>
      <c r="H142" s="152"/>
      <c r="I142" s="153"/>
      <c r="L142" s="149"/>
      <c r="N142" s="310">
        <f>N141-H141</f>
        <v>69.759999999999991</v>
      </c>
      <c r="O142" s="359"/>
      <c r="Q142" s="231"/>
      <c r="DB142" s="154"/>
      <c r="DI142" s="155"/>
      <c r="EI142" s="150"/>
      <c r="EJ142" s="150"/>
      <c r="EN142" s="150"/>
    </row>
    <row r="143" spans="2:158" s="1" customFormat="1" ht="24.2" customHeight="1" x14ac:dyDescent="0.2">
      <c r="B143" s="124"/>
      <c r="C143" s="125" t="s">
        <v>312</v>
      </c>
      <c r="D143" s="125" t="s">
        <v>284</v>
      </c>
      <c r="E143" s="126" t="s">
        <v>313</v>
      </c>
      <c r="F143" s="127" t="s">
        <v>314</v>
      </c>
      <c r="G143" s="128" t="s">
        <v>315</v>
      </c>
      <c r="H143" s="129">
        <v>1</v>
      </c>
      <c r="I143" s="130">
        <v>3788.8627999999999</v>
      </c>
      <c r="J143" s="131">
        <f>ROUND(I143*H143,2)</f>
        <v>3788.86</v>
      </c>
      <c r="K143" s="127" t="s">
        <v>1</v>
      </c>
      <c r="L143" s="268">
        <f>S143</f>
        <v>0</v>
      </c>
      <c r="M143" s="272">
        <f>ROUND(L143*I143,2)</f>
        <v>0</v>
      </c>
      <c r="N143" s="243"/>
      <c r="O143" s="294">
        <f>ROUND(N143*I143,2)</f>
        <v>0</v>
      </c>
      <c r="P143" s="273">
        <f>H143-L143-N143</f>
        <v>1</v>
      </c>
      <c r="Q143" s="287">
        <f>ROUND(P143*I143,2)</f>
        <v>3788.86</v>
      </c>
      <c r="R143" s="137"/>
      <c r="S143" s="269">
        <f>W143+Y143+AA143+AC143+AE143</f>
        <v>0</v>
      </c>
      <c r="T143" s="269">
        <f>ROUND(S143*I143,2)</f>
        <v>0</v>
      </c>
      <c r="U143" s="269">
        <f>H143-S143</f>
        <v>1</v>
      </c>
      <c r="V143" s="269">
        <f>ROUND(U143*I143,2)</f>
        <v>3788.86</v>
      </c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DB143" s="132" t="s">
        <v>1</v>
      </c>
      <c r="DC143" s="133" t="s">
        <v>40</v>
      </c>
      <c r="DE143" s="134">
        <f>DD143*H143</f>
        <v>0</v>
      </c>
      <c r="DF143" s="134">
        <v>0</v>
      </c>
      <c r="DG143" s="134">
        <f>DF143*H143</f>
        <v>0</v>
      </c>
      <c r="DH143" s="134">
        <v>0</v>
      </c>
      <c r="DI143" s="135">
        <f>DH143*H143</f>
        <v>0</v>
      </c>
      <c r="EG143" s="136" t="s">
        <v>95</v>
      </c>
      <c r="EI143" s="136" t="s">
        <v>284</v>
      </c>
      <c r="EJ143" s="136" t="s">
        <v>83</v>
      </c>
      <c r="EN143" s="16" t="s">
        <v>282</v>
      </c>
      <c r="ET143" s="137">
        <f>IF(DC143="základní",J143,0)</f>
        <v>3788.86</v>
      </c>
      <c r="EU143" s="137">
        <f>IF(DC143="snížená",J143,0)</f>
        <v>0</v>
      </c>
      <c r="EV143" s="137">
        <f>IF(DC143="zákl. přenesená",J143,0)</f>
        <v>0</v>
      </c>
      <c r="EW143" s="137">
        <f>IF(DC143="sníž. přenesená",J143,0)</f>
        <v>0</v>
      </c>
      <c r="EX143" s="137">
        <f>IF(DC143="nulová",J143,0)</f>
        <v>0</v>
      </c>
      <c r="EY143" s="16" t="s">
        <v>81</v>
      </c>
      <c r="EZ143" s="137">
        <f>ROUND(I143*H143,2)</f>
        <v>3788.86</v>
      </c>
      <c r="FA143" s="16" t="s">
        <v>95</v>
      </c>
      <c r="FB143" s="136" t="s">
        <v>316</v>
      </c>
    </row>
    <row r="144" spans="2:158" s="1" customFormat="1" ht="19.5" x14ac:dyDescent="0.2">
      <c r="B144" s="31"/>
      <c r="D144" s="138" t="s">
        <v>289</v>
      </c>
      <c r="F144" s="139" t="s">
        <v>314</v>
      </c>
      <c r="I144" s="140"/>
      <c r="L144" s="31"/>
      <c r="N144" s="213"/>
      <c r="O144" s="214"/>
      <c r="Q144" s="229"/>
      <c r="DB144" s="141"/>
      <c r="DI144" s="50"/>
      <c r="EI144" s="16" t="s">
        <v>289</v>
      </c>
      <c r="EJ144" s="16" t="s">
        <v>83</v>
      </c>
    </row>
    <row r="145" spans="2:158" s="1" customFormat="1" ht="19.5" x14ac:dyDescent="0.2">
      <c r="B145" s="31"/>
      <c r="D145" s="138" t="s">
        <v>299</v>
      </c>
      <c r="F145" s="142" t="s">
        <v>317</v>
      </c>
      <c r="I145" s="140"/>
      <c r="L145" s="31"/>
      <c r="N145" s="213"/>
      <c r="O145" s="214"/>
      <c r="Q145" s="229"/>
      <c r="DB145" s="141"/>
      <c r="DI145" s="50"/>
      <c r="EI145" s="16" t="s">
        <v>299</v>
      </c>
      <c r="EJ145" s="16" t="s">
        <v>83</v>
      </c>
    </row>
    <row r="146" spans="2:158" s="12" customFormat="1" x14ac:dyDescent="0.2">
      <c r="B146" s="149"/>
      <c r="D146" s="138" t="s">
        <v>301</v>
      </c>
      <c r="E146" s="150" t="s">
        <v>1</v>
      </c>
      <c r="F146" s="151" t="s">
        <v>81</v>
      </c>
      <c r="H146" s="152">
        <v>1</v>
      </c>
      <c r="I146" s="153"/>
      <c r="L146" s="149"/>
      <c r="N146" s="217"/>
      <c r="O146" s="218"/>
      <c r="Q146" s="231"/>
      <c r="DB146" s="154"/>
      <c r="DI146" s="155"/>
      <c r="EI146" s="150" t="s">
        <v>301</v>
      </c>
      <c r="EJ146" s="150" t="s">
        <v>83</v>
      </c>
      <c r="EK146" s="12" t="s">
        <v>83</v>
      </c>
      <c r="EL146" s="12" t="s">
        <v>32</v>
      </c>
      <c r="EM146" s="12" t="s">
        <v>81</v>
      </c>
      <c r="EN146" s="150" t="s">
        <v>282</v>
      </c>
    </row>
    <row r="147" spans="2:158" s="1" customFormat="1" ht="24.2" customHeight="1" x14ac:dyDescent="0.2">
      <c r="B147" s="124"/>
      <c r="C147" s="125" t="s">
        <v>318</v>
      </c>
      <c r="D147" s="125" t="s">
        <v>284</v>
      </c>
      <c r="E147" s="126" t="s">
        <v>324</v>
      </c>
      <c r="F147" s="127" t="s">
        <v>325</v>
      </c>
      <c r="G147" s="128" t="s">
        <v>315</v>
      </c>
      <c r="H147" s="129">
        <v>2</v>
      </c>
      <c r="I147" s="130">
        <v>1847.0706150000001</v>
      </c>
      <c r="J147" s="131">
        <f>ROUND(I147*H147,2)</f>
        <v>3694.14</v>
      </c>
      <c r="K147" s="127" t="s">
        <v>1</v>
      </c>
      <c r="L147" s="268">
        <f>S147</f>
        <v>0</v>
      </c>
      <c r="M147" s="272">
        <f>ROUND(L147*I147,2)</f>
        <v>0</v>
      </c>
      <c r="N147" s="243"/>
      <c r="O147" s="294">
        <f>ROUND(N147*I147,2)</f>
        <v>0</v>
      </c>
      <c r="P147" s="273">
        <f>H147-L147-N147</f>
        <v>2</v>
      </c>
      <c r="Q147" s="287">
        <f>ROUND(P147*I147,2)</f>
        <v>3694.14</v>
      </c>
      <c r="R147" s="137"/>
      <c r="S147" s="269">
        <f>W147+Y147+AA147+AC147+AE147</f>
        <v>0</v>
      </c>
      <c r="T147" s="269">
        <f>ROUND(S147*I147,2)</f>
        <v>0</v>
      </c>
      <c r="U147" s="269">
        <f>H147-S147</f>
        <v>2</v>
      </c>
      <c r="V147" s="269">
        <f>ROUND(U147*I147,2)</f>
        <v>3694.14</v>
      </c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DB147" s="132" t="s">
        <v>1</v>
      </c>
      <c r="DC147" s="133" t="s">
        <v>40</v>
      </c>
      <c r="DE147" s="134">
        <f>DD147*H147</f>
        <v>0</v>
      </c>
      <c r="DF147" s="134">
        <v>0</v>
      </c>
      <c r="DG147" s="134">
        <f>DF147*H147</f>
        <v>0</v>
      </c>
      <c r="DH147" s="134">
        <v>0</v>
      </c>
      <c r="DI147" s="135">
        <f>DH147*H147</f>
        <v>0</v>
      </c>
      <c r="EG147" s="136" t="s">
        <v>95</v>
      </c>
      <c r="EI147" s="136" t="s">
        <v>284</v>
      </c>
      <c r="EJ147" s="136" t="s">
        <v>83</v>
      </c>
      <c r="EN147" s="16" t="s">
        <v>282</v>
      </c>
      <c r="ET147" s="137">
        <f>IF(DC147="základní",J147,0)</f>
        <v>3694.14</v>
      </c>
      <c r="EU147" s="137">
        <f>IF(DC147="snížená",J147,0)</f>
        <v>0</v>
      </c>
      <c r="EV147" s="137">
        <f>IF(DC147="zákl. přenesená",J147,0)</f>
        <v>0</v>
      </c>
      <c r="EW147" s="137">
        <f>IF(DC147="sníž. přenesená",J147,0)</f>
        <v>0</v>
      </c>
      <c r="EX147" s="137">
        <f>IF(DC147="nulová",J147,0)</f>
        <v>0</v>
      </c>
      <c r="EY147" s="16" t="s">
        <v>81</v>
      </c>
      <c r="EZ147" s="137">
        <f>ROUND(I147*H147,2)</f>
        <v>3694.14</v>
      </c>
      <c r="FA147" s="16" t="s">
        <v>95</v>
      </c>
      <c r="FB147" s="136" t="s">
        <v>326</v>
      </c>
    </row>
    <row r="148" spans="2:158" s="1" customFormat="1" ht="19.5" x14ac:dyDescent="0.2">
      <c r="B148" s="31"/>
      <c r="D148" s="138" t="s">
        <v>289</v>
      </c>
      <c r="F148" s="139" t="s">
        <v>325</v>
      </c>
      <c r="I148" s="140"/>
      <c r="L148" s="31"/>
      <c r="N148" s="213"/>
      <c r="O148" s="214"/>
      <c r="Q148" s="229"/>
      <c r="DB148" s="141"/>
      <c r="DI148" s="50"/>
      <c r="EI148" s="16" t="s">
        <v>289</v>
      </c>
      <c r="EJ148" s="16" t="s">
        <v>83</v>
      </c>
    </row>
    <row r="149" spans="2:158" s="1" customFormat="1" ht="19.5" x14ac:dyDescent="0.2">
      <c r="B149" s="31"/>
      <c r="D149" s="138" t="s">
        <v>299</v>
      </c>
      <c r="F149" s="142" t="s">
        <v>317</v>
      </c>
      <c r="I149" s="140"/>
      <c r="L149" s="31"/>
      <c r="N149" s="213"/>
      <c r="O149" s="214"/>
      <c r="Q149" s="229"/>
      <c r="DB149" s="141"/>
      <c r="DI149" s="50"/>
      <c r="EI149" s="16" t="s">
        <v>299</v>
      </c>
      <c r="EJ149" s="16" t="s">
        <v>83</v>
      </c>
    </row>
    <row r="150" spans="2:158" s="12" customFormat="1" x14ac:dyDescent="0.2">
      <c r="B150" s="149"/>
      <c r="D150" s="138" t="s">
        <v>301</v>
      </c>
      <c r="E150" s="150" t="s">
        <v>1</v>
      </c>
      <c r="F150" s="151" t="s">
        <v>83</v>
      </c>
      <c r="H150" s="152">
        <v>2</v>
      </c>
      <c r="I150" s="153"/>
      <c r="L150" s="149"/>
      <c r="N150" s="217"/>
      <c r="O150" s="218"/>
      <c r="Q150" s="231"/>
      <c r="DB150" s="154"/>
      <c r="DI150" s="155"/>
      <c r="EI150" s="150" t="s">
        <v>301</v>
      </c>
      <c r="EJ150" s="150" t="s">
        <v>83</v>
      </c>
      <c r="EK150" s="12" t="s">
        <v>83</v>
      </c>
      <c r="EL150" s="12" t="s">
        <v>32</v>
      </c>
      <c r="EM150" s="12" t="s">
        <v>81</v>
      </c>
      <c r="EN150" s="150" t="s">
        <v>282</v>
      </c>
    </row>
    <row r="151" spans="2:158" s="1" customFormat="1" ht="24.2" customHeight="1" x14ac:dyDescent="0.2">
      <c r="B151" s="124"/>
      <c r="C151" s="125" t="s">
        <v>323</v>
      </c>
      <c r="D151" s="125" t="s">
        <v>284</v>
      </c>
      <c r="E151" s="126" t="s">
        <v>329</v>
      </c>
      <c r="F151" s="127" t="s">
        <v>330</v>
      </c>
      <c r="G151" s="128" t="s">
        <v>331</v>
      </c>
      <c r="H151" s="129">
        <v>240</v>
      </c>
      <c r="I151" s="130">
        <v>70.957591385341729</v>
      </c>
      <c r="J151" s="131">
        <f>ROUND(I151*H151,2)</f>
        <v>17029.82</v>
      </c>
      <c r="K151" s="127" t="s">
        <v>293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240</v>
      </c>
      <c r="Q151" s="287">
        <f>ROUND(P151*I151,2)</f>
        <v>17029.82</v>
      </c>
      <c r="R151" s="137"/>
      <c r="S151" s="269">
        <f>W151+Y151+AA151+AC151+AE151</f>
        <v>0</v>
      </c>
      <c r="T151" s="269">
        <f>ROUND(S151*I151,2)</f>
        <v>0</v>
      </c>
      <c r="U151" s="269">
        <f>H151-S151</f>
        <v>240</v>
      </c>
      <c r="V151" s="269">
        <f>ROUND(U151*I151,2)</f>
        <v>17029.82</v>
      </c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DB151" s="132" t="s">
        <v>1</v>
      </c>
      <c r="DC151" s="133" t="s">
        <v>40</v>
      </c>
      <c r="DE151" s="134">
        <f>DD151*H151</f>
        <v>0</v>
      </c>
      <c r="DF151" s="134">
        <v>3.0000000000000001E-5</v>
      </c>
      <c r="DG151" s="134">
        <f>DF151*H151</f>
        <v>7.1999999999999998E-3</v>
      </c>
      <c r="DH151" s="134">
        <v>0</v>
      </c>
      <c r="DI151" s="135">
        <f>DH151*H151</f>
        <v>0</v>
      </c>
      <c r="EG151" s="136" t="s">
        <v>95</v>
      </c>
      <c r="EI151" s="136" t="s">
        <v>284</v>
      </c>
      <c r="EJ151" s="136" t="s">
        <v>83</v>
      </c>
      <c r="EN151" s="16" t="s">
        <v>282</v>
      </c>
      <c r="ET151" s="137">
        <f>IF(DC151="základní",J151,0)</f>
        <v>17029.82</v>
      </c>
      <c r="EU151" s="137">
        <f>IF(DC151="snížená",J151,0)</f>
        <v>0</v>
      </c>
      <c r="EV151" s="137">
        <f>IF(DC151="zákl. přenesená",J151,0)</f>
        <v>0</v>
      </c>
      <c r="EW151" s="137">
        <f>IF(DC151="sníž. přenesená",J151,0)</f>
        <v>0</v>
      </c>
      <c r="EX151" s="137">
        <f>IF(DC151="nulová",J151,0)</f>
        <v>0</v>
      </c>
      <c r="EY151" s="16" t="s">
        <v>81</v>
      </c>
      <c r="EZ151" s="137">
        <f>ROUND(I151*H151,2)</f>
        <v>17029.82</v>
      </c>
      <c r="FA151" s="16" t="s">
        <v>95</v>
      </c>
      <c r="FB151" s="136" t="s">
        <v>332</v>
      </c>
    </row>
    <row r="152" spans="2:158" s="1" customFormat="1" ht="19.5" x14ac:dyDescent="0.2">
      <c r="B152" s="31"/>
      <c r="D152" s="138" t="s">
        <v>289</v>
      </c>
      <c r="F152" s="139" t="s">
        <v>333</v>
      </c>
      <c r="I152" s="140"/>
      <c r="L152" s="31"/>
      <c r="N152" s="213"/>
      <c r="O152" s="214"/>
      <c r="Q152" s="229"/>
      <c r="DB152" s="141"/>
      <c r="DI152" s="50"/>
      <c r="EI152" s="16" t="s">
        <v>289</v>
      </c>
      <c r="EJ152" s="16" t="s">
        <v>83</v>
      </c>
    </row>
    <row r="153" spans="2:158" s="12" customFormat="1" x14ac:dyDescent="0.2">
      <c r="B153" s="149"/>
      <c r="D153" s="138" t="s">
        <v>301</v>
      </c>
      <c r="E153" s="150" t="s">
        <v>1</v>
      </c>
      <c r="F153" s="151" t="s">
        <v>738</v>
      </c>
      <c r="H153" s="152">
        <v>240</v>
      </c>
      <c r="I153" s="153"/>
      <c r="L153" s="149"/>
      <c r="N153" s="217"/>
      <c r="O153" s="218"/>
      <c r="Q153" s="231"/>
      <c r="DB153" s="154"/>
      <c r="DI153" s="155"/>
      <c r="EI153" s="150" t="s">
        <v>301</v>
      </c>
      <c r="EJ153" s="150" t="s">
        <v>83</v>
      </c>
      <c r="EK153" s="12" t="s">
        <v>83</v>
      </c>
      <c r="EL153" s="12" t="s">
        <v>32</v>
      </c>
      <c r="EM153" s="12" t="s">
        <v>81</v>
      </c>
      <c r="EN153" s="150" t="s">
        <v>282</v>
      </c>
    </row>
    <row r="154" spans="2:158" s="1" customFormat="1" ht="24.2" customHeight="1" x14ac:dyDescent="0.2">
      <c r="B154" s="124"/>
      <c r="C154" s="125" t="s">
        <v>328</v>
      </c>
      <c r="D154" s="125" t="s">
        <v>284</v>
      </c>
      <c r="E154" s="126" t="s">
        <v>336</v>
      </c>
      <c r="F154" s="127" t="s">
        <v>337</v>
      </c>
      <c r="G154" s="128" t="s">
        <v>338</v>
      </c>
      <c r="H154" s="129">
        <v>30</v>
      </c>
      <c r="I154" s="130">
        <v>41.621835247115101</v>
      </c>
      <c r="J154" s="131">
        <f>ROUND(I154*H154,2)</f>
        <v>1248.6600000000001</v>
      </c>
      <c r="K154" s="127" t="s">
        <v>293</v>
      </c>
      <c r="L154" s="268">
        <f>S154</f>
        <v>0</v>
      </c>
      <c r="M154" s="272">
        <f>ROUND(L154*I154,2)</f>
        <v>0</v>
      </c>
      <c r="N154" s="243"/>
      <c r="O154" s="294">
        <f>ROUND(N154*I154,2)</f>
        <v>0</v>
      </c>
      <c r="P154" s="273">
        <f>H154-L154-N154</f>
        <v>30</v>
      </c>
      <c r="Q154" s="287">
        <f>ROUND(P154*I154,2)</f>
        <v>1248.6600000000001</v>
      </c>
      <c r="R154" s="137"/>
      <c r="S154" s="269">
        <f>W154+Y154+AA154+AC154+AE154</f>
        <v>0</v>
      </c>
      <c r="T154" s="269">
        <f>ROUND(S154*I154,2)</f>
        <v>0</v>
      </c>
      <c r="U154" s="269">
        <f>H154-S154</f>
        <v>30</v>
      </c>
      <c r="V154" s="269">
        <f>ROUND(U154*I154,2)</f>
        <v>1248.6600000000001</v>
      </c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DB154" s="132" t="s">
        <v>1</v>
      </c>
      <c r="DC154" s="133" t="s">
        <v>40</v>
      </c>
      <c r="DE154" s="134">
        <f>DD154*H154</f>
        <v>0</v>
      </c>
      <c r="DF154" s="134">
        <v>0</v>
      </c>
      <c r="DG154" s="134">
        <f>DF154*H154</f>
        <v>0</v>
      </c>
      <c r="DH154" s="134">
        <v>0</v>
      </c>
      <c r="DI154" s="135">
        <f>DH154*H154</f>
        <v>0</v>
      </c>
      <c r="EG154" s="136" t="s">
        <v>95</v>
      </c>
      <c r="EI154" s="136" t="s">
        <v>284</v>
      </c>
      <c r="EJ154" s="136" t="s">
        <v>83</v>
      </c>
      <c r="EN154" s="16" t="s">
        <v>282</v>
      </c>
      <c r="ET154" s="137">
        <f>IF(DC154="základní",J154,0)</f>
        <v>1248.6600000000001</v>
      </c>
      <c r="EU154" s="137">
        <f>IF(DC154="snížená",J154,0)</f>
        <v>0</v>
      </c>
      <c r="EV154" s="137">
        <f>IF(DC154="zákl. přenesená",J154,0)</f>
        <v>0</v>
      </c>
      <c r="EW154" s="137">
        <f>IF(DC154="sníž. přenesená",J154,0)</f>
        <v>0</v>
      </c>
      <c r="EX154" s="137">
        <f>IF(DC154="nulová",J154,0)</f>
        <v>0</v>
      </c>
      <c r="EY154" s="16" t="s">
        <v>81</v>
      </c>
      <c r="EZ154" s="137">
        <f>ROUND(I154*H154,2)</f>
        <v>1248.6600000000001</v>
      </c>
      <c r="FA154" s="16" t="s">
        <v>95</v>
      </c>
      <c r="FB154" s="136" t="s">
        <v>339</v>
      </c>
    </row>
    <row r="155" spans="2:158" s="1" customFormat="1" ht="19.5" x14ac:dyDescent="0.2">
      <c r="B155" s="31"/>
      <c r="D155" s="138" t="s">
        <v>289</v>
      </c>
      <c r="F155" s="139" t="s">
        <v>340</v>
      </c>
      <c r="I155" s="140"/>
      <c r="L155" s="31"/>
      <c r="N155" s="213"/>
      <c r="O155" s="214"/>
      <c r="Q155" s="229"/>
      <c r="DB155" s="141"/>
      <c r="DI155" s="50"/>
      <c r="EI155" s="16" t="s">
        <v>289</v>
      </c>
      <c r="EJ155" s="16" t="s">
        <v>83</v>
      </c>
    </row>
    <row r="156" spans="2:158" s="1" customFormat="1" ht="14.45" customHeight="1" x14ac:dyDescent="0.2">
      <c r="B156" s="124"/>
      <c r="C156" s="125" t="s">
        <v>335</v>
      </c>
      <c r="D156" s="125" t="s">
        <v>284</v>
      </c>
      <c r="E156" s="126" t="s">
        <v>342</v>
      </c>
      <c r="F156" s="127" t="s">
        <v>343</v>
      </c>
      <c r="G156" s="128" t="s">
        <v>344</v>
      </c>
      <c r="H156" s="129">
        <v>3.15</v>
      </c>
      <c r="I156" s="130">
        <v>235.02024596209694</v>
      </c>
      <c r="J156" s="131">
        <f>ROUND(I156*H156,2)</f>
        <v>740.31</v>
      </c>
      <c r="K156" s="127" t="s">
        <v>293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3.15</v>
      </c>
      <c r="Q156" s="287">
        <f>ROUND(P156*I156,2)</f>
        <v>740.31</v>
      </c>
      <c r="R156" s="137"/>
      <c r="S156" s="269">
        <f>W156+Y156+AA156+AC156+AE156</f>
        <v>0</v>
      </c>
      <c r="T156" s="269">
        <f>ROUND(S156*I156,2)</f>
        <v>0</v>
      </c>
      <c r="U156" s="269">
        <f>H156-S156</f>
        <v>3.15</v>
      </c>
      <c r="V156" s="269">
        <f>ROUND(U156*I156,2)</f>
        <v>740.31</v>
      </c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DB156" s="132" t="s">
        <v>1</v>
      </c>
      <c r="DC156" s="133" t="s">
        <v>40</v>
      </c>
      <c r="DE156" s="134">
        <f>DD156*H156</f>
        <v>0</v>
      </c>
      <c r="DF156" s="134">
        <v>3.6900000000000002E-2</v>
      </c>
      <c r="DG156" s="134">
        <f>DF156*H156</f>
        <v>0.116235</v>
      </c>
      <c r="DH156" s="134">
        <v>0</v>
      </c>
      <c r="DI156" s="135">
        <f>DH156*H156</f>
        <v>0</v>
      </c>
      <c r="EG156" s="136" t="s">
        <v>95</v>
      </c>
      <c r="EI156" s="136" t="s">
        <v>284</v>
      </c>
      <c r="EJ156" s="136" t="s">
        <v>83</v>
      </c>
      <c r="EN156" s="16" t="s">
        <v>282</v>
      </c>
      <c r="ET156" s="137">
        <f>IF(DC156="základní",J156,0)</f>
        <v>740.31</v>
      </c>
      <c r="EU156" s="137">
        <f>IF(DC156="snížená",J156,0)</f>
        <v>0</v>
      </c>
      <c r="EV156" s="137">
        <f>IF(DC156="zákl. přenesená",J156,0)</f>
        <v>0</v>
      </c>
      <c r="EW156" s="137">
        <f>IF(DC156="sníž. přenesená",J156,0)</f>
        <v>0</v>
      </c>
      <c r="EX156" s="137">
        <f>IF(DC156="nulová",J156,0)</f>
        <v>0</v>
      </c>
      <c r="EY156" s="16" t="s">
        <v>81</v>
      </c>
      <c r="EZ156" s="137">
        <f>ROUND(I156*H156,2)</f>
        <v>740.31</v>
      </c>
      <c r="FA156" s="16" t="s">
        <v>95</v>
      </c>
      <c r="FB156" s="136" t="s">
        <v>345</v>
      </c>
    </row>
    <row r="157" spans="2:158" s="1" customFormat="1" ht="58.5" x14ac:dyDescent="0.2">
      <c r="B157" s="31"/>
      <c r="D157" s="138" t="s">
        <v>289</v>
      </c>
      <c r="F157" s="139" t="s">
        <v>346</v>
      </c>
      <c r="I157" s="140"/>
      <c r="L157" s="31"/>
      <c r="N157" s="213"/>
      <c r="O157" s="214"/>
      <c r="Q157" s="229"/>
      <c r="DB157" s="141"/>
      <c r="DI157" s="50"/>
      <c r="EI157" s="16" t="s">
        <v>289</v>
      </c>
      <c r="EJ157" s="16" t="s">
        <v>83</v>
      </c>
    </row>
    <row r="158" spans="2:158" s="1" customFormat="1" ht="29.25" x14ac:dyDescent="0.2">
      <c r="B158" s="31"/>
      <c r="D158" s="138" t="s">
        <v>299</v>
      </c>
      <c r="F158" s="142" t="s">
        <v>1574</v>
      </c>
      <c r="I158" s="140"/>
      <c r="L158" s="31"/>
      <c r="N158" s="213"/>
      <c r="O158" s="214"/>
      <c r="Q158" s="229"/>
      <c r="DB158" s="141"/>
      <c r="DI158" s="50"/>
      <c r="EI158" s="16" t="s">
        <v>299</v>
      </c>
      <c r="EJ158" s="16" t="s">
        <v>83</v>
      </c>
    </row>
    <row r="159" spans="2:158" s="12" customFormat="1" x14ac:dyDescent="0.2">
      <c r="B159" s="149"/>
      <c r="D159" s="138" t="s">
        <v>301</v>
      </c>
      <c r="E159" s="150" t="s">
        <v>1</v>
      </c>
      <c r="F159" s="151" t="s">
        <v>739</v>
      </c>
      <c r="H159" s="152">
        <v>3.15</v>
      </c>
      <c r="I159" s="153"/>
      <c r="L159" s="149"/>
      <c r="N159" s="217"/>
      <c r="O159" s="218"/>
      <c r="Q159" s="231"/>
      <c r="DB159" s="154"/>
      <c r="DI159" s="155"/>
      <c r="EI159" s="150" t="s">
        <v>301</v>
      </c>
      <c r="EJ159" s="150" t="s">
        <v>83</v>
      </c>
      <c r="EK159" s="12" t="s">
        <v>83</v>
      </c>
      <c r="EL159" s="12" t="s">
        <v>32</v>
      </c>
      <c r="EM159" s="12" t="s">
        <v>81</v>
      </c>
      <c r="EN159" s="150" t="s">
        <v>282</v>
      </c>
    </row>
    <row r="160" spans="2:158" s="1" customFormat="1" ht="24.2" customHeight="1" x14ac:dyDescent="0.2">
      <c r="B160" s="124"/>
      <c r="C160" s="125" t="s">
        <v>341</v>
      </c>
      <c r="D160" s="125" t="s">
        <v>284</v>
      </c>
      <c r="E160" s="126" t="s">
        <v>364</v>
      </c>
      <c r="F160" s="127" t="s">
        <v>365</v>
      </c>
      <c r="G160" s="128" t="s">
        <v>366</v>
      </c>
      <c r="H160" s="129">
        <v>141.25399999999999</v>
      </c>
      <c r="I160" s="130">
        <v>285.201942457955</v>
      </c>
      <c r="J160" s="131">
        <f>ROUND(I160*H160,2)</f>
        <v>40285.919999999998</v>
      </c>
      <c r="K160" s="127" t="s">
        <v>293</v>
      </c>
      <c r="L160" s="268">
        <f>S160</f>
        <v>0</v>
      </c>
      <c r="M160" s="272">
        <f>ROUND(L160*I160,2)</f>
        <v>0</v>
      </c>
      <c r="N160" s="243">
        <f>N168</f>
        <v>20.600750000000005</v>
      </c>
      <c r="O160" s="294">
        <f>ROUND(N160*I160,2)</f>
        <v>5875.37</v>
      </c>
      <c r="P160" s="273">
        <f>H160-L160-N160</f>
        <v>120.65324999999999</v>
      </c>
      <c r="Q160" s="287">
        <f>ROUND(P160*I160,2)</f>
        <v>34410.54</v>
      </c>
      <c r="R160" s="137"/>
      <c r="S160" s="269">
        <f>W160+Y160+AA160+AC160+AE160</f>
        <v>0</v>
      </c>
      <c r="T160" s="269">
        <f>ROUND(S160*I160,2)</f>
        <v>0</v>
      </c>
      <c r="U160" s="269">
        <f>H160-S160</f>
        <v>141.25399999999999</v>
      </c>
      <c r="V160" s="269">
        <f>ROUND(U160*I160,2)</f>
        <v>40285.919999999998</v>
      </c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DB160" s="132" t="s">
        <v>1</v>
      </c>
      <c r="DC160" s="133" t="s">
        <v>40</v>
      </c>
      <c r="DE160" s="134">
        <f>DD160*H160</f>
        <v>0</v>
      </c>
      <c r="DF160" s="134">
        <v>0</v>
      </c>
      <c r="DG160" s="134">
        <f>DF160*H160</f>
        <v>0</v>
      </c>
      <c r="DH160" s="134">
        <v>0</v>
      </c>
      <c r="DI160" s="135">
        <f>DH160*H160</f>
        <v>0</v>
      </c>
      <c r="EG160" s="136" t="s">
        <v>95</v>
      </c>
      <c r="EI160" s="136" t="s">
        <v>284</v>
      </c>
      <c r="EJ160" s="136" t="s">
        <v>83</v>
      </c>
      <c r="EN160" s="16" t="s">
        <v>282</v>
      </c>
      <c r="ET160" s="137">
        <f>IF(DC160="základní",J160,0)</f>
        <v>40285.919999999998</v>
      </c>
      <c r="EU160" s="137">
        <f>IF(DC160="snížená",J160,0)</f>
        <v>0</v>
      </c>
      <c r="EV160" s="137">
        <f>IF(DC160="zákl. přenesená",J160,0)</f>
        <v>0</v>
      </c>
      <c r="EW160" s="137">
        <f>IF(DC160="sníž. přenesená",J160,0)</f>
        <v>0</v>
      </c>
      <c r="EX160" s="137">
        <f>IF(DC160="nulová",J160,0)</f>
        <v>0</v>
      </c>
      <c r="EY160" s="16" t="s">
        <v>81</v>
      </c>
      <c r="EZ160" s="137">
        <f>ROUND(I160*H160,2)</f>
        <v>40285.919999999998</v>
      </c>
      <c r="FA160" s="16" t="s">
        <v>95</v>
      </c>
      <c r="FB160" s="136" t="s">
        <v>367</v>
      </c>
    </row>
    <row r="161" spans="2:158" s="1" customFormat="1" ht="39" x14ac:dyDescent="0.2">
      <c r="B161" s="31"/>
      <c r="D161" s="138" t="s">
        <v>289</v>
      </c>
      <c r="F161" s="139" t="s">
        <v>368</v>
      </c>
      <c r="I161" s="140"/>
      <c r="L161" s="31"/>
      <c r="N161" s="213"/>
      <c r="O161" s="214"/>
      <c r="Q161" s="229"/>
      <c r="DB161" s="141"/>
      <c r="DI161" s="50"/>
      <c r="EI161" s="16" t="s">
        <v>289</v>
      </c>
      <c r="EJ161" s="16" t="s">
        <v>83</v>
      </c>
    </row>
    <row r="162" spans="2:158" s="1" customFormat="1" ht="39" x14ac:dyDescent="0.2">
      <c r="B162" s="31"/>
      <c r="D162" s="138" t="s">
        <v>299</v>
      </c>
      <c r="F162" s="142" t="s">
        <v>1577</v>
      </c>
      <c r="I162" s="140"/>
      <c r="L162" s="31"/>
      <c r="N162" s="213"/>
      <c r="O162" s="214"/>
      <c r="Q162" s="229"/>
      <c r="DB162" s="141"/>
      <c r="DI162" s="50"/>
      <c r="EI162" s="16" t="s">
        <v>299</v>
      </c>
      <c r="EJ162" s="16" t="s">
        <v>83</v>
      </c>
    </row>
    <row r="163" spans="2:158" s="11" customFormat="1" ht="22.5" x14ac:dyDescent="0.2">
      <c r="B163" s="143"/>
      <c r="D163" s="138" t="s">
        <v>301</v>
      </c>
      <c r="E163" s="144" t="s">
        <v>1</v>
      </c>
      <c r="F163" s="145" t="s">
        <v>370</v>
      </c>
      <c r="H163" s="144" t="s">
        <v>1</v>
      </c>
      <c r="I163" s="146"/>
      <c r="L163" s="143"/>
      <c r="N163" s="215"/>
      <c r="O163" s="216"/>
      <c r="Q163" s="230"/>
      <c r="DB163" s="147"/>
      <c r="DI163" s="148"/>
      <c r="EI163" s="144" t="s">
        <v>301</v>
      </c>
      <c r="EJ163" s="144" t="s">
        <v>83</v>
      </c>
      <c r="EK163" s="11" t="s">
        <v>81</v>
      </c>
      <c r="EL163" s="11" t="s">
        <v>32</v>
      </c>
      <c r="EM163" s="11" t="s">
        <v>74</v>
      </c>
      <c r="EN163" s="144" t="s">
        <v>282</v>
      </c>
    </row>
    <row r="164" spans="2:158" s="12" customFormat="1" x14ac:dyDescent="0.2">
      <c r="B164" s="149"/>
      <c r="D164" s="138" t="s">
        <v>301</v>
      </c>
      <c r="E164" s="150" t="s">
        <v>1</v>
      </c>
      <c r="F164" s="151" t="s">
        <v>1578</v>
      </c>
      <c r="H164" s="152">
        <v>248.06299999999999</v>
      </c>
      <c r="I164" s="153"/>
      <c r="L164" s="149"/>
      <c r="N164" s="217">
        <f>122.44*1.05*(2.7-0.45)</f>
        <v>289.2645</v>
      </c>
      <c r="O164" s="218" t="s">
        <v>3509</v>
      </c>
      <c r="Q164" s="231"/>
      <c r="DB164" s="154"/>
      <c r="DI164" s="155"/>
      <c r="EI164" s="150" t="s">
        <v>301</v>
      </c>
      <c r="EJ164" s="150" t="s">
        <v>83</v>
      </c>
      <c r="EK164" s="12" t="s">
        <v>83</v>
      </c>
      <c r="EL164" s="12" t="s">
        <v>32</v>
      </c>
      <c r="EM164" s="12" t="s">
        <v>74</v>
      </c>
      <c r="EN164" s="150" t="s">
        <v>282</v>
      </c>
    </row>
    <row r="165" spans="2:158" s="12" customFormat="1" ht="22.5" x14ac:dyDescent="0.2">
      <c r="B165" s="149"/>
      <c r="D165" s="138" t="s">
        <v>301</v>
      </c>
      <c r="E165" s="150" t="s">
        <v>1</v>
      </c>
      <c r="F165" s="151" t="s">
        <v>1579</v>
      </c>
      <c r="H165" s="152">
        <v>34.445</v>
      </c>
      <c r="I165" s="153"/>
      <c r="L165" s="149"/>
      <c r="N165" s="310">
        <f>H165</f>
        <v>34.445</v>
      </c>
      <c r="O165" s="218"/>
      <c r="Q165" s="231"/>
      <c r="DB165" s="154"/>
      <c r="DI165" s="155"/>
      <c r="EI165" s="150" t="s">
        <v>301</v>
      </c>
      <c r="EJ165" s="150" t="s">
        <v>83</v>
      </c>
      <c r="EK165" s="12" t="s">
        <v>83</v>
      </c>
      <c r="EL165" s="12" t="s">
        <v>32</v>
      </c>
      <c r="EM165" s="12" t="s">
        <v>74</v>
      </c>
      <c r="EN165" s="150" t="s">
        <v>282</v>
      </c>
    </row>
    <row r="166" spans="2:158" s="14" customFormat="1" x14ac:dyDescent="0.2">
      <c r="B166" s="163"/>
      <c r="D166" s="138" t="s">
        <v>301</v>
      </c>
      <c r="E166" s="164" t="s">
        <v>1</v>
      </c>
      <c r="F166" s="165" t="s">
        <v>373</v>
      </c>
      <c r="H166" s="166">
        <v>282.50799999999998</v>
      </c>
      <c r="I166" s="167"/>
      <c r="L166" s="163"/>
      <c r="N166" s="221">
        <f>SUM(N164:N165)</f>
        <v>323.70949999999999</v>
      </c>
      <c r="O166" s="222"/>
      <c r="Q166" s="233"/>
      <c r="DB166" s="168"/>
      <c r="DI166" s="169"/>
      <c r="EI166" s="164" t="s">
        <v>301</v>
      </c>
      <c r="EJ166" s="164" t="s">
        <v>83</v>
      </c>
      <c r="EK166" s="14" t="s">
        <v>90</v>
      </c>
      <c r="EL166" s="14" t="s">
        <v>32</v>
      </c>
      <c r="EM166" s="14" t="s">
        <v>74</v>
      </c>
      <c r="EN166" s="164" t="s">
        <v>282</v>
      </c>
    </row>
    <row r="167" spans="2:158" s="12" customFormat="1" x14ac:dyDescent="0.2">
      <c r="B167" s="149"/>
      <c r="D167" s="138" t="s">
        <v>301</v>
      </c>
      <c r="E167" s="150" t="s">
        <v>1</v>
      </c>
      <c r="F167" s="151" t="s">
        <v>1580</v>
      </c>
      <c r="H167" s="152">
        <v>141.25399999999999</v>
      </c>
      <c r="I167" s="153"/>
      <c r="L167" s="149"/>
      <c r="N167" s="217">
        <f>N166*0.5</f>
        <v>161.85475</v>
      </c>
      <c r="O167" s="218"/>
      <c r="Q167" s="231"/>
      <c r="DB167" s="154"/>
      <c r="DI167" s="155"/>
      <c r="EI167" s="150" t="s">
        <v>301</v>
      </c>
      <c r="EJ167" s="150" t="s">
        <v>83</v>
      </c>
      <c r="EK167" s="12" t="s">
        <v>83</v>
      </c>
      <c r="EL167" s="12" t="s">
        <v>32</v>
      </c>
      <c r="EM167" s="12" t="s">
        <v>81</v>
      </c>
      <c r="EN167" s="150" t="s">
        <v>282</v>
      </c>
    </row>
    <row r="168" spans="2:158" s="12" customFormat="1" x14ac:dyDescent="0.2">
      <c r="B168" s="149"/>
      <c r="D168" s="138"/>
      <c r="E168" s="150"/>
      <c r="F168" s="151"/>
      <c r="H168" s="152"/>
      <c r="I168" s="153"/>
      <c r="L168" s="149"/>
      <c r="N168" s="310">
        <f>N167-H167</f>
        <v>20.600750000000005</v>
      </c>
      <c r="O168" s="218"/>
      <c r="Q168" s="231"/>
      <c r="DB168" s="154"/>
      <c r="DI168" s="155"/>
      <c r="EI168" s="150"/>
      <c r="EJ168" s="150"/>
      <c r="EN168" s="150"/>
    </row>
    <row r="169" spans="2:158" s="1" customFormat="1" ht="24.2" customHeight="1" x14ac:dyDescent="0.2">
      <c r="B169" s="124"/>
      <c r="C169" s="125" t="s">
        <v>348</v>
      </c>
      <c r="D169" s="125" t="s">
        <v>284</v>
      </c>
      <c r="E169" s="126" t="s">
        <v>375</v>
      </c>
      <c r="F169" s="127" t="s">
        <v>376</v>
      </c>
      <c r="G169" s="128" t="s">
        <v>366</v>
      </c>
      <c r="H169" s="129">
        <v>141.25399999999999</v>
      </c>
      <c r="I169" s="130">
        <v>390.55963566140201</v>
      </c>
      <c r="J169" s="131">
        <f>ROUND(I169*H169,2)</f>
        <v>55168.11</v>
      </c>
      <c r="K169" s="127" t="s">
        <v>293</v>
      </c>
      <c r="L169" s="268">
        <f>S169</f>
        <v>0</v>
      </c>
      <c r="M169" s="272">
        <f>ROUND(L169*I169,2)</f>
        <v>0</v>
      </c>
      <c r="N169" s="243">
        <f>N160</f>
        <v>20.600750000000005</v>
      </c>
      <c r="O169" s="294">
        <f>ROUND(N169*I169,2)</f>
        <v>8045.82</v>
      </c>
      <c r="P169" s="273">
        <f>H169-L169-N169</f>
        <v>120.65324999999999</v>
      </c>
      <c r="Q169" s="287">
        <f>ROUND(P169*I169,2)</f>
        <v>47122.29</v>
      </c>
      <c r="R169" s="137"/>
      <c r="S169" s="269">
        <f>W169+Y169+AA169+AC169+AE169</f>
        <v>0</v>
      </c>
      <c r="T169" s="269">
        <f>ROUND(S169*I169,2)</f>
        <v>0</v>
      </c>
      <c r="U169" s="269">
        <f>H169-S169</f>
        <v>141.25399999999999</v>
      </c>
      <c r="V169" s="269">
        <f>ROUND(U169*I169,2)</f>
        <v>55168.11</v>
      </c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DB169" s="132" t="s">
        <v>1</v>
      </c>
      <c r="DC169" s="133" t="s">
        <v>40</v>
      </c>
      <c r="DE169" s="134">
        <f>DD169*H169</f>
        <v>0</v>
      </c>
      <c r="DF169" s="134">
        <v>0</v>
      </c>
      <c r="DG169" s="134">
        <f>DF169*H169</f>
        <v>0</v>
      </c>
      <c r="DH169" s="134">
        <v>0</v>
      </c>
      <c r="DI169" s="135">
        <f>DH169*H169</f>
        <v>0</v>
      </c>
      <c r="EG169" s="136" t="s">
        <v>95</v>
      </c>
      <c r="EI169" s="136" t="s">
        <v>284</v>
      </c>
      <c r="EJ169" s="136" t="s">
        <v>83</v>
      </c>
      <c r="EN169" s="16" t="s">
        <v>282</v>
      </c>
      <c r="ET169" s="137">
        <f>IF(DC169="základní",J169,0)</f>
        <v>55168.11</v>
      </c>
      <c r="EU169" s="137">
        <f>IF(DC169="snížená",J169,0)</f>
        <v>0</v>
      </c>
      <c r="EV169" s="137">
        <f>IF(DC169="zákl. přenesená",J169,0)</f>
        <v>0</v>
      </c>
      <c r="EW169" s="137">
        <f>IF(DC169="sníž. přenesená",J169,0)</f>
        <v>0</v>
      </c>
      <c r="EX169" s="137">
        <f>IF(DC169="nulová",J169,0)</f>
        <v>0</v>
      </c>
      <c r="EY169" s="16" t="s">
        <v>81</v>
      </c>
      <c r="EZ169" s="137">
        <f>ROUND(I169*H169,2)</f>
        <v>55168.11</v>
      </c>
      <c r="FA169" s="16" t="s">
        <v>95</v>
      </c>
      <c r="FB169" s="136" t="s">
        <v>377</v>
      </c>
    </row>
    <row r="170" spans="2:158" s="1" customFormat="1" ht="39" x14ac:dyDescent="0.2">
      <c r="B170" s="31"/>
      <c r="D170" s="138" t="s">
        <v>289</v>
      </c>
      <c r="F170" s="139" t="s">
        <v>378</v>
      </c>
      <c r="I170" s="140"/>
      <c r="L170" s="31"/>
      <c r="N170" s="213"/>
      <c r="O170" s="214"/>
      <c r="Q170" s="229"/>
      <c r="DB170" s="141"/>
      <c r="DI170" s="50"/>
      <c r="EI170" s="16" t="s">
        <v>289</v>
      </c>
      <c r="EJ170" s="16" t="s">
        <v>83</v>
      </c>
    </row>
    <row r="171" spans="2:158" s="1" customFormat="1" ht="39" x14ac:dyDescent="0.2">
      <c r="B171" s="31"/>
      <c r="D171" s="138" t="s">
        <v>299</v>
      </c>
      <c r="F171" s="142" t="s">
        <v>1577</v>
      </c>
      <c r="I171" s="140"/>
      <c r="L171" s="31"/>
      <c r="N171" s="213"/>
      <c r="O171" s="214"/>
      <c r="Q171" s="229"/>
      <c r="DB171" s="141"/>
      <c r="DI171" s="50"/>
      <c r="EI171" s="16" t="s">
        <v>299</v>
      </c>
      <c r="EJ171" s="16" t="s">
        <v>83</v>
      </c>
    </row>
    <row r="172" spans="2:158" s="1" customFormat="1" ht="24.2" customHeight="1" x14ac:dyDescent="0.2">
      <c r="B172" s="124"/>
      <c r="C172" s="125" t="s">
        <v>327</v>
      </c>
      <c r="D172" s="125" t="s">
        <v>284</v>
      </c>
      <c r="E172" s="126" t="s">
        <v>380</v>
      </c>
      <c r="F172" s="127" t="s">
        <v>381</v>
      </c>
      <c r="G172" s="128" t="s">
        <v>366</v>
      </c>
      <c r="H172" s="129">
        <v>56.502000000000002</v>
      </c>
      <c r="I172" s="130">
        <v>650.27058629099099</v>
      </c>
      <c r="J172" s="131">
        <f>ROUND(I172*H172,2)</f>
        <v>36741.589999999997</v>
      </c>
      <c r="K172" s="127" t="s">
        <v>293</v>
      </c>
      <c r="L172" s="268">
        <f>S172</f>
        <v>0</v>
      </c>
      <c r="M172" s="272">
        <f>ROUND(L172*I172,2)</f>
        <v>0</v>
      </c>
      <c r="N172" s="243">
        <f>N176</f>
        <v>8.240000000000002</v>
      </c>
      <c r="O172" s="294">
        <f>ROUND(N172*I172,2)</f>
        <v>5358.23</v>
      </c>
      <c r="P172" s="273">
        <f>H172-L172-N172</f>
        <v>48.262</v>
      </c>
      <c r="Q172" s="287">
        <f>ROUND(P172*I172,2)</f>
        <v>31383.360000000001</v>
      </c>
      <c r="R172" s="137"/>
      <c r="S172" s="269">
        <f>W172+Y172+AA172+AC172+AE172</f>
        <v>0</v>
      </c>
      <c r="T172" s="269">
        <f>ROUND(S172*I172,2)</f>
        <v>0</v>
      </c>
      <c r="U172" s="269">
        <f>H172-S172</f>
        <v>56.502000000000002</v>
      </c>
      <c r="V172" s="269">
        <f>ROUND(U172*I172,2)</f>
        <v>36741.589999999997</v>
      </c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DB172" s="132" t="s">
        <v>1</v>
      </c>
      <c r="DC172" s="133" t="s">
        <v>40</v>
      </c>
      <c r="DE172" s="134">
        <f>DD172*H172</f>
        <v>0</v>
      </c>
      <c r="DF172" s="134">
        <v>0</v>
      </c>
      <c r="DG172" s="134">
        <f>DF172*H172</f>
        <v>0</v>
      </c>
      <c r="DH172" s="134">
        <v>0</v>
      </c>
      <c r="DI172" s="135">
        <f>DH172*H172</f>
        <v>0</v>
      </c>
      <c r="EG172" s="136" t="s">
        <v>95</v>
      </c>
      <c r="EI172" s="136" t="s">
        <v>284</v>
      </c>
      <c r="EJ172" s="136" t="s">
        <v>83</v>
      </c>
      <c r="EN172" s="16" t="s">
        <v>282</v>
      </c>
      <c r="ET172" s="137">
        <f>IF(DC172="základní",J172,0)</f>
        <v>36741.589999999997</v>
      </c>
      <c r="EU172" s="137">
        <f>IF(DC172="snížená",J172,0)</f>
        <v>0</v>
      </c>
      <c r="EV172" s="137">
        <f>IF(DC172="zákl. přenesená",J172,0)</f>
        <v>0</v>
      </c>
      <c r="EW172" s="137">
        <f>IF(DC172="sníž. přenesená",J172,0)</f>
        <v>0</v>
      </c>
      <c r="EX172" s="137">
        <f>IF(DC172="nulová",J172,0)</f>
        <v>0</v>
      </c>
      <c r="EY172" s="16" t="s">
        <v>81</v>
      </c>
      <c r="EZ172" s="137">
        <f>ROUND(I172*H172,2)</f>
        <v>36741.589999999997</v>
      </c>
      <c r="FA172" s="16" t="s">
        <v>95</v>
      </c>
      <c r="FB172" s="136" t="s">
        <v>382</v>
      </c>
    </row>
    <row r="173" spans="2:158" s="1" customFormat="1" ht="29.25" x14ac:dyDescent="0.2">
      <c r="B173" s="31"/>
      <c r="D173" s="138" t="s">
        <v>289</v>
      </c>
      <c r="F173" s="139" t="s">
        <v>383</v>
      </c>
      <c r="I173" s="140"/>
      <c r="L173" s="31"/>
      <c r="N173" s="213"/>
      <c r="O173" s="214"/>
      <c r="Q173" s="229"/>
      <c r="DB173" s="141"/>
      <c r="DI173" s="50"/>
      <c r="EI173" s="16" t="s">
        <v>289</v>
      </c>
      <c r="EJ173" s="16" t="s">
        <v>83</v>
      </c>
    </row>
    <row r="174" spans="2:158" s="11" customFormat="1" x14ac:dyDescent="0.2">
      <c r="B174" s="143"/>
      <c r="D174" s="138" t="s">
        <v>301</v>
      </c>
      <c r="E174" s="144" t="s">
        <v>1</v>
      </c>
      <c r="F174" s="145" t="s">
        <v>384</v>
      </c>
      <c r="H174" s="144" t="s">
        <v>1</v>
      </c>
      <c r="I174" s="146"/>
      <c r="L174" s="143"/>
      <c r="N174" s="215"/>
      <c r="O174" s="216"/>
      <c r="Q174" s="230"/>
      <c r="DB174" s="147"/>
      <c r="DI174" s="148"/>
      <c r="EI174" s="144" t="s">
        <v>301</v>
      </c>
      <c r="EJ174" s="144" t="s">
        <v>83</v>
      </c>
      <c r="EK174" s="11" t="s">
        <v>81</v>
      </c>
      <c r="EL174" s="11" t="s">
        <v>32</v>
      </c>
      <c r="EM174" s="11" t="s">
        <v>74</v>
      </c>
      <c r="EN174" s="144" t="s">
        <v>282</v>
      </c>
    </row>
    <row r="175" spans="2:158" s="12" customFormat="1" x14ac:dyDescent="0.2">
      <c r="B175" s="149"/>
      <c r="D175" s="138" t="s">
        <v>301</v>
      </c>
      <c r="E175" s="150" t="s">
        <v>1</v>
      </c>
      <c r="F175" s="151" t="s">
        <v>1581</v>
      </c>
      <c r="H175" s="152">
        <v>56.502000000000002</v>
      </c>
      <c r="I175" s="153"/>
      <c r="L175" s="149"/>
      <c r="N175" s="217">
        <f>(161.855+161.855)*0.2</f>
        <v>64.742000000000004</v>
      </c>
      <c r="O175" s="218" t="s">
        <v>3510</v>
      </c>
      <c r="Q175" s="231"/>
      <c r="DB175" s="154"/>
      <c r="DI175" s="155"/>
      <c r="EI175" s="150" t="s">
        <v>301</v>
      </c>
      <c r="EJ175" s="150" t="s">
        <v>83</v>
      </c>
      <c r="EK175" s="12" t="s">
        <v>83</v>
      </c>
      <c r="EL175" s="12" t="s">
        <v>32</v>
      </c>
      <c r="EM175" s="12" t="s">
        <v>81</v>
      </c>
      <c r="EN175" s="150" t="s">
        <v>282</v>
      </c>
    </row>
    <row r="176" spans="2:158" s="12" customFormat="1" x14ac:dyDescent="0.2">
      <c r="B176" s="149"/>
      <c r="D176" s="138"/>
      <c r="E176" s="150"/>
      <c r="F176" s="151"/>
      <c r="H176" s="152"/>
      <c r="I176" s="153"/>
      <c r="L176" s="149"/>
      <c r="N176" s="310">
        <f>N175-H175</f>
        <v>8.240000000000002</v>
      </c>
      <c r="O176" s="218"/>
      <c r="Q176" s="231"/>
      <c r="DB176" s="154"/>
      <c r="DI176" s="155"/>
      <c r="EI176" s="150"/>
      <c r="EJ176" s="150"/>
      <c r="EN176" s="150"/>
    </row>
    <row r="177" spans="2:158" s="1" customFormat="1" ht="14.45" customHeight="1" x14ac:dyDescent="0.2">
      <c r="B177" s="124"/>
      <c r="C177" s="125" t="s">
        <v>359</v>
      </c>
      <c r="D177" s="125" t="s">
        <v>284</v>
      </c>
      <c r="E177" s="126" t="s">
        <v>387</v>
      </c>
      <c r="F177" s="127" t="s">
        <v>388</v>
      </c>
      <c r="G177" s="128" t="s">
        <v>287</v>
      </c>
      <c r="H177" s="129">
        <v>693</v>
      </c>
      <c r="I177" s="130">
        <v>156.6895922457376</v>
      </c>
      <c r="J177" s="131">
        <f>ROUND(I177*H177,2)</f>
        <v>108585.89</v>
      </c>
      <c r="K177" s="127" t="s">
        <v>293</v>
      </c>
      <c r="L177" s="268">
        <f>S177</f>
        <v>0</v>
      </c>
      <c r="M177" s="272">
        <f>ROUND(L177*I177,2)</f>
        <v>0</v>
      </c>
      <c r="N177" s="243">
        <f>N181</f>
        <v>115.10399999999993</v>
      </c>
      <c r="O177" s="294">
        <f>ROUND(N177*I177,2)</f>
        <v>18035.599999999999</v>
      </c>
      <c r="P177" s="273">
        <f>H177-L177-N177</f>
        <v>577.89600000000007</v>
      </c>
      <c r="Q177" s="287">
        <f>ROUND(P177*I177,2)</f>
        <v>90550.29</v>
      </c>
      <c r="R177" s="137"/>
      <c r="S177" s="269">
        <f>W177+Y177+AA177+AC177+AE177</f>
        <v>0</v>
      </c>
      <c r="T177" s="269">
        <f>ROUND(S177*I177,2)</f>
        <v>0</v>
      </c>
      <c r="U177" s="269">
        <f>H177-S177</f>
        <v>693</v>
      </c>
      <c r="V177" s="269">
        <f>ROUND(U177*I177,2)</f>
        <v>108585.89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DB177" s="132" t="s">
        <v>1</v>
      </c>
      <c r="DC177" s="133" t="s">
        <v>40</v>
      </c>
      <c r="DE177" s="134">
        <f>DD177*H177</f>
        <v>0</v>
      </c>
      <c r="DF177" s="134">
        <v>5.9000000000000003E-4</v>
      </c>
      <c r="DG177" s="134">
        <f>DF177*H177</f>
        <v>0.40887000000000001</v>
      </c>
      <c r="DH177" s="134">
        <v>0</v>
      </c>
      <c r="DI177" s="135">
        <f>DH177*H177</f>
        <v>0</v>
      </c>
      <c r="EG177" s="136" t="s">
        <v>95</v>
      </c>
      <c r="EI177" s="136" t="s">
        <v>284</v>
      </c>
      <c r="EJ177" s="136" t="s">
        <v>83</v>
      </c>
      <c r="EN177" s="16" t="s">
        <v>282</v>
      </c>
      <c r="ET177" s="137">
        <f>IF(DC177="základní",J177,0)</f>
        <v>108585.89</v>
      </c>
      <c r="EU177" s="137">
        <f>IF(DC177="snížená",J177,0)</f>
        <v>0</v>
      </c>
      <c r="EV177" s="137">
        <f>IF(DC177="zákl. přenesená",J177,0)</f>
        <v>0</v>
      </c>
      <c r="EW177" s="137">
        <f>IF(DC177="sníž. přenesená",J177,0)</f>
        <v>0</v>
      </c>
      <c r="EX177" s="137">
        <f>IF(DC177="nulová",J177,0)</f>
        <v>0</v>
      </c>
      <c r="EY177" s="16" t="s">
        <v>81</v>
      </c>
      <c r="EZ177" s="137">
        <f>ROUND(I177*H177,2)</f>
        <v>108585.89</v>
      </c>
      <c r="FA177" s="16" t="s">
        <v>95</v>
      </c>
      <c r="FB177" s="136" t="s">
        <v>389</v>
      </c>
    </row>
    <row r="178" spans="2:158" s="1" customFormat="1" ht="19.5" x14ac:dyDescent="0.2">
      <c r="B178" s="31"/>
      <c r="D178" s="138" t="s">
        <v>289</v>
      </c>
      <c r="F178" s="139" t="s">
        <v>390</v>
      </c>
      <c r="I178" s="140"/>
      <c r="L178" s="31"/>
      <c r="N178" s="213"/>
      <c r="O178" s="214"/>
      <c r="Q178" s="229"/>
      <c r="DB178" s="141"/>
      <c r="DI178" s="50"/>
      <c r="EI178" s="16" t="s">
        <v>289</v>
      </c>
      <c r="EJ178" s="16" t="s">
        <v>83</v>
      </c>
    </row>
    <row r="179" spans="2:158" s="1" customFormat="1" ht="19.5" x14ac:dyDescent="0.2">
      <c r="B179" s="31"/>
      <c r="D179" s="138" t="s">
        <v>299</v>
      </c>
      <c r="F179" s="142" t="s">
        <v>317</v>
      </c>
      <c r="I179" s="140"/>
      <c r="L179" s="31"/>
      <c r="N179" s="213"/>
      <c r="O179" s="214"/>
      <c r="Q179" s="229"/>
      <c r="DB179" s="141"/>
      <c r="DI179" s="50"/>
      <c r="EI179" s="16" t="s">
        <v>299</v>
      </c>
      <c r="EJ179" s="16" t="s">
        <v>83</v>
      </c>
    </row>
    <row r="180" spans="2:158" s="12" customFormat="1" x14ac:dyDescent="0.2">
      <c r="B180" s="149"/>
      <c r="D180" s="138" t="s">
        <v>301</v>
      </c>
      <c r="E180" s="150" t="s">
        <v>1</v>
      </c>
      <c r="F180" s="151" t="s">
        <v>1582</v>
      </c>
      <c r="H180" s="152">
        <v>693</v>
      </c>
      <c r="I180" s="153"/>
      <c r="L180" s="149"/>
      <c r="N180" s="217">
        <f>122.44*3.3*2</f>
        <v>808.10399999999993</v>
      </c>
      <c r="O180" s="359" t="s">
        <v>3511</v>
      </c>
      <c r="Q180" s="231"/>
      <c r="DB180" s="154"/>
      <c r="DI180" s="155"/>
      <c r="EI180" s="150" t="s">
        <v>301</v>
      </c>
      <c r="EJ180" s="150" t="s">
        <v>83</v>
      </c>
      <c r="EK180" s="12" t="s">
        <v>83</v>
      </c>
      <c r="EL180" s="12" t="s">
        <v>32</v>
      </c>
      <c r="EM180" s="12" t="s">
        <v>81</v>
      </c>
      <c r="EN180" s="150" t="s">
        <v>282</v>
      </c>
    </row>
    <row r="181" spans="2:158" s="12" customFormat="1" x14ac:dyDescent="0.2">
      <c r="B181" s="149"/>
      <c r="D181" s="138"/>
      <c r="E181" s="150"/>
      <c r="F181" s="151"/>
      <c r="H181" s="152"/>
      <c r="I181" s="153"/>
      <c r="L181" s="149"/>
      <c r="N181" s="310">
        <f>N180-H180</f>
        <v>115.10399999999993</v>
      </c>
      <c r="O181" s="359"/>
      <c r="Q181" s="231"/>
      <c r="DB181" s="154"/>
      <c r="DI181" s="155"/>
      <c r="EI181" s="150"/>
      <c r="EJ181" s="150"/>
      <c r="EN181" s="150"/>
    </row>
    <row r="182" spans="2:158" s="1" customFormat="1" ht="14.45" customHeight="1" x14ac:dyDescent="0.2">
      <c r="B182" s="124"/>
      <c r="C182" s="125" t="s">
        <v>363</v>
      </c>
      <c r="D182" s="125" t="s">
        <v>284</v>
      </c>
      <c r="E182" s="126" t="s">
        <v>393</v>
      </c>
      <c r="F182" s="127" t="s">
        <v>394</v>
      </c>
      <c r="G182" s="128" t="s">
        <v>287</v>
      </c>
      <c r="H182" s="129">
        <v>693</v>
      </c>
      <c r="I182" s="130">
        <v>103.33666316345877</v>
      </c>
      <c r="J182" s="131">
        <f>ROUND(I182*H182,2)</f>
        <v>71612.31</v>
      </c>
      <c r="K182" s="127" t="s">
        <v>293</v>
      </c>
      <c r="L182" s="268">
        <f>S182</f>
        <v>0</v>
      </c>
      <c r="M182" s="272">
        <f>ROUND(L182*I182,2)</f>
        <v>0</v>
      </c>
      <c r="N182" s="243">
        <f>N177</f>
        <v>115.10399999999993</v>
      </c>
      <c r="O182" s="294">
        <f>ROUND(N182*I182,2)</f>
        <v>11894.46</v>
      </c>
      <c r="P182" s="273">
        <f>H182-L182-N182</f>
        <v>577.89600000000007</v>
      </c>
      <c r="Q182" s="287">
        <f>ROUND(P182*I182,2)</f>
        <v>59717.84</v>
      </c>
      <c r="R182" s="137"/>
      <c r="S182" s="269">
        <f>W182+Y182+AA182+AC182+AE182</f>
        <v>0</v>
      </c>
      <c r="T182" s="269">
        <f>ROUND(S182*I182,2)</f>
        <v>0</v>
      </c>
      <c r="U182" s="269">
        <f>H182-S182</f>
        <v>693</v>
      </c>
      <c r="V182" s="269">
        <f>ROUND(U182*I182,2)</f>
        <v>71612.31</v>
      </c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DB182" s="132" t="s">
        <v>1</v>
      </c>
      <c r="DC182" s="133" t="s">
        <v>40</v>
      </c>
      <c r="DE182" s="134">
        <f>DD182*H182</f>
        <v>0</v>
      </c>
      <c r="DF182" s="134">
        <v>0</v>
      </c>
      <c r="DG182" s="134">
        <f>DF182*H182</f>
        <v>0</v>
      </c>
      <c r="DH182" s="134">
        <v>0</v>
      </c>
      <c r="DI182" s="135">
        <f>DH182*H182</f>
        <v>0</v>
      </c>
      <c r="EG182" s="136" t="s">
        <v>95</v>
      </c>
      <c r="EI182" s="136" t="s">
        <v>284</v>
      </c>
      <c r="EJ182" s="136" t="s">
        <v>83</v>
      </c>
      <c r="EN182" s="16" t="s">
        <v>282</v>
      </c>
      <c r="ET182" s="137">
        <f>IF(DC182="základní",J182,0)</f>
        <v>71612.31</v>
      </c>
      <c r="EU182" s="137">
        <f>IF(DC182="snížená",J182,0)</f>
        <v>0</v>
      </c>
      <c r="EV182" s="137">
        <f>IF(DC182="zákl. přenesená",J182,0)</f>
        <v>0</v>
      </c>
      <c r="EW182" s="137">
        <f>IF(DC182="sníž. přenesená",J182,0)</f>
        <v>0</v>
      </c>
      <c r="EX182" s="137">
        <f>IF(DC182="nulová",J182,0)</f>
        <v>0</v>
      </c>
      <c r="EY182" s="16" t="s">
        <v>81</v>
      </c>
      <c r="EZ182" s="137">
        <f>ROUND(I182*H182,2)</f>
        <v>71612.31</v>
      </c>
      <c r="FA182" s="16" t="s">
        <v>95</v>
      </c>
      <c r="FB182" s="136" t="s">
        <v>395</v>
      </c>
    </row>
    <row r="183" spans="2:158" s="1" customFormat="1" ht="19.5" x14ac:dyDescent="0.2">
      <c r="B183" s="31"/>
      <c r="D183" s="138" t="s">
        <v>289</v>
      </c>
      <c r="F183" s="139" t="s">
        <v>396</v>
      </c>
      <c r="I183" s="140"/>
      <c r="L183" s="31"/>
      <c r="N183" s="213"/>
      <c r="O183" s="214"/>
      <c r="Q183" s="229"/>
      <c r="DB183" s="141"/>
      <c r="DI183" s="50"/>
      <c r="EI183" s="16" t="s">
        <v>289</v>
      </c>
      <c r="EJ183" s="16" t="s">
        <v>83</v>
      </c>
    </row>
    <row r="184" spans="2:158" s="1" customFormat="1" ht="37.9" customHeight="1" x14ac:dyDescent="0.2">
      <c r="B184" s="124"/>
      <c r="C184" s="125" t="s">
        <v>8</v>
      </c>
      <c r="D184" s="125" t="s">
        <v>284</v>
      </c>
      <c r="E184" s="126" t="s">
        <v>398</v>
      </c>
      <c r="F184" s="127" t="s">
        <v>399</v>
      </c>
      <c r="G184" s="128" t="s">
        <v>366</v>
      </c>
      <c r="H184" s="129">
        <v>282.50799999999998</v>
      </c>
      <c r="I184" s="130">
        <v>282.06861194786097</v>
      </c>
      <c r="J184" s="131">
        <f>ROUND(I184*H184,2)</f>
        <v>79686.64</v>
      </c>
      <c r="K184" s="127" t="s">
        <v>293</v>
      </c>
      <c r="L184" s="268">
        <f>S184</f>
        <v>0</v>
      </c>
      <c r="M184" s="272">
        <f>ROUND(L184*I184,2)</f>
        <v>0</v>
      </c>
      <c r="N184" s="243">
        <f>N188</f>
        <v>41.201999999999998</v>
      </c>
      <c r="O184" s="294">
        <f>ROUND(N184*I184,2)</f>
        <v>11621.79</v>
      </c>
      <c r="P184" s="273">
        <f>H184-L184-N184</f>
        <v>241.30599999999998</v>
      </c>
      <c r="Q184" s="287">
        <f>ROUND(P184*I184,2)</f>
        <v>68064.850000000006</v>
      </c>
      <c r="R184" s="137"/>
      <c r="S184" s="269">
        <f>W184+Y184+AA184+AC184+AE184</f>
        <v>0</v>
      </c>
      <c r="T184" s="269">
        <f>ROUND(S184*I184,2)</f>
        <v>0</v>
      </c>
      <c r="U184" s="269">
        <f>H184-S184</f>
        <v>282.50799999999998</v>
      </c>
      <c r="V184" s="269">
        <f>ROUND(U184*I184,2)</f>
        <v>79686.64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DB184" s="132" t="s">
        <v>1</v>
      </c>
      <c r="DC184" s="133" t="s">
        <v>40</v>
      </c>
      <c r="DE184" s="134">
        <f>DD184*H184</f>
        <v>0</v>
      </c>
      <c r="DF184" s="134">
        <v>0</v>
      </c>
      <c r="DG184" s="134">
        <f>DF184*H184</f>
        <v>0</v>
      </c>
      <c r="DH184" s="134">
        <v>0</v>
      </c>
      <c r="DI184" s="135">
        <f>DH184*H184</f>
        <v>0</v>
      </c>
      <c r="EG184" s="136" t="s">
        <v>95</v>
      </c>
      <c r="EI184" s="136" t="s">
        <v>284</v>
      </c>
      <c r="EJ184" s="136" t="s">
        <v>83</v>
      </c>
      <c r="EN184" s="16" t="s">
        <v>282</v>
      </c>
      <c r="ET184" s="137">
        <f>IF(DC184="základní",J184,0)</f>
        <v>79686.64</v>
      </c>
      <c r="EU184" s="137">
        <f>IF(DC184="snížená",J184,0)</f>
        <v>0</v>
      </c>
      <c r="EV184" s="137">
        <f>IF(DC184="zákl. přenesená",J184,0)</f>
        <v>0</v>
      </c>
      <c r="EW184" s="137">
        <f>IF(DC184="sníž. přenesená",J184,0)</f>
        <v>0</v>
      </c>
      <c r="EX184" s="137">
        <f>IF(DC184="nulová",J184,0)</f>
        <v>0</v>
      </c>
      <c r="EY184" s="16" t="s">
        <v>81</v>
      </c>
      <c r="EZ184" s="137">
        <f>ROUND(I184*H184,2)</f>
        <v>79686.64</v>
      </c>
      <c r="FA184" s="16" t="s">
        <v>95</v>
      </c>
      <c r="FB184" s="136" t="s">
        <v>400</v>
      </c>
    </row>
    <row r="185" spans="2:158" s="1" customFormat="1" ht="39" x14ac:dyDescent="0.2">
      <c r="B185" s="31"/>
      <c r="D185" s="138" t="s">
        <v>289</v>
      </c>
      <c r="F185" s="139" t="s">
        <v>401</v>
      </c>
      <c r="I185" s="140"/>
      <c r="L185" s="31"/>
      <c r="N185" s="213"/>
      <c r="O185" s="214"/>
      <c r="Q185" s="229"/>
      <c r="DB185" s="141"/>
      <c r="DI185" s="50"/>
      <c r="EI185" s="16" t="s">
        <v>289</v>
      </c>
      <c r="EJ185" s="16" t="s">
        <v>83</v>
      </c>
    </row>
    <row r="186" spans="2:158" s="11" customFormat="1" x14ac:dyDescent="0.2">
      <c r="B186" s="143"/>
      <c r="D186" s="138" t="s">
        <v>301</v>
      </c>
      <c r="E186" s="144" t="s">
        <v>1</v>
      </c>
      <c r="F186" s="145" t="s">
        <v>402</v>
      </c>
      <c r="H186" s="144" t="s">
        <v>1</v>
      </c>
      <c r="I186" s="146"/>
      <c r="L186" s="143"/>
      <c r="N186" s="215"/>
      <c r="O186" s="216"/>
      <c r="Q186" s="230"/>
      <c r="DB186" s="147"/>
      <c r="DI186" s="148"/>
      <c r="EI186" s="144" t="s">
        <v>301</v>
      </c>
      <c r="EJ186" s="144" t="s">
        <v>83</v>
      </c>
      <c r="EK186" s="11" t="s">
        <v>81</v>
      </c>
      <c r="EL186" s="11" t="s">
        <v>32</v>
      </c>
      <c r="EM186" s="11" t="s">
        <v>74</v>
      </c>
      <c r="EN186" s="144" t="s">
        <v>282</v>
      </c>
    </row>
    <row r="187" spans="2:158" s="12" customFormat="1" x14ac:dyDescent="0.2">
      <c r="B187" s="149"/>
      <c r="D187" s="138" t="s">
        <v>301</v>
      </c>
      <c r="E187" s="150" t="s">
        <v>1</v>
      </c>
      <c r="F187" s="151" t="s">
        <v>1583</v>
      </c>
      <c r="H187" s="152">
        <v>282.50799999999998</v>
      </c>
      <c r="I187" s="153"/>
      <c r="L187" s="149"/>
      <c r="N187" s="217">
        <f>161.855+161.855</f>
        <v>323.70999999999998</v>
      </c>
      <c r="O187" s="218" t="s">
        <v>3512</v>
      </c>
      <c r="Q187" s="231"/>
      <c r="DB187" s="154"/>
      <c r="DI187" s="155"/>
      <c r="EI187" s="150" t="s">
        <v>301</v>
      </c>
      <c r="EJ187" s="150" t="s">
        <v>83</v>
      </c>
      <c r="EK187" s="12" t="s">
        <v>83</v>
      </c>
      <c r="EL187" s="12" t="s">
        <v>32</v>
      </c>
      <c r="EM187" s="12" t="s">
        <v>81</v>
      </c>
      <c r="EN187" s="150" t="s">
        <v>282</v>
      </c>
    </row>
    <row r="188" spans="2:158" s="12" customFormat="1" x14ac:dyDescent="0.2">
      <c r="B188" s="149"/>
      <c r="D188" s="138"/>
      <c r="E188" s="150"/>
      <c r="F188" s="151"/>
      <c r="H188" s="152"/>
      <c r="I188" s="153"/>
      <c r="L188" s="149"/>
      <c r="N188" s="310">
        <f>N187-H187</f>
        <v>41.201999999999998</v>
      </c>
      <c r="O188" s="218"/>
      <c r="Q188" s="231"/>
      <c r="DB188" s="154"/>
      <c r="DI188" s="155"/>
      <c r="EI188" s="150"/>
      <c r="EJ188" s="150"/>
      <c r="EN188" s="150"/>
    </row>
    <row r="189" spans="2:158" s="1" customFormat="1" ht="37.9" customHeight="1" x14ac:dyDescent="0.2">
      <c r="B189" s="124"/>
      <c r="C189" s="125" t="s">
        <v>379</v>
      </c>
      <c r="D189" s="125" t="s">
        <v>284</v>
      </c>
      <c r="E189" s="126" t="s">
        <v>405</v>
      </c>
      <c r="F189" s="127" t="s">
        <v>406</v>
      </c>
      <c r="G189" s="128" t="s">
        <v>366</v>
      </c>
      <c r="H189" s="129">
        <v>1412.54</v>
      </c>
      <c r="I189" s="130">
        <v>3.4208109177592001</v>
      </c>
      <c r="J189" s="131">
        <f>ROUND(I189*H189,2)</f>
        <v>4832.03</v>
      </c>
      <c r="K189" s="127" t="s">
        <v>293</v>
      </c>
      <c r="L189" s="268">
        <f>S189</f>
        <v>0</v>
      </c>
      <c r="M189" s="272">
        <f>ROUND(L189*I189,2)</f>
        <v>0</v>
      </c>
      <c r="N189" s="243">
        <f>N191</f>
        <v>206</v>
      </c>
      <c r="O189" s="294">
        <f>ROUND(N189*I189,2)</f>
        <v>704.69</v>
      </c>
      <c r="P189" s="273">
        <f>H189-L189-N189</f>
        <v>1206.54</v>
      </c>
      <c r="Q189" s="287">
        <f>ROUND(P189*I189,2)</f>
        <v>4127.3500000000004</v>
      </c>
      <c r="R189" s="137"/>
      <c r="S189" s="269">
        <f>W189+Y189+AA189+AC189+AE189</f>
        <v>0</v>
      </c>
      <c r="T189" s="269">
        <f>ROUND(S189*I189,2)</f>
        <v>0</v>
      </c>
      <c r="U189" s="269">
        <f>H189-S189</f>
        <v>1412.54</v>
      </c>
      <c r="V189" s="269">
        <f>ROUND(U189*I189,2)</f>
        <v>4832.03</v>
      </c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DB189" s="132" t="s">
        <v>1</v>
      </c>
      <c r="DC189" s="133" t="s">
        <v>40</v>
      </c>
      <c r="DE189" s="134">
        <f>DD189*H189</f>
        <v>0</v>
      </c>
      <c r="DF189" s="134">
        <v>0</v>
      </c>
      <c r="DG189" s="134">
        <f>DF189*H189</f>
        <v>0</v>
      </c>
      <c r="DH189" s="134">
        <v>0</v>
      </c>
      <c r="DI189" s="135">
        <f>DH189*H189</f>
        <v>0</v>
      </c>
      <c r="EG189" s="136" t="s">
        <v>95</v>
      </c>
      <c r="EI189" s="136" t="s">
        <v>284</v>
      </c>
      <c r="EJ189" s="136" t="s">
        <v>83</v>
      </c>
      <c r="EN189" s="16" t="s">
        <v>282</v>
      </c>
      <c r="ET189" s="137">
        <f>IF(DC189="základní",J189,0)</f>
        <v>4832.03</v>
      </c>
      <c r="EU189" s="137">
        <f>IF(DC189="snížená",J189,0)</f>
        <v>0</v>
      </c>
      <c r="EV189" s="137">
        <f>IF(DC189="zákl. přenesená",J189,0)</f>
        <v>0</v>
      </c>
      <c r="EW189" s="137">
        <f>IF(DC189="sníž. přenesená",J189,0)</f>
        <v>0</v>
      </c>
      <c r="EX189" s="137">
        <f>IF(DC189="nulová",J189,0)</f>
        <v>0</v>
      </c>
      <c r="EY189" s="16" t="s">
        <v>81</v>
      </c>
      <c r="EZ189" s="137">
        <f>ROUND(I189*H189,2)</f>
        <v>4832.03</v>
      </c>
      <c r="FA189" s="16" t="s">
        <v>95</v>
      </c>
      <c r="FB189" s="136" t="s">
        <v>407</v>
      </c>
    </row>
    <row r="190" spans="2:158" s="1" customFormat="1" ht="48.75" x14ac:dyDescent="0.2">
      <c r="B190" s="31"/>
      <c r="D190" s="138" t="s">
        <v>289</v>
      </c>
      <c r="F190" s="139" t="s">
        <v>408</v>
      </c>
      <c r="I190" s="140"/>
      <c r="L190" s="31"/>
      <c r="N190" s="213"/>
      <c r="O190" s="214"/>
      <c r="Q190" s="229"/>
      <c r="DB190" s="141"/>
      <c r="DI190" s="50"/>
      <c r="EI190" s="16" t="s">
        <v>289</v>
      </c>
      <c r="EJ190" s="16" t="s">
        <v>83</v>
      </c>
    </row>
    <row r="191" spans="2:158" s="12" customFormat="1" x14ac:dyDescent="0.2">
      <c r="B191" s="149"/>
      <c r="D191" s="138" t="s">
        <v>301</v>
      </c>
      <c r="F191" s="151" t="s">
        <v>1584</v>
      </c>
      <c r="H191" s="152">
        <v>1412.54</v>
      </c>
      <c r="I191" s="153"/>
      <c r="L191" s="149"/>
      <c r="N191" s="217">
        <f>41.2*5</f>
        <v>206</v>
      </c>
      <c r="O191" s="359" t="s">
        <v>3513</v>
      </c>
      <c r="Q191" s="231"/>
      <c r="DB191" s="154"/>
      <c r="DI191" s="155"/>
      <c r="EI191" s="150" t="s">
        <v>301</v>
      </c>
      <c r="EJ191" s="150" t="s">
        <v>83</v>
      </c>
      <c r="EK191" s="12" t="s">
        <v>83</v>
      </c>
      <c r="EL191" s="12" t="s">
        <v>3</v>
      </c>
      <c r="EM191" s="12" t="s">
        <v>81</v>
      </c>
      <c r="EN191" s="150" t="s">
        <v>282</v>
      </c>
    </row>
    <row r="192" spans="2:158" s="1" customFormat="1" ht="24.2" customHeight="1" x14ac:dyDescent="0.2">
      <c r="B192" s="124"/>
      <c r="C192" s="125" t="s">
        <v>386</v>
      </c>
      <c r="D192" s="125" t="s">
        <v>284</v>
      </c>
      <c r="E192" s="126" t="s">
        <v>410</v>
      </c>
      <c r="F192" s="127" t="s">
        <v>411</v>
      </c>
      <c r="G192" s="128" t="s">
        <v>287</v>
      </c>
      <c r="H192" s="129">
        <v>123.61499999999999</v>
      </c>
      <c r="I192" s="130">
        <v>6.3644601414457247</v>
      </c>
      <c r="J192" s="131">
        <f>ROUND(I192*H192,2)</f>
        <v>786.74</v>
      </c>
      <c r="K192" s="127" t="s">
        <v>293</v>
      </c>
      <c r="L192" s="268">
        <f>S192</f>
        <v>0</v>
      </c>
      <c r="M192" s="272">
        <f>ROUND(L192*I192,2)</f>
        <v>0</v>
      </c>
      <c r="N192" s="243">
        <f>N198</f>
        <v>18.312000000000026</v>
      </c>
      <c r="O192" s="294">
        <f>ROUND(N192*I192,2)</f>
        <v>116.55</v>
      </c>
      <c r="P192" s="273">
        <f>H192-L192-N192</f>
        <v>105.30299999999997</v>
      </c>
      <c r="Q192" s="287">
        <f>ROUND(P192*I192,2)</f>
        <v>670.2</v>
      </c>
      <c r="R192" s="137"/>
      <c r="S192" s="269">
        <f>W192+Y192+AA192+AC192+AE192</f>
        <v>0</v>
      </c>
      <c r="T192" s="269">
        <f>ROUND(S192*I192,2)</f>
        <v>0</v>
      </c>
      <c r="U192" s="269">
        <f>H192-S192</f>
        <v>123.61499999999999</v>
      </c>
      <c r="V192" s="269">
        <f>ROUND(U192*I192,2)</f>
        <v>786.74</v>
      </c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DB192" s="132" t="s">
        <v>1</v>
      </c>
      <c r="DC192" s="133" t="s">
        <v>40</v>
      </c>
      <c r="DE192" s="134">
        <f>DD192*H192</f>
        <v>0</v>
      </c>
      <c r="DF192" s="134">
        <v>0</v>
      </c>
      <c r="DG192" s="134">
        <f>DF192*H192</f>
        <v>0</v>
      </c>
      <c r="DH192" s="134">
        <v>0</v>
      </c>
      <c r="DI192" s="135">
        <f>DH192*H192</f>
        <v>0</v>
      </c>
      <c r="EG192" s="136" t="s">
        <v>95</v>
      </c>
      <c r="EI192" s="136" t="s">
        <v>284</v>
      </c>
      <c r="EJ192" s="136" t="s">
        <v>83</v>
      </c>
      <c r="EN192" s="16" t="s">
        <v>282</v>
      </c>
      <c r="ET192" s="137">
        <f>IF(DC192="základní",J192,0)</f>
        <v>786.74</v>
      </c>
      <c r="EU192" s="137">
        <f>IF(DC192="snížená",J192,0)</f>
        <v>0</v>
      </c>
      <c r="EV192" s="137">
        <f>IF(DC192="zákl. přenesená",J192,0)</f>
        <v>0</v>
      </c>
      <c r="EW192" s="137">
        <f>IF(DC192="sníž. přenesená",J192,0)</f>
        <v>0</v>
      </c>
      <c r="EX192" s="137">
        <f>IF(DC192="nulová",J192,0)</f>
        <v>0</v>
      </c>
      <c r="EY192" s="16" t="s">
        <v>81</v>
      </c>
      <c r="EZ192" s="137">
        <f>ROUND(I192*H192,2)</f>
        <v>786.74</v>
      </c>
      <c r="FA192" s="16" t="s">
        <v>95</v>
      </c>
      <c r="FB192" s="136" t="s">
        <v>412</v>
      </c>
    </row>
    <row r="193" spans="2:158" s="1" customFormat="1" ht="19.5" x14ac:dyDescent="0.2">
      <c r="B193" s="31"/>
      <c r="D193" s="138" t="s">
        <v>289</v>
      </c>
      <c r="F193" s="139" t="s">
        <v>413</v>
      </c>
      <c r="I193" s="140"/>
      <c r="L193" s="31"/>
      <c r="N193" s="213"/>
      <c r="O193" s="214"/>
      <c r="Q193" s="229"/>
      <c r="DB193" s="141"/>
      <c r="DI193" s="50"/>
      <c r="EI193" s="16" t="s">
        <v>289</v>
      </c>
      <c r="EJ193" s="16" t="s">
        <v>83</v>
      </c>
    </row>
    <row r="194" spans="2:158" s="1" customFormat="1" ht="19.5" x14ac:dyDescent="0.2">
      <c r="B194" s="31"/>
      <c r="D194" s="138" t="s">
        <v>299</v>
      </c>
      <c r="F194" s="142" t="s">
        <v>317</v>
      </c>
      <c r="I194" s="140"/>
      <c r="L194" s="31"/>
      <c r="N194" s="213"/>
      <c r="O194" s="214"/>
      <c r="Q194" s="229"/>
      <c r="DB194" s="141"/>
      <c r="DI194" s="50"/>
      <c r="EI194" s="16" t="s">
        <v>299</v>
      </c>
      <c r="EJ194" s="16" t="s">
        <v>83</v>
      </c>
    </row>
    <row r="195" spans="2:158" s="12" customFormat="1" x14ac:dyDescent="0.2">
      <c r="B195" s="149"/>
      <c r="D195" s="138" t="s">
        <v>301</v>
      </c>
      <c r="E195" s="150" t="s">
        <v>1</v>
      </c>
      <c r="F195" s="151" t="s">
        <v>1585</v>
      </c>
      <c r="H195" s="152">
        <v>110.25</v>
      </c>
      <c r="I195" s="153"/>
      <c r="L195" s="149"/>
      <c r="N195" s="217">
        <f>122.44*1.05</f>
        <v>128.56200000000001</v>
      </c>
      <c r="O195" s="359" t="s">
        <v>3507</v>
      </c>
      <c r="Q195" s="231"/>
      <c r="DB195" s="154"/>
      <c r="DI195" s="155"/>
      <c r="EI195" s="150" t="s">
        <v>301</v>
      </c>
      <c r="EJ195" s="150" t="s">
        <v>83</v>
      </c>
      <c r="EK195" s="12" t="s">
        <v>83</v>
      </c>
      <c r="EL195" s="12" t="s">
        <v>32</v>
      </c>
      <c r="EM195" s="12" t="s">
        <v>74</v>
      </c>
      <c r="EN195" s="150" t="s">
        <v>282</v>
      </c>
    </row>
    <row r="196" spans="2:158" s="12" customFormat="1" x14ac:dyDescent="0.2">
      <c r="B196" s="149"/>
      <c r="D196" s="138" t="s">
        <v>301</v>
      </c>
      <c r="E196" s="150" t="s">
        <v>1</v>
      </c>
      <c r="F196" s="151" t="s">
        <v>736</v>
      </c>
      <c r="H196" s="152">
        <v>13.365</v>
      </c>
      <c r="I196" s="153"/>
      <c r="L196" s="149"/>
      <c r="N196" s="311">
        <f>H196</f>
        <v>13.365</v>
      </c>
      <c r="O196" s="220"/>
      <c r="Q196" s="231"/>
      <c r="DB196" s="154"/>
      <c r="DI196" s="155"/>
      <c r="EI196" s="150" t="s">
        <v>301</v>
      </c>
      <c r="EJ196" s="150" t="s">
        <v>83</v>
      </c>
      <c r="EK196" s="12" t="s">
        <v>83</v>
      </c>
      <c r="EL196" s="12" t="s">
        <v>32</v>
      </c>
      <c r="EM196" s="12" t="s">
        <v>74</v>
      </c>
      <c r="EN196" s="150" t="s">
        <v>282</v>
      </c>
    </row>
    <row r="197" spans="2:158" s="13" customFormat="1" x14ac:dyDescent="0.2">
      <c r="B197" s="156"/>
      <c r="D197" s="138" t="s">
        <v>301</v>
      </c>
      <c r="E197" s="157" t="s">
        <v>1</v>
      </c>
      <c r="F197" s="158" t="s">
        <v>305</v>
      </c>
      <c r="H197" s="159">
        <v>123.61499999999999</v>
      </c>
      <c r="I197" s="160"/>
      <c r="L197" s="156"/>
      <c r="N197" s="311">
        <f>N195+N196</f>
        <v>141.92700000000002</v>
      </c>
      <c r="O197" s="220"/>
      <c r="Q197" s="232"/>
      <c r="DB197" s="161"/>
      <c r="DI197" s="162"/>
      <c r="EI197" s="157" t="s">
        <v>301</v>
      </c>
      <c r="EJ197" s="157" t="s">
        <v>83</v>
      </c>
      <c r="EK197" s="13" t="s">
        <v>95</v>
      </c>
      <c r="EL197" s="13" t="s">
        <v>32</v>
      </c>
      <c r="EM197" s="13" t="s">
        <v>81</v>
      </c>
      <c r="EN197" s="157" t="s">
        <v>282</v>
      </c>
    </row>
    <row r="198" spans="2:158" s="13" customFormat="1" x14ac:dyDescent="0.2">
      <c r="B198" s="156"/>
      <c r="D198" s="138"/>
      <c r="E198" s="157"/>
      <c r="F198" s="158"/>
      <c r="H198" s="159"/>
      <c r="I198" s="160"/>
      <c r="L198" s="156"/>
      <c r="N198" s="311">
        <f>N197-H197</f>
        <v>18.312000000000026</v>
      </c>
      <c r="O198" s="220"/>
      <c r="Q198" s="232"/>
      <c r="DB198" s="161"/>
      <c r="DI198" s="162"/>
      <c r="EI198" s="157"/>
      <c r="EJ198" s="157"/>
      <c r="EN198" s="157"/>
    </row>
    <row r="199" spans="2:158" s="1" customFormat="1" ht="24.2" customHeight="1" x14ac:dyDescent="0.2">
      <c r="B199" s="124"/>
      <c r="C199" s="125" t="s">
        <v>392</v>
      </c>
      <c r="D199" s="125" t="s">
        <v>284</v>
      </c>
      <c r="E199" s="126" t="s">
        <v>416</v>
      </c>
      <c r="F199" s="127" t="s">
        <v>417</v>
      </c>
      <c r="G199" s="128" t="s">
        <v>418</v>
      </c>
      <c r="H199" s="129">
        <v>508.51400000000001</v>
      </c>
      <c r="I199" s="130">
        <v>110.6455721</v>
      </c>
      <c r="J199" s="131">
        <f>ROUND(I199*H199,2)</f>
        <v>56264.82</v>
      </c>
      <c r="K199" s="127" t="s">
        <v>293</v>
      </c>
      <c r="L199" s="268">
        <f>S199</f>
        <v>0</v>
      </c>
      <c r="M199" s="272">
        <f>ROUND(L199*I199,2)</f>
        <v>0</v>
      </c>
      <c r="N199" s="243">
        <f>N202</f>
        <v>74.163999999999987</v>
      </c>
      <c r="O199" s="294">
        <f>ROUND(N199*I199,2)</f>
        <v>8205.92</v>
      </c>
      <c r="P199" s="273">
        <f>H199-L199-N199</f>
        <v>434.35</v>
      </c>
      <c r="Q199" s="287">
        <f>ROUND(P199*I199,2)</f>
        <v>48058.9</v>
      </c>
      <c r="R199" s="137"/>
      <c r="S199" s="269">
        <f>W199+Y199+AA199+AC199+AE199</f>
        <v>0</v>
      </c>
      <c r="T199" s="269">
        <f>ROUND(S199*I199,2)</f>
        <v>0</v>
      </c>
      <c r="U199" s="269">
        <f>H199-S199</f>
        <v>508.51400000000001</v>
      </c>
      <c r="V199" s="269">
        <f>ROUND(U199*I199,2)</f>
        <v>56264.82</v>
      </c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DB199" s="132" t="s">
        <v>1</v>
      </c>
      <c r="DC199" s="133" t="s">
        <v>40</v>
      </c>
      <c r="DE199" s="134">
        <f>DD199*H199</f>
        <v>0</v>
      </c>
      <c r="DF199" s="134">
        <v>0</v>
      </c>
      <c r="DG199" s="134">
        <f>DF199*H199</f>
        <v>0</v>
      </c>
      <c r="DH199" s="134">
        <v>0</v>
      </c>
      <c r="DI199" s="135">
        <f>DH199*H199</f>
        <v>0</v>
      </c>
      <c r="EG199" s="136" t="s">
        <v>95</v>
      </c>
      <c r="EI199" s="136" t="s">
        <v>284</v>
      </c>
      <c r="EJ199" s="136" t="s">
        <v>83</v>
      </c>
      <c r="EN199" s="16" t="s">
        <v>282</v>
      </c>
      <c r="ET199" s="137">
        <f>IF(DC199="základní",J199,0)</f>
        <v>56264.82</v>
      </c>
      <c r="EU199" s="137">
        <f>IF(DC199="snížená",J199,0)</f>
        <v>0</v>
      </c>
      <c r="EV199" s="137">
        <f>IF(DC199="zákl. přenesená",J199,0)</f>
        <v>0</v>
      </c>
      <c r="EW199" s="137">
        <f>IF(DC199="sníž. přenesená",J199,0)</f>
        <v>0</v>
      </c>
      <c r="EX199" s="137">
        <f>IF(DC199="nulová",J199,0)</f>
        <v>0</v>
      </c>
      <c r="EY199" s="16" t="s">
        <v>81</v>
      </c>
      <c r="EZ199" s="137">
        <f>ROUND(I199*H199,2)</f>
        <v>56264.82</v>
      </c>
      <c r="FA199" s="16" t="s">
        <v>95</v>
      </c>
      <c r="FB199" s="136" t="s">
        <v>419</v>
      </c>
    </row>
    <row r="200" spans="2:158" s="1" customFormat="1" ht="29.25" x14ac:dyDescent="0.2">
      <c r="B200" s="31"/>
      <c r="D200" s="138" t="s">
        <v>289</v>
      </c>
      <c r="F200" s="139" t="s">
        <v>420</v>
      </c>
      <c r="I200" s="140"/>
      <c r="L200" s="31"/>
      <c r="N200" s="213"/>
      <c r="O200" s="214"/>
      <c r="Q200" s="229"/>
      <c r="DB200" s="141"/>
      <c r="DI200" s="50"/>
      <c r="EI200" s="16" t="s">
        <v>289</v>
      </c>
      <c r="EJ200" s="16" t="s">
        <v>83</v>
      </c>
    </row>
    <row r="201" spans="2:158" s="12" customFormat="1" x14ac:dyDescent="0.2">
      <c r="B201" s="149"/>
      <c r="D201" s="138" t="s">
        <v>301</v>
      </c>
      <c r="F201" s="151" t="s">
        <v>1586</v>
      </c>
      <c r="H201" s="152">
        <v>508.51400000000001</v>
      </c>
      <c r="I201" s="153"/>
      <c r="L201" s="149"/>
      <c r="N201" s="217">
        <f>323.71*1.8</f>
        <v>582.678</v>
      </c>
      <c r="O201" s="218" t="s">
        <v>3514</v>
      </c>
      <c r="Q201" s="231"/>
      <c r="DB201" s="154"/>
      <c r="DI201" s="155"/>
      <c r="EI201" s="150" t="s">
        <v>301</v>
      </c>
      <c r="EJ201" s="150" t="s">
        <v>83</v>
      </c>
      <c r="EK201" s="12" t="s">
        <v>83</v>
      </c>
      <c r="EL201" s="12" t="s">
        <v>3</v>
      </c>
      <c r="EM201" s="12" t="s">
        <v>81</v>
      </c>
      <c r="EN201" s="150" t="s">
        <v>282</v>
      </c>
    </row>
    <row r="202" spans="2:158" s="12" customFormat="1" x14ac:dyDescent="0.2">
      <c r="B202" s="149"/>
      <c r="D202" s="138"/>
      <c r="F202" s="151"/>
      <c r="H202" s="152"/>
      <c r="I202" s="153"/>
      <c r="L202" s="149"/>
      <c r="N202" s="310">
        <f>N201-H201</f>
        <v>74.163999999999987</v>
      </c>
      <c r="O202" s="218"/>
      <c r="Q202" s="231"/>
      <c r="DB202" s="154"/>
      <c r="DI202" s="155"/>
      <c r="EI202" s="150"/>
      <c r="EJ202" s="150"/>
      <c r="EN202" s="150"/>
    </row>
    <row r="203" spans="2:158" s="1" customFormat="1" ht="24.2" customHeight="1" x14ac:dyDescent="0.2">
      <c r="B203" s="124"/>
      <c r="C203" s="125" t="s">
        <v>397</v>
      </c>
      <c r="D203" s="125" t="s">
        <v>284</v>
      </c>
      <c r="E203" s="126" t="s">
        <v>423</v>
      </c>
      <c r="F203" s="127" t="s">
        <v>424</v>
      </c>
      <c r="G203" s="128" t="s">
        <v>366</v>
      </c>
      <c r="H203" s="129">
        <v>247.626</v>
      </c>
      <c r="I203" s="130">
        <v>140.64048227116101</v>
      </c>
      <c r="J203" s="131">
        <f>ROUND(I203*H203,2)</f>
        <v>34826.239999999998</v>
      </c>
      <c r="K203" s="127" t="s">
        <v>293</v>
      </c>
      <c r="L203" s="268">
        <f>S203</f>
        <v>0</v>
      </c>
      <c r="M203" s="272">
        <f>ROUND(L203*I203,2)</f>
        <v>0</v>
      </c>
      <c r="N203" s="243">
        <f>N217</f>
        <v>36.624500000000012</v>
      </c>
      <c r="O203" s="294">
        <f>ROUND(N203*I203,2)</f>
        <v>5150.8900000000003</v>
      </c>
      <c r="P203" s="273">
        <f>H203-L203-N203</f>
        <v>211.00149999999999</v>
      </c>
      <c r="Q203" s="287">
        <f>ROUND(P203*I203,2)</f>
        <v>29675.35</v>
      </c>
      <c r="R203" s="137"/>
      <c r="S203" s="269">
        <f>W203+Y203+AA203+AC203+AE203</f>
        <v>0</v>
      </c>
      <c r="T203" s="269">
        <f>ROUND(S203*I203,2)</f>
        <v>0</v>
      </c>
      <c r="U203" s="269">
        <f>H203-S203</f>
        <v>247.626</v>
      </c>
      <c r="V203" s="269">
        <f>ROUND(U203*I203,2)</f>
        <v>34826.239999999998</v>
      </c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DB203" s="132" t="s">
        <v>1</v>
      </c>
      <c r="DC203" s="133" t="s">
        <v>40</v>
      </c>
      <c r="DE203" s="134">
        <f>DD203*H203</f>
        <v>0</v>
      </c>
      <c r="DF203" s="134">
        <v>0</v>
      </c>
      <c r="DG203" s="134">
        <f>DF203*H203</f>
        <v>0</v>
      </c>
      <c r="DH203" s="134">
        <v>0</v>
      </c>
      <c r="DI203" s="135">
        <f>DH203*H203</f>
        <v>0</v>
      </c>
      <c r="EG203" s="136" t="s">
        <v>95</v>
      </c>
      <c r="EI203" s="136" t="s">
        <v>284</v>
      </c>
      <c r="EJ203" s="136" t="s">
        <v>83</v>
      </c>
      <c r="EN203" s="16" t="s">
        <v>282</v>
      </c>
      <c r="ET203" s="137">
        <f>IF(DC203="základní",J203,0)</f>
        <v>34826.239999999998</v>
      </c>
      <c r="EU203" s="137">
        <f>IF(DC203="snížená",J203,0)</f>
        <v>0</v>
      </c>
      <c r="EV203" s="137">
        <f>IF(DC203="zákl. přenesená",J203,0)</f>
        <v>0</v>
      </c>
      <c r="EW203" s="137">
        <f>IF(DC203="sníž. přenesená",J203,0)</f>
        <v>0</v>
      </c>
      <c r="EX203" s="137">
        <f>IF(DC203="nulová",J203,0)</f>
        <v>0</v>
      </c>
      <c r="EY203" s="16" t="s">
        <v>81</v>
      </c>
      <c r="EZ203" s="137">
        <f>ROUND(I203*H203,2)</f>
        <v>34826.239999999998</v>
      </c>
      <c r="FA203" s="16" t="s">
        <v>95</v>
      </c>
      <c r="FB203" s="136" t="s">
        <v>425</v>
      </c>
    </row>
    <row r="204" spans="2:158" s="1" customFormat="1" ht="29.25" x14ac:dyDescent="0.2">
      <c r="B204" s="31"/>
      <c r="D204" s="138" t="s">
        <v>289</v>
      </c>
      <c r="F204" s="139" t="s">
        <v>426</v>
      </c>
      <c r="I204" s="140"/>
      <c r="L204" s="31"/>
      <c r="N204" s="213"/>
      <c r="O204" s="214"/>
      <c r="Q204" s="229"/>
      <c r="DB204" s="141"/>
      <c r="DI204" s="50"/>
      <c r="EI204" s="16" t="s">
        <v>289</v>
      </c>
      <c r="EJ204" s="16" t="s">
        <v>83</v>
      </c>
    </row>
    <row r="205" spans="2:158" s="11" customFormat="1" x14ac:dyDescent="0.2">
      <c r="B205" s="143"/>
      <c r="D205" s="138" t="s">
        <v>301</v>
      </c>
      <c r="E205" s="144" t="s">
        <v>1</v>
      </c>
      <c r="F205" s="145" t="s">
        <v>427</v>
      </c>
      <c r="H205" s="144" t="s">
        <v>1</v>
      </c>
      <c r="I205" s="146"/>
      <c r="L205" s="143"/>
      <c r="N205" s="215"/>
      <c r="O205" s="216"/>
      <c r="Q205" s="230"/>
      <c r="DB205" s="147"/>
      <c r="DI205" s="148"/>
      <c r="EI205" s="144" t="s">
        <v>301</v>
      </c>
      <c r="EJ205" s="144" t="s">
        <v>83</v>
      </c>
      <c r="EK205" s="11" t="s">
        <v>81</v>
      </c>
      <c r="EL205" s="11" t="s">
        <v>32</v>
      </c>
      <c r="EM205" s="11" t="s">
        <v>74</v>
      </c>
      <c r="EN205" s="144" t="s">
        <v>282</v>
      </c>
    </row>
    <row r="206" spans="2:158" s="12" customFormat="1" x14ac:dyDescent="0.2">
      <c r="B206" s="149"/>
      <c r="D206" s="138" t="s">
        <v>301</v>
      </c>
      <c r="E206" s="150" t="s">
        <v>1</v>
      </c>
      <c r="F206" s="151" t="s">
        <v>1583</v>
      </c>
      <c r="H206" s="152">
        <v>282.50799999999998</v>
      </c>
      <c r="I206" s="153"/>
      <c r="L206" s="149"/>
      <c r="N206" s="217">
        <f>161.855+161.855</f>
        <v>323.70999999999998</v>
      </c>
      <c r="O206" s="218" t="s">
        <v>3512</v>
      </c>
      <c r="Q206" s="231"/>
      <c r="DB206" s="154"/>
      <c r="DI206" s="155"/>
      <c r="EI206" s="150" t="s">
        <v>301</v>
      </c>
      <c r="EJ206" s="150" t="s">
        <v>83</v>
      </c>
      <c r="EK206" s="12" t="s">
        <v>83</v>
      </c>
      <c r="EL206" s="12" t="s">
        <v>32</v>
      </c>
      <c r="EM206" s="12" t="s">
        <v>74</v>
      </c>
      <c r="EN206" s="150" t="s">
        <v>282</v>
      </c>
    </row>
    <row r="207" spans="2:158" s="11" customFormat="1" x14ac:dyDescent="0.2">
      <c r="B207" s="143"/>
      <c r="D207" s="138" t="s">
        <v>301</v>
      </c>
      <c r="E207" s="144" t="s">
        <v>1</v>
      </c>
      <c r="F207" s="145" t="s">
        <v>428</v>
      </c>
      <c r="H207" s="144" t="s">
        <v>1</v>
      </c>
      <c r="I207" s="146"/>
      <c r="L207" s="143"/>
      <c r="N207" s="215"/>
      <c r="O207" s="216"/>
      <c r="Q207" s="230"/>
      <c r="DB207" s="147"/>
      <c r="DI207" s="148"/>
      <c r="EI207" s="144" t="s">
        <v>301</v>
      </c>
      <c r="EJ207" s="144" t="s">
        <v>83</v>
      </c>
      <c r="EK207" s="11" t="s">
        <v>81</v>
      </c>
      <c r="EL207" s="11" t="s">
        <v>32</v>
      </c>
      <c r="EM207" s="11" t="s">
        <v>74</v>
      </c>
      <c r="EN207" s="144" t="s">
        <v>282</v>
      </c>
    </row>
    <row r="208" spans="2:158" s="12" customFormat="1" x14ac:dyDescent="0.2">
      <c r="B208" s="149"/>
      <c r="D208" s="138" t="s">
        <v>301</v>
      </c>
      <c r="E208" s="150" t="s">
        <v>1</v>
      </c>
      <c r="F208" s="151" t="s">
        <v>1587</v>
      </c>
      <c r="H208" s="152">
        <v>-60.637999999999998</v>
      </c>
      <c r="I208" s="153"/>
      <c r="L208" s="149"/>
      <c r="N208" s="217">
        <f>-N225</f>
        <v>-70.709100000000007</v>
      </c>
      <c r="O208" s="218"/>
      <c r="Q208" s="231"/>
      <c r="DB208" s="154"/>
      <c r="DI208" s="155"/>
      <c r="EI208" s="150" t="s">
        <v>301</v>
      </c>
      <c r="EJ208" s="150" t="s">
        <v>83</v>
      </c>
      <c r="EK208" s="12" t="s">
        <v>83</v>
      </c>
      <c r="EL208" s="12" t="s">
        <v>32</v>
      </c>
      <c r="EM208" s="12" t="s">
        <v>74</v>
      </c>
      <c r="EN208" s="150" t="s">
        <v>282</v>
      </c>
    </row>
    <row r="209" spans="2:158" s="11" customFormat="1" x14ac:dyDescent="0.2">
      <c r="B209" s="143"/>
      <c r="D209" s="138" t="s">
        <v>301</v>
      </c>
      <c r="E209" s="144" t="s">
        <v>1</v>
      </c>
      <c r="F209" s="145" t="s">
        <v>430</v>
      </c>
      <c r="H209" s="144" t="s">
        <v>1</v>
      </c>
      <c r="I209" s="146"/>
      <c r="L209" s="143"/>
      <c r="N209" s="215"/>
      <c r="O209" s="216"/>
      <c r="Q209" s="230"/>
      <c r="DB209" s="147"/>
      <c r="DI209" s="148"/>
      <c r="EI209" s="144" t="s">
        <v>301</v>
      </c>
      <c r="EJ209" s="144" t="s">
        <v>83</v>
      </c>
      <c r="EK209" s="11" t="s">
        <v>81</v>
      </c>
      <c r="EL209" s="11" t="s">
        <v>32</v>
      </c>
      <c r="EM209" s="11" t="s">
        <v>74</v>
      </c>
      <c r="EN209" s="144" t="s">
        <v>282</v>
      </c>
    </row>
    <row r="210" spans="2:158" s="12" customFormat="1" x14ac:dyDescent="0.2">
      <c r="B210" s="149"/>
      <c r="D210" s="138" t="s">
        <v>301</v>
      </c>
      <c r="E210" s="150" t="s">
        <v>1</v>
      </c>
      <c r="F210" s="151" t="s">
        <v>1588</v>
      </c>
      <c r="H210" s="152">
        <v>-12.9</v>
      </c>
      <c r="I210" s="153"/>
      <c r="L210" s="149"/>
      <c r="N210" s="310">
        <f>-N242-H244</f>
        <v>-14.731200000000001</v>
      </c>
      <c r="O210" s="218"/>
      <c r="Q210" s="231"/>
      <c r="DB210" s="154"/>
      <c r="DI210" s="155"/>
      <c r="EI210" s="150" t="s">
        <v>301</v>
      </c>
      <c r="EJ210" s="150" t="s">
        <v>83</v>
      </c>
      <c r="EK210" s="12" t="s">
        <v>83</v>
      </c>
      <c r="EL210" s="12" t="s">
        <v>32</v>
      </c>
      <c r="EM210" s="12" t="s">
        <v>74</v>
      </c>
      <c r="EN210" s="150" t="s">
        <v>282</v>
      </c>
    </row>
    <row r="211" spans="2:158" s="11" customFormat="1" x14ac:dyDescent="0.2">
      <c r="B211" s="143"/>
      <c r="D211" s="138" t="s">
        <v>301</v>
      </c>
      <c r="E211" s="144" t="s">
        <v>1</v>
      </c>
      <c r="F211" s="145" t="s">
        <v>432</v>
      </c>
      <c r="H211" s="144" t="s">
        <v>1</v>
      </c>
      <c r="I211" s="146"/>
      <c r="L211" s="143"/>
      <c r="N211" s="215"/>
      <c r="O211" s="216"/>
      <c r="Q211" s="230"/>
      <c r="DB211" s="147"/>
      <c r="DI211" s="148"/>
      <c r="EI211" s="144" t="s">
        <v>301</v>
      </c>
      <c r="EJ211" s="144" t="s">
        <v>83</v>
      </c>
      <c r="EK211" s="11" t="s">
        <v>81</v>
      </c>
      <c r="EL211" s="11" t="s">
        <v>32</v>
      </c>
      <c r="EM211" s="11" t="s">
        <v>74</v>
      </c>
      <c r="EN211" s="144" t="s">
        <v>282</v>
      </c>
    </row>
    <row r="212" spans="2:158" s="12" customFormat="1" x14ac:dyDescent="0.2">
      <c r="B212" s="149"/>
      <c r="D212" s="138" t="s">
        <v>301</v>
      </c>
      <c r="E212" s="150" t="s">
        <v>1</v>
      </c>
      <c r="F212" s="151" t="s">
        <v>754</v>
      </c>
      <c r="H212" s="152">
        <v>-1.0129999999999999</v>
      </c>
      <c r="I212" s="153"/>
      <c r="L212" s="149"/>
      <c r="N212" s="310">
        <f>H212</f>
        <v>-1.0129999999999999</v>
      </c>
      <c r="O212" s="218"/>
      <c r="Q212" s="231"/>
      <c r="DB212" s="154"/>
      <c r="DI212" s="155"/>
      <c r="EI212" s="150" t="s">
        <v>301</v>
      </c>
      <c r="EJ212" s="150" t="s">
        <v>83</v>
      </c>
      <c r="EK212" s="12" t="s">
        <v>83</v>
      </c>
      <c r="EL212" s="12" t="s">
        <v>32</v>
      </c>
      <c r="EM212" s="12" t="s">
        <v>74</v>
      </c>
      <c r="EN212" s="150" t="s">
        <v>282</v>
      </c>
    </row>
    <row r="213" spans="2:158" s="12" customFormat="1" x14ac:dyDescent="0.2">
      <c r="B213" s="149"/>
      <c r="D213" s="138" t="s">
        <v>301</v>
      </c>
      <c r="E213" s="150" t="s">
        <v>1</v>
      </c>
      <c r="F213" s="151" t="s">
        <v>1589</v>
      </c>
      <c r="H213" s="152">
        <v>-9.7769999999999992</v>
      </c>
      <c r="I213" s="153"/>
      <c r="L213" s="149"/>
      <c r="N213" s="310">
        <f>H213</f>
        <v>-9.7769999999999992</v>
      </c>
      <c r="O213" s="218"/>
      <c r="Q213" s="231"/>
      <c r="DB213" s="154"/>
      <c r="DI213" s="155"/>
      <c r="EI213" s="150" t="s">
        <v>301</v>
      </c>
      <c r="EJ213" s="150" t="s">
        <v>83</v>
      </c>
      <c r="EK213" s="12" t="s">
        <v>83</v>
      </c>
      <c r="EL213" s="12" t="s">
        <v>32</v>
      </c>
      <c r="EM213" s="12" t="s">
        <v>74</v>
      </c>
      <c r="EN213" s="150" t="s">
        <v>282</v>
      </c>
    </row>
    <row r="214" spans="2:158" s="11" customFormat="1" x14ac:dyDescent="0.2">
      <c r="B214" s="143"/>
      <c r="D214" s="138" t="s">
        <v>301</v>
      </c>
      <c r="E214" s="144" t="s">
        <v>1</v>
      </c>
      <c r="F214" s="145" t="s">
        <v>436</v>
      </c>
      <c r="H214" s="144" t="s">
        <v>1</v>
      </c>
      <c r="I214" s="146"/>
      <c r="L214" s="143"/>
      <c r="N214" s="215"/>
      <c r="O214" s="216"/>
      <c r="Q214" s="230"/>
      <c r="DB214" s="147"/>
      <c r="DI214" s="148"/>
      <c r="EI214" s="144" t="s">
        <v>301</v>
      </c>
      <c r="EJ214" s="144" t="s">
        <v>83</v>
      </c>
      <c r="EK214" s="11" t="s">
        <v>81</v>
      </c>
      <c r="EL214" s="11" t="s">
        <v>32</v>
      </c>
      <c r="EM214" s="11" t="s">
        <v>74</v>
      </c>
      <c r="EN214" s="144" t="s">
        <v>282</v>
      </c>
    </row>
    <row r="215" spans="2:158" s="12" customFormat="1" x14ac:dyDescent="0.2">
      <c r="B215" s="149"/>
      <c r="D215" s="138" t="s">
        <v>301</v>
      </c>
      <c r="E215" s="150" t="s">
        <v>1</v>
      </c>
      <c r="F215" s="151" t="s">
        <v>1590</v>
      </c>
      <c r="H215" s="152">
        <v>49.445999999999998</v>
      </c>
      <c r="I215" s="153"/>
      <c r="L215" s="149"/>
      <c r="N215" s="217">
        <f>141.927*(0.45-0.05)</f>
        <v>56.770800000000001</v>
      </c>
      <c r="O215" s="218" t="s">
        <v>3518</v>
      </c>
      <c r="Q215" s="231"/>
      <c r="DB215" s="154"/>
      <c r="DI215" s="155"/>
      <c r="EI215" s="150" t="s">
        <v>301</v>
      </c>
      <c r="EJ215" s="150" t="s">
        <v>83</v>
      </c>
      <c r="EK215" s="12" t="s">
        <v>83</v>
      </c>
      <c r="EL215" s="12" t="s">
        <v>32</v>
      </c>
      <c r="EM215" s="12" t="s">
        <v>74</v>
      </c>
      <c r="EN215" s="150" t="s">
        <v>282</v>
      </c>
    </row>
    <row r="216" spans="2:158" s="13" customFormat="1" x14ac:dyDescent="0.2">
      <c r="B216" s="156"/>
      <c r="D216" s="138" t="s">
        <v>301</v>
      </c>
      <c r="E216" s="157" t="s">
        <v>1</v>
      </c>
      <c r="F216" s="158" t="s">
        <v>305</v>
      </c>
      <c r="H216" s="159">
        <v>247.62599999999998</v>
      </c>
      <c r="I216" s="160"/>
      <c r="L216" s="156"/>
      <c r="N216" s="219">
        <f>SUM(N206:N215)</f>
        <v>284.25049999999999</v>
      </c>
      <c r="O216" s="220"/>
      <c r="Q216" s="232"/>
      <c r="DB216" s="161"/>
      <c r="DI216" s="162"/>
      <c r="EI216" s="157" t="s">
        <v>301</v>
      </c>
      <c r="EJ216" s="157" t="s">
        <v>83</v>
      </c>
      <c r="EK216" s="13" t="s">
        <v>95</v>
      </c>
      <c r="EL216" s="13" t="s">
        <v>32</v>
      </c>
      <c r="EM216" s="13" t="s">
        <v>81</v>
      </c>
      <c r="EN216" s="157" t="s">
        <v>282</v>
      </c>
    </row>
    <row r="217" spans="2:158" s="13" customFormat="1" x14ac:dyDescent="0.2">
      <c r="B217" s="156"/>
      <c r="D217" s="138"/>
      <c r="E217" s="157"/>
      <c r="F217" s="158"/>
      <c r="H217" s="159"/>
      <c r="I217" s="160"/>
      <c r="L217" s="156"/>
      <c r="N217" s="311">
        <f>N216-H216</f>
        <v>36.624500000000012</v>
      </c>
      <c r="O217" s="220"/>
      <c r="Q217" s="232"/>
      <c r="DB217" s="161"/>
      <c r="DI217" s="162"/>
      <c r="EI217" s="157"/>
      <c r="EJ217" s="157"/>
      <c r="EN217" s="157"/>
    </row>
    <row r="218" spans="2:158" s="1" customFormat="1" ht="14.45" customHeight="1" x14ac:dyDescent="0.2">
      <c r="B218" s="124"/>
      <c r="C218" s="170" t="s">
        <v>404</v>
      </c>
      <c r="D218" s="170" t="s">
        <v>439</v>
      </c>
      <c r="E218" s="171" t="s">
        <v>440</v>
      </c>
      <c r="F218" s="172" t="s">
        <v>441</v>
      </c>
      <c r="G218" s="173" t="s">
        <v>418</v>
      </c>
      <c r="H218" s="174">
        <v>495.25200000000001</v>
      </c>
      <c r="I218" s="175">
        <v>390.0974172</v>
      </c>
      <c r="J218" s="176">
        <f>ROUND(I218*H218,2)</f>
        <v>193196.53</v>
      </c>
      <c r="K218" s="172" t="s">
        <v>293</v>
      </c>
      <c r="L218" s="268">
        <f>S218</f>
        <v>0</v>
      </c>
      <c r="M218" s="272">
        <f>ROUND(L218*I218,2)</f>
        <v>0</v>
      </c>
      <c r="N218" s="243">
        <f>N221</f>
        <v>73.25</v>
      </c>
      <c r="O218" s="294">
        <f>ROUND(N218*I218,2)</f>
        <v>28574.639999999999</v>
      </c>
      <c r="P218" s="273">
        <f>H218-L218-N218</f>
        <v>422.00200000000001</v>
      </c>
      <c r="Q218" s="287">
        <f>ROUND(P218*I218,2)</f>
        <v>164621.89000000001</v>
      </c>
      <c r="R218" s="137"/>
      <c r="S218" s="269">
        <f>W218+Y218+AA218+AC218+AE218</f>
        <v>0</v>
      </c>
      <c r="T218" s="269">
        <f>ROUND(S218*I218,2)</f>
        <v>0</v>
      </c>
      <c r="U218" s="269">
        <f>H218-S218</f>
        <v>495.25200000000001</v>
      </c>
      <c r="V218" s="269">
        <f>ROUND(U218*I218,2)</f>
        <v>193196.53</v>
      </c>
      <c r="W218" s="290"/>
      <c r="X218" s="290"/>
      <c r="Y218" s="290"/>
      <c r="Z218" s="290"/>
      <c r="AA218" s="290"/>
      <c r="AB218" s="290"/>
      <c r="AC218" s="290"/>
      <c r="AD218" s="290"/>
      <c r="AE218" s="290"/>
      <c r="AF218" s="290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77" t="s">
        <v>1</v>
      </c>
      <c r="DC218" s="178" t="s">
        <v>40</v>
      </c>
      <c r="DE218" s="134">
        <f>DD218*H218</f>
        <v>0</v>
      </c>
      <c r="DF218" s="134">
        <v>1</v>
      </c>
      <c r="DG218" s="134">
        <f>DF218*H218</f>
        <v>495.25200000000001</v>
      </c>
      <c r="DH218" s="134">
        <v>0</v>
      </c>
      <c r="DI218" s="135">
        <f>DH218*H218</f>
        <v>0</v>
      </c>
      <c r="EG218" s="136" t="s">
        <v>328</v>
      </c>
      <c r="EI218" s="136" t="s">
        <v>439</v>
      </c>
      <c r="EJ218" s="136" t="s">
        <v>83</v>
      </c>
      <c r="EN218" s="16" t="s">
        <v>282</v>
      </c>
      <c r="ET218" s="137">
        <f>IF(DC218="základní",J218,0)</f>
        <v>193196.53</v>
      </c>
      <c r="EU218" s="137">
        <f>IF(DC218="snížená",J218,0)</f>
        <v>0</v>
      </c>
      <c r="EV218" s="137">
        <f>IF(DC218="zákl. přenesená",J218,0)</f>
        <v>0</v>
      </c>
      <c r="EW218" s="137">
        <f>IF(DC218="sníž. přenesená",J218,0)</f>
        <v>0</v>
      </c>
      <c r="EX218" s="137">
        <f>IF(DC218="nulová",J218,0)</f>
        <v>0</v>
      </c>
      <c r="EY218" s="16" t="s">
        <v>81</v>
      </c>
      <c r="EZ218" s="137">
        <f>ROUND(I218*H218,2)</f>
        <v>193196.53</v>
      </c>
      <c r="FA218" s="16" t="s">
        <v>95</v>
      </c>
      <c r="FB218" s="136" t="s">
        <v>442</v>
      </c>
    </row>
    <row r="219" spans="2:158" s="1" customFormat="1" x14ac:dyDescent="0.2">
      <c r="B219" s="31"/>
      <c r="D219" s="138" t="s">
        <v>289</v>
      </c>
      <c r="F219" s="139" t="s">
        <v>441</v>
      </c>
      <c r="I219" s="140"/>
      <c r="L219" s="31"/>
      <c r="N219" s="213"/>
      <c r="O219" s="214"/>
      <c r="Q219" s="229"/>
      <c r="DB219" s="141"/>
      <c r="DI219" s="50"/>
      <c r="EI219" s="16" t="s">
        <v>289</v>
      </c>
      <c r="EJ219" s="16" t="s">
        <v>83</v>
      </c>
    </row>
    <row r="220" spans="2:158" s="1" customFormat="1" ht="19.5" x14ac:dyDescent="0.2">
      <c r="B220" s="31"/>
      <c r="D220" s="138" t="s">
        <v>299</v>
      </c>
      <c r="F220" s="142" t="s">
        <v>443</v>
      </c>
      <c r="I220" s="140"/>
      <c r="L220" s="31"/>
      <c r="N220" s="213"/>
      <c r="O220" s="214"/>
      <c r="Q220" s="229"/>
      <c r="DB220" s="141"/>
      <c r="DI220" s="50"/>
      <c r="EI220" s="16" t="s">
        <v>299</v>
      </c>
      <c r="EJ220" s="16" t="s">
        <v>83</v>
      </c>
    </row>
    <row r="221" spans="2:158" s="12" customFormat="1" x14ac:dyDescent="0.2">
      <c r="B221" s="149"/>
      <c r="D221" s="138" t="s">
        <v>301</v>
      </c>
      <c r="F221" s="151" t="s">
        <v>1591</v>
      </c>
      <c r="H221" s="152">
        <v>495.25200000000001</v>
      </c>
      <c r="I221" s="153"/>
      <c r="L221" s="149"/>
      <c r="N221" s="217">
        <f>36.625*2</f>
        <v>73.25</v>
      </c>
      <c r="O221" s="359" t="s">
        <v>3519</v>
      </c>
      <c r="Q221" s="231"/>
      <c r="DB221" s="154"/>
      <c r="DI221" s="155"/>
      <c r="EI221" s="150" t="s">
        <v>301</v>
      </c>
      <c r="EJ221" s="150" t="s">
        <v>83</v>
      </c>
      <c r="EK221" s="12" t="s">
        <v>83</v>
      </c>
      <c r="EL221" s="12" t="s">
        <v>3</v>
      </c>
      <c r="EM221" s="12" t="s">
        <v>81</v>
      </c>
      <c r="EN221" s="150" t="s">
        <v>282</v>
      </c>
    </row>
    <row r="222" spans="2:158" s="1" customFormat="1" ht="24.2" customHeight="1" x14ac:dyDescent="0.2">
      <c r="B222" s="124"/>
      <c r="C222" s="125" t="s">
        <v>7</v>
      </c>
      <c r="D222" s="125" t="s">
        <v>284</v>
      </c>
      <c r="E222" s="126" t="s">
        <v>446</v>
      </c>
      <c r="F222" s="127" t="s">
        <v>447</v>
      </c>
      <c r="G222" s="128" t="s">
        <v>366</v>
      </c>
      <c r="H222" s="129">
        <v>60.637999999999998</v>
      </c>
      <c r="I222" s="130">
        <v>510.38291484661499</v>
      </c>
      <c r="J222" s="131">
        <f>ROUND(I222*H222,2)</f>
        <v>30948.6</v>
      </c>
      <c r="K222" s="127" t="s">
        <v>293</v>
      </c>
      <c r="L222" s="268">
        <f>S222</f>
        <v>0</v>
      </c>
      <c r="M222" s="272">
        <f>ROUND(L222*I222,2)</f>
        <v>0</v>
      </c>
      <c r="N222" s="243">
        <f>N226</f>
        <v>10.071100000000008</v>
      </c>
      <c r="O222" s="294">
        <f>ROUND(N222*I222,2)</f>
        <v>5140.12</v>
      </c>
      <c r="P222" s="273">
        <f>H222-L222-N222</f>
        <v>50.56689999999999</v>
      </c>
      <c r="Q222" s="287">
        <f>ROUND(P222*I222,2)</f>
        <v>25808.48</v>
      </c>
      <c r="R222" s="137"/>
      <c r="S222" s="269">
        <f>W222+Y222+AA222+AC222+AE222</f>
        <v>0</v>
      </c>
      <c r="T222" s="269">
        <f>ROUND(S222*I222,2)</f>
        <v>0</v>
      </c>
      <c r="U222" s="269">
        <f>H222-S222</f>
        <v>60.637999999999998</v>
      </c>
      <c r="V222" s="269">
        <f>ROUND(U222*I222,2)</f>
        <v>30948.6</v>
      </c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DB222" s="132" t="s">
        <v>1</v>
      </c>
      <c r="DC222" s="133" t="s">
        <v>40</v>
      </c>
      <c r="DE222" s="134">
        <f>DD222*H222</f>
        <v>0</v>
      </c>
      <c r="DF222" s="134">
        <v>0</v>
      </c>
      <c r="DG222" s="134">
        <f>DF222*H222</f>
        <v>0</v>
      </c>
      <c r="DH222" s="134">
        <v>0</v>
      </c>
      <c r="DI222" s="135">
        <f>DH222*H222</f>
        <v>0</v>
      </c>
      <c r="EG222" s="136" t="s">
        <v>95</v>
      </c>
      <c r="EI222" s="136" t="s">
        <v>284</v>
      </c>
      <c r="EJ222" s="136" t="s">
        <v>83</v>
      </c>
      <c r="EN222" s="16" t="s">
        <v>282</v>
      </c>
      <c r="ET222" s="137">
        <f>IF(DC222="základní",J222,0)</f>
        <v>30948.6</v>
      </c>
      <c r="EU222" s="137">
        <f>IF(DC222="snížená",J222,0)</f>
        <v>0</v>
      </c>
      <c r="EV222" s="137">
        <f>IF(DC222="zákl. přenesená",J222,0)</f>
        <v>0</v>
      </c>
      <c r="EW222" s="137">
        <f>IF(DC222="sníž. přenesená",J222,0)</f>
        <v>0</v>
      </c>
      <c r="EX222" s="137">
        <f>IF(DC222="nulová",J222,0)</f>
        <v>0</v>
      </c>
      <c r="EY222" s="16" t="s">
        <v>81</v>
      </c>
      <c r="EZ222" s="137">
        <f>ROUND(I222*H222,2)</f>
        <v>30948.6</v>
      </c>
      <c r="FA222" s="16" t="s">
        <v>95</v>
      </c>
      <c r="FB222" s="136" t="s">
        <v>448</v>
      </c>
    </row>
    <row r="223" spans="2:158" s="1" customFormat="1" ht="39" x14ac:dyDescent="0.2">
      <c r="B223" s="31"/>
      <c r="D223" s="138" t="s">
        <v>289</v>
      </c>
      <c r="F223" s="139" t="s">
        <v>449</v>
      </c>
      <c r="I223" s="140"/>
      <c r="L223" s="31"/>
      <c r="N223" s="213"/>
      <c r="O223" s="214"/>
      <c r="Q223" s="229"/>
      <c r="DB223" s="141"/>
      <c r="DI223" s="50"/>
      <c r="EI223" s="16" t="s">
        <v>289</v>
      </c>
      <c r="EJ223" s="16" t="s">
        <v>83</v>
      </c>
    </row>
    <row r="224" spans="2:158" s="1" customFormat="1" ht="19.5" x14ac:dyDescent="0.2">
      <c r="B224" s="31"/>
      <c r="D224" s="138" t="s">
        <v>299</v>
      </c>
      <c r="F224" s="142" t="s">
        <v>317</v>
      </c>
      <c r="I224" s="140"/>
      <c r="L224" s="31"/>
      <c r="N224" s="213"/>
      <c r="O224" s="214"/>
      <c r="Q224" s="229"/>
      <c r="DB224" s="141"/>
      <c r="DI224" s="50"/>
      <c r="EI224" s="16" t="s">
        <v>299</v>
      </c>
      <c r="EJ224" s="16" t="s">
        <v>83</v>
      </c>
    </row>
    <row r="225" spans="2:158" s="12" customFormat="1" x14ac:dyDescent="0.2">
      <c r="B225" s="149"/>
      <c r="D225" s="138" t="s">
        <v>301</v>
      </c>
      <c r="E225" s="150" t="s">
        <v>1</v>
      </c>
      <c r="F225" s="151" t="s">
        <v>1592</v>
      </c>
      <c r="H225" s="152">
        <v>60.637999999999998</v>
      </c>
      <c r="I225" s="153"/>
      <c r="L225" s="149"/>
      <c r="N225" s="217">
        <f>122.44*1.05*0.55</f>
        <v>70.709100000000007</v>
      </c>
      <c r="O225" s="359" t="s">
        <v>3515</v>
      </c>
      <c r="Q225" s="231"/>
      <c r="DB225" s="154"/>
      <c r="DI225" s="155"/>
      <c r="EI225" s="150" t="s">
        <v>301</v>
      </c>
      <c r="EJ225" s="150" t="s">
        <v>83</v>
      </c>
      <c r="EK225" s="12" t="s">
        <v>83</v>
      </c>
      <c r="EL225" s="12" t="s">
        <v>32</v>
      </c>
      <c r="EM225" s="12" t="s">
        <v>81</v>
      </c>
      <c r="EN225" s="150" t="s">
        <v>282</v>
      </c>
    </row>
    <row r="226" spans="2:158" s="12" customFormat="1" x14ac:dyDescent="0.2">
      <c r="B226" s="149"/>
      <c r="D226" s="138"/>
      <c r="E226" s="150"/>
      <c r="F226" s="151"/>
      <c r="H226" s="152"/>
      <c r="I226" s="153"/>
      <c r="L226" s="149"/>
      <c r="N226" s="310">
        <f>N225-H225</f>
        <v>10.071100000000008</v>
      </c>
      <c r="O226" s="359"/>
      <c r="Q226" s="231"/>
      <c r="DB226" s="154"/>
      <c r="DI226" s="155"/>
      <c r="EI226" s="150"/>
      <c r="EJ226" s="150"/>
      <c r="EN226" s="150"/>
    </row>
    <row r="227" spans="2:158" s="1" customFormat="1" ht="14.45" customHeight="1" x14ac:dyDescent="0.2">
      <c r="B227" s="124"/>
      <c r="C227" s="170" t="s">
        <v>415</v>
      </c>
      <c r="D227" s="170" t="s">
        <v>439</v>
      </c>
      <c r="E227" s="171" t="s">
        <v>452</v>
      </c>
      <c r="F227" s="172" t="s">
        <v>453</v>
      </c>
      <c r="G227" s="173" t="s">
        <v>418</v>
      </c>
      <c r="H227" s="174">
        <v>121.276</v>
      </c>
      <c r="I227" s="175">
        <v>380.62816190000001</v>
      </c>
      <c r="J227" s="176">
        <f>ROUND(I227*H227,2)</f>
        <v>46161.06</v>
      </c>
      <c r="K227" s="172" t="s">
        <v>293</v>
      </c>
      <c r="L227" s="268">
        <f>S227</f>
        <v>0</v>
      </c>
      <c r="M227" s="272">
        <f>ROUND(L227*I227,2)</f>
        <v>0</v>
      </c>
      <c r="N227" s="243">
        <f>N229</f>
        <v>20.141999999999999</v>
      </c>
      <c r="O227" s="294">
        <f>ROUND(N227*I227,2)</f>
        <v>7666.61</v>
      </c>
      <c r="P227" s="273">
        <f>H227-L227-N227</f>
        <v>101.134</v>
      </c>
      <c r="Q227" s="287">
        <f>ROUND(P227*I227,2)</f>
        <v>38494.449999999997</v>
      </c>
      <c r="R227" s="137"/>
      <c r="S227" s="269">
        <f>W227+Y227+AA227+AC227+AE227</f>
        <v>0</v>
      </c>
      <c r="T227" s="269">
        <f>ROUND(S227*I227,2)</f>
        <v>0</v>
      </c>
      <c r="U227" s="269">
        <f>H227-S227</f>
        <v>121.276</v>
      </c>
      <c r="V227" s="269">
        <f>ROUND(U227*I227,2)</f>
        <v>46161.06</v>
      </c>
      <c r="W227" s="290"/>
      <c r="X227" s="290"/>
      <c r="Y227" s="290"/>
      <c r="Z227" s="290"/>
      <c r="AA227" s="290"/>
      <c r="AB227" s="290"/>
      <c r="AC227" s="290"/>
      <c r="AD227" s="290"/>
      <c r="AE227" s="290"/>
      <c r="AF227" s="290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77" t="s">
        <v>1</v>
      </c>
      <c r="DC227" s="178" t="s">
        <v>40</v>
      </c>
      <c r="DE227" s="134">
        <f>DD227*H227</f>
        <v>0</v>
      </c>
      <c r="DF227" s="134">
        <v>1</v>
      </c>
      <c r="DG227" s="134">
        <f>DF227*H227</f>
        <v>121.276</v>
      </c>
      <c r="DH227" s="134">
        <v>0</v>
      </c>
      <c r="DI227" s="135">
        <f>DH227*H227</f>
        <v>0</v>
      </c>
      <c r="EG227" s="136" t="s">
        <v>328</v>
      </c>
      <c r="EI227" s="136" t="s">
        <v>439</v>
      </c>
      <c r="EJ227" s="136" t="s">
        <v>83</v>
      </c>
      <c r="EN227" s="16" t="s">
        <v>282</v>
      </c>
      <c r="ET227" s="137">
        <f>IF(DC227="základní",J227,0)</f>
        <v>46161.06</v>
      </c>
      <c r="EU227" s="137">
        <f>IF(DC227="snížená",J227,0)</f>
        <v>0</v>
      </c>
      <c r="EV227" s="137">
        <f>IF(DC227="zákl. přenesená",J227,0)</f>
        <v>0</v>
      </c>
      <c r="EW227" s="137">
        <f>IF(DC227="sníž. přenesená",J227,0)</f>
        <v>0</v>
      </c>
      <c r="EX227" s="137">
        <f>IF(DC227="nulová",J227,0)</f>
        <v>0</v>
      </c>
      <c r="EY227" s="16" t="s">
        <v>81</v>
      </c>
      <c r="EZ227" s="137">
        <f>ROUND(I227*H227,2)</f>
        <v>46161.06</v>
      </c>
      <c r="FA227" s="16" t="s">
        <v>95</v>
      </c>
      <c r="FB227" s="136" t="s">
        <v>454</v>
      </c>
    </row>
    <row r="228" spans="2:158" s="1" customFormat="1" x14ac:dyDescent="0.2">
      <c r="B228" s="31"/>
      <c r="D228" s="138" t="s">
        <v>289</v>
      </c>
      <c r="F228" s="139" t="s">
        <v>453</v>
      </c>
      <c r="I228" s="140"/>
      <c r="L228" s="31"/>
      <c r="N228" s="213"/>
      <c r="O228" s="214"/>
      <c r="Q228" s="229"/>
      <c r="DB228" s="141"/>
      <c r="DI228" s="50"/>
      <c r="EI228" s="16" t="s">
        <v>289</v>
      </c>
      <c r="EJ228" s="16" t="s">
        <v>83</v>
      </c>
    </row>
    <row r="229" spans="2:158" s="12" customFormat="1" x14ac:dyDescent="0.2">
      <c r="B229" s="149"/>
      <c r="D229" s="138" t="s">
        <v>301</v>
      </c>
      <c r="F229" s="151" t="s">
        <v>1593</v>
      </c>
      <c r="H229" s="152">
        <v>121.276</v>
      </c>
      <c r="I229" s="153"/>
      <c r="L229" s="149"/>
      <c r="N229" s="217">
        <f>10.071*2</f>
        <v>20.141999999999999</v>
      </c>
      <c r="O229" s="359" t="s">
        <v>3520</v>
      </c>
      <c r="Q229" s="231"/>
      <c r="DB229" s="154"/>
      <c r="DI229" s="155"/>
      <c r="EI229" s="150" t="s">
        <v>301</v>
      </c>
      <c r="EJ229" s="150" t="s">
        <v>83</v>
      </c>
      <c r="EK229" s="12" t="s">
        <v>83</v>
      </c>
      <c r="EL229" s="12" t="s">
        <v>3</v>
      </c>
      <c r="EM229" s="12" t="s">
        <v>81</v>
      </c>
      <c r="EN229" s="150" t="s">
        <v>282</v>
      </c>
    </row>
    <row r="230" spans="2:158" s="1" customFormat="1" ht="24.2" customHeight="1" x14ac:dyDescent="0.2">
      <c r="B230" s="124"/>
      <c r="C230" s="125" t="s">
        <v>422</v>
      </c>
      <c r="D230" s="125" t="s">
        <v>284</v>
      </c>
      <c r="E230" s="126" t="s">
        <v>457</v>
      </c>
      <c r="F230" s="127" t="s">
        <v>458</v>
      </c>
      <c r="G230" s="128" t="s">
        <v>418</v>
      </c>
      <c r="H230" s="129">
        <v>616.52800000000002</v>
      </c>
      <c r="I230" s="130">
        <v>61.737071122597108</v>
      </c>
      <c r="J230" s="131">
        <f>ROUND(I230*H230,2)</f>
        <v>38062.629999999997</v>
      </c>
      <c r="K230" s="127" t="s">
        <v>293</v>
      </c>
      <c r="L230" s="268">
        <f>S230</f>
        <v>0</v>
      </c>
      <c r="M230" s="272">
        <f>ROUND(L230*I230,2)</f>
        <v>0</v>
      </c>
      <c r="N230" s="243">
        <f>N232</f>
        <v>93.391999999999996</v>
      </c>
      <c r="O230" s="294">
        <f>ROUND(N230*I230,2)</f>
        <v>5765.75</v>
      </c>
      <c r="P230" s="273">
        <f>H230-L230-N230</f>
        <v>523.13599999999997</v>
      </c>
      <c r="Q230" s="287">
        <f>ROUND(P230*I230,2)</f>
        <v>32296.880000000001</v>
      </c>
      <c r="R230" s="137"/>
      <c r="S230" s="269">
        <f>W230+Y230+AA230+AC230+AE230</f>
        <v>0</v>
      </c>
      <c r="T230" s="269">
        <f>ROUND(S230*I230,2)</f>
        <v>0</v>
      </c>
      <c r="U230" s="269">
        <f>H230-S230</f>
        <v>616.52800000000002</v>
      </c>
      <c r="V230" s="269">
        <f>ROUND(U230*I230,2)</f>
        <v>38062.629999999997</v>
      </c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DB230" s="132" t="s">
        <v>1</v>
      </c>
      <c r="DC230" s="133" t="s">
        <v>40</v>
      </c>
      <c r="DE230" s="134">
        <f>DD230*H230</f>
        <v>0</v>
      </c>
      <c r="DF230" s="134">
        <v>0</v>
      </c>
      <c r="DG230" s="134">
        <f>DF230*H230</f>
        <v>0</v>
      </c>
      <c r="DH230" s="134">
        <v>0</v>
      </c>
      <c r="DI230" s="135">
        <f>DH230*H230</f>
        <v>0</v>
      </c>
      <c r="EG230" s="136" t="s">
        <v>95</v>
      </c>
      <c r="EI230" s="136" t="s">
        <v>284</v>
      </c>
      <c r="EJ230" s="136" t="s">
        <v>83</v>
      </c>
      <c r="EN230" s="16" t="s">
        <v>282</v>
      </c>
      <c r="ET230" s="137">
        <f>IF(DC230="základní",J230,0)</f>
        <v>38062.629999999997</v>
      </c>
      <c r="EU230" s="137">
        <f>IF(DC230="snížená",J230,0)</f>
        <v>0</v>
      </c>
      <c r="EV230" s="137">
        <f>IF(DC230="zákl. přenesená",J230,0)</f>
        <v>0</v>
      </c>
      <c r="EW230" s="137">
        <f>IF(DC230="sníž. přenesená",J230,0)</f>
        <v>0</v>
      </c>
      <c r="EX230" s="137">
        <f>IF(DC230="nulová",J230,0)</f>
        <v>0</v>
      </c>
      <c r="EY230" s="16" t="s">
        <v>81</v>
      </c>
      <c r="EZ230" s="137">
        <f>ROUND(I230*H230,2)</f>
        <v>38062.629999999997</v>
      </c>
      <c r="FA230" s="16" t="s">
        <v>95</v>
      </c>
      <c r="FB230" s="136" t="s">
        <v>459</v>
      </c>
    </row>
    <row r="231" spans="2:158" s="1" customFormat="1" ht="29.25" x14ac:dyDescent="0.2">
      <c r="B231" s="31"/>
      <c r="D231" s="138" t="s">
        <v>289</v>
      </c>
      <c r="F231" s="139" t="s">
        <v>460</v>
      </c>
      <c r="I231" s="140"/>
      <c r="L231" s="31"/>
      <c r="N231" s="213"/>
      <c r="O231" s="214"/>
      <c r="Q231" s="229"/>
      <c r="DB231" s="141"/>
      <c r="DI231" s="50"/>
      <c r="EI231" s="16" t="s">
        <v>289</v>
      </c>
      <c r="EJ231" s="16" t="s">
        <v>83</v>
      </c>
    </row>
    <row r="232" spans="2:158" s="12" customFormat="1" x14ac:dyDescent="0.2">
      <c r="B232" s="149"/>
      <c r="D232" s="138" t="s">
        <v>301</v>
      </c>
      <c r="E232" s="150" t="s">
        <v>1</v>
      </c>
      <c r="F232" s="151" t="s">
        <v>1594</v>
      </c>
      <c r="H232" s="152">
        <v>616.52800000000002</v>
      </c>
      <c r="I232" s="153"/>
      <c r="L232" s="149"/>
      <c r="N232" s="217">
        <f>73.25+20.142</f>
        <v>93.391999999999996</v>
      </c>
      <c r="O232" s="359" t="s">
        <v>3521</v>
      </c>
      <c r="Q232" s="231"/>
      <c r="DB232" s="154"/>
      <c r="DI232" s="155"/>
      <c r="EI232" s="150" t="s">
        <v>301</v>
      </c>
      <c r="EJ232" s="150" t="s">
        <v>83</v>
      </c>
      <c r="EK232" s="12" t="s">
        <v>83</v>
      </c>
      <c r="EL232" s="12" t="s">
        <v>32</v>
      </c>
      <c r="EM232" s="12" t="s">
        <v>81</v>
      </c>
      <c r="EN232" s="150" t="s">
        <v>282</v>
      </c>
    </row>
    <row r="233" spans="2:158" s="10" customFormat="1" ht="22.9" customHeight="1" x14ac:dyDescent="0.2">
      <c r="B233" s="112"/>
      <c r="D233" s="113" t="s">
        <v>73</v>
      </c>
      <c r="E233" s="122" t="s">
        <v>83</v>
      </c>
      <c r="F233" s="122" t="s">
        <v>462</v>
      </c>
      <c r="I233" s="115"/>
      <c r="J233" s="123">
        <f>EZ233</f>
        <v>27727.17</v>
      </c>
      <c r="L233" s="112"/>
      <c r="M233" s="270">
        <f>M234</f>
        <v>0</v>
      </c>
      <c r="N233" s="301"/>
      <c r="O233" s="302">
        <f t="shared" ref="O233:V233" si="0">O234</f>
        <v>4605.3500000000004</v>
      </c>
      <c r="P233" s="270"/>
      <c r="Q233" s="288">
        <f t="shared" si="0"/>
        <v>23121.82</v>
      </c>
      <c r="R233" s="270"/>
      <c r="S233" s="270"/>
      <c r="T233" s="270">
        <f t="shared" si="0"/>
        <v>0</v>
      </c>
      <c r="U233" s="270"/>
      <c r="V233" s="270">
        <f t="shared" si="0"/>
        <v>27727.17</v>
      </c>
      <c r="DB233" s="117"/>
      <c r="DE233" s="118">
        <f>SUM(DE234:DE237)</f>
        <v>0</v>
      </c>
      <c r="DG233" s="118">
        <f>SUM(DG234:DG237)</f>
        <v>21.492450000000002</v>
      </c>
      <c r="DI233" s="119">
        <f>SUM(DI234:DI237)</f>
        <v>0</v>
      </c>
      <c r="EG233" s="113" t="s">
        <v>81</v>
      </c>
      <c r="EI233" s="120" t="s">
        <v>73</v>
      </c>
      <c r="EJ233" s="120" t="s">
        <v>81</v>
      </c>
      <c r="EN233" s="113" t="s">
        <v>282</v>
      </c>
      <c r="EZ233" s="121">
        <f>SUM(EZ234:EZ237)</f>
        <v>27727.17</v>
      </c>
    </row>
    <row r="234" spans="2:158" s="1" customFormat="1" ht="37.9" customHeight="1" x14ac:dyDescent="0.2">
      <c r="B234" s="124"/>
      <c r="C234" s="125" t="s">
        <v>438</v>
      </c>
      <c r="D234" s="125" t="s">
        <v>284</v>
      </c>
      <c r="E234" s="126" t="s">
        <v>464</v>
      </c>
      <c r="F234" s="127" t="s">
        <v>465</v>
      </c>
      <c r="G234" s="128" t="s">
        <v>344</v>
      </c>
      <c r="H234" s="129">
        <v>105</v>
      </c>
      <c r="I234" s="130">
        <v>264.06831423630393</v>
      </c>
      <c r="J234" s="131">
        <f>ROUND(I234*H234,2)</f>
        <v>27727.17</v>
      </c>
      <c r="K234" s="127" t="s">
        <v>293</v>
      </c>
      <c r="L234" s="268">
        <f>S234</f>
        <v>0</v>
      </c>
      <c r="M234" s="272">
        <f>ROUND(L234*I234,2)</f>
        <v>0</v>
      </c>
      <c r="N234" s="243">
        <f>N237</f>
        <v>17.439999999999998</v>
      </c>
      <c r="O234" s="294">
        <f>ROUND(N234*I234,2)</f>
        <v>4605.3500000000004</v>
      </c>
      <c r="P234" s="273">
        <f>H234-L234-N234</f>
        <v>87.56</v>
      </c>
      <c r="Q234" s="287">
        <f>ROUND(P234*I234,2)</f>
        <v>23121.82</v>
      </c>
      <c r="R234" s="137"/>
      <c r="S234" s="269">
        <f>W234+Y234+AA234+AC234+AE234</f>
        <v>0</v>
      </c>
      <c r="T234" s="269">
        <f>ROUND(S234*I234,2)</f>
        <v>0</v>
      </c>
      <c r="U234" s="269">
        <f>H234-S234</f>
        <v>105</v>
      </c>
      <c r="V234" s="269">
        <f>ROUND(U234*I234,2)</f>
        <v>27727.17</v>
      </c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DB234" s="132" t="s">
        <v>1</v>
      </c>
      <c r="DC234" s="133" t="s">
        <v>40</v>
      </c>
      <c r="DE234" s="134">
        <f>DD234*H234</f>
        <v>0</v>
      </c>
      <c r="DF234" s="134">
        <v>0.20469000000000001</v>
      </c>
      <c r="DG234" s="134">
        <f>DF234*H234</f>
        <v>21.492450000000002</v>
      </c>
      <c r="DH234" s="134">
        <v>0</v>
      </c>
      <c r="DI234" s="135">
        <f>DH234*H234</f>
        <v>0</v>
      </c>
      <c r="EG234" s="136" t="s">
        <v>95</v>
      </c>
      <c r="EI234" s="136" t="s">
        <v>284</v>
      </c>
      <c r="EJ234" s="136" t="s">
        <v>83</v>
      </c>
      <c r="EN234" s="16" t="s">
        <v>282</v>
      </c>
      <c r="ET234" s="137">
        <f>IF(DC234="základní",J234,0)</f>
        <v>27727.17</v>
      </c>
      <c r="EU234" s="137">
        <f>IF(DC234="snížená",J234,0)</f>
        <v>0</v>
      </c>
      <c r="EV234" s="137">
        <f>IF(DC234="zákl. přenesená",J234,0)</f>
        <v>0</v>
      </c>
      <c r="EW234" s="137">
        <f>IF(DC234="sníž. přenesená",J234,0)</f>
        <v>0</v>
      </c>
      <c r="EX234" s="137">
        <f>IF(DC234="nulová",J234,0)</f>
        <v>0</v>
      </c>
      <c r="EY234" s="16" t="s">
        <v>81</v>
      </c>
      <c r="EZ234" s="137">
        <f>ROUND(I234*H234,2)</f>
        <v>27727.17</v>
      </c>
      <c r="FA234" s="16" t="s">
        <v>95</v>
      </c>
      <c r="FB234" s="136" t="s">
        <v>466</v>
      </c>
    </row>
    <row r="235" spans="2:158" s="1" customFormat="1" ht="39" x14ac:dyDescent="0.2">
      <c r="B235" s="31"/>
      <c r="D235" s="138" t="s">
        <v>289</v>
      </c>
      <c r="F235" s="139" t="s">
        <v>467</v>
      </c>
      <c r="I235" s="140"/>
      <c r="L235" s="31"/>
      <c r="N235" s="213"/>
      <c r="O235" s="214"/>
      <c r="Q235" s="229"/>
      <c r="DB235" s="141"/>
      <c r="DI235" s="50"/>
      <c r="EI235" s="16" t="s">
        <v>289</v>
      </c>
      <c r="EJ235" s="16" t="s">
        <v>83</v>
      </c>
    </row>
    <row r="236" spans="2:158" s="1" customFormat="1" ht="19.5" x14ac:dyDescent="0.2">
      <c r="B236" s="31"/>
      <c r="D236" s="138" t="s">
        <v>299</v>
      </c>
      <c r="F236" s="142" t="s">
        <v>317</v>
      </c>
      <c r="I236" s="140"/>
      <c r="L236" s="31"/>
      <c r="N236" s="213"/>
      <c r="O236" s="214"/>
      <c r="Q236" s="229"/>
      <c r="DB236" s="141"/>
      <c r="DI236" s="50"/>
      <c r="EI236" s="16" t="s">
        <v>299</v>
      </c>
      <c r="EJ236" s="16" t="s">
        <v>83</v>
      </c>
    </row>
    <row r="237" spans="2:158" s="12" customFormat="1" x14ac:dyDescent="0.2">
      <c r="B237" s="149"/>
      <c r="D237" s="138" t="s">
        <v>301</v>
      </c>
      <c r="E237" s="150" t="s">
        <v>1</v>
      </c>
      <c r="F237" s="151" t="s">
        <v>1595</v>
      </c>
      <c r="H237" s="152">
        <v>105</v>
      </c>
      <c r="I237" s="153"/>
      <c r="L237" s="149"/>
      <c r="N237" s="217">
        <f>122.44-105</f>
        <v>17.439999999999998</v>
      </c>
      <c r="O237" s="359" t="s">
        <v>3516</v>
      </c>
      <c r="Q237" s="231"/>
      <c r="DB237" s="154"/>
      <c r="DI237" s="155"/>
      <c r="EI237" s="150" t="s">
        <v>301</v>
      </c>
      <c r="EJ237" s="150" t="s">
        <v>83</v>
      </c>
      <c r="EK237" s="12" t="s">
        <v>83</v>
      </c>
      <c r="EL237" s="12" t="s">
        <v>32</v>
      </c>
      <c r="EM237" s="12" t="s">
        <v>81</v>
      </c>
      <c r="EN237" s="150" t="s">
        <v>282</v>
      </c>
    </row>
    <row r="238" spans="2:158" s="10" customFormat="1" ht="22.9" customHeight="1" x14ac:dyDescent="0.2">
      <c r="B238" s="112"/>
      <c r="D238" s="113" t="s">
        <v>73</v>
      </c>
      <c r="E238" s="122" t="s">
        <v>95</v>
      </c>
      <c r="F238" s="122" t="s">
        <v>469</v>
      </c>
      <c r="I238" s="115"/>
      <c r="J238" s="123">
        <f>EZ238</f>
        <v>21239.889999999996</v>
      </c>
      <c r="L238" s="112"/>
      <c r="M238" s="270">
        <f>SUM(M239:M261)</f>
        <v>0</v>
      </c>
      <c r="N238" s="301"/>
      <c r="O238" s="302">
        <f t="shared" ref="O238:V238" si="1">SUM(O239:O261)</f>
        <v>2197.75</v>
      </c>
      <c r="P238" s="270"/>
      <c r="Q238" s="288">
        <f t="shared" si="1"/>
        <v>19042.14</v>
      </c>
      <c r="R238" s="270"/>
      <c r="S238" s="270"/>
      <c r="T238" s="270">
        <f t="shared" si="1"/>
        <v>0</v>
      </c>
      <c r="U238" s="270"/>
      <c r="V238" s="270">
        <f t="shared" si="1"/>
        <v>21239.889999999996</v>
      </c>
      <c r="DB238" s="117"/>
      <c r="DE238" s="118">
        <f>SUM(DE239:DE265)</f>
        <v>0</v>
      </c>
      <c r="DG238" s="118">
        <f>SUM(DG239:DG265)</f>
        <v>0.46060000000000001</v>
      </c>
      <c r="DI238" s="119">
        <f>SUM(DI239:DI265)</f>
        <v>0</v>
      </c>
      <c r="EG238" s="113" t="s">
        <v>81</v>
      </c>
      <c r="EI238" s="120" t="s">
        <v>73</v>
      </c>
      <c r="EJ238" s="120" t="s">
        <v>81</v>
      </c>
      <c r="EN238" s="113" t="s">
        <v>282</v>
      </c>
      <c r="EZ238" s="121">
        <f>SUM(EZ239:EZ265)</f>
        <v>21239.889999999996</v>
      </c>
    </row>
    <row r="239" spans="2:158" s="1" customFormat="1" ht="14.45" customHeight="1" x14ac:dyDescent="0.2">
      <c r="B239" s="124"/>
      <c r="C239" s="125" t="s">
        <v>445</v>
      </c>
      <c r="D239" s="125" t="s">
        <v>284</v>
      </c>
      <c r="E239" s="126" t="s">
        <v>471</v>
      </c>
      <c r="F239" s="127" t="s">
        <v>472</v>
      </c>
      <c r="G239" s="128" t="s">
        <v>366</v>
      </c>
      <c r="H239" s="129">
        <v>11.025</v>
      </c>
      <c r="I239" s="130">
        <v>1200.17173250368</v>
      </c>
      <c r="J239" s="131">
        <f>ROUND(I239*H239,2)</f>
        <v>13231.89</v>
      </c>
      <c r="K239" s="127" t="s">
        <v>293</v>
      </c>
      <c r="L239" s="268">
        <f>S239</f>
        <v>0</v>
      </c>
      <c r="M239" s="272">
        <f>ROUND(L239*I239,2)</f>
        <v>0</v>
      </c>
      <c r="N239" s="243">
        <f>N243</f>
        <v>1.8312000000000008</v>
      </c>
      <c r="O239" s="294">
        <f>ROUND(N239*I239,2)</f>
        <v>2197.75</v>
      </c>
      <c r="P239" s="273">
        <f>H239-L239-N239</f>
        <v>9.1937999999999995</v>
      </c>
      <c r="Q239" s="287">
        <f>ROUND(P239*I239,2)</f>
        <v>11034.14</v>
      </c>
      <c r="R239" s="137"/>
      <c r="S239" s="269">
        <f>W239+Y239+AA239+AC239+AE239</f>
        <v>0</v>
      </c>
      <c r="T239" s="269">
        <f>ROUND(S239*I239,2)</f>
        <v>0</v>
      </c>
      <c r="U239" s="269">
        <f>H239-S239</f>
        <v>11.025</v>
      </c>
      <c r="V239" s="269">
        <f>ROUND(U239*I239,2)</f>
        <v>13231.89</v>
      </c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DB239" s="132" t="s">
        <v>1</v>
      </c>
      <c r="DC239" s="133" t="s">
        <v>40</v>
      </c>
      <c r="DE239" s="134">
        <f>DD239*H239</f>
        <v>0</v>
      </c>
      <c r="DF239" s="134">
        <v>0</v>
      </c>
      <c r="DG239" s="134">
        <f>DF239*H239</f>
        <v>0</v>
      </c>
      <c r="DH239" s="134">
        <v>0</v>
      </c>
      <c r="DI239" s="135">
        <f>DH239*H239</f>
        <v>0</v>
      </c>
      <c r="EG239" s="136" t="s">
        <v>95</v>
      </c>
      <c r="EI239" s="136" t="s">
        <v>284</v>
      </c>
      <c r="EJ239" s="136" t="s">
        <v>83</v>
      </c>
      <c r="EN239" s="16" t="s">
        <v>282</v>
      </c>
      <c r="ET239" s="137">
        <f>IF(DC239="základní",J239,0)</f>
        <v>13231.89</v>
      </c>
      <c r="EU239" s="137">
        <f>IF(DC239="snížená",J239,0)</f>
        <v>0</v>
      </c>
      <c r="EV239" s="137">
        <f>IF(DC239="zákl. přenesená",J239,0)</f>
        <v>0</v>
      </c>
      <c r="EW239" s="137">
        <f>IF(DC239="sníž. přenesená",J239,0)</f>
        <v>0</v>
      </c>
      <c r="EX239" s="137">
        <f>IF(DC239="nulová",J239,0)</f>
        <v>0</v>
      </c>
      <c r="EY239" s="16" t="s">
        <v>81</v>
      </c>
      <c r="EZ239" s="137">
        <f>ROUND(I239*H239,2)</f>
        <v>13231.89</v>
      </c>
      <c r="FA239" s="16" t="s">
        <v>95</v>
      </c>
      <c r="FB239" s="136" t="s">
        <v>473</v>
      </c>
    </row>
    <row r="240" spans="2:158" s="1" customFormat="1" ht="19.5" x14ac:dyDescent="0.2">
      <c r="B240" s="31"/>
      <c r="D240" s="138" t="s">
        <v>289</v>
      </c>
      <c r="F240" s="139" t="s">
        <v>474</v>
      </c>
      <c r="I240" s="140"/>
      <c r="L240" s="31"/>
      <c r="N240" s="213"/>
      <c r="O240" s="214"/>
      <c r="Q240" s="229"/>
      <c r="DB240" s="141"/>
      <c r="DI240" s="50"/>
      <c r="EI240" s="16" t="s">
        <v>289</v>
      </c>
      <c r="EJ240" s="16" t="s">
        <v>83</v>
      </c>
    </row>
    <row r="241" spans="2:158" s="1" customFormat="1" ht="19.5" x14ac:dyDescent="0.2">
      <c r="B241" s="31"/>
      <c r="D241" s="138" t="s">
        <v>299</v>
      </c>
      <c r="F241" s="142" t="s">
        <v>317</v>
      </c>
      <c r="I241" s="140"/>
      <c r="L241" s="31"/>
      <c r="N241" s="213"/>
      <c r="O241" s="214"/>
      <c r="Q241" s="229"/>
      <c r="DB241" s="141"/>
      <c r="DI241" s="50"/>
      <c r="EI241" s="16" t="s">
        <v>299</v>
      </c>
      <c r="EJ241" s="16" t="s">
        <v>83</v>
      </c>
    </row>
    <row r="242" spans="2:158" s="12" customFormat="1" x14ac:dyDescent="0.2">
      <c r="B242" s="149"/>
      <c r="D242" s="138" t="s">
        <v>301</v>
      </c>
      <c r="E242" s="150" t="s">
        <v>1</v>
      </c>
      <c r="F242" s="151" t="s">
        <v>1596</v>
      </c>
      <c r="H242" s="152">
        <v>11.025</v>
      </c>
      <c r="I242" s="153"/>
      <c r="L242" s="149"/>
      <c r="N242" s="217">
        <f>122.44*1.05*0.1</f>
        <v>12.856200000000001</v>
      </c>
      <c r="O242" s="218" t="s">
        <v>3517</v>
      </c>
      <c r="Q242" s="231"/>
      <c r="DB242" s="154"/>
      <c r="DI242" s="155"/>
      <c r="EI242" s="150" t="s">
        <v>301</v>
      </c>
      <c r="EJ242" s="150" t="s">
        <v>83</v>
      </c>
      <c r="EK242" s="12" t="s">
        <v>83</v>
      </c>
      <c r="EL242" s="12" t="s">
        <v>32</v>
      </c>
      <c r="EM242" s="12" t="s">
        <v>81</v>
      </c>
      <c r="EN242" s="150" t="s">
        <v>282</v>
      </c>
    </row>
    <row r="243" spans="2:158" s="12" customFormat="1" x14ac:dyDescent="0.2">
      <c r="B243" s="149"/>
      <c r="D243" s="138"/>
      <c r="E243" s="150"/>
      <c r="F243" s="151"/>
      <c r="H243" s="152"/>
      <c r="I243" s="153"/>
      <c r="L243" s="149"/>
      <c r="N243" s="310">
        <f>N242-H242</f>
        <v>1.8312000000000008</v>
      </c>
      <c r="O243" s="218"/>
      <c r="Q243" s="231"/>
      <c r="DB243" s="154"/>
      <c r="DI243" s="155"/>
      <c r="EI243" s="150"/>
      <c r="EJ243" s="150"/>
      <c r="EN243" s="150"/>
    </row>
    <row r="244" spans="2:158" s="1" customFormat="1" ht="14.45" customHeight="1" x14ac:dyDescent="0.2">
      <c r="B244" s="124"/>
      <c r="C244" s="125" t="s">
        <v>451</v>
      </c>
      <c r="D244" s="125" t="s">
        <v>284</v>
      </c>
      <c r="E244" s="126" t="s">
        <v>477</v>
      </c>
      <c r="F244" s="127" t="s">
        <v>478</v>
      </c>
      <c r="G244" s="128" t="s">
        <v>366</v>
      </c>
      <c r="H244" s="129">
        <v>1.875</v>
      </c>
      <c r="I244" s="130">
        <v>1200.17173250368</v>
      </c>
      <c r="J244" s="131">
        <f>ROUND(I244*H244,2)</f>
        <v>2250.3200000000002</v>
      </c>
      <c r="K244" s="127" t="s">
        <v>1</v>
      </c>
      <c r="L244" s="268">
        <f>S244</f>
        <v>0</v>
      </c>
      <c r="M244" s="272">
        <f>ROUND(L244*I244,2)</f>
        <v>0</v>
      </c>
      <c r="N244" s="243"/>
      <c r="O244" s="294">
        <f>ROUND(N244*I244,2)</f>
        <v>0</v>
      </c>
      <c r="P244" s="273">
        <f>H244-L244-N244</f>
        <v>1.875</v>
      </c>
      <c r="Q244" s="287">
        <f>ROUND(P244*I244,2)</f>
        <v>2250.3200000000002</v>
      </c>
      <c r="R244" s="137"/>
      <c r="S244" s="269">
        <f>W244+Y244+AA244+AC244+AE244</f>
        <v>0</v>
      </c>
      <c r="T244" s="269">
        <f>ROUND(S244*I244,2)</f>
        <v>0</v>
      </c>
      <c r="U244" s="269">
        <f>H244-S244</f>
        <v>1.875</v>
      </c>
      <c r="V244" s="269">
        <f>ROUND(U244*I244,2)</f>
        <v>2250.3200000000002</v>
      </c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DB244" s="132" t="s">
        <v>1</v>
      </c>
      <c r="DC244" s="133" t="s">
        <v>40</v>
      </c>
      <c r="DE244" s="134">
        <f>DD244*H244</f>
        <v>0</v>
      </c>
      <c r="DF244" s="134">
        <v>0</v>
      </c>
      <c r="DG244" s="134">
        <f>DF244*H244</f>
        <v>0</v>
      </c>
      <c r="DH244" s="134">
        <v>0</v>
      </c>
      <c r="DI244" s="135">
        <f>DH244*H244</f>
        <v>0</v>
      </c>
      <c r="EG244" s="136" t="s">
        <v>95</v>
      </c>
      <c r="EI244" s="136" t="s">
        <v>284</v>
      </c>
      <c r="EJ244" s="136" t="s">
        <v>83</v>
      </c>
      <c r="EN244" s="16" t="s">
        <v>282</v>
      </c>
      <c r="ET244" s="137">
        <f>IF(DC244="základní",J244,0)</f>
        <v>2250.3200000000002</v>
      </c>
      <c r="EU244" s="137">
        <f>IF(DC244="snížená",J244,0)</f>
        <v>0</v>
      </c>
      <c r="EV244" s="137">
        <f>IF(DC244="zákl. přenesená",J244,0)</f>
        <v>0</v>
      </c>
      <c r="EW244" s="137">
        <f>IF(DC244="sníž. přenesená",J244,0)</f>
        <v>0</v>
      </c>
      <c r="EX244" s="137">
        <f>IF(DC244="nulová",J244,0)</f>
        <v>0</v>
      </c>
      <c r="EY244" s="16" t="s">
        <v>81</v>
      </c>
      <c r="EZ244" s="137">
        <f>ROUND(I244*H244,2)</f>
        <v>2250.3200000000002</v>
      </c>
      <c r="FA244" s="16" t="s">
        <v>95</v>
      </c>
      <c r="FB244" s="136" t="s">
        <v>479</v>
      </c>
    </row>
    <row r="245" spans="2:158" s="1" customFormat="1" ht="19.5" x14ac:dyDescent="0.2">
      <c r="B245" s="31"/>
      <c r="D245" s="138" t="s">
        <v>289</v>
      </c>
      <c r="F245" s="139" t="s">
        <v>474</v>
      </c>
      <c r="I245" s="140"/>
      <c r="L245" s="31"/>
      <c r="N245" s="213"/>
      <c r="O245" s="214"/>
      <c r="Q245" s="229"/>
      <c r="DB245" s="141"/>
      <c r="DI245" s="50"/>
      <c r="EI245" s="16" t="s">
        <v>289</v>
      </c>
      <c r="EJ245" s="16" t="s">
        <v>83</v>
      </c>
    </row>
    <row r="246" spans="2:158" s="1" customFormat="1" ht="19.5" x14ac:dyDescent="0.2">
      <c r="B246" s="31"/>
      <c r="D246" s="138" t="s">
        <v>299</v>
      </c>
      <c r="F246" s="142" t="s">
        <v>317</v>
      </c>
      <c r="I246" s="140"/>
      <c r="L246" s="31"/>
      <c r="N246" s="213"/>
      <c r="O246" s="214"/>
      <c r="Q246" s="229"/>
      <c r="DB246" s="141"/>
      <c r="DI246" s="50"/>
      <c r="EI246" s="16" t="s">
        <v>299</v>
      </c>
      <c r="EJ246" s="16" t="s">
        <v>83</v>
      </c>
    </row>
    <row r="247" spans="2:158" s="11" customFormat="1" x14ac:dyDescent="0.2">
      <c r="B247" s="143"/>
      <c r="D247" s="138" t="s">
        <v>301</v>
      </c>
      <c r="E247" s="144" t="s">
        <v>1</v>
      </c>
      <c r="F247" s="145" t="s">
        <v>765</v>
      </c>
      <c r="H247" s="144" t="s">
        <v>1</v>
      </c>
      <c r="I247" s="146"/>
      <c r="L247" s="143"/>
      <c r="N247" s="215"/>
      <c r="O247" s="216"/>
      <c r="Q247" s="230"/>
      <c r="DB247" s="147"/>
      <c r="DI247" s="148"/>
      <c r="EI247" s="144" t="s">
        <v>301</v>
      </c>
      <c r="EJ247" s="144" t="s">
        <v>83</v>
      </c>
      <c r="EK247" s="11" t="s">
        <v>81</v>
      </c>
      <c r="EL247" s="11" t="s">
        <v>32</v>
      </c>
      <c r="EM247" s="11" t="s">
        <v>74</v>
      </c>
      <c r="EN247" s="144" t="s">
        <v>282</v>
      </c>
    </row>
    <row r="248" spans="2:158" s="12" customFormat="1" x14ac:dyDescent="0.2">
      <c r="B248" s="149"/>
      <c r="D248" s="138" t="s">
        <v>301</v>
      </c>
      <c r="E248" s="150" t="s">
        <v>1</v>
      </c>
      <c r="F248" s="151" t="s">
        <v>766</v>
      </c>
      <c r="H248" s="152">
        <v>1.875</v>
      </c>
      <c r="I248" s="153"/>
      <c r="L248" s="149"/>
      <c r="N248" s="217"/>
      <c r="O248" s="218"/>
      <c r="Q248" s="231"/>
      <c r="DB248" s="154"/>
      <c r="DI248" s="155"/>
      <c r="EI248" s="150" t="s">
        <v>301</v>
      </c>
      <c r="EJ248" s="150" t="s">
        <v>83</v>
      </c>
      <c r="EK248" s="12" t="s">
        <v>83</v>
      </c>
      <c r="EL248" s="12" t="s">
        <v>32</v>
      </c>
      <c r="EM248" s="12" t="s">
        <v>81</v>
      </c>
      <c r="EN248" s="150" t="s">
        <v>282</v>
      </c>
    </row>
    <row r="249" spans="2:158" s="1" customFormat="1" ht="14.45" customHeight="1" x14ac:dyDescent="0.2">
      <c r="B249" s="124"/>
      <c r="C249" s="125" t="s">
        <v>456</v>
      </c>
      <c r="D249" s="125" t="s">
        <v>284</v>
      </c>
      <c r="E249" s="126" t="s">
        <v>483</v>
      </c>
      <c r="F249" s="127" t="s">
        <v>484</v>
      </c>
      <c r="G249" s="128" t="s">
        <v>485</v>
      </c>
      <c r="H249" s="129">
        <v>5</v>
      </c>
      <c r="I249" s="130">
        <v>136.11246338547087</v>
      </c>
      <c r="J249" s="131">
        <f>ROUND(I249*H249,2)</f>
        <v>680.56</v>
      </c>
      <c r="K249" s="127" t="s">
        <v>293</v>
      </c>
      <c r="L249" s="268">
        <f>S249</f>
        <v>0</v>
      </c>
      <c r="M249" s="272">
        <f>ROUND(L249*I249,2)</f>
        <v>0</v>
      </c>
      <c r="N249" s="243"/>
      <c r="O249" s="294">
        <f>ROUND(N249*I249,2)</f>
        <v>0</v>
      </c>
      <c r="P249" s="273">
        <f>H249-L249-N249</f>
        <v>5</v>
      </c>
      <c r="Q249" s="287">
        <f>ROUND(P249*I249,2)</f>
        <v>680.56</v>
      </c>
      <c r="R249" s="137"/>
      <c r="S249" s="269">
        <f>W249+Y249+AA249+AC249+AE249</f>
        <v>0</v>
      </c>
      <c r="T249" s="269">
        <f>ROUND(S249*I249,2)</f>
        <v>0</v>
      </c>
      <c r="U249" s="269">
        <f>H249-S249</f>
        <v>5</v>
      </c>
      <c r="V249" s="269">
        <f>ROUND(U249*I249,2)</f>
        <v>680.56</v>
      </c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DB249" s="132" t="s">
        <v>1</v>
      </c>
      <c r="DC249" s="133" t="s">
        <v>40</v>
      </c>
      <c r="DE249" s="134">
        <f>DD249*H249</f>
        <v>0</v>
      </c>
      <c r="DF249" s="134">
        <v>6.6E-3</v>
      </c>
      <c r="DG249" s="134">
        <f>DF249*H249</f>
        <v>3.3000000000000002E-2</v>
      </c>
      <c r="DH249" s="134">
        <v>0</v>
      </c>
      <c r="DI249" s="135">
        <f>DH249*H249</f>
        <v>0</v>
      </c>
      <c r="EG249" s="136" t="s">
        <v>95</v>
      </c>
      <c r="EI249" s="136" t="s">
        <v>284</v>
      </c>
      <c r="EJ249" s="136" t="s">
        <v>83</v>
      </c>
      <c r="EN249" s="16" t="s">
        <v>282</v>
      </c>
      <c r="ET249" s="137">
        <f>IF(DC249="základní",J249,0)</f>
        <v>680.56</v>
      </c>
      <c r="EU249" s="137">
        <f>IF(DC249="snížená",J249,0)</f>
        <v>0</v>
      </c>
      <c r="EV249" s="137">
        <f>IF(DC249="zákl. přenesená",J249,0)</f>
        <v>0</v>
      </c>
      <c r="EW249" s="137">
        <f>IF(DC249="sníž. přenesená",J249,0)</f>
        <v>0</v>
      </c>
      <c r="EX249" s="137">
        <f>IF(DC249="nulová",J249,0)</f>
        <v>0</v>
      </c>
      <c r="EY249" s="16" t="s">
        <v>81</v>
      </c>
      <c r="EZ249" s="137">
        <f>ROUND(I249*H249,2)</f>
        <v>680.56</v>
      </c>
      <c r="FA249" s="16" t="s">
        <v>95</v>
      </c>
      <c r="FB249" s="136" t="s">
        <v>486</v>
      </c>
    </row>
    <row r="250" spans="2:158" s="1" customFormat="1" ht="19.5" x14ac:dyDescent="0.2">
      <c r="B250" s="31"/>
      <c r="D250" s="138" t="s">
        <v>289</v>
      </c>
      <c r="F250" s="139" t="s">
        <v>487</v>
      </c>
      <c r="I250" s="140"/>
      <c r="L250" s="31"/>
      <c r="N250" s="213"/>
      <c r="O250" s="214"/>
      <c r="Q250" s="229"/>
      <c r="DB250" s="141"/>
      <c r="DI250" s="50"/>
      <c r="EI250" s="16" t="s">
        <v>289</v>
      </c>
      <c r="EJ250" s="16" t="s">
        <v>83</v>
      </c>
    </row>
    <row r="251" spans="2:158" s="1" customFormat="1" ht="19.5" x14ac:dyDescent="0.2">
      <c r="B251" s="31"/>
      <c r="D251" s="138" t="s">
        <v>299</v>
      </c>
      <c r="F251" s="142" t="s">
        <v>317</v>
      </c>
      <c r="I251" s="140"/>
      <c r="L251" s="31"/>
      <c r="N251" s="213"/>
      <c r="O251" s="214"/>
      <c r="Q251" s="229"/>
      <c r="DB251" s="141"/>
      <c r="DI251" s="50"/>
      <c r="EI251" s="16" t="s">
        <v>299</v>
      </c>
      <c r="EJ251" s="16" t="s">
        <v>83</v>
      </c>
    </row>
    <row r="252" spans="2:158" s="12" customFormat="1" x14ac:dyDescent="0.2">
      <c r="B252" s="149"/>
      <c r="D252" s="138" t="s">
        <v>301</v>
      </c>
      <c r="E252" s="150" t="s">
        <v>1</v>
      </c>
      <c r="F252" s="151" t="s">
        <v>312</v>
      </c>
      <c r="H252" s="152">
        <v>5</v>
      </c>
      <c r="I252" s="153"/>
      <c r="L252" s="149"/>
      <c r="N252" s="217"/>
      <c r="O252" s="218"/>
      <c r="Q252" s="231"/>
      <c r="DB252" s="154"/>
      <c r="DI252" s="155"/>
      <c r="EI252" s="150" t="s">
        <v>301</v>
      </c>
      <c r="EJ252" s="150" t="s">
        <v>83</v>
      </c>
      <c r="EK252" s="12" t="s">
        <v>83</v>
      </c>
      <c r="EL252" s="12" t="s">
        <v>32</v>
      </c>
      <c r="EM252" s="12" t="s">
        <v>81</v>
      </c>
      <c r="EN252" s="150" t="s">
        <v>282</v>
      </c>
    </row>
    <row r="253" spans="2:158" s="1" customFormat="1" ht="24.2" customHeight="1" x14ac:dyDescent="0.2">
      <c r="B253" s="124"/>
      <c r="C253" s="170" t="s">
        <v>463</v>
      </c>
      <c r="D253" s="170" t="s">
        <v>439</v>
      </c>
      <c r="E253" s="171" t="s">
        <v>502</v>
      </c>
      <c r="F253" s="172" t="s">
        <v>503</v>
      </c>
      <c r="G253" s="173" t="s">
        <v>485</v>
      </c>
      <c r="H253" s="174">
        <v>5</v>
      </c>
      <c r="I253" s="175">
        <v>314.47561239999999</v>
      </c>
      <c r="J253" s="176">
        <f>ROUND(I253*H253,2)</f>
        <v>1572.38</v>
      </c>
      <c r="K253" s="172" t="s">
        <v>293</v>
      </c>
      <c r="L253" s="268">
        <f>S253</f>
        <v>0</v>
      </c>
      <c r="M253" s="272">
        <f>ROUND(L253*I253,2)</f>
        <v>0</v>
      </c>
      <c r="N253" s="243"/>
      <c r="O253" s="294">
        <f>ROUND(N253*I253,2)</f>
        <v>0</v>
      </c>
      <c r="P253" s="273">
        <f>H253-L253-N253</f>
        <v>5</v>
      </c>
      <c r="Q253" s="287">
        <f>ROUND(P253*I253,2)</f>
        <v>1572.38</v>
      </c>
      <c r="R253" s="137"/>
      <c r="S253" s="269">
        <f>W253+Y253+AA253+AC253+AE253</f>
        <v>0</v>
      </c>
      <c r="T253" s="269">
        <f>ROUND(S253*I253,2)</f>
        <v>0</v>
      </c>
      <c r="U253" s="269">
        <f>H253-S253</f>
        <v>5</v>
      </c>
      <c r="V253" s="269">
        <f>ROUND(U253*I253,2)</f>
        <v>1572.38</v>
      </c>
      <c r="W253" s="290"/>
      <c r="X253" s="290"/>
      <c r="Y253" s="290"/>
      <c r="Z253" s="290"/>
      <c r="AA253" s="290"/>
      <c r="AB253" s="290"/>
      <c r="AC253" s="290"/>
      <c r="AD253" s="290"/>
      <c r="AE253" s="290"/>
      <c r="AF253" s="290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77" t="s">
        <v>1</v>
      </c>
      <c r="DC253" s="178" t="s">
        <v>40</v>
      </c>
      <c r="DE253" s="134">
        <f>DD253*H253</f>
        <v>0</v>
      </c>
      <c r="DF253" s="134">
        <v>6.8000000000000005E-2</v>
      </c>
      <c r="DG253" s="134">
        <f>DF253*H253</f>
        <v>0.34</v>
      </c>
      <c r="DH253" s="134">
        <v>0</v>
      </c>
      <c r="DI253" s="135">
        <f>DH253*H253</f>
        <v>0</v>
      </c>
      <c r="EG253" s="136" t="s">
        <v>328</v>
      </c>
      <c r="EI253" s="136" t="s">
        <v>439</v>
      </c>
      <c r="EJ253" s="136" t="s">
        <v>83</v>
      </c>
      <c r="EN253" s="16" t="s">
        <v>282</v>
      </c>
      <c r="ET253" s="137">
        <f>IF(DC253="základní",J253,0)</f>
        <v>1572.38</v>
      </c>
      <c r="EU253" s="137">
        <f>IF(DC253="snížená",J253,0)</f>
        <v>0</v>
      </c>
      <c r="EV253" s="137">
        <f>IF(DC253="zákl. přenesená",J253,0)</f>
        <v>0</v>
      </c>
      <c r="EW253" s="137">
        <f>IF(DC253="sníž. přenesená",J253,0)</f>
        <v>0</v>
      </c>
      <c r="EX253" s="137">
        <f>IF(DC253="nulová",J253,0)</f>
        <v>0</v>
      </c>
      <c r="EY253" s="16" t="s">
        <v>81</v>
      </c>
      <c r="EZ253" s="137">
        <f>ROUND(I253*H253,2)</f>
        <v>1572.38</v>
      </c>
      <c r="FA253" s="16" t="s">
        <v>95</v>
      </c>
      <c r="FB253" s="136" t="s">
        <v>504</v>
      </c>
    </row>
    <row r="254" spans="2:158" s="1" customFormat="1" x14ac:dyDescent="0.2">
      <c r="B254" s="31"/>
      <c r="D254" s="138" t="s">
        <v>289</v>
      </c>
      <c r="F254" s="139" t="s">
        <v>503</v>
      </c>
      <c r="I254" s="140"/>
      <c r="L254" s="31"/>
      <c r="N254" s="213"/>
      <c r="O254" s="214"/>
      <c r="Q254" s="229"/>
      <c r="DB254" s="141"/>
      <c r="DI254" s="50"/>
      <c r="EI254" s="16" t="s">
        <v>289</v>
      </c>
      <c r="EJ254" s="16" t="s">
        <v>83</v>
      </c>
    </row>
    <row r="255" spans="2:158" s="1" customFormat="1" ht="14.45" customHeight="1" x14ac:dyDescent="0.2">
      <c r="B255" s="124"/>
      <c r="C255" s="125" t="s">
        <v>470</v>
      </c>
      <c r="D255" s="125" t="s">
        <v>284</v>
      </c>
      <c r="E255" s="126" t="s">
        <v>506</v>
      </c>
      <c r="F255" s="127" t="s">
        <v>507</v>
      </c>
      <c r="G255" s="128" t="s">
        <v>485</v>
      </c>
      <c r="H255" s="129">
        <v>1</v>
      </c>
      <c r="I255" s="130">
        <v>217.77896833494168</v>
      </c>
      <c r="J255" s="131">
        <f>ROUND(I255*H255,2)</f>
        <v>217.78</v>
      </c>
      <c r="K255" s="127" t="s">
        <v>293</v>
      </c>
      <c r="L255" s="268">
        <f>S255</f>
        <v>0</v>
      </c>
      <c r="M255" s="272">
        <f>ROUND(L255*I255,2)</f>
        <v>0</v>
      </c>
      <c r="N255" s="243"/>
      <c r="O255" s="294">
        <f>ROUND(N255*I255,2)</f>
        <v>0</v>
      </c>
      <c r="P255" s="273">
        <f>H255-L255-N255</f>
        <v>1</v>
      </c>
      <c r="Q255" s="287">
        <f>ROUND(P255*I255,2)</f>
        <v>217.78</v>
      </c>
      <c r="R255" s="137"/>
      <c r="S255" s="269">
        <f>W255+Y255+AA255+AC255+AE255</f>
        <v>0</v>
      </c>
      <c r="T255" s="269">
        <f>ROUND(S255*I255,2)</f>
        <v>0</v>
      </c>
      <c r="U255" s="269">
        <f>H255-S255</f>
        <v>1</v>
      </c>
      <c r="V255" s="269">
        <f>ROUND(U255*I255,2)</f>
        <v>217.78</v>
      </c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DB255" s="132" t="s">
        <v>1</v>
      </c>
      <c r="DC255" s="133" t="s">
        <v>40</v>
      </c>
      <c r="DE255" s="134">
        <f>DD255*H255</f>
        <v>0</v>
      </c>
      <c r="DF255" s="134">
        <v>6.6E-3</v>
      </c>
      <c r="DG255" s="134">
        <f>DF255*H255</f>
        <v>6.6E-3</v>
      </c>
      <c r="DH255" s="134">
        <v>0</v>
      </c>
      <c r="DI255" s="135">
        <f>DH255*H255</f>
        <v>0</v>
      </c>
      <c r="EG255" s="136" t="s">
        <v>95</v>
      </c>
      <c r="EI255" s="136" t="s">
        <v>284</v>
      </c>
      <c r="EJ255" s="136" t="s">
        <v>83</v>
      </c>
      <c r="EN255" s="16" t="s">
        <v>282</v>
      </c>
      <c r="ET255" s="137">
        <f>IF(DC255="základní",J255,0)</f>
        <v>217.78</v>
      </c>
      <c r="EU255" s="137">
        <f>IF(DC255="snížená",J255,0)</f>
        <v>0</v>
      </c>
      <c r="EV255" s="137">
        <f>IF(DC255="zákl. přenesená",J255,0)</f>
        <v>0</v>
      </c>
      <c r="EW255" s="137">
        <f>IF(DC255="sníž. přenesená",J255,0)</f>
        <v>0</v>
      </c>
      <c r="EX255" s="137">
        <f>IF(DC255="nulová",J255,0)</f>
        <v>0</v>
      </c>
      <c r="EY255" s="16" t="s">
        <v>81</v>
      </c>
      <c r="EZ255" s="137">
        <f>ROUND(I255*H255,2)</f>
        <v>217.78</v>
      </c>
      <c r="FA255" s="16" t="s">
        <v>95</v>
      </c>
      <c r="FB255" s="136" t="s">
        <v>1597</v>
      </c>
    </row>
    <row r="256" spans="2:158" s="1" customFormat="1" ht="19.5" x14ac:dyDescent="0.2">
      <c r="B256" s="31"/>
      <c r="D256" s="138" t="s">
        <v>289</v>
      </c>
      <c r="F256" s="139" t="s">
        <v>509</v>
      </c>
      <c r="I256" s="140"/>
      <c r="L256" s="31"/>
      <c r="N256" s="213"/>
      <c r="O256" s="214"/>
      <c r="Q256" s="229"/>
      <c r="DB256" s="141"/>
      <c r="DI256" s="50"/>
      <c r="EI256" s="16" t="s">
        <v>289</v>
      </c>
      <c r="EJ256" s="16" t="s">
        <v>83</v>
      </c>
    </row>
    <row r="257" spans="2:158" s="1" customFormat="1" ht="19.5" x14ac:dyDescent="0.2">
      <c r="B257" s="31"/>
      <c r="D257" s="138" t="s">
        <v>299</v>
      </c>
      <c r="F257" s="142" t="s">
        <v>317</v>
      </c>
      <c r="I257" s="140"/>
      <c r="L257" s="31"/>
      <c r="N257" s="213"/>
      <c r="O257" s="214"/>
      <c r="Q257" s="229"/>
      <c r="DB257" s="141"/>
      <c r="DI257" s="50"/>
      <c r="EI257" s="16" t="s">
        <v>299</v>
      </c>
      <c r="EJ257" s="16" t="s">
        <v>83</v>
      </c>
    </row>
    <row r="258" spans="2:158" s="12" customFormat="1" x14ac:dyDescent="0.2">
      <c r="B258" s="149"/>
      <c r="D258" s="138" t="s">
        <v>301</v>
      </c>
      <c r="E258" s="150" t="s">
        <v>1</v>
      </c>
      <c r="F258" s="151" t="s">
        <v>81</v>
      </c>
      <c r="H258" s="152">
        <v>1</v>
      </c>
      <c r="I258" s="153"/>
      <c r="L258" s="149"/>
      <c r="N258" s="217"/>
      <c r="O258" s="218"/>
      <c r="Q258" s="231"/>
      <c r="DB258" s="154"/>
      <c r="DI258" s="155"/>
      <c r="EI258" s="150" t="s">
        <v>301</v>
      </c>
      <c r="EJ258" s="150" t="s">
        <v>83</v>
      </c>
      <c r="EK258" s="12" t="s">
        <v>83</v>
      </c>
      <c r="EL258" s="12" t="s">
        <v>32</v>
      </c>
      <c r="EM258" s="12" t="s">
        <v>81</v>
      </c>
      <c r="EN258" s="150" t="s">
        <v>282</v>
      </c>
    </row>
    <row r="259" spans="2:158" s="1" customFormat="1" ht="24.2" customHeight="1" x14ac:dyDescent="0.2">
      <c r="B259" s="124"/>
      <c r="C259" s="170" t="s">
        <v>476</v>
      </c>
      <c r="D259" s="170" t="s">
        <v>439</v>
      </c>
      <c r="E259" s="171" t="s">
        <v>511</v>
      </c>
      <c r="F259" s="172" t="s">
        <v>512</v>
      </c>
      <c r="G259" s="173" t="s">
        <v>485</v>
      </c>
      <c r="H259" s="174">
        <v>1</v>
      </c>
      <c r="I259" s="175">
        <v>354.2586718</v>
      </c>
      <c r="J259" s="176">
        <f>ROUND(I259*H259,2)</f>
        <v>354.26</v>
      </c>
      <c r="K259" s="172" t="s">
        <v>293</v>
      </c>
      <c r="L259" s="268">
        <f>S259</f>
        <v>0</v>
      </c>
      <c r="M259" s="272">
        <f>ROUND(L259*I259,2)</f>
        <v>0</v>
      </c>
      <c r="N259" s="243"/>
      <c r="O259" s="294">
        <f>ROUND(N259*I259,2)</f>
        <v>0</v>
      </c>
      <c r="P259" s="273">
        <f>H259-L259-N259</f>
        <v>1</v>
      </c>
      <c r="Q259" s="287">
        <f>ROUND(P259*I259,2)</f>
        <v>354.26</v>
      </c>
      <c r="R259" s="137"/>
      <c r="S259" s="269">
        <f>W259+Y259+AA259+AC259+AE259</f>
        <v>0</v>
      </c>
      <c r="T259" s="269">
        <f>ROUND(S259*I259,2)</f>
        <v>0</v>
      </c>
      <c r="U259" s="269">
        <f>H259-S259</f>
        <v>1</v>
      </c>
      <c r="V259" s="269">
        <f>ROUND(U259*I259,2)</f>
        <v>354.26</v>
      </c>
      <c r="W259" s="290"/>
      <c r="X259" s="290"/>
      <c r="Y259" s="290"/>
      <c r="Z259" s="290"/>
      <c r="AA259" s="290"/>
      <c r="AB259" s="290"/>
      <c r="AC259" s="290"/>
      <c r="AD259" s="290"/>
      <c r="AE259" s="290"/>
      <c r="AF259" s="290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77" t="s">
        <v>1</v>
      </c>
      <c r="DC259" s="178" t="s">
        <v>40</v>
      </c>
      <c r="DE259" s="134">
        <f>DD259*H259</f>
        <v>0</v>
      </c>
      <c r="DF259" s="134">
        <v>8.1000000000000003E-2</v>
      </c>
      <c r="DG259" s="134">
        <f>DF259*H259</f>
        <v>8.1000000000000003E-2</v>
      </c>
      <c r="DH259" s="134">
        <v>0</v>
      </c>
      <c r="DI259" s="135">
        <f>DH259*H259</f>
        <v>0</v>
      </c>
      <c r="EG259" s="136" t="s">
        <v>328</v>
      </c>
      <c r="EI259" s="136" t="s">
        <v>439</v>
      </c>
      <c r="EJ259" s="136" t="s">
        <v>83</v>
      </c>
      <c r="EN259" s="16" t="s">
        <v>282</v>
      </c>
      <c r="ET259" s="137">
        <f>IF(DC259="základní",J259,0)</f>
        <v>354.26</v>
      </c>
      <c r="EU259" s="137">
        <f>IF(DC259="snížená",J259,0)</f>
        <v>0</v>
      </c>
      <c r="EV259" s="137">
        <f>IF(DC259="zákl. přenesená",J259,0)</f>
        <v>0</v>
      </c>
      <c r="EW259" s="137">
        <f>IF(DC259="sníž. přenesená",J259,0)</f>
        <v>0</v>
      </c>
      <c r="EX259" s="137">
        <f>IF(DC259="nulová",J259,0)</f>
        <v>0</v>
      </c>
      <c r="EY259" s="16" t="s">
        <v>81</v>
      </c>
      <c r="EZ259" s="137">
        <f>ROUND(I259*H259,2)</f>
        <v>354.26</v>
      </c>
      <c r="FA259" s="16" t="s">
        <v>95</v>
      </c>
      <c r="FB259" s="136" t="s">
        <v>1598</v>
      </c>
    </row>
    <row r="260" spans="2:158" s="1" customFormat="1" x14ac:dyDescent="0.2">
      <c r="B260" s="31"/>
      <c r="D260" s="138" t="s">
        <v>289</v>
      </c>
      <c r="F260" s="139" t="s">
        <v>512</v>
      </c>
      <c r="I260" s="140"/>
      <c r="L260" s="31"/>
      <c r="N260" s="213"/>
      <c r="O260" s="214"/>
      <c r="Q260" s="229"/>
      <c r="DB260" s="141"/>
      <c r="DI260" s="50"/>
      <c r="EI260" s="16" t="s">
        <v>289</v>
      </c>
      <c r="EJ260" s="16" t="s">
        <v>83</v>
      </c>
    </row>
    <row r="261" spans="2:158" s="1" customFormat="1" ht="24.2" customHeight="1" x14ac:dyDescent="0.2">
      <c r="B261" s="124"/>
      <c r="C261" s="125" t="s">
        <v>482</v>
      </c>
      <c r="D261" s="125" t="s">
        <v>284</v>
      </c>
      <c r="E261" s="126" t="s">
        <v>515</v>
      </c>
      <c r="F261" s="127" t="s">
        <v>516</v>
      </c>
      <c r="G261" s="128" t="s">
        <v>366</v>
      </c>
      <c r="H261" s="129">
        <v>1.0129999999999999</v>
      </c>
      <c r="I261" s="130">
        <v>2895.0660868876225</v>
      </c>
      <c r="J261" s="131">
        <f>ROUND(I261*H261,2)</f>
        <v>2932.7</v>
      </c>
      <c r="K261" s="127" t="s">
        <v>293</v>
      </c>
      <c r="L261" s="268">
        <f>S261</f>
        <v>0</v>
      </c>
      <c r="M261" s="272">
        <f>ROUND(L261*I261,2)</f>
        <v>0</v>
      </c>
      <c r="N261" s="243"/>
      <c r="O261" s="294">
        <f>ROUND(N261*I261,2)</f>
        <v>0</v>
      </c>
      <c r="P261" s="273">
        <f>H261-L261-N261</f>
        <v>1.0129999999999999</v>
      </c>
      <c r="Q261" s="287">
        <f>ROUND(P261*I261,2)</f>
        <v>2932.7</v>
      </c>
      <c r="R261" s="137"/>
      <c r="S261" s="269">
        <f>W261+Y261+AA261+AC261+AE261</f>
        <v>0</v>
      </c>
      <c r="T261" s="269">
        <f>ROUND(S261*I261,2)</f>
        <v>0</v>
      </c>
      <c r="U261" s="269">
        <f>H261-S261</f>
        <v>1.0129999999999999</v>
      </c>
      <c r="V261" s="269">
        <f>ROUND(U261*I261,2)</f>
        <v>2932.7</v>
      </c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DB261" s="132" t="s">
        <v>1</v>
      </c>
      <c r="DC261" s="133" t="s">
        <v>40</v>
      </c>
      <c r="DE261" s="134">
        <f>DD261*H261</f>
        <v>0</v>
      </c>
      <c r="DF261" s="134">
        <v>0</v>
      </c>
      <c r="DG261" s="134">
        <f>DF261*H261</f>
        <v>0</v>
      </c>
      <c r="DH261" s="134">
        <v>0</v>
      </c>
      <c r="DI261" s="135">
        <f>DH261*H261</f>
        <v>0</v>
      </c>
      <c r="EG261" s="136" t="s">
        <v>95</v>
      </c>
      <c r="EI261" s="136" t="s">
        <v>284</v>
      </c>
      <c r="EJ261" s="136" t="s">
        <v>83</v>
      </c>
      <c r="EN261" s="16" t="s">
        <v>282</v>
      </c>
      <c r="ET261" s="137">
        <f>IF(DC261="základní",J261,0)</f>
        <v>2932.7</v>
      </c>
      <c r="EU261" s="137">
        <f>IF(DC261="snížená",J261,0)</f>
        <v>0</v>
      </c>
      <c r="EV261" s="137">
        <f>IF(DC261="zákl. přenesená",J261,0)</f>
        <v>0</v>
      </c>
      <c r="EW261" s="137">
        <f>IF(DC261="sníž. přenesená",J261,0)</f>
        <v>0</v>
      </c>
      <c r="EX261" s="137">
        <f>IF(DC261="nulová",J261,0)</f>
        <v>0</v>
      </c>
      <c r="EY261" s="16" t="s">
        <v>81</v>
      </c>
      <c r="EZ261" s="137">
        <f>ROUND(I261*H261,2)</f>
        <v>2932.7</v>
      </c>
      <c r="FA261" s="16" t="s">
        <v>95</v>
      </c>
      <c r="FB261" s="136" t="s">
        <v>517</v>
      </c>
    </row>
    <row r="262" spans="2:158" s="1" customFormat="1" ht="29.25" x14ac:dyDescent="0.2">
      <c r="B262" s="31"/>
      <c r="D262" s="138" t="s">
        <v>289</v>
      </c>
      <c r="F262" s="139" t="s">
        <v>518</v>
      </c>
      <c r="I262" s="140"/>
      <c r="L262" s="31"/>
      <c r="N262" s="213"/>
      <c r="O262" s="214"/>
      <c r="Q262" s="229"/>
      <c r="DB262" s="141"/>
      <c r="DI262" s="50"/>
      <c r="EI262" s="16" t="s">
        <v>289</v>
      </c>
      <c r="EJ262" s="16" t="s">
        <v>83</v>
      </c>
    </row>
    <row r="263" spans="2:158" s="1" customFormat="1" ht="19.5" x14ac:dyDescent="0.2">
      <c r="B263" s="31"/>
      <c r="D263" s="138" t="s">
        <v>299</v>
      </c>
      <c r="F263" s="142" t="s">
        <v>317</v>
      </c>
      <c r="I263" s="140"/>
      <c r="L263" s="31"/>
      <c r="N263" s="213"/>
      <c r="O263" s="214"/>
      <c r="Q263" s="229"/>
      <c r="DB263" s="141"/>
      <c r="DI263" s="50"/>
      <c r="EI263" s="16" t="s">
        <v>299</v>
      </c>
      <c r="EJ263" s="16" t="s">
        <v>83</v>
      </c>
    </row>
    <row r="264" spans="2:158" s="11" customFormat="1" x14ac:dyDescent="0.2">
      <c r="B264" s="143"/>
      <c r="D264" s="138" t="s">
        <v>301</v>
      </c>
      <c r="E264" s="144" t="s">
        <v>1</v>
      </c>
      <c r="F264" s="145" t="s">
        <v>765</v>
      </c>
      <c r="H264" s="144" t="s">
        <v>1</v>
      </c>
      <c r="I264" s="146"/>
      <c r="L264" s="143"/>
      <c r="N264" s="215"/>
      <c r="O264" s="216"/>
      <c r="Q264" s="230"/>
      <c r="DB264" s="147"/>
      <c r="DI264" s="148"/>
      <c r="EI264" s="144" t="s">
        <v>301</v>
      </c>
      <c r="EJ264" s="144" t="s">
        <v>83</v>
      </c>
      <c r="EK264" s="11" t="s">
        <v>81</v>
      </c>
      <c r="EL264" s="11" t="s">
        <v>32</v>
      </c>
      <c r="EM264" s="11" t="s">
        <v>74</v>
      </c>
      <c r="EN264" s="144" t="s">
        <v>282</v>
      </c>
    </row>
    <row r="265" spans="2:158" s="12" customFormat="1" x14ac:dyDescent="0.2">
      <c r="B265" s="149"/>
      <c r="D265" s="138" t="s">
        <v>301</v>
      </c>
      <c r="E265" s="150" t="s">
        <v>1</v>
      </c>
      <c r="F265" s="151" t="s">
        <v>767</v>
      </c>
      <c r="H265" s="152">
        <v>1.0129999999999999</v>
      </c>
      <c r="I265" s="153"/>
      <c r="L265" s="149"/>
      <c r="N265" s="217"/>
      <c r="O265" s="218"/>
      <c r="Q265" s="231"/>
      <c r="DB265" s="154"/>
      <c r="DI265" s="155"/>
      <c r="EI265" s="150" t="s">
        <v>301</v>
      </c>
      <c r="EJ265" s="150" t="s">
        <v>83</v>
      </c>
      <c r="EK265" s="12" t="s">
        <v>83</v>
      </c>
      <c r="EL265" s="12" t="s">
        <v>32</v>
      </c>
      <c r="EM265" s="12" t="s">
        <v>81</v>
      </c>
      <c r="EN265" s="150" t="s">
        <v>282</v>
      </c>
    </row>
    <row r="266" spans="2:158" s="10" customFormat="1" ht="22.9" customHeight="1" x14ac:dyDescent="0.2">
      <c r="B266" s="112"/>
      <c r="D266" s="113" t="s">
        <v>73</v>
      </c>
      <c r="E266" s="122" t="s">
        <v>312</v>
      </c>
      <c r="F266" s="122" t="s">
        <v>520</v>
      </c>
      <c r="I266" s="115"/>
      <c r="J266" s="123">
        <f>EZ266</f>
        <v>261793.99</v>
      </c>
      <c r="L266" s="112"/>
      <c r="M266" s="270">
        <f>SUM(M267:M280)</f>
        <v>0</v>
      </c>
      <c r="N266" s="301"/>
      <c r="O266" s="302">
        <f t="shared" ref="O266:V266" si="2">SUM(O267:O280)</f>
        <v>41851.75</v>
      </c>
      <c r="P266" s="270"/>
      <c r="Q266" s="288">
        <f t="shared" si="2"/>
        <v>219942.22999999998</v>
      </c>
      <c r="R266" s="270"/>
      <c r="S266" s="270"/>
      <c r="T266" s="270">
        <f t="shared" si="2"/>
        <v>0</v>
      </c>
      <c r="U266" s="270"/>
      <c r="V266" s="270">
        <f t="shared" si="2"/>
        <v>261793.99</v>
      </c>
      <c r="DB266" s="117"/>
      <c r="DE266" s="118">
        <f>SUM(DE267:DE284)</f>
        <v>0</v>
      </c>
      <c r="DG266" s="118">
        <f>SUM(DG267:DG284)</f>
        <v>0</v>
      </c>
      <c r="DI266" s="119">
        <f>SUM(DI267:DI284)</f>
        <v>0</v>
      </c>
      <c r="EG266" s="113" t="s">
        <v>81</v>
      </c>
      <c r="EI266" s="120" t="s">
        <v>73</v>
      </c>
      <c r="EJ266" s="120" t="s">
        <v>81</v>
      </c>
      <c r="EN266" s="113" t="s">
        <v>282</v>
      </c>
      <c r="EZ266" s="121">
        <f>SUM(EZ267:EZ284)</f>
        <v>261793.99</v>
      </c>
    </row>
    <row r="267" spans="2:158" s="1" customFormat="1" ht="24.2" customHeight="1" x14ac:dyDescent="0.2">
      <c r="B267" s="124"/>
      <c r="C267" s="125" t="s">
        <v>489</v>
      </c>
      <c r="D267" s="125" t="s">
        <v>284</v>
      </c>
      <c r="E267" s="126" t="s">
        <v>522</v>
      </c>
      <c r="F267" s="127" t="s">
        <v>523</v>
      </c>
      <c r="G267" s="128" t="s">
        <v>287</v>
      </c>
      <c r="H267" s="129">
        <v>123.61499999999999</v>
      </c>
      <c r="I267" s="130">
        <v>130.95617506780872</v>
      </c>
      <c r="J267" s="131">
        <f>ROUND(I267*H267,2)</f>
        <v>16188.15</v>
      </c>
      <c r="K267" s="127" t="s">
        <v>293</v>
      </c>
      <c r="L267" s="268">
        <f>S267</f>
        <v>0</v>
      </c>
      <c r="M267" s="272">
        <f>ROUND(L267*I267,2)</f>
        <v>0</v>
      </c>
      <c r="N267" s="243">
        <f>N125</f>
        <v>18.312000000000026</v>
      </c>
      <c r="O267" s="294">
        <f>ROUND(N267*I267,2)</f>
        <v>2398.0700000000002</v>
      </c>
      <c r="P267" s="273">
        <f>H267-L267-N267</f>
        <v>105.30299999999997</v>
      </c>
      <c r="Q267" s="287">
        <f>ROUND(P267*I267,2)</f>
        <v>13790.08</v>
      </c>
      <c r="R267" s="137"/>
      <c r="S267" s="269">
        <f>W267+Y267+AA267+AC267+AE267</f>
        <v>0</v>
      </c>
      <c r="T267" s="269">
        <f>ROUND(S267*I267,2)</f>
        <v>0</v>
      </c>
      <c r="U267" s="269">
        <f>H267-S267</f>
        <v>123.61499999999999</v>
      </c>
      <c r="V267" s="269">
        <f>ROUND(U267*I267,2)</f>
        <v>16188.15</v>
      </c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DB267" s="132" t="s">
        <v>1</v>
      </c>
      <c r="DC267" s="133" t="s">
        <v>40</v>
      </c>
      <c r="DE267" s="134">
        <f>DD267*H267</f>
        <v>0</v>
      </c>
      <c r="DF267" s="134">
        <v>0</v>
      </c>
      <c r="DG267" s="134">
        <f>DF267*H267</f>
        <v>0</v>
      </c>
      <c r="DH267" s="134">
        <v>0</v>
      </c>
      <c r="DI267" s="135">
        <f>DH267*H267</f>
        <v>0</v>
      </c>
      <c r="EG267" s="136" t="s">
        <v>95</v>
      </c>
      <c r="EI267" s="136" t="s">
        <v>284</v>
      </c>
      <c r="EJ267" s="136" t="s">
        <v>83</v>
      </c>
      <c r="EN267" s="16" t="s">
        <v>282</v>
      </c>
      <c r="ET267" s="137">
        <f>IF(DC267="základní",J267,0)</f>
        <v>16188.15</v>
      </c>
      <c r="EU267" s="137">
        <f>IF(DC267="snížená",J267,0)</f>
        <v>0</v>
      </c>
      <c r="EV267" s="137">
        <f>IF(DC267="zákl. přenesená",J267,0)</f>
        <v>0</v>
      </c>
      <c r="EW267" s="137">
        <f>IF(DC267="sníž. přenesená",J267,0)</f>
        <v>0</v>
      </c>
      <c r="EX267" s="137">
        <f>IF(DC267="nulová",J267,0)</f>
        <v>0</v>
      </c>
      <c r="EY267" s="16" t="s">
        <v>81</v>
      </c>
      <c r="EZ267" s="137">
        <f>ROUND(I267*H267,2)</f>
        <v>16188.15</v>
      </c>
      <c r="FA267" s="16" t="s">
        <v>95</v>
      </c>
      <c r="FB267" s="136" t="s">
        <v>524</v>
      </c>
    </row>
    <row r="268" spans="2:158" s="1" customFormat="1" ht="19.5" x14ac:dyDescent="0.2">
      <c r="B268" s="31"/>
      <c r="D268" s="138" t="s">
        <v>289</v>
      </c>
      <c r="F268" s="139" t="s">
        <v>525</v>
      </c>
      <c r="I268" s="140"/>
      <c r="L268" s="31"/>
      <c r="N268" s="213"/>
      <c r="O268" s="214"/>
      <c r="Q268" s="229"/>
      <c r="DB268" s="141"/>
      <c r="DI268" s="50"/>
      <c r="EI268" s="16" t="s">
        <v>289</v>
      </c>
      <c r="EJ268" s="16" t="s">
        <v>83</v>
      </c>
    </row>
    <row r="269" spans="2:158" s="1" customFormat="1" ht="14.45" customHeight="1" x14ac:dyDescent="0.2">
      <c r="B269" s="124"/>
      <c r="C269" s="125" t="s">
        <v>493</v>
      </c>
      <c r="D269" s="125" t="s">
        <v>284</v>
      </c>
      <c r="E269" s="126" t="s">
        <v>527</v>
      </c>
      <c r="F269" s="127" t="s">
        <v>528</v>
      </c>
      <c r="G269" s="128" t="s">
        <v>287</v>
      </c>
      <c r="H269" s="129">
        <v>123.61499999999999</v>
      </c>
      <c r="I269" s="130">
        <v>200.20823792465458</v>
      </c>
      <c r="J269" s="131">
        <f>ROUND(I269*H269,2)</f>
        <v>24748.74</v>
      </c>
      <c r="K269" s="127" t="s">
        <v>293</v>
      </c>
      <c r="L269" s="268">
        <f>S269</f>
        <v>0</v>
      </c>
      <c r="M269" s="272">
        <f>ROUND(L269*I269,2)</f>
        <v>0</v>
      </c>
      <c r="N269" s="243">
        <f>N267</f>
        <v>18.312000000000026</v>
      </c>
      <c r="O269" s="294">
        <f>ROUND(N269*I269,2)</f>
        <v>3666.21</v>
      </c>
      <c r="P269" s="273">
        <f>H269-L269-N269</f>
        <v>105.30299999999997</v>
      </c>
      <c r="Q269" s="287">
        <f>ROUND(P269*I269,2)</f>
        <v>21082.53</v>
      </c>
      <c r="R269" s="137"/>
      <c r="S269" s="269">
        <f>W269+Y269+AA269+AC269+AE269</f>
        <v>0</v>
      </c>
      <c r="T269" s="269">
        <f>ROUND(S269*I269,2)</f>
        <v>0</v>
      </c>
      <c r="U269" s="269">
        <f>H269-S269</f>
        <v>123.61499999999999</v>
      </c>
      <c r="V269" s="269">
        <f>ROUND(U269*I269,2)</f>
        <v>24748.74</v>
      </c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DB269" s="132" t="s">
        <v>1</v>
      </c>
      <c r="DC269" s="133" t="s">
        <v>40</v>
      </c>
      <c r="DE269" s="134">
        <f>DD269*H269</f>
        <v>0</v>
      </c>
      <c r="DF269" s="134">
        <v>0</v>
      </c>
      <c r="DG269" s="134">
        <f>DF269*H269</f>
        <v>0</v>
      </c>
      <c r="DH269" s="134">
        <v>0</v>
      </c>
      <c r="DI269" s="135">
        <f>DH269*H269</f>
        <v>0</v>
      </c>
      <c r="EG269" s="136" t="s">
        <v>95</v>
      </c>
      <c r="EI269" s="136" t="s">
        <v>284</v>
      </c>
      <c r="EJ269" s="136" t="s">
        <v>83</v>
      </c>
      <c r="EN269" s="16" t="s">
        <v>282</v>
      </c>
      <c r="ET269" s="137">
        <f>IF(DC269="základní",J269,0)</f>
        <v>24748.74</v>
      </c>
      <c r="EU269" s="137">
        <f>IF(DC269="snížená",J269,0)</f>
        <v>0</v>
      </c>
      <c r="EV269" s="137">
        <f>IF(DC269="zákl. přenesená",J269,0)</f>
        <v>0</v>
      </c>
      <c r="EW269" s="137">
        <f>IF(DC269="sníž. přenesená",J269,0)</f>
        <v>0</v>
      </c>
      <c r="EX269" s="137">
        <f>IF(DC269="nulová",J269,0)</f>
        <v>0</v>
      </c>
      <c r="EY269" s="16" t="s">
        <v>81</v>
      </c>
      <c r="EZ269" s="137">
        <f>ROUND(I269*H269,2)</f>
        <v>24748.74</v>
      </c>
      <c r="FA269" s="16" t="s">
        <v>95</v>
      </c>
      <c r="FB269" s="136" t="s">
        <v>529</v>
      </c>
    </row>
    <row r="270" spans="2:158" s="1" customFormat="1" ht="19.5" x14ac:dyDescent="0.2">
      <c r="B270" s="31"/>
      <c r="D270" s="138" t="s">
        <v>289</v>
      </c>
      <c r="F270" s="139" t="s">
        <v>530</v>
      </c>
      <c r="I270" s="140"/>
      <c r="L270" s="31"/>
      <c r="N270" s="213"/>
      <c r="O270" s="214"/>
      <c r="Q270" s="229"/>
      <c r="DB270" s="141"/>
      <c r="DI270" s="50"/>
      <c r="EI270" s="16" t="s">
        <v>289</v>
      </c>
      <c r="EJ270" s="16" t="s">
        <v>83</v>
      </c>
    </row>
    <row r="271" spans="2:158" s="1" customFormat="1" ht="24.2" customHeight="1" x14ac:dyDescent="0.2">
      <c r="B271" s="124"/>
      <c r="C271" s="125" t="s">
        <v>497</v>
      </c>
      <c r="D271" s="125" t="s">
        <v>284</v>
      </c>
      <c r="E271" s="126" t="s">
        <v>532</v>
      </c>
      <c r="F271" s="127" t="s">
        <v>533</v>
      </c>
      <c r="G271" s="128" t="s">
        <v>287</v>
      </c>
      <c r="H271" s="129">
        <v>123.61499999999999</v>
      </c>
      <c r="I271" s="130">
        <v>40.878739778868102</v>
      </c>
      <c r="J271" s="131">
        <f>ROUND(I271*H271,2)</f>
        <v>5053.2299999999996</v>
      </c>
      <c r="K271" s="127" t="s">
        <v>293</v>
      </c>
      <c r="L271" s="268">
        <f>S271</f>
        <v>0</v>
      </c>
      <c r="M271" s="272">
        <f>ROUND(L271*I271,2)</f>
        <v>0</v>
      </c>
      <c r="N271" s="243">
        <f>N267</f>
        <v>18.312000000000026</v>
      </c>
      <c r="O271" s="294">
        <f>ROUND(N271*I271,2)</f>
        <v>748.57</v>
      </c>
      <c r="P271" s="273">
        <f>H271-L271-N271</f>
        <v>105.30299999999997</v>
      </c>
      <c r="Q271" s="287">
        <f>ROUND(P271*I271,2)</f>
        <v>4304.6499999999996</v>
      </c>
      <c r="R271" s="137"/>
      <c r="S271" s="269">
        <f>W271+Y271+AA271+AC271+AE271</f>
        <v>0</v>
      </c>
      <c r="T271" s="269">
        <f>ROUND(S271*I271,2)</f>
        <v>0</v>
      </c>
      <c r="U271" s="269">
        <f>H271-S271</f>
        <v>123.61499999999999</v>
      </c>
      <c r="V271" s="269">
        <f>ROUND(U271*I271,2)</f>
        <v>5053.2299999999996</v>
      </c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DB271" s="132" t="s">
        <v>1</v>
      </c>
      <c r="DC271" s="133" t="s">
        <v>40</v>
      </c>
      <c r="DE271" s="134">
        <f>DD271*H271</f>
        <v>0</v>
      </c>
      <c r="DF271" s="134">
        <v>0</v>
      </c>
      <c r="DG271" s="134">
        <f>DF271*H271</f>
        <v>0</v>
      </c>
      <c r="DH271" s="134">
        <v>0</v>
      </c>
      <c r="DI271" s="135">
        <f>DH271*H271</f>
        <v>0</v>
      </c>
      <c r="EG271" s="136" t="s">
        <v>95</v>
      </c>
      <c r="EI271" s="136" t="s">
        <v>284</v>
      </c>
      <c r="EJ271" s="136" t="s">
        <v>83</v>
      </c>
      <c r="EN271" s="16" t="s">
        <v>282</v>
      </c>
      <c r="ET271" s="137">
        <f>IF(DC271="základní",J271,0)</f>
        <v>5053.2299999999996</v>
      </c>
      <c r="EU271" s="137">
        <f>IF(DC271="snížená",J271,0)</f>
        <v>0</v>
      </c>
      <c r="EV271" s="137">
        <f>IF(DC271="zákl. přenesená",J271,0)</f>
        <v>0</v>
      </c>
      <c r="EW271" s="137">
        <f>IF(DC271="sníž. přenesená",J271,0)</f>
        <v>0</v>
      </c>
      <c r="EX271" s="137">
        <f>IF(DC271="nulová",J271,0)</f>
        <v>0</v>
      </c>
      <c r="EY271" s="16" t="s">
        <v>81</v>
      </c>
      <c r="EZ271" s="137">
        <f>ROUND(I271*H271,2)</f>
        <v>5053.2299999999996</v>
      </c>
      <c r="FA271" s="16" t="s">
        <v>95</v>
      </c>
      <c r="FB271" s="136" t="s">
        <v>534</v>
      </c>
    </row>
    <row r="272" spans="2:158" s="1" customFormat="1" ht="19.5" x14ac:dyDescent="0.2">
      <c r="B272" s="31"/>
      <c r="D272" s="138" t="s">
        <v>289</v>
      </c>
      <c r="F272" s="139" t="s">
        <v>535</v>
      </c>
      <c r="I272" s="140"/>
      <c r="L272" s="31"/>
      <c r="N272" s="213"/>
      <c r="O272" s="214"/>
      <c r="Q272" s="229"/>
      <c r="DB272" s="141"/>
      <c r="DI272" s="50"/>
      <c r="EI272" s="16" t="s">
        <v>289</v>
      </c>
      <c r="EJ272" s="16" t="s">
        <v>83</v>
      </c>
    </row>
    <row r="273" spans="2:158" s="1" customFormat="1" ht="24.2" customHeight="1" x14ac:dyDescent="0.2">
      <c r="B273" s="124"/>
      <c r="C273" s="125" t="s">
        <v>501</v>
      </c>
      <c r="D273" s="125" t="s">
        <v>284</v>
      </c>
      <c r="E273" s="126" t="s">
        <v>537</v>
      </c>
      <c r="F273" s="127" t="s">
        <v>538</v>
      </c>
      <c r="G273" s="128" t="s">
        <v>287</v>
      </c>
      <c r="H273" s="129">
        <v>123.61499999999999</v>
      </c>
      <c r="I273" s="130">
        <v>362.67856108310502</v>
      </c>
      <c r="J273" s="131">
        <f>ROUND(I273*H273,2)</f>
        <v>44832.51</v>
      </c>
      <c r="K273" s="127" t="s">
        <v>293</v>
      </c>
      <c r="L273" s="268">
        <f>S273</f>
        <v>0</v>
      </c>
      <c r="M273" s="272">
        <f>ROUND(L273*I273,2)</f>
        <v>0</v>
      </c>
      <c r="N273" s="243">
        <f>N267</f>
        <v>18.312000000000026</v>
      </c>
      <c r="O273" s="294">
        <f>ROUND(N273*I273,2)</f>
        <v>6641.37</v>
      </c>
      <c r="P273" s="273">
        <f>H273-L273-N273</f>
        <v>105.30299999999997</v>
      </c>
      <c r="Q273" s="287">
        <f>ROUND(P273*I273,2)</f>
        <v>38191.14</v>
      </c>
      <c r="R273" s="137"/>
      <c r="S273" s="269">
        <f>W273+Y273+AA273+AC273+AE273</f>
        <v>0</v>
      </c>
      <c r="T273" s="269">
        <f>ROUND(S273*I273,2)</f>
        <v>0</v>
      </c>
      <c r="U273" s="269">
        <f>H273-S273</f>
        <v>123.61499999999999</v>
      </c>
      <c r="V273" s="269">
        <f>ROUND(U273*I273,2)</f>
        <v>44832.51</v>
      </c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DB273" s="132" t="s">
        <v>1</v>
      </c>
      <c r="DC273" s="133" t="s">
        <v>40</v>
      </c>
      <c r="DE273" s="134">
        <f>DD273*H273</f>
        <v>0</v>
      </c>
      <c r="DF273" s="134">
        <v>0</v>
      </c>
      <c r="DG273" s="134">
        <f>DF273*H273</f>
        <v>0</v>
      </c>
      <c r="DH273" s="134">
        <v>0</v>
      </c>
      <c r="DI273" s="135">
        <f>DH273*H273</f>
        <v>0</v>
      </c>
      <c r="EG273" s="136" t="s">
        <v>95</v>
      </c>
      <c r="EI273" s="136" t="s">
        <v>284</v>
      </c>
      <c r="EJ273" s="136" t="s">
        <v>83</v>
      </c>
      <c r="EN273" s="16" t="s">
        <v>282</v>
      </c>
      <c r="ET273" s="137">
        <f>IF(DC273="základní",J273,0)</f>
        <v>44832.51</v>
      </c>
      <c r="EU273" s="137">
        <f>IF(DC273="snížená",J273,0)</f>
        <v>0</v>
      </c>
      <c r="EV273" s="137">
        <f>IF(DC273="zákl. přenesená",J273,0)</f>
        <v>0</v>
      </c>
      <c r="EW273" s="137">
        <f>IF(DC273="sníž. přenesená",J273,0)</f>
        <v>0</v>
      </c>
      <c r="EX273" s="137">
        <f>IF(DC273="nulová",J273,0)</f>
        <v>0</v>
      </c>
      <c r="EY273" s="16" t="s">
        <v>81</v>
      </c>
      <c r="EZ273" s="137">
        <f>ROUND(I273*H273,2)</f>
        <v>44832.51</v>
      </c>
      <c r="FA273" s="16" t="s">
        <v>95</v>
      </c>
      <c r="FB273" s="136" t="s">
        <v>539</v>
      </c>
    </row>
    <row r="274" spans="2:158" s="1" customFormat="1" ht="29.25" x14ac:dyDescent="0.2">
      <c r="B274" s="31"/>
      <c r="D274" s="138" t="s">
        <v>289</v>
      </c>
      <c r="F274" s="139" t="s">
        <v>540</v>
      </c>
      <c r="I274" s="140"/>
      <c r="L274" s="31"/>
      <c r="N274" s="213"/>
      <c r="O274" s="214"/>
      <c r="Q274" s="229"/>
      <c r="DB274" s="141"/>
      <c r="DI274" s="50"/>
      <c r="EI274" s="16" t="s">
        <v>289</v>
      </c>
      <c r="EJ274" s="16" t="s">
        <v>83</v>
      </c>
    </row>
    <row r="275" spans="2:158" s="1" customFormat="1" ht="29.25" x14ac:dyDescent="0.2">
      <c r="B275" s="31"/>
      <c r="D275" s="138" t="s">
        <v>299</v>
      </c>
      <c r="F275" s="142" t="s">
        <v>1574</v>
      </c>
      <c r="I275" s="140"/>
      <c r="L275" s="31"/>
      <c r="N275" s="213"/>
      <c r="O275" s="214"/>
      <c r="Q275" s="229"/>
      <c r="DB275" s="141"/>
      <c r="DI275" s="50"/>
      <c r="EI275" s="16" t="s">
        <v>299</v>
      </c>
      <c r="EJ275" s="16" t="s">
        <v>83</v>
      </c>
    </row>
    <row r="276" spans="2:158" s="11" customFormat="1" x14ac:dyDescent="0.2">
      <c r="B276" s="143"/>
      <c r="D276" s="138" t="s">
        <v>301</v>
      </c>
      <c r="E276" s="144" t="s">
        <v>1</v>
      </c>
      <c r="F276" s="145" t="s">
        <v>541</v>
      </c>
      <c r="H276" s="144" t="s">
        <v>1</v>
      </c>
      <c r="I276" s="146"/>
      <c r="L276" s="143"/>
      <c r="N276" s="215"/>
      <c r="O276" s="216"/>
      <c r="Q276" s="230"/>
      <c r="DB276" s="147"/>
      <c r="DI276" s="148"/>
      <c r="EI276" s="144" t="s">
        <v>301</v>
      </c>
      <c r="EJ276" s="144" t="s">
        <v>83</v>
      </c>
      <c r="EK276" s="11" t="s">
        <v>81</v>
      </c>
      <c r="EL276" s="11" t="s">
        <v>32</v>
      </c>
      <c r="EM276" s="11" t="s">
        <v>74</v>
      </c>
      <c r="EN276" s="144" t="s">
        <v>282</v>
      </c>
    </row>
    <row r="277" spans="2:158" s="12" customFormat="1" x14ac:dyDescent="0.2">
      <c r="B277" s="149"/>
      <c r="D277" s="138" t="s">
        <v>301</v>
      </c>
      <c r="E277" s="150" t="s">
        <v>1</v>
      </c>
      <c r="F277" s="151" t="s">
        <v>1599</v>
      </c>
      <c r="H277" s="152">
        <v>123.61499999999999</v>
      </c>
      <c r="I277" s="153"/>
      <c r="L277" s="149"/>
      <c r="N277" s="217"/>
      <c r="O277" s="218"/>
      <c r="Q277" s="231"/>
      <c r="DB277" s="154"/>
      <c r="DI277" s="155"/>
      <c r="EI277" s="150" t="s">
        <v>301</v>
      </c>
      <c r="EJ277" s="150" t="s">
        <v>83</v>
      </c>
      <c r="EK277" s="12" t="s">
        <v>83</v>
      </c>
      <c r="EL277" s="12" t="s">
        <v>32</v>
      </c>
      <c r="EM277" s="12" t="s">
        <v>81</v>
      </c>
      <c r="EN277" s="150" t="s">
        <v>282</v>
      </c>
    </row>
    <row r="278" spans="2:158" s="1" customFormat="1" ht="14.45" customHeight="1" x14ac:dyDescent="0.2">
      <c r="B278" s="124"/>
      <c r="C278" s="125" t="s">
        <v>505</v>
      </c>
      <c r="D278" s="125" t="s">
        <v>284</v>
      </c>
      <c r="E278" s="126" t="s">
        <v>544</v>
      </c>
      <c r="F278" s="127" t="s">
        <v>545</v>
      </c>
      <c r="G278" s="128" t="s">
        <v>287</v>
      </c>
      <c r="H278" s="129">
        <v>420</v>
      </c>
      <c r="I278" s="130">
        <v>18.105699236185</v>
      </c>
      <c r="J278" s="131">
        <f>ROUND(I278*H278,2)</f>
        <v>7604.39</v>
      </c>
      <c r="K278" s="127" t="s">
        <v>293</v>
      </c>
      <c r="L278" s="268">
        <f>S278</f>
        <v>0</v>
      </c>
      <c r="M278" s="272">
        <f>ROUND(L278*I278,2)</f>
        <v>0</v>
      </c>
      <c r="N278" s="243">
        <f>N137</f>
        <v>69.759999999999991</v>
      </c>
      <c r="O278" s="294">
        <f>ROUND(N278*I278,2)</f>
        <v>1263.05</v>
      </c>
      <c r="P278" s="273">
        <f>H278-L278-N278</f>
        <v>350.24</v>
      </c>
      <c r="Q278" s="287">
        <f>ROUND(P278*I278,2)</f>
        <v>6341.34</v>
      </c>
      <c r="R278" s="137"/>
      <c r="S278" s="269">
        <f>W278+Y278+AA278+AC278+AE278</f>
        <v>0</v>
      </c>
      <c r="T278" s="269">
        <f>ROUND(S278*I278,2)</f>
        <v>0</v>
      </c>
      <c r="U278" s="269">
        <f>H278-S278</f>
        <v>420</v>
      </c>
      <c r="V278" s="269">
        <f>ROUND(U278*I278,2)</f>
        <v>7604.39</v>
      </c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DB278" s="132" t="s">
        <v>1</v>
      </c>
      <c r="DC278" s="133" t="s">
        <v>40</v>
      </c>
      <c r="DE278" s="134">
        <f>DD278*H278</f>
        <v>0</v>
      </c>
      <c r="DF278" s="134">
        <v>0</v>
      </c>
      <c r="DG278" s="134">
        <f>DF278*H278</f>
        <v>0</v>
      </c>
      <c r="DH278" s="134">
        <v>0</v>
      </c>
      <c r="DI278" s="135">
        <f>DH278*H278</f>
        <v>0</v>
      </c>
      <c r="EG278" s="136" t="s">
        <v>95</v>
      </c>
      <c r="EI278" s="136" t="s">
        <v>284</v>
      </c>
      <c r="EJ278" s="136" t="s">
        <v>83</v>
      </c>
      <c r="EN278" s="16" t="s">
        <v>282</v>
      </c>
      <c r="ET278" s="137">
        <f>IF(DC278="základní",J278,0)</f>
        <v>7604.39</v>
      </c>
      <c r="EU278" s="137">
        <f>IF(DC278="snížená",J278,0)</f>
        <v>0</v>
      </c>
      <c r="EV278" s="137">
        <f>IF(DC278="zákl. přenesená",J278,0)</f>
        <v>0</v>
      </c>
      <c r="EW278" s="137">
        <f>IF(DC278="sníž. přenesená",J278,0)</f>
        <v>0</v>
      </c>
      <c r="EX278" s="137">
        <f>IF(DC278="nulová",J278,0)</f>
        <v>0</v>
      </c>
      <c r="EY278" s="16" t="s">
        <v>81</v>
      </c>
      <c r="EZ278" s="137">
        <f>ROUND(I278*H278,2)</f>
        <v>7604.39</v>
      </c>
      <c r="FA278" s="16" t="s">
        <v>95</v>
      </c>
      <c r="FB278" s="136" t="s">
        <v>546</v>
      </c>
    </row>
    <row r="279" spans="2:158" s="1" customFormat="1" ht="19.5" x14ac:dyDescent="0.2">
      <c r="B279" s="31"/>
      <c r="D279" s="138" t="s">
        <v>289</v>
      </c>
      <c r="F279" s="139" t="s">
        <v>547</v>
      </c>
      <c r="I279" s="140"/>
      <c r="L279" s="31"/>
      <c r="N279" s="213"/>
      <c r="O279" s="214"/>
      <c r="Q279" s="229"/>
      <c r="DB279" s="141"/>
      <c r="DI279" s="50"/>
      <c r="EI279" s="16" t="s">
        <v>289</v>
      </c>
      <c r="EJ279" s="16" t="s">
        <v>83</v>
      </c>
    </row>
    <row r="280" spans="2:158" s="1" customFormat="1" ht="24.2" customHeight="1" x14ac:dyDescent="0.2">
      <c r="B280" s="124"/>
      <c r="C280" s="125" t="s">
        <v>510</v>
      </c>
      <c r="D280" s="125" t="s">
        <v>284</v>
      </c>
      <c r="E280" s="126" t="s">
        <v>549</v>
      </c>
      <c r="F280" s="127" t="s">
        <v>550</v>
      </c>
      <c r="G280" s="128" t="s">
        <v>287</v>
      </c>
      <c r="H280" s="129">
        <v>420</v>
      </c>
      <c r="I280" s="130">
        <v>388.96896513366403</v>
      </c>
      <c r="J280" s="131">
        <f>ROUND(I280*H280,2)</f>
        <v>163366.97</v>
      </c>
      <c r="K280" s="127" t="s">
        <v>293</v>
      </c>
      <c r="L280" s="268">
        <f>S280</f>
        <v>0</v>
      </c>
      <c r="M280" s="272">
        <f>ROUND(L280*I280,2)</f>
        <v>0</v>
      </c>
      <c r="N280" s="243">
        <f>N278</f>
        <v>69.759999999999991</v>
      </c>
      <c r="O280" s="294">
        <f>ROUND(N280*I280,2)</f>
        <v>27134.48</v>
      </c>
      <c r="P280" s="273">
        <f>H280-L280-N280</f>
        <v>350.24</v>
      </c>
      <c r="Q280" s="287">
        <f>ROUND(P280*I280,2)</f>
        <v>136232.49</v>
      </c>
      <c r="R280" s="137"/>
      <c r="S280" s="269">
        <f>W280+Y280+AA280+AC280+AE280</f>
        <v>0</v>
      </c>
      <c r="T280" s="269">
        <f>ROUND(S280*I280,2)</f>
        <v>0</v>
      </c>
      <c r="U280" s="269">
        <f>H280-S280</f>
        <v>420</v>
      </c>
      <c r="V280" s="269">
        <f>ROUND(U280*I280,2)</f>
        <v>163366.97</v>
      </c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DB280" s="132" t="s">
        <v>1</v>
      </c>
      <c r="DC280" s="133" t="s">
        <v>40</v>
      </c>
      <c r="DE280" s="134">
        <f>DD280*H280</f>
        <v>0</v>
      </c>
      <c r="DF280" s="134">
        <v>0</v>
      </c>
      <c r="DG280" s="134">
        <f>DF280*H280</f>
        <v>0</v>
      </c>
      <c r="DH280" s="134">
        <v>0</v>
      </c>
      <c r="DI280" s="135">
        <f>DH280*H280</f>
        <v>0</v>
      </c>
      <c r="EG280" s="136" t="s">
        <v>95</v>
      </c>
      <c r="EI280" s="136" t="s">
        <v>284</v>
      </c>
      <c r="EJ280" s="136" t="s">
        <v>83</v>
      </c>
      <c r="EN280" s="16" t="s">
        <v>282</v>
      </c>
      <c r="ET280" s="137">
        <f>IF(DC280="základní",J280,0)</f>
        <v>163366.97</v>
      </c>
      <c r="EU280" s="137">
        <f>IF(DC280="snížená",J280,0)</f>
        <v>0</v>
      </c>
      <c r="EV280" s="137">
        <f>IF(DC280="zákl. přenesená",J280,0)</f>
        <v>0</v>
      </c>
      <c r="EW280" s="137">
        <f>IF(DC280="sníž. přenesená",J280,0)</f>
        <v>0</v>
      </c>
      <c r="EX280" s="137">
        <f>IF(DC280="nulová",J280,0)</f>
        <v>0</v>
      </c>
      <c r="EY280" s="16" t="s">
        <v>81</v>
      </c>
      <c r="EZ280" s="137">
        <f>ROUND(I280*H280,2)</f>
        <v>163366.97</v>
      </c>
      <c r="FA280" s="16" t="s">
        <v>95</v>
      </c>
      <c r="FB280" s="136" t="s">
        <v>551</v>
      </c>
    </row>
    <row r="281" spans="2:158" s="1" customFormat="1" ht="29.25" x14ac:dyDescent="0.2">
      <c r="B281" s="31"/>
      <c r="D281" s="138" t="s">
        <v>289</v>
      </c>
      <c r="F281" s="139" t="s">
        <v>552</v>
      </c>
      <c r="I281" s="140"/>
      <c r="L281" s="31"/>
      <c r="N281" s="213"/>
      <c r="O281" s="214"/>
      <c r="Q281" s="229"/>
      <c r="DB281" s="141"/>
      <c r="DI281" s="50"/>
      <c r="EI281" s="16" t="s">
        <v>289</v>
      </c>
      <c r="EJ281" s="16" t="s">
        <v>83</v>
      </c>
    </row>
    <row r="282" spans="2:158" s="1" customFormat="1" ht="29.25" x14ac:dyDescent="0.2">
      <c r="B282" s="31"/>
      <c r="D282" s="138" t="s">
        <v>299</v>
      </c>
      <c r="F282" s="142" t="s">
        <v>1574</v>
      </c>
      <c r="I282" s="140"/>
      <c r="L282" s="31"/>
      <c r="N282" s="213"/>
      <c r="O282" s="214"/>
      <c r="Q282" s="229"/>
      <c r="DB282" s="141"/>
      <c r="DI282" s="50"/>
      <c r="EI282" s="16" t="s">
        <v>299</v>
      </c>
      <c r="EJ282" s="16" t="s">
        <v>83</v>
      </c>
    </row>
    <row r="283" spans="2:158" s="11" customFormat="1" x14ac:dyDescent="0.2">
      <c r="B283" s="143"/>
      <c r="D283" s="138" t="s">
        <v>301</v>
      </c>
      <c r="E283" s="144" t="s">
        <v>1</v>
      </c>
      <c r="F283" s="145" t="s">
        <v>553</v>
      </c>
      <c r="H283" s="144" t="s">
        <v>1</v>
      </c>
      <c r="I283" s="146"/>
      <c r="L283" s="143"/>
      <c r="N283" s="215"/>
      <c r="O283" s="216"/>
      <c r="Q283" s="230"/>
      <c r="DB283" s="147"/>
      <c r="DI283" s="148"/>
      <c r="EI283" s="144" t="s">
        <v>301</v>
      </c>
      <c r="EJ283" s="144" t="s">
        <v>83</v>
      </c>
      <c r="EK283" s="11" t="s">
        <v>81</v>
      </c>
      <c r="EL283" s="11" t="s">
        <v>32</v>
      </c>
      <c r="EM283" s="11" t="s">
        <v>74</v>
      </c>
      <c r="EN283" s="144" t="s">
        <v>282</v>
      </c>
    </row>
    <row r="284" spans="2:158" s="12" customFormat="1" x14ac:dyDescent="0.2">
      <c r="B284" s="149"/>
      <c r="D284" s="138" t="s">
        <v>301</v>
      </c>
      <c r="E284" s="150" t="s">
        <v>1</v>
      </c>
      <c r="F284" s="151" t="s">
        <v>1600</v>
      </c>
      <c r="H284" s="152">
        <v>420</v>
      </c>
      <c r="I284" s="153"/>
      <c r="L284" s="149"/>
      <c r="N284" s="217"/>
      <c r="O284" s="218"/>
      <c r="Q284" s="231"/>
      <c r="DB284" s="154"/>
      <c r="DI284" s="155"/>
      <c r="EI284" s="150" t="s">
        <v>301</v>
      </c>
      <c r="EJ284" s="150" t="s">
        <v>83</v>
      </c>
      <c r="EK284" s="12" t="s">
        <v>83</v>
      </c>
      <c r="EL284" s="12" t="s">
        <v>32</v>
      </c>
      <c r="EM284" s="12" t="s">
        <v>81</v>
      </c>
      <c r="EN284" s="150" t="s">
        <v>282</v>
      </c>
    </row>
    <row r="285" spans="2:158" s="10" customFormat="1" ht="22.9" customHeight="1" x14ac:dyDescent="0.2">
      <c r="B285" s="112"/>
      <c r="D285" s="113" t="s">
        <v>73</v>
      </c>
      <c r="E285" s="122" t="s">
        <v>328</v>
      </c>
      <c r="F285" s="122" t="s">
        <v>555</v>
      </c>
      <c r="I285" s="115"/>
      <c r="J285" s="123">
        <f>EZ285</f>
        <v>185388.14999999997</v>
      </c>
      <c r="L285" s="112"/>
      <c r="M285" s="270">
        <f>SUM(M286:M344)</f>
        <v>0</v>
      </c>
      <c r="N285" s="301"/>
      <c r="O285" s="302">
        <f t="shared" ref="O285:V285" si="3">SUM(O286:O344)</f>
        <v>18838.559999999998</v>
      </c>
      <c r="P285" s="270"/>
      <c r="Q285" s="288">
        <f t="shared" si="3"/>
        <v>166549.59999999998</v>
      </c>
      <c r="R285" s="270"/>
      <c r="S285" s="270"/>
      <c r="T285" s="270">
        <f t="shared" si="3"/>
        <v>0</v>
      </c>
      <c r="U285" s="270"/>
      <c r="V285" s="270">
        <f t="shared" si="3"/>
        <v>185388.14999999997</v>
      </c>
      <c r="DB285" s="117"/>
      <c r="DE285" s="118">
        <f>SUM(DE286:DE345)</f>
        <v>0</v>
      </c>
      <c r="DG285" s="118">
        <f>SUM(DG286:DG345)</f>
        <v>20.731590199999999</v>
      </c>
      <c r="DI285" s="119">
        <f>SUM(DI286:DI345)</f>
        <v>0</v>
      </c>
      <c r="EG285" s="113" t="s">
        <v>81</v>
      </c>
      <c r="EI285" s="120" t="s">
        <v>73</v>
      </c>
      <c r="EJ285" s="120" t="s">
        <v>81</v>
      </c>
      <c r="EN285" s="113" t="s">
        <v>282</v>
      </c>
      <c r="EZ285" s="121">
        <f>SUM(EZ286:EZ345)</f>
        <v>185388.14999999997</v>
      </c>
    </row>
    <row r="286" spans="2:158" s="1" customFormat="1" ht="24.2" customHeight="1" x14ac:dyDescent="0.2">
      <c r="B286" s="124"/>
      <c r="C286" s="125" t="s">
        <v>514</v>
      </c>
      <c r="D286" s="125" t="s">
        <v>284</v>
      </c>
      <c r="E286" s="126" t="s">
        <v>557</v>
      </c>
      <c r="F286" s="127" t="s">
        <v>558</v>
      </c>
      <c r="G286" s="128" t="s">
        <v>344</v>
      </c>
      <c r="H286" s="129">
        <v>105</v>
      </c>
      <c r="I286" s="130">
        <v>850.78954015145496</v>
      </c>
      <c r="J286" s="131">
        <f>ROUND(I286*H286,2)</f>
        <v>89332.9</v>
      </c>
      <c r="K286" s="127" t="s">
        <v>293</v>
      </c>
      <c r="L286" s="268">
        <f>S286</f>
        <v>0</v>
      </c>
      <c r="M286" s="272">
        <f>ROUND(L286*I286,2)</f>
        <v>0</v>
      </c>
      <c r="N286" s="243">
        <f>N289</f>
        <v>17.439999999999998</v>
      </c>
      <c r="O286" s="294">
        <f>ROUND(N286*I286,2)</f>
        <v>14837.77</v>
      </c>
      <c r="P286" s="273">
        <f>H286-L286-N286</f>
        <v>87.56</v>
      </c>
      <c r="Q286" s="287">
        <f>ROUND(P286*I286,2)</f>
        <v>74495.13</v>
      </c>
      <c r="R286" s="137"/>
      <c r="S286" s="269">
        <f>W286+Y286+AA286+AC286+AE286</f>
        <v>0</v>
      </c>
      <c r="T286" s="269">
        <f>ROUND(S286*I286,2)</f>
        <v>0</v>
      </c>
      <c r="U286" s="269">
        <f>H286-S286</f>
        <v>105</v>
      </c>
      <c r="V286" s="269">
        <f>ROUND(U286*I286,2)</f>
        <v>89332.9</v>
      </c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DB286" s="132" t="s">
        <v>1</v>
      </c>
      <c r="DC286" s="133" t="s">
        <v>40</v>
      </c>
      <c r="DE286" s="134">
        <f>DD286*H286</f>
        <v>0</v>
      </c>
      <c r="DF286" s="134">
        <v>1.323E-2</v>
      </c>
      <c r="DG286" s="134">
        <f>DF286*H286</f>
        <v>1.3891500000000001</v>
      </c>
      <c r="DH286" s="134">
        <v>0</v>
      </c>
      <c r="DI286" s="135">
        <f>DH286*H286</f>
        <v>0</v>
      </c>
      <c r="EG286" s="136" t="s">
        <v>95</v>
      </c>
      <c r="EI286" s="136" t="s">
        <v>284</v>
      </c>
      <c r="EJ286" s="136" t="s">
        <v>83</v>
      </c>
      <c r="EN286" s="16" t="s">
        <v>282</v>
      </c>
      <c r="ET286" s="137">
        <f>IF(DC286="základní",J286,0)</f>
        <v>89332.9</v>
      </c>
      <c r="EU286" s="137">
        <f>IF(DC286="snížená",J286,0)</f>
        <v>0</v>
      </c>
      <c r="EV286" s="137">
        <f>IF(DC286="zákl. přenesená",J286,0)</f>
        <v>0</v>
      </c>
      <c r="EW286" s="137">
        <f>IF(DC286="sníž. přenesená",J286,0)</f>
        <v>0</v>
      </c>
      <c r="EX286" s="137">
        <f>IF(DC286="nulová",J286,0)</f>
        <v>0</v>
      </c>
      <c r="EY286" s="16" t="s">
        <v>81</v>
      </c>
      <c r="EZ286" s="137">
        <f>ROUND(I286*H286,2)</f>
        <v>89332.9</v>
      </c>
      <c r="FA286" s="16" t="s">
        <v>95</v>
      </c>
      <c r="FB286" s="136" t="s">
        <v>559</v>
      </c>
    </row>
    <row r="287" spans="2:158" s="1" customFormat="1" ht="29.25" x14ac:dyDescent="0.2">
      <c r="B287" s="31"/>
      <c r="D287" s="138" t="s">
        <v>289</v>
      </c>
      <c r="F287" s="139" t="s">
        <v>560</v>
      </c>
      <c r="I287" s="140"/>
      <c r="L287" s="31"/>
      <c r="N287" s="213"/>
      <c r="O287" s="214"/>
      <c r="Q287" s="229"/>
      <c r="DB287" s="141"/>
      <c r="DI287" s="50"/>
      <c r="EI287" s="16" t="s">
        <v>289</v>
      </c>
      <c r="EJ287" s="16" t="s">
        <v>83</v>
      </c>
    </row>
    <row r="288" spans="2:158" s="1" customFormat="1" ht="29.25" x14ac:dyDescent="0.2">
      <c r="B288" s="31"/>
      <c r="D288" s="138" t="s">
        <v>299</v>
      </c>
      <c r="F288" s="142" t="s">
        <v>1574</v>
      </c>
      <c r="I288" s="140"/>
      <c r="L288" s="31"/>
      <c r="N288" s="213"/>
      <c r="O288" s="214"/>
      <c r="Q288" s="229"/>
      <c r="DB288" s="141"/>
      <c r="DI288" s="50"/>
      <c r="EI288" s="16" t="s">
        <v>299</v>
      </c>
      <c r="EJ288" s="16" t="s">
        <v>83</v>
      </c>
    </row>
    <row r="289" spans="2:158" s="12" customFormat="1" x14ac:dyDescent="0.2">
      <c r="B289" s="149"/>
      <c r="D289" s="138" t="s">
        <v>301</v>
      </c>
      <c r="E289" s="150" t="s">
        <v>1</v>
      </c>
      <c r="F289" s="151" t="s">
        <v>1601</v>
      </c>
      <c r="H289" s="152">
        <v>105</v>
      </c>
      <c r="I289" s="153"/>
      <c r="L289" s="149"/>
      <c r="N289" s="217">
        <f>122.44-105</f>
        <v>17.439999999999998</v>
      </c>
      <c r="O289" s="359" t="s">
        <v>3516</v>
      </c>
      <c r="Q289" s="231"/>
      <c r="DB289" s="154"/>
      <c r="DI289" s="155"/>
      <c r="EI289" s="150" t="s">
        <v>301</v>
      </c>
      <c r="EJ289" s="150" t="s">
        <v>83</v>
      </c>
      <c r="EK289" s="12" t="s">
        <v>83</v>
      </c>
      <c r="EL289" s="12" t="s">
        <v>32</v>
      </c>
      <c r="EM289" s="12" t="s">
        <v>81</v>
      </c>
      <c r="EN289" s="150" t="s">
        <v>282</v>
      </c>
    </row>
    <row r="290" spans="2:158" s="1" customFormat="1" ht="24.2" customHeight="1" x14ac:dyDescent="0.2">
      <c r="B290" s="124"/>
      <c r="C290" s="125" t="s">
        <v>521</v>
      </c>
      <c r="D290" s="125" t="s">
        <v>284</v>
      </c>
      <c r="E290" s="126" t="s">
        <v>563</v>
      </c>
      <c r="F290" s="127" t="s">
        <v>564</v>
      </c>
      <c r="G290" s="128" t="s">
        <v>485</v>
      </c>
      <c r="H290" s="129">
        <v>4</v>
      </c>
      <c r="I290" s="130">
        <v>428.93856860779169</v>
      </c>
      <c r="J290" s="131">
        <f>ROUND(I290*H290,2)</f>
        <v>1715.75</v>
      </c>
      <c r="K290" s="127" t="s">
        <v>293</v>
      </c>
      <c r="L290" s="268">
        <f>S290</f>
        <v>0</v>
      </c>
      <c r="M290" s="272">
        <f>ROUND(L290*I290,2)</f>
        <v>0</v>
      </c>
      <c r="N290" s="243">
        <v>1</v>
      </c>
      <c r="O290" s="294">
        <f>ROUND(N290*I290,2)</f>
        <v>428.94</v>
      </c>
      <c r="P290" s="273">
        <f>H290-L290-N290</f>
        <v>3</v>
      </c>
      <c r="Q290" s="287">
        <f>ROUND(P290*I290,2)</f>
        <v>1286.82</v>
      </c>
      <c r="R290" s="137"/>
      <c r="S290" s="269">
        <f>W290+Y290+AA290+AC290+AE290</f>
        <v>0</v>
      </c>
      <c r="T290" s="269">
        <f>ROUND(S290*I290,2)</f>
        <v>0</v>
      </c>
      <c r="U290" s="269">
        <f>H290-S290</f>
        <v>4</v>
      </c>
      <c r="V290" s="269">
        <f>ROUND(U290*I290,2)</f>
        <v>1715.75</v>
      </c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DB290" s="132" t="s">
        <v>1</v>
      </c>
      <c r="DC290" s="133" t="s">
        <v>40</v>
      </c>
      <c r="DE290" s="134">
        <f>DD290*H290</f>
        <v>0</v>
      </c>
      <c r="DF290" s="134">
        <v>2.0000000000000002E-5</v>
      </c>
      <c r="DG290" s="134">
        <f>DF290*H290</f>
        <v>8.0000000000000007E-5</v>
      </c>
      <c r="DH290" s="134">
        <v>0</v>
      </c>
      <c r="DI290" s="135">
        <f>DH290*H290</f>
        <v>0</v>
      </c>
      <c r="EG290" s="136" t="s">
        <v>95</v>
      </c>
      <c r="EI290" s="136" t="s">
        <v>284</v>
      </c>
      <c r="EJ290" s="136" t="s">
        <v>83</v>
      </c>
      <c r="EN290" s="16" t="s">
        <v>282</v>
      </c>
      <c r="ET290" s="137">
        <f>IF(DC290="základní",J290,0)</f>
        <v>1715.75</v>
      </c>
      <c r="EU290" s="137">
        <f>IF(DC290="snížená",J290,0)</f>
        <v>0</v>
      </c>
      <c r="EV290" s="137">
        <f>IF(DC290="zákl. přenesená",J290,0)</f>
        <v>0</v>
      </c>
      <c r="EW290" s="137">
        <f>IF(DC290="sníž. přenesená",J290,0)</f>
        <v>0</v>
      </c>
      <c r="EX290" s="137">
        <f>IF(DC290="nulová",J290,0)</f>
        <v>0</v>
      </c>
      <c r="EY290" s="16" t="s">
        <v>81</v>
      </c>
      <c r="EZ290" s="137">
        <f>ROUND(I290*H290,2)</f>
        <v>1715.75</v>
      </c>
      <c r="FA290" s="16" t="s">
        <v>95</v>
      </c>
      <c r="FB290" s="136" t="s">
        <v>565</v>
      </c>
    </row>
    <row r="291" spans="2:158" s="1" customFormat="1" ht="19.5" x14ac:dyDescent="0.2">
      <c r="B291" s="31"/>
      <c r="D291" s="138" t="s">
        <v>289</v>
      </c>
      <c r="F291" s="139" t="s">
        <v>566</v>
      </c>
      <c r="I291" s="140"/>
      <c r="L291" s="31"/>
      <c r="N291" s="213"/>
      <c r="O291" s="214"/>
      <c r="Q291" s="229"/>
      <c r="DB291" s="141"/>
      <c r="DI291" s="50"/>
      <c r="EI291" s="16" t="s">
        <v>289</v>
      </c>
      <c r="EJ291" s="16" t="s">
        <v>83</v>
      </c>
    </row>
    <row r="292" spans="2:158" s="1" customFormat="1" ht="19.5" x14ac:dyDescent="0.2">
      <c r="B292" s="31"/>
      <c r="D292" s="138" t="s">
        <v>299</v>
      </c>
      <c r="F292" s="142" t="s">
        <v>317</v>
      </c>
      <c r="I292" s="140"/>
      <c r="L292" s="31"/>
      <c r="N292" s="213"/>
      <c r="O292" s="214"/>
      <c r="Q292" s="229"/>
      <c r="DB292" s="141"/>
      <c r="DI292" s="50"/>
      <c r="EI292" s="16" t="s">
        <v>299</v>
      </c>
      <c r="EJ292" s="16" t="s">
        <v>83</v>
      </c>
    </row>
    <row r="293" spans="2:158" s="12" customFormat="1" x14ac:dyDescent="0.2">
      <c r="B293" s="149"/>
      <c r="D293" s="138" t="s">
        <v>301</v>
      </c>
      <c r="E293" s="150" t="s">
        <v>1</v>
      </c>
      <c r="F293" s="151" t="s">
        <v>1602</v>
      </c>
      <c r="H293" s="152">
        <v>4</v>
      </c>
      <c r="I293" s="153"/>
      <c r="L293" s="149"/>
      <c r="N293" s="217"/>
      <c r="O293" s="218"/>
      <c r="Q293" s="231"/>
      <c r="DB293" s="154"/>
      <c r="DI293" s="155"/>
      <c r="EI293" s="150" t="s">
        <v>301</v>
      </c>
      <c r="EJ293" s="150" t="s">
        <v>83</v>
      </c>
      <c r="EK293" s="12" t="s">
        <v>83</v>
      </c>
      <c r="EL293" s="12" t="s">
        <v>32</v>
      </c>
      <c r="EM293" s="12" t="s">
        <v>81</v>
      </c>
      <c r="EN293" s="150" t="s">
        <v>282</v>
      </c>
    </row>
    <row r="294" spans="2:158" s="1" customFormat="1" ht="24.2" customHeight="1" x14ac:dyDescent="0.2">
      <c r="B294" s="124"/>
      <c r="C294" s="170" t="s">
        <v>526</v>
      </c>
      <c r="D294" s="170" t="s">
        <v>439</v>
      </c>
      <c r="E294" s="171" t="s">
        <v>569</v>
      </c>
      <c r="F294" s="172" t="s">
        <v>570</v>
      </c>
      <c r="G294" s="173" t="s">
        <v>485</v>
      </c>
      <c r="H294" s="174">
        <v>4</v>
      </c>
      <c r="I294" s="175">
        <v>1984.4168915</v>
      </c>
      <c r="J294" s="176">
        <f>ROUND(I294*H294,2)</f>
        <v>7937.67</v>
      </c>
      <c r="K294" s="172" t="s">
        <v>293</v>
      </c>
      <c r="L294" s="268">
        <f>S294</f>
        <v>0</v>
      </c>
      <c r="M294" s="272">
        <f>ROUND(L294*I294,2)</f>
        <v>0</v>
      </c>
      <c r="N294" s="243">
        <v>1</v>
      </c>
      <c r="O294" s="294">
        <f>ROUND(N294*I294,2)</f>
        <v>1984.42</v>
      </c>
      <c r="P294" s="273">
        <f>H294-L294-N294</f>
        <v>3</v>
      </c>
      <c r="Q294" s="287">
        <f>ROUND(P294*I294,2)</f>
        <v>5953.25</v>
      </c>
      <c r="R294" s="137"/>
      <c r="S294" s="269">
        <f>W294+Y294+AA294+AC294+AE294</f>
        <v>0</v>
      </c>
      <c r="T294" s="269">
        <f>ROUND(S294*I294,2)</f>
        <v>0</v>
      </c>
      <c r="U294" s="269">
        <f>H294-S294</f>
        <v>4</v>
      </c>
      <c r="V294" s="269">
        <f>ROUND(U294*I294,2)</f>
        <v>7937.67</v>
      </c>
      <c r="W294" s="290"/>
      <c r="X294" s="290"/>
      <c r="Y294" s="290"/>
      <c r="Z294" s="290"/>
      <c r="AA294" s="290"/>
      <c r="AB294" s="290"/>
      <c r="AC294" s="290"/>
      <c r="AD294" s="290"/>
      <c r="AE294" s="290"/>
      <c r="AF294" s="290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77" t="s">
        <v>1</v>
      </c>
      <c r="DC294" s="178" t="s">
        <v>40</v>
      </c>
      <c r="DE294" s="134">
        <f>DD294*H294</f>
        <v>0</v>
      </c>
      <c r="DF294" s="134">
        <v>4.2599999999999999E-3</v>
      </c>
      <c r="DG294" s="134">
        <f>DF294*H294</f>
        <v>1.704E-2</v>
      </c>
      <c r="DH294" s="134">
        <v>0</v>
      </c>
      <c r="DI294" s="135">
        <f>DH294*H294</f>
        <v>0</v>
      </c>
      <c r="EG294" s="136" t="s">
        <v>328</v>
      </c>
      <c r="EI294" s="136" t="s">
        <v>439</v>
      </c>
      <c r="EJ294" s="136" t="s">
        <v>83</v>
      </c>
      <c r="EN294" s="16" t="s">
        <v>282</v>
      </c>
      <c r="ET294" s="137">
        <f>IF(DC294="základní",J294,0)</f>
        <v>7937.67</v>
      </c>
      <c r="EU294" s="137">
        <f>IF(DC294="snížená",J294,0)</f>
        <v>0</v>
      </c>
      <c r="EV294" s="137">
        <f>IF(DC294="zákl. přenesená",J294,0)</f>
        <v>0</v>
      </c>
      <c r="EW294" s="137">
        <f>IF(DC294="sníž. přenesená",J294,0)</f>
        <v>0</v>
      </c>
      <c r="EX294" s="137">
        <f>IF(DC294="nulová",J294,0)</f>
        <v>0</v>
      </c>
      <c r="EY294" s="16" t="s">
        <v>81</v>
      </c>
      <c r="EZ294" s="137">
        <f>ROUND(I294*H294,2)</f>
        <v>7937.67</v>
      </c>
      <c r="FA294" s="16" t="s">
        <v>95</v>
      </c>
      <c r="FB294" s="136" t="s">
        <v>571</v>
      </c>
    </row>
    <row r="295" spans="2:158" s="1" customFormat="1" x14ac:dyDescent="0.2">
      <c r="B295" s="31"/>
      <c r="D295" s="138" t="s">
        <v>289</v>
      </c>
      <c r="F295" s="139" t="s">
        <v>570</v>
      </c>
      <c r="I295" s="140"/>
      <c r="L295" s="31"/>
      <c r="N295" s="213"/>
      <c r="O295" s="214"/>
      <c r="Q295" s="229"/>
      <c r="DB295" s="141"/>
      <c r="DI295" s="50"/>
      <c r="EI295" s="16" t="s">
        <v>289</v>
      </c>
      <c r="EJ295" s="16" t="s">
        <v>83</v>
      </c>
    </row>
    <row r="296" spans="2:158" s="1" customFormat="1" ht="24.2" customHeight="1" x14ac:dyDescent="0.2">
      <c r="B296" s="124"/>
      <c r="C296" s="125" t="s">
        <v>531</v>
      </c>
      <c r="D296" s="125" t="s">
        <v>284</v>
      </c>
      <c r="E296" s="126" t="s">
        <v>573</v>
      </c>
      <c r="F296" s="127" t="s">
        <v>574</v>
      </c>
      <c r="G296" s="128" t="s">
        <v>344</v>
      </c>
      <c r="H296" s="129">
        <v>105</v>
      </c>
      <c r="I296" s="130">
        <v>42.624706500000002</v>
      </c>
      <c r="J296" s="131">
        <f>ROUND(I296*H296,2)</f>
        <v>4475.59</v>
      </c>
      <c r="K296" s="127" t="s">
        <v>1</v>
      </c>
      <c r="L296" s="268">
        <f>S296</f>
        <v>0</v>
      </c>
      <c r="M296" s="272">
        <f>ROUND(L296*I296,2)</f>
        <v>0</v>
      </c>
      <c r="N296" s="243">
        <f>N286</f>
        <v>17.439999999999998</v>
      </c>
      <c r="O296" s="294">
        <f>ROUND(N296*I296,2)</f>
        <v>743.37</v>
      </c>
      <c r="P296" s="273">
        <f>H296-L296-N296</f>
        <v>87.56</v>
      </c>
      <c r="Q296" s="287">
        <f>ROUND(P296*I296,2)</f>
        <v>3732.22</v>
      </c>
      <c r="R296" s="137"/>
      <c r="S296" s="269">
        <f>W296+Y296+AA296+AC296+AE296</f>
        <v>0</v>
      </c>
      <c r="T296" s="269">
        <f>ROUND(S296*I296,2)</f>
        <v>0</v>
      </c>
      <c r="U296" s="269">
        <f>H296-S296</f>
        <v>105</v>
      </c>
      <c r="V296" s="269">
        <f>ROUND(U296*I296,2)</f>
        <v>4475.59</v>
      </c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DB296" s="132" t="s">
        <v>1</v>
      </c>
      <c r="DC296" s="133" t="s">
        <v>40</v>
      </c>
      <c r="DE296" s="134">
        <f>DD296*H296</f>
        <v>0</v>
      </c>
      <c r="DF296" s="134">
        <v>0</v>
      </c>
      <c r="DG296" s="134">
        <f>DF296*H296</f>
        <v>0</v>
      </c>
      <c r="DH296" s="134">
        <v>0</v>
      </c>
      <c r="DI296" s="135">
        <f>DH296*H296</f>
        <v>0</v>
      </c>
      <c r="EG296" s="136" t="s">
        <v>95</v>
      </c>
      <c r="EI296" s="136" t="s">
        <v>284</v>
      </c>
      <c r="EJ296" s="136" t="s">
        <v>83</v>
      </c>
      <c r="EN296" s="16" t="s">
        <v>282</v>
      </c>
      <c r="ET296" s="137">
        <f>IF(DC296="základní",J296,0)</f>
        <v>4475.59</v>
      </c>
      <c r="EU296" s="137">
        <f>IF(DC296="snížená",J296,0)</f>
        <v>0</v>
      </c>
      <c r="EV296" s="137">
        <f>IF(DC296="zákl. přenesená",J296,0)</f>
        <v>0</v>
      </c>
      <c r="EW296" s="137">
        <f>IF(DC296="sníž. přenesená",J296,0)</f>
        <v>0</v>
      </c>
      <c r="EX296" s="137">
        <f>IF(DC296="nulová",J296,0)</f>
        <v>0</v>
      </c>
      <c r="EY296" s="16" t="s">
        <v>81</v>
      </c>
      <c r="EZ296" s="137">
        <f>ROUND(I296*H296,2)</f>
        <v>4475.59</v>
      </c>
      <c r="FA296" s="16" t="s">
        <v>95</v>
      </c>
      <c r="FB296" s="136" t="s">
        <v>575</v>
      </c>
    </row>
    <row r="297" spans="2:158" s="1" customFormat="1" ht="19.5" x14ac:dyDescent="0.2">
      <c r="B297" s="31"/>
      <c r="D297" s="138" t="s">
        <v>289</v>
      </c>
      <c r="F297" s="139" t="s">
        <v>574</v>
      </c>
      <c r="I297" s="140"/>
      <c r="L297" s="31"/>
      <c r="N297" s="213"/>
      <c r="O297" s="214"/>
      <c r="Q297" s="229"/>
      <c r="DB297" s="141"/>
      <c r="DI297" s="50"/>
      <c r="EI297" s="16" t="s">
        <v>289</v>
      </c>
      <c r="EJ297" s="16" t="s">
        <v>83</v>
      </c>
    </row>
    <row r="298" spans="2:158" s="1" customFormat="1" ht="14.45" customHeight="1" x14ac:dyDescent="0.2">
      <c r="B298" s="124"/>
      <c r="C298" s="125" t="s">
        <v>536</v>
      </c>
      <c r="D298" s="125" t="s">
        <v>284</v>
      </c>
      <c r="E298" s="126" t="s">
        <v>577</v>
      </c>
      <c r="F298" s="127" t="s">
        <v>578</v>
      </c>
      <c r="G298" s="128" t="s">
        <v>344</v>
      </c>
      <c r="H298" s="129">
        <v>105</v>
      </c>
      <c r="I298" s="130">
        <v>18.944313999999999</v>
      </c>
      <c r="J298" s="131">
        <f>ROUND(I298*H298,2)</f>
        <v>1989.15</v>
      </c>
      <c r="K298" s="127" t="s">
        <v>1</v>
      </c>
      <c r="L298" s="268">
        <f>S298</f>
        <v>0</v>
      </c>
      <c r="M298" s="272">
        <f>ROUND(L298*I298,2)</f>
        <v>0</v>
      </c>
      <c r="N298" s="243">
        <f>N286</f>
        <v>17.439999999999998</v>
      </c>
      <c r="O298" s="294">
        <f>ROUND(N298*I298,2)</f>
        <v>330.39</v>
      </c>
      <c r="P298" s="273">
        <f>H298-L298-N298</f>
        <v>87.56</v>
      </c>
      <c r="Q298" s="287">
        <f>ROUND(P298*I298,2)</f>
        <v>1658.76</v>
      </c>
      <c r="R298" s="137"/>
      <c r="S298" s="269">
        <f>W298+Y298+AA298+AC298+AE298</f>
        <v>0</v>
      </c>
      <c r="T298" s="269">
        <f>ROUND(S298*I298,2)</f>
        <v>0</v>
      </c>
      <c r="U298" s="269">
        <f>H298-S298</f>
        <v>105</v>
      </c>
      <c r="V298" s="269">
        <f>ROUND(U298*I298,2)</f>
        <v>1989.15</v>
      </c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DB298" s="132" t="s">
        <v>1</v>
      </c>
      <c r="DC298" s="133" t="s">
        <v>40</v>
      </c>
      <c r="DE298" s="134">
        <f>DD298*H298</f>
        <v>0</v>
      </c>
      <c r="DF298" s="134">
        <v>0</v>
      </c>
      <c r="DG298" s="134">
        <f>DF298*H298</f>
        <v>0</v>
      </c>
      <c r="DH298" s="134">
        <v>0</v>
      </c>
      <c r="DI298" s="135">
        <f>DH298*H298</f>
        <v>0</v>
      </c>
      <c r="EG298" s="136" t="s">
        <v>95</v>
      </c>
      <c r="EI298" s="136" t="s">
        <v>284</v>
      </c>
      <c r="EJ298" s="136" t="s">
        <v>83</v>
      </c>
      <c r="EN298" s="16" t="s">
        <v>282</v>
      </c>
      <c r="ET298" s="137">
        <f>IF(DC298="základní",J298,0)</f>
        <v>1989.15</v>
      </c>
      <c r="EU298" s="137">
        <f>IF(DC298="snížená",J298,0)</f>
        <v>0</v>
      </c>
      <c r="EV298" s="137">
        <f>IF(DC298="zákl. přenesená",J298,0)</f>
        <v>0</v>
      </c>
      <c r="EW298" s="137">
        <f>IF(DC298="sníž. přenesená",J298,0)</f>
        <v>0</v>
      </c>
      <c r="EX298" s="137">
        <f>IF(DC298="nulová",J298,0)</f>
        <v>0</v>
      </c>
      <c r="EY298" s="16" t="s">
        <v>81</v>
      </c>
      <c r="EZ298" s="137">
        <f>ROUND(I298*H298,2)</f>
        <v>1989.15</v>
      </c>
      <c r="FA298" s="16" t="s">
        <v>95</v>
      </c>
      <c r="FB298" s="136" t="s">
        <v>579</v>
      </c>
    </row>
    <row r="299" spans="2:158" s="1" customFormat="1" x14ac:dyDescent="0.2">
      <c r="B299" s="31"/>
      <c r="D299" s="138" t="s">
        <v>289</v>
      </c>
      <c r="F299" s="139" t="s">
        <v>578</v>
      </c>
      <c r="I299" s="140"/>
      <c r="L299" s="31"/>
      <c r="N299" s="213"/>
      <c r="O299" s="214"/>
      <c r="Q299" s="229"/>
      <c r="DB299" s="141"/>
      <c r="DI299" s="50"/>
      <c r="EI299" s="16" t="s">
        <v>289</v>
      </c>
      <c r="EJ299" s="16" t="s">
        <v>83</v>
      </c>
    </row>
    <row r="300" spans="2:158" s="1" customFormat="1" ht="29.25" x14ac:dyDescent="0.2">
      <c r="B300" s="31"/>
      <c r="D300" s="138" t="s">
        <v>299</v>
      </c>
      <c r="F300" s="142" t="s">
        <v>580</v>
      </c>
      <c r="I300" s="140"/>
      <c r="L300" s="31"/>
      <c r="N300" s="213"/>
      <c r="O300" s="214"/>
      <c r="Q300" s="229"/>
      <c r="DB300" s="141"/>
      <c r="DI300" s="50"/>
      <c r="EI300" s="16" t="s">
        <v>299</v>
      </c>
      <c r="EJ300" s="16" t="s">
        <v>83</v>
      </c>
    </row>
    <row r="301" spans="2:158" s="1" customFormat="1" ht="24.2" customHeight="1" x14ac:dyDescent="0.2">
      <c r="B301" s="124"/>
      <c r="C301" s="125" t="s">
        <v>543</v>
      </c>
      <c r="D301" s="125" t="s">
        <v>284</v>
      </c>
      <c r="E301" s="126" t="s">
        <v>582</v>
      </c>
      <c r="F301" s="127" t="s">
        <v>583</v>
      </c>
      <c r="G301" s="128" t="s">
        <v>584</v>
      </c>
      <c r="H301" s="129">
        <v>3</v>
      </c>
      <c r="I301" s="130">
        <v>933.22469567263556</v>
      </c>
      <c r="J301" s="131">
        <f>ROUND(I301*H301,2)</f>
        <v>2799.67</v>
      </c>
      <c r="K301" s="127" t="s">
        <v>293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3</v>
      </c>
      <c r="Q301" s="287">
        <f>ROUND(P301*I301,2)</f>
        <v>2799.67</v>
      </c>
      <c r="R301" s="137"/>
      <c r="S301" s="269">
        <f>W301+Y301+AA301+AC301+AE301</f>
        <v>0</v>
      </c>
      <c r="T301" s="269">
        <f>ROUND(S301*I301,2)</f>
        <v>0</v>
      </c>
      <c r="U301" s="269">
        <f>H301-S301</f>
        <v>3</v>
      </c>
      <c r="V301" s="269">
        <f>ROUND(U301*I301,2)</f>
        <v>2799.67</v>
      </c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DB301" s="132" t="s">
        <v>1</v>
      </c>
      <c r="DC301" s="133" t="s">
        <v>40</v>
      </c>
      <c r="DE301" s="134">
        <f>DD301*H301</f>
        <v>0</v>
      </c>
      <c r="DF301" s="134">
        <v>3.1E-4</v>
      </c>
      <c r="DG301" s="134">
        <f>DF301*H301</f>
        <v>9.3000000000000005E-4</v>
      </c>
      <c r="DH301" s="134">
        <v>0</v>
      </c>
      <c r="DI301" s="135">
        <f>DH301*H301</f>
        <v>0</v>
      </c>
      <c r="EG301" s="136" t="s">
        <v>95</v>
      </c>
      <c r="EI301" s="136" t="s">
        <v>284</v>
      </c>
      <c r="EJ301" s="136" t="s">
        <v>83</v>
      </c>
      <c r="EN301" s="16" t="s">
        <v>282</v>
      </c>
      <c r="ET301" s="137">
        <f>IF(DC301="základní",J301,0)</f>
        <v>2799.67</v>
      </c>
      <c r="EU301" s="137">
        <f>IF(DC301="snížená",J301,0)</f>
        <v>0</v>
      </c>
      <c r="EV301" s="137">
        <f>IF(DC301="zákl. přenesená",J301,0)</f>
        <v>0</v>
      </c>
      <c r="EW301" s="137">
        <f>IF(DC301="sníž. přenesená",J301,0)</f>
        <v>0</v>
      </c>
      <c r="EX301" s="137">
        <f>IF(DC301="nulová",J301,0)</f>
        <v>0</v>
      </c>
      <c r="EY301" s="16" t="s">
        <v>81</v>
      </c>
      <c r="EZ301" s="137">
        <f>ROUND(I301*H301,2)</f>
        <v>2799.67</v>
      </c>
      <c r="FA301" s="16" t="s">
        <v>95</v>
      </c>
      <c r="FB301" s="136" t="s">
        <v>585</v>
      </c>
    </row>
    <row r="302" spans="2:158" s="1" customFormat="1" x14ac:dyDescent="0.2">
      <c r="B302" s="31"/>
      <c r="D302" s="138" t="s">
        <v>289</v>
      </c>
      <c r="F302" s="139" t="s">
        <v>586</v>
      </c>
      <c r="I302" s="140"/>
      <c r="L302" s="31"/>
      <c r="N302" s="213"/>
      <c r="O302" s="214"/>
      <c r="Q302" s="229"/>
      <c r="DB302" s="141"/>
      <c r="DI302" s="50"/>
      <c r="EI302" s="16" t="s">
        <v>289</v>
      </c>
      <c r="EJ302" s="16" t="s">
        <v>83</v>
      </c>
    </row>
    <row r="303" spans="2:158" s="1" customFormat="1" ht="19.5" x14ac:dyDescent="0.2">
      <c r="B303" s="31"/>
      <c r="D303" s="138" t="s">
        <v>299</v>
      </c>
      <c r="F303" s="142" t="s">
        <v>587</v>
      </c>
      <c r="I303" s="140"/>
      <c r="L303" s="31"/>
      <c r="N303" s="213"/>
      <c r="O303" s="214"/>
      <c r="Q303" s="229"/>
      <c r="DB303" s="141"/>
      <c r="DI303" s="50"/>
      <c r="EI303" s="16" t="s">
        <v>299</v>
      </c>
      <c r="EJ303" s="16" t="s">
        <v>83</v>
      </c>
    </row>
    <row r="304" spans="2:158" s="11" customFormat="1" x14ac:dyDescent="0.2">
      <c r="B304" s="143"/>
      <c r="D304" s="138" t="s">
        <v>301</v>
      </c>
      <c r="E304" s="144" t="s">
        <v>1</v>
      </c>
      <c r="F304" s="145" t="s">
        <v>588</v>
      </c>
      <c r="H304" s="144" t="s">
        <v>1</v>
      </c>
      <c r="I304" s="146"/>
      <c r="L304" s="143"/>
      <c r="N304" s="215"/>
      <c r="O304" s="216"/>
      <c r="Q304" s="230"/>
      <c r="DB304" s="147"/>
      <c r="DI304" s="148"/>
      <c r="EI304" s="144" t="s">
        <v>301</v>
      </c>
      <c r="EJ304" s="144" t="s">
        <v>83</v>
      </c>
      <c r="EK304" s="11" t="s">
        <v>81</v>
      </c>
      <c r="EL304" s="11" t="s">
        <v>32</v>
      </c>
      <c r="EM304" s="11" t="s">
        <v>74</v>
      </c>
      <c r="EN304" s="144" t="s">
        <v>282</v>
      </c>
    </row>
    <row r="305" spans="2:158" s="12" customFormat="1" x14ac:dyDescent="0.2">
      <c r="B305" s="149"/>
      <c r="D305" s="138" t="s">
        <v>301</v>
      </c>
      <c r="E305" s="150" t="s">
        <v>1</v>
      </c>
      <c r="F305" s="151" t="s">
        <v>90</v>
      </c>
      <c r="H305" s="152">
        <v>3</v>
      </c>
      <c r="I305" s="153"/>
      <c r="L305" s="149"/>
      <c r="N305" s="217"/>
      <c r="O305" s="218"/>
      <c r="Q305" s="231"/>
      <c r="DB305" s="154"/>
      <c r="DI305" s="155"/>
      <c r="EI305" s="150" t="s">
        <v>301</v>
      </c>
      <c r="EJ305" s="150" t="s">
        <v>83</v>
      </c>
      <c r="EK305" s="12" t="s">
        <v>83</v>
      </c>
      <c r="EL305" s="12" t="s">
        <v>32</v>
      </c>
      <c r="EM305" s="12" t="s">
        <v>81</v>
      </c>
      <c r="EN305" s="150" t="s">
        <v>282</v>
      </c>
    </row>
    <row r="306" spans="2:158" s="1" customFormat="1" ht="24.2" customHeight="1" x14ac:dyDescent="0.2">
      <c r="B306" s="124"/>
      <c r="C306" s="125" t="s">
        <v>548</v>
      </c>
      <c r="D306" s="125" t="s">
        <v>284</v>
      </c>
      <c r="E306" s="126" t="s">
        <v>590</v>
      </c>
      <c r="F306" s="127" t="s">
        <v>591</v>
      </c>
      <c r="G306" s="128" t="s">
        <v>344</v>
      </c>
      <c r="H306" s="129">
        <v>105</v>
      </c>
      <c r="I306" s="130">
        <v>29.453410986389244</v>
      </c>
      <c r="J306" s="131">
        <f>ROUND(I306*H306,2)</f>
        <v>3092.61</v>
      </c>
      <c r="K306" s="127" t="s">
        <v>293</v>
      </c>
      <c r="L306" s="268">
        <f>S306</f>
        <v>0</v>
      </c>
      <c r="M306" s="272">
        <f>ROUND(L306*I306,2)</f>
        <v>0</v>
      </c>
      <c r="N306" s="243">
        <f>N298</f>
        <v>17.439999999999998</v>
      </c>
      <c r="O306" s="294">
        <f>ROUND(N306*I306,2)</f>
        <v>513.66999999999996</v>
      </c>
      <c r="P306" s="273">
        <f>H306-L306-N306</f>
        <v>87.56</v>
      </c>
      <c r="Q306" s="287">
        <f>ROUND(P306*I306,2)</f>
        <v>2578.94</v>
      </c>
      <c r="R306" s="137"/>
      <c r="S306" s="269">
        <f>W306+Y306+AA306+AC306+AE306</f>
        <v>0</v>
      </c>
      <c r="T306" s="269">
        <f>ROUND(S306*I306,2)</f>
        <v>0</v>
      </c>
      <c r="U306" s="269">
        <f>H306-S306</f>
        <v>105</v>
      </c>
      <c r="V306" s="269">
        <f>ROUND(U306*I306,2)</f>
        <v>3092.61</v>
      </c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DB306" s="132" t="s">
        <v>1</v>
      </c>
      <c r="DC306" s="133" t="s">
        <v>40</v>
      </c>
      <c r="DE306" s="134">
        <f>DD306*H306</f>
        <v>0</v>
      </c>
      <c r="DF306" s="134">
        <v>0</v>
      </c>
      <c r="DG306" s="134">
        <f>DF306*H306</f>
        <v>0</v>
      </c>
      <c r="DH306" s="134">
        <v>0</v>
      </c>
      <c r="DI306" s="135">
        <f>DH306*H306</f>
        <v>0</v>
      </c>
      <c r="EG306" s="136" t="s">
        <v>95</v>
      </c>
      <c r="EI306" s="136" t="s">
        <v>284</v>
      </c>
      <c r="EJ306" s="136" t="s">
        <v>83</v>
      </c>
      <c r="EN306" s="16" t="s">
        <v>282</v>
      </c>
      <c r="ET306" s="137">
        <f>IF(DC306="základní",J306,0)</f>
        <v>3092.61</v>
      </c>
      <c r="EU306" s="137">
        <f>IF(DC306="snížená",J306,0)</f>
        <v>0</v>
      </c>
      <c r="EV306" s="137">
        <f>IF(DC306="zákl. přenesená",J306,0)</f>
        <v>0</v>
      </c>
      <c r="EW306" s="137">
        <f>IF(DC306="sníž. přenesená",J306,0)</f>
        <v>0</v>
      </c>
      <c r="EX306" s="137">
        <f>IF(DC306="nulová",J306,0)</f>
        <v>0</v>
      </c>
      <c r="EY306" s="16" t="s">
        <v>81</v>
      </c>
      <c r="EZ306" s="137">
        <f>ROUND(I306*H306,2)</f>
        <v>3092.61</v>
      </c>
      <c r="FA306" s="16" t="s">
        <v>95</v>
      </c>
      <c r="FB306" s="136" t="s">
        <v>592</v>
      </c>
    </row>
    <row r="307" spans="2:158" s="1" customFormat="1" x14ac:dyDescent="0.2">
      <c r="B307" s="31"/>
      <c r="D307" s="138" t="s">
        <v>289</v>
      </c>
      <c r="F307" s="139" t="s">
        <v>593</v>
      </c>
      <c r="I307" s="140"/>
      <c r="L307" s="31"/>
      <c r="N307" s="213"/>
      <c r="O307" s="214"/>
      <c r="Q307" s="229"/>
      <c r="DB307" s="141"/>
      <c r="DI307" s="50"/>
      <c r="EI307" s="16" t="s">
        <v>289</v>
      </c>
      <c r="EJ307" s="16" t="s">
        <v>83</v>
      </c>
    </row>
    <row r="308" spans="2:158" s="1" customFormat="1" ht="19.5" x14ac:dyDescent="0.2">
      <c r="B308" s="31"/>
      <c r="D308" s="138" t="s">
        <v>299</v>
      </c>
      <c r="F308" s="142" t="s">
        <v>587</v>
      </c>
      <c r="I308" s="140"/>
      <c r="L308" s="31"/>
      <c r="N308" s="213"/>
      <c r="O308" s="214"/>
      <c r="Q308" s="229"/>
      <c r="DB308" s="141"/>
      <c r="DI308" s="50"/>
      <c r="EI308" s="16" t="s">
        <v>299</v>
      </c>
      <c r="EJ308" s="16" t="s">
        <v>83</v>
      </c>
    </row>
    <row r="309" spans="2:158" s="1" customFormat="1" ht="24.2" customHeight="1" x14ac:dyDescent="0.2">
      <c r="B309" s="124"/>
      <c r="C309" s="125" t="s">
        <v>556</v>
      </c>
      <c r="D309" s="125" t="s">
        <v>284</v>
      </c>
      <c r="E309" s="126" t="s">
        <v>595</v>
      </c>
      <c r="F309" s="127" t="s">
        <v>596</v>
      </c>
      <c r="G309" s="128" t="s">
        <v>485</v>
      </c>
      <c r="H309" s="129">
        <v>4</v>
      </c>
      <c r="I309" s="130">
        <v>867.6587001634532</v>
      </c>
      <c r="J309" s="131">
        <f>ROUND(I309*H309,2)</f>
        <v>3470.63</v>
      </c>
      <c r="K309" s="127" t="s">
        <v>293</v>
      </c>
      <c r="L309" s="268">
        <f>S309</f>
        <v>0</v>
      </c>
      <c r="M309" s="272">
        <f>ROUND(L309*I309,2)</f>
        <v>0</v>
      </c>
      <c r="N309" s="243"/>
      <c r="O309" s="294">
        <f>ROUND(N309*I309,2)</f>
        <v>0</v>
      </c>
      <c r="P309" s="273">
        <f>H309-L309-N309</f>
        <v>4</v>
      </c>
      <c r="Q309" s="287">
        <f>ROUND(P309*I309,2)</f>
        <v>3470.63</v>
      </c>
      <c r="R309" s="137"/>
      <c r="S309" s="269">
        <f>W309+Y309+AA309+AC309+AE309</f>
        <v>0</v>
      </c>
      <c r="T309" s="269">
        <f>ROUND(S309*I309,2)</f>
        <v>0</v>
      </c>
      <c r="U309" s="269">
        <f>H309-S309</f>
        <v>4</v>
      </c>
      <c r="V309" s="269">
        <f>ROUND(U309*I309,2)</f>
        <v>3470.63</v>
      </c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DB309" s="132" t="s">
        <v>1</v>
      </c>
      <c r="DC309" s="133" t="s">
        <v>40</v>
      </c>
      <c r="DE309" s="134">
        <f>DD309*H309</f>
        <v>0</v>
      </c>
      <c r="DF309" s="134">
        <v>1.0189999999999999E-2</v>
      </c>
      <c r="DG309" s="134">
        <f>DF309*H309</f>
        <v>4.0759999999999998E-2</v>
      </c>
      <c r="DH309" s="134">
        <v>0</v>
      </c>
      <c r="DI309" s="135">
        <f>DH309*H309</f>
        <v>0</v>
      </c>
      <c r="EG309" s="136" t="s">
        <v>95</v>
      </c>
      <c r="EI309" s="136" t="s">
        <v>284</v>
      </c>
      <c r="EJ309" s="136" t="s">
        <v>83</v>
      </c>
      <c r="EN309" s="16" t="s">
        <v>282</v>
      </c>
      <c r="ET309" s="137">
        <f>IF(DC309="základní",J309,0)</f>
        <v>3470.63</v>
      </c>
      <c r="EU309" s="137">
        <f>IF(DC309="snížená",J309,0)</f>
        <v>0</v>
      </c>
      <c r="EV309" s="137">
        <f>IF(DC309="zákl. přenesená",J309,0)</f>
        <v>0</v>
      </c>
      <c r="EW309" s="137">
        <f>IF(DC309="sníž. přenesená",J309,0)</f>
        <v>0</v>
      </c>
      <c r="EX309" s="137">
        <f>IF(DC309="nulová",J309,0)</f>
        <v>0</v>
      </c>
      <c r="EY309" s="16" t="s">
        <v>81</v>
      </c>
      <c r="EZ309" s="137">
        <f>ROUND(I309*H309,2)</f>
        <v>3470.63</v>
      </c>
      <c r="FA309" s="16" t="s">
        <v>95</v>
      </c>
      <c r="FB309" s="136" t="s">
        <v>597</v>
      </c>
    </row>
    <row r="310" spans="2:158" s="1" customFormat="1" ht="19.5" x14ac:dyDescent="0.2">
      <c r="B310" s="31"/>
      <c r="D310" s="138" t="s">
        <v>289</v>
      </c>
      <c r="F310" s="139" t="s">
        <v>596</v>
      </c>
      <c r="I310" s="140"/>
      <c r="L310" s="31"/>
      <c r="N310" s="213"/>
      <c r="O310" s="214"/>
      <c r="Q310" s="229"/>
      <c r="DB310" s="141"/>
      <c r="DI310" s="50"/>
      <c r="EI310" s="16" t="s">
        <v>289</v>
      </c>
      <c r="EJ310" s="16" t="s">
        <v>83</v>
      </c>
    </row>
    <row r="311" spans="2:158" s="1" customFormat="1" ht="19.5" x14ac:dyDescent="0.2">
      <c r="B311" s="31"/>
      <c r="D311" s="138" t="s">
        <v>299</v>
      </c>
      <c r="F311" s="142" t="s">
        <v>317</v>
      </c>
      <c r="I311" s="140"/>
      <c r="L311" s="31"/>
      <c r="N311" s="213"/>
      <c r="O311" s="214"/>
      <c r="Q311" s="229"/>
      <c r="DB311" s="141"/>
      <c r="DI311" s="50"/>
      <c r="EI311" s="16" t="s">
        <v>299</v>
      </c>
      <c r="EJ311" s="16" t="s">
        <v>83</v>
      </c>
    </row>
    <row r="312" spans="2:158" s="12" customFormat="1" x14ac:dyDescent="0.2">
      <c r="B312" s="149"/>
      <c r="D312" s="138" t="s">
        <v>301</v>
      </c>
      <c r="E312" s="150" t="s">
        <v>1</v>
      </c>
      <c r="F312" s="151" t="s">
        <v>780</v>
      </c>
      <c r="H312" s="152">
        <v>4</v>
      </c>
      <c r="I312" s="153"/>
      <c r="L312" s="149"/>
      <c r="N312" s="217"/>
      <c r="O312" s="218"/>
      <c r="Q312" s="231"/>
      <c r="DB312" s="154"/>
      <c r="DI312" s="155"/>
      <c r="EI312" s="150" t="s">
        <v>301</v>
      </c>
      <c r="EJ312" s="150" t="s">
        <v>83</v>
      </c>
      <c r="EK312" s="12" t="s">
        <v>83</v>
      </c>
      <c r="EL312" s="12" t="s">
        <v>32</v>
      </c>
      <c r="EM312" s="12" t="s">
        <v>81</v>
      </c>
      <c r="EN312" s="150" t="s">
        <v>282</v>
      </c>
    </row>
    <row r="313" spans="2:158" s="1" customFormat="1" ht="24.2" customHeight="1" x14ac:dyDescent="0.2">
      <c r="B313" s="124"/>
      <c r="C313" s="170" t="s">
        <v>562</v>
      </c>
      <c r="D313" s="170" t="s">
        <v>439</v>
      </c>
      <c r="E313" s="171" t="s">
        <v>600</v>
      </c>
      <c r="F313" s="172" t="s">
        <v>601</v>
      </c>
      <c r="G313" s="173" t="s">
        <v>485</v>
      </c>
      <c r="H313" s="174">
        <v>1</v>
      </c>
      <c r="I313" s="175">
        <v>1250.3247240000001</v>
      </c>
      <c r="J313" s="176">
        <f>ROUND(I313*H313,2)</f>
        <v>1250.32</v>
      </c>
      <c r="K313" s="172" t="s">
        <v>293</v>
      </c>
      <c r="L313" s="268">
        <f>S313</f>
        <v>0</v>
      </c>
      <c r="M313" s="272">
        <f>ROUND(L313*I313,2)</f>
        <v>0</v>
      </c>
      <c r="N313" s="243"/>
      <c r="O313" s="294">
        <f>ROUND(N313*I313,2)</f>
        <v>0</v>
      </c>
      <c r="P313" s="273">
        <f>H313-L313-N313</f>
        <v>1</v>
      </c>
      <c r="Q313" s="287">
        <f>ROUND(P313*I313,2)</f>
        <v>1250.32</v>
      </c>
      <c r="R313" s="137"/>
      <c r="S313" s="269">
        <f>W313+Y313+AA313+AC313+AE313</f>
        <v>0</v>
      </c>
      <c r="T313" s="269">
        <f>ROUND(S313*I313,2)</f>
        <v>0</v>
      </c>
      <c r="U313" s="269">
        <f>H313-S313</f>
        <v>1</v>
      </c>
      <c r="V313" s="269">
        <f>ROUND(U313*I313,2)</f>
        <v>1250.32</v>
      </c>
      <c r="W313" s="290"/>
      <c r="X313" s="290"/>
      <c r="Y313" s="290"/>
      <c r="Z313" s="290"/>
      <c r="AA313" s="290"/>
      <c r="AB313" s="290"/>
      <c r="AC313" s="290"/>
      <c r="AD313" s="290"/>
      <c r="AE313" s="290"/>
      <c r="AF313" s="290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77" t="s">
        <v>1</v>
      </c>
      <c r="DC313" s="178" t="s">
        <v>40</v>
      </c>
      <c r="DE313" s="134">
        <f>DD313*H313</f>
        <v>0</v>
      </c>
      <c r="DF313" s="134">
        <v>0.254</v>
      </c>
      <c r="DG313" s="134">
        <f>DF313*H313</f>
        <v>0.254</v>
      </c>
      <c r="DH313" s="134">
        <v>0</v>
      </c>
      <c r="DI313" s="135">
        <f>DH313*H313</f>
        <v>0</v>
      </c>
      <c r="EG313" s="136" t="s">
        <v>328</v>
      </c>
      <c r="EI313" s="136" t="s">
        <v>439</v>
      </c>
      <c r="EJ313" s="136" t="s">
        <v>83</v>
      </c>
      <c r="EN313" s="16" t="s">
        <v>282</v>
      </c>
      <c r="ET313" s="137">
        <f>IF(DC313="základní",J313,0)</f>
        <v>1250.32</v>
      </c>
      <c r="EU313" s="137">
        <f>IF(DC313="snížená",J313,0)</f>
        <v>0</v>
      </c>
      <c r="EV313" s="137">
        <f>IF(DC313="zákl. přenesená",J313,0)</f>
        <v>0</v>
      </c>
      <c r="EW313" s="137">
        <f>IF(DC313="sníž. přenesená",J313,0)</f>
        <v>0</v>
      </c>
      <c r="EX313" s="137">
        <f>IF(DC313="nulová",J313,0)</f>
        <v>0</v>
      </c>
      <c r="EY313" s="16" t="s">
        <v>81</v>
      </c>
      <c r="EZ313" s="137">
        <f>ROUND(I313*H313,2)</f>
        <v>1250.32</v>
      </c>
      <c r="FA313" s="16" t="s">
        <v>95</v>
      </c>
      <c r="FB313" s="136" t="s">
        <v>602</v>
      </c>
    </row>
    <row r="314" spans="2:158" s="1" customFormat="1" x14ac:dyDescent="0.2">
      <c r="B314" s="31"/>
      <c r="D314" s="138" t="s">
        <v>289</v>
      </c>
      <c r="F314" s="139" t="s">
        <v>603</v>
      </c>
      <c r="I314" s="140"/>
      <c r="L314" s="31"/>
      <c r="N314" s="213"/>
      <c r="O314" s="214"/>
      <c r="Q314" s="229"/>
      <c r="DB314" s="141"/>
      <c r="DI314" s="50"/>
      <c r="EI314" s="16" t="s">
        <v>289</v>
      </c>
      <c r="EJ314" s="16" t="s">
        <v>83</v>
      </c>
    </row>
    <row r="315" spans="2:158" s="1" customFormat="1" ht="24.2" customHeight="1" x14ac:dyDescent="0.2">
      <c r="B315" s="124"/>
      <c r="C315" s="170" t="s">
        <v>568</v>
      </c>
      <c r="D315" s="170" t="s">
        <v>439</v>
      </c>
      <c r="E315" s="171" t="s">
        <v>610</v>
      </c>
      <c r="F315" s="172" t="s">
        <v>611</v>
      </c>
      <c r="G315" s="173" t="s">
        <v>485</v>
      </c>
      <c r="H315" s="174">
        <v>3</v>
      </c>
      <c r="I315" s="175">
        <v>2661.676117</v>
      </c>
      <c r="J315" s="176">
        <f>ROUND(I315*H315,2)</f>
        <v>7985.03</v>
      </c>
      <c r="K315" s="172" t="s">
        <v>293</v>
      </c>
      <c r="L315" s="268">
        <f>S315</f>
        <v>0</v>
      </c>
      <c r="M315" s="272">
        <f>ROUND(L315*I315,2)</f>
        <v>0</v>
      </c>
      <c r="N315" s="243"/>
      <c r="O315" s="294">
        <f>ROUND(N315*I315,2)</f>
        <v>0</v>
      </c>
      <c r="P315" s="273">
        <f>H315-L315-N315</f>
        <v>3</v>
      </c>
      <c r="Q315" s="287">
        <f>ROUND(P315*I315,2)</f>
        <v>7985.03</v>
      </c>
      <c r="R315" s="137"/>
      <c r="S315" s="269">
        <f>W315+Y315+AA315+AC315+AE315</f>
        <v>0</v>
      </c>
      <c r="T315" s="269">
        <f>ROUND(S315*I315,2)</f>
        <v>0</v>
      </c>
      <c r="U315" s="269">
        <f>H315-S315</f>
        <v>3</v>
      </c>
      <c r="V315" s="269">
        <f>ROUND(U315*I315,2)</f>
        <v>7985.03</v>
      </c>
      <c r="W315" s="290"/>
      <c r="X315" s="290"/>
      <c r="Y315" s="290"/>
      <c r="Z315" s="290"/>
      <c r="AA315" s="290"/>
      <c r="AB315" s="290"/>
      <c r="AC315" s="290"/>
      <c r="AD315" s="290"/>
      <c r="AE315" s="290"/>
      <c r="AF315" s="290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77" t="s">
        <v>1</v>
      </c>
      <c r="DC315" s="178" t="s">
        <v>40</v>
      </c>
      <c r="DE315" s="134">
        <f>DD315*H315</f>
        <v>0</v>
      </c>
      <c r="DF315" s="134">
        <v>1.0129999999999999</v>
      </c>
      <c r="DG315" s="134">
        <f>DF315*H315</f>
        <v>3.0389999999999997</v>
      </c>
      <c r="DH315" s="134">
        <v>0</v>
      </c>
      <c r="DI315" s="135">
        <f>DH315*H315</f>
        <v>0</v>
      </c>
      <c r="EG315" s="136" t="s">
        <v>328</v>
      </c>
      <c r="EI315" s="136" t="s">
        <v>439</v>
      </c>
      <c r="EJ315" s="136" t="s">
        <v>83</v>
      </c>
      <c r="EN315" s="16" t="s">
        <v>282</v>
      </c>
      <c r="ET315" s="137">
        <f>IF(DC315="základní",J315,0)</f>
        <v>7985.03</v>
      </c>
      <c r="EU315" s="137">
        <f>IF(DC315="snížená",J315,0)</f>
        <v>0</v>
      </c>
      <c r="EV315" s="137">
        <f>IF(DC315="zákl. přenesená",J315,0)</f>
        <v>0</v>
      </c>
      <c r="EW315" s="137">
        <f>IF(DC315="sníž. přenesená",J315,0)</f>
        <v>0</v>
      </c>
      <c r="EX315" s="137">
        <f>IF(DC315="nulová",J315,0)</f>
        <v>0</v>
      </c>
      <c r="EY315" s="16" t="s">
        <v>81</v>
      </c>
      <c r="EZ315" s="137">
        <f>ROUND(I315*H315,2)</f>
        <v>7985.03</v>
      </c>
      <c r="FA315" s="16" t="s">
        <v>95</v>
      </c>
      <c r="FB315" s="136" t="s">
        <v>612</v>
      </c>
    </row>
    <row r="316" spans="2:158" s="1" customFormat="1" x14ac:dyDescent="0.2">
      <c r="B316" s="31"/>
      <c r="D316" s="138" t="s">
        <v>289</v>
      </c>
      <c r="F316" s="139" t="s">
        <v>613</v>
      </c>
      <c r="I316" s="140"/>
      <c r="L316" s="31"/>
      <c r="N316" s="213"/>
      <c r="O316" s="214"/>
      <c r="Q316" s="229"/>
      <c r="DB316" s="141"/>
      <c r="DI316" s="50"/>
      <c r="EI316" s="16" t="s">
        <v>289</v>
      </c>
      <c r="EJ316" s="16" t="s">
        <v>83</v>
      </c>
    </row>
    <row r="317" spans="2:158" s="1" customFormat="1" ht="24.2" customHeight="1" x14ac:dyDescent="0.2">
      <c r="B317" s="124"/>
      <c r="C317" s="125" t="s">
        <v>572</v>
      </c>
      <c r="D317" s="125" t="s">
        <v>284</v>
      </c>
      <c r="E317" s="126" t="s">
        <v>615</v>
      </c>
      <c r="F317" s="127" t="s">
        <v>616</v>
      </c>
      <c r="G317" s="128" t="s">
        <v>485</v>
      </c>
      <c r="H317" s="129">
        <v>3</v>
      </c>
      <c r="I317" s="130">
        <v>900.06084521218918</v>
      </c>
      <c r="J317" s="131">
        <f>ROUND(I317*H317,2)</f>
        <v>2700.18</v>
      </c>
      <c r="K317" s="127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3</v>
      </c>
      <c r="Q317" s="287">
        <f>ROUND(P317*I317,2)</f>
        <v>2700.18</v>
      </c>
      <c r="R317" s="137"/>
      <c r="S317" s="269">
        <f>W317+Y317+AA317+AC317+AE317</f>
        <v>0</v>
      </c>
      <c r="T317" s="269">
        <f>ROUND(S317*I317,2)</f>
        <v>0</v>
      </c>
      <c r="U317" s="269">
        <f>H317-S317</f>
        <v>3</v>
      </c>
      <c r="V317" s="269">
        <f>ROUND(U317*I317,2)</f>
        <v>2700.18</v>
      </c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DB317" s="132" t="s">
        <v>1</v>
      </c>
      <c r="DC317" s="133" t="s">
        <v>40</v>
      </c>
      <c r="DE317" s="134">
        <f>DD317*H317</f>
        <v>0</v>
      </c>
      <c r="DF317" s="134">
        <v>1.248E-2</v>
      </c>
      <c r="DG317" s="134">
        <f>DF317*H317</f>
        <v>3.7440000000000001E-2</v>
      </c>
      <c r="DH317" s="134">
        <v>0</v>
      </c>
      <c r="DI317" s="135">
        <f>DH317*H317</f>
        <v>0</v>
      </c>
      <c r="EG317" s="136" t="s">
        <v>95</v>
      </c>
      <c r="EI317" s="136" t="s">
        <v>284</v>
      </c>
      <c r="EJ317" s="136" t="s">
        <v>83</v>
      </c>
      <c r="EN317" s="16" t="s">
        <v>282</v>
      </c>
      <c r="ET317" s="137">
        <f>IF(DC317="základní",J317,0)</f>
        <v>2700.18</v>
      </c>
      <c r="EU317" s="137">
        <f>IF(DC317="snížená",J317,0)</f>
        <v>0</v>
      </c>
      <c r="EV317" s="137">
        <f>IF(DC317="zákl. přenesená",J317,0)</f>
        <v>0</v>
      </c>
      <c r="EW317" s="137">
        <f>IF(DC317="sníž. přenesená",J317,0)</f>
        <v>0</v>
      </c>
      <c r="EX317" s="137">
        <f>IF(DC317="nulová",J317,0)</f>
        <v>0</v>
      </c>
      <c r="EY317" s="16" t="s">
        <v>81</v>
      </c>
      <c r="EZ317" s="137">
        <f>ROUND(I317*H317,2)</f>
        <v>2700.18</v>
      </c>
      <c r="FA317" s="16" t="s">
        <v>95</v>
      </c>
      <c r="FB317" s="136" t="s">
        <v>617</v>
      </c>
    </row>
    <row r="318" spans="2:158" s="1" customFormat="1" ht="19.5" x14ac:dyDescent="0.2">
      <c r="B318" s="31"/>
      <c r="D318" s="138" t="s">
        <v>289</v>
      </c>
      <c r="F318" s="139" t="s">
        <v>616</v>
      </c>
      <c r="I318" s="140"/>
      <c r="L318" s="31"/>
      <c r="N318" s="213"/>
      <c r="O318" s="214"/>
      <c r="Q318" s="229"/>
      <c r="DB318" s="141"/>
      <c r="DI318" s="50"/>
      <c r="EI318" s="16" t="s">
        <v>289</v>
      </c>
      <c r="EJ318" s="16" t="s">
        <v>83</v>
      </c>
    </row>
    <row r="319" spans="2:158" s="1" customFormat="1" ht="19.5" x14ac:dyDescent="0.2">
      <c r="B319" s="31"/>
      <c r="D319" s="138" t="s">
        <v>299</v>
      </c>
      <c r="F319" s="142" t="s">
        <v>317</v>
      </c>
      <c r="I319" s="140"/>
      <c r="L319" s="31"/>
      <c r="N319" s="213"/>
      <c r="O319" s="214"/>
      <c r="Q319" s="229"/>
      <c r="DB319" s="141"/>
      <c r="DI319" s="50"/>
      <c r="EI319" s="16" t="s">
        <v>299</v>
      </c>
      <c r="EJ319" s="16" t="s">
        <v>83</v>
      </c>
    </row>
    <row r="320" spans="2:158" s="12" customFormat="1" x14ac:dyDescent="0.2">
      <c r="B320" s="149"/>
      <c r="D320" s="138" t="s">
        <v>301</v>
      </c>
      <c r="E320" s="150" t="s">
        <v>1</v>
      </c>
      <c r="F320" s="151" t="s">
        <v>90</v>
      </c>
      <c r="H320" s="152">
        <v>3</v>
      </c>
      <c r="I320" s="153"/>
      <c r="L320" s="149"/>
      <c r="N320" s="217"/>
      <c r="O320" s="218"/>
      <c r="Q320" s="231"/>
      <c r="DB320" s="154"/>
      <c r="DI320" s="155"/>
      <c r="EI320" s="150" t="s">
        <v>301</v>
      </c>
      <c r="EJ320" s="150" t="s">
        <v>83</v>
      </c>
      <c r="EK320" s="12" t="s">
        <v>83</v>
      </c>
      <c r="EL320" s="12" t="s">
        <v>32</v>
      </c>
      <c r="EM320" s="12" t="s">
        <v>81</v>
      </c>
      <c r="EN320" s="150" t="s">
        <v>282</v>
      </c>
    </row>
    <row r="321" spans="2:158" s="1" customFormat="1" ht="24.2" customHeight="1" x14ac:dyDescent="0.2">
      <c r="B321" s="124"/>
      <c r="C321" s="170" t="s">
        <v>576</v>
      </c>
      <c r="D321" s="170" t="s">
        <v>439</v>
      </c>
      <c r="E321" s="171" t="s">
        <v>619</v>
      </c>
      <c r="F321" s="172" t="s">
        <v>620</v>
      </c>
      <c r="G321" s="173" t="s">
        <v>485</v>
      </c>
      <c r="H321" s="174">
        <v>3</v>
      </c>
      <c r="I321" s="175">
        <v>2453.2886629999998</v>
      </c>
      <c r="J321" s="176">
        <f>ROUND(I321*H321,2)</f>
        <v>7359.87</v>
      </c>
      <c r="K321" s="172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3</v>
      </c>
      <c r="Q321" s="287">
        <f>ROUND(P321*I321,2)</f>
        <v>7359.87</v>
      </c>
      <c r="R321" s="137"/>
      <c r="S321" s="269">
        <f>W321+Y321+AA321+AC321+AE321</f>
        <v>0</v>
      </c>
      <c r="T321" s="269">
        <f>ROUND(S321*I321,2)</f>
        <v>0</v>
      </c>
      <c r="U321" s="269">
        <f>H321-S321</f>
        <v>3</v>
      </c>
      <c r="V321" s="269">
        <f>ROUND(U321*I321,2)</f>
        <v>7359.87</v>
      </c>
      <c r="W321" s="290"/>
      <c r="X321" s="290"/>
      <c r="Y321" s="290"/>
      <c r="Z321" s="290"/>
      <c r="AA321" s="290"/>
      <c r="AB321" s="290"/>
      <c r="AC321" s="290"/>
      <c r="AD321" s="290"/>
      <c r="AE321" s="290"/>
      <c r="AF321" s="290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77" t="s">
        <v>1</v>
      </c>
      <c r="DC321" s="178" t="s">
        <v>40</v>
      </c>
      <c r="DE321" s="134">
        <f>DD321*H321</f>
        <v>0</v>
      </c>
      <c r="DF321" s="134">
        <v>0.54800000000000004</v>
      </c>
      <c r="DG321" s="134">
        <f>DF321*H321</f>
        <v>1.6440000000000001</v>
      </c>
      <c r="DH321" s="134">
        <v>0</v>
      </c>
      <c r="DI321" s="135">
        <f>DH321*H321</f>
        <v>0</v>
      </c>
      <c r="EG321" s="136" t="s">
        <v>328</v>
      </c>
      <c r="EI321" s="136" t="s">
        <v>439</v>
      </c>
      <c r="EJ321" s="136" t="s">
        <v>83</v>
      </c>
      <c r="EN321" s="16" t="s">
        <v>282</v>
      </c>
      <c r="ET321" s="137">
        <f>IF(DC321="základní",J321,0)</f>
        <v>7359.87</v>
      </c>
      <c r="EU321" s="137">
        <f>IF(DC321="snížená",J321,0)</f>
        <v>0</v>
      </c>
      <c r="EV321" s="137">
        <f>IF(DC321="zákl. přenesená",J321,0)</f>
        <v>0</v>
      </c>
      <c r="EW321" s="137">
        <f>IF(DC321="sníž. přenesená",J321,0)</f>
        <v>0</v>
      </c>
      <c r="EX321" s="137">
        <f>IF(DC321="nulová",J321,0)</f>
        <v>0</v>
      </c>
      <c r="EY321" s="16" t="s">
        <v>81</v>
      </c>
      <c r="EZ321" s="137">
        <f>ROUND(I321*H321,2)</f>
        <v>7359.87</v>
      </c>
      <c r="FA321" s="16" t="s">
        <v>95</v>
      </c>
      <c r="FB321" s="136" t="s">
        <v>621</v>
      </c>
    </row>
    <row r="322" spans="2:158" s="1" customFormat="1" ht="19.5" x14ac:dyDescent="0.2">
      <c r="B322" s="31"/>
      <c r="D322" s="138" t="s">
        <v>289</v>
      </c>
      <c r="F322" s="139" t="s">
        <v>620</v>
      </c>
      <c r="I322" s="140"/>
      <c r="L322" s="31"/>
      <c r="N322" s="213"/>
      <c r="O322" s="214"/>
      <c r="Q322" s="229"/>
      <c r="DB322" s="141"/>
      <c r="DI322" s="50"/>
      <c r="EI322" s="16" t="s">
        <v>289</v>
      </c>
      <c r="EJ322" s="16" t="s">
        <v>83</v>
      </c>
    </row>
    <row r="323" spans="2:158" s="1" customFormat="1" ht="24.2" customHeight="1" x14ac:dyDescent="0.2">
      <c r="B323" s="124"/>
      <c r="C323" s="125" t="s">
        <v>581</v>
      </c>
      <c r="D323" s="125" t="s">
        <v>284</v>
      </c>
      <c r="E323" s="126" t="s">
        <v>623</v>
      </c>
      <c r="F323" s="127" t="s">
        <v>624</v>
      </c>
      <c r="G323" s="128" t="s">
        <v>485</v>
      </c>
      <c r="H323" s="129">
        <v>3</v>
      </c>
      <c r="I323" s="130">
        <v>1039.9593659999746</v>
      </c>
      <c r="J323" s="131">
        <f>ROUND(I323*H323,2)</f>
        <v>3119.88</v>
      </c>
      <c r="K323" s="127" t="s">
        <v>293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3</v>
      </c>
      <c r="Q323" s="287">
        <f>ROUND(P323*I323,2)</f>
        <v>3119.88</v>
      </c>
      <c r="R323" s="137"/>
      <c r="S323" s="269">
        <f>W323+Y323+AA323+AC323+AE323</f>
        <v>0</v>
      </c>
      <c r="T323" s="269">
        <f>ROUND(S323*I323,2)</f>
        <v>0</v>
      </c>
      <c r="U323" s="269">
        <f>H323-S323</f>
        <v>3</v>
      </c>
      <c r="V323" s="269">
        <f>ROUND(U323*I323,2)</f>
        <v>3119.88</v>
      </c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DB323" s="132" t="s">
        <v>1</v>
      </c>
      <c r="DC323" s="133" t="s">
        <v>40</v>
      </c>
      <c r="DE323" s="134">
        <f>DD323*H323</f>
        <v>0</v>
      </c>
      <c r="DF323" s="134">
        <v>2.8539999999999999E-2</v>
      </c>
      <c r="DG323" s="134">
        <f>DF323*H323</f>
        <v>8.5620000000000002E-2</v>
      </c>
      <c r="DH323" s="134">
        <v>0</v>
      </c>
      <c r="DI323" s="135">
        <f>DH323*H323</f>
        <v>0</v>
      </c>
      <c r="EG323" s="136" t="s">
        <v>95</v>
      </c>
      <c r="EI323" s="136" t="s">
        <v>284</v>
      </c>
      <c r="EJ323" s="136" t="s">
        <v>83</v>
      </c>
      <c r="EN323" s="16" t="s">
        <v>282</v>
      </c>
      <c r="ET323" s="137">
        <f>IF(DC323="základní",J323,0)</f>
        <v>3119.88</v>
      </c>
      <c r="EU323" s="137">
        <f>IF(DC323="snížená",J323,0)</f>
        <v>0</v>
      </c>
      <c r="EV323" s="137">
        <f>IF(DC323="zákl. přenesená",J323,0)</f>
        <v>0</v>
      </c>
      <c r="EW323" s="137">
        <f>IF(DC323="sníž. přenesená",J323,0)</f>
        <v>0</v>
      </c>
      <c r="EX323" s="137">
        <f>IF(DC323="nulová",J323,0)</f>
        <v>0</v>
      </c>
      <c r="EY323" s="16" t="s">
        <v>81</v>
      </c>
      <c r="EZ323" s="137">
        <f>ROUND(I323*H323,2)</f>
        <v>3119.88</v>
      </c>
      <c r="FA323" s="16" t="s">
        <v>95</v>
      </c>
      <c r="FB323" s="136" t="s">
        <v>625</v>
      </c>
    </row>
    <row r="324" spans="2:158" s="1" customFormat="1" ht="19.5" x14ac:dyDescent="0.2">
      <c r="B324" s="31"/>
      <c r="D324" s="138" t="s">
        <v>289</v>
      </c>
      <c r="F324" s="139" t="s">
        <v>624</v>
      </c>
      <c r="I324" s="140"/>
      <c r="L324" s="31"/>
      <c r="N324" s="213"/>
      <c r="O324" s="214"/>
      <c r="Q324" s="229"/>
      <c r="DB324" s="141"/>
      <c r="DI324" s="50"/>
      <c r="EI324" s="16" t="s">
        <v>289</v>
      </c>
      <c r="EJ324" s="16" t="s">
        <v>83</v>
      </c>
    </row>
    <row r="325" spans="2:158" s="1" customFormat="1" ht="19.5" x14ac:dyDescent="0.2">
      <c r="B325" s="31"/>
      <c r="D325" s="138" t="s">
        <v>299</v>
      </c>
      <c r="F325" s="142" t="s">
        <v>317</v>
      </c>
      <c r="I325" s="140"/>
      <c r="L325" s="31"/>
      <c r="N325" s="213"/>
      <c r="O325" s="214"/>
      <c r="Q325" s="229"/>
      <c r="DB325" s="141"/>
      <c r="DI325" s="50"/>
      <c r="EI325" s="16" t="s">
        <v>299</v>
      </c>
      <c r="EJ325" s="16" t="s">
        <v>83</v>
      </c>
    </row>
    <row r="326" spans="2:158" s="12" customFormat="1" x14ac:dyDescent="0.2">
      <c r="B326" s="149"/>
      <c r="D326" s="138" t="s">
        <v>301</v>
      </c>
      <c r="E326" s="150" t="s">
        <v>1</v>
      </c>
      <c r="F326" s="151" t="s">
        <v>781</v>
      </c>
      <c r="H326" s="152">
        <v>3</v>
      </c>
      <c r="I326" s="153"/>
      <c r="L326" s="149"/>
      <c r="N326" s="217"/>
      <c r="O326" s="218"/>
      <c r="Q326" s="231"/>
      <c r="DB326" s="154"/>
      <c r="DI326" s="155"/>
      <c r="EI326" s="150" t="s">
        <v>301</v>
      </c>
      <c r="EJ326" s="150" t="s">
        <v>83</v>
      </c>
      <c r="EK326" s="12" t="s">
        <v>83</v>
      </c>
      <c r="EL326" s="12" t="s">
        <v>32</v>
      </c>
      <c r="EM326" s="12" t="s">
        <v>81</v>
      </c>
      <c r="EN326" s="150" t="s">
        <v>282</v>
      </c>
    </row>
    <row r="327" spans="2:158" s="1" customFormat="1" ht="62.65" customHeight="1" x14ac:dyDescent="0.2">
      <c r="B327" s="124"/>
      <c r="C327" s="170" t="s">
        <v>589</v>
      </c>
      <c r="D327" s="170" t="s">
        <v>439</v>
      </c>
      <c r="E327" s="171" t="s">
        <v>632</v>
      </c>
      <c r="F327" s="172" t="s">
        <v>633</v>
      </c>
      <c r="G327" s="173" t="s">
        <v>485</v>
      </c>
      <c r="H327" s="174">
        <v>2</v>
      </c>
      <c r="I327" s="175">
        <v>9051.3334500000001</v>
      </c>
      <c r="J327" s="176">
        <f>ROUND(I327*H327,2)</f>
        <v>18102.669999999998</v>
      </c>
      <c r="K327" s="172" t="s">
        <v>1</v>
      </c>
      <c r="L327" s="268">
        <f>S327</f>
        <v>0</v>
      </c>
      <c r="M327" s="272">
        <f>ROUND(L327*I327,2)</f>
        <v>0</v>
      </c>
      <c r="N327" s="243"/>
      <c r="O327" s="294">
        <f>ROUND(N327*I327,2)</f>
        <v>0</v>
      </c>
      <c r="P327" s="273">
        <f>H327-L327-N327</f>
        <v>2</v>
      </c>
      <c r="Q327" s="287">
        <f>ROUND(P327*I327,2)</f>
        <v>18102.669999999998</v>
      </c>
      <c r="R327" s="137"/>
      <c r="S327" s="269">
        <f>W327+Y327+AA327+AC327+AE327</f>
        <v>0</v>
      </c>
      <c r="T327" s="269">
        <f>ROUND(S327*I327,2)</f>
        <v>0</v>
      </c>
      <c r="U327" s="269">
        <f>H327-S327</f>
        <v>2</v>
      </c>
      <c r="V327" s="269">
        <f>ROUND(U327*I327,2)</f>
        <v>18102.669999999998</v>
      </c>
      <c r="W327" s="290"/>
      <c r="X327" s="290"/>
      <c r="Y327" s="290"/>
      <c r="Z327" s="290"/>
      <c r="AA327" s="290"/>
      <c r="AB327" s="290"/>
      <c r="AC327" s="290"/>
      <c r="AD327" s="290"/>
      <c r="AE327" s="290"/>
      <c r="AF327" s="290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77" t="s">
        <v>1</v>
      </c>
      <c r="DC327" s="178" t="s">
        <v>40</v>
      </c>
      <c r="DE327" s="134">
        <f>DD327*H327</f>
        <v>0</v>
      </c>
      <c r="DF327" s="134">
        <v>1.87</v>
      </c>
      <c r="DG327" s="134">
        <f>DF327*H327</f>
        <v>3.74</v>
      </c>
      <c r="DH327" s="134">
        <v>0</v>
      </c>
      <c r="DI327" s="135">
        <f>DH327*H327</f>
        <v>0</v>
      </c>
      <c r="EG327" s="136" t="s">
        <v>328</v>
      </c>
      <c r="EI327" s="136" t="s">
        <v>439</v>
      </c>
      <c r="EJ327" s="136" t="s">
        <v>83</v>
      </c>
      <c r="EN327" s="16" t="s">
        <v>282</v>
      </c>
      <c r="ET327" s="137">
        <f>IF(DC327="základní",J327,0)</f>
        <v>18102.669999999998</v>
      </c>
      <c r="EU327" s="137">
        <f>IF(DC327="snížená",J327,0)</f>
        <v>0</v>
      </c>
      <c r="EV327" s="137">
        <f>IF(DC327="zákl. přenesená",J327,0)</f>
        <v>0</v>
      </c>
      <c r="EW327" s="137">
        <f>IF(DC327="sníž. přenesená",J327,0)</f>
        <v>0</v>
      </c>
      <c r="EX327" s="137">
        <f>IF(DC327="nulová",J327,0)</f>
        <v>0</v>
      </c>
      <c r="EY327" s="16" t="s">
        <v>81</v>
      </c>
      <c r="EZ327" s="137">
        <f>ROUND(I327*H327,2)</f>
        <v>18102.669999999998</v>
      </c>
      <c r="FA327" s="16" t="s">
        <v>95</v>
      </c>
      <c r="FB327" s="136" t="s">
        <v>634</v>
      </c>
    </row>
    <row r="328" spans="2:158" s="1" customFormat="1" ht="39" x14ac:dyDescent="0.2">
      <c r="B328" s="31"/>
      <c r="D328" s="138" t="s">
        <v>289</v>
      </c>
      <c r="F328" s="139" t="s">
        <v>633</v>
      </c>
      <c r="I328" s="140"/>
      <c r="L328" s="31"/>
      <c r="N328" s="213"/>
      <c r="O328" s="214"/>
      <c r="Q328" s="229"/>
      <c r="DB328" s="141"/>
      <c r="DI328" s="50"/>
      <c r="EI328" s="16" t="s">
        <v>289</v>
      </c>
      <c r="EJ328" s="16" t="s">
        <v>83</v>
      </c>
    </row>
    <row r="329" spans="2:158" s="1" customFormat="1" ht="49.15" customHeight="1" x14ac:dyDescent="0.2">
      <c r="B329" s="124"/>
      <c r="C329" s="170" t="s">
        <v>594</v>
      </c>
      <c r="D329" s="170" t="s">
        <v>439</v>
      </c>
      <c r="E329" s="171" t="s">
        <v>636</v>
      </c>
      <c r="F329" s="172" t="s">
        <v>637</v>
      </c>
      <c r="G329" s="173" t="s">
        <v>485</v>
      </c>
      <c r="H329" s="174">
        <v>1</v>
      </c>
      <c r="I329" s="175">
        <v>12313.804099999999</v>
      </c>
      <c r="J329" s="176">
        <f>ROUND(I329*H329,2)</f>
        <v>12313.8</v>
      </c>
      <c r="K329" s="172" t="s">
        <v>1</v>
      </c>
      <c r="L329" s="268">
        <f>S329</f>
        <v>0</v>
      </c>
      <c r="M329" s="272">
        <f>ROUND(L329*I329,2)</f>
        <v>0</v>
      </c>
      <c r="N329" s="243"/>
      <c r="O329" s="294">
        <f>ROUND(N329*I329,2)</f>
        <v>0</v>
      </c>
      <c r="P329" s="273">
        <f>H329-L329-N329</f>
        <v>1</v>
      </c>
      <c r="Q329" s="287">
        <f>ROUND(P329*I329,2)</f>
        <v>12313.8</v>
      </c>
      <c r="R329" s="137"/>
      <c r="S329" s="269">
        <f>W329+Y329+AA329+AC329+AE329</f>
        <v>0</v>
      </c>
      <c r="T329" s="269">
        <f>ROUND(S329*I329,2)</f>
        <v>0</v>
      </c>
      <c r="U329" s="269">
        <f>H329-S329</f>
        <v>1</v>
      </c>
      <c r="V329" s="269">
        <f>ROUND(U329*I329,2)</f>
        <v>12313.8</v>
      </c>
      <c r="W329" s="290"/>
      <c r="X329" s="290"/>
      <c r="Y329" s="290"/>
      <c r="Z329" s="290"/>
      <c r="AA329" s="290"/>
      <c r="AB329" s="290"/>
      <c r="AC329" s="290"/>
      <c r="AD329" s="290"/>
      <c r="AE329" s="290"/>
      <c r="AF329" s="290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77" t="s">
        <v>1</v>
      </c>
      <c r="DC329" s="178" t="s">
        <v>40</v>
      </c>
      <c r="DE329" s="134">
        <f>DD329*H329</f>
        <v>0</v>
      </c>
      <c r="DF329" s="134">
        <v>1.87</v>
      </c>
      <c r="DG329" s="134">
        <f>DF329*H329</f>
        <v>1.87</v>
      </c>
      <c r="DH329" s="134">
        <v>0</v>
      </c>
      <c r="DI329" s="135">
        <f>DH329*H329</f>
        <v>0</v>
      </c>
      <c r="EG329" s="136" t="s">
        <v>328</v>
      </c>
      <c r="EI329" s="136" t="s">
        <v>439</v>
      </c>
      <c r="EJ329" s="136" t="s">
        <v>83</v>
      </c>
      <c r="EN329" s="16" t="s">
        <v>282</v>
      </c>
      <c r="ET329" s="137">
        <f>IF(DC329="základní",J329,0)</f>
        <v>12313.8</v>
      </c>
      <c r="EU329" s="137">
        <f>IF(DC329="snížená",J329,0)</f>
        <v>0</v>
      </c>
      <c r="EV329" s="137">
        <f>IF(DC329="zákl. přenesená",J329,0)</f>
        <v>0</v>
      </c>
      <c r="EW329" s="137">
        <f>IF(DC329="sníž. přenesená",J329,0)</f>
        <v>0</v>
      </c>
      <c r="EX329" s="137">
        <f>IF(DC329="nulová",J329,0)</f>
        <v>0</v>
      </c>
      <c r="EY329" s="16" t="s">
        <v>81</v>
      </c>
      <c r="EZ329" s="137">
        <f>ROUND(I329*H329,2)</f>
        <v>12313.8</v>
      </c>
      <c r="FA329" s="16" t="s">
        <v>95</v>
      </c>
      <c r="FB329" s="136" t="s">
        <v>1603</v>
      </c>
    </row>
    <row r="330" spans="2:158" s="1" customFormat="1" ht="29.25" x14ac:dyDescent="0.2">
      <c r="B330" s="31"/>
      <c r="D330" s="138" t="s">
        <v>289</v>
      </c>
      <c r="F330" s="139" t="s">
        <v>637</v>
      </c>
      <c r="I330" s="140"/>
      <c r="L330" s="31"/>
      <c r="N330" s="213"/>
      <c r="O330" s="214"/>
      <c r="Q330" s="229"/>
      <c r="DB330" s="141"/>
      <c r="DI330" s="50"/>
      <c r="EI330" s="16" t="s">
        <v>289</v>
      </c>
      <c r="EJ330" s="16" t="s">
        <v>83</v>
      </c>
    </row>
    <row r="331" spans="2:158" s="1" customFormat="1" ht="24.2" customHeight="1" x14ac:dyDescent="0.2">
      <c r="B331" s="124"/>
      <c r="C331" s="170" t="s">
        <v>599</v>
      </c>
      <c r="D331" s="170" t="s">
        <v>439</v>
      </c>
      <c r="E331" s="171" t="s">
        <v>640</v>
      </c>
      <c r="F331" s="172" t="s">
        <v>641</v>
      </c>
      <c r="G331" s="173" t="s">
        <v>485</v>
      </c>
      <c r="H331" s="174">
        <v>7</v>
      </c>
      <c r="I331" s="175">
        <v>182.81263010000001</v>
      </c>
      <c r="J331" s="176">
        <f>ROUND(I331*H331,2)</f>
        <v>1279.69</v>
      </c>
      <c r="K331" s="172" t="s">
        <v>293</v>
      </c>
      <c r="L331" s="268">
        <f>S331</f>
        <v>0</v>
      </c>
      <c r="M331" s="272">
        <f>ROUND(L331*I331,2)</f>
        <v>0</v>
      </c>
      <c r="N331" s="243"/>
      <c r="O331" s="294">
        <f>ROUND(N331*I331,2)</f>
        <v>0</v>
      </c>
      <c r="P331" s="273">
        <f>H331-L331-N331</f>
        <v>7</v>
      </c>
      <c r="Q331" s="287">
        <f>ROUND(P331*I331,2)</f>
        <v>1279.69</v>
      </c>
      <c r="R331" s="137"/>
      <c r="S331" s="269">
        <f>W331+Y331+AA331+AC331+AE331</f>
        <v>0</v>
      </c>
      <c r="T331" s="269">
        <f>ROUND(S331*I331,2)</f>
        <v>0</v>
      </c>
      <c r="U331" s="269">
        <f>H331-S331</f>
        <v>7</v>
      </c>
      <c r="V331" s="269">
        <f>ROUND(U331*I331,2)</f>
        <v>1279.69</v>
      </c>
      <c r="W331" s="290"/>
      <c r="X331" s="290"/>
      <c r="Y331" s="290"/>
      <c r="Z331" s="290"/>
      <c r="AA331" s="290"/>
      <c r="AB331" s="290"/>
      <c r="AC331" s="290"/>
      <c r="AD331" s="290"/>
      <c r="AE331" s="290"/>
      <c r="AF331" s="290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77" t="s">
        <v>1</v>
      </c>
      <c r="DC331" s="178" t="s">
        <v>40</v>
      </c>
      <c r="DE331" s="134">
        <f>DD331*H331</f>
        <v>0</v>
      </c>
      <c r="DF331" s="134">
        <v>2E-3</v>
      </c>
      <c r="DG331" s="134">
        <f>DF331*H331</f>
        <v>1.4E-2</v>
      </c>
      <c r="DH331" s="134">
        <v>0</v>
      </c>
      <c r="DI331" s="135">
        <f>DH331*H331</f>
        <v>0</v>
      </c>
      <c r="EG331" s="136" t="s">
        <v>328</v>
      </c>
      <c r="EI331" s="136" t="s">
        <v>439</v>
      </c>
      <c r="EJ331" s="136" t="s">
        <v>83</v>
      </c>
      <c r="EN331" s="16" t="s">
        <v>282</v>
      </c>
      <c r="ET331" s="137">
        <f>IF(DC331="základní",J331,0)</f>
        <v>1279.69</v>
      </c>
      <c r="EU331" s="137">
        <f>IF(DC331="snížená",J331,0)</f>
        <v>0</v>
      </c>
      <c r="EV331" s="137">
        <f>IF(DC331="zákl. přenesená",J331,0)</f>
        <v>0</v>
      </c>
      <c r="EW331" s="137">
        <f>IF(DC331="sníž. přenesená",J331,0)</f>
        <v>0</v>
      </c>
      <c r="EX331" s="137">
        <f>IF(DC331="nulová",J331,0)</f>
        <v>0</v>
      </c>
      <c r="EY331" s="16" t="s">
        <v>81</v>
      </c>
      <c r="EZ331" s="137">
        <f>ROUND(I331*H331,2)</f>
        <v>1279.69</v>
      </c>
      <c r="FA331" s="16" t="s">
        <v>95</v>
      </c>
      <c r="FB331" s="136" t="s">
        <v>642</v>
      </c>
    </row>
    <row r="332" spans="2:158" s="1" customFormat="1" x14ac:dyDescent="0.2">
      <c r="B332" s="31"/>
      <c r="D332" s="138" t="s">
        <v>289</v>
      </c>
      <c r="F332" s="139" t="s">
        <v>641</v>
      </c>
      <c r="I332" s="140"/>
      <c r="L332" s="31"/>
      <c r="N332" s="213"/>
      <c r="O332" s="214"/>
      <c r="Q332" s="229"/>
      <c r="DB332" s="141"/>
      <c r="DI332" s="50"/>
      <c r="EI332" s="16" t="s">
        <v>289</v>
      </c>
      <c r="EJ332" s="16" t="s">
        <v>83</v>
      </c>
    </row>
    <row r="333" spans="2:158" s="1" customFormat="1" ht="14.45" customHeight="1" x14ac:dyDescent="0.2">
      <c r="B333" s="124"/>
      <c r="C333" s="125" t="s">
        <v>604</v>
      </c>
      <c r="D333" s="125" t="s">
        <v>284</v>
      </c>
      <c r="E333" s="126" t="s">
        <v>644</v>
      </c>
      <c r="F333" s="127" t="s">
        <v>645</v>
      </c>
      <c r="G333" s="128" t="s">
        <v>287</v>
      </c>
      <c r="H333" s="129">
        <v>1.62</v>
      </c>
      <c r="I333" s="130">
        <v>2368.0392499999998</v>
      </c>
      <c r="J333" s="131">
        <f>ROUND(I333*H333,2)</f>
        <v>3836.22</v>
      </c>
      <c r="K333" s="127" t="s">
        <v>1</v>
      </c>
      <c r="L333" s="268">
        <f>S333</f>
        <v>0</v>
      </c>
      <c r="M333" s="272">
        <f>ROUND(L333*I333,2)</f>
        <v>0</v>
      </c>
      <c r="N333" s="243"/>
      <c r="O333" s="294">
        <f>ROUND(N333*I333,2)</f>
        <v>0</v>
      </c>
      <c r="P333" s="273">
        <f>H333-L333-N333</f>
        <v>1.62</v>
      </c>
      <c r="Q333" s="287">
        <f>ROUND(P333*I333,2)</f>
        <v>3836.22</v>
      </c>
      <c r="R333" s="137"/>
      <c r="S333" s="269">
        <f>W333+Y333+AA333+AC333+AE333</f>
        <v>0</v>
      </c>
      <c r="T333" s="269">
        <f>ROUND(S333*I333,2)</f>
        <v>0</v>
      </c>
      <c r="U333" s="269">
        <f>H333-S333</f>
        <v>1.62</v>
      </c>
      <c r="V333" s="269">
        <f>ROUND(U333*I333,2)</f>
        <v>3836.22</v>
      </c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DB333" s="132" t="s">
        <v>1</v>
      </c>
      <c r="DC333" s="133" t="s">
        <v>40</v>
      </c>
      <c r="DE333" s="134">
        <f>DD333*H333</f>
        <v>0</v>
      </c>
      <c r="DF333" s="134">
        <v>4.8207100000000001</v>
      </c>
      <c r="DG333" s="134">
        <f>DF333*H333</f>
        <v>7.8095502000000003</v>
      </c>
      <c r="DH333" s="134">
        <v>0</v>
      </c>
      <c r="DI333" s="135">
        <f>DH333*H333</f>
        <v>0</v>
      </c>
      <c r="EG333" s="136" t="s">
        <v>95</v>
      </c>
      <c r="EI333" s="136" t="s">
        <v>284</v>
      </c>
      <c r="EJ333" s="136" t="s">
        <v>83</v>
      </c>
      <c r="EN333" s="16" t="s">
        <v>282</v>
      </c>
      <c r="ET333" s="137">
        <f>IF(DC333="základní",J333,0)</f>
        <v>3836.22</v>
      </c>
      <c r="EU333" s="137">
        <f>IF(DC333="snížená",J333,0)</f>
        <v>0</v>
      </c>
      <c r="EV333" s="137">
        <f>IF(DC333="zákl. přenesená",J333,0)</f>
        <v>0</v>
      </c>
      <c r="EW333" s="137">
        <f>IF(DC333="sníž. přenesená",J333,0)</f>
        <v>0</v>
      </c>
      <c r="EX333" s="137">
        <f>IF(DC333="nulová",J333,0)</f>
        <v>0</v>
      </c>
      <c r="EY333" s="16" t="s">
        <v>81</v>
      </c>
      <c r="EZ333" s="137">
        <f>ROUND(I333*H333,2)</f>
        <v>3836.22</v>
      </c>
      <c r="FA333" s="16" t="s">
        <v>95</v>
      </c>
      <c r="FB333" s="136" t="s">
        <v>1604</v>
      </c>
    </row>
    <row r="334" spans="2:158" s="1" customFormat="1" ht="29.25" x14ac:dyDescent="0.2">
      <c r="B334" s="31"/>
      <c r="D334" s="138" t="s">
        <v>289</v>
      </c>
      <c r="F334" s="139" t="s">
        <v>647</v>
      </c>
      <c r="I334" s="140"/>
      <c r="L334" s="31"/>
      <c r="N334" s="213"/>
      <c r="O334" s="214"/>
      <c r="Q334" s="229"/>
      <c r="DB334" s="141"/>
      <c r="DI334" s="50"/>
      <c r="EI334" s="16" t="s">
        <v>289</v>
      </c>
      <c r="EJ334" s="16" t="s">
        <v>83</v>
      </c>
    </row>
    <row r="335" spans="2:158" s="1" customFormat="1" ht="19.5" x14ac:dyDescent="0.2">
      <c r="B335" s="31"/>
      <c r="D335" s="138" t="s">
        <v>299</v>
      </c>
      <c r="F335" s="142" t="s">
        <v>317</v>
      </c>
      <c r="I335" s="140"/>
      <c r="L335" s="31"/>
      <c r="N335" s="213"/>
      <c r="O335" s="214"/>
      <c r="Q335" s="229"/>
      <c r="DB335" s="141"/>
      <c r="DI335" s="50"/>
      <c r="EI335" s="16" t="s">
        <v>299</v>
      </c>
      <c r="EJ335" s="16" t="s">
        <v>83</v>
      </c>
    </row>
    <row r="336" spans="2:158" s="11" customFormat="1" x14ac:dyDescent="0.2">
      <c r="B336" s="143"/>
      <c r="D336" s="138" t="s">
        <v>301</v>
      </c>
      <c r="E336" s="144" t="s">
        <v>1</v>
      </c>
      <c r="F336" s="145" t="s">
        <v>648</v>
      </c>
      <c r="H336" s="144" t="s">
        <v>1</v>
      </c>
      <c r="I336" s="146"/>
      <c r="L336" s="143"/>
      <c r="N336" s="215"/>
      <c r="O336" s="216"/>
      <c r="Q336" s="230"/>
      <c r="DB336" s="147"/>
      <c r="DI336" s="148"/>
      <c r="EI336" s="144" t="s">
        <v>301</v>
      </c>
      <c r="EJ336" s="144" t="s">
        <v>83</v>
      </c>
      <c r="EK336" s="11" t="s">
        <v>81</v>
      </c>
      <c r="EL336" s="11" t="s">
        <v>32</v>
      </c>
      <c r="EM336" s="11" t="s">
        <v>74</v>
      </c>
      <c r="EN336" s="144" t="s">
        <v>282</v>
      </c>
    </row>
    <row r="337" spans="2:158" s="12" customFormat="1" x14ac:dyDescent="0.2">
      <c r="B337" s="149"/>
      <c r="D337" s="138" t="s">
        <v>301</v>
      </c>
      <c r="E337" s="150" t="s">
        <v>1</v>
      </c>
      <c r="F337" s="151" t="s">
        <v>1605</v>
      </c>
      <c r="H337" s="152">
        <v>1.62</v>
      </c>
      <c r="I337" s="153"/>
      <c r="L337" s="149"/>
      <c r="N337" s="217"/>
      <c r="O337" s="218"/>
      <c r="Q337" s="231"/>
      <c r="DB337" s="154"/>
      <c r="DI337" s="155"/>
      <c r="EI337" s="150" t="s">
        <v>301</v>
      </c>
      <c r="EJ337" s="150" t="s">
        <v>83</v>
      </c>
      <c r="EK337" s="12" t="s">
        <v>83</v>
      </c>
      <c r="EL337" s="12" t="s">
        <v>32</v>
      </c>
      <c r="EM337" s="12" t="s">
        <v>81</v>
      </c>
      <c r="EN337" s="150" t="s">
        <v>282</v>
      </c>
    </row>
    <row r="338" spans="2:158" s="1" customFormat="1" ht="24.2" customHeight="1" x14ac:dyDescent="0.2">
      <c r="B338" s="124"/>
      <c r="C338" s="125" t="s">
        <v>609</v>
      </c>
      <c r="D338" s="125" t="s">
        <v>284</v>
      </c>
      <c r="E338" s="126" t="s">
        <v>661</v>
      </c>
      <c r="F338" s="127" t="s">
        <v>662</v>
      </c>
      <c r="G338" s="128" t="s">
        <v>485</v>
      </c>
      <c r="H338" s="129">
        <v>3</v>
      </c>
      <c r="I338" s="130">
        <v>1019.8832798103068</v>
      </c>
      <c r="J338" s="131">
        <f>ROUND(I338*H338,2)</f>
        <v>3059.65</v>
      </c>
      <c r="K338" s="127" t="s">
        <v>293</v>
      </c>
      <c r="L338" s="268">
        <f>S338</f>
        <v>0</v>
      </c>
      <c r="M338" s="272">
        <f>ROUND(L338*I338,2)</f>
        <v>0</v>
      </c>
      <c r="N338" s="243"/>
      <c r="O338" s="294">
        <f>ROUND(N338*I338,2)</f>
        <v>0</v>
      </c>
      <c r="P338" s="273">
        <f>H338-L338-N338</f>
        <v>3</v>
      </c>
      <c r="Q338" s="287">
        <f>ROUND(P338*I338,2)</f>
        <v>3059.65</v>
      </c>
      <c r="R338" s="137"/>
      <c r="S338" s="269">
        <f>W338+Y338+AA338+AC338+AE338</f>
        <v>0</v>
      </c>
      <c r="T338" s="269">
        <f>ROUND(S338*I338,2)</f>
        <v>0</v>
      </c>
      <c r="U338" s="269">
        <f>H338-S338</f>
        <v>3</v>
      </c>
      <c r="V338" s="269">
        <f>ROUND(U338*I338,2)</f>
        <v>3059.65</v>
      </c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DB338" s="132" t="s">
        <v>1</v>
      </c>
      <c r="DC338" s="133" t="s">
        <v>40</v>
      </c>
      <c r="DE338" s="134">
        <f>DD338*H338</f>
        <v>0</v>
      </c>
      <c r="DF338" s="134">
        <v>0.21734000000000001</v>
      </c>
      <c r="DG338" s="134">
        <f>DF338*H338</f>
        <v>0.65202000000000004</v>
      </c>
      <c r="DH338" s="134">
        <v>0</v>
      </c>
      <c r="DI338" s="135">
        <f>DH338*H338</f>
        <v>0</v>
      </c>
      <c r="EG338" s="136" t="s">
        <v>95</v>
      </c>
      <c r="EI338" s="136" t="s">
        <v>284</v>
      </c>
      <c r="EJ338" s="136" t="s">
        <v>83</v>
      </c>
      <c r="EN338" s="16" t="s">
        <v>282</v>
      </c>
      <c r="ET338" s="137">
        <f>IF(DC338="základní",J338,0)</f>
        <v>3059.65</v>
      </c>
      <c r="EU338" s="137">
        <f>IF(DC338="snížená",J338,0)</f>
        <v>0</v>
      </c>
      <c r="EV338" s="137">
        <f>IF(DC338="zákl. přenesená",J338,0)</f>
        <v>0</v>
      </c>
      <c r="EW338" s="137">
        <f>IF(DC338="sníž. přenesená",J338,0)</f>
        <v>0</v>
      </c>
      <c r="EX338" s="137">
        <f>IF(DC338="nulová",J338,0)</f>
        <v>0</v>
      </c>
      <c r="EY338" s="16" t="s">
        <v>81</v>
      </c>
      <c r="EZ338" s="137">
        <f>ROUND(I338*H338,2)</f>
        <v>3059.65</v>
      </c>
      <c r="FA338" s="16" t="s">
        <v>95</v>
      </c>
      <c r="FB338" s="136" t="s">
        <v>663</v>
      </c>
    </row>
    <row r="339" spans="2:158" s="1" customFormat="1" ht="19.5" x14ac:dyDescent="0.2">
      <c r="B339" s="31"/>
      <c r="D339" s="138" t="s">
        <v>289</v>
      </c>
      <c r="F339" s="139" t="s">
        <v>664</v>
      </c>
      <c r="I339" s="140"/>
      <c r="L339" s="31"/>
      <c r="N339" s="213"/>
      <c r="O339" s="214"/>
      <c r="Q339" s="229"/>
      <c r="DB339" s="141"/>
      <c r="DI339" s="50"/>
      <c r="EI339" s="16" t="s">
        <v>289</v>
      </c>
      <c r="EJ339" s="16" t="s">
        <v>83</v>
      </c>
    </row>
    <row r="340" spans="2:158" s="1" customFormat="1" ht="19.5" x14ac:dyDescent="0.2">
      <c r="B340" s="31"/>
      <c r="D340" s="138" t="s">
        <v>299</v>
      </c>
      <c r="F340" s="142" t="s">
        <v>317</v>
      </c>
      <c r="I340" s="140"/>
      <c r="L340" s="31"/>
      <c r="N340" s="213"/>
      <c r="O340" s="214"/>
      <c r="Q340" s="229"/>
      <c r="DB340" s="141"/>
      <c r="DI340" s="50"/>
      <c r="EI340" s="16" t="s">
        <v>299</v>
      </c>
      <c r="EJ340" s="16" t="s">
        <v>83</v>
      </c>
    </row>
    <row r="341" spans="2:158" s="12" customFormat="1" x14ac:dyDescent="0.2">
      <c r="B341" s="149"/>
      <c r="D341" s="138" t="s">
        <v>301</v>
      </c>
      <c r="E341" s="150" t="s">
        <v>1</v>
      </c>
      <c r="F341" s="151" t="s">
        <v>781</v>
      </c>
      <c r="H341" s="152">
        <v>3</v>
      </c>
      <c r="I341" s="153"/>
      <c r="L341" s="149"/>
      <c r="N341" s="217"/>
      <c r="O341" s="218"/>
      <c r="Q341" s="231"/>
      <c r="DB341" s="154"/>
      <c r="DI341" s="155"/>
      <c r="EI341" s="150" t="s">
        <v>301</v>
      </c>
      <c r="EJ341" s="150" t="s">
        <v>83</v>
      </c>
      <c r="EK341" s="12" t="s">
        <v>83</v>
      </c>
      <c r="EL341" s="12" t="s">
        <v>32</v>
      </c>
      <c r="EM341" s="12" t="s">
        <v>81</v>
      </c>
      <c r="EN341" s="150" t="s">
        <v>282</v>
      </c>
    </row>
    <row r="342" spans="2:158" s="1" customFormat="1" ht="24.2" customHeight="1" x14ac:dyDescent="0.2">
      <c r="B342" s="124"/>
      <c r="C342" s="170" t="s">
        <v>614</v>
      </c>
      <c r="D342" s="170" t="s">
        <v>439</v>
      </c>
      <c r="E342" s="171" t="s">
        <v>667</v>
      </c>
      <c r="F342" s="172" t="s">
        <v>668</v>
      </c>
      <c r="G342" s="173" t="s">
        <v>485</v>
      </c>
      <c r="H342" s="174">
        <v>2</v>
      </c>
      <c r="I342" s="175">
        <v>3125.8118100000002</v>
      </c>
      <c r="J342" s="176">
        <f>ROUND(I342*H342,2)</f>
        <v>6251.62</v>
      </c>
      <c r="K342" s="172" t="s">
        <v>1</v>
      </c>
      <c r="L342" s="268">
        <f>S342</f>
        <v>0</v>
      </c>
      <c r="M342" s="272">
        <f>ROUND(L342*I342,2)</f>
        <v>0</v>
      </c>
      <c r="N342" s="243"/>
      <c r="O342" s="294">
        <f>ROUND(N342*I342,2)</f>
        <v>0</v>
      </c>
      <c r="P342" s="273">
        <f>H342-L342-N342</f>
        <v>2</v>
      </c>
      <c r="Q342" s="287">
        <f>ROUND(P342*I342,2)</f>
        <v>6251.62</v>
      </c>
      <c r="R342" s="137"/>
      <c r="S342" s="269">
        <f>W342+Y342+AA342+AC342+AE342</f>
        <v>0</v>
      </c>
      <c r="T342" s="269">
        <f>ROUND(S342*I342,2)</f>
        <v>0</v>
      </c>
      <c r="U342" s="269">
        <f>H342-S342</f>
        <v>2</v>
      </c>
      <c r="V342" s="269">
        <f>ROUND(U342*I342,2)</f>
        <v>6251.62</v>
      </c>
      <c r="W342" s="290"/>
      <c r="X342" s="290"/>
      <c r="Y342" s="290"/>
      <c r="Z342" s="290"/>
      <c r="AA342" s="290"/>
      <c r="AB342" s="290"/>
      <c r="AC342" s="290"/>
      <c r="AD342" s="290"/>
      <c r="AE342" s="290"/>
      <c r="AF342" s="290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77" t="s">
        <v>1</v>
      </c>
      <c r="DC342" s="178" t="s">
        <v>40</v>
      </c>
      <c r="DE342" s="134">
        <f>DD342*H342</f>
        <v>0</v>
      </c>
      <c r="DF342" s="134">
        <v>4.5999999999999999E-2</v>
      </c>
      <c r="DG342" s="134">
        <f>DF342*H342</f>
        <v>9.1999999999999998E-2</v>
      </c>
      <c r="DH342" s="134">
        <v>0</v>
      </c>
      <c r="DI342" s="135">
        <f>DH342*H342</f>
        <v>0</v>
      </c>
      <c r="EG342" s="136" t="s">
        <v>328</v>
      </c>
      <c r="EI342" s="136" t="s">
        <v>439</v>
      </c>
      <c r="EJ342" s="136" t="s">
        <v>83</v>
      </c>
      <c r="EN342" s="16" t="s">
        <v>282</v>
      </c>
      <c r="ET342" s="137">
        <f>IF(DC342="základní",J342,0)</f>
        <v>6251.62</v>
      </c>
      <c r="EU342" s="137">
        <f>IF(DC342="snížená",J342,0)</f>
        <v>0</v>
      </c>
      <c r="EV342" s="137">
        <f>IF(DC342="zákl. přenesená",J342,0)</f>
        <v>0</v>
      </c>
      <c r="EW342" s="137">
        <f>IF(DC342="sníž. přenesená",J342,0)</f>
        <v>0</v>
      </c>
      <c r="EX342" s="137">
        <f>IF(DC342="nulová",J342,0)</f>
        <v>0</v>
      </c>
      <c r="EY342" s="16" t="s">
        <v>81</v>
      </c>
      <c r="EZ342" s="137">
        <f>ROUND(I342*H342,2)</f>
        <v>6251.62</v>
      </c>
      <c r="FA342" s="16" t="s">
        <v>95</v>
      </c>
      <c r="FB342" s="136" t="s">
        <v>669</v>
      </c>
    </row>
    <row r="343" spans="2:158" s="1" customFormat="1" ht="19.5" x14ac:dyDescent="0.2">
      <c r="B343" s="31"/>
      <c r="D343" s="138" t="s">
        <v>289</v>
      </c>
      <c r="F343" s="139" t="s">
        <v>668</v>
      </c>
      <c r="I343" s="140"/>
      <c r="L343" s="31"/>
      <c r="N343" s="213"/>
      <c r="O343" s="214"/>
      <c r="Q343" s="229"/>
      <c r="DB343" s="141"/>
      <c r="DI343" s="50"/>
      <c r="EI343" s="16" t="s">
        <v>289</v>
      </c>
      <c r="EJ343" s="16" t="s">
        <v>83</v>
      </c>
    </row>
    <row r="344" spans="2:158" s="1" customFormat="1" ht="24.2" customHeight="1" x14ac:dyDescent="0.2">
      <c r="B344" s="124"/>
      <c r="C344" s="170" t="s">
        <v>618</v>
      </c>
      <c r="D344" s="170" t="s">
        <v>439</v>
      </c>
      <c r="E344" s="171" t="s">
        <v>671</v>
      </c>
      <c r="F344" s="172" t="s">
        <v>672</v>
      </c>
      <c r="G344" s="173" t="s">
        <v>485</v>
      </c>
      <c r="H344" s="174">
        <v>1</v>
      </c>
      <c r="I344" s="175">
        <v>3315.25495</v>
      </c>
      <c r="J344" s="176">
        <f>ROUND(I344*H344,2)</f>
        <v>3315.25</v>
      </c>
      <c r="K344" s="172" t="s">
        <v>1</v>
      </c>
      <c r="L344" s="268">
        <f>S344</f>
        <v>0</v>
      </c>
      <c r="M344" s="272">
        <f>ROUND(L344*I344,2)</f>
        <v>0</v>
      </c>
      <c r="N344" s="243"/>
      <c r="O344" s="294">
        <f>ROUND(N344*I344,2)</f>
        <v>0</v>
      </c>
      <c r="P344" s="273">
        <f>H344-L344-N344</f>
        <v>1</v>
      </c>
      <c r="Q344" s="287">
        <f>ROUND(P344*I344,2)</f>
        <v>3315.25</v>
      </c>
      <c r="R344" s="137"/>
      <c r="S344" s="269">
        <f>W344+Y344+AA344+AC344+AE344</f>
        <v>0</v>
      </c>
      <c r="T344" s="269">
        <f>ROUND(S344*I344,2)</f>
        <v>0</v>
      </c>
      <c r="U344" s="269">
        <f>H344-S344</f>
        <v>1</v>
      </c>
      <c r="V344" s="269">
        <f>ROUND(U344*I344,2)</f>
        <v>3315.25</v>
      </c>
      <c r="W344" s="290"/>
      <c r="X344" s="290"/>
      <c r="Y344" s="290"/>
      <c r="Z344" s="290"/>
      <c r="AA344" s="290"/>
      <c r="AB344" s="290"/>
      <c r="AC344" s="290"/>
      <c r="AD344" s="290"/>
      <c r="AE344" s="290"/>
      <c r="AF344" s="290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77" t="s">
        <v>1</v>
      </c>
      <c r="DC344" s="178" t="s">
        <v>40</v>
      </c>
      <c r="DE344" s="134">
        <f>DD344*H344</f>
        <v>0</v>
      </c>
      <c r="DF344" s="134">
        <v>4.5999999999999999E-2</v>
      </c>
      <c r="DG344" s="134">
        <f>DF344*H344</f>
        <v>4.5999999999999999E-2</v>
      </c>
      <c r="DH344" s="134">
        <v>0</v>
      </c>
      <c r="DI344" s="135">
        <f>DH344*H344</f>
        <v>0</v>
      </c>
      <c r="EG344" s="136" t="s">
        <v>328</v>
      </c>
      <c r="EI344" s="136" t="s">
        <v>439</v>
      </c>
      <c r="EJ344" s="136" t="s">
        <v>83</v>
      </c>
      <c r="EN344" s="16" t="s">
        <v>282</v>
      </c>
      <c r="ET344" s="137">
        <f>IF(DC344="základní",J344,0)</f>
        <v>3315.25</v>
      </c>
      <c r="EU344" s="137">
        <f>IF(DC344="snížená",J344,0)</f>
        <v>0</v>
      </c>
      <c r="EV344" s="137">
        <f>IF(DC344="zákl. přenesená",J344,0)</f>
        <v>0</v>
      </c>
      <c r="EW344" s="137">
        <f>IF(DC344="sníž. přenesená",J344,0)</f>
        <v>0</v>
      </c>
      <c r="EX344" s="137">
        <f>IF(DC344="nulová",J344,0)</f>
        <v>0</v>
      </c>
      <c r="EY344" s="16" t="s">
        <v>81</v>
      </c>
      <c r="EZ344" s="137">
        <f>ROUND(I344*H344,2)</f>
        <v>3315.25</v>
      </c>
      <c r="FA344" s="16" t="s">
        <v>95</v>
      </c>
      <c r="FB344" s="136" t="s">
        <v>673</v>
      </c>
    </row>
    <row r="345" spans="2:158" s="1" customFormat="1" ht="19.5" x14ac:dyDescent="0.2">
      <c r="B345" s="31"/>
      <c r="D345" s="138" t="s">
        <v>289</v>
      </c>
      <c r="F345" s="139" t="s">
        <v>672</v>
      </c>
      <c r="I345" s="140"/>
      <c r="L345" s="31"/>
      <c r="N345" s="213"/>
      <c r="O345" s="214"/>
      <c r="Q345" s="229"/>
      <c r="DB345" s="141"/>
      <c r="DI345" s="50"/>
      <c r="EI345" s="16" t="s">
        <v>289</v>
      </c>
      <c r="EJ345" s="16" t="s">
        <v>83</v>
      </c>
    </row>
    <row r="346" spans="2:158" s="10" customFormat="1" ht="22.9" customHeight="1" x14ac:dyDescent="0.2">
      <c r="B346" s="112"/>
      <c r="D346" s="113" t="s">
        <v>73</v>
      </c>
      <c r="E346" s="122" t="s">
        <v>335</v>
      </c>
      <c r="F346" s="122" t="s">
        <v>674</v>
      </c>
      <c r="I346" s="115"/>
      <c r="J346" s="123">
        <f>EZ346</f>
        <v>7766.82</v>
      </c>
      <c r="L346" s="112"/>
      <c r="M346" s="270">
        <f>M347+M352</f>
        <v>0</v>
      </c>
      <c r="N346" s="301"/>
      <c r="O346" s="302">
        <f t="shared" ref="O346:V346" si="4">O347+O352</f>
        <v>0</v>
      </c>
      <c r="P346" s="270"/>
      <c r="Q346" s="288">
        <f t="shared" si="4"/>
        <v>7766.82</v>
      </c>
      <c r="R346" s="270"/>
      <c r="S346" s="270"/>
      <c r="T346" s="270">
        <f t="shared" si="4"/>
        <v>0</v>
      </c>
      <c r="U346" s="270"/>
      <c r="V346" s="270">
        <f t="shared" si="4"/>
        <v>7766.82</v>
      </c>
      <c r="DB346" s="117"/>
      <c r="DE346" s="118">
        <f>SUM(DE347:DE356)</f>
        <v>0</v>
      </c>
      <c r="DG346" s="118">
        <f>SUM(DG347:DG356)</f>
        <v>7.2000000000000005E-4</v>
      </c>
      <c r="DI346" s="119">
        <f>SUM(DI347:DI356)</f>
        <v>0</v>
      </c>
      <c r="EG346" s="113" t="s">
        <v>81</v>
      </c>
      <c r="EI346" s="120" t="s">
        <v>73</v>
      </c>
      <c r="EJ346" s="120" t="s">
        <v>81</v>
      </c>
      <c r="EN346" s="113" t="s">
        <v>282</v>
      </c>
      <c r="EZ346" s="121">
        <f>SUM(EZ347:EZ356)</f>
        <v>7766.82</v>
      </c>
    </row>
    <row r="347" spans="2:158" s="1" customFormat="1" ht="24.2" customHeight="1" x14ac:dyDescent="0.2">
      <c r="B347" s="124"/>
      <c r="C347" s="125" t="s">
        <v>622</v>
      </c>
      <c r="D347" s="125" t="s">
        <v>284</v>
      </c>
      <c r="E347" s="126" t="s">
        <v>682</v>
      </c>
      <c r="F347" s="127" t="s">
        <v>683</v>
      </c>
      <c r="G347" s="128" t="s">
        <v>344</v>
      </c>
      <c r="H347" s="129">
        <v>8</v>
      </c>
      <c r="I347" s="130">
        <v>118.35908321829292</v>
      </c>
      <c r="J347" s="131">
        <f>ROUND(I347*H347,2)</f>
        <v>946.87</v>
      </c>
      <c r="K347" s="127" t="s">
        <v>293</v>
      </c>
      <c r="L347" s="268">
        <f>S347</f>
        <v>0</v>
      </c>
      <c r="M347" s="272">
        <f>ROUND(L347*I347,2)</f>
        <v>0</v>
      </c>
      <c r="N347" s="243"/>
      <c r="O347" s="294">
        <f>ROUND(N347*I347,2)</f>
        <v>0</v>
      </c>
      <c r="P347" s="273">
        <f>H347-L347-N347</f>
        <v>8</v>
      </c>
      <c r="Q347" s="287">
        <f>ROUND(P347*I347,2)</f>
        <v>946.87</v>
      </c>
      <c r="R347" s="137"/>
      <c r="S347" s="269">
        <f>W347+Y347+AA347+AC347+AE347</f>
        <v>0</v>
      </c>
      <c r="T347" s="269">
        <f>ROUND(S347*I347,2)</f>
        <v>0</v>
      </c>
      <c r="U347" s="269">
        <f>H347-S347</f>
        <v>8</v>
      </c>
      <c r="V347" s="269">
        <f>ROUND(U347*I347,2)</f>
        <v>946.87</v>
      </c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DB347" s="132" t="s">
        <v>1</v>
      </c>
      <c r="DC347" s="133" t="s">
        <v>40</v>
      </c>
      <c r="DE347" s="134">
        <f>DD347*H347</f>
        <v>0</v>
      </c>
      <c r="DF347" s="134">
        <v>9.0000000000000006E-5</v>
      </c>
      <c r="DG347" s="134">
        <f>DF347*H347</f>
        <v>7.2000000000000005E-4</v>
      </c>
      <c r="DH347" s="134">
        <v>0</v>
      </c>
      <c r="DI347" s="135">
        <f>DH347*H347</f>
        <v>0</v>
      </c>
      <c r="EG347" s="136" t="s">
        <v>95</v>
      </c>
      <c r="EI347" s="136" t="s">
        <v>284</v>
      </c>
      <c r="EJ347" s="136" t="s">
        <v>83</v>
      </c>
      <c r="EN347" s="16" t="s">
        <v>282</v>
      </c>
      <c r="ET347" s="137">
        <f>IF(DC347="základní",J347,0)</f>
        <v>946.87</v>
      </c>
      <c r="EU347" s="137">
        <f>IF(DC347="snížená",J347,0)</f>
        <v>0</v>
      </c>
      <c r="EV347" s="137">
        <f>IF(DC347="zákl. přenesená",J347,0)</f>
        <v>0</v>
      </c>
      <c r="EW347" s="137">
        <f>IF(DC347="sníž. přenesená",J347,0)</f>
        <v>0</v>
      </c>
      <c r="EX347" s="137">
        <f>IF(DC347="nulová",J347,0)</f>
        <v>0</v>
      </c>
      <c r="EY347" s="16" t="s">
        <v>81</v>
      </c>
      <c r="EZ347" s="137">
        <f>ROUND(I347*H347,2)</f>
        <v>946.87</v>
      </c>
      <c r="FA347" s="16" t="s">
        <v>95</v>
      </c>
      <c r="FB347" s="136" t="s">
        <v>684</v>
      </c>
    </row>
    <row r="348" spans="2:158" s="1" customFormat="1" ht="39" x14ac:dyDescent="0.2">
      <c r="B348" s="31"/>
      <c r="D348" s="138" t="s">
        <v>289</v>
      </c>
      <c r="F348" s="139" t="s">
        <v>685</v>
      </c>
      <c r="I348" s="140"/>
      <c r="L348" s="31"/>
      <c r="N348" s="213"/>
      <c r="O348" s="214"/>
      <c r="Q348" s="229"/>
      <c r="DB348" s="141"/>
      <c r="DI348" s="50"/>
      <c r="EI348" s="16" t="s">
        <v>289</v>
      </c>
      <c r="EJ348" s="16" t="s">
        <v>83</v>
      </c>
    </row>
    <row r="349" spans="2:158" s="1" customFormat="1" ht="19.5" x14ac:dyDescent="0.2">
      <c r="B349" s="31"/>
      <c r="D349" s="138" t="s">
        <v>299</v>
      </c>
      <c r="F349" s="142" t="s">
        <v>317</v>
      </c>
      <c r="I349" s="140"/>
      <c r="L349" s="31"/>
      <c r="N349" s="213"/>
      <c r="O349" s="214"/>
      <c r="Q349" s="229"/>
      <c r="DB349" s="141"/>
      <c r="DI349" s="50"/>
      <c r="EI349" s="16" t="s">
        <v>299</v>
      </c>
      <c r="EJ349" s="16" t="s">
        <v>83</v>
      </c>
    </row>
    <row r="350" spans="2:158" s="11" customFormat="1" x14ac:dyDescent="0.2">
      <c r="B350" s="143"/>
      <c r="D350" s="138" t="s">
        <v>301</v>
      </c>
      <c r="E350" s="144" t="s">
        <v>1</v>
      </c>
      <c r="F350" s="145" t="s">
        <v>686</v>
      </c>
      <c r="H350" s="144" t="s">
        <v>1</v>
      </c>
      <c r="I350" s="146"/>
      <c r="L350" s="143"/>
      <c r="N350" s="215"/>
      <c r="O350" s="216"/>
      <c r="Q350" s="230"/>
      <c r="DB350" s="147"/>
      <c r="DI350" s="148"/>
      <c r="EI350" s="144" t="s">
        <v>301</v>
      </c>
      <c r="EJ350" s="144" t="s">
        <v>83</v>
      </c>
      <c r="EK350" s="11" t="s">
        <v>81</v>
      </c>
      <c r="EL350" s="11" t="s">
        <v>32</v>
      </c>
      <c r="EM350" s="11" t="s">
        <v>74</v>
      </c>
      <c r="EN350" s="144" t="s">
        <v>282</v>
      </c>
    </row>
    <row r="351" spans="2:158" s="12" customFormat="1" x14ac:dyDescent="0.2">
      <c r="B351" s="149"/>
      <c r="D351" s="138" t="s">
        <v>301</v>
      </c>
      <c r="E351" s="150" t="s">
        <v>1</v>
      </c>
      <c r="F351" s="151" t="s">
        <v>1420</v>
      </c>
      <c r="H351" s="152">
        <v>8</v>
      </c>
      <c r="I351" s="153"/>
      <c r="L351" s="149"/>
      <c r="N351" s="217"/>
      <c r="O351" s="218"/>
      <c r="Q351" s="231"/>
      <c r="DB351" s="154"/>
      <c r="DI351" s="155"/>
      <c r="EI351" s="150" t="s">
        <v>301</v>
      </c>
      <c r="EJ351" s="150" t="s">
        <v>83</v>
      </c>
      <c r="EK351" s="12" t="s">
        <v>83</v>
      </c>
      <c r="EL351" s="12" t="s">
        <v>32</v>
      </c>
      <c r="EM351" s="12" t="s">
        <v>81</v>
      </c>
      <c r="EN351" s="150" t="s">
        <v>282</v>
      </c>
    </row>
    <row r="352" spans="2:158" s="1" customFormat="1" ht="14.45" customHeight="1" x14ac:dyDescent="0.2">
      <c r="B352" s="124"/>
      <c r="C352" s="125" t="s">
        <v>627</v>
      </c>
      <c r="D352" s="125" t="s">
        <v>284</v>
      </c>
      <c r="E352" s="126" t="s">
        <v>689</v>
      </c>
      <c r="F352" s="127" t="s">
        <v>690</v>
      </c>
      <c r="G352" s="128" t="s">
        <v>315</v>
      </c>
      <c r="H352" s="129">
        <v>4</v>
      </c>
      <c r="I352" s="130">
        <v>1704.9882600000001</v>
      </c>
      <c r="J352" s="131">
        <f>ROUND(I352*H352,2)</f>
        <v>6819.95</v>
      </c>
      <c r="K352" s="127" t="s">
        <v>1</v>
      </c>
      <c r="L352" s="268">
        <f>S352</f>
        <v>0</v>
      </c>
      <c r="M352" s="272">
        <f>ROUND(L352*I352,2)</f>
        <v>0</v>
      </c>
      <c r="N352" s="243"/>
      <c r="O352" s="294">
        <f>ROUND(N352*I352,2)</f>
        <v>0</v>
      </c>
      <c r="P352" s="273">
        <f>H352-L352-N352</f>
        <v>4</v>
      </c>
      <c r="Q352" s="287">
        <f>ROUND(P352*I352,2)</f>
        <v>6819.95</v>
      </c>
      <c r="R352" s="137"/>
      <c r="S352" s="269">
        <f>W352+Y352+AA352+AC352+AE352</f>
        <v>0</v>
      </c>
      <c r="T352" s="269">
        <f>ROUND(S352*I352,2)</f>
        <v>0</v>
      </c>
      <c r="U352" s="269">
        <f>H352-S352</f>
        <v>4</v>
      </c>
      <c r="V352" s="269">
        <f>ROUND(U352*I352,2)</f>
        <v>6819.95</v>
      </c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DB352" s="132" t="s">
        <v>1</v>
      </c>
      <c r="DC352" s="133" t="s">
        <v>40</v>
      </c>
      <c r="DE352" s="134">
        <f>DD352*H352</f>
        <v>0</v>
      </c>
      <c r="DF352" s="134">
        <v>0</v>
      </c>
      <c r="DG352" s="134">
        <f>DF352*H352</f>
        <v>0</v>
      </c>
      <c r="DH352" s="134">
        <v>0</v>
      </c>
      <c r="DI352" s="135">
        <f>DH352*H352</f>
        <v>0</v>
      </c>
      <c r="EG352" s="136" t="s">
        <v>95</v>
      </c>
      <c r="EI352" s="136" t="s">
        <v>284</v>
      </c>
      <c r="EJ352" s="136" t="s">
        <v>83</v>
      </c>
      <c r="EN352" s="16" t="s">
        <v>282</v>
      </c>
      <c r="ET352" s="137">
        <f>IF(DC352="základní",J352,0)</f>
        <v>6819.95</v>
      </c>
      <c r="EU352" s="137">
        <f>IF(DC352="snížená",J352,0)</f>
        <v>0</v>
      </c>
      <c r="EV352" s="137">
        <f>IF(DC352="zákl. přenesená",J352,0)</f>
        <v>0</v>
      </c>
      <c r="EW352" s="137">
        <f>IF(DC352="sníž. přenesená",J352,0)</f>
        <v>0</v>
      </c>
      <c r="EX352" s="137">
        <f>IF(DC352="nulová",J352,0)</f>
        <v>0</v>
      </c>
      <c r="EY352" s="16" t="s">
        <v>81</v>
      </c>
      <c r="EZ352" s="137">
        <f>ROUND(I352*H352,2)</f>
        <v>6819.95</v>
      </c>
      <c r="FA352" s="16" t="s">
        <v>95</v>
      </c>
      <c r="FB352" s="136" t="s">
        <v>691</v>
      </c>
    </row>
    <row r="353" spans="2:158" s="1" customFormat="1" ht="48.75" x14ac:dyDescent="0.2">
      <c r="B353" s="31"/>
      <c r="D353" s="138" t="s">
        <v>289</v>
      </c>
      <c r="F353" s="139" t="s">
        <v>692</v>
      </c>
      <c r="I353" s="140"/>
      <c r="L353" s="31"/>
      <c r="N353" s="213"/>
      <c r="O353" s="214"/>
      <c r="Q353" s="229"/>
      <c r="DB353" s="141"/>
      <c r="DI353" s="50"/>
      <c r="EI353" s="16" t="s">
        <v>289</v>
      </c>
      <c r="EJ353" s="16" t="s">
        <v>83</v>
      </c>
    </row>
    <row r="354" spans="2:158" s="1" customFormat="1" ht="19.5" x14ac:dyDescent="0.2">
      <c r="B354" s="31"/>
      <c r="D354" s="138" t="s">
        <v>299</v>
      </c>
      <c r="F354" s="142" t="s">
        <v>693</v>
      </c>
      <c r="I354" s="140"/>
      <c r="L354" s="31"/>
      <c r="N354" s="213"/>
      <c r="O354" s="214"/>
      <c r="Q354" s="229"/>
      <c r="DB354" s="141"/>
      <c r="DI354" s="50"/>
      <c r="EI354" s="16" t="s">
        <v>299</v>
      </c>
      <c r="EJ354" s="16" t="s">
        <v>83</v>
      </c>
    </row>
    <row r="355" spans="2:158" s="11" customFormat="1" x14ac:dyDescent="0.2">
      <c r="B355" s="143"/>
      <c r="D355" s="138" t="s">
        <v>301</v>
      </c>
      <c r="E355" s="144" t="s">
        <v>1</v>
      </c>
      <c r="F355" s="145" t="s">
        <v>694</v>
      </c>
      <c r="H355" s="144" t="s">
        <v>1</v>
      </c>
      <c r="I355" s="146"/>
      <c r="L355" s="143"/>
      <c r="N355" s="215"/>
      <c r="O355" s="216"/>
      <c r="Q355" s="230"/>
      <c r="DB355" s="147"/>
      <c r="DI355" s="148"/>
      <c r="EI355" s="144" t="s">
        <v>301</v>
      </c>
      <c r="EJ355" s="144" t="s">
        <v>83</v>
      </c>
      <c r="EK355" s="11" t="s">
        <v>81</v>
      </c>
      <c r="EL355" s="11" t="s">
        <v>32</v>
      </c>
      <c r="EM355" s="11" t="s">
        <v>74</v>
      </c>
      <c r="EN355" s="144" t="s">
        <v>282</v>
      </c>
    </row>
    <row r="356" spans="2:158" s="12" customFormat="1" x14ac:dyDescent="0.2">
      <c r="B356" s="149"/>
      <c r="D356" s="138" t="s">
        <v>301</v>
      </c>
      <c r="E356" s="150" t="s">
        <v>1</v>
      </c>
      <c r="F356" s="151" t="s">
        <v>95</v>
      </c>
      <c r="H356" s="152">
        <v>4</v>
      </c>
      <c r="I356" s="153"/>
      <c r="L356" s="149"/>
      <c r="N356" s="217"/>
      <c r="O356" s="218"/>
      <c r="Q356" s="231"/>
      <c r="DB356" s="154"/>
      <c r="DI356" s="155"/>
      <c r="EI356" s="150" t="s">
        <v>301</v>
      </c>
      <c r="EJ356" s="150" t="s">
        <v>83</v>
      </c>
      <c r="EK356" s="12" t="s">
        <v>83</v>
      </c>
      <c r="EL356" s="12" t="s">
        <v>32</v>
      </c>
      <c r="EM356" s="12" t="s">
        <v>81</v>
      </c>
      <c r="EN356" s="150" t="s">
        <v>282</v>
      </c>
    </row>
    <row r="357" spans="2:158" s="10" customFormat="1" ht="22.9" customHeight="1" x14ac:dyDescent="0.2">
      <c r="B357" s="112"/>
      <c r="D357" s="113" t="s">
        <v>73</v>
      </c>
      <c r="E357" s="122" t="s">
        <v>695</v>
      </c>
      <c r="F357" s="122" t="s">
        <v>696</v>
      </c>
      <c r="I357" s="115"/>
      <c r="J357" s="123">
        <f>EZ357</f>
        <v>79930.59</v>
      </c>
      <c r="L357" s="112"/>
      <c r="M357" s="270">
        <f>SUM(M358:M374)</f>
        <v>0</v>
      </c>
      <c r="N357" s="301"/>
      <c r="O357" s="302">
        <f t="shared" ref="O357:V357" si="5">SUM(O358:O374)</f>
        <v>11829.71</v>
      </c>
      <c r="P357" s="270"/>
      <c r="Q357" s="288">
        <f t="shared" si="5"/>
        <v>68100.86</v>
      </c>
      <c r="R357" s="270"/>
      <c r="S357" s="270"/>
      <c r="T357" s="270">
        <f t="shared" si="5"/>
        <v>0</v>
      </c>
      <c r="U357" s="270"/>
      <c r="V357" s="270">
        <f t="shared" si="5"/>
        <v>79930.59</v>
      </c>
      <c r="DB357" s="117"/>
      <c r="DE357" s="118">
        <f>SUM(DE358:DE376)</f>
        <v>0</v>
      </c>
      <c r="DG357" s="118">
        <f>SUM(DG358:DG376)</f>
        <v>0</v>
      </c>
      <c r="DI357" s="119">
        <f>SUM(DI358:DI376)</f>
        <v>0</v>
      </c>
      <c r="EG357" s="113" t="s">
        <v>81</v>
      </c>
      <c r="EI357" s="120" t="s">
        <v>73</v>
      </c>
      <c r="EJ357" s="120" t="s">
        <v>81</v>
      </c>
      <c r="EN357" s="113" t="s">
        <v>282</v>
      </c>
      <c r="EZ357" s="121">
        <f>SUM(EZ358:EZ376)</f>
        <v>79930.59</v>
      </c>
    </row>
    <row r="358" spans="2:158" s="1" customFormat="1" ht="14.45" customHeight="1" x14ac:dyDescent="0.2">
      <c r="B358" s="124"/>
      <c r="C358" s="125" t="s">
        <v>631</v>
      </c>
      <c r="D358" s="125" t="s">
        <v>284</v>
      </c>
      <c r="E358" s="126" t="s">
        <v>698</v>
      </c>
      <c r="F358" s="127" t="s">
        <v>699</v>
      </c>
      <c r="G358" s="128" t="s">
        <v>418</v>
      </c>
      <c r="H358" s="129">
        <v>203.80799999999999</v>
      </c>
      <c r="I358" s="130">
        <v>40.477390926043419</v>
      </c>
      <c r="J358" s="131">
        <f>ROUND(I358*H358,2)</f>
        <v>8249.6200000000008</v>
      </c>
      <c r="K358" s="127" t="s">
        <v>293</v>
      </c>
      <c r="L358" s="268">
        <f>S358</f>
        <v>0</v>
      </c>
      <c r="M358" s="272">
        <f>ROUND(L358*I358,2)</f>
        <v>0</v>
      </c>
      <c r="N358" s="243">
        <f>N360</f>
        <v>30.163583999999986</v>
      </c>
      <c r="O358" s="294">
        <f>ROUND(N358*I358,2)</f>
        <v>1220.94</v>
      </c>
      <c r="P358" s="273">
        <f>H358-L358-N358</f>
        <v>173.64441600000001</v>
      </c>
      <c r="Q358" s="287">
        <f>ROUND(P358*I358,2)</f>
        <v>7028.67</v>
      </c>
      <c r="R358" s="137"/>
      <c r="S358" s="269">
        <f>W358+Y358+AA358+AC358+AE358</f>
        <v>0</v>
      </c>
      <c r="T358" s="269">
        <f>ROUND(S358*I358,2)</f>
        <v>0</v>
      </c>
      <c r="U358" s="269">
        <f>H358-S358</f>
        <v>203.80799999999999</v>
      </c>
      <c r="V358" s="269">
        <f>ROUND(U358*I358,2)</f>
        <v>8249.6200000000008</v>
      </c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DB358" s="132" t="s">
        <v>1</v>
      </c>
      <c r="DC358" s="133" t="s">
        <v>40</v>
      </c>
      <c r="DE358" s="134">
        <f>DD358*H358</f>
        <v>0</v>
      </c>
      <c r="DF358" s="134">
        <v>0</v>
      </c>
      <c r="DG358" s="134">
        <f>DF358*H358</f>
        <v>0</v>
      </c>
      <c r="DH358" s="134">
        <v>0</v>
      </c>
      <c r="DI358" s="135">
        <f>DH358*H358</f>
        <v>0</v>
      </c>
      <c r="EG358" s="136" t="s">
        <v>95</v>
      </c>
      <c r="EI358" s="136" t="s">
        <v>284</v>
      </c>
      <c r="EJ358" s="136" t="s">
        <v>83</v>
      </c>
      <c r="EN358" s="16" t="s">
        <v>282</v>
      </c>
      <c r="ET358" s="137">
        <f>IF(DC358="základní",J358,0)</f>
        <v>8249.6200000000008</v>
      </c>
      <c r="EU358" s="137">
        <f>IF(DC358="snížená",J358,0)</f>
        <v>0</v>
      </c>
      <c r="EV358" s="137">
        <f>IF(DC358="zákl. přenesená",J358,0)</f>
        <v>0</v>
      </c>
      <c r="EW358" s="137">
        <f>IF(DC358="sníž. přenesená",J358,0)</f>
        <v>0</v>
      </c>
      <c r="EX358" s="137">
        <f>IF(DC358="nulová",J358,0)</f>
        <v>0</v>
      </c>
      <c r="EY358" s="16" t="s">
        <v>81</v>
      </c>
      <c r="EZ358" s="137">
        <f>ROUND(I358*H358,2)</f>
        <v>8249.6200000000008</v>
      </c>
      <c r="FA358" s="16" t="s">
        <v>95</v>
      </c>
      <c r="FB358" s="136" t="s">
        <v>700</v>
      </c>
    </row>
    <row r="359" spans="2:158" s="1" customFormat="1" ht="19.5" x14ac:dyDescent="0.2">
      <c r="B359" s="31"/>
      <c r="D359" s="138" t="s">
        <v>289</v>
      </c>
      <c r="F359" s="139" t="s">
        <v>701</v>
      </c>
      <c r="I359" s="140"/>
      <c r="L359" s="31"/>
      <c r="N359" s="213">
        <f>1.148*203.808</f>
        <v>233.97158399999998</v>
      </c>
      <c r="O359" s="214" t="s">
        <v>3923</v>
      </c>
      <c r="Q359" s="229"/>
      <c r="DB359" s="141"/>
      <c r="DI359" s="50"/>
      <c r="EI359" s="16" t="s">
        <v>289</v>
      </c>
      <c r="EJ359" s="16" t="s">
        <v>83</v>
      </c>
    </row>
    <row r="360" spans="2:158" s="12" customFormat="1" x14ac:dyDescent="0.2">
      <c r="B360" s="149"/>
      <c r="D360" s="138" t="s">
        <v>301</v>
      </c>
      <c r="E360" s="150" t="s">
        <v>1</v>
      </c>
      <c r="F360" s="151" t="s">
        <v>1606</v>
      </c>
      <c r="H360" s="152">
        <v>143.39400000000001</v>
      </c>
      <c r="I360" s="153"/>
      <c r="L360" s="149"/>
      <c r="N360" s="310">
        <f>N359-H362</f>
        <v>30.163583999999986</v>
      </c>
      <c r="O360" s="218"/>
      <c r="Q360" s="231"/>
      <c r="DB360" s="154"/>
      <c r="DI360" s="155"/>
      <c r="EI360" s="150" t="s">
        <v>301</v>
      </c>
      <c r="EJ360" s="150" t="s">
        <v>83</v>
      </c>
      <c r="EK360" s="12" t="s">
        <v>83</v>
      </c>
      <c r="EL360" s="12" t="s">
        <v>32</v>
      </c>
      <c r="EM360" s="12" t="s">
        <v>74</v>
      </c>
      <c r="EN360" s="150" t="s">
        <v>282</v>
      </c>
    </row>
    <row r="361" spans="2:158" s="12" customFormat="1" x14ac:dyDescent="0.2">
      <c r="B361" s="149"/>
      <c r="D361" s="138" t="s">
        <v>301</v>
      </c>
      <c r="E361" s="150" t="s">
        <v>1</v>
      </c>
      <c r="F361" s="151" t="s">
        <v>1607</v>
      </c>
      <c r="H361" s="152">
        <v>60.414000000000001</v>
      </c>
      <c r="I361" s="153"/>
      <c r="L361" s="149"/>
      <c r="N361" s="217"/>
      <c r="O361" s="218"/>
      <c r="Q361" s="231"/>
      <c r="DB361" s="154"/>
      <c r="DI361" s="155"/>
      <c r="EI361" s="150" t="s">
        <v>301</v>
      </c>
      <c r="EJ361" s="150" t="s">
        <v>83</v>
      </c>
      <c r="EK361" s="12" t="s">
        <v>83</v>
      </c>
      <c r="EL361" s="12" t="s">
        <v>32</v>
      </c>
      <c r="EM361" s="12" t="s">
        <v>74</v>
      </c>
      <c r="EN361" s="150" t="s">
        <v>282</v>
      </c>
    </row>
    <row r="362" spans="2:158" s="13" customFormat="1" x14ac:dyDescent="0.2">
      <c r="B362" s="156"/>
      <c r="D362" s="138" t="s">
        <v>301</v>
      </c>
      <c r="E362" s="157" t="s">
        <v>1</v>
      </c>
      <c r="F362" s="158" t="s">
        <v>305</v>
      </c>
      <c r="H362" s="159">
        <v>203.80799999999999</v>
      </c>
      <c r="I362" s="160"/>
      <c r="L362" s="156"/>
      <c r="N362" s="219"/>
      <c r="O362" s="220"/>
      <c r="Q362" s="232"/>
      <c r="DB362" s="161"/>
      <c r="DI362" s="162"/>
      <c r="EI362" s="157" t="s">
        <v>301</v>
      </c>
      <c r="EJ362" s="157" t="s">
        <v>83</v>
      </c>
      <c r="EK362" s="13" t="s">
        <v>95</v>
      </c>
      <c r="EL362" s="13" t="s">
        <v>32</v>
      </c>
      <c r="EM362" s="13" t="s">
        <v>81</v>
      </c>
      <c r="EN362" s="157" t="s">
        <v>282</v>
      </c>
    </row>
    <row r="363" spans="2:158" s="1" customFormat="1" ht="24.2" customHeight="1" x14ac:dyDescent="0.2">
      <c r="B363" s="124"/>
      <c r="C363" s="125" t="s">
        <v>635</v>
      </c>
      <c r="D363" s="125" t="s">
        <v>284</v>
      </c>
      <c r="E363" s="126" t="s">
        <v>705</v>
      </c>
      <c r="F363" s="127" t="s">
        <v>706</v>
      </c>
      <c r="G363" s="128" t="s">
        <v>418</v>
      </c>
      <c r="H363" s="129">
        <v>2853.3119999999999</v>
      </c>
      <c r="I363" s="130">
        <v>3.1192340975392101</v>
      </c>
      <c r="J363" s="131">
        <f>ROUND(I363*H363,2)</f>
        <v>8900.15</v>
      </c>
      <c r="K363" s="127" t="s">
        <v>293</v>
      </c>
      <c r="L363" s="268">
        <f>S363</f>
        <v>0</v>
      </c>
      <c r="M363" s="272">
        <f>ROUND(L363*I363,2)</f>
        <v>0</v>
      </c>
      <c r="N363" s="243">
        <f>N365</f>
        <v>422.29017599999952</v>
      </c>
      <c r="O363" s="294">
        <f>ROUND(N363*I363,2)</f>
        <v>1317.22</v>
      </c>
      <c r="P363" s="273">
        <f>H363-L363-N363</f>
        <v>2431.0218240000004</v>
      </c>
      <c r="Q363" s="287">
        <f>ROUND(P363*I363,2)</f>
        <v>7582.93</v>
      </c>
      <c r="R363" s="137"/>
      <c r="S363" s="269">
        <f>W363+Y363+AA363+AC363+AE363</f>
        <v>0</v>
      </c>
      <c r="T363" s="269">
        <f>ROUND(S363*I363,2)</f>
        <v>0</v>
      </c>
      <c r="U363" s="269">
        <f>H363-S363</f>
        <v>2853.3119999999999</v>
      </c>
      <c r="V363" s="269">
        <f>ROUND(U363*I363,2)</f>
        <v>8900.15</v>
      </c>
      <c r="W363" s="269"/>
      <c r="X363" s="269"/>
      <c r="Y363" s="269"/>
      <c r="Z363" s="269"/>
      <c r="AA363" s="269"/>
      <c r="AB363" s="269"/>
      <c r="AC363" s="269"/>
      <c r="AD363" s="269"/>
      <c r="AE363" s="269"/>
      <c r="AF363" s="269"/>
      <c r="DB363" s="132" t="s">
        <v>1</v>
      </c>
      <c r="DC363" s="133" t="s">
        <v>40</v>
      </c>
      <c r="DE363" s="134">
        <f>DD363*H363</f>
        <v>0</v>
      </c>
      <c r="DF363" s="134">
        <v>0</v>
      </c>
      <c r="DG363" s="134">
        <f>DF363*H363</f>
        <v>0</v>
      </c>
      <c r="DH363" s="134">
        <v>0</v>
      </c>
      <c r="DI363" s="135">
        <f>DH363*H363</f>
        <v>0</v>
      </c>
      <c r="EG363" s="136" t="s">
        <v>95</v>
      </c>
      <c r="EI363" s="136" t="s">
        <v>284</v>
      </c>
      <c r="EJ363" s="136" t="s">
        <v>83</v>
      </c>
      <c r="EN363" s="16" t="s">
        <v>282</v>
      </c>
      <c r="ET363" s="137">
        <f>IF(DC363="základní",J363,0)</f>
        <v>8900.15</v>
      </c>
      <c r="EU363" s="137">
        <f>IF(DC363="snížená",J363,0)</f>
        <v>0</v>
      </c>
      <c r="EV363" s="137">
        <f>IF(DC363="zákl. přenesená",J363,0)</f>
        <v>0</v>
      </c>
      <c r="EW363" s="137">
        <f>IF(DC363="sníž. přenesená",J363,0)</f>
        <v>0</v>
      </c>
      <c r="EX363" s="137">
        <f>IF(DC363="nulová",J363,0)</f>
        <v>0</v>
      </c>
      <c r="EY363" s="16" t="s">
        <v>81</v>
      </c>
      <c r="EZ363" s="137">
        <f>ROUND(I363*H363,2)</f>
        <v>8900.15</v>
      </c>
      <c r="FA363" s="16" t="s">
        <v>95</v>
      </c>
      <c r="FB363" s="136" t="s">
        <v>707</v>
      </c>
    </row>
    <row r="364" spans="2:158" s="1" customFormat="1" ht="29.25" x14ac:dyDescent="0.2">
      <c r="B364" s="31"/>
      <c r="D364" s="138" t="s">
        <v>289</v>
      </c>
      <c r="F364" s="139" t="s">
        <v>708</v>
      </c>
      <c r="I364" s="140"/>
      <c r="L364" s="31"/>
      <c r="N364" s="213">
        <f>1.148*2853.312</f>
        <v>3275.6021759999994</v>
      </c>
      <c r="O364" s="214" t="s">
        <v>3924</v>
      </c>
      <c r="Q364" s="229"/>
      <c r="DB364" s="141"/>
      <c r="DI364" s="50"/>
      <c r="EI364" s="16" t="s">
        <v>289</v>
      </c>
      <c r="EJ364" s="16" t="s">
        <v>83</v>
      </c>
    </row>
    <row r="365" spans="2:158" s="12" customFormat="1" x14ac:dyDescent="0.2">
      <c r="B365" s="149"/>
      <c r="D365" s="138" t="s">
        <v>301</v>
      </c>
      <c r="E365" s="150" t="s">
        <v>1</v>
      </c>
      <c r="F365" s="151" t="s">
        <v>1606</v>
      </c>
      <c r="H365" s="152">
        <v>143.39400000000001</v>
      </c>
      <c r="I365" s="153"/>
      <c r="L365" s="149"/>
      <c r="N365" s="310">
        <f>N364-H368</f>
        <v>422.29017599999952</v>
      </c>
      <c r="O365" s="218"/>
      <c r="Q365" s="231"/>
      <c r="DB365" s="154"/>
      <c r="DI365" s="155"/>
      <c r="EI365" s="150" t="s">
        <v>301</v>
      </c>
      <c r="EJ365" s="150" t="s">
        <v>83</v>
      </c>
      <c r="EK365" s="12" t="s">
        <v>83</v>
      </c>
      <c r="EL365" s="12" t="s">
        <v>32</v>
      </c>
      <c r="EM365" s="12" t="s">
        <v>74</v>
      </c>
      <c r="EN365" s="150" t="s">
        <v>282</v>
      </c>
    </row>
    <row r="366" spans="2:158" s="12" customFormat="1" x14ac:dyDescent="0.2">
      <c r="B366" s="149"/>
      <c r="D366" s="138" t="s">
        <v>301</v>
      </c>
      <c r="E366" s="150" t="s">
        <v>1</v>
      </c>
      <c r="F366" s="151" t="s">
        <v>1607</v>
      </c>
      <c r="H366" s="152">
        <v>60.414000000000001</v>
      </c>
      <c r="I366" s="153"/>
      <c r="L366" s="149"/>
      <c r="N366" s="217"/>
      <c r="O366" s="218"/>
      <c r="Q366" s="231"/>
      <c r="DB366" s="154"/>
      <c r="DI366" s="155"/>
      <c r="EI366" s="150" t="s">
        <v>301</v>
      </c>
      <c r="EJ366" s="150" t="s">
        <v>83</v>
      </c>
      <c r="EK366" s="12" t="s">
        <v>83</v>
      </c>
      <c r="EL366" s="12" t="s">
        <v>32</v>
      </c>
      <c r="EM366" s="12" t="s">
        <v>74</v>
      </c>
      <c r="EN366" s="150" t="s">
        <v>282</v>
      </c>
    </row>
    <row r="367" spans="2:158" s="13" customFormat="1" x14ac:dyDescent="0.2">
      <c r="B367" s="156"/>
      <c r="D367" s="138" t="s">
        <v>301</v>
      </c>
      <c r="E367" s="157" t="s">
        <v>1</v>
      </c>
      <c r="F367" s="158" t="s">
        <v>305</v>
      </c>
      <c r="H367" s="159">
        <v>203.80799999999999</v>
      </c>
      <c r="I367" s="160"/>
      <c r="L367" s="156"/>
      <c r="N367" s="219"/>
      <c r="O367" s="220"/>
      <c r="Q367" s="232"/>
      <c r="DB367" s="161"/>
      <c r="DI367" s="162"/>
      <c r="EI367" s="157" t="s">
        <v>301</v>
      </c>
      <c r="EJ367" s="157" t="s">
        <v>83</v>
      </c>
      <c r="EK367" s="13" t="s">
        <v>95</v>
      </c>
      <c r="EL367" s="13" t="s">
        <v>32</v>
      </c>
      <c r="EM367" s="13" t="s">
        <v>81</v>
      </c>
      <c r="EN367" s="157" t="s">
        <v>282</v>
      </c>
    </row>
    <row r="368" spans="2:158" s="12" customFormat="1" x14ac:dyDescent="0.2">
      <c r="B368" s="149"/>
      <c r="D368" s="138" t="s">
        <v>301</v>
      </c>
      <c r="F368" s="151" t="s">
        <v>1608</v>
      </c>
      <c r="H368" s="152">
        <v>2853.3119999999999</v>
      </c>
      <c r="I368" s="153"/>
      <c r="L368" s="149"/>
      <c r="N368" s="217"/>
      <c r="O368" s="218"/>
      <c r="Q368" s="231"/>
      <c r="DB368" s="154"/>
      <c r="DI368" s="155"/>
      <c r="EI368" s="150" t="s">
        <v>301</v>
      </c>
      <c r="EJ368" s="150" t="s">
        <v>83</v>
      </c>
      <c r="EK368" s="12" t="s">
        <v>83</v>
      </c>
      <c r="EL368" s="12" t="s">
        <v>3</v>
      </c>
      <c r="EM368" s="12" t="s">
        <v>81</v>
      </c>
      <c r="EN368" s="150" t="s">
        <v>282</v>
      </c>
    </row>
    <row r="369" spans="2:158" s="1" customFormat="1" ht="24.2" customHeight="1" x14ac:dyDescent="0.2">
      <c r="B369" s="124"/>
      <c r="C369" s="125" t="s">
        <v>639</v>
      </c>
      <c r="D369" s="125" t="s">
        <v>284</v>
      </c>
      <c r="E369" s="126" t="s">
        <v>711</v>
      </c>
      <c r="F369" s="127" t="s">
        <v>712</v>
      </c>
      <c r="G369" s="128" t="s">
        <v>418</v>
      </c>
      <c r="H369" s="129">
        <v>203.80799999999999</v>
      </c>
      <c r="I369" s="130">
        <v>155.98322812074767</v>
      </c>
      <c r="J369" s="131">
        <f>ROUND(I369*H369,2)</f>
        <v>31790.63</v>
      </c>
      <c r="K369" s="127" t="s">
        <v>293</v>
      </c>
      <c r="L369" s="268">
        <f>S369</f>
        <v>0</v>
      </c>
      <c r="M369" s="272">
        <f>ROUND(L369*I369,2)</f>
        <v>0</v>
      </c>
      <c r="N369" s="243">
        <f>N358</f>
        <v>30.163583999999986</v>
      </c>
      <c r="O369" s="294">
        <f>ROUND(N369*I369,2)</f>
        <v>4705.01</v>
      </c>
      <c r="P369" s="273">
        <f>H369-L369-N369</f>
        <v>173.64441600000001</v>
      </c>
      <c r="Q369" s="287">
        <f>ROUND(P369*I369,2)</f>
        <v>27085.62</v>
      </c>
      <c r="R369" s="137"/>
      <c r="S369" s="269">
        <f>W369+Y369+AA369+AC369+AE369</f>
        <v>0</v>
      </c>
      <c r="T369" s="269">
        <f>ROUND(S369*I369,2)</f>
        <v>0</v>
      </c>
      <c r="U369" s="269">
        <f>H369-S369</f>
        <v>203.80799999999999</v>
      </c>
      <c r="V369" s="269">
        <f>ROUND(U369*I369,2)</f>
        <v>31790.63</v>
      </c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DB369" s="132" t="s">
        <v>1</v>
      </c>
      <c r="DC369" s="133" t="s">
        <v>40</v>
      </c>
      <c r="DE369" s="134">
        <f>DD369*H369</f>
        <v>0</v>
      </c>
      <c r="DF369" s="134">
        <v>0</v>
      </c>
      <c r="DG369" s="134">
        <f>DF369*H369</f>
        <v>0</v>
      </c>
      <c r="DH369" s="134">
        <v>0</v>
      </c>
      <c r="DI369" s="135">
        <f>DH369*H369</f>
        <v>0</v>
      </c>
      <c r="EG369" s="136" t="s">
        <v>95</v>
      </c>
      <c r="EI369" s="136" t="s">
        <v>284</v>
      </c>
      <c r="EJ369" s="136" t="s">
        <v>83</v>
      </c>
      <c r="EN369" s="16" t="s">
        <v>282</v>
      </c>
      <c r="ET369" s="137">
        <f>IF(DC369="základní",J369,0)</f>
        <v>31790.63</v>
      </c>
      <c r="EU369" s="137">
        <f>IF(DC369="snížená",J369,0)</f>
        <v>0</v>
      </c>
      <c r="EV369" s="137">
        <f>IF(DC369="zákl. přenesená",J369,0)</f>
        <v>0</v>
      </c>
      <c r="EW369" s="137">
        <f>IF(DC369="sníž. přenesená",J369,0)</f>
        <v>0</v>
      </c>
      <c r="EX369" s="137">
        <f>IF(DC369="nulová",J369,0)</f>
        <v>0</v>
      </c>
      <c r="EY369" s="16" t="s">
        <v>81</v>
      </c>
      <c r="EZ369" s="137">
        <f>ROUND(I369*H369,2)</f>
        <v>31790.63</v>
      </c>
      <c r="FA369" s="16" t="s">
        <v>95</v>
      </c>
      <c r="FB369" s="136" t="s">
        <v>713</v>
      </c>
    </row>
    <row r="370" spans="2:158" s="1" customFormat="1" x14ac:dyDescent="0.2">
      <c r="B370" s="31"/>
      <c r="D370" s="138" t="s">
        <v>289</v>
      </c>
      <c r="F370" s="139" t="s">
        <v>714</v>
      </c>
      <c r="I370" s="140"/>
      <c r="L370" s="31"/>
      <c r="N370" s="213"/>
      <c r="O370" s="214"/>
      <c r="Q370" s="229"/>
      <c r="DB370" s="141"/>
      <c r="DI370" s="50"/>
      <c r="EI370" s="16" t="s">
        <v>289</v>
      </c>
      <c r="EJ370" s="16" t="s">
        <v>83</v>
      </c>
    </row>
    <row r="371" spans="2:158" s="1" customFormat="1" ht="37.9" customHeight="1" x14ac:dyDescent="0.2">
      <c r="B371" s="124"/>
      <c r="C371" s="125" t="s">
        <v>643</v>
      </c>
      <c r="D371" s="125" t="s">
        <v>284</v>
      </c>
      <c r="E371" s="126" t="s">
        <v>716</v>
      </c>
      <c r="F371" s="127" t="s">
        <v>420</v>
      </c>
      <c r="G371" s="128" t="s">
        <v>418</v>
      </c>
      <c r="H371" s="129">
        <v>143.39400000000001</v>
      </c>
      <c r="I371" s="130">
        <v>110.6455721</v>
      </c>
      <c r="J371" s="131">
        <f>ROUND(I371*H371,2)</f>
        <v>15865.91</v>
      </c>
      <c r="K371" s="127" t="s">
        <v>293</v>
      </c>
      <c r="L371" s="268">
        <f>S371</f>
        <v>0</v>
      </c>
      <c r="M371" s="272">
        <f>ROUND(L371*I371,2)</f>
        <v>0</v>
      </c>
      <c r="N371" s="243">
        <f>N373</f>
        <v>21.222311999999988</v>
      </c>
      <c r="O371" s="294">
        <f>ROUND(N371*I371,2)</f>
        <v>2348.15</v>
      </c>
      <c r="P371" s="273">
        <f>H371-L371-N371</f>
        <v>122.17168800000002</v>
      </c>
      <c r="Q371" s="287">
        <f>ROUND(P371*I371,2)</f>
        <v>13517.76</v>
      </c>
      <c r="R371" s="137"/>
      <c r="S371" s="269">
        <f>W371+Y371+AA371+AC371+AE371</f>
        <v>0</v>
      </c>
      <c r="T371" s="269">
        <f>ROUND(S371*I371,2)</f>
        <v>0</v>
      </c>
      <c r="U371" s="269">
        <f>H371-S371</f>
        <v>143.39400000000001</v>
      </c>
      <c r="V371" s="269">
        <f>ROUND(U371*I371,2)</f>
        <v>15865.91</v>
      </c>
      <c r="W371" s="269"/>
      <c r="X371" s="269"/>
      <c r="Y371" s="269"/>
      <c r="Z371" s="269"/>
      <c r="AA371" s="269"/>
      <c r="AB371" s="269"/>
      <c r="AC371" s="269"/>
      <c r="AD371" s="269"/>
      <c r="AE371" s="269"/>
      <c r="AF371" s="269"/>
      <c r="DB371" s="132" t="s">
        <v>1</v>
      </c>
      <c r="DC371" s="133" t="s">
        <v>40</v>
      </c>
      <c r="DE371" s="134">
        <f>DD371*H371</f>
        <v>0</v>
      </c>
      <c r="DF371" s="134">
        <v>0</v>
      </c>
      <c r="DG371" s="134">
        <f>DF371*H371</f>
        <v>0</v>
      </c>
      <c r="DH371" s="134">
        <v>0</v>
      </c>
      <c r="DI371" s="135">
        <f>DH371*H371</f>
        <v>0</v>
      </c>
      <c r="EG371" s="136" t="s">
        <v>95</v>
      </c>
      <c r="EI371" s="136" t="s">
        <v>284</v>
      </c>
      <c r="EJ371" s="136" t="s">
        <v>83</v>
      </c>
      <c r="EN371" s="16" t="s">
        <v>282</v>
      </c>
      <c r="ET371" s="137">
        <f>IF(DC371="základní",J371,0)</f>
        <v>15865.91</v>
      </c>
      <c r="EU371" s="137">
        <f>IF(DC371="snížená",J371,0)</f>
        <v>0</v>
      </c>
      <c r="EV371" s="137">
        <f>IF(DC371="zákl. přenesená",J371,0)</f>
        <v>0</v>
      </c>
      <c r="EW371" s="137">
        <f>IF(DC371="sníž. přenesená",J371,0)</f>
        <v>0</v>
      </c>
      <c r="EX371" s="137">
        <f>IF(DC371="nulová",J371,0)</f>
        <v>0</v>
      </c>
      <c r="EY371" s="16" t="s">
        <v>81</v>
      </c>
      <c r="EZ371" s="137">
        <f>ROUND(I371*H371,2)</f>
        <v>15865.91</v>
      </c>
      <c r="FA371" s="16" t="s">
        <v>95</v>
      </c>
      <c r="FB371" s="136" t="s">
        <v>717</v>
      </c>
    </row>
    <row r="372" spans="2:158" s="1" customFormat="1" ht="29.25" x14ac:dyDescent="0.2">
      <c r="B372" s="31"/>
      <c r="D372" s="138" t="s">
        <v>289</v>
      </c>
      <c r="F372" s="139" t="s">
        <v>420</v>
      </c>
      <c r="I372" s="140"/>
      <c r="L372" s="31"/>
      <c r="N372" s="213">
        <f>1.148*143.394</f>
        <v>164.61631199999999</v>
      </c>
      <c r="O372" s="214" t="s">
        <v>3925</v>
      </c>
      <c r="Q372" s="229"/>
      <c r="DB372" s="141"/>
      <c r="DI372" s="50"/>
      <c r="EI372" s="16" t="s">
        <v>289</v>
      </c>
      <c r="EJ372" s="16" t="s">
        <v>83</v>
      </c>
    </row>
    <row r="373" spans="2:158" s="12" customFormat="1" x14ac:dyDescent="0.2">
      <c r="B373" s="149"/>
      <c r="D373" s="138" t="s">
        <v>301</v>
      </c>
      <c r="E373" s="150" t="s">
        <v>1</v>
      </c>
      <c r="F373" s="151" t="s">
        <v>1606</v>
      </c>
      <c r="H373" s="152">
        <v>143.39400000000001</v>
      </c>
      <c r="I373" s="153"/>
      <c r="L373" s="149"/>
      <c r="N373" s="310">
        <f>N372-H373</f>
        <v>21.222311999999988</v>
      </c>
      <c r="O373" s="218"/>
      <c r="Q373" s="231"/>
      <c r="DB373" s="154"/>
      <c r="DI373" s="155"/>
      <c r="EI373" s="150" t="s">
        <v>301</v>
      </c>
      <c r="EJ373" s="150" t="s">
        <v>83</v>
      </c>
      <c r="EK373" s="12" t="s">
        <v>83</v>
      </c>
      <c r="EL373" s="12" t="s">
        <v>32</v>
      </c>
      <c r="EM373" s="12" t="s">
        <v>81</v>
      </c>
      <c r="EN373" s="150" t="s">
        <v>282</v>
      </c>
    </row>
    <row r="374" spans="2:158" s="1" customFormat="1" ht="37.9" customHeight="1" x14ac:dyDescent="0.2">
      <c r="B374" s="124"/>
      <c r="C374" s="125" t="s">
        <v>650</v>
      </c>
      <c r="D374" s="125" t="s">
        <v>284</v>
      </c>
      <c r="E374" s="126" t="s">
        <v>719</v>
      </c>
      <c r="F374" s="127" t="s">
        <v>720</v>
      </c>
      <c r="G374" s="128" t="s">
        <v>418</v>
      </c>
      <c r="H374" s="129">
        <v>60.414000000000001</v>
      </c>
      <c r="I374" s="130">
        <v>250.3439285</v>
      </c>
      <c r="J374" s="131">
        <f>ROUND(I374*H374,2)</f>
        <v>15124.28</v>
      </c>
      <c r="K374" s="127" t="s">
        <v>293</v>
      </c>
      <c r="L374" s="268">
        <f>S374</f>
        <v>0</v>
      </c>
      <c r="M374" s="272">
        <f>ROUND(L374*I374,2)</f>
        <v>0</v>
      </c>
      <c r="N374" s="243">
        <f>N376</f>
        <v>8.9412719999999979</v>
      </c>
      <c r="O374" s="294">
        <f>ROUND(N374*I374,2)</f>
        <v>2238.39</v>
      </c>
      <c r="P374" s="273">
        <f>H374-L374-N374</f>
        <v>51.472728000000004</v>
      </c>
      <c r="Q374" s="287">
        <f>ROUND(P374*I374,2)</f>
        <v>12885.88</v>
      </c>
      <c r="R374" s="137"/>
      <c r="S374" s="269">
        <f>W374+Y374+AA374+AC374+AE374</f>
        <v>0</v>
      </c>
      <c r="T374" s="269">
        <f>ROUND(S374*I374,2)</f>
        <v>0</v>
      </c>
      <c r="U374" s="269">
        <f>H374-S374</f>
        <v>60.414000000000001</v>
      </c>
      <c r="V374" s="269">
        <f>ROUND(U374*I374,2)</f>
        <v>15124.28</v>
      </c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DB374" s="132" t="s">
        <v>1</v>
      </c>
      <c r="DC374" s="133" t="s">
        <v>40</v>
      </c>
      <c r="DE374" s="134">
        <f>DD374*H374</f>
        <v>0</v>
      </c>
      <c r="DF374" s="134">
        <v>0</v>
      </c>
      <c r="DG374" s="134">
        <f>DF374*H374</f>
        <v>0</v>
      </c>
      <c r="DH374" s="134">
        <v>0</v>
      </c>
      <c r="DI374" s="135">
        <f>DH374*H374</f>
        <v>0</v>
      </c>
      <c r="EG374" s="136" t="s">
        <v>95</v>
      </c>
      <c r="EI374" s="136" t="s">
        <v>284</v>
      </c>
      <c r="EJ374" s="136" t="s">
        <v>83</v>
      </c>
      <c r="EN374" s="16" t="s">
        <v>282</v>
      </c>
      <c r="ET374" s="137">
        <f>IF(DC374="základní",J374,0)</f>
        <v>15124.28</v>
      </c>
      <c r="EU374" s="137">
        <f>IF(DC374="snížená",J374,0)</f>
        <v>0</v>
      </c>
      <c r="EV374" s="137">
        <f>IF(DC374="zákl. přenesená",J374,0)</f>
        <v>0</v>
      </c>
      <c r="EW374" s="137">
        <f>IF(DC374="sníž. přenesená",J374,0)</f>
        <v>0</v>
      </c>
      <c r="EX374" s="137">
        <f>IF(DC374="nulová",J374,0)</f>
        <v>0</v>
      </c>
      <c r="EY374" s="16" t="s">
        <v>81</v>
      </c>
      <c r="EZ374" s="137">
        <f>ROUND(I374*H374,2)</f>
        <v>15124.28</v>
      </c>
      <c r="FA374" s="16" t="s">
        <v>95</v>
      </c>
      <c r="FB374" s="136" t="s">
        <v>721</v>
      </c>
    </row>
    <row r="375" spans="2:158" s="1" customFormat="1" ht="29.25" x14ac:dyDescent="0.2">
      <c r="B375" s="31"/>
      <c r="D375" s="138" t="s">
        <v>289</v>
      </c>
      <c r="F375" s="139" t="s">
        <v>720</v>
      </c>
      <c r="I375" s="140"/>
      <c r="L375" s="31"/>
      <c r="N375" s="213">
        <f>1.148*60.414</f>
        <v>69.355271999999999</v>
      </c>
      <c r="O375" s="214" t="s">
        <v>3926</v>
      </c>
      <c r="Q375" s="229"/>
      <c r="DB375" s="141"/>
      <c r="DI375" s="50"/>
      <c r="EI375" s="16" t="s">
        <v>289</v>
      </c>
      <c r="EJ375" s="16" t="s">
        <v>83</v>
      </c>
    </row>
    <row r="376" spans="2:158" s="12" customFormat="1" x14ac:dyDescent="0.2">
      <c r="B376" s="149"/>
      <c r="D376" s="138" t="s">
        <v>301</v>
      </c>
      <c r="E376" s="150" t="s">
        <v>1</v>
      </c>
      <c r="F376" s="151" t="s">
        <v>1607</v>
      </c>
      <c r="H376" s="152">
        <v>60.414000000000001</v>
      </c>
      <c r="I376" s="153"/>
      <c r="L376" s="149"/>
      <c r="N376" s="310">
        <f>N375-H376</f>
        <v>8.9412719999999979</v>
      </c>
      <c r="O376" s="218"/>
      <c r="Q376" s="231"/>
      <c r="DB376" s="154"/>
      <c r="DI376" s="155"/>
      <c r="EI376" s="150" t="s">
        <v>301</v>
      </c>
      <c r="EJ376" s="150" t="s">
        <v>83</v>
      </c>
      <c r="EK376" s="12" t="s">
        <v>83</v>
      </c>
      <c r="EL376" s="12" t="s">
        <v>32</v>
      </c>
      <c r="EM376" s="12" t="s">
        <v>81</v>
      </c>
      <c r="EN376" s="150" t="s">
        <v>282</v>
      </c>
    </row>
    <row r="377" spans="2:158" s="10" customFormat="1" ht="22.9" customHeight="1" x14ac:dyDescent="0.2">
      <c r="B377" s="112"/>
      <c r="D377" s="113" t="s">
        <v>73</v>
      </c>
      <c r="E377" s="122" t="s">
        <v>722</v>
      </c>
      <c r="F377" s="122" t="s">
        <v>723</v>
      </c>
      <c r="I377" s="115"/>
      <c r="J377" s="123">
        <f>EZ377</f>
        <v>39129.07</v>
      </c>
      <c r="L377" s="112"/>
      <c r="M377" s="270">
        <f>M378</f>
        <v>0</v>
      </c>
      <c r="N377" s="301"/>
      <c r="O377" s="302">
        <f t="shared" ref="O377:V377" si="6">O378</f>
        <v>5791.1</v>
      </c>
      <c r="P377" s="270"/>
      <c r="Q377" s="288">
        <f t="shared" si="6"/>
        <v>33337.97</v>
      </c>
      <c r="R377" s="270"/>
      <c r="S377" s="270"/>
      <c r="T377" s="270">
        <f t="shared" si="6"/>
        <v>0</v>
      </c>
      <c r="U377" s="270"/>
      <c r="V377" s="270">
        <f t="shared" si="6"/>
        <v>39129.07</v>
      </c>
      <c r="DB377" s="117"/>
      <c r="DE377" s="118">
        <f>SUM(DE378:DE381)</f>
        <v>0</v>
      </c>
      <c r="DG377" s="118">
        <f>SUM(DG378:DG381)</f>
        <v>0</v>
      </c>
      <c r="DI377" s="119">
        <f>SUM(DI378:DI381)</f>
        <v>0</v>
      </c>
      <c r="EG377" s="113" t="s">
        <v>81</v>
      </c>
      <c r="EI377" s="120" t="s">
        <v>73</v>
      </c>
      <c r="EJ377" s="120" t="s">
        <v>81</v>
      </c>
      <c r="EN377" s="113" t="s">
        <v>282</v>
      </c>
      <c r="EZ377" s="121">
        <f>SUM(EZ378:EZ381)</f>
        <v>39129.07</v>
      </c>
    </row>
    <row r="378" spans="2:158" s="1" customFormat="1" ht="24.2" customHeight="1" x14ac:dyDescent="0.2">
      <c r="B378" s="124"/>
      <c r="C378" s="125" t="s">
        <v>655</v>
      </c>
      <c r="D378" s="125" t="s">
        <v>284</v>
      </c>
      <c r="E378" s="126" t="s">
        <v>725</v>
      </c>
      <c r="F378" s="127" t="s">
        <v>726</v>
      </c>
      <c r="G378" s="128" t="s">
        <v>418</v>
      </c>
      <c r="H378" s="129">
        <v>43.247</v>
      </c>
      <c r="I378" s="130">
        <v>904.78117744148574</v>
      </c>
      <c r="J378" s="131">
        <f>ROUND(I378*H378,2)</f>
        <v>39129.07</v>
      </c>
      <c r="K378" s="127" t="s">
        <v>293</v>
      </c>
      <c r="L378" s="268">
        <f>S378</f>
        <v>0</v>
      </c>
      <c r="M378" s="272">
        <f>ROUND(L378*I378,2)</f>
        <v>0</v>
      </c>
      <c r="N378" s="243">
        <f>N380</f>
        <v>6.4005559999999946</v>
      </c>
      <c r="O378" s="294">
        <f>ROUND(N378*I378,2)</f>
        <v>5791.1</v>
      </c>
      <c r="P378" s="273">
        <f>H378-L378-N378</f>
        <v>36.846444000000005</v>
      </c>
      <c r="Q378" s="287">
        <f>ROUND(P378*I378,2)</f>
        <v>33337.97</v>
      </c>
      <c r="R378" s="137"/>
      <c r="S378" s="269">
        <f>W378+Y378+AA378+AC378+AE378</f>
        <v>0</v>
      </c>
      <c r="T378" s="269">
        <f>ROUND(S378*I378,2)</f>
        <v>0</v>
      </c>
      <c r="U378" s="269">
        <f>H378-S378</f>
        <v>43.247</v>
      </c>
      <c r="V378" s="269">
        <f>ROUND(U378*I378,2)</f>
        <v>39129.07</v>
      </c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DB378" s="132" t="s">
        <v>1</v>
      </c>
      <c r="DC378" s="133" t="s">
        <v>40</v>
      </c>
      <c r="DE378" s="134">
        <f>DD378*H378</f>
        <v>0</v>
      </c>
      <c r="DF378" s="134">
        <v>0</v>
      </c>
      <c r="DG378" s="134">
        <f>DF378*H378</f>
        <v>0</v>
      </c>
      <c r="DH378" s="134">
        <v>0</v>
      </c>
      <c r="DI378" s="135">
        <f>DH378*H378</f>
        <v>0</v>
      </c>
      <c r="EG378" s="136" t="s">
        <v>95</v>
      </c>
      <c r="EI378" s="136" t="s">
        <v>284</v>
      </c>
      <c r="EJ378" s="136" t="s">
        <v>83</v>
      </c>
      <c r="EN378" s="16" t="s">
        <v>282</v>
      </c>
      <c r="ET378" s="137">
        <f>IF(DC378="základní",J378,0)</f>
        <v>39129.07</v>
      </c>
      <c r="EU378" s="137">
        <f>IF(DC378="snížená",J378,0)</f>
        <v>0</v>
      </c>
      <c r="EV378" s="137">
        <f>IF(DC378="zákl. přenesená",J378,0)</f>
        <v>0</v>
      </c>
      <c r="EW378" s="137">
        <f>IF(DC378="sníž. přenesená",J378,0)</f>
        <v>0</v>
      </c>
      <c r="EX378" s="137">
        <f>IF(DC378="nulová",J378,0)</f>
        <v>0</v>
      </c>
      <c r="EY378" s="16" t="s">
        <v>81</v>
      </c>
      <c r="EZ378" s="137">
        <f>ROUND(I378*H378,2)</f>
        <v>39129.07</v>
      </c>
      <c r="FA378" s="16" t="s">
        <v>95</v>
      </c>
      <c r="FB378" s="136" t="s">
        <v>727</v>
      </c>
    </row>
    <row r="379" spans="2:158" s="1" customFormat="1" ht="29.25" x14ac:dyDescent="0.2">
      <c r="B379" s="31"/>
      <c r="D379" s="138" t="s">
        <v>289</v>
      </c>
      <c r="F379" s="139" t="s">
        <v>728</v>
      </c>
      <c r="I379" s="140"/>
      <c r="L379" s="31"/>
      <c r="N379" s="213">
        <f>1.148*43.247</f>
        <v>49.647555999999994</v>
      </c>
      <c r="O379" s="214" t="s">
        <v>3927</v>
      </c>
      <c r="Q379" s="229"/>
      <c r="DB379" s="141"/>
      <c r="DI379" s="50"/>
      <c r="EI379" s="16" t="s">
        <v>289</v>
      </c>
      <c r="EJ379" s="16" t="s">
        <v>83</v>
      </c>
    </row>
    <row r="380" spans="2:158" s="11" customFormat="1" x14ac:dyDescent="0.2">
      <c r="B380" s="143"/>
      <c r="D380" s="138" t="s">
        <v>301</v>
      </c>
      <c r="E380" s="144" t="s">
        <v>1</v>
      </c>
      <c r="F380" s="145" t="s">
        <v>729</v>
      </c>
      <c r="H380" s="144" t="s">
        <v>1</v>
      </c>
      <c r="I380" s="146"/>
      <c r="L380" s="143"/>
      <c r="N380" s="319">
        <f>N379-H381</f>
        <v>6.4005559999999946</v>
      </c>
      <c r="O380" s="216"/>
      <c r="Q380" s="230"/>
      <c r="DB380" s="147"/>
      <c r="DI380" s="148"/>
      <c r="EI380" s="144" t="s">
        <v>301</v>
      </c>
      <c r="EJ380" s="144" t="s">
        <v>83</v>
      </c>
      <c r="EK380" s="11" t="s">
        <v>81</v>
      </c>
      <c r="EL380" s="11" t="s">
        <v>32</v>
      </c>
      <c r="EM380" s="11" t="s">
        <v>74</v>
      </c>
      <c r="EN380" s="144" t="s">
        <v>282</v>
      </c>
    </row>
    <row r="381" spans="2:158" s="12" customFormat="1" x14ac:dyDescent="0.2">
      <c r="B381" s="149"/>
      <c r="D381" s="138" t="s">
        <v>301</v>
      </c>
      <c r="E381" s="150" t="s">
        <v>1</v>
      </c>
      <c r="F381" s="151" t="s">
        <v>1609</v>
      </c>
      <c r="H381" s="152">
        <v>43.247</v>
      </c>
      <c r="I381" s="153"/>
      <c r="L381" s="149"/>
      <c r="N381" s="217"/>
      <c r="O381" s="218"/>
      <c r="Q381" s="231"/>
      <c r="DB381" s="179"/>
      <c r="DC381" s="180"/>
      <c r="DD381" s="180"/>
      <c r="DE381" s="180"/>
      <c r="DF381" s="180"/>
      <c r="DG381" s="180"/>
      <c r="DH381" s="180"/>
      <c r="DI381" s="181"/>
      <c r="EI381" s="150" t="s">
        <v>301</v>
      </c>
      <c r="EJ381" s="150" t="s">
        <v>83</v>
      </c>
      <c r="EK381" s="12" t="s">
        <v>83</v>
      </c>
      <c r="EL381" s="12" t="s">
        <v>32</v>
      </c>
      <c r="EM381" s="12" t="s">
        <v>81</v>
      </c>
      <c r="EN381" s="150" t="s">
        <v>282</v>
      </c>
    </row>
    <row r="382" spans="2:158" s="1" customFormat="1" ht="6.95" customHeight="1" thickBot="1" x14ac:dyDescent="0.25">
      <c r="B382" s="43"/>
      <c r="C382" s="44"/>
      <c r="D382" s="44"/>
      <c r="E382" s="44"/>
      <c r="F382" s="44"/>
      <c r="G382" s="44"/>
      <c r="H382" s="44"/>
      <c r="I382" s="44"/>
      <c r="J382" s="44"/>
      <c r="K382" s="44"/>
      <c r="L382" s="268"/>
      <c r="M382" s="272"/>
      <c r="N382" s="304"/>
      <c r="O382" s="305"/>
      <c r="P382" s="273"/>
      <c r="Q382" s="287"/>
      <c r="R382" s="137"/>
      <c r="S382" s="269"/>
      <c r="T382" s="269"/>
      <c r="U382" s="269"/>
      <c r="V382" s="269"/>
      <c r="W382" s="269"/>
      <c r="X382" s="269"/>
      <c r="Y382" s="269"/>
      <c r="Z382" s="269"/>
      <c r="AA382" s="269"/>
      <c r="AB382" s="269"/>
      <c r="AC382" s="269"/>
      <c r="AD382" s="269"/>
      <c r="AE382" s="269"/>
      <c r="AF382" s="269"/>
    </row>
  </sheetData>
  <autoFilter ref="C120:K381"/>
  <mergeCells count="24">
    <mergeCell ref="AC121:AD121"/>
    <mergeCell ref="AE121:AF121"/>
    <mergeCell ref="U121:V121"/>
    <mergeCell ref="W121:X121"/>
    <mergeCell ref="Y121:Z121"/>
    <mergeCell ref="AA121:AB121"/>
    <mergeCell ref="L120:Q120"/>
    <mergeCell ref="L121:M121"/>
    <mergeCell ref="N121:O121"/>
    <mergeCell ref="P121:Q121"/>
    <mergeCell ref="S121:T121"/>
    <mergeCell ref="G119:K119"/>
    <mergeCell ref="E117:H117"/>
    <mergeCell ref="L2:DK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H436"/>
  <sheetViews>
    <sheetView windowProtection="1" showGridLines="0" topLeftCell="A404" zoomScale="80" zoomScaleNormal="80" workbookViewId="0">
      <selection activeCell="P404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83203125" customWidth="1"/>
    <col min="13" max="13" width="18.5" customWidth="1"/>
    <col min="14" max="14" width="12.83203125" customWidth="1"/>
    <col min="15" max="15" width="15.33203125" customWidth="1"/>
    <col min="16" max="16" width="12.83203125" hidden="1" customWidth="1"/>
    <col min="17" max="17" width="16.83203125" hidden="1" customWidth="1"/>
    <col min="18" max="19" width="12.83203125" customWidth="1"/>
    <col min="20" max="20" width="17" customWidth="1"/>
    <col min="21" max="21" width="12.83203125" customWidth="1"/>
    <col min="22" max="22" width="16.1640625" customWidth="1"/>
    <col min="23" max="23" width="12.83203125" customWidth="1"/>
    <col min="24" max="24" width="16.33203125" customWidth="1"/>
    <col min="25" max="85" width="12.83203125" customWidth="1"/>
    <col min="86" max="86" width="10.83203125" customWidth="1"/>
    <col min="88" max="93" width="14.1640625" customWidth="1"/>
    <col min="94" max="94" width="16.33203125" customWidth="1"/>
    <col min="95" max="95" width="12.33203125" customWidth="1"/>
    <col min="96" max="96" width="16.33203125" customWidth="1"/>
    <col min="97" max="97" width="12.33203125" customWidth="1"/>
    <col min="98" max="98" width="15" customWidth="1"/>
    <col min="99" max="99" width="11" customWidth="1"/>
    <col min="100" max="100" width="15" customWidth="1"/>
    <col min="101" max="101" width="16.33203125" customWidth="1"/>
    <col min="102" max="102" width="11" customWidth="1"/>
    <col min="103" max="103" width="15" customWidth="1"/>
    <col min="104" max="104" width="16.33203125" customWidth="1"/>
    <col min="117" max="138" width="9.33203125" hidden="1"/>
  </cols>
  <sheetData>
    <row r="2" spans="2:119" ht="36.950000000000003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DO2" s="16" t="s">
        <v>140</v>
      </c>
    </row>
    <row r="3" spans="2:119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O3" s="16" t="s">
        <v>83</v>
      </c>
    </row>
    <row r="4" spans="2:119" ht="24.95" customHeight="1" x14ac:dyDescent="0.2">
      <c r="B4" s="19"/>
      <c r="D4" s="20" t="s">
        <v>243</v>
      </c>
      <c r="L4" s="19"/>
      <c r="CH4" s="79" t="s">
        <v>10</v>
      </c>
      <c r="DO4" s="16" t="s">
        <v>3</v>
      </c>
    </row>
    <row r="5" spans="2:119" ht="6.95" customHeight="1" x14ac:dyDescent="0.2">
      <c r="B5" s="19"/>
      <c r="L5" s="19"/>
    </row>
    <row r="6" spans="2:119" ht="12" customHeight="1" x14ac:dyDescent="0.2">
      <c r="B6" s="19"/>
      <c r="D6" s="26" t="s">
        <v>16</v>
      </c>
      <c r="L6" s="19"/>
    </row>
    <row r="7" spans="2:119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19" ht="12.75" x14ac:dyDescent="0.2">
      <c r="B8" s="19"/>
      <c r="D8" s="26" t="s">
        <v>244</v>
      </c>
      <c r="L8" s="19"/>
    </row>
    <row r="9" spans="2:119" ht="16.5" customHeight="1" x14ac:dyDescent="0.2">
      <c r="B9" s="19"/>
      <c r="E9" s="434" t="s">
        <v>245</v>
      </c>
      <c r="F9" s="399"/>
      <c r="G9" s="399"/>
      <c r="H9" s="399"/>
      <c r="L9" s="19"/>
    </row>
    <row r="10" spans="2:119" ht="12" customHeight="1" x14ac:dyDescent="0.2">
      <c r="B10" s="19"/>
      <c r="D10" s="26" t="s">
        <v>246</v>
      </c>
      <c r="L10" s="19"/>
    </row>
    <row r="11" spans="2:119" s="1" customFormat="1" ht="16.5" customHeight="1" x14ac:dyDescent="0.2">
      <c r="B11" s="31"/>
      <c r="E11" s="401" t="s">
        <v>247</v>
      </c>
      <c r="F11" s="433"/>
      <c r="G11" s="433"/>
      <c r="H11" s="433"/>
      <c r="L11" s="31"/>
    </row>
    <row r="12" spans="2:119" s="1" customFormat="1" ht="12" customHeight="1" x14ac:dyDescent="0.2">
      <c r="B12" s="31"/>
      <c r="D12" s="26" t="s">
        <v>248</v>
      </c>
      <c r="L12" s="31"/>
    </row>
    <row r="13" spans="2:119" s="1" customFormat="1" ht="16.5" customHeight="1" x14ac:dyDescent="0.2">
      <c r="B13" s="31"/>
      <c r="E13" s="432" t="s">
        <v>1610</v>
      </c>
      <c r="F13" s="433"/>
      <c r="G13" s="433"/>
      <c r="H13" s="433"/>
      <c r="L13" s="31"/>
    </row>
    <row r="14" spans="2:119" s="1" customFormat="1" x14ac:dyDescent="0.2">
      <c r="B14" s="31"/>
      <c r="L14" s="31"/>
    </row>
    <row r="15" spans="2:119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19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ROUND(J122, 2)</f>
        <v>2529300.85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ROUND((SUM(DZ122:DZ435)),  2)</f>
        <v>2529300.85</v>
      </c>
      <c r="I37" s="84">
        <v>0.21</v>
      </c>
      <c r="J37" s="71">
        <f>ROUND(((SUM(DZ122:DZ435))*I37),  2)</f>
        <v>531153.18000000005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ROUND((SUM(EA122:EA435)),  2)</f>
        <v>0</v>
      </c>
      <c r="I38" s="84">
        <v>0.15</v>
      </c>
      <c r="J38" s="71">
        <f>ROUND(((SUM(EA122:EA435))*I38),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ROUND((SUM(EB122:EB435)),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ROUND((SUM(EC122:EC435)),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ROUND((SUM(ED122:ED435)),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3060454.0300000003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s="1" customFormat="1" ht="14.45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x14ac:dyDescent="0.2">
      <c r="B50" s="19"/>
      <c r="L50" s="19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s="1" customFormat="1" ht="12.75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x14ac:dyDescent="0.2">
      <c r="B61" s="19"/>
      <c r="L61" s="19"/>
    </row>
    <row r="62" spans="2:12" x14ac:dyDescent="0.2">
      <c r="B62" s="19"/>
      <c r="L62" s="19"/>
    </row>
    <row r="63" spans="2:12" x14ac:dyDescent="0.2">
      <c r="B63" s="19"/>
      <c r="L63" s="19"/>
    </row>
    <row r="64" spans="2:12" s="1" customFormat="1" ht="12.75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x14ac:dyDescent="0.2">
      <c r="B65" s="19"/>
      <c r="L65" s="19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s="1" customFormat="1" ht="12.75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80" spans="2:12" s="1" customFormat="1" ht="6.95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customHeight="1" x14ac:dyDescent="0.2">
      <c r="B81" s="31"/>
      <c r="C81" s="20" t="s">
        <v>253</v>
      </c>
      <c r="L81" s="31"/>
    </row>
    <row r="82" spans="2:12" s="1" customFormat="1" ht="6.95" customHeight="1" x14ac:dyDescent="0.2">
      <c r="B82" s="31"/>
      <c r="L82" s="31"/>
    </row>
    <row r="83" spans="2:12" s="1" customFormat="1" ht="12" customHeight="1" x14ac:dyDescent="0.2">
      <c r="B83" s="31"/>
      <c r="C83" s="26" t="s">
        <v>16</v>
      </c>
      <c r="L83" s="31"/>
    </row>
    <row r="84" spans="2:12" s="1" customFormat="1" ht="16.5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customHeight="1" x14ac:dyDescent="0.2">
      <c r="B85" s="19"/>
      <c r="C85" s="26" t="s">
        <v>244</v>
      </c>
      <c r="L85" s="19"/>
    </row>
    <row r="86" spans="2:12" ht="16.5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customHeight="1" x14ac:dyDescent="0.2">
      <c r="B87" s="19"/>
      <c r="C87" s="26" t="s">
        <v>246</v>
      </c>
      <c r="L87" s="19"/>
    </row>
    <row r="88" spans="2:12" s="1" customFormat="1" ht="16.5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customHeight="1" x14ac:dyDescent="0.2">
      <c r="B89" s="31"/>
      <c r="C89" s="26" t="s">
        <v>248</v>
      </c>
      <c r="L89" s="31"/>
    </row>
    <row r="90" spans="2:12" s="1" customFormat="1" ht="16.5" customHeight="1" x14ac:dyDescent="0.2">
      <c r="B90" s="31"/>
      <c r="E90" s="432" t="str">
        <f>E13</f>
        <v>00007 - DSO 01.3g Stoka D3</v>
      </c>
      <c r="F90" s="433"/>
      <c r="G90" s="433"/>
      <c r="H90" s="433"/>
      <c r="L90" s="31"/>
    </row>
    <row r="91" spans="2:12" s="1" customFormat="1" ht="6.95" customHeight="1" x14ac:dyDescent="0.2">
      <c r="B91" s="31"/>
      <c r="L91" s="31"/>
    </row>
    <row r="92" spans="2:12" s="1" customFormat="1" ht="12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customHeight="1" x14ac:dyDescent="0.2">
      <c r="B93" s="31"/>
      <c r="L93" s="31"/>
    </row>
    <row r="94" spans="2:12" s="1" customFormat="1" ht="40.15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customHeight="1" x14ac:dyDescent="0.2">
      <c r="B96" s="31"/>
      <c r="L96" s="31"/>
    </row>
    <row r="97" spans="2:120" s="1" customFormat="1" ht="29.25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20" s="1" customFormat="1" ht="10.35" customHeight="1" x14ac:dyDescent="0.2">
      <c r="B98" s="31"/>
      <c r="L98" s="31"/>
    </row>
    <row r="99" spans="2:120" s="1" customFormat="1" ht="22.9" customHeight="1" x14ac:dyDescent="0.2">
      <c r="B99" s="31"/>
      <c r="C99" s="95" t="s">
        <v>256</v>
      </c>
      <c r="J99" s="58">
        <f>J122</f>
        <v>2529300.85</v>
      </c>
      <c r="L99" s="31"/>
      <c r="DP99" s="16" t="s">
        <v>257</v>
      </c>
    </row>
    <row r="100" spans="2:120" s="7" customFormat="1" ht="24.95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J123</f>
        <v>2529300.85</v>
      </c>
      <c r="L100" s="96"/>
    </row>
    <row r="101" spans="2:120" s="8" customFormat="1" ht="19.899999999999999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J125</f>
        <v>1432360.44</v>
      </c>
      <c r="L101" s="100"/>
    </row>
    <row r="102" spans="2:120" s="8" customFormat="1" ht="19.899999999999999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J247</f>
        <v>48060.43</v>
      </c>
      <c r="L102" s="100"/>
    </row>
    <row r="103" spans="2:120" s="8" customFormat="1" ht="19.899999999999999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J252</f>
        <v>31794.16</v>
      </c>
      <c r="L103" s="100"/>
    </row>
    <row r="104" spans="2:120" s="8" customFormat="1" ht="19.899999999999999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J288</f>
        <v>445212.32</v>
      </c>
      <c r="L104" s="100"/>
    </row>
    <row r="105" spans="2:120" s="8" customFormat="1" ht="19.899999999999999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J307</f>
        <v>378636.48000000004</v>
      </c>
      <c r="L105" s="100"/>
    </row>
    <row r="106" spans="2:120" s="8" customFormat="1" ht="19.899999999999999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J400</f>
        <v>14586.78</v>
      </c>
      <c r="L106" s="100"/>
    </row>
    <row r="107" spans="2:120" s="8" customFormat="1" ht="19.899999999999999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J411</f>
        <v>133242.88999999998</v>
      </c>
      <c r="L107" s="100"/>
    </row>
    <row r="108" spans="2:120" s="8" customFormat="1" ht="19.899999999999999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J431</f>
        <v>45407.35</v>
      </c>
      <c r="L108" s="100"/>
    </row>
    <row r="109" spans="2:120" s="1" customFormat="1" ht="21.75" customHeight="1" x14ac:dyDescent="0.2">
      <c r="B109" s="31"/>
      <c r="L109" s="31"/>
    </row>
    <row r="110" spans="2:120" s="1" customFormat="1" ht="6.9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38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38" s="1" customFormat="1" ht="24.95" customHeight="1" x14ac:dyDescent="0.2">
      <c r="B115" s="31"/>
      <c r="C115" s="20" t="s">
        <v>267</v>
      </c>
      <c r="L115" s="31"/>
    </row>
    <row r="116" spans="2:138" s="1" customFormat="1" ht="6.95" customHeight="1" x14ac:dyDescent="0.2">
      <c r="B116" s="31"/>
      <c r="L116" s="31"/>
    </row>
    <row r="117" spans="2:138" s="1" customFormat="1" ht="16.5" customHeight="1" x14ac:dyDescent="0.2">
      <c r="B117" s="31"/>
      <c r="E117" s="432" t="str">
        <f>E13</f>
        <v>00007 - DSO 01.3g Stoka D3</v>
      </c>
      <c r="F117" s="433"/>
      <c r="G117" s="433"/>
      <c r="H117" s="433"/>
      <c r="L117" s="31"/>
    </row>
    <row r="118" spans="2:138" s="1" customFormat="1" ht="6.95" customHeight="1" x14ac:dyDescent="0.2">
      <c r="B118" s="31"/>
      <c r="L118" s="31"/>
    </row>
    <row r="119" spans="2:138" s="1" customFormat="1" ht="15.2" customHeight="1" x14ac:dyDescent="0.2">
      <c r="B119" s="31"/>
      <c r="C119" s="26" t="s">
        <v>28</v>
      </c>
      <c r="F119" s="24" t="str">
        <f>IF(E22="","",E22)</f>
        <v>Společnost Podlesí se sídlem Žitenická 871/1, 190 00 Praha 9</v>
      </c>
      <c r="I119" s="26" t="s">
        <v>33</v>
      </c>
      <c r="J119" s="29" t="str">
        <f>E28</f>
        <v xml:space="preserve"> </v>
      </c>
      <c r="L119" s="31"/>
    </row>
    <row r="120" spans="2:138" s="1" customFormat="1" ht="21" customHeight="1" x14ac:dyDescent="0.2">
      <c r="B120" s="31"/>
      <c r="G120" s="448" t="s">
        <v>3346</v>
      </c>
      <c r="H120" s="448"/>
      <c r="I120" s="448"/>
      <c r="J120" s="448"/>
      <c r="K120" s="449"/>
      <c r="L120" s="31"/>
    </row>
    <row r="121" spans="2:138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CH121" s="52" t="s">
        <v>1</v>
      </c>
      <c r="CI121" s="53" t="s">
        <v>39</v>
      </c>
      <c r="CJ121" s="53" t="s">
        <v>273</v>
      </c>
      <c r="CK121" s="53" t="s">
        <v>274</v>
      </c>
      <c r="CL121" s="53" t="s">
        <v>275</v>
      </c>
      <c r="CM121" s="53" t="s">
        <v>276</v>
      </c>
      <c r="CN121" s="53" t="s">
        <v>277</v>
      </c>
      <c r="CO121" s="54" t="s">
        <v>278</v>
      </c>
    </row>
    <row r="122" spans="2:138" s="1" customFormat="1" ht="22.9" customHeight="1" x14ac:dyDescent="0.25">
      <c r="B122" s="31"/>
      <c r="C122" s="57" t="s">
        <v>279</v>
      </c>
      <c r="G122" s="1" t="s">
        <v>3306</v>
      </c>
      <c r="J122" s="108">
        <f>EF122</f>
        <v>2529300.85</v>
      </c>
      <c r="L122" s="440" t="s">
        <v>3308</v>
      </c>
      <c r="M122" s="441"/>
      <c r="N122" s="440" t="s">
        <v>3377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3324</v>
      </c>
      <c r="X122" s="444"/>
      <c r="Y122" s="444" t="s">
        <v>3325</v>
      </c>
      <c r="Z122" s="444"/>
      <c r="AA122" s="444" t="s">
        <v>3326</v>
      </c>
      <c r="AB122" s="444"/>
      <c r="AC122" s="444" t="s">
        <v>3327</v>
      </c>
      <c r="AD122" s="445"/>
      <c r="CH122" s="55"/>
      <c r="CI122" s="49"/>
      <c r="CJ122" s="49"/>
      <c r="CK122" s="109">
        <f>CK123</f>
        <v>0</v>
      </c>
      <c r="CL122" s="49"/>
      <c r="CM122" s="109">
        <f>CM123</f>
        <v>1108.4760880000001</v>
      </c>
      <c r="CN122" s="49"/>
      <c r="CO122" s="110">
        <f>CO123</f>
        <v>338.60338000000002</v>
      </c>
      <c r="DO122" s="16" t="s">
        <v>73</v>
      </c>
      <c r="DP122" s="16" t="s">
        <v>257</v>
      </c>
      <c r="EF122" s="111">
        <f>EF123</f>
        <v>2529300.85</v>
      </c>
    </row>
    <row r="123" spans="2:138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EF123</f>
        <v>2529300.85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5" t="s">
        <v>3328</v>
      </c>
      <c r="CH123" s="117"/>
      <c r="CK123" s="118">
        <f>CK125+CK247+CK252+CK288+CK307+CK400+CK411+CK431</f>
        <v>0</v>
      </c>
      <c r="CM123" s="118">
        <f>CM125+CM247+CM252+CM288+CM307+CM400+CM411+CM431</f>
        <v>1108.4760880000001</v>
      </c>
      <c r="CO123" s="119">
        <f>CO125+CO247+CO252+CO288+CO307+CO400+CO411+CO431</f>
        <v>338.60338000000002</v>
      </c>
      <c r="DM123" s="113" t="s">
        <v>81</v>
      </c>
      <c r="DO123" s="120" t="s">
        <v>73</v>
      </c>
      <c r="DP123" s="120" t="s">
        <v>74</v>
      </c>
      <c r="DT123" s="113" t="s">
        <v>282</v>
      </c>
      <c r="EF123" s="121">
        <f>EF125+EF247+EF252+EF288+EF307+EF400+EF411+EF431</f>
        <v>2529300.85</v>
      </c>
    </row>
    <row r="124" spans="2:138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M125+M247+M252+M288+M307+M400+M411+M431</f>
        <v>0</v>
      </c>
      <c r="N124" s="208"/>
      <c r="O124" s="208">
        <f t="shared" ref="O124:Q124" si="0">O125+O247+O252+O288+O307+O400+O411+O431</f>
        <v>160091.1</v>
      </c>
      <c r="P124" s="192"/>
      <c r="Q124" s="192">
        <f t="shared" si="0"/>
        <v>2369209.75</v>
      </c>
      <c r="S124" s="196"/>
      <c r="T124" s="197">
        <f>T125+T247+T252+T288+T307+T400+T411+T431</f>
        <v>0</v>
      </c>
      <c r="U124" s="197"/>
      <c r="V124" s="197">
        <f t="shared" ref="V124:AD124" si="1">V125+V247+V252+V288+V307+V400+V411+V431</f>
        <v>2529300.85</v>
      </c>
      <c r="W124" s="197"/>
      <c r="X124" s="197">
        <f t="shared" si="1"/>
        <v>0</v>
      </c>
      <c r="Y124" s="197"/>
      <c r="Z124" s="197">
        <f t="shared" si="1"/>
        <v>0</v>
      </c>
      <c r="AA124" s="197"/>
      <c r="AB124" s="197">
        <f t="shared" si="1"/>
        <v>0</v>
      </c>
      <c r="AC124" s="197"/>
      <c r="AD124" s="197">
        <f t="shared" si="1"/>
        <v>0</v>
      </c>
      <c r="CH124" s="117"/>
      <c r="CK124" s="118"/>
      <c r="CM124" s="118"/>
      <c r="CO124" s="119"/>
      <c r="DM124" s="113"/>
      <c r="DO124" s="120"/>
      <c r="DP124" s="120"/>
      <c r="DT124" s="113"/>
      <c r="EF124" s="121"/>
    </row>
    <row r="125" spans="2:138" s="10" customFormat="1" ht="22.9" customHeight="1" x14ac:dyDescent="0.2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EF125</f>
        <v>1432360.44</v>
      </c>
      <c r="L125" s="112"/>
      <c r="M125" s="270">
        <f>SUM(M126:M244)</f>
        <v>0</v>
      </c>
      <c r="N125" s="299"/>
      <c r="O125" s="300">
        <f t="shared" ref="O125:V125" si="2">SUM(O126:O244)</f>
        <v>98032.49</v>
      </c>
      <c r="P125" s="270"/>
      <c r="Q125" s="286">
        <f t="shared" si="2"/>
        <v>1334327.96</v>
      </c>
      <c r="R125" s="270"/>
      <c r="S125" s="270"/>
      <c r="T125" s="270">
        <f t="shared" si="2"/>
        <v>0</v>
      </c>
      <c r="U125" s="270"/>
      <c r="V125" s="270">
        <f t="shared" si="2"/>
        <v>1432360.44</v>
      </c>
      <c r="CH125" s="117"/>
      <c r="CK125" s="118">
        <f>SUM(CK126:CK246)</f>
        <v>0</v>
      </c>
      <c r="CM125" s="118">
        <f>SUM(CM126:CM246)</f>
        <v>1059.1855580000001</v>
      </c>
      <c r="CO125" s="119">
        <f>SUM(CO126:CO246)</f>
        <v>338.60338000000002</v>
      </c>
      <c r="DM125" s="113" t="s">
        <v>81</v>
      </c>
      <c r="DO125" s="120" t="s">
        <v>73</v>
      </c>
      <c r="DP125" s="120" t="s">
        <v>81</v>
      </c>
      <c r="DT125" s="113" t="s">
        <v>282</v>
      </c>
      <c r="EF125" s="121">
        <f>SUM(EF126:EF246)</f>
        <v>1432360.44</v>
      </c>
    </row>
    <row r="126" spans="2:138" s="1" customFormat="1" ht="24.2" customHeight="1" x14ac:dyDescent="0.2">
      <c r="B126" s="124"/>
      <c r="C126" s="125" t="s">
        <v>81</v>
      </c>
      <c r="D126" s="125" t="s">
        <v>284</v>
      </c>
      <c r="E126" s="126" t="s">
        <v>285</v>
      </c>
      <c r="F126" s="127" t="s">
        <v>286</v>
      </c>
      <c r="G126" s="128" t="s">
        <v>287</v>
      </c>
      <c r="H126" s="129">
        <v>202.61</v>
      </c>
      <c r="I126" s="130">
        <v>68.767172335543137</v>
      </c>
      <c r="J126" s="131">
        <f>ROUND(I126*H126,2)</f>
        <v>13932.92</v>
      </c>
      <c r="K126" s="127" t="s">
        <v>1</v>
      </c>
      <c r="L126" s="268">
        <f>S126</f>
        <v>0</v>
      </c>
      <c r="M126" s="272">
        <f>ROUND(L126*I126,2)</f>
        <v>0</v>
      </c>
      <c r="N126" s="243">
        <f>N128</f>
        <v>13.990500000000026</v>
      </c>
      <c r="O126" s="294">
        <f>ROUND(N126*I126,2)</f>
        <v>962.09</v>
      </c>
      <c r="P126" s="273">
        <f>H126-L126-N126</f>
        <v>188.61949999999999</v>
      </c>
      <c r="Q126" s="287">
        <f>ROUND(P126*I126,2)</f>
        <v>12970.83</v>
      </c>
      <c r="R126" s="137"/>
      <c r="S126" s="269">
        <f>W126+Y126+AA126+AC126</f>
        <v>0</v>
      </c>
      <c r="T126" s="269">
        <f>ROUND(S126*I126,2)</f>
        <v>0</v>
      </c>
      <c r="U126" s="269">
        <f>H126-S126</f>
        <v>202.61</v>
      </c>
      <c r="V126" s="269">
        <f>ROUND(U126*I126,2)</f>
        <v>13932.92</v>
      </c>
      <c r="W126" s="269"/>
      <c r="X126" s="269"/>
      <c r="Y126" s="269"/>
      <c r="Z126" s="269"/>
      <c r="AA126" s="269"/>
      <c r="AB126" s="269"/>
      <c r="AC126" s="269"/>
      <c r="AD126" s="269"/>
      <c r="CH126" s="132" t="s">
        <v>1</v>
      </c>
      <c r="CI126" s="133" t="s">
        <v>40</v>
      </c>
      <c r="CK126" s="134">
        <f>CJ126*H126</f>
        <v>0</v>
      </c>
      <c r="CL126" s="134">
        <v>0</v>
      </c>
      <c r="CM126" s="134">
        <f>CL126*H126</f>
        <v>0</v>
      </c>
      <c r="CN126" s="134">
        <v>0.57999999999999996</v>
      </c>
      <c r="CO126" s="135">
        <f>CN126*H126</f>
        <v>117.5138</v>
      </c>
      <c r="DM126" s="136" t="s">
        <v>95</v>
      </c>
      <c r="DO126" s="136" t="s">
        <v>284</v>
      </c>
      <c r="DP126" s="136" t="s">
        <v>83</v>
      </c>
      <c r="DT126" s="16" t="s">
        <v>282</v>
      </c>
      <c r="DZ126" s="137">
        <f>IF(CI126="základní",J126,0)</f>
        <v>13932.92</v>
      </c>
      <c r="EA126" s="137">
        <f>IF(CI126="snížená",J126,0)</f>
        <v>0</v>
      </c>
      <c r="EB126" s="137">
        <f>IF(CI126="zákl. přenesená",J126,0)</f>
        <v>0</v>
      </c>
      <c r="EC126" s="137">
        <f>IF(CI126="sníž. přenesená",J126,0)</f>
        <v>0</v>
      </c>
      <c r="ED126" s="137">
        <f>IF(CI126="nulová",J126,0)</f>
        <v>0</v>
      </c>
      <c r="EE126" s="16" t="s">
        <v>81</v>
      </c>
      <c r="EF126" s="137">
        <f>ROUND(I126*H126,2)</f>
        <v>13932.92</v>
      </c>
      <c r="EG126" s="16" t="s">
        <v>95</v>
      </c>
      <c r="EH126" s="136" t="s">
        <v>288</v>
      </c>
    </row>
    <row r="127" spans="2:138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CH127" s="141"/>
      <c r="CO127" s="50"/>
      <c r="DO127" s="16" t="s">
        <v>289</v>
      </c>
      <c r="DP127" s="16" t="s">
        <v>83</v>
      </c>
    </row>
    <row r="128" spans="2:138" s="1" customFormat="1" ht="24.2" customHeight="1" x14ac:dyDescent="0.2">
      <c r="B128" s="124"/>
      <c r="C128" s="125" t="s">
        <v>83</v>
      </c>
      <c r="D128" s="125" t="s">
        <v>284</v>
      </c>
      <c r="E128" s="126" t="s">
        <v>291</v>
      </c>
      <c r="F128" s="127" t="s">
        <v>292</v>
      </c>
      <c r="G128" s="128" t="s">
        <v>287</v>
      </c>
      <c r="H128" s="129">
        <v>202.61</v>
      </c>
      <c r="I128" s="130">
        <v>68.767172335543137</v>
      </c>
      <c r="J128" s="131">
        <f>ROUND(I128*H128,2)</f>
        <v>13932.92</v>
      </c>
      <c r="K128" s="127" t="s">
        <v>293</v>
      </c>
      <c r="L128" s="268">
        <f>S128</f>
        <v>0</v>
      </c>
      <c r="M128" s="272">
        <f>ROUND(L128*I128,2)</f>
        <v>0</v>
      </c>
      <c r="N128" s="243">
        <f>N130</f>
        <v>13.990500000000026</v>
      </c>
      <c r="O128" s="294">
        <f>ROUND(N128*I128,2)</f>
        <v>962.09</v>
      </c>
      <c r="P128" s="273">
        <f>H128-L128-N128</f>
        <v>188.61949999999999</v>
      </c>
      <c r="Q128" s="287">
        <f>ROUND(P128*I128,2)</f>
        <v>12970.83</v>
      </c>
      <c r="R128" s="137"/>
      <c r="S128" s="269">
        <f>W128+Y128+AA128+AC128</f>
        <v>0</v>
      </c>
      <c r="T128" s="269">
        <f>ROUND(S128*I128,2)</f>
        <v>0</v>
      </c>
      <c r="U128" s="269">
        <f>H128-S128</f>
        <v>202.61</v>
      </c>
      <c r="V128" s="269">
        <f>ROUND(U128*I128,2)</f>
        <v>13932.92</v>
      </c>
      <c r="W128" s="269"/>
      <c r="X128" s="269"/>
      <c r="Y128" s="269"/>
      <c r="Z128" s="269"/>
      <c r="AA128" s="269"/>
      <c r="AB128" s="269"/>
      <c r="AC128" s="269"/>
      <c r="AD128" s="269"/>
      <c r="CH128" s="132" t="s">
        <v>1</v>
      </c>
      <c r="CI128" s="133" t="s">
        <v>40</v>
      </c>
      <c r="CK128" s="134">
        <f>CJ128*H128</f>
        <v>0</v>
      </c>
      <c r="CL128" s="134">
        <v>0</v>
      </c>
      <c r="CM128" s="134">
        <f>CL128*H128</f>
        <v>0</v>
      </c>
      <c r="CN128" s="134">
        <v>0.57999999999999996</v>
      </c>
      <c r="CO128" s="135">
        <f>CN128*H128</f>
        <v>117.5138</v>
      </c>
      <c r="DM128" s="136" t="s">
        <v>95</v>
      </c>
      <c r="DO128" s="136" t="s">
        <v>284</v>
      </c>
      <c r="DP128" s="136" t="s">
        <v>83</v>
      </c>
      <c r="DT128" s="16" t="s">
        <v>282</v>
      </c>
      <c r="DZ128" s="137">
        <f>IF(CI128="základní",J128,0)</f>
        <v>13932.92</v>
      </c>
      <c r="EA128" s="137">
        <f>IF(CI128="snížená",J128,0)</f>
        <v>0</v>
      </c>
      <c r="EB128" s="137">
        <f>IF(CI128="zákl. přenesená",J128,0)</f>
        <v>0</v>
      </c>
      <c r="EC128" s="137">
        <f>IF(CI128="sníž. přenesená",J128,0)</f>
        <v>0</v>
      </c>
      <c r="ED128" s="137">
        <f>IF(CI128="nulová",J128,0)</f>
        <v>0</v>
      </c>
      <c r="EE128" s="16" t="s">
        <v>81</v>
      </c>
      <c r="EF128" s="137">
        <f>ROUND(I128*H128,2)</f>
        <v>13932.92</v>
      </c>
      <c r="EG128" s="16" t="s">
        <v>95</v>
      </c>
      <c r="EH128" s="136" t="s">
        <v>294</v>
      </c>
    </row>
    <row r="129" spans="2:138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CH129" s="141"/>
      <c r="CO129" s="50"/>
      <c r="DO129" s="16" t="s">
        <v>289</v>
      </c>
      <c r="DP129" s="16" t="s">
        <v>83</v>
      </c>
    </row>
    <row r="130" spans="2:138" s="1" customFormat="1" ht="24.2" customHeight="1" x14ac:dyDescent="0.2">
      <c r="B130" s="124"/>
      <c r="C130" s="125" t="s">
        <v>90</v>
      </c>
      <c r="D130" s="125" t="s">
        <v>284</v>
      </c>
      <c r="E130" s="126" t="s">
        <v>295</v>
      </c>
      <c r="F130" s="127" t="s">
        <v>732</v>
      </c>
      <c r="G130" s="128" t="s">
        <v>287</v>
      </c>
      <c r="H130" s="129">
        <v>202.61</v>
      </c>
      <c r="I130" s="130">
        <v>27.886826761540966</v>
      </c>
      <c r="J130" s="131">
        <f>ROUND(I130*H130,2)</f>
        <v>5650.15</v>
      </c>
      <c r="K130" s="127" t="s">
        <v>293</v>
      </c>
      <c r="L130" s="268">
        <f>S130</f>
        <v>0</v>
      </c>
      <c r="M130" s="272">
        <f>ROUND(L130*I130,2)</f>
        <v>0</v>
      </c>
      <c r="N130" s="243">
        <f>N139</f>
        <v>13.990500000000026</v>
      </c>
      <c r="O130" s="294">
        <f>ROUND(N130*I130,2)</f>
        <v>390.15</v>
      </c>
      <c r="P130" s="273">
        <f>H130-L130-N130</f>
        <v>188.61949999999999</v>
      </c>
      <c r="Q130" s="287">
        <f>ROUND(P130*I130,2)</f>
        <v>5260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202.61</v>
      </c>
      <c r="V130" s="269">
        <f>ROUND(U130*I130,2)</f>
        <v>5650.15</v>
      </c>
      <c r="W130" s="269"/>
      <c r="X130" s="269"/>
      <c r="Y130" s="269"/>
      <c r="Z130" s="269"/>
      <c r="AA130" s="269"/>
      <c r="AB130" s="269"/>
      <c r="AC130" s="269"/>
      <c r="AD130" s="269"/>
      <c r="CH130" s="132" t="s">
        <v>1</v>
      </c>
      <c r="CI130" s="133" t="s">
        <v>40</v>
      </c>
      <c r="CK130" s="134">
        <f>CJ130*H130</f>
        <v>0</v>
      </c>
      <c r="CL130" s="134">
        <v>0</v>
      </c>
      <c r="CM130" s="134">
        <f>CL130*H130</f>
        <v>0</v>
      </c>
      <c r="CN130" s="134">
        <v>9.8000000000000004E-2</v>
      </c>
      <c r="CO130" s="135">
        <f>CN130*H130</f>
        <v>19.855780000000003</v>
      </c>
      <c r="DM130" s="136" t="s">
        <v>95</v>
      </c>
      <c r="DO130" s="136" t="s">
        <v>284</v>
      </c>
      <c r="DP130" s="136" t="s">
        <v>83</v>
      </c>
      <c r="DT130" s="16" t="s">
        <v>282</v>
      </c>
      <c r="DZ130" s="137">
        <f>IF(CI130="základní",J130,0)</f>
        <v>5650.15</v>
      </c>
      <c r="EA130" s="137">
        <f>IF(CI130="snížená",J130,0)</f>
        <v>0</v>
      </c>
      <c r="EB130" s="137">
        <f>IF(CI130="zákl. přenesená",J130,0)</f>
        <v>0</v>
      </c>
      <c r="EC130" s="137">
        <f>IF(CI130="sníž. přenesená",J130,0)</f>
        <v>0</v>
      </c>
      <c r="ED130" s="137">
        <f>IF(CI130="nulová",J130,0)</f>
        <v>0</v>
      </c>
      <c r="EE130" s="16" t="s">
        <v>81</v>
      </c>
      <c r="EF130" s="137">
        <f>ROUND(I130*H130,2)</f>
        <v>5650.15</v>
      </c>
      <c r="EG130" s="16" t="s">
        <v>95</v>
      </c>
      <c r="EH130" s="136" t="s">
        <v>297</v>
      </c>
    </row>
    <row r="131" spans="2:138" s="1" customFormat="1" ht="29.25" x14ac:dyDescent="0.2">
      <c r="B131" s="31"/>
      <c r="D131" s="138" t="s">
        <v>289</v>
      </c>
      <c r="F131" s="139" t="s">
        <v>298</v>
      </c>
      <c r="I131" s="140"/>
      <c r="L131" s="31"/>
      <c r="N131" s="213"/>
      <c r="O131" s="214"/>
      <c r="Q131" s="229"/>
      <c r="CH131" s="141"/>
      <c r="CO131" s="50"/>
      <c r="DO131" s="16" t="s">
        <v>289</v>
      </c>
      <c r="DP131" s="16" t="s">
        <v>83</v>
      </c>
    </row>
    <row r="132" spans="2:138" s="1" customFormat="1" ht="29.25" x14ac:dyDescent="0.2">
      <c r="B132" s="31"/>
      <c r="D132" s="138" t="s">
        <v>299</v>
      </c>
      <c r="F132" s="142" t="s">
        <v>1611</v>
      </c>
      <c r="I132" s="140"/>
      <c r="L132" s="31"/>
      <c r="N132" s="213"/>
      <c r="O132" s="214"/>
      <c r="Q132" s="229"/>
      <c r="CH132" s="141"/>
      <c r="CO132" s="50"/>
      <c r="DO132" s="16" t="s">
        <v>299</v>
      </c>
      <c r="DP132" s="16" t="s">
        <v>83</v>
      </c>
    </row>
    <row r="133" spans="2:138" s="11" customFormat="1" x14ac:dyDescent="0.2">
      <c r="B133" s="143"/>
      <c r="D133" s="138" t="s">
        <v>301</v>
      </c>
      <c r="E133" s="144" t="s">
        <v>1</v>
      </c>
      <c r="F133" s="145" t="s">
        <v>302</v>
      </c>
      <c r="H133" s="144" t="s">
        <v>1</v>
      </c>
      <c r="I133" s="146"/>
      <c r="L133" s="143"/>
      <c r="N133" s="215"/>
      <c r="O133" s="216"/>
      <c r="Q133" s="230"/>
      <c r="CH133" s="147"/>
      <c r="CO133" s="148"/>
      <c r="DO133" s="144" t="s">
        <v>301</v>
      </c>
      <c r="DP133" s="144" t="s">
        <v>83</v>
      </c>
      <c r="DQ133" s="11" t="s">
        <v>81</v>
      </c>
      <c r="DR133" s="11" t="s">
        <v>32</v>
      </c>
      <c r="DS133" s="11" t="s">
        <v>74</v>
      </c>
      <c r="DT133" s="144" t="s">
        <v>282</v>
      </c>
    </row>
    <row r="134" spans="2:138" s="12" customFormat="1" x14ac:dyDescent="0.2">
      <c r="B134" s="149"/>
      <c r="D134" s="138" t="s">
        <v>301</v>
      </c>
      <c r="E134" s="150" t="s">
        <v>1</v>
      </c>
      <c r="F134" s="151" t="s">
        <v>1612</v>
      </c>
      <c r="H134" s="152">
        <v>2</v>
      </c>
      <c r="I134" s="153"/>
      <c r="L134" s="149"/>
      <c r="N134" s="217">
        <f>3.59*1</f>
        <v>3.59</v>
      </c>
      <c r="O134" s="359" t="s">
        <v>3522</v>
      </c>
      <c r="Q134" s="231"/>
      <c r="CH134" s="154"/>
      <c r="CO134" s="155"/>
      <c r="DO134" s="150" t="s">
        <v>301</v>
      </c>
      <c r="DP134" s="150" t="s">
        <v>83</v>
      </c>
      <c r="DQ134" s="12" t="s">
        <v>83</v>
      </c>
      <c r="DR134" s="12" t="s">
        <v>32</v>
      </c>
      <c r="DS134" s="12" t="s">
        <v>74</v>
      </c>
      <c r="DT134" s="150" t="s">
        <v>282</v>
      </c>
    </row>
    <row r="135" spans="2:138" s="12" customFormat="1" x14ac:dyDescent="0.2">
      <c r="B135" s="149"/>
      <c r="D135" s="138" t="s">
        <v>301</v>
      </c>
      <c r="E135" s="150" t="s">
        <v>1</v>
      </c>
      <c r="F135" s="151" t="s">
        <v>1613</v>
      </c>
      <c r="H135" s="152">
        <v>189</v>
      </c>
      <c r="I135" s="153"/>
      <c r="L135" s="149"/>
      <c r="N135" s="217">
        <f>191.81*1.05</f>
        <v>201.40050000000002</v>
      </c>
      <c r="O135" s="359" t="s">
        <v>3542</v>
      </c>
      <c r="Q135" s="231"/>
      <c r="CH135" s="154"/>
      <c r="CO135" s="155"/>
      <c r="DO135" s="150" t="s">
        <v>301</v>
      </c>
      <c r="DP135" s="150" t="s">
        <v>83</v>
      </c>
      <c r="DQ135" s="12" t="s">
        <v>83</v>
      </c>
      <c r="DR135" s="12" t="s">
        <v>32</v>
      </c>
      <c r="DS135" s="12" t="s">
        <v>74</v>
      </c>
      <c r="DT135" s="150" t="s">
        <v>282</v>
      </c>
    </row>
    <row r="136" spans="2:138" s="12" customFormat="1" x14ac:dyDescent="0.2">
      <c r="B136" s="149"/>
      <c r="D136" s="138" t="s">
        <v>301</v>
      </c>
      <c r="E136" s="150" t="s">
        <v>1</v>
      </c>
      <c r="F136" s="151" t="s">
        <v>806</v>
      </c>
      <c r="H136" s="152">
        <v>8.91</v>
      </c>
      <c r="I136" s="153"/>
      <c r="L136" s="149"/>
      <c r="N136" s="310">
        <f>H136</f>
        <v>8.91</v>
      </c>
      <c r="O136" s="218"/>
      <c r="Q136" s="231"/>
      <c r="CH136" s="154"/>
      <c r="CO136" s="155"/>
      <c r="DO136" s="150" t="s">
        <v>301</v>
      </c>
      <c r="DP136" s="150" t="s">
        <v>83</v>
      </c>
      <c r="DQ136" s="12" t="s">
        <v>83</v>
      </c>
      <c r="DR136" s="12" t="s">
        <v>32</v>
      </c>
      <c r="DS136" s="12" t="s">
        <v>74</v>
      </c>
      <c r="DT136" s="150" t="s">
        <v>282</v>
      </c>
    </row>
    <row r="137" spans="2:138" s="12" customFormat="1" x14ac:dyDescent="0.2">
      <c r="B137" s="149"/>
      <c r="D137" s="138" t="s">
        <v>301</v>
      </c>
      <c r="E137" s="150" t="s">
        <v>1</v>
      </c>
      <c r="F137" s="151" t="s">
        <v>1614</v>
      </c>
      <c r="H137" s="152">
        <v>2.7</v>
      </c>
      <c r="I137" s="153"/>
      <c r="L137" s="149"/>
      <c r="N137" s="310">
        <f>H137</f>
        <v>2.7</v>
      </c>
      <c r="O137" s="218"/>
      <c r="Q137" s="231"/>
      <c r="CH137" s="154"/>
      <c r="CO137" s="155"/>
      <c r="DO137" s="150" t="s">
        <v>301</v>
      </c>
      <c r="DP137" s="150" t="s">
        <v>83</v>
      </c>
      <c r="DQ137" s="12" t="s">
        <v>83</v>
      </c>
      <c r="DR137" s="12" t="s">
        <v>32</v>
      </c>
      <c r="DS137" s="12" t="s">
        <v>74</v>
      </c>
      <c r="DT137" s="150" t="s">
        <v>282</v>
      </c>
    </row>
    <row r="138" spans="2:138" s="13" customFormat="1" x14ac:dyDescent="0.2">
      <c r="B138" s="156"/>
      <c r="D138" s="138" t="s">
        <v>301</v>
      </c>
      <c r="E138" s="157" t="s">
        <v>1</v>
      </c>
      <c r="F138" s="158" t="s">
        <v>305</v>
      </c>
      <c r="H138" s="159">
        <v>202.60999999999999</v>
      </c>
      <c r="I138" s="160"/>
      <c r="L138" s="156"/>
      <c r="N138" s="219">
        <f>SUM(N134:N137)</f>
        <v>216.60050000000001</v>
      </c>
      <c r="O138" s="220"/>
      <c r="Q138" s="232"/>
      <c r="CH138" s="161"/>
      <c r="CO138" s="162"/>
      <c r="DO138" s="157" t="s">
        <v>301</v>
      </c>
      <c r="DP138" s="157" t="s">
        <v>83</v>
      </c>
      <c r="DQ138" s="13" t="s">
        <v>95</v>
      </c>
      <c r="DR138" s="13" t="s">
        <v>32</v>
      </c>
      <c r="DS138" s="13" t="s">
        <v>81</v>
      </c>
      <c r="DT138" s="157" t="s">
        <v>282</v>
      </c>
    </row>
    <row r="139" spans="2:138" s="13" customFormat="1" x14ac:dyDescent="0.2">
      <c r="B139" s="156"/>
      <c r="D139" s="138"/>
      <c r="E139" s="157"/>
      <c r="F139" s="158"/>
      <c r="H139" s="159"/>
      <c r="I139" s="160"/>
      <c r="L139" s="156"/>
      <c r="N139" s="311">
        <f>N138-H138</f>
        <v>13.990500000000026</v>
      </c>
      <c r="O139" s="220"/>
      <c r="Q139" s="232"/>
      <c r="CH139" s="161"/>
      <c r="CO139" s="162"/>
      <c r="DO139" s="157"/>
      <c r="DP139" s="157"/>
      <c r="DT139" s="157"/>
    </row>
    <row r="140" spans="2:138" s="1" customFormat="1" ht="24.2" customHeight="1" x14ac:dyDescent="0.2">
      <c r="B140" s="124"/>
      <c r="C140" s="125" t="s">
        <v>95</v>
      </c>
      <c r="D140" s="125" t="s">
        <v>284</v>
      </c>
      <c r="E140" s="126" t="s">
        <v>306</v>
      </c>
      <c r="F140" s="127" t="s">
        <v>307</v>
      </c>
      <c r="G140" s="128" t="s">
        <v>287</v>
      </c>
      <c r="H140" s="129">
        <v>728</v>
      </c>
      <c r="I140" s="130">
        <v>55.314624729404002</v>
      </c>
      <c r="J140" s="131">
        <f>ROUND(I140*H140,2)</f>
        <v>40269.050000000003</v>
      </c>
      <c r="K140" s="127" t="s">
        <v>293</v>
      </c>
      <c r="L140" s="268">
        <f>S140</f>
        <v>0</v>
      </c>
      <c r="M140" s="272">
        <f>ROUND(L140*I140,2)</f>
        <v>0</v>
      </c>
      <c r="N140" s="243">
        <f>N147</f>
        <v>53.600000000000023</v>
      </c>
      <c r="O140" s="294">
        <f>ROUND(N140*I140,2)</f>
        <v>2964.86</v>
      </c>
      <c r="P140" s="273">
        <f>H140-L140-N140</f>
        <v>674.4</v>
      </c>
      <c r="Q140" s="287">
        <f>ROUND(P140*I140,2)</f>
        <v>37304.18</v>
      </c>
      <c r="R140" s="137"/>
      <c r="S140" s="269">
        <f>W140+Y140+AA140+AC140</f>
        <v>0</v>
      </c>
      <c r="T140" s="269">
        <f>ROUND(S140*I140,2)</f>
        <v>0</v>
      </c>
      <c r="U140" s="269">
        <f>H140-S140</f>
        <v>728</v>
      </c>
      <c r="V140" s="269">
        <f>ROUND(U140*I140,2)</f>
        <v>40269.050000000003</v>
      </c>
      <c r="W140" s="269"/>
      <c r="X140" s="269"/>
      <c r="Y140" s="269"/>
      <c r="Z140" s="269"/>
      <c r="AA140" s="269"/>
      <c r="AB140" s="269"/>
      <c r="AC140" s="269"/>
      <c r="AD140" s="269"/>
      <c r="CH140" s="132" t="s">
        <v>1</v>
      </c>
      <c r="CI140" s="133" t="s">
        <v>40</v>
      </c>
      <c r="CK140" s="134">
        <f>CJ140*H140</f>
        <v>0</v>
      </c>
      <c r="CL140" s="134">
        <v>6.9999999999999994E-5</v>
      </c>
      <c r="CM140" s="134">
        <f>CL140*H140</f>
        <v>5.0959999999999998E-2</v>
      </c>
      <c r="CN140" s="134">
        <v>0.115</v>
      </c>
      <c r="CO140" s="135">
        <f>CN140*H140</f>
        <v>83.72</v>
      </c>
      <c r="DM140" s="136" t="s">
        <v>95</v>
      </c>
      <c r="DO140" s="136" t="s">
        <v>284</v>
      </c>
      <c r="DP140" s="136" t="s">
        <v>83</v>
      </c>
      <c r="DT140" s="16" t="s">
        <v>282</v>
      </c>
      <c r="DZ140" s="137">
        <f>IF(CI140="základní",J140,0)</f>
        <v>40269.050000000003</v>
      </c>
      <c r="EA140" s="137">
        <f>IF(CI140="snížená",J140,0)</f>
        <v>0</v>
      </c>
      <c r="EB140" s="137">
        <f>IF(CI140="zákl. přenesená",J140,0)</f>
        <v>0</v>
      </c>
      <c r="EC140" s="137">
        <f>IF(CI140="sníž. přenesená",J140,0)</f>
        <v>0</v>
      </c>
      <c r="ED140" s="137">
        <f>IF(CI140="nulová",J140,0)</f>
        <v>0</v>
      </c>
      <c r="EE140" s="16" t="s">
        <v>81</v>
      </c>
      <c r="EF140" s="137">
        <f>ROUND(I140*H140,2)</f>
        <v>40269.050000000003</v>
      </c>
      <c r="EG140" s="16" t="s">
        <v>95</v>
      </c>
      <c r="EH140" s="136" t="s">
        <v>308</v>
      </c>
    </row>
    <row r="141" spans="2:138" s="1" customFormat="1" ht="29.25" x14ac:dyDescent="0.2">
      <c r="B141" s="31"/>
      <c r="D141" s="138" t="s">
        <v>289</v>
      </c>
      <c r="F141" s="139" t="s">
        <v>309</v>
      </c>
      <c r="I141" s="140"/>
      <c r="L141" s="31"/>
      <c r="N141" s="213"/>
      <c r="O141" s="214"/>
      <c r="Q141" s="229"/>
      <c r="CH141" s="141"/>
      <c r="CO141" s="50"/>
      <c r="DO141" s="16" t="s">
        <v>289</v>
      </c>
      <c r="DP141" s="16" t="s">
        <v>83</v>
      </c>
    </row>
    <row r="142" spans="2:138" s="1" customFormat="1" ht="29.25" x14ac:dyDescent="0.2">
      <c r="B142" s="31"/>
      <c r="D142" s="138" t="s">
        <v>299</v>
      </c>
      <c r="F142" s="142" t="s">
        <v>1611</v>
      </c>
      <c r="I142" s="140"/>
      <c r="L142" s="31"/>
      <c r="N142" s="213"/>
      <c r="O142" s="214"/>
      <c r="Q142" s="229"/>
      <c r="CH142" s="141"/>
      <c r="CO142" s="50"/>
      <c r="DO142" s="16" t="s">
        <v>299</v>
      </c>
      <c r="DP142" s="16" t="s">
        <v>83</v>
      </c>
    </row>
    <row r="143" spans="2:138" s="11" customFormat="1" x14ac:dyDescent="0.2">
      <c r="B143" s="143"/>
      <c r="D143" s="138" t="s">
        <v>301</v>
      </c>
      <c r="E143" s="144" t="s">
        <v>1</v>
      </c>
      <c r="F143" s="145" t="s">
        <v>310</v>
      </c>
      <c r="H143" s="144" t="s">
        <v>1</v>
      </c>
      <c r="I143" s="146"/>
      <c r="L143" s="143"/>
      <c r="N143" s="215"/>
      <c r="O143" s="216"/>
      <c r="Q143" s="230"/>
      <c r="CH143" s="147"/>
      <c r="CO143" s="148"/>
      <c r="DO143" s="144" t="s">
        <v>301</v>
      </c>
      <c r="DP143" s="144" t="s">
        <v>83</v>
      </c>
      <c r="DQ143" s="11" t="s">
        <v>81</v>
      </c>
      <c r="DR143" s="11" t="s">
        <v>32</v>
      </c>
      <c r="DS143" s="11" t="s">
        <v>74</v>
      </c>
      <c r="DT143" s="144" t="s">
        <v>282</v>
      </c>
    </row>
    <row r="144" spans="2:138" s="12" customFormat="1" x14ac:dyDescent="0.2">
      <c r="B144" s="149"/>
      <c r="D144" s="138" t="s">
        <v>301</v>
      </c>
      <c r="E144" s="150" t="s">
        <v>1</v>
      </c>
      <c r="F144" s="151" t="s">
        <v>1615</v>
      </c>
      <c r="H144" s="152">
        <v>8</v>
      </c>
      <c r="I144" s="153"/>
      <c r="L144" s="149"/>
      <c r="N144" s="217">
        <f>3.59*4</f>
        <v>14.36</v>
      </c>
      <c r="O144" s="359" t="s">
        <v>3523</v>
      </c>
      <c r="Q144" s="231"/>
      <c r="CH144" s="154"/>
      <c r="CO144" s="155"/>
      <c r="DO144" s="150" t="s">
        <v>301</v>
      </c>
      <c r="DP144" s="150" t="s">
        <v>83</v>
      </c>
      <c r="DQ144" s="12" t="s">
        <v>83</v>
      </c>
      <c r="DR144" s="12" t="s">
        <v>32</v>
      </c>
      <c r="DS144" s="12" t="s">
        <v>74</v>
      </c>
      <c r="DT144" s="150" t="s">
        <v>282</v>
      </c>
    </row>
    <row r="145" spans="2:138" s="12" customFormat="1" x14ac:dyDescent="0.2">
      <c r="B145" s="149"/>
      <c r="D145" s="138" t="s">
        <v>301</v>
      </c>
      <c r="E145" s="150" t="s">
        <v>1</v>
      </c>
      <c r="F145" s="151" t="s">
        <v>1616</v>
      </c>
      <c r="H145" s="152">
        <v>720</v>
      </c>
      <c r="I145" s="153"/>
      <c r="L145" s="149"/>
      <c r="N145" s="217">
        <f>191.81*4</f>
        <v>767.24</v>
      </c>
      <c r="O145" s="359" t="s">
        <v>3543</v>
      </c>
      <c r="Q145" s="231"/>
      <c r="CH145" s="154"/>
      <c r="CO145" s="155"/>
      <c r="DO145" s="150" t="s">
        <v>301</v>
      </c>
      <c r="DP145" s="150" t="s">
        <v>83</v>
      </c>
      <c r="DQ145" s="12" t="s">
        <v>83</v>
      </c>
      <c r="DR145" s="12" t="s">
        <v>32</v>
      </c>
      <c r="DS145" s="12" t="s">
        <v>74</v>
      </c>
      <c r="DT145" s="150" t="s">
        <v>282</v>
      </c>
    </row>
    <row r="146" spans="2:138" s="13" customFormat="1" x14ac:dyDescent="0.2">
      <c r="B146" s="156"/>
      <c r="D146" s="138" t="s">
        <v>301</v>
      </c>
      <c r="E146" s="157" t="s">
        <v>1</v>
      </c>
      <c r="F146" s="158" t="s">
        <v>305</v>
      </c>
      <c r="H146" s="159">
        <v>728</v>
      </c>
      <c r="I146" s="160"/>
      <c r="L146" s="156"/>
      <c r="N146" s="219">
        <f>SUM(N144:N145)</f>
        <v>781.6</v>
      </c>
      <c r="O146" s="220"/>
      <c r="Q146" s="232"/>
      <c r="CH146" s="161"/>
      <c r="CO146" s="162"/>
      <c r="DO146" s="157" t="s">
        <v>301</v>
      </c>
      <c r="DP146" s="157" t="s">
        <v>83</v>
      </c>
      <c r="DQ146" s="13" t="s">
        <v>95</v>
      </c>
      <c r="DR146" s="13" t="s">
        <v>32</v>
      </c>
      <c r="DS146" s="13" t="s">
        <v>81</v>
      </c>
      <c r="DT146" s="157" t="s">
        <v>282</v>
      </c>
    </row>
    <row r="147" spans="2:138" s="13" customFormat="1" x14ac:dyDescent="0.2">
      <c r="B147" s="156"/>
      <c r="D147" s="138"/>
      <c r="E147" s="157"/>
      <c r="F147" s="158"/>
      <c r="H147" s="159"/>
      <c r="I147" s="160"/>
      <c r="L147" s="156"/>
      <c r="N147" s="311">
        <f>N146-H146</f>
        <v>53.600000000000023</v>
      </c>
      <c r="O147" s="220"/>
      <c r="Q147" s="232"/>
      <c r="CH147" s="161"/>
      <c r="CO147" s="162"/>
      <c r="DO147" s="157"/>
      <c r="DP147" s="157"/>
      <c r="DT147" s="157"/>
    </row>
    <row r="148" spans="2:138" s="1" customFormat="1" ht="24.2" customHeight="1" x14ac:dyDescent="0.2">
      <c r="B148" s="124"/>
      <c r="C148" s="125" t="s">
        <v>312</v>
      </c>
      <c r="D148" s="125" t="s">
        <v>284</v>
      </c>
      <c r="E148" s="126" t="s">
        <v>313</v>
      </c>
      <c r="F148" s="127" t="s">
        <v>314</v>
      </c>
      <c r="G148" s="128" t="s">
        <v>315</v>
      </c>
      <c r="H148" s="129">
        <v>1</v>
      </c>
      <c r="I148" s="130">
        <v>3788.8627999999999</v>
      </c>
      <c r="J148" s="131">
        <f>ROUND(I148*H148,2)</f>
        <v>3788.86</v>
      </c>
      <c r="K148" s="127" t="s">
        <v>1</v>
      </c>
      <c r="L148" s="268">
        <f>S148</f>
        <v>0</v>
      </c>
      <c r="M148" s="272">
        <f>ROUND(L148*I148,2)</f>
        <v>0</v>
      </c>
      <c r="N148" s="243"/>
      <c r="O148" s="294">
        <f>ROUND(N148*I148,2)</f>
        <v>0</v>
      </c>
      <c r="P148" s="273">
        <f>H148-L148-N148</f>
        <v>1</v>
      </c>
      <c r="Q148" s="287">
        <f>ROUND(P148*I148,2)</f>
        <v>3788.86</v>
      </c>
      <c r="R148" s="137"/>
      <c r="S148" s="269">
        <f>W148+Y148+AA148+AC148</f>
        <v>0</v>
      </c>
      <c r="T148" s="269">
        <f>ROUND(S148*I148,2)</f>
        <v>0</v>
      </c>
      <c r="U148" s="269">
        <f>H148-S148</f>
        <v>1</v>
      </c>
      <c r="V148" s="269">
        <f>ROUND(U148*I148,2)</f>
        <v>3788.86</v>
      </c>
      <c r="W148" s="269"/>
      <c r="X148" s="269"/>
      <c r="Y148" s="269"/>
      <c r="Z148" s="269"/>
      <c r="AA148" s="269"/>
      <c r="AB148" s="269"/>
      <c r="AC148" s="269"/>
      <c r="AD148" s="269"/>
      <c r="CH148" s="132" t="s">
        <v>1</v>
      </c>
      <c r="CI148" s="133" t="s">
        <v>40</v>
      </c>
      <c r="CK148" s="134">
        <f>CJ148*H148</f>
        <v>0</v>
      </c>
      <c r="CL148" s="134">
        <v>0</v>
      </c>
      <c r="CM148" s="134">
        <f>CL148*H148</f>
        <v>0</v>
      </c>
      <c r="CN148" s="134">
        <v>0</v>
      </c>
      <c r="CO148" s="135">
        <f>CN148*H148</f>
        <v>0</v>
      </c>
      <c r="DM148" s="136" t="s">
        <v>95</v>
      </c>
      <c r="DO148" s="136" t="s">
        <v>284</v>
      </c>
      <c r="DP148" s="136" t="s">
        <v>83</v>
      </c>
      <c r="DT148" s="16" t="s">
        <v>282</v>
      </c>
      <c r="DZ148" s="137">
        <f>IF(CI148="základní",J148,0)</f>
        <v>3788.86</v>
      </c>
      <c r="EA148" s="137">
        <f>IF(CI148="snížená",J148,0)</f>
        <v>0</v>
      </c>
      <c r="EB148" s="137">
        <f>IF(CI148="zákl. přenesená",J148,0)</f>
        <v>0</v>
      </c>
      <c r="EC148" s="137">
        <f>IF(CI148="sníž. přenesená",J148,0)</f>
        <v>0</v>
      </c>
      <c r="ED148" s="137">
        <f>IF(CI148="nulová",J148,0)</f>
        <v>0</v>
      </c>
      <c r="EE148" s="16" t="s">
        <v>81</v>
      </c>
      <c r="EF148" s="137">
        <f>ROUND(I148*H148,2)</f>
        <v>3788.86</v>
      </c>
      <c r="EG148" s="16" t="s">
        <v>95</v>
      </c>
      <c r="EH148" s="136" t="s">
        <v>316</v>
      </c>
    </row>
    <row r="149" spans="2:138" s="1" customFormat="1" ht="19.5" x14ac:dyDescent="0.2">
      <c r="B149" s="31"/>
      <c r="D149" s="138" t="s">
        <v>289</v>
      </c>
      <c r="F149" s="139" t="s">
        <v>314</v>
      </c>
      <c r="I149" s="140"/>
      <c r="L149" s="31"/>
      <c r="N149" s="213"/>
      <c r="O149" s="214"/>
      <c r="Q149" s="229"/>
      <c r="CH149" s="141"/>
      <c r="CO149" s="50"/>
      <c r="DO149" s="16" t="s">
        <v>289</v>
      </c>
      <c r="DP149" s="16" t="s">
        <v>83</v>
      </c>
    </row>
    <row r="150" spans="2:138" s="1" customFormat="1" ht="19.5" x14ac:dyDescent="0.2">
      <c r="B150" s="31"/>
      <c r="D150" s="138" t="s">
        <v>299</v>
      </c>
      <c r="F150" s="142" t="s">
        <v>317</v>
      </c>
      <c r="I150" s="140"/>
      <c r="L150" s="31"/>
      <c r="N150" s="213"/>
      <c r="O150" s="214"/>
      <c r="Q150" s="229"/>
      <c r="CH150" s="141"/>
      <c r="CO150" s="50"/>
      <c r="DO150" s="16" t="s">
        <v>299</v>
      </c>
      <c r="DP150" s="16" t="s">
        <v>83</v>
      </c>
    </row>
    <row r="151" spans="2:138" s="12" customFormat="1" x14ac:dyDescent="0.2">
      <c r="B151" s="149"/>
      <c r="D151" s="138" t="s">
        <v>301</v>
      </c>
      <c r="E151" s="150" t="s">
        <v>1</v>
      </c>
      <c r="F151" s="151" t="s">
        <v>81</v>
      </c>
      <c r="H151" s="152">
        <v>1</v>
      </c>
      <c r="I151" s="153"/>
      <c r="L151" s="149"/>
      <c r="N151" s="217"/>
      <c r="O151" s="218"/>
      <c r="Q151" s="231"/>
      <c r="CH151" s="154"/>
      <c r="CO151" s="155"/>
      <c r="DO151" s="150" t="s">
        <v>301</v>
      </c>
      <c r="DP151" s="150" t="s">
        <v>83</v>
      </c>
      <c r="DQ151" s="12" t="s">
        <v>83</v>
      </c>
      <c r="DR151" s="12" t="s">
        <v>32</v>
      </c>
      <c r="DS151" s="12" t="s">
        <v>81</v>
      </c>
      <c r="DT151" s="150" t="s">
        <v>282</v>
      </c>
    </row>
    <row r="152" spans="2:138" s="1" customFormat="1" ht="24.2" customHeight="1" x14ac:dyDescent="0.2">
      <c r="B152" s="124"/>
      <c r="C152" s="125" t="s">
        <v>318</v>
      </c>
      <c r="D152" s="125" t="s">
        <v>284</v>
      </c>
      <c r="E152" s="126" t="s">
        <v>324</v>
      </c>
      <c r="F152" s="127" t="s">
        <v>325</v>
      </c>
      <c r="G152" s="128" t="s">
        <v>315</v>
      </c>
      <c r="H152" s="129">
        <v>3</v>
      </c>
      <c r="I152" s="130">
        <v>1847.0706150000001</v>
      </c>
      <c r="J152" s="131">
        <f>ROUND(I152*H152,2)</f>
        <v>5541.21</v>
      </c>
      <c r="K152" s="127" t="s">
        <v>1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3</v>
      </c>
      <c r="Q152" s="287">
        <f>ROUND(P152*I152,2)</f>
        <v>5541.21</v>
      </c>
      <c r="R152" s="137"/>
      <c r="S152" s="269">
        <f>W152+Y152+AA152+AC152</f>
        <v>0</v>
      </c>
      <c r="T152" s="269">
        <f>ROUND(S152*I152,2)</f>
        <v>0</v>
      </c>
      <c r="U152" s="269">
        <f>H152-S152</f>
        <v>3</v>
      </c>
      <c r="V152" s="269">
        <f>ROUND(U152*I152,2)</f>
        <v>5541.21</v>
      </c>
      <c r="W152" s="269"/>
      <c r="X152" s="269"/>
      <c r="Y152" s="269"/>
      <c r="Z152" s="269"/>
      <c r="AA152" s="269"/>
      <c r="AB152" s="269"/>
      <c r="AC152" s="269"/>
      <c r="AD152" s="269"/>
      <c r="CH152" s="132" t="s">
        <v>1</v>
      </c>
      <c r="CI152" s="133" t="s">
        <v>40</v>
      </c>
      <c r="CK152" s="134">
        <f>CJ152*H152</f>
        <v>0</v>
      </c>
      <c r="CL152" s="134">
        <v>0</v>
      </c>
      <c r="CM152" s="134">
        <f>CL152*H152</f>
        <v>0</v>
      </c>
      <c r="CN152" s="134">
        <v>0</v>
      </c>
      <c r="CO152" s="135">
        <f>CN152*H152</f>
        <v>0</v>
      </c>
      <c r="DM152" s="136" t="s">
        <v>95</v>
      </c>
      <c r="DO152" s="136" t="s">
        <v>284</v>
      </c>
      <c r="DP152" s="136" t="s">
        <v>83</v>
      </c>
      <c r="DT152" s="16" t="s">
        <v>282</v>
      </c>
      <c r="DZ152" s="137">
        <f>IF(CI152="základní",J152,0)</f>
        <v>5541.21</v>
      </c>
      <c r="EA152" s="137">
        <f>IF(CI152="snížená",J152,0)</f>
        <v>0</v>
      </c>
      <c r="EB152" s="137">
        <f>IF(CI152="zákl. přenesená",J152,0)</f>
        <v>0</v>
      </c>
      <c r="EC152" s="137">
        <f>IF(CI152="sníž. přenesená",J152,0)</f>
        <v>0</v>
      </c>
      <c r="ED152" s="137">
        <f>IF(CI152="nulová",J152,0)</f>
        <v>0</v>
      </c>
      <c r="EE152" s="16" t="s">
        <v>81</v>
      </c>
      <c r="EF152" s="137">
        <f>ROUND(I152*H152,2)</f>
        <v>5541.21</v>
      </c>
      <c r="EG152" s="16" t="s">
        <v>95</v>
      </c>
      <c r="EH152" s="136" t="s">
        <v>326</v>
      </c>
    </row>
    <row r="153" spans="2:138" s="1" customFormat="1" ht="19.5" x14ac:dyDescent="0.2">
      <c r="B153" s="31"/>
      <c r="D153" s="138" t="s">
        <v>289</v>
      </c>
      <c r="F153" s="139" t="s">
        <v>325</v>
      </c>
      <c r="I153" s="140"/>
      <c r="L153" s="31"/>
      <c r="N153" s="213"/>
      <c r="O153" s="214"/>
      <c r="Q153" s="229"/>
      <c r="CH153" s="141"/>
      <c r="CO153" s="50"/>
      <c r="DO153" s="16" t="s">
        <v>289</v>
      </c>
      <c r="DP153" s="16" t="s">
        <v>83</v>
      </c>
    </row>
    <row r="154" spans="2:138" s="1" customFormat="1" ht="19.5" x14ac:dyDescent="0.2">
      <c r="B154" s="31"/>
      <c r="D154" s="138" t="s">
        <v>299</v>
      </c>
      <c r="F154" s="142" t="s">
        <v>317</v>
      </c>
      <c r="I154" s="140"/>
      <c r="L154" s="31"/>
      <c r="N154" s="213"/>
      <c r="O154" s="214"/>
      <c r="Q154" s="229"/>
      <c r="CH154" s="141"/>
      <c r="CO154" s="50"/>
      <c r="DO154" s="16" t="s">
        <v>299</v>
      </c>
      <c r="DP154" s="16" t="s">
        <v>83</v>
      </c>
    </row>
    <row r="155" spans="2:138" s="12" customFormat="1" x14ac:dyDescent="0.2">
      <c r="B155" s="149"/>
      <c r="D155" s="138" t="s">
        <v>301</v>
      </c>
      <c r="E155" s="150" t="s">
        <v>1</v>
      </c>
      <c r="F155" s="151" t="s">
        <v>90</v>
      </c>
      <c r="H155" s="152">
        <v>3</v>
      </c>
      <c r="I155" s="153"/>
      <c r="L155" s="149"/>
      <c r="N155" s="217"/>
      <c r="O155" s="218"/>
      <c r="Q155" s="231"/>
      <c r="CH155" s="154"/>
      <c r="CO155" s="155"/>
      <c r="DO155" s="150" t="s">
        <v>301</v>
      </c>
      <c r="DP155" s="150" t="s">
        <v>83</v>
      </c>
      <c r="DQ155" s="12" t="s">
        <v>83</v>
      </c>
      <c r="DR155" s="12" t="s">
        <v>32</v>
      </c>
      <c r="DS155" s="12" t="s">
        <v>81</v>
      </c>
      <c r="DT155" s="150" t="s">
        <v>282</v>
      </c>
    </row>
    <row r="156" spans="2:138" s="1" customFormat="1" ht="24.2" customHeight="1" x14ac:dyDescent="0.2">
      <c r="B156" s="124"/>
      <c r="C156" s="125" t="s">
        <v>323</v>
      </c>
      <c r="D156" s="125" t="s">
        <v>284</v>
      </c>
      <c r="E156" s="126" t="s">
        <v>329</v>
      </c>
      <c r="F156" s="127" t="s">
        <v>330</v>
      </c>
      <c r="G156" s="128" t="s">
        <v>331</v>
      </c>
      <c r="H156" s="129">
        <v>360</v>
      </c>
      <c r="I156" s="130">
        <v>70.957591385341729</v>
      </c>
      <c r="J156" s="131">
        <f>ROUND(I156*H156,2)</f>
        <v>25544.73</v>
      </c>
      <c r="K156" s="127" t="s">
        <v>293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360</v>
      </c>
      <c r="Q156" s="287">
        <f>ROUND(P156*I156,2)</f>
        <v>25544.73</v>
      </c>
      <c r="R156" s="137"/>
      <c r="S156" s="269">
        <f>W156+Y156+AA156+AC156</f>
        <v>0</v>
      </c>
      <c r="T156" s="269">
        <f>ROUND(S156*I156,2)</f>
        <v>0</v>
      </c>
      <c r="U156" s="269">
        <f>H156-S156</f>
        <v>360</v>
      </c>
      <c r="V156" s="269">
        <f>ROUND(U156*I156,2)</f>
        <v>25544.73</v>
      </c>
      <c r="W156" s="269"/>
      <c r="X156" s="269"/>
      <c r="Y156" s="269"/>
      <c r="Z156" s="269"/>
      <c r="AA156" s="269"/>
      <c r="AB156" s="269"/>
      <c r="AC156" s="269"/>
      <c r="AD156" s="269"/>
      <c r="CH156" s="132" t="s">
        <v>1</v>
      </c>
      <c r="CI156" s="133" t="s">
        <v>40</v>
      </c>
      <c r="CK156" s="134">
        <f>CJ156*H156</f>
        <v>0</v>
      </c>
      <c r="CL156" s="134">
        <v>3.0000000000000001E-5</v>
      </c>
      <c r="CM156" s="134">
        <f>CL156*H156</f>
        <v>1.0800000000000001E-2</v>
      </c>
      <c r="CN156" s="134">
        <v>0</v>
      </c>
      <c r="CO156" s="135">
        <f>CN156*H156</f>
        <v>0</v>
      </c>
      <c r="DM156" s="136" t="s">
        <v>95</v>
      </c>
      <c r="DO156" s="136" t="s">
        <v>284</v>
      </c>
      <c r="DP156" s="136" t="s">
        <v>83</v>
      </c>
      <c r="DT156" s="16" t="s">
        <v>282</v>
      </c>
      <c r="DZ156" s="137">
        <f>IF(CI156="základní",J156,0)</f>
        <v>25544.73</v>
      </c>
      <c r="EA156" s="137">
        <f>IF(CI156="snížená",J156,0)</f>
        <v>0</v>
      </c>
      <c r="EB156" s="137">
        <f>IF(CI156="zákl. přenesená",J156,0)</f>
        <v>0</v>
      </c>
      <c r="EC156" s="137">
        <f>IF(CI156="sníž. přenesená",J156,0)</f>
        <v>0</v>
      </c>
      <c r="ED156" s="137">
        <f>IF(CI156="nulová",J156,0)</f>
        <v>0</v>
      </c>
      <c r="EE156" s="16" t="s">
        <v>81</v>
      </c>
      <c r="EF156" s="137">
        <f>ROUND(I156*H156,2)</f>
        <v>25544.73</v>
      </c>
      <c r="EG156" s="16" t="s">
        <v>95</v>
      </c>
      <c r="EH156" s="136" t="s">
        <v>332</v>
      </c>
    </row>
    <row r="157" spans="2:138" s="1" customFormat="1" ht="19.5" x14ac:dyDescent="0.2">
      <c r="B157" s="31"/>
      <c r="D157" s="138" t="s">
        <v>289</v>
      </c>
      <c r="F157" s="139" t="s">
        <v>333</v>
      </c>
      <c r="I157" s="140"/>
      <c r="L157" s="31"/>
      <c r="N157" s="213"/>
      <c r="O157" s="214"/>
      <c r="Q157" s="229"/>
      <c r="CH157" s="141"/>
      <c r="CO157" s="50"/>
      <c r="DO157" s="16" t="s">
        <v>289</v>
      </c>
      <c r="DP157" s="16" t="s">
        <v>83</v>
      </c>
    </row>
    <row r="158" spans="2:138" s="12" customFormat="1" x14ac:dyDescent="0.2">
      <c r="B158" s="149"/>
      <c r="D158" s="138" t="s">
        <v>301</v>
      </c>
      <c r="E158" s="150" t="s">
        <v>1</v>
      </c>
      <c r="F158" s="151" t="s">
        <v>847</v>
      </c>
      <c r="H158" s="152">
        <v>360</v>
      </c>
      <c r="I158" s="153"/>
      <c r="L158" s="149"/>
      <c r="N158" s="217"/>
      <c r="O158" s="218"/>
      <c r="Q158" s="231"/>
      <c r="CH158" s="154"/>
      <c r="CO158" s="155"/>
      <c r="DO158" s="150" t="s">
        <v>301</v>
      </c>
      <c r="DP158" s="150" t="s">
        <v>83</v>
      </c>
      <c r="DQ158" s="12" t="s">
        <v>83</v>
      </c>
      <c r="DR158" s="12" t="s">
        <v>32</v>
      </c>
      <c r="DS158" s="12" t="s">
        <v>81</v>
      </c>
      <c r="DT158" s="150" t="s">
        <v>282</v>
      </c>
    </row>
    <row r="159" spans="2:138" s="1" customFormat="1" ht="24.2" customHeight="1" x14ac:dyDescent="0.2">
      <c r="B159" s="124"/>
      <c r="C159" s="125" t="s">
        <v>328</v>
      </c>
      <c r="D159" s="125" t="s">
        <v>284</v>
      </c>
      <c r="E159" s="126" t="s">
        <v>336</v>
      </c>
      <c r="F159" s="127" t="s">
        <v>337</v>
      </c>
      <c r="G159" s="128" t="s">
        <v>338</v>
      </c>
      <c r="H159" s="129">
        <v>45</v>
      </c>
      <c r="I159" s="130">
        <v>41.621835247115101</v>
      </c>
      <c r="J159" s="131">
        <f>ROUND(I159*H159,2)</f>
        <v>1872.98</v>
      </c>
      <c r="K159" s="127" t="s">
        <v>293</v>
      </c>
      <c r="L159" s="268">
        <f>S159</f>
        <v>0</v>
      </c>
      <c r="M159" s="272">
        <f>ROUND(L159*I159,2)</f>
        <v>0</v>
      </c>
      <c r="N159" s="243"/>
      <c r="O159" s="294">
        <f>ROUND(N159*I159,2)</f>
        <v>0</v>
      </c>
      <c r="P159" s="273">
        <f>H159-L159-N159</f>
        <v>45</v>
      </c>
      <c r="Q159" s="287">
        <f>ROUND(P159*I159,2)</f>
        <v>1872.98</v>
      </c>
      <c r="R159" s="137"/>
      <c r="S159" s="269">
        <f>W159+Y159+AA159+AC159</f>
        <v>0</v>
      </c>
      <c r="T159" s="269">
        <f>ROUND(S159*I159,2)</f>
        <v>0</v>
      </c>
      <c r="U159" s="269">
        <f>H159-S159</f>
        <v>45</v>
      </c>
      <c r="V159" s="269">
        <f>ROUND(U159*I159,2)</f>
        <v>1872.98</v>
      </c>
      <c r="W159" s="269"/>
      <c r="X159" s="269"/>
      <c r="Y159" s="269"/>
      <c r="Z159" s="269"/>
      <c r="AA159" s="269"/>
      <c r="AB159" s="269"/>
      <c r="AC159" s="269"/>
      <c r="AD159" s="269"/>
      <c r="CH159" s="132" t="s">
        <v>1</v>
      </c>
      <c r="CI159" s="133" t="s">
        <v>40</v>
      </c>
      <c r="CK159" s="134">
        <f>CJ159*H159</f>
        <v>0</v>
      </c>
      <c r="CL159" s="134">
        <v>0</v>
      </c>
      <c r="CM159" s="134">
        <f>CL159*H159</f>
        <v>0</v>
      </c>
      <c r="CN159" s="134">
        <v>0</v>
      </c>
      <c r="CO159" s="135">
        <f>CN159*H159</f>
        <v>0</v>
      </c>
      <c r="DM159" s="136" t="s">
        <v>95</v>
      </c>
      <c r="DO159" s="136" t="s">
        <v>284</v>
      </c>
      <c r="DP159" s="136" t="s">
        <v>83</v>
      </c>
      <c r="DT159" s="16" t="s">
        <v>282</v>
      </c>
      <c r="DZ159" s="137">
        <f>IF(CI159="základní",J159,0)</f>
        <v>1872.98</v>
      </c>
      <c r="EA159" s="137">
        <f>IF(CI159="snížená",J159,0)</f>
        <v>0</v>
      </c>
      <c r="EB159" s="137">
        <f>IF(CI159="zákl. přenesená",J159,0)</f>
        <v>0</v>
      </c>
      <c r="EC159" s="137">
        <f>IF(CI159="sníž. přenesená",J159,0)</f>
        <v>0</v>
      </c>
      <c r="ED159" s="137">
        <f>IF(CI159="nulová",J159,0)</f>
        <v>0</v>
      </c>
      <c r="EE159" s="16" t="s">
        <v>81</v>
      </c>
      <c r="EF159" s="137">
        <f>ROUND(I159*H159,2)</f>
        <v>1872.98</v>
      </c>
      <c r="EG159" s="16" t="s">
        <v>95</v>
      </c>
      <c r="EH159" s="136" t="s">
        <v>339</v>
      </c>
    </row>
    <row r="160" spans="2:138" s="1" customFormat="1" ht="19.5" x14ac:dyDescent="0.2">
      <c r="B160" s="31"/>
      <c r="D160" s="138" t="s">
        <v>289</v>
      </c>
      <c r="F160" s="139" t="s">
        <v>340</v>
      </c>
      <c r="I160" s="140"/>
      <c r="L160" s="31"/>
      <c r="N160" s="213"/>
      <c r="O160" s="214"/>
      <c r="Q160" s="229"/>
      <c r="CH160" s="141"/>
      <c r="CO160" s="50"/>
      <c r="DO160" s="16" t="s">
        <v>289</v>
      </c>
      <c r="DP160" s="16" t="s">
        <v>83</v>
      </c>
    </row>
    <row r="161" spans="2:138" s="1" customFormat="1" ht="14.45" customHeight="1" x14ac:dyDescent="0.2">
      <c r="B161" s="124"/>
      <c r="C161" s="125" t="s">
        <v>335</v>
      </c>
      <c r="D161" s="125" t="s">
        <v>284</v>
      </c>
      <c r="E161" s="126" t="s">
        <v>342</v>
      </c>
      <c r="F161" s="127" t="s">
        <v>343</v>
      </c>
      <c r="G161" s="128" t="s">
        <v>344</v>
      </c>
      <c r="H161" s="129">
        <v>6.3</v>
      </c>
      <c r="I161" s="130">
        <v>235.02024596209694</v>
      </c>
      <c r="J161" s="131">
        <f>ROUND(I161*H161,2)</f>
        <v>1480.63</v>
      </c>
      <c r="K161" s="127" t="s">
        <v>293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6.3</v>
      </c>
      <c r="Q161" s="287">
        <f>ROUND(P161*I161,2)</f>
        <v>1480.63</v>
      </c>
      <c r="R161" s="137"/>
      <c r="S161" s="269">
        <f>W161+Y161+AA161+AC161</f>
        <v>0</v>
      </c>
      <c r="T161" s="269">
        <f>ROUND(S161*I161,2)</f>
        <v>0</v>
      </c>
      <c r="U161" s="269">
        <f>H161-S161</f>
        <v>6.3</v>
      </c>
      <c r="V161" s="269">
        <f>ROUND(U161*I161,2)</f>
        <v>1480.63</v>
      </c>
      <c r="W161" s="269"/>
      <c r="X161" s="269"/>
      <c r="Y161" s="269"/>
      <c r="Z161" s="269"/>
      <c r="AA161" s="269"/>
      <c r="AB161" s="269"/>
      <c r="AC161" s="269"/>
      <c r="AD161" s="269"/>
      <c r="CH161" s="132" t="s">
        <v>1</v>
      </c>
      <c r="CI161" s="133" t="s">
        <v>40</v>
      </c>
      <c r="CK161" s="134">
        <f>CJ161*H161</f>
        <v>0</v>
      </c>
      <c r="CL161" s="134">
        <v>3.6900000000000002E-2</v>
      </c>
      <c r="CM161" s="134">
        <f>CL161*H161</f>
        <v>0.23247000000000001</v>
      </c>
      <c r="CN161" s="134">
        <v>0</v>
      </c>
      <c r="CO161" s="135">
        <f>CN161*H161</f>
        <v>0</v>
      </c>
      <c r="DM161" s="136" t="s">
        <v>95</v>
      </c>
      <c r="DO161" s="136" t="s">
        <v>284</v>
      </c>
      <c r="DP161" s="136" t="s">
        <v>83</v>
      </c>
      <c r="DT161" s="16" t="s">
        <v>282</v>
      </c>
      <c r="DZ161" s="137">
        <f>IF(CI161="základní",J161,0)</f>
        <v>1480.63</v>
      </c>
      <c r="EA161" s="137">
        <f>IF(CI161="snížená",J161,0)</f>
        <v>0</v>
      </c>
      <c r="EB161" s="137">
        <f>IF(CI161="zákl. přenesená",J161,0)</f>
        <v>0</v>
      </c>
      <c r="EC161" s="137">
        <f>IF(CI161="sníž. přenesená",J161,0)</f>
        <v>0</v>
      </c>
      <c r="ED161" s="137">
        <f>IF(CI161="nulová",J161,0)</f>
        <v>0</v>
      </c>
      <c r="EE161" s="16" t="s">
        <v>81</v>
      </c>
      <c r="EF161" s="137">
        <f>ROUND(I161*H161,2)</f>
        <v>1480.63</v>
      </c>
      <c r="EG161" s="16" t="s">
        <v>95</v>
      </c>
      <c r="EH161" s="136" t="s">
        <v>345</v>
      </c>
    </row>
    <row r="162" spans="2:138" s="1" customFormat="1" ht="58.5" x14ac:dyDescent="0.2">
      <c r="B162" s="31"/>
      <c r="D162" s="138" t="s">
        <v>289</v>
      </c>
      <c r="F162" s="139" t="s">
        <v>346</v>
      </c>
      <c r="I162" s="140"/>
      <c r="L162" s="31"/>
      <c r="N162" s="213"/>
      <c r="O162" s="214"/>
      <c r="Q162" s="229"/>
      <c r="CH162" s="141"/>
      <c r="CO162" s="50"/>
      <c r="DO162" s="16" t="s">
        <v>289</v>
      </c>
      <c r="DP162" s="16" t="s">
        <v>83</v>
      </c>
    </row>
    <row r="163" spans="2:138" s="1" customFormat="1" ht="29.25" x14ac:dyDescent="0.2">
      <c r="B163" s="31"/>
      <c r="D163" s="138" t="s">
        <v>299</v>
      </c>
      <c r="F163" s="142" t="s">
        <v>1611</v>
      </c>
      <c r="I163" s="140"/>
      <c r="L163" s="31"/>
      <c r="N163" s="213"/>
      <c r="O163" s="214"/>
      <c r="Q163" s="229"/>
      <c r="CH163" s="141"/>
      <c r="CO163" s="50"/>
      <c r="DO163" s="16" t="s">
        <v>299</v>
      </c>
      <c r="DP163" s="16" t="s">
        <v>83</v>
      </c>
    </row>
    <row r="164" spans="2:138" s="12" customFormat="1" x14ac:dyDescent="0.2">
      <c r="B164" s="149"/>
      <c r="D164" s="138" t="s">
        <v>301</v>
      </c>
      <c r="E164" s="150" t="s">
        <v>1</v>
      </c>
      <c r="F164" s="151" t="s">
        <v>892</v>
      </c>
      <c r="H164" s="152">
        <v>6.3</v>
      </c>
      <c r="I164" s="153"/>
      <c r="L164" s="149"/>
      <c r="N164" s="217"/>
      <c r="O164" s="218"/>
      <c r="Q164" s="231"/>
      <c r="CH164" s="154"/>
      <c r="CO164" s="155"/>
      <c r="DO164" s="150" t="s">
        <v>301</v>
      </c>
      <c r="DP164" s="150" t="s">
        <v>83</v>
      </c>
      <c r="DQ164" s="12" t="s">
        <v>83</v>
      </c>
      <c r="DR164" s="12" t="s">
        <v>32</v>
      </c>
      <c r="DS164" s="12" t="s">
        <v>81</v>
      </c>
      <c r="DT164" s="150" t="s">
        <v>282</v>
      </c>
    </row>
    <row r="165" spans="2:138" s="1" customFormat="1" ht="24.2" customHeight="1" x14ac:dyDescent="0.2">
      <c r="B165" s="124"/>
      <c r="C165" s="125" t="s">
        <v>341</v>
      </c>
      <c r="D165" s="125" t="s">
        <v>284</v>
      </c>
      <c r="E165" s="126" t="s">
        <v>364</v>
      </c>
      <c r="F165" s="127" t="s">
        <v>365</v>
      </c>
      <c r="G165" s="128" t="s">
        <v>366</v>
      </c>
      <c r="H165" s="129">
        <v>240.42500000000001</v>
      </c>
      <c r="I165" s="130">
        <v>285.201942457955</v>
      </c>
      <c r="J165" s="131">
        <f>ROUND(I165*H165,2)</f>
        <v>68569.679999999993</v>
      </c>
      <c r="K165" s="127" t="s">
        <v>293</v>
      </c>
      <c r="L165" s="268">
        <f>S165</f>
        <v>0</v>
      </c>
      <c r="M165" s="272">
        <f>ROUND(L165*I165,2)</f>
        <v>0</v>
      </c>
      <c r="N165" s="243">
        <f>N175</f>
        <v>16.438837499999977</v>
      </c>
      <c r="O165" s="294">
        <f>ROUND(N165*I165,2)</f>
        <v>4688.3900000000003</v>
      </c>
      <c r="P165" s="273">
        <f>H165-L165-N165</f>
        <v>223.98616250000003</v>
      </c>
      <c r="Q165" s="287">
        <f>ROUND(P165*I165,2)</f>
        <v>63881.29</v>
      </c>
      <c r="R165" s="137"/>
      <c r="S165" s="269">
        <f>W165+Y165+AA165+AC165</f>
        <v>0</v>
      </c>
      <c r="T165" s="269">
        <f>ROUND(S165*I165,2)</f>
        <v>0</v>
      </c>
      <c r="U165" s="269">
        <f>H165-S165</f>
        <v>240.42500000000001</v>
      </c>
      <c r="V165" s="269">
        <f>ROUND(U165*I165,2)</f>
        <v>68569.679999999993</v>
      </c>
      <c r="W165" s="269"/>
      <c r="X165" s="269"/>
      <c r="Y165" s="269"/>
      <c r="Z165" s="269"/>
      <c r="AA165" s="269"/>
      <c r="AB165" s="269"/>
      <c r="AC165" s="269"/>
      <c r="AD165" s="269"/>
      <c r="CH165" s="132" t="s">
        <v>1</v>
      </c>
      <c r="CI165" s="133" t="s">
        <v>40</v>
      </c>
      <c r="CK165" s="134">
        <f>CJ165*H165</f>
        <v>0</v>
      </c>
      <c r="CL165" s="134">
        <v>0</v>
      </c>
      <c r="CM165" s="134">
        <f>CL165*H165</f>
        <v>0</v>
      </c>
      <c r="CN165" s="134">
        <v>0</v>
      </c>
      <c r="CO165" s="135">
        <f>CN165*H165</f>
        <v>0</v>
      </c>
      <c r="DM165" s="136" t="s">
        <v>95</v>
      </c>
      <c r="DO165" s="136" t="s">
        <v>284</v>
      </c>
      <c r="DP165" s="136" t="s">
        <v>83</v>
      </c>
      <c r="DT165" s="16" t="s">
        <v>282</v>
      </c>
      <c r="DZ165" s="137">
        <f>IF(CI165="základní",J165,0)</f>
        <v>68569.679999999993</v>
      </c>
      <c r="EA165" s="137">
        <f>IF(CI165="snížená",J165,0)</f>
        <v>0</v>
      </c>
      <c r="EB165" s="137">
        <f>IF(CI165="zákl. přenesená",J165,0)</f>
        <v>0</v>
      </c>
      <c r="EC165" s="137">
        <f>IF(CI165="sníž. přenesená",J165,0)</f>
        <v>0</v>
      </c>
      <c r="ED165" s="137">
        <f>IF(CI165="nulová",J165,0)</f>
        <v>0</v>
      </c>
      <c r="EE165" s="16" t="s">
        <v>81</v>
      </c>
      <c r="EF165" s="137">
        <f>ROUND(I165*H165,2)</f>
        <v>68569.679999999993</v>
      </c>
      <c r="EG165" s="16" t="s">
        <v>95</v>
      </c>
      <c r="EH165" s="136" t="s">
        <v>367</v>
      </c>
    </row>
    <row r="166" spans="2:138" s="1" customFormat="1" ht="39" x14ac:dyDescent="0.2">
      <c r="B166" s="31"/>
      <c r="D166" s="138" t="s">
        <v>289</v>
      </c>
      <c r="F166" s="139" t="s">
        <v>368</v>
      </c>
      <c r="I166" s="140"/>
      <c r="L166" s="31"/>
      <c r="N166" s="213"/>
      <c r="O166" s="214"/>
      <c r="Q166" s="229"/>
      <c r="CH166" s="141"/>
      <c r="CO166" s="50"/>
      <c r="DO166" s="16" t="s">
        <v>289</v>
      </c>
      <c r="DP166" s="16" t="s">
        <v>83</v>
      </c>
    </row>
    <row r="167" spans="2:138" s="1" customFormat="1" ht="39" x14ac:dyDescent="0.2">
      <c r="B167" s="31"/>
      <c r="D167" s="138" t="s">
        <v>299</v>
      </c>
      <c r="F167" s="142" t="s">
        <v>1617</v>
      </c>
      <c r="I167" s="140"/>
      <c r="L167" s="31"/>
      <c r="N167" s="213"/>
      <c r="O167" s="214"/>
      <c r="Q167" s="229"/>
      <c r="CH167" s="141"/>
      <c r="CO167" s="50"/>
      <c r="DO167" s="16" t="s">
        <v>299</v>
      </c>
      <c r="DP167" s="16" t="s">
        <v>83</v>
      </c>
    </row>
    <row r="168" spans="2:138" s="11" customFormat="1" ht="22.5" x14ac:dyDescent="0.2">
      <c r="B168" s="143"/>
      <c r="D168" s="138" t="s">
        <v>301</v>
      </c>
      <c r="E168" s="144" t="s">
        <v>1</v>
      </c>
      <c r="F168" s="145" t="s">
        <v>370</v>
      </c>
      <c r="H168" s="144" t="s">
        <v>1</v>
      </c>
      <c r="I168" s="146"/>
      <c r="L168" s="143"/>
      <c r="N168" s="215"/>
      <c r="O168" s="216"/>
      <c r="Q168" s="230"/>
      <c r="CH168" s="147"/>
      <c r="CO168" s="148"/>
      <c r="DO168" s="144" t="s">
        <v>301</v>
      </c>
      <c r="DP168" s="144" t="s">
        <v>83</v>
      </c>
      <c r="DQ168" s="11" t="s">
        <v>81</v>
      </c>
      <c r="DR168" s="11" t="s">
        <v>32</v>
      </c>
      <c r="DS168" s="11" t="s">
        <v>74</v>
      </c>
      <c r="DT168" s="144" t="s">
        <v>282</v>
      </c>
    </row>
    <row r="169" spans="2:138" s="12" customFormat="1" x14ac:dyDescent="0.2">
      <c r="B169" s="149"/>
      <c r="D169" s="138" t="s">
        <v>301</v>
      </c>
      <c r="E169" s="150" t="s">
        <v>1</v>
      </c>
      <c r="F169" s="151" t="s">
        <v>1618</v>
      </c>
      <c r="H169" s="152">
        <v>4.7</v>
      </c>
      <c r="I169" s="153"/>
      <c r="L169" s="149"/>
      <c r="N169" s="217">
        <f>3.59*1*(2.8-0.45)</f>
        <v>8.4364999999999988</v>
      </c>
      <c r="O169" s="218" t="s">
        <v>3524</v>
      </c>
      <c r="Q169" s="231"/>
      <c r="CH169" s="154"/>
      <c r="CO169" s="155"/>
      <c r="DO169" s="150" t="s">
        <v>301</v>
      </c>
      <c r="DP169" s="150" t="s">
        <v>83</v>
      </c>
      <c r="DQ169" s="12" t="s">
        <v>83</v>
      </c>
      <c r="DR169" s="12" t="s">
        <v>32</v>
      </c>
      <c r="DS169" s="12" t="s">
        <v>74</v>
      </c>
      <c r="DT169" s="150" t="s">
        <v>282</v>
      </c>
    </row>
    <row r="170" spans="2:138" s="12" customFormat="1" x14ac:dyDescent="0.2">
      <c r="B170" s="149"/>
      <c r="D170" s="138" t="s">
        <v>301</v>
      </c>
      <c r="E170" s="150" t="s">
        <v>1</v>
      </c>
      <c r="F170" s="151" t="s">
        <v>1619</v>
      </c>
      <c r="H170" s="152">
        <v>444.15</v>
      </c>
      <c r="I170" s="153"/>
      <c r="L170" s="149"/>
      <c r="N170" s="217">
        <f>191.81*1.05*(2.8-0.45)</f>
        <v>473.29117499999995</v>
      </c>
      <c r="O170" s="218" t="s">
        <v>3544</v>
      </c>
      <c r="Q170" s="231"/>
      <c r="CH170" s="154"/>
      <c r="CO170" s="155"/>
      <c r="DO170" s="150" t="s">
        <v>301</v>
      </c>
      <c r="DP170" s="150" t="s">
        <v>83</v>
      </c>
      <c r="DQ170" s="12" t="s">
        <v>83</v>
      </c>
      <c r="DR170" s="12" t="s">
        <v>32</v>
      </c>
      <c r="DS170" s="12" t="s">
        <v>74</v>
      </c>
      <c r="DT170" s="150" t="s">
        <v>282</v>
      </c>
    </row>
    <row r="171" spans="2:138" s="12" customFormat="1" ht="22.5" x14ac:dyDescent="0.2">
      <c r="B171" s="149"/>
      <c r="D171" s="138" t="s">
        <v>301</v>
      </c>
      <c r="E171" s="150" t="s">
        <v>1</v>
      </c>
      <c r="F171" s="151" t="s">
        <v>1620</v>
      </c>
      <c r="H171" s="152">
        <v>23.855</v>
      </c>
      <c r="I171" s="153"/>
      <c r="L171" s="149"/>
      <c r="N171" s="310">
        <f>H171</f>
        <v>23.855</v>
      </c>
      <c r="O171" s="218"/>
      <c r="Q171" s="231"/>
      <c r="CH171" s="154"/>
      <c r="CO171" s="155"/>
      <c r="DO171" s="150" t="s">
        <v>301</v>
      </c>
      <c r="DP171" s="150" t="s">
        <v>83</v>
      </c>
      <c r="DQ171" s="12" t="s">
        <v>83</v>
      </c>
      <c r="DR171" s="12" t="s">
        <v>32</v>
      </c>
      <c r="DS171" s="12" t="s">
        <v>74</v>
      </c>
      <c r="DT171" s="150" t="s">
        <v>282</v>
      </c>
    </row>
    <row r="172" spans="2:138" s="12" customFormat="1" ht="22.5" x14ac:dyDescent="0.2">
      <c r="B172" s="149"/>
      <c r="D172" s="138" t="s">
        <v>301</v>
      </c>
      <c r="E172" s="150" t="s">
        <v>1</v>
      </c>
      <c r="F172" s="151" t="s">
        <v>1621</v>
      </c>
      <c r="H172" s="152">
        <v>8.1449999999999996</v>
      </c>
      <c r="I172" s="153"/>
      <c r="L172" s="149"/>
      <c r="N172" s="310">
        <f>H172</f>
        <v>8.1449999999999996</v>
      </c>
      <c r="O172" s="218"/>
      <c r="Q172" s="231"/>
      <c r="CH172" s="154"/>
      <c r="CO172" s="155"/>
      <c r="DO172" s="150" t="s">
        <v>301</v>
      </c>
      <c r="DP172" s="150" t="s">
        <v>83</v>
      </c>
      <c r="DQ172" s="12" t="s">
        <v>83</v>
      </c>
      <c r="DR172" s="12" t="s">
        <v>32</v>
      </c>
      <c r="DS172" s="12" t="s">
        <v>74</v>
      </c>
      <c r="DT172" s="150" t="s">
        <v>282</v>
      </c>
    </row>
    <row r="173" spans="2:138" s="14" customFormat="1" x14ac:dyDescent="0.2">
      <c r="B173" s="163"/>
      <c r="D173" s="138" t="s">
        <v>301</v>
      </c>
      <c r="E173" s="164" t="s">
        <v>1</v>
      </c>
      <c r="F173" s="165" t="s">
        <v>373</v>
      </c>
      <c r="H173" s="166">
        <v>480.84999999999997</v>
      </c>
      <c r="I173" s="167"/>
      <c r="L173" s="163"/>
      <c r="N173" s="221">
        <f>SUM(N169:N172)</f>
        <v>513.72767499999998</v>
      </c>
      <c r="O173" s="222"/>
      <c r="Q173" s="233"/>
      <c r="CH173" s="168"/>
      <c r="CO173" s="169"/>
      <c r="DO173" s="164" t="s">
        <v>301</v>
      </c>
      <c r="DP173" s="164" t="s">
        <v>83</v>
      </c>
      <c r="DQ173" s="14" t="s">
        <v>90</v>
      </c>
      <c r="DR173" s="14" t="s">
        <v>32</v>
      </c>
      <c r="DS173" s="14" t="s">
        <v>74</v>
      </c>
      <c r="DT173" s="164" t="s">
        <v>282</v>
      </c>
    </row>
    <row r="174" spans="2:138" s="12" customFormat="1" x14ac:dyDescent="0.2">
      <c r="B174" s="149"/>
      <c r="D174" s="138" t="s">
        <v>301</v>
      </c>
      <c r="E174" s="150" t="s">
        <v>1</v>
      </c>
      <c r="F174" s="151" t="s">
        <v>1622</v>
      </c>
      <c r="H174" s="152">
        <v>240.42500000000001</v>
      </c>
      <c r="I174" s="153"/>
      <c r="L174" s="149"/>
      <c r="N174" s="217">
        <f>N173*0.5</f>
        <v>256.86383749999999</v>
      </c>
      <c r="O174" s="218"/>
      <c r="Q174" s="231"/>
      <c r="CH174" s="154"/>
      <c r="CO174" s="155"/>
      <c r="DO174" s="150" t="s">
        <v>301</v>
      </c>
      <c r="DP174" s="150" t="s">
        <v>83</v>
      </c>
      <c r="DQ174" s="12" t="s">
        <v>83</v>
      </c>
      <c r="DR174" s="12" t="s">
        <v>32</v>
      </c>
      <c r="DS174" s="12" t="s">
        <v>81</v>
      </c>
      <c r="DT174" s="150" t="s">
        <v>282</v>
      </c>
    </row>
    <row r="175" spans="2:138" s="12" customFormat="1" x14ac:dyDescent="0.2">
      <c r="B175" s="149"/>
      <c r="D175" s="138"/>
      <c r="E175" s="150"/>
      <c r="F175" s="151"/>
      <c r="H175" s="152"/>
      <c r="I175" s="153"/>
      <c r="L175" s="149"/>
      <c r="N175" s="310">
        <f>N174-H174</f>
        <v>16.438837499999977</v>
      </c>
      <c r="O175" s="218"/>
      <c r="Q175" s="231"/>
      <c r="CH175" s="154"/>
      <c r="CO175" s="155"/>
      <c r="DO175" s="150"/>
      <c r="DP175" s="150"/>
      <c r="DT175" s="150"/>
    </row>
    <row r="176" spans="2:138" s="1" customFormat="1" ht="24.2" customHeight="1" x14ac:dyDescent="0.2">
      <c r="B176" s="124"/>
      <c r="C176" s="125" t="s">
        <v>348</v>
      </c>
      <c r="D176" s="125" t="s">
        <v>284</v>
      </c>
      <c r="E176" s="126" t="s">
        <v>375</v>
      </c>
      <c r="F176" s="127" t="s">
        <v>376</v>
      </c>
      <c r="G176" s="128" t="s">
        <v>366</v>
      </c>
      <c r="H176" s="129">
        <v>240.42500000000001</v>
      </c>
      <c r="I176" s="130">
        <v>390.55963566140201</v>
      </c>
      <c r="J176" s="131">
        <f>ROUND(I176*H176,2)</f>
        <v>93900.3</v>
      </c>
      <c r="K176" s="127" t="s">
        <v>293</v>
      </c>
      <c r="L176" s="268">
        <f>S176</f>
        <v>0</v>
      </c>
      <c r="M176" s="272">
        <f>ROUND(L176*I176,2)</f>
        <v>0</v>
      </c>
      <c r="N176" s="243">
        <f>N165</f>
        <v>16.438837499999977</v>
      </c>
      <c r="O176" s="294">
        <f>ROUND(N176*I176,2)</f>
        <v>6420.35</v>
      </c>
      <c r="P176" s="273">
        <f>H176-L176-N176</f>
        <v>223.98616250000003</v>
      </c>
      <c r="Q176" s="287">
        <f>ROUND(P176*I176,2)</f>
        <v>87479.95</v>
      </c>
      <c r="R176" s="137"/>
      <c r="S176" s="269">
        <f>W176+Y176+AA176+AC176</f>
        <v>0</v>
      </c>
      <c r="T176" s="269">
        <f>ROUND(S176*I176,2)</f>
        <v>0</v>
      </c>
      <c r="U176" s="269">
        <f>H176-S176</f>
        <v>240.42500000000001</v>
      </c>
      <c r="V176" s="269">
        <f>ROUND(U176*I176,2)</f>
        <v>93900.3</v>
      </c>
      <c r="W176" s="269"/>
      <c r="X176" s="269"/>
      <c r="Y176" s="269"/>
      <c r="Z176" s="269"/>
      <c r="AA176" s="269"/>
      <c r="AB176" s="269"/>
      <c r="AC176" s="269"/>
      <c r="AD176" s="269"/>
      <c r="CH176" s="132" t="s">
        <v>1</v>
      </c>
      <c r="CI176" s="133" t="s">
        <v>40</v>
      </c>
      <c r="CK176" s="134">
        <f>CJ176*H176</f>
        <v>0</v>
      </c>
      <c r="CL176" s="134">
        <v>0</v>
      </c>
      <c r="CM176" s="134">
        <f>CL176*H176</f>
        <v>0</v>
      </c>
      <c r="CN176" s="134">
        <v>0</v>
      </c>
      <c r="CO176" s="135">
        <f>CN176*H176</f>
        <v>0</v>
      </c>
      <c r="DM176" s="136" t="s">
        <v>95</v>
      </c>
      <c r="DO176" s="136" t="s">
        <v>284</v>
      </c>
      <c r="DP176" s="136" t="s">
        <v>83</v>
      </c>
      <c r="DT176" s="16" t="s">
        <v>282</v>
      </c>
      <c r="DZ176" s="137">
        <f>IF(CI176="základní",J176,0)</f>
        <v>93900.3</v>
      </c>
      <c r="EA176" s="137">
        <f>IF(CI176="snížená",J176,0)</f>
        <v>0</v>
      </c>
      <c r="EB176" s="137">
        <f>IF(CI176="zákl. přenesená",J176,0)</f>
        <v>0</v>
      </c>
      <c r="EC176" s="137">
        <f>IF(CI176="sníž. přenesená",J176,0)</f>
        <v>0</v>
      </c>
      <c r="ED176" s="137">
        <f>IF(CI176="nulová",J176,0)</f>
        <v>0</v>
      </c>
      <c r="EE176" s="16" t="s">
        <v>81</v>
      </c>
      <c r="EF176" s="137">
        <f>ROUND(I176*H176,2)</f>
        <v>93900.3</v>
      </c>
      <c r="EG176" s="16" t="s">
        <v>95</v>
      </c>
      <c r="EH176" s="136" t="s">
        <v>377</v>
      </c>
    </row>
    <row r="177" spans="2:138" s="1" customFormat="1" ht="39" x14ac:dyDescent="0.2">
      <c r="B177" s="31"/>
      <c r="D177" s="138" t="s">
        <v>289</v>
      </c>
      <c r="F177" s="139" t="s">
        <v>378</v>
      </c>
      <c r="I177" s="140"/>
      <c r="L177" s="31"/>
      <c r="N177" s="213"/>
      <c r="O177" s="214"/>
      <c r="Q177" s="229"/>
      <c r="CH177" s="141"/>
      <c r="CO177" s="50"/>
      <c r="DO177" s="16" t="s">
        <v>289</v>
      </c>
      <c r="DP177" s="16" t="s">
        <v>83</v>
      </c>
    </row>
    <row r="178" spans="2:138" s="1" customFormat="1" ht="39" x14ac:dyDescent="0.2">
      <c r="B178" s="31"/>
      <c r="D178" s="138" t="s">
        <v>299</v>
      </c>
      <c r="F178" s="142" t="s">
        <v>1617</v>
      </c>
      <c r="I178" s="140"/>
      <c r="L178" s="31"/>
      <c r="N178" s="213"/>
      <c r="O178" s="214"/>
      <c r="Q178" s="229"/>
      <c r="CH178" s="141"/>
      <c r="CO178" s="50"/>
      <c r="DO178" s="16" t="s">
        <v>299</v>
      </c>
      <c r="DP178" s="16" t="s">
        <v>83</v>
      </c>
    </row>
    <row r="179" spans="2:138" s="1" customFormat="1" ht="24.2" customHeight="1" x14ac:dyDescent="0.2">
      <c r="B179" s="124"/>
      <c r="C179" s="125" t="s">
        <v>327</v>
      </c>
      <c r="D179" s="125" t="s">
        <v>284</v>
      </c>
      <c r="E179" s="126" t="s">
        <v>380</v>
      </c>
      <c r="F179" s="127" t="s">
        <v>381</v>
      </c>
      <c r="G179" s="128" t="s">
        <v>366</v>
      </c>
      <c r="H179" s="129">
        <v>96.17</v>
      </c>
      <c r="I179" s="130">
        <v>650.27058629099099</v>
      </c>
      <c r="J179" s="131">
        <f>ROUND(I179*H179,2)</f>
        <v>62536.52</v>
      </c>
      <c r="K179" s="127" t="s">
        <v>293</v>
      </c>
      <c r="L179" s="268">
        <f>S179</f>
        <v>0</v>
      </c>
      <c r="M179" s="272">
        <f>ROUND(L179*I179,2)</f>
        <v>0</v>
      </c>
      <c r="N179" s="243">
        <f>N183</f>
        <v>6.5755999999999943</v>
      </c>
      <c r="O179" s="294">
        <f>ROUND(N179*I179,2)</f>
        <v>4275.92</v>
      </c>
      <c r="P179" s="273">
        <f>H179-L179-N179</f>
        <v>89.594400000000007</v>
      </c>
      <c r="Q179" s="287">
        <f>ROUND(P179*I179,2)</f>
        <v>58260.6</v>
      </c>
      <c r="R179" s="137"/>
      <c r="S179" s="269">
        <f>W179+Y179+AA179+AC179</f>
        <v>0</v>
      </c>
      <c r="T179" s="269">
        <f>ROUND(S179*I179,2)</f>
        <v>0</v>
      </c>
      <c r="U179" s="269">
        <f>H179-S179</f>
        <v>96.17</v>
      </c>
      <c r="V179" s="269">
        <f>ROUND(U179*I179,2)</f>
        <v>62536.52</v>
      </c>
      <c r="W179" s="269"/>
      <c r="X179" s="269"/>
      <c r="Y179" s="269"/>
      <c r="Z179" s="269"/>
      <c r="AA179" s="269"/>
      <c r="AB179" s="269"/>
      <c r="AC179" s="269"/>
      <c r="AD179" s="269"/>
      <c r="CH179" s="132" t="s">
        <v>1</v>
      </c>
      <c r="CI179" s="133" t="s">
        <v>40</v>
      </c>
      <c r="CK179" s="134">
        <f>CJ179*H179</f>
        <v>0</v>
      </c>
      <c r="CL179" s="134">
        <v>0</v>
      </c>
      <c r="CM179" s="134">
        <f>CL179*H179</f>
        <v>0</v>
      </c>
      <c r="CN179" s="134">
        <v>0</v>
      </c>
      <c r="CO179" s="135">
        <f>CN179*H179</f>
        <v>0</v>
      </c>
      <c r="DM179" s="136" t="s">
        <v>95</v>
      </c>
      <c r="DO179" s="136" t="s">
        <v>284</v>
      </c>
      <c r="DP179" s="136" t="s">
        <v>83</v>
      </c>
      <c r="DT179" s="16" t="s">
        <v>282</v>
      </c>
      <c r="DZ179" s="137">
        <f>IF(CI179="základní",J179,0)</f>
        <v>62536.52</v>
      </c>
      <c r="EA179" s="137">
        <f>IF(CI179="snížená",J179,0)</f>
        <v>0</v>
      </c>
      <c r="EB179" s="137">
        <f>IF(CI179="zákl. přenesená",J179,0)</f>
        <v>0</v>
      </c>
      <c r="EC179" s="137">
        <f>IF(CI179="sníž. přenesená",J179,0)</f>
        <v>0</v>
      </c>
      <c r="ED179" s="137">
        <f>IF(CI179="nulová",J179,0)</f>
        <v>0</v>
      </c>
      <c r="EE179" s="16" t="s">
        <v>81</v>
      </c>
      <c r="EF179" s="137">
        <f>ROUND(I179*H179,2)</f>
        <v>62536.52</v>
      </c>
      <c r="EG179" s="16" t="s">
        <v>95</v>
      </c>
      <c r="EH179" s="136" t="s">
        <v>382</v>
      </c>
    </row>
    <row r="180" spans="2:138" s="1" customFormat="1" ht="29.25" x14ac:dyDescent="0.2">
      <c r="B180" s="31"/>
      <c r="D180" s="138" t="s">
        <v>289</v>
      </c>
      <c r="F180" s="139" t="s">
        <v>383</v>
      </c>
      <c r="I180" s="140"/>
      <c r="L180" s="31"/>
      <c r="N180" s="213"/>
      <c r="O180" s="214"/>
      <c r="Q180" s="229"/>
      <c r="CH180" s="141"/>
      <c r="CO180" s="50"/>
      <c r="DO180" s="16" t="s">
        <v>289</v>
      </c>
      <c r="DP180" s="16" t="s">
        <v>83</v>
      </c>
    </row>
    <row r="181" spans="2:138" s="11" customFormat="1" x14ac:dyDescent="0.2">
      <c r="B181" s="143"/>
      <c r="D181" s="138" t="s">
        <v>301</v>
      </c>
      <c r="E181" s="144" t="s">
        <v>1</v>
      </c>
      <c r="F181" s="145" t="s">
        <v>384</v>
      </c>
      <c r="H181" s="144" t="s">
        <v>1</v>
      </c>
      <c r="I181" s="146"/>
      <c r="L181" s="143"/>
      <c r="N181" s="215"/>
      <c r="O181" s="216"/>
      <c r="Q181" s="230"/>
      <c r="CH181" s="147"/>
      <c r="CO181" s="148"/>
      <c r="DO181" s="144" t="s">
        <v>301</v>
      </c>
      <c r="DP181" s="144" t="s">
        <v>83</v>
      </c>
      <c r="DQ181" s="11" t="s">
        <v>81</v>
      </c>
      <c r="DR181" s="11" t="s">
        <v>32</v>
      </c>
      <c r="DS181" s="11" t="s">
        <v>74</v>
      </c>
      <c r="DT181" s="144" t="s">
        <v>282</v>
      </c>
    </row>
    <row r="182" spans="2:138" s="12" customFormat="1" x14ac:dyDescent="0.2">
      <c r="B182" s="149"/>
      <c r="D182" s="138" t="s">
        <v>301</v>
      </c>
      <c r="E182" s="150" t="s">
        <v>1</v>
      </c>
      <c r="F182" s="151" t="s">
        <v>1623</v>
      </c>
      <c r="H182" s="152">
        <v>96.17</v>
      </c>
      <c r="I182" s="153"/>
      <c r="L182" s="149"/>
      <c r="N182" s="217">
        <f>(256.864+256.864)*0.2</f>
        <v>102.7456</v>
      </c>
      <c r="O182" s="218" t="s">
        <v>3545</v>
      </c>
      <c r="Q182" s="231"/>
      <c r="CH182" s="154"/>
      <c r="CO182" s="155"/>
      <c r="DO182" s="150" t="s">
        <v>301</v>
      </c>
      <c r="DP182" s="150" t="s">
        <v>83</v>
      </c>
      <c r="DQ182" s="12" t="s">
        <v>83</v>
      </c>
      <c r="DR182" s="12" t="s">
        <v>32</v>
      </c>
      <c r="DS182" s="12" t="s">
        <v>81</v>
      </c>
      <c r="DT182" s="150" t="s">
        <v>282</v>
      </c>
    </row>
    <row r="183" spans="2:138" s="12" customFormat="1" x14ac:dyDescent="0.2">
      <c r="B183" s="149"/>
      <c r="D183" s="138"/>
      <c r="E183" s="150"/>
      <c r="F183" s="151"/>
      <c r="H183" s="152"/>
      <c r="I183" s="153"/>
      <c r="L183" s="149"/>
      <c r="N183" s="310">
        <f>N182-H182</f>
        <v>6.5755999999999943</v>
      </c>
      <c r="O183" s="218"/>
      <c r="Q183" s="231"/>
      <c r="CH183" s="154"/>
      <c r="CO183" s="155"/>
      <c r="DO183" s="150"/>
      <c r="DP183" s="150"/>
      <c r="DT183" s="150"/>
    </row>
    <row r="184" spans="2:138" s="1" customFormat="1" ht="14.45" customHeight="1" x14ac:dyDescent="0.2">
      <c r="B184" s="124"/>
      <c r="C184" s="125" t="s">
        <v>359</v>
      </c>
      <c r="D184" s="125" t="s">
        <v>284</v>
      </c>
      <c r="E184" s="126" t="s">
        <v>387</v>
      </c>
      <c r="F184" s="127" t="s">
        <v>388</v>
      </c>
      <c r="G184" s="128" t="s">
        <v>287</v>
      </c>
      <c r="H184" s="129">
        <v>1019.2</v>
      </c>
      <c r="I184" s="130">
        <v>156.6895922457376</v>
      </c>
      <c r="J184" s="131">
        <f>ROUND(I184*H184,2)</f>
        <v>159698.03</v>
      </c>
      <c r="K184" s="127" t="s">
        <v>293</v>
      </c>
      <c r="L184" s="268">
        <f>S184</f>
        <v>0</v>
      </c>
      <c r="M184" s="272">
        <f>ROUND(L184*I184,2)</f>
        <v>0</v>
      </c>
      <c r="N184" s="243">
        <f>N190</f>
        <v>75.039999999999964</v>
      </c>
      <c r="O184" s="294">
        <f>ROUND(N184*I184,2)</f>
        <v>11757.99</v>
      </c>
      <c r="P184" s="273">
        <f>H184-L184-N184</f>
        <v>944.16000000000008</v>
      </c>
      <c r="Q184" s="287">
        <f>ROUND(P184*I184,2)</f>
        <v>147940.04999999999</v>
      </c>
      <c r="R184" s="137"/>
      <c r="S184" s="269">
        <f>W184+Y184+AA184+AC184</f>
        <v>0</v>
      </c>
      <c r="T184" s="269">
        <f>ROUND(S184*I184,2)</f>
        <v>0</v>
      </c>
      <c r="U184" s="269">
        <f>H184-S184</f>
        <v>1019.2</v>
      </c>
      <c r="V184" s="269">
        <f>ROUND(U184*I184,2)</f>
        <v>159698.03</v>
      </c>
      <c r="W184" s="269"/>
      <c r="X184" s="269"/>
      <c r="Y184" s="269"/>
      <c r="Z184" s="269"/>
      <c r="AA184" s="269"/>
      <c r="AB184" s="269"/>
      <c r="AC184" s="269"/>
      <c r="AD184" s="269"/>
      <c r="CH184" s="132" t="s">
        <v>1</v>
      </c>
      <c r="CI184" s="133" t="s">
        <v>40</v>
      </c>
      <c r="CK184" s="134">
        <f>CJ184*H184</f>
        <v>0</v>
      </c>
      <c r="CL184" s="134">
        <v>5.9000000000000003E-4</v>
      </c>
      <c r="CM184" s="134">
        <f>CL184*H184</f>
        <v>0.60132800000000008</v>
      </c>
      <c r="CN184" s="134">
        <v>0</v>
      </c>
      <c r="CO184" s="135">
        <f>CN184*H184</f>
        <v>0</v>
      </c>
      <c r="DM184" s="136" t="s">
        <v>95</v>
      </c>
      <c r="DO184" s="136" t="s">
        <v>284</v>
      </c>
      <c r="DP184" s="136" t="s">
        <v>83</v>
      </c>
      <c r="DT184" s="16" t="s">
        <v>282</v>
      </c>
      <c r="DZ184" s="137">
        <f>IF(CI184="základní",J184,0)</f>
        <v>159698.03</v>
      </c>
      <c r="EA184" s="137">
        <f>IF(CI184="snížená",J184,0)</f>
        <v>0</v>
      </c>
      <c r="EB184" s="137">
        <f>IF(CI184="zákl. přenesená",J184,0)</f>
        <v>0</v>
      </c>
      <c r="EC184" s="137">
        <f>IF(CI184="sníž. přenesená",J184,0)</f>
        <v>0</v>
      </c>
      <c r="ED184" s="137">
        <f>IF(CI184="nulová",J184,0)</f>
        <v>0</v>
      </c>
      <c r="EE184" s="16" t="s">
        <v>81</v>
      </c>
      <c r="EF184" s="137">
        <f>ROUND(I184*H184,2)</f>
        <v>159698.03</v>
      </c>
      <c r="EG184" s="16" t="s">
        <v>95</v>
      </c>
      <c r="EH184" s="136" t="s">
        <v>389</v>
      </c>
    </row>
    <row r="185" spans="2:138" s="1" customFormat="1" ht="19.5" x14ac:dyDescent="0.2">
      <c r="B185" s="31"/>
      <c r="D185" s="138" t="s">
        <v>289</v>
      </c>
      <c r="F185" s="139" t="s">
        <v>390</v>
      </c>
      <c r="I185" s="140"/>
      <c r="L185" s="31"/>
      <c r="N185" s="213"/>
      <c r="O185" s="214"/>
      <c r="Q185" s="229"/>
      <c r="CH185" s="141"/>
      <c r="CO185" s="50"/>
      <c r="DO185" s="16" t="s">
        <v>289</v>
      </c>
      <c r="DP185" s="16" t="s">
        <v>83</v>
      </c>
    </row>
    <row r="186" spans="2:138" s="1" customFormat="1" ht="19.5" x14ac:dyDescent="0.2">
      <c r="B186" s="31"/>
      <c r="D186" s="138" t="s">
        <v>299</v>
      </c>
      <c r="F186" s="142" t="s">
        <v>317</v>
      </c>
      <c r="I186" s="140"/>
      <c r="L186" s="31"/>
      <c r="N186" s="213"/>
      <c r="O186" s="214"/>
      <c r="Q186" s="229"/>
      <c r="CH186" s="141"/>
      <c r="CO186" s="50"/>
      <c r="DO186" s="16" t="s">
        <v>299</v>
      </c>
      <c r="DP186" s="16" t="s">
        <v>83</v>
      </c>
    </row>
    <row r="187" spans="2:138" s="12" customFormat="1" x14ac:dyDescent="0.2">
      <c r="B187" s="149"/>
      <c r="D187" s="138" t="s">
        <v>301</v>
      </c>
      <c r="E187" s="150" t="s">
        <v>1</v>
      </c>
      <c r="F187" s="151" t="s">
        <v>1624</v>
      </c>
      <c r="H187" s="152">
        <v>11.2</v>
      </c>
      <c r="I187" s="153"/>
      <c r="L187" s="149"/>
      <c r="N187" s="217">
        <f>3.59*2.8*2</f>
        <v>20.103999999999999</v>
      </c>
      <c r="O187" s="359" t="s">
        <v>3525</v>
      </c>
      <c r="Q187" s="231"/>
      <c r="CH187" s="154"/>
      <c r="CO187" s="155"/>
      <c r="DO187" s="150" t="s">
        <v>301</v>
      </c>
      <c r="DP187" s="150" t="s">
        <v>83</v>
      </c>
      <c r="DQ187" s="12" t="s">
        <v>83</v>
      </c>
      <c r="DR187" s="12" t="s">
        <v>32</v>
      </c>
      <c r="DS187" s="12" t="s">
        <v>74</v>
      </c>
      <c r="DT187" s="150" t="s">
        <v>282</v>
      </c>
    </row>
    <row r="188" spans="2:138" s="12" customFormat="1" x14ac:dyDescent="0.2">
      <c r="B188" s="149"/>
      <c r="D188" s="138" t="s">
        <v>301</v>
      </c>
      <c r="E188" s="150" t="s">
        <v>1</v>
      </c>
      <c r="F188" s="151" t="s">
        <v>1625</v>
      </c>
      <c r="H188" s="152">
        <v>1008</v>
      </c>
      <c r="I188" s="153"/>
      <c r="L188" s="149"/>
      <c r="N188" s="217">
        <f>191.81*2.8*2</f>
        <v>1074.136</v>
      </c>
      <c r="O188" s="359" t="s">
        <v>3546</v>
      </c>
      <c r="Q188" s="231"/>
      <c r="CH188" s="154"/>
      <c r="CO188" s="155"/>
      <c r="DO188" s="150" t="s">
        <v>301</v>
      </c>
      <c r="DP188" s="150" t="s">
        <v>83</v>
      </c>
      <c r="DQ188" s="12" t="s">
        <v>83</v>
      </c>
      <c r="DR188" s="12" t="s">
        <v>32</v>
      </c>
      <c r="DS188" s="12" t="s">
        <v>74</v>
      </c>
      <c r="DT188" s="150" t="s">
        <v>282</v>
      </c>
    </row>
    <row r="189" spans="2:138" s="13" customFormat="1" x14ac:dyDescent="0.2">
      <c r="B189" s="156"/>
      <c r="D189" s="138" t="s">
        <v>301</v>
      </c>
      <c r="E189" s="157" t="s">
        <v>1</v>
      </c>
      <c r="F189" s="158" t="s">
        <v>305</v>
      </c>
      <c r="H189" s="159">
        <v>1019.2</v>
      </c>
      <c r="I189" s="160"/>
      <c r="L189" s="156"/>
      <c r="N189" s="219">
        <f>N187+N188</f>
        <v>1094.24</v>
      </c>
      <c r="O189" s="220"/>
      <c r="Q189" s="232"/>
      <c r="CH189" s="161"/>
      <c r="CO189" s="162"/>
      <c r="DO189" s="157" t="s">
        <v>301</v>
      </c>
      <c r="DP189" s="157" t="s">
        <v>83</v>
      </c>
      <c r="DQ189" s="13" t="s">
        <v>95</v>
      </c>
      <c r="DR189" s="13" t="s">
        <v>32</v>
      </c>
      <c r="DS189" s="13" t="s">
        <v>81</v>
      </c>
      <c r="DT189" s="157" t="s">
        <v>282</v>
      </c>
    </row>
    <row r="190" spans="2:138" s="13" customFormat="1" x14ac:dyDescent="0.2">
      <c r="B190" s="156"/>
      <c r="D190" s="138"/>
      <c r="E190" s="157"/>
      <c r="F190" s="158"/>
      <c r="H190" s="159"/>
      <c r="I190" s="160"/>
      <c r="L190" s="156"/>
      <c r="N190" s="311">
        <f>N189-H189</f>
        <v>75.039999999999964</v>
      </c>
      <c r="O190" s="220"/>
      <c r="Q190" s="232"/>
      <c r="CH190" s="161"/>
      <c r="CO190" s="162"/>
      <c r="DO190" s="157"/>
      <c r="DP190" s="157"/>
      <c r="DT190" s="157"/>
    </row>
    <row r="191" spans="2:138" s="1" customFormat="1" ht="14.45" customHeight="1" x14ac:dyDescent="0.2">
      <c r="B191" s="124"/>
      <c r="C191" s="125" t="s">
        <v>363</v>
      </c>
      <c r="D191" s="125" t="s">
        <v>284</v>
      </c>
      <c r="E191" s="126" t="s">
        <v>393</v>
      </c>
      <c r="F191" s="127" t="s">
        <v>394</v>
      </c>
      <c r="G191" s="128" t="s">
        <v>287</v>
      </c>
      <c r="H191" s="129">
        <v>1019.2</v>
      </c>
      <c r="I191" s="130">
        <v>103.33666316345877</v>
      </c>
      <c r="J191" s="131">
        <f>ROUND(I191*H191,2)</f>
        <v>105320.73</v>
      </c>
      <c r="K191" s="127" t="s">
        <v>293</v>
      </c>
      <c r="L191" s="268">
        <f>S191</f>
        <v>0</v>
      </c>
      <c r="M191" s="272">
        <f>ROUND(L191*I191,2)</f>
        <v>0</v>
      </c>
      <c r="N191" s="243">
        <f>N184</f>
        <v>75.039999999999964</v>
      </c>
      <c r="O191" s="294">
        <f>ROUND(N191*I191,2)</f>
        <v>7754.38</v>
      </c>
      <c r="P191" s="273">
        <f>H191-L191-N191</f>
        <v>944.16000000000008</v>
      </c>
      <c r="Q191" s="287">
        <f>ROUND(P191*I191,2)</f>
        <v>97566.34</v>
      </c>
      <c r="R191" s="137"/>
      <c r="S191" s="269">
        <f>W191+Y191+AA191+AC191</f>
        <v>0</v>
      </c>
      <c r="T191" s="269">
        <f>ROUND(S191*I191,2)</f>
        <v>0</v>
      </c>
      <c r="U191" s="269">
        <f>H191-S191</f>
        <v>1019.2</v>
      </c>
      <c r="V191" s="269">
        <f>ROUND(U191*I191,2)</f>
        <v>105320.73</v>
      </c>
      <c r="W191" s="269"/>
      <c r="X191" s="269"/>
      <c r="Y191" s="269"/>
      <c r="Z191" s="269"/>
      <c r="AA191" s="269"/>
      <c r="AB191" s="269"/>
      <c r="AC191" s="269"/>
      <c r="AD191" s="269"/>
      <c r="CH191" s="132" t="s">
        <v>1</v>
      </c>
      <c r="CI191" s="133" t="s">
        <v>40</v>
      </c>
      <c r="CK191" s="134">
        <f>CJ191*H191</f>
        <v>0</v>
      </c>
      <c r="CL191" s="134">
        <v>0</v>
      </c>
      <c r="CM191" s="134">
        <f>CL191*H191</f>
        <v>0</v>
      </c>
      <c r="CN191" s="134">
        <v>0</v>
      </c>
      <c r="CO191" s="135">
        <f>CN191*H191</f>
        <v>0</v>
      </c>
      <c r="DM191" s="136" t="s">
        <v>95</v>
      </c>
      <c r="DO191" s="136" t="s">
        <v>284</v>
      </c>
      <c r="DP191" s="136" t="s">
        <v>83</v>
      </c>
      <c r="DT191" s="16" t="s">
        <v>282</v>
      </c>
      <c r="DZ191" s="137">
        <f>IF(CI191="základní",J191,0)</f>
        <v>105320.73</v>
      </c>
      <c r="EA191" s="137">
        <f>IF(CI191="snížená",J191,0)</f>
        <v>0</v>
      </c>
      <c r="EB191" s="137">
        <f>IF(CI191="zákl. přenesená",J191,0)</f>
        <v>0</v>
      </c>
      <c r="EC191" s="137">
        <f>IF(CI191="sníž. přenesená",J191,0)</f>
        <v>0</v>
      </c>
      <c r="ED191" s="137">
        <f>IF(CI191="nulová",J191,0)</f>
        <v>0</v>
      </c>
      <c r="EE191" s="16" t="s">
        <v>81</v>
      </c>
      <c r="EF191" s="137">
        <f>ROUND(I191*H191,2)</f>
        <v>105320.73</v>
      </c>
      <c r="EG191" s="16" t="s">
        <v>95</v>
      </c>
      <c r="EH191" s="136" t="s">
        <v>395</v>
      </c>
    </row>
    <row r="192" spans="2:138" s="1" customFormat="1" ht="19.5" x14ac:dyDescent="0.2">
      <c r="B192" s="31"/>
      <c r="D192" s="138" t="s">
        <v>289</v>
      </c>
      <c r="F192" s="139" t="s">
        <v>396</v>
      </c>
      <c r="I192" s="140"/>
      <c r="L192" s="31"/>
      <c r="N192" s="213"/>
      <c r="O192" s="214"/>
      <c r="Q192" s="229"/>
      <c r="CH192" s="141"/>
      <c r="CO192" s="50"/>
      <c r="DO192" s="16" t="s">
        <v>289</v>
      </c>
      <c r="DP192" s="16" t="s">
        <v>83</v>
      </c>
    </row>
    <row r="193" spans="2:138" s="1" customFormat="1" ht="37.9" customHeight="1" x14ac:dyDescent="0.2">
      <c r="B193" s="124"/>
      <c r="C193" s="125" t="s">
        <v>8</v>
      </c>
      <c r="D193" s="125" t="s">
        <v>284</v>
      </c>
      <c r="E193" s="126" t="s">
        <v>398</v>
      </c>
      <c r="F193" s="127" t="s">
        <v>399</v>
      </c>
      <c r="G193" s="128" t="s">
        <v>366</v>
      </c>
      <c r="H193" s="129">
        <v>480.85</v>
      </c>
      <c r="I193" s="130">
        <v>282.06861194786097</v>
      </c>
      <c r="J193" s="131">
        <f>ROUND(I193*H193,2)</f>
        <v>135632.69</v>
      </c>
      <c r="K193" s="127" t="s">
        <v>293</v>
      </c>
      <c r="L193" s="268">
        <f>S193</f>
        <v>0</v>
      </c>
      <c r="M193" s="272">
        <f>ROUND(L193*I193,2)</f>
        <v>0</v>
      </c>
      <c r="N193" s="243">
        <f>N197</f>
        <v>32.877999999999929</v>
      </c>
      <c r="O193" s="294">
        <f>ROUND(N193*I193,2)</f>
        <v>9273.85</v>
      </c>
      <c r="P193" s="273">
        <f>H193-L193-N193</f>
        <v>447.97200000000009</v>
      </c>
      <c r="Q193" s="287">
        <f>ROUND(P193*I193,2)</f>
        <v>126358.84</v>
      </c>
      <c r="R193" s="137"/>
      <c r="S193" s="269">
        <f>W193+Y193+AA193+AC193</f>
        <v>0</v>
      </c>
      <c r="T193" s="269">
        <f>ROUND(S193*I193,2)</f>
        <v>0</v>
      </c>
      <c r="U193" s="269">
        <f>H193-S193</f>
        <v>480.85</v>
      </c>
      <c r="V193" s="269">
        <f>ROUND(U193*I193,2)</f>
        <v>135632.69</v>
      </c>
      <c r="W193" s="269"/>
      <c r="X193" s="269"/>
      <c r="Y193" s="269"/>
      <c r="Z193" s="269"/>
      <c r="AA193" s="269"/>
      <c r="AB193" s="269"/>
      <c r="AC193" s="269"/>
      <c r="AD193" s="269"/>
      <c r="CH193" s="132" t="s">
        <v>1</v>
      </c>
      <c r="CI193" s="133" t="s">
        <v>40</v>
      </c>
      <c r="CK193" s="134">
        <f>CJ193*H193</f>
        <v>0</v>
      </c>
      <c r="CL193" s="134">
        <v>0</v>
      </c>
      <c r="CM193" s="134">
        <f>CL193*H193</f>
        <v>0</v>
      </c>
      <c r="CN193" s="134">
        <v>0</v>
      </c>
      <c r="CO193" s="135">
        <f>CN193*H193</f>
        <v>0</v>
      </c>
      <c r="DM193" s="136" t="s">
        <v>95</v>
      </c>
      <c r="DO193" s="136" t="s">
        <v>284</v>
      </c>
      <c r="DP193" s="136" t="s">
        <v>83</v>
      </c>
      <c r="DT193" s="16" t="s">
        <v>282</v>
      </c>
      <c r="DZ193" s="137">
        <f>IF(CI193="základní",J193,0)</f>
        <v>135632.69</v>
      </c>
      <c r="EA193" s="137">
        <f>IF(CI193="snížená",J193,0)</f>
        <v>0</v>
      </c>
      <c r="EB193" s="137">
        <f>IF(CI193="zákl. přenesená",J193,0)</f>
        <v>0</v>
      </c>
      <c r="EC193" s="137">
        <f>IF(CI193="sníž. přenesená",J193,0)</f>
        <v>0</v>
      </c>
      <c r="ED193" s="137">
        <f>IF(CI193="nulová",J193,0)</f>
        <v>0</v>
      </c>
      <c r="EE193" s="16" t="s">
        <v>81</v>
      </c>
      <c r="EF193" s="137">
        <f>ROUND(I193*H193,2)</f>
        <v>135632.69</v>
      </c>
      <c r="EG193" s="16" t="s">
        <v>95</v>
      </c>
      <c r="EH193" s="136" t="s">
        <v>400</v>
      </c>
    </row>
    <row r="194" spans="2:138" s="1" customFormat="1" ht="39" x14ac:dyDescent="0.2">
      <c r="B194" s="31"/>
      <c r="D194" s="138" t="s">
        <v>289</v>
      </c>
      <c r="F194" s="139" t="s">
        <v>401</v>
      </c>
      <c r="I194" s="140"/>
      <c r="L194" s="31"/>
      <c r="N194" s="213"/>
      <c r="O194" s="214"/>
      <c r="Q194" s="229"/>
      <c r="CH194" s="141"/>
      <c r="CO194" s="50"/>
      <c r="DO194" s="16" t="s">
        <v>289</v>
      </c>
      <c r="DP194" s="16" t="s">
        <v>83</v>
      </c>
    </row>
    <row r="195" spans="2:138" s="11" customFormat="1" x14ac:dyDescent="0.2">
      <c r="B195" s="143"/>
      <c r="D195" s="138" t="s">
        <v>301</v>
      </c>
      <c r="E195" s="144" t="s">
        <v>1</v>
      </c>
      <c r="F195" s="145" t="s">
        <v>1458</v>
      </c>
      <c r="H195" s="144" t="s">
        <v>1</v>
      </c>
      <c r="I195" s="146"/>
      <c r="L195" s="143"/>
      <c r="N195" s="215"/>
      <c r="O195" s="216"/>
      <c r="Q195" s="230"/>
      <c r="CH195" s="147"/>
      <c r="CO195" s="148"/>
      <c r="DO195" s="144" t="s">
        <v>301</v>
      </c>
      <c r="DP195" s="144" t="s">
        <v>83</v>
      </c>
      <c r="DQ195" s="11" t="s">
        <v>81</v>
      </c>
      <c r="DR195" s="11" t="s">
        <v>32</v>
      </c>
      <c r="DS195" s="11" t="s">
        <v>74</v>
      </c>
      <c r="DT195" s="144" t="s">
        <v>282</v>
      </c>
    </row>
    <row r="196" spans="2:138" s="12" customFormat="1" x14ac:dyDescent="0.2">
      <c r="B196" s="149"/>
      <c r="D196" s="138" t="s">
        <v>301</v>
      </c>
      <c r="E196" s="150" t="s">
        <v>1</v>
      </c>
      <c r="F196" s="151" t="s">
        <v>1626</v>
      </c>
      <c r="H196" s="152">
        <v>480.85</v>
      </c>
      <c r="I196" s="153"/>
      <c r="L196" s="149"/>
      <c r="N196" s="217">
        <f>256.864+256.864</f>
        <v>513.72799999999995</v>
      </c>
      <c r="O196" s="218" t="s">
        <v>3547</v>
      </c>
      <c r="Q196" s="231"/>
      <c r="CH196" s="154"/>
      <c r="CO196" s="155"/>
      <c r="DO196" s="150" t="s">
        <v>301</v>
      </c>
      <c r="DP196" s="150" t="s">
        <v>83</v>
      </c>
      <c r="DQ196" s="12" t="s">
        <v>83</v>
      </c>
      <c r="DR196" s="12" t="s">
        <v>32</v>
      </c>
      <c r="DS196" s="12" t="s">
        <v>81</v>
      </c>
      <c r="DT196" s="150" t="s">
        <v>282</v>
      </c>
    </row>
    <row r="197" spans="2:138" s="12" customFormat="1" x14ac:dyDescent="0.2">
      <c r="B197" s="149"/>
      <c r="D197" s="138"/>
      <c r="E197" s="150"/>
      <c r="F197" s="151"/>
      <c r="H197" s="152"/>
      <c r="I197" s="153"/>
      <c r="L197" s="149"/>
      <c r="N197" s="310">
        <f>N196-H196</f>
        <v>32.877999999999929</v>
      </c>
      <c r="O197" s="218"/>
      <c r="Q197" s="231"/>
      <c r="CH197" s="154"/>
      <c r="CO197" s="155"/>
      <c r="DO197" s="150"/>
      <c r="DP197" s="150"/>
      <c r="DT197" s="150"/>
    </row>
    <row r="198" spans="2:138" s="1" customFormat="1" ht="37.9" customHeight="1" x14ac:dyDescent="0.2">
      <c r="B198" s="124"/>
      <c r="C198" s="125" t="s">
        <v>379</v>
      </c>
      <c r="D198" s="125" t="s">
        <v>284</v>
      </c>
      <c r="E198" s="126" t="s">
        <v>405</v>
      </c>
      <c r="F198" s="127" t="s">
        <v>406</v>
      </c>
      <c r="G198" s="128" t="s">
        <v>366</v>
      </c>
      <c r="H198" s="129">
        <v>2404.25</v>
      </c>
      <c r="I198" s="130">
        <v>3.4208109177592001</v>
      </c>
      <c r="J198" s="131">
        <f>ROUND(I198*H198,2)</f>
        <v>8224.48</v>
      </c>
      <c r="K198" s="127" t="s">
        <v>293</v>
      </c>
      <c r="L198" s="268">
        <f>S198</f>
        <v>0</v>
      </c>
      <c r="M198" s="272">
        <f>ROUND(L198*I198,2)</f>
        <v>0</v>
      </c>
      <c r="N198" s="243">
        <f>N200</f>
        <v>164.39</v>
      </c>
      <c r="O198" s="294">
        <f>ROUND(N198*I198,2)</f>
        <v>562.35</v>
      </c>
      <c r="P198" s="273">
        <f>H198-L198-N198</f>
        <v>2239.86</v>
      </c>
      <c r="Q198" s="287">
        <f>ROUND(P198*I198,2)</f>
        <v>7662.14</v>
      </c>
      <c r="R198" s="137"/>
      <c r="S198" s="269">
        <f>W198+Y198+AA198+AC198</f>
        <v>0</v>
      </c>
      <c r="T198" s="269">
        <f>ROUND(S198*I198,2)</f>
        <v>0</v>
      </c>
      <c r="U198" s="269">
        <f>H198-S198</f>
        <v>2404.25</v>
      </c>
      <c r="V198" s="269">
        <f>ROUND(U198*I198,2)</f>
        <v>8224.48</v>
      </c>
      <c r="W198" s="269"/>
      <c r="X198" s="269"/>
      <c r="Y198" s="269"/>
      <c r="Z198" s="269"/>
      <c r="AA198" s="269"/>
      <c r="AB198" s="269"/>
      <c r="AC198" s="269"/>
      <c r="AD198" s="269"/>
      <c r="CH198" s="132" t="s">
        <v>1</v>
      </c>
      <c r="CI198" s="133" t="s">
        <v>40</v>
      </c>
      <c r="CK198" s="134">
        <f>CJ198*H198</f>
        <v>0</v>
      </c>
      <c r="CL198" s="134">
        <v>0</v>
      </c>
      <c r="CM198" s="134">
        <f>CL198*H198</f>
        <v>0</v>
      </c>
      <c r="CN198" s="134">
        <v>0</v>
      </c>
      <c r="CO198" s="135">
        <f>CN198*H198</f>
        <v>0</v>
      </c>
      <c r="DM198" s="136" t="s">
        <v>95</v>
      </c>
      <c r="DO198" s="136" t="s">
        <v>284</v>
      </c>
      <c r="DP198" s="136" t="s">
        <v>83</v>
      </c>
      <c r="DT198" s="16" t="s">
        <v>282</v>
      </c>
      <c r="DZ198" s="137">
        <f>IF(CI198="základní",J198,0)</f>
        <v>8224.48</v>
      </c>
      <c r="EA198" s="137">
        <f>IF(CI198="snížená",J198,0)</f>
        <v>0</v>
      </c>
      <c r="EB198" s="137">
        <f>IF(CI198="zákl. přenesená",J198,0)</f>
        <v>0</v>
      </c>
      <c r="EC198" s="137">
        <f>IF(CI198="sníž. přenesená",J198,0)</f>
        <v>0</v>
      </c>
      <c r="ED198" s="137">
        <f>IF(CI198="nulová",J198,0)</f>
        <v>0</v>
      </c>
      <c r="EE198" s="16" t="s">
        <v>81</v>
      </c>
      <c r="EF198" s="137">
        <f>ROUND(I198*H198,2)</f>
        <v>8224.48</v>
      </c>
      <c r="EG198" s="16" t="s">
        <v>95</v>
      </c>
      <c r="EH198" s="136" t="s">
        <v>407</v>
      </c>
    </row>
    <row r="199" spans="2:138" s="1" customFormat="1" ht="48.75" x14ac:dyDescent="0.2">
      <c r="B199" s="31"/>
      <c r="D199" s="138" t="s">
        <v>289</v>
      </c>
      <c r="F199" s="139" t="s">
        <v>408</v>
      </c>
      <c r="I199" s="140"/>
      <c r="L199" s="31"/>
      <c r="N199" s="213"/>
      <c r="O199" s="214"/>
      <c r="Q199" s="229"/>
      <c r="CH199" s="141"/>
      <c r="CO199" s="50"/>
      <c r="DO199" s="16" t="s">
        <v>289</v>
      </c>
      <c r="DP199" s="16" t="s">
        <v>83</v>
      </c>
    </row>
    <row r="200" spans="2:138" s="12" customFormat="1" x14ac:dyDescent="0.2">
      <c r="B200" s="149"/>
      <c r="D200" s="138" t="s">
        <v>301</v>
      </c>
      <c r="F200" s="151" t="s">
        <v>1627</v>
      </c>
      <c r="H200" s="152">
        <v>2404.25</v>
      </c>
      <c r="I200" s="153"/>
      <c r="L200" s="149"/>
      <c r="N200" s="217">
        <f>32.878*5</f>
        <v>164.39</v>
      </c>
      <c r="O200" s="359" t="s">
        <v>3548</v>
      </c>
      <c r="Q200" s="231"/>
      <c r="CH200" s="154"/>
      <c r="CO200" s="155"/>
      <c r="DO200" s="150" t="s">
        <v>301</v>
      </c>
      <c r="DP200" s="150" t="s">
        <v>83</v>
      </c>
      <c r="DQ200" s="12" t="s">
        <v>83</v>
      </c>
      <c r="DR200" s="12" t="s">
        <v>3</v>
      </c>
      <c r="DS200" s="12" t="s">
        <v>81</v>
      </c>
      <c r="DT200" s="150" t="s">
        <v>282</v>
      </c>
    </row>
    <row r="201" spans="2:138" s="1" customFormat="1" ht="24.2" customHeight="1" x14ac:dyDescent="0.2">
      <c r="B201" s="124"/>
      <c r="C201" s="125" t="s">
        <v>386</v>
      </c>
      <c r="D201" s="125" t="s">
        <v>284</v>
      </c>
      <c r="E201" s="126" t="s">
        <v>410</v>
      </c>
      <c r="F201" s="127" t="s">
        <v>411</v>
      </c>
      <c r="G201" s="128" t="s">
        <v>287</v>
      </c>
      <c r="H201" s="129">
        <v>202.61</v>
      </c>
      <c r="I201" s="130">
        <v>6.3644601414457247</v>
      </c>
      <c r="J201" s="131">
        <f>ROUND(I201*H201,2)</f>
        <v>1289.5</v>
      </c>
      <c r="K201" s="127" t="s">
        <v>293</v>
      </c>
      <c r="L201" s="268">
        <f>S201</f>
        <v>0</v>
      </c>
      <c r="M201" s="272">
        <f>ROUND(L201*I201,2)</f>
        <v>0</v>
      </c>
      <c r="N201" s="243">
        <f>N209</f>
        <v>13.990500000000026</v>
      </c>
      <c r="O201" s="294">
        <f>ROUND(N201*I201,2)</f>
        <v>89.04</v>
      </c>
      <c r="P201" s="273">
        <f>H201-L201-N201</f>
        <v>188.61949999999999</v>
      </c>
      <c r="Q201" s="287">
        <f>ROUND(P201*I201,2)</f>
        <v>1200.46</v>
      </c>
      <c r="R201" s="137"/>
      <c r="S201" s="269">
        <f>W201+Y201+AA201+AC201</f>
        <v>0</v>
      </c>
      <c r="T201" s="269">
        <f>ROUND(S201*I201,2)</f>
        <v>0</v>
      </c>
      <c r="U201" s="269">
        <f>H201-S201</f>
        <v>202.61</v>
      </c>
      <c r="V201" s="269">
        <f>ROUND(U201*I201,2)</f>
        <v>1289.5</v>
      </c>
      <c r="W201" s="269"/>
      <c r="X201" s="269"/>
      <c r="Y201" s="269"/>
      <c r="Z201" s="269"/>
      <c r="AA201" s="269"/>
      <c r="AB201" s="269"/>
      <c r="AC201" s="269"/>
      <c r="AD201" s="269"/>
      <c r="CH201" s="132" t="s">
        <v>1</v>
      </c>
      <c r="CI201" s="133" t="s">
        <v>40</v>
      </c>
      <c r="CK201" s="134">
        <f>CJ201*H201</f>
        <v>0</v>
      </c>
      <c r="CL201" s="134">
        <v>0</v>
      </c>
      <c r="CM201" s="134">
        <f>CL201*H201</f>
        <v>0</v>
      </c>
      <c r="CN201" s="134">
        <v>0</v>
      </c>
      <c r="CO201" s="135">
        <f>CN201*H201</f>
        <v>0</v>
      </c>
      <c r="DM201" s="136" t="s">
        <v>95</v>
      </c>
      <c r="DO201" s="136" t="s">
        <v>284</v>
      </c>
      <c r="DP201" s="136" t="s">
        <v>83</v>
      </c>
      <c r="DT201" s="16" t="s">
        <v>282</v>
      </c>
      <c r="DZ201" s="137">
        <f>IF(CI201="základní",J201,0)</f>
        <v>1289.5</v>
      </c>
      <c r="EA201" s="137">
        <f>IF(CI201="snížená",J201,0)</f>
        <v>0</v>
      </c>
      <c r="EB201" s="137">
        <f>IF(CI201="zákl. přenesená",J201,0)</f>
        <v>0</v>
      </c>
      <c r="EC201" s="137">
        <f>IF(CI201="sníž. přenesená",J201,0)</f>
        <v>0</v>
      </c>
      <c r="ED201" s="137">
        <f>IF(CI201="nulová",J201,0)</f>
        <v>0</v>
      </c>
      <c r="EE201" s="16" t="s">
        <v>81</v>
      </c>
      <c r="EF201" s="137">
        <f>ROUND(I201*H201,2)</f>
        <v>1289.5</v>
      </c>
      <c r="EG201" s="16" t="s">
        <v>95</v>
      </c>
      <c r="EH201" s="136" t="s">
        <v>412</v>
      </c>
    </row>
    <row r="202" spans="2:138" s="1" customFormat="1" ht="19.5" x14ac:dyDescent="0.2">
      <c r="B202" s="31"/>
      <c r="D202" s="138" t="s">
        <v>289</v>
      </c>
      <c r="F202" s="139" t="s">
        <v>413</v>
      </c>
      <c r="I202" s="140"/>
      <c r="L202" s="31"/>
      <c r="N202" s="213"/>
      <c r="O202" s="214"/>
      <c r="Q202" s="229"/>
      <c r="CH202" s="141"/>
      <c r="CO202" s="50"/>
      <c r="DO202" s="16" t="s">
        <v>289</v>
      </c>
      <c r="DP202" s="16" t="s">
        <v>83</v>
      </c>
    </row>
    <row r="203" spans="2:138" s="1" customFormat="1" ht="19.5" x14ac:dyDescent="0.2">
      <c r="B203" s="31"/>
      <c r="D203" s="138" t="s">
        <v>299</v>
      </c>
      <c r="F203" s="142" t="s">
        <v>317</v>
      </c>
      <c r="I203" s="140"/>
      <c r="L203" s="31"/>
      <c r="N203" s="213"/>
      <c r="O203" s="214"/>
      <c r="Q203" s="229"/>
      <c r="CH203" s="141"/>
      <c r="CO203" s="50"/>
      <c r="DO203" s="16" t="s">
        <v>299</v>
      </c>
      <c r="DP203" s="16" t="s">
        <v>83</v>
      </c>
    </row>
    <row r="204" spans="2:138" s="12" customFormat="1" x14ac:dyDescent="0.2">
      <c r="B204" s="149"/>
      <c r="D204" s="138" t="s">
        <v>301</v>
      </c>
      <c r="E204" s="150" t="s">
        <v>1</v>
      </c>
      <c r="F204" s="151" t="s">
        <v>1612</v>
      </c>
      <c r="H204" s="152">
        <v>2</v>
      </c>
      <c r="I204" s="153"/>
      <c r="L204" s="149"/>
      <c r="N204" s="217">
        <f>3.59*1</f>
        <v>3.59</v>
      </c>
      <c r="O204" s="359" t="s">
        <v>3522</v>
      </c>
      <c r="Q204" s="231"/>
      <c r="CH204" s="154"/>
      <c r="CO204" s="155"/>
      <c r="DO204" s="150" t="s">
        <v>301</v>
      </c>
      <c r="DP204" s="150" t="s">
        <v>83</v>
      </c>
      <c r="DQ204" s="12" t="s">
        <v>83</v>
      </c>
      <c r="DR204" s="12" t="s">
        <v>32</v>
      </c>
      <c r="DS204" s="12" t="s">
        <v>74</v>
      </c>
      <c r="DT204" s="150" t="s">
        <v>282</v>
      </c>
    </row>
    <row r="205" spans="2:138" s="12" customFormat="1" x14ac:dyDescent="0.2">
      <c r="B205" s="149"/>
      <c r="D205" s="138" t="s">
        <v>301</v>
      </c>
      <c r="E205" s="150" t="s">
        <v>1</v>
      </c>
      <c r="F205" s="151" t="s">
        <v>1613</v>
      </c>
      <c r="H205" s="152">
        <v>189</v>
      </c>
      <c r="I205" s="153"/>
      <c r="L205" s="149"/>
      <c r="N205" s="217">
        <f>191.81*1.05</f>
        <v>201.40050000000002</v>
      </c>
      <c r="O205" s="359" t="s">
        <v>3542</v>
      </c>
      <c r="Q205" s="231"/>
      <c r="CH205" s="154"/>
      <c r="CO205" s="155"/>
      <c r="DO205" s="150" t="s">
        <v>301</v>
      </c>
      <c r="DP205" s="150" t="s">
        <v>83</v>
      </c>
      <c r="DQ205" s="12" t="s">
        <v>83</v>
      </c>
      <c r="DR205" s="12" t="s">
        <v>32</v>
      </c>
      <c r="DS205" s="12" t="s">
        <v>74</v>
      </c>
      <c r="DT205" s="150" t="s">
        <v>282</v>
      </c>
    </row>
    <row r="206" spans="2:138" s="12" customFormat="1" x14ac:dyDescent="0.2">
      <c r="B206" s="149"/>
      <c r="D206" s="138" t="s">
        <v>301</v>
      </c>
      <c r="E206" s="150" t="s">
        <v>1</v>
      </c>
      <c r="F206" s="151" t="s">
        <v>806</v>
      </c>
      <c r="H206" s="152">
        <v>8.91</v>
      </c>
      <c r="I206" s="153"/>
      <c r="L206" s="149"/>
      <c r="N206" s="310">
        <f>H206</f>
        <v>8.91</v>
      </c>
      <c r="O206" s="218"/>
      <c r="Q206" s="231"/>
      <c r="CH206" s="154"/>
      <c r="CO206" s="155"/>
      <c r="DO206" s="150" t="s">
        <v>301</v>
      </c>
      <c r="DP206" s="150" t="s">
        <v>83</v>
      </c>
      <c r="DQ206" s="12" t="s">
        <v>83</v>
      </c>
      <c r="DR206" s="12" t="s">
        <v>32</v>
      </c>
      <c r="DS206" s="12" t="s">
        <v>74</v>
      </c>
      <c r="DT206" s="150" t="s">
        <v>282</v>
      </c>
    </row>
    <row r="207" spans="2:138" s="12" customFormat="1" x14ac:dyDescent="0.2">
      <c r="B207" s="149"/>
      <c r="D207" s="138" t="s">
        <v>301</v>
      </c>
      <c r="E207" s="150" t="s">
        <v>1</v>
      </c>
      <c r="F207" s="151" t="s">
        <v>1614</v>
      </c>
      <c r="H207" s="152">
        <v>2.7</v>
      </c>
      <c r="I207" s="153"/>
      <c r="L207" s="149"/>
      <c r="N207" s="310">
        <f>H207</f>
        <v>2.7</v>
      </c>
      <c r="O207" s="218"/>
      <c r="Q207" s="231"/>
      <c r="CH207" s="154"/>
      <c r="CO207" s="155"/>
      <c r="DO207" s="150" t="s">
        <v>301</v>
      </c>
      <c r="DP207" s="150" t="s">
        <v>83</v>
      </c>
      <c r="DQ207" s="12" t="s">
        <v>83</v>
      </c>
      <c r="DR207" s="12" t="s">
        <v>32</v>
      </c>
      <c r="DS207" s="12" t="s">
        <v>74</v>
      </c>
      <c r="DT207" s="150" t="s">
        <v>282</v>
      </c>
    </row>
    <row r="208" spans="2:138" s="13" customFormat="1" x14ac:dyDescent="0.2">
      <c r="B208" s="156"/>
      <c r="D208" s="138" t="s">
        <v>301</v>
      </c>
      <c r="E208" s="157" t="s">
        <v>1</v>
      </c>
      <c r="F208" s="158" t="s">
        <v>305</v>
      </c>
      <c r="H208" s="159">
        <v>202.60999999999999</v>
      </c>
      <c r="I208" s="160"/>
      <c r="L208" s="156"/>
      <c r="N208" s="219">
        <f>SUM(N204:N207)</f>
        <v>216.60050000000001</v>
      </c>
      <c r="O208" s="220"/>
      <c r="Q208" s="232"/>
      <c r="CH208" s="161"/>
      <c r="CO208" s="162"/>
      <c r="DO208" s="157" t="s">
        <v>301</v>
      </c>
      <c r="DP208" s="157" t="s">
        <v>83</v>
      </c>
      <c r="DQ208" s="13" t="s">
        <v>95</v>
      </c>
      <c r="DR208" s="13" t="s">
        <v>32</v>
      </c>
      <c r="DS208" s="13" t="s">
        <v>81</v>
      </c>
      <c r="DT208" s="157" t="s">
        <v>282</v>
      </c>
    </row>
    <row r="209" spans="2:138" s="13" customFormat="1" x14ac:dyDescent="0.2">
      <c r="B209" s="156"/>
      <c r="D209" s="138"/>
      <c r="E209" s="157"/>
      <c r="F209" s="158"/>
      <c r="H209" s="159"/>
      <c r="I209" s="160"/>
      <c r="L209" s="156"/>
      <c r="N209" s="311">
        <f>N208-H208</f>
        <v>13.990500000000026</v>
      </c>
      <c r="O209" s="220"/>
      <c r="Q209" s="232"/>
      <c r="CH209" s="161"/>
      <c r="CO209" s="162"/>
      <c r="DO209" s="157"/>
      <c r="DP209" s="157"/>
      <c r="DT209" s="157"/>
    </row>
    <row r="210" spans="2:138" s="1" customFormat="1" ht="24.2" customHeight="1" x14ac:dyDescent="0.2">
      <c r="B210" s="124"/>
      <c r="C210" s="125" t="s">
        <v>392</v>
      </c>
      <c r="D210" s="125" t="s">
        <v>284</v>
      </c>
      <c r="E210" s="126" t="s">
        <v>416</v>
      </c>
      <c r="F210" s="127" t="s">
        <v>417</v>
      </c>
      <c r="G210" s="128" t="s">
        <v>418</v>
      </c>
      <c r="H210" s="129">
        <v>865.53</v>
      </c>
      <c r="I210" s="130">
        <v>110.6455721</v>
      </c>
      <c r="J210" s="131">
        <f>ROUND(I210*H210,2)</f>
        <v>95767.06</v>
      </c>
      <c r="K210" s="127" t="s">
        <v>293</v>
      </c>
      <c r="L210" s="268">
        <f>S210</f>
        <v>0</v>
      </c>
      <c r="M210" s="272">
        <f>ROUND(L210*I210,2)</f>
        <v>0</v>
      </c>
      <c r="N210" s="243">
        <f>N213</f>
        <v>59.180399999999963</v>
      </c>
      <c r="O210" s="294">
        <f>ROUND(N210*I210,2)</f>
        <v>6548.05</v>
      </c>
      <c r="P210" s="273">
        <f>H210-L210-N210</f>
        <v>806.34960000000001</v>
      </c>
      <c r="Q210" s="287">
        <f>ROUND(P210*I210,2)</f>
        <v>89219.01</v>
      </c>
      <c r="R210" s="137"/>
      <c r="S210" s="269">
        <f>W210+Y210+AA210+AC210</f>
        <v>0</v>
      </c>
      <c r="T210" s="269">
        <f>ROUND(S210*I210,2)</f>
        <v>0</v>
      </c>
      <c r="U210" s="269">
        <f>H210-S210</f>
        <v>865.53</v>
      </c>
      <c r="V210" s="269">
        <f>ROUND(U210*I210,2)</f>
        <v>95767.06</v>
      </c>
      <c r="W210" s="269"/>
      <c r="X210" s="269"/>
      <c r="Y210" s="269"/>
      <c r="Z210" s="269"/>
      <c r="AA210" s="269"/>
      <c r="AB210" s="269"/>
      <c r="AC210" s="269"/>
      <c r="AD210" s="269"/>
      <c r="CH210" s="132" t="s">
        <v>1</v>
      </c>
      <c r="CI210" s="133" t="s">
        <v>40</v>
      </c>
      <c r="CK210" s="134">
        <f>CJ210*H210</f>
        <v>0</v>
      </c>
      <c r="CL210" s="134">
        <v>0</v>
      </c>
      <c r="CM210" s="134">
        <f>CL210*H210</f>
        <v>0</v>
      </c>
      <c r="CN210" s="134">
        <v>0</v>
      </c>
      <c r="CO210" s="135">
        <f>CN210*H210</f>
        <v>0</v>
      </c>
      <c r="DM210" s="136" t="s">
        <v>95</v>
      </c>
      <c r="DO210" s="136" t="s">
        <v>284</v>
      </c>
      <c r="DP210" s="136" t="s">
        <v>83</v>
      </c>
      <c r="DT210" s="16" t="s">
        <v>282</v>
      </c>
      <c r="DZ210" s="137">
        <f>IF(CI210="základní",J210,0)</f>
        <v>95767.06</v>
      </c>
      <c r="EA210" s="137">
        <f>IF(CI210="snížená",J210,0)</f>
        <v>0</v>
      </c>
      <c r="EB210" s="137">
        <f>IF(CI210="zákl. přenesená",J210,0)</f>
        <v>0</v>
      </c>
      <c r="EC210" s="137">
        <f>IF(CI210="sníž. přenesená",J210,0)</f>
        <v>0</v>
      </c>
      <c r="ED210" s="137">
        <f>IF(CI210="nulová",J210,0)</f>
        <v>0</v>
      </c>
      <c r="EE210" s="16" t="s">
        <v>81</v>
      </c>
      <c r="EF210" s="137">
        <f>ROUND(I210*H210,2)</f>
        <v>95767.06</v>
      </c>
      <c r="EG210" s="16" t="s">
        <v>95</v>
      </c>
      <c r="EH210" s="136" t="s">
        <v>419</v>
      </c>
    </row>
    <row r="211" spans="2:138" s="1" customFormat="1" ht="29.25" x14ac:dyDescent="0.2">
      <c r="B211" s="31"/>
      <c r="D211" s="138" t="s">
        <v>289</v>
      </c>
      <c r="F211" s="139" t="s">
        <v>420</v>
      </c>
      <c r="I211" s="140"/>
      <c r="L211" s="31"/>
      <c r="N211" s="213"/>
      <c r="O211" s="214"/>
      <c r="Q211" s="229"/>
      <c r="CH211" s="141"/>
      <c r="CO211" s="50"/>
      <c r="DO211" s="16" t="s">
        <v>289</v>
      </c>
      <c r="DP211" s="16" t="s">
        <v>83</v>
      </c>
    </row>
    <row r="212" spans="2:138" s="12" customFormat="1" x14ac:dyDescent="0.2">
      <c r="B212" s="149"/>
      <c r="D212" s="138" t="s">
        <v>301</v>
      </c>
      <c r="F212" s="151" t="s">
        <v>1628</v>
      </c>
      <c r="H212" s="152">
        <v>865.53</v>
      </c>
      <c r="I212" s="153"/>
      <c r="L212" s="149"/>
      <c r="N212" s="217">
        <f>513.728*1.8</f>
        <v>924.71039999999994</v>
      </c>
      <c r="O212" s="218" t="s">
        <v>3549</v>
      </c>
      <c r="Q212" s="231"/>
      <c r="CH212" s="154"/>
      <c r="CO212" s="155"/>
      <c r="DO212" s="150" t="s">
        <v>301</v>
      </c>
      <c r="DP212" s="150" t="s">
        <v>83</v>
      </c>
      <c r="DQ212" s="12" t="s">
        <v>83</v>
      </c>
      <c r="DR212" s="12" t="s">
        <v>3</v>
      </c>
      <c r="DS212" s="12" t="s">
        <v>81</v>
      </c>
      <c r="DT212" s="150" t="s">
        <v>282</v>
      </c>
    </row>
    <row r="213" spans="2:138" s="12" customFormat="1" x14ac:dyDescent="0.2">
      <c r="B213" s="149"/>
      <c r="D213" s="138"/>
      <c r="F213" s="151"/>
      <c r="H213" s="152"/>
      <c r="I213" s="153"/>
      <c r="L213" s="149"/>
      <c r="N213" s="310">
        <f>N212-H212</f>
        <v>59.180399999999963</v>
      </c>
      <c r="O213" s="218"/>
      <c r="Q213" s="231"/>
      <c r="CH213" s="154"/>
      <c r="CO213" s="155"/>
      <c r="DO213" s="150"/>
      <c r="DP213" s="150"/>
      <c r="DT213" s="150"/>
    </row>
    <row r="214" spans="2:138" s="1" customFormat="1" ht="24.2" customHeight="1" x14ac:dyDescent="0.2">
      <c r="B214" s="124"/>
      <c r="C214" s="125" t="s">
        <v>397</v>
      </c>
      <c r="D214" s="125" t="s">
        <v>284</v>
      </c>
      <c r="E214" s="126" t="s">
        <v>423</v>
      </c>
      <c r="F214" s="127" t="s">
        <v>424</v>
      </c>
      <c r="G214" s="128" t="s">
        <v>366</v>
      </c>
      <c r="H214" s="129">
        <v>424.19499999999999</v>
      </c>
      <c r="I214" s="130">
        <v>140.64048227116101</v>
      </c>
      <c r="J214" s="131">
        <f>ROUND(I214*H214,2)</f>
        <v>59658.99</v>
      </c>
      <c r="K214" s="127" t="s">
        <v>293</v>
      </c>
      <c r="L214" s="268">
        <f>S214</f>
        <v>0</v>
      </c>
      <c r="M214" s="272">
        <f>ROUND(L214*I214,2)</f>
        <v>0</v>
      </c>
      <c r="N214" s="243">
        <f>N229</f>
        <v>29.460074999999904</v>
      </c>
      <c r="O214" s="294">
        <f>ROUND(N214*I214,2)</f>
        <v>4143.28</v>
      </c>
      <c r="P214" s="273">
        <f>H214-L214-N214</f>
        <v>394.73492500000009</v>
      </c>
      <c r="Q214" s="287">
        <f>ROUND(P214*I214,2)</f>
        <v>55515.71</v>
      </c>
      <c r="R214" s="137"/>
      <c r="S214" s="269">
        <f>W214+Y214+AA214+AC214</f>
        <v>0</v>
      </c>
      <c r="T214" s="269">
        <f>ROUND(S214*I214,2)</f>
        <v>0</v>
      </c>
      <c r="U214" s="269">
        <f>H214-S214</f>
        <v>424.19499999999999</v>
      </c>
      <c r="V214" s="269">
        <f>ROUND(U214*I214,2)</f>
        <v>59658.99</v>
      </c>
      <c r="W214" s="269"/>
      <c r="X214" s="269"/>
      <c r="Y214" s="269"/>
      <c r="Z214" s="269"/>
      <c r="AA214" s="269"/>
      <c r="AB214" s="269"/>
      <c r="AC214" s="269"/>
      <c r="AD214" s="269"/>
      <c r="CH214" s="132" t="s">
        <v>1</v>
      </c>
      <c r="CI214" s="133" t="s">
        <v>40</v>
      </c>
      <c r="CK214" s="134">
        <f>CJ214*H214</f>
        <v>0</v>
      </c>
      <c r="CL214" s="134">
        <v>0</v>
      </c>
      <c r="CM214" s="134">
        <f>CL214*H214</f>
        <v>0</v>
      </c>
      <c r="CN214" s="134">
        <v>0</v>
      </c>
      <c r="CO214" s="135">
        <f>CN214*H214</f>
        <v>0</v>
      </c>
      <c r="DM214" s="136" t="s">
        <v>95</v>
      </c>
      <c r="DO214" s="136" t="s">
        <v>284</v>
      </c>
      <c r="DP214" s="136" t="s">
        <v>83</v>
      </c>
      <c r="DT214" s="16" t="s">
        <v>282</v>
      </c>
      <c r="DZ214" s="137">
        <f>IF(CI214="základní",J214,0)</f>
        <v>59658.99</v>
      </c>
      <c r="EA214" s="137">
        <f>IF(CI214="snížená",J214,0)</f>
        <v>0</v>
      </c>
      <c r="EB214" s="137">
        <f>IF(CI214="zákl. přenesená",J214,0)</f>
        <v>0</v>
      </c>
      <c r="EC214" s="137">
        <f>IF(CI214="sníž. přenesená",J214,0)</f>
        <v>0</v>
      </c>
      <c r="ED214" s="137">
        <f>IF(CI214="nulová",J214,0)</f>
        <v>0</v>
      </c>
      <c r="EE214" s="16" t="s">
        <v>81</v>
      </c>
      <c r="EF214" s="137">
        <f>ROUND(I214*H214,2)</f>
        <v>59658.99</v>
      </c>
      <c r="EG214" s="16" t="s">
        <v>95</v>
      </c>
      <c r="EH214" s="136" t="s">
        <v>425</v>
      </c>
    </row>
    <row r="215" spans="2:138" s="1" customFormat="1" ht="29.25" x14ac:dyDescent="0.2">
      <c r="B215" s="31"/>
      <c r="D215" s="138" t="s">
        <v>289</v>
      </c>
      <c r="F215" s="139" t="s">
        <v>426</v>
      </c>
      <c r="I215" s="140"/>
      <c r="L215" s="31"/>
      <c r="N215" s="213"/>
      <c r="O215" s="214"/>
      <c r="Q215" s="229"/>
      <c r="CH215" s="141"/>
      <c r="CO215" s="50"/>
      <c r="DO215" s="16" t="s">
        <v>289</v>
      </c>
      <c r="DP215" s="16" t="s">
        <v>83</v>
      </c>
    </row>
    <row r="216" spans="2:138" s="11" customFormat="1" x14ac:dyDescent="0.2">
      <c r="B216" s="143"/>
      <c r="D216" s="138" t="s">
        <v>301</v>
      </c>
      <c r="E216" s="144" t="s">
        <v>1</v>
      </c>
      <c r="F216" s="145" t="s">
        <v>1458</v>
      </c>
      <c r="H216" s="144" t="s">
        <v>1</v>
      </c>
      <c r="I216" s="146"/>
      <c r="L216" s="143"/>
      <c r="N216" s="215"/>
      <c r="O216" s="216"/>
      <c r="Q216" s="230"/>
      <c r="CH216" s="147"/>
      <c r="CO216" s="148"/>
      <c r="DO216" s="144" t="s">
        <v>301</v>
      </c>
      <c r="DP216" s="144" t="s">
        <v>83</v>
      </c>
      <c r="DQ216" s="11" t="s">
        <v>81</v>
      </c>
      <c r="DR216" s="11" t="s">
        <v>32</v>
      </c>
      <c r="DS216" s="11" t="s">
        <v>74</v>
      </c>
      <c r="DT216" s="144" t="s">
        <v>282</v>
      </c>
    </row>
    <row r="217" spans="2:138" s="12" customFormat="1" x14ac:dyDescent="0.2">
      <c r="B217" s="149"/>
      <c r="D217" s="138" t="s">
        <v>301</v>
      </c>
      <c r="E217" s="150" t="s">
        <v>1</v>
      </c>
      <c r="F217" s="151" t="s">
        <v>1626</v>
      </c>
      <c r="H217" s="152">
        <v>480.85</v>
      </c>
      <c r="I217" s="153"/>
      <c r="L217" s="149"/>
      <c r="N217" s="217">
        <f>256.864+256.864</f>
        <v>513.72799999999995</v>
      </c>
      <c r="O217" s="218" t="s">
        <v>3547</v>
      </c>
      <c r="Q217" s="231"/>
      <c r="CH217" s="154"/>
      <c r="CO217" s="155"/>
      <c r="DO217" s="150" t="s">
        <v>301</v>
      </c>
      <c r="DP217" s="150" t="s">
        <v>83</v>
      </c>
      <c r="DQ217" s="12" t="s">
        <v>83</v>
      </c>
      <c r="DR217" s="12" t="s">
        <v>32</v>
      </c>
      <c r="DS217" s="12" t="s">
        <v>74</v>
      </c>
      <c r="DT217" s="150" t="s">
        <v>282</v>
      </c>
    </row>
    <row r="218" spans="2:138" s="11" customFormat="1" x14ac:dyDescent="0.2">
      <c r="B218" s="143"/>
      <c r="D218" s="138" t="s">
        <v>301</v>
      </c>
      <c r="E218" s="144" t="s">
        <v>1</v>
      </c>
      <c r="F218" s="145" t="s">
        <v>428</v>
      </c>
      <c r="H218" s="144" t="s">
        <v>1</v>
      </c>
      <c r="I218" s="146"/>
      <c r="L218" s="143"/>
      <c r="N218" s="215"/>
      <c r="O218" s="216"/>
      <c r="Q218" s="230"/>
      <c r="CH218" s="147"/>
      <c r="CO218" s="148"/>
      <c r="DO218" s="144" t="s">
        <v>301</v>
      </c>
      <c r="DP218" s="144" t="s">
        <v>83</v>
      </c>
      <c r="DQ218" s="11" t="s">
        <v>81</v>
      </c>
      <c r="DR218" s="11" t="s">
        <v>32</v>
      </c>
      <c r="DS218" s="11" t="s">
        <v>74</v>
      </c>
      <c r="DT218" s="144" t="s">
        <v>282</v>
      </c>
    </row>
    <row r="219" spans="2:138" s="12" customFormat="1" x14ac:dyDescent="0.2">
      <c r="B219" s="149"/>
      <c r="D219" s="138" t="s">
        <v>301</v>
      </c>
      <c r="E219" s="150" t="s">
        <v>1</v>
      </c>
      <c r="F219" s="151" t="s">
        <v>1629</v>
      </c>
      <c r="H219" s="152">
        <v>-104.95</v>
      </c>
      <c r="I219" s="153"/>
      <c r="L219" s="149"/>
      <c r="N219" s="217">
        <f>-N239</f>
        <v>-112.56527500000003</v>
      </c>
      <c r="O219" s="218"/>
      <c r="Q219" s="231"/>
      <c r="CH219" s="154"/>
      <c r="CO219" s="155"/>
      <c r="DO219" s="150" t="s">
        <v>301</v>
      </c>
      <c r="DP219" s="150" t="s">
        <v>83</v>
      </c>
      <c r="DQ219" s="12" t="s">
        <v>83</v>
      </c>
      <c r="DR219" s="12" t="s">
        <v>32</v>
      </c>
      <c r="DS219" s="12" t="s">
        <v>74</v>
      </c>
      <c r="DT219" s="150" t="s">
        <v>282</v>
      </c>
    </row>
    <row r="220" spans="2:138" s="11" customFormat="1" x14ac:dyDescent="0.2">
      <c r="B220" s="143"/>
      <c r="D220" s="138" t="s">
        <v>301</v>
      </c>
      <c r="E220" s="144" t="s">
        <v>1</v>
      </c>
      <c r="F220" s="145" t="s">
        <v>430</v>
      </c>
      <c r="H220" s="144" t="s">
        <v>1</v>
      </c>
      <c r="I220" s="146"/>
      <c r="L220" s="143"/>
      <c r="N220" s="215"/>
      <c r="O220" s="216"/>
      <c r="Q220" s="230"/>
      <c r="CH220" s="147"/>
      <c r="CO220" s="148"/>
      <c r="DO220" s="144" t="s">
        <v>301</v>
      </c>
      <c r="DP220" s="144" t="s">
        <v>83</v>
      </c>
      <c r="DQ220" s="11" t="s">
        <v>81</v>
      </c>
      <c r="DR220" s="11" t="s">
        <v>32</v>
      </c>
      <c r="DS220" s="11" t="s">
        <v>74</v>
      </c>
      <c r="DT220" s="144" t="s">
        <v>282</v>
      </c>
    </row>
    <row r="221" spans="2:138" s="12" customFormat="1" x14ac:dyDescent="0.2">
      <c r="B221" s="149"/>
      <c r="D221" s="138" t="s">
        <v>301</v>
      </c>
      <c r="E221" s="150" t="s">
        <v>1</v>
      </c>
      <c r="F221" s="151" t="s">
        <v>1630</v>
      </c>
      <c r="H221" s="152">
        <v>-21.25</v>
      </c>
      <c r="I221" s="153"/>
      <c r="L221" s="149"/>
      <c r="N221" s="310">
        <f>-N258-H260</f>
        <v>-22.649050000000003</v>
      </c>
      <c r="O221" s="218"/>
      <c r="Q221" s="231"/>
      <c r="CH221" s="154"/>
      <c r="CO221" s="155"/>
      <c r="DO221" s="150" t="s">
        <v>301</v>
      </c>
      <c r="DP221" s="150" t="s">
        <v>83</v>
      </c>
      <c r="DQ221" s="12" t="s">
        <v>83</v>
      </c>
      <c r="DR221" s="12" t="s">
        <v>32</v>
      </c>
      <c r="DS221" s="12" t="s">
        <v>74</v>
      </c>
      <c r="DT221" s="150" t="s">
        <v>282</v>
      </c>
    </row>
    <row r="222" spans="2:138" s="11" customFormat="1" x14ac:dyDescent="0.2">
      <c r="B222" s="143"/>
      <c r="D222" s="138" t="s">
        <v>301</v>
      </c>
      <c r="E222" s="144" t="s">
        <v>1</v>
      </c>
      <c r="F222" s="145" t="s">
        <v>432</v>
      </c>
      <c r="H222" s="144" t="s">
        <v>1</v>
      </c>
      <c r="I222" s="146"/>
      <c r="L222" s="143"/>
      <c r="N222" s="215"/>
      <c r="O222" s="216"/>
      <c r="Q222" s="230"/>
      <c r="CH222" s="147"/>
      <c r="CO222" s="148"/>
      <c r="DO222" s="144" t="s">
        <v>301</v>
      </c>
      <c r="DP222" s="144" t="s">
        <v>83</v>
      </c>
      <c r="DQ222" s="11" t="s">
        <v>81</v>
      </c>
      <c r="DR222" s="11" t="s">
        <v>32</v>
      </c>
      <c r="DS222" s="11" t="s">
        <v>74</v>
      </c>
      <c r="DT222" s="144" t="s">
        <v>282</v>
      </c>
    </row>
    <row r="223" spans="2:138" s="12" customFormat="1" x14ac:dyDescent="0.2">
      <c r="B223" s="149"/>
      <c r="D223" s="138" t="s">
        <v>301</v>
      </c>
      <c r="E223" s="150" t="s">
        <v>1</v>
      </c>
      <c r="F223" s="151" t="s">
        <v>1631</v>
      </c>
      <c r="H223" s="152">
        <v>-1.575</v>
      </c>
      <c r="I223" s="153"/>
      <c r="L223" s="149"/>
      <c r="N223" s="310">
        <f>H223</f>
        <v>-1.575</v>
      </c>
      <c r="O223" s="218"/>
      <c r="Q223" s="231"/>
      <c r="CH223" s="154"/>
      <c r="CO223" s="155"/>
      <c r="DO223" s="150" t="s">
        <v>301</v>
      </c>
      <c r="DP223" s="150" t="s">
        <v>83</v>
      </c>
      <c r="DQ223" s="12" t="s">
        <v>83</v>
      </c>
      <c r="DR223" s="12" t="s">
        <v>32</v>
      </c>
      <c r="DS223" s="12" t="s">
        <v>74</v>
      </c>
      <c r="DT223" s="150" t="s">
        <v>282</v>
      </c>
    </row>
    <row r="224" spans="2:138" s="12" customFormat="1" x14ac:dyDescent="0.2">
      <c r="B224" s="149"/>
      <c r="D224" s="138" t="s">
        <v>301</v>
      </c>
      <c r="E224" s="150" t="s">
        <v>1</v>
      </c>
      <c r="F224" s="151" t="s">
        <v>1632</v>
      </c>
      <c r="H224" s="152">
        <v>-6.7590000000000003</v>
      </c>
      <c r="I224" s="153"/>
      <c r="L224" s="149"/>
      <c r="N224" s="310">
        <f>H224</f>
        <v>-6.7590000000000003</v>
      </c>
      <c r="O224" s="218"/>
      <c r="Q224" s="231"/>
      <c r="CH224" s="154"/>
      <c r="CO224" s="155"/>
      <c r="DO224" s="150" t="s">
        <v>301</v>
      </c>
      <c r="DP224" s="150" t="s">
        <v>83</v>
      </c>
      <c r="DQ224" s="12" t="s">
        <v>83</v>
      </c>
      <c r="DR224" s="12" t="s">
        <v>32</v>
      </c>
      <c r="DS224" s="12" t="s">
        <v>74</v>
      </c>
      <c r="DT224" s="150" t="s">
        <v>282</v>
      </c>
    </row>
    <row r="225" spans="2:138" s="12" customFormat="1" x14ac:dyDescent="0.2">
      <c r="B225" s="149"/>
      <c r="D225" s="138" t="s">
        <v>301</v>
      </c>
      <c r="E225" s="150" t="s">
        <v>1</v>
      </c>
      <c r="F225" s="151" t="s">
        <v>1633</v>
      </c>
      <c r="H225" s="152">
        <v>-3.165</v>
      </c>
      <c r="I225" s="153"/>
      <c r="L225" s="149"/>
      <c r="N225" s="310">
        <f>H225</f>
        <v>-3.165</v>
      </c>
      <c r="O225" s="218"/>
      <c r="Q225" s="231"/>
      <c r="CH225" s="154"/>
      <c r="CO225" s="155"/>
      <c r="DO225" s="150" t="s">
        <v>301</v>
      </c>
      <c r="DP225" s="150" t="s">
        <v>83</v>
      </c>
      <c r="DQ225" s="12" t="s">
        <v>83</v>
      </c>
      <c r="DR225" s="12" t="s">
        <v>32</v>
      </c>
      <c r="DS225" s="12" t="s">
        <v>74</v>
      </c>
      <c r="DT225" s="150" t="s">
        <v>282</v>
      </c>
    </row>
    <row r="226" spans="2:138" s="11" customFormat="1" x14ac:dyDescent="0.2">
      <c r="B226" s="143"/>
      <c r="D226" s="138" t="s">
        <v>301</v>
      </c>
      <c r="E226" s="144" t="s">
        <v>1</v>
      </c>
      <c r="F226" s="145" t="s">
        <v>436</v>
      </c>
      <c r="H226" s="144" t="s">
        <v>1</v>
      </c>
      <c r="I226" s="146"/>
      <c r="L226" s="143"/>
      <c r="N226" s="215"/>
      <c r="O226" s="216"/>
      <c r="Q226" s="230"/>
      <c r="CH226" s="147"/>
      <c r="CO226" s="148"/>
      <c r="DO226" s="144" t="s">
        <v>301</v>
      </c>
      <c r="DP226" s="144" t="s">
        <v>83</v>
      </c>
      <c r="DQ226" s="11" t="s">
        <v>81</v>
      </c>
      <c r="DR226" s="11" t="s">
        <v>32</v>
      </c>
      <c r="DS226" s="11" t="s">
        <v>74</v>
      </c>
      <c r="DT226" s="144" t="s">
        <v>282</v>
      </c>
    </row>
    <row r="227" spans="2:138" s="12" customFormat="1" x14ac:dyDescent="0.2">
      <c r="B227" s="149"/>
      <c r="D227" s="138" t="s">
        <v>301</v>
      </c>
      <c r="E227" s="150" t="s">
        <v>1</v>
      </c>
      <c r="F227" s="151" t="s">
        <v>1634</v>
      </c>
      <c r="H227" s="152">
        <v>81.043999999999997</v>
      </c>
      <c r="I227" s="153"/>
      <c r="L227" s="149"/>
      <c r="N227" s="217">
        <f>216.601*(0.45-0.05)</f>
        <v>86.6404</v>
      </c>
      <c r="O227" s="218" t="s">
        <v>3550</v>
      </c>
      <c r="Q227" s="231"/>
      <c r="CH227" s="154"/>
      <c r="CO227" s="155"/>
      <c r="DO227" s="150" t="s">
        <v>301</v>
      </c>
      <c r="DP227" s="150" t="s">
        <v>83</v>
      </c>
      <c r="DQ227" s="12" t="s">
        <v>83</v>
      </c>
      <c r="DR227" s="12" t="s">
        <v>32</v>
      </c>
      <c r="DS227" s="12" t="s">
        <v>74</v>
      </c>
      <c r="DT227" s="150" t="s">
        <v>282</v>
      </c>
    </row>
    <row r="228" spans="2:138" s="13" customFormat="1" x14ac:dyDescent="0.2">
      <c r="B228" s="156"/>
      <c r="D228" s="138" t="s">
        <v>301</v>
      </c>
      <c r="E228" s="157" t="s">
        <v>1</v>
      </c>
      <c r="F228" s="158" t="s">
        <v>305</v>
      </c>
      <c r="H228" s="159">
        <v>424.19499999999999</v>
      </c>
      <c r="I228" s="160"/>
      <c r="L228" s="156"/>
      <c r="N228" s="219">
        <f>SUM(N217:N227)</f>
        <v>453.6550749999999</v>
      </c>
      <c r="O228" s="220"/>
      <c r="Q228" s="232"/>
      <c r="CH228" s="161"/>
      <c r="CO228" s="162"/>
      <c r="DO228" s="157" t="s">
        <v>301</v>
      </c>
      <c r="DP228" s="157" t="s">
        <v>83</v>
      </c>
      <c r="DQ228" s="13" t="s">
        <v>95</v>
      </c>
      <c r="DR228" s="13" t="s">
        <v>32</v>
      </c>
      <c r="DS228" s="13" t="s">
        <v>81</v>
      </c>
      <c r="DT228" s="157" t="s">
        <v>282</v>
      </c>
    </row>
    <row r="229" spans="2:138" s="13" customFormat="1" x14ac:dyDescent="0.2">
      <c r="B229" s="156"/>
      <c r="D229" s="138"/>
      <c r="E229" s="157"/>
      <c r="F229" s="158"/>
      <c r="H229" s="159"/>
      <c r="I229" s="160"/>
      <c r="L229" s="156"/>
      <c r="N229" s="311">
        <f>N228-H228</f>
        <v>29.460074999999904</v>
      </c>
      <c r="O229" s="220"/>
      <c r="Q229" s="232"/>
      <c r="CH229" s="161"/>
      <c r="CO229" s="162"/>
      <c r="DO229" s="157"/>
      <c r="DP229" s="157"/>
      <c r="DT229" s="157"/>
    </row>
    <row r="230" spans="2:138" s="1" customFormat="1" ht="14.45" customHeight="1" x14ac:dyDescent="0.2">
      <c r="B230" s="124"/>
      <c r="C230" s="170" t="s">
        <v>404</v>
      </c>
      <c r="D230" s="170" t="s">
        <v>439</v>
      </c>
      <c r="E230" s="171" t="s">
        <v>440</v>
      </c>
      <c r="F230" s="172" t="s">
        <v>441</v>
      </c>
      <c r="G230" s="173" t="s">
        <v>418</v>
      </c>
      <c r="H230" s="174">
        <v>848.39</v>
      </c>
      <c r="I230" s="175">
        <v>390.0974172</v>
      </c>
      <c r="J230" s="176">
        <f>ROUND(I230*H230,2)</f>
        <v>330954.75</v>
      </c>
      <c r="K230" s="172" t="s">
        <v>293</v>
      </c>
      <c r="L230" s="268">
        <f>S230</f>
        <v>0</v>
      </c>
      <c r="M230" s="272">
        <f>ROUND(L230*I230,2)</f>
        <v>0</v>
      </c>
      <c r="N230" s="243">
        <f>N233</f>
        <v>58.905999999999999</v>
      </c>
      <c r="O230" s="294">
        <f>ROUND(N230*I230,2)</f>
        <v>22979.08</v>
      </c>
      <c r="P230" s="273">
        <f>H230-L230-N230</f>
        <v>789.48400000000004</v>
      </c>
      <c r="Q230" s="287">
        <f>ROUND(P230*I230,2)</f>
        <v>307975.67</v>
      </c>
      <c r="R230" s="137"/>
      <c r="S230" s="269">
        <f>W230+Y230+AA230+AC230</f>
        <v>0</v>
      </c>
      <c r="T230" s="269">
        <f>ROUND(S230*I230,2)</f>
        <v>0</v>
      </c>
      <c r="U230" s="269">
        <f>H230-S230</f>
        <v>848.39</v>
      </c>
      <c r="V230" s="269">
        <f>ROUND(U230*I230,2)</f>
        <v>330954.75</v>
      </c>
      <c r="W230" s="290"/>
      <c r="X230" s="290"/>
      <c r="Y230" s="290"/>
      <c r="Z230" s="290"/>
      <c r="AA230" s="290"/>
      <c r="AB230" s="290"/>
      <c r="AC230" s="290"/>
      <c r="AD230" s="290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77" t="s">
        <v>1</v>
      </c>
      <c r="CI230" s="178" t="s">
        <v>40</v>
      </c>
      <c r="CK230" s="134">
        <f>CJ230*H230</f>
        <v>0</v>
      </c>
      <c r="CL230" s="134">
        <v>1</v>
      </c>
      <c r="CM230" s="134">
        <f>CL230*H230</f>
        <v>848.39</v>
      </c>
      <c r="CN230" s="134">
        <v>0</v>
      </c>
      <c r="CO230" s="135">
        <f>CN230*H230</f>
        <v>0</v>
      </c>
      <c r="DM230" s="136" t="s">
        <v>328</v>
      </c>
      <c r="DO230" s="136" t="s">
        <v>439</v>
      </c>
      <c r="DP230" s="136" t="s">
        <v>83</v>
      </c>
      <c r="DT230" s="16" t="s">
        <v>282</v>
      </c>
      <c r="DZ230" s="137">
        <f>IF(CI230="základní",J230,0)</f>
        <v>330954.75</v>
      </c>
      <c r="EA230" s="137">
        <f>IF(CI230="snížená",J230,0)</f>
        <v>0</v>
      </c>
      <c r="EB230" s="137">
        <f>IF(CI230="zákl. přenesená",J230,0)</f>
        <v>0</v>
      </c>
      <c r="EC230" s="137">
        <f>IF(CI230="sníž. přenesená",J230,0)</f>
        <v>0</v>
      </c>
      <c r="ED230" s="137">
        <f>IF(CI230="nulová",J230,0)</f>
        <v>0</v>
      </c>
      <c r="EE230" s="16" t="s">
        <v>81</v>
      </c>
      <c r="EF230" s="137">
        <f>ROUND(I230*H230,2)</f>
        <v>330954.75</v>
      </c>
      <c r="EG230" s="16" t="s">
        <v>95</v>
      </c>
      <c r="EH230" s="136" t="s">
        <v>442</v>
      </c>
    </row>
    <row r="231" spans="2:138" s="1" customFormat="1" x14ac:dyDescent="0.2">
      <c r="B231" s="31"/>
      <c r="D231" s="138" t="s">
        <v>289</v>
      </c>
      <c r="F231" s="139" t="s">
        <v>441</v>
      </c>
      <c r="I231" s="140"/>
      <c r="L231" s="31"/>
      <c r="N231" s="213"/>
      <c r="O231" s="214"/>
      <c r="Q231" s="229"/>
      <c r="CH231" s="141"/>
      <c r="CO231" s="50"/>
      <c r="DO231" s="16" t="s">
        <v>289</v>
      </c>
      <c r="DP231" s="16" t="s">
        <v>83</v>
      </c>
    </row>
    <row r="232" spans="2:138" s="1" customFormat="1" ht="19.5" x14ac:dyDescent="0.2">
      <c r="B232" s="31"/>
      <c r="D232" s="138" t="s">
        <v>299</v>
      </c>
      <c r="F232" s="142" t="s">
        <v>443</v>
      </c>
      <c r="I232" s="140"/>
      <c r="L232" s="31"/>
      <c r="N232" s="213"/>
      <c r="O232" s="214"/>
      <c r="Q232" s="229"/>
      <c r="CH232" s="141"/>
      <c r="CO232" s="50"/>
      <c r="DO232" s="16" t="s">
        <v>299</v>
      </c>
      <c r="DP232" s="16" t="s">
        <v>83</v>
      </c>
    </row>
    <row r="233" spans="2:138" s="12" customFormat="1" x14ac:dyDescent="0.2">
      <c r="B233" s="149"/>
      <c r="D233" s="138" t="s">
        <v>301</v>
      </c>
      <c r="F233" s="151" t="s">
        <v>1635</v>
      </c>
      <c r="H233" s="152">
        <v>848.39</v>
      </c>
      <c r="I233" s="153"/>
      <c r="L233" s="149"/>
      <c r="N233" s="217">
        <f>29.453*2</f>
        <v>58.905999999999999</v>
      </c>
      <c r="O233" s="359" t="s">
        <v>3551</v>
      </c>
      <c r="Q233" s="231"/>
      <c r="CH233" s="154"/>
      <c r="CO233" s="155"/>
      <c r="DO233" s="150" t="s">
        <v>301</v>
      </c>
      <c r="DP233" s="150" t="s">
        <v>83</v>
      </c>
      <c r="DQ233" s="12" t="s">
        <v>83</v>
      </c>
      <c r="DR233" s="12" t="s">
        <v>3</v>
      </c>
      <c r="DS233" s="12" t="s">
        <v>81</v>
      </c>
      <c r="DT233" s="150" t="s">
        <v>282</v>
      </c>
    </row>
    <row r="234" spans="2:138" s="1" customFormat="1" ht="24.2" customHeight="1" x14ac:dyDescent="0.2">
      <c r="B234" s="124"/>
      <c r="C234" s="125" t="s">
        <v>7</v>
      </c>
      <c r="D234" s="125" t="s">
        <v>284</v>
      </c>
      <c r="E234" s="126" t="s">
        <v>446</v>
      </c>
      <c r="F234" s="127" t="s">
        <v>447</v>
      </c>
      <c r="G234" s="128" t="s">
        <v>366</v>
      </c>
      <c r="H234" s="129">
        <v>104.95</v>
      </c>
      <c r="I234" s="130">
        <v>510.38291484661499</v>
      </c>
      <c r="J234" s="131">
        <f>ROUND(I234*H234,2)</f>
        <v>53564.69</v>
      </c>
      <c r="K234" s="127" t="s">
        <v>293</v>
      </c>
      <c r="L234" s="268">
        <f>S234</f>
        <v>0</v>
      </c>
      <c r="M234" s="272">
        <f>ROUND(L234*I234,2)</f>
        <v>0</v>
      </c>
      <c r="N234" s="243">
        <f>N240</f>
        <v>7.6152750000000253</v>
      </c>
      <c r="O234" s="294">
        <f>ROUND(N234*I234,2)</f>
        <v>3886.71</v>
      </c>
      <c r="P234" s="273">
        <f>H234-L234-N234</f>
        <v>97.334724999999978</v>
      </c>
      <c r="Q234" s="287">
        <f>ROUND(P234*I234,2)</f>
        <v>49677.98</v>
      </c>
      <c r="R234" s="137"/>
      <c r="S234" s="269">
        <f>W234+Y234+AA234+AC234</f>
        <v>0</v>
      </c>
      <c r="T234" s="269">
        <f>ROUND(S234*I234,2)</f>
        <v>0</v>
      </c>
      <c r="U234" s="269">
        <f>H234-S234</f>
        <v>104.95</v>
      </c>
      <c r="V234" s="269">
        <f>ROUND(U234*I234,2)</f>
        <v>53564.69</v>
      </c>
      <c r="W234" s="269"/>
      <c r="X234" s="269"/>
      <c r="Y234" s="269"/>
      <c r="Z234" s="269"/>
      <c r="AA234" s="269"/>
      <c r="AB234" s="269"/>
      <c r="AC234" s="269"/>
      <c r="AD234" s="269"/>
      <c r="CH234" s="132" t="s">
        <v>1</v>
      </c>
      <c r="CI234" s="133" t="s">
        <v>40</v>
      </c>
      <c r="CK234" s="134">
        <f>CJ234*H234</f>
        <v>0</v>
      </c>
      <c r="CL234" s="134">
        <v>0</v>
      </c>
      <c r="CM234" s="134">
        <f>CL234*H234</f>
        <v>0</v>
      </c>
      <c r="CN234" s="134">
        <v>0</v>
      </c>
      <c r="CO234" s="135">
        <f>CN234*H234</f>
        <v>0</v>
      </c>
      <c r="DM234" s="136" t="s">
        <v>95</v>
      </c>
      <c r="DO234" s="136" t="s">
        <v>284</v>
      </c>
      <c r="DP234" s="136" t="s">
        <v>83</v>
      </c>
      <c r="DT234" s="16" t="s">
        <v>282</v>
      </c>
      <c r="DZ234" s="137">
        <f>IF(CI234="základní",J234,0)</f>
        <v>53564.69</v>
      </c>
      <c r="EA234" s="137">
        <f>IF(CI234="snížená",J234,0)</f>
        <v>0</v>
      </c>
      <c r="EB234" s="137">
        <f>IF(CI234="zákl. přenesená",J234,0)</f>
        <v>0</v>
      </c>
      <c r="EC234" s="137">
        <f>IF(CI234="sníž. přenesená",J234,0)</f>
        <v>0</v>
      </c>
      <c r="ED234" s="137">
        <f>IF(CI234="nulová",J234,0)</f>
        <v>0</v>
      </c>
      <c r="EE234" s="16" t="s">
        <v>81</v>
      </c>
      <c r="EF234" s="137">
        <f>ROUND(I234*H234,2)</f>
        <v>53564.69</v>
      </c>
      <c r="EG234" s="16" t="s">
        <v>95</v>
      </c>
      <c r="EH234" s="136" t="s">
        <v>448</v>
      </c>
    </row>
    <row r="235" spans="2:138" s="1" customFormat="1" ht="39" x14ac:dyDescent="0.2">
      <c r="B235" s="31"/>
      <c r="D235" s="138" t="s">
        <v>289</v>
      </c>
      <c r="F235" s="139" t="s">
        <v>449</v>
      </c>
      <c r="I235" s="140"/>
      <c r="L235" s="31"/>
      <c r="N235" s="213"/>
      <c r="O235" s="214"/>
      <c r="Q235" s="229"/>
      <c r="CH235" s="141"/>
      <c r="CO235" s="50"/>
      <c r="DO235" s="16" t="s">
        <v>289</v>
      </c>
      <c r="DP235" s="16" t="s">
        <v>83</v>
      </c>
    </row>
    <row r="236" spans="2:138" s="1" customFormat="1" ht="19.5" x14ac:dyDescent="0.2">
      <c r="B236" s="31"/>
      <c r="D236" s="138" t="s">
        <v>299</v>
      </c>
      <c r="F236" s="142" t="s">
        <v>317</v>
      </c>
      <c r="I236" s="140"/>
      <c r="L236" s="31"/>
      <c r="N236" s="213"/>
      <c r="O236" s="214"/>
      <c r="Q236" s="229"/>
      <c r="CH236" s="141"/>
      <c r="CO236" s="50"/>
      <c r="DO236" s="16" t="s">
        <v>299</v>
      </c>
      <c r="DP236" s="16" t="s">
        <v>83</v>
      </c>
    </row>
    <row r="237" spans="2:138" s="12" customFormat="1" x14ac:dyDescent="0.2">
      <c r="B237" s="149"/>
      <c r="D237" s="138" t="s">
        <v>301</v>
      </c>
      <c r="E237" s="150" t="s">
        <v>1</v>
      </c>
      <c r="F237" s="151" t="s">
        <v>1636</v>
      </c>
      <c r="H237" s="152">
        <v>1</v>
      </c>
      <c r="I237" s="153"/>
      <c r="L237" s="149"/>
      <c r="N237" s="217">
        <f>3.59*1*0.5</f>
        <v>1.7949999999999999</v>
      </c>
      <c r="O237" s="359" t="s">
        <v>3526</v>
      </c>
      <c r="Q237" s="231"/>
      <c r="CH237" s="154"/>
      <c r="CO237" s="155"/>
      <c r="DO237" s="150" t="s">
        <v>301</v>
      </c>
      <c r="DP237" s="150" t="s">
        <v>83</v>
      </c>
      <c r="DQ237" s="12" t="s">
        <v>83</v>
      </c>
      <c r="DR237" s="12" t="s">
        <v>32</v>
      </c>
      <c r="DS237" s="12" t="s">
        <v>74</v>
      </c>
      <c r="DT237" s="150" t="s">
        <v>282</v>
      </c>
    </row>
    <row r="238" spans="2:138" s="12" customFormat="1" x14ac:dyDescent="0.2">
      <c r="B238" s="149"/>
      <c r="D238" s="138" t="s">
        <v>301</v>
      </c>
      <c r="E238" s="150" t="s">
        <v>1</v>
      </c>
      <c r="F238" s="151" t="s">
        <v>1637</v>
      </c>
      <c r="H238" s="152">
        <v>103.95</v>
      </c>
      <c r="I238" s="153"/>
      <c r="L238" s="149"/>
      <c r="N238" s="217">
        <f>191.81*1.05*0.55</f>
        <v>110.77027500000003</v>
      </c>
      <c r="O238" s="359" t="s">
        <v>3552</v>
      </c>
      <c r="Q238" s="231"/>
      <c r="CH238" s="154"/>
      <c r="CO238" s="155"/>
      <c r="DO238" s="150" t="s">
        <v>301</v>
      </c>
      <c r="DP238" s="150" t="s">
        <v>83</v>
      </c>
      <c r="DQ238" s="12" t="s">
        <v>83</v>
      </c>
      <c r="DR238" s="12" t="s">
        <v>32</v>
      </c>
      <c r="DS238" s="12" t="s">
        <v>74</v>
      </c>
      <c r="DT238" s="150" t="s">
        <v>282</v>
      </c>
    </row>
    <row r="239" spans="2:138" s="13" customFormat="1" x14ac:dyDescent="0.2">
      <c r="B239" s="156"/>
      <c r="D239" s="138" t="s">
        <v>301</v>
      </c>
      <c r="E239" s="157" t="s">
        <v>1</v>
      </c>
      <c r="F239" s="158" t="s">
        <v>305</v>
      </c>
      <c r="H239" s="159">
        <v>104.95</v>
      </c>
      <c r="I239" s="160"/>
      <c r="L239" s="156"/>
      <c r="N239" s="219">
        <f>N237+N238</f>
        <v>112.56527500000003</v>
      </c>
      <c r="O239" s="220"/>
      <c r="Q239" s="232"/>
      <c r="CH239" s="161"/>
      <c r="CO239" s="162"/>
      <c r="DO239" s="157" t="s">
        <v>301</v>
      </c>
      <c r="DP239" s="157" t="s">
        <v>83</v>
      </c>
      <c r="DQ239" s="13" t="s">
        <v>95</v>
      </c>
      <c r="DR239" s="13" t="s">
        <v>32</v>
      </c>
      <c r="DS239" s="13" t="s">
        <v>81</v>
      </c>
      <c r="DT239" s="157" t="s">
        <v>282</v>
      </c>
    </row>
    <row r="240" spans="2:138" s="13" customFormat="1" x14ac:dyDescent="0.2">
      <c r="B240" s="156"/>
      <c r="D240" s="138"/>
      <c r="E240" s="157"/>
      <c r="F240" s="158"/>
      <c r="H240" s="159"/>
      <c r="I240" s="160"/>
      <c r="L240" s="156"/>
      <c r="N240" s="311">
        <f>N239-H239</f>
        <v>7.6152750000000253</v>
      </c>
      <c r="O240" s="220"/>
      <c r="Q240" s="232"/>
      <c r="CH240" s="161"/>
      <c r="CO240" s="162"/>
      <c r="DO240" s="157"/>
      <c r="DP240" s="157"/>
      <c r="DT240" s="157"/>
    </row>
    <row r="241" spans="2:138" s="1" customFormat="1" ht="14.45" customHeight="1" x14ac:dyDescent="0.2">
      <c r="B241" s="124"/>
      <c r="C241" s="170" t="s">
        <v>415</v>
      </c>
      <c r="D241" s="170" t="s">
        <v>439</v>
      </c>
      <c r="E241" s="171" t="s">
        <v>452</v>
      </c>
      <c r="F241" s="172" t="s">
        <v>453</v>
      </c>
      <c r="G241" s="173" t="s">
        <v>418</v>
      </c>
      <c r="H241" s="174">
        <v>209.9</v>
      </c>
      <c r="I241" s="175">
        <v>380.62816190000001</v>
      </c>
      <c r="J241" s="176">
        <f>ROUND(I241*H241,2)</f>
        <v>79893.850000000006</v>
      </c>
      <c r="K241" s="172" t="s">
        <v>293</v>
      </c>
      <c r="L241" s="268">
        <f>S241</f>
        <v>0</v>
      </c>
      <c r="M241" s="272">
        <f>ROUND(L241*I241,2)</f>
        <v>0</v>
      </c>
      <c r="N241" s="243">
        <f>N243</f>
        <v>15.23</v>
      </c>
      <c r="O241" s="294">
        <f>ROUND(N241*I241,2)</f>
        <v>5796.97</v>
      </c>
      <c r="P241" s="273">
        <f>H241-L241-N241</f>
        <v>194.67000000000002</v>
      </c>
      <c r="Q241" s="287">
        <f>ROUND(P241*I241,2)</f>
        <v>74096.88</v>
      </c>
      <c r="R241" s="137"/>
      <c r="S241" s="269">
        <f>W241+Y241+AA241+AC241</f>
        <v>0</v>
      </c>
      <c r="T241" s="269">
        <f>ROUND(S241*I241,2)</f>
        <v>0</v>
      </c>
      <c r="U241" s="269">
        <f>H241-S241</f>
        <v>209.9</v>
      </c>
      <c r="V241" s="269">
        <f>ROUND(U241*I241,2)</f>
        <v>79893.850000000006</v>
      </c>
      <c r="W241" s="290"/>
      <c r="X241" s="290"/>
      <c r="Y241" s="290"/>
      <c r="Z241" s="290"/>
      <c r="AA241" s="290"/>
      <c r="AB241" s="290"/>
      <c r="AC241" s="290"/>
      <c r="AD241" s="290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77" t="s">
        <v>1</v>
      </c>
      <c r="CI241" s="178" t="s">
        <v>40</v>
      </c>
      <c r="CK241" s="134">
        <f>CJ241*H241</f>
        <v>0</v>
      </c>
      <c r="CL241" s="134">
        <v>1</v>
      </c>
      <c r="CM241" s="134">
        <f>CL241*H241</f>
        <v>209.9</v>
      </c>
      <c r="CN241" s="134">
        <v>0</v>
      </c>
      <c r="CO241" s="135">
        <f>CN241*H241</f>
        <v>0</v>
      </c>
      <c r="DM241" s="136" t="s">
        <v>328</v>
      </c>
      <c r="DO241" s="136" t="s">
        <v>439</v>
      </c>
      <c r="DP241" s="136" t="s">
        <v>83</v>
      </c>
      <c r="DT241" s="16" t="s">
        <v>282</v>
      </c>
      <c r="DZ241" s="137">
        <f>IF(CI241="základní",J241,0)</f>
        <v>79893.850000000006</v>
      </c>
      <c r="EA241" s="137">
        <f>IF(CI241="snížená",J241,0)</f>
        <v>0</v>
      </c>
      <c r="EB241" s="137">
        <f>IF(CI241="zákl. přenesená",J241,0)</f>
        <v>0</v>
      </c>
      <c r="EC241" s="137">
        <f>IF(CI241="sníž. přenesená",J241,0)</f>
        <v>0</v>
      </c>
      <c r="ED241" s="137">
        <f>IF(CI241="nulová",J241,0)</f>
        <v>0</v>
      </c>
      <c r="EE241" s="16" t="s">
        <v>81</v>
      </c>
      <c r="EF241" s="137">
        <f>ROUND(I241*H241,2)</f>
        <v>79893.850000000006</v>
      </c>
      <c r="EG241" s="16" t="s">
        <v>95</v>
      </c>
      <c r="EH241" s="136" t="s">
        <v>454</v>
      </c>
    </row>
    <row r="242" spans="2:138" s="1" customFormat="1" x14ac:dyDescent="0.2">
      <c r="B242" s="31"/>
      <c r="D242" s="138" t="s">
        <v>289</v>
      </c>
      <c r="F242" s="139" t="s">
        <v>453</v>
      </c>
      <c r="I242" s="140"/>
      <c r="L242" s="31"/>
      <c r="N242" s="213"/>
      <c r="O242" s="214"/>
      <c r="Q242" s="229"/>
      <c r="CH242" s="141"/>
      <c r="CO242" s="50"/>
      <c r="DO242" s="16" t="s">
        <v>289</v>
      </c>
      <c r="DP242" s="16" t="s">
        <v>83</v>
      </c>
    </row>
    <row r="243" spans="2:138" s="12" customFormat="1" x14ac:dyDescent="0.2">
      <c r="B243" s="149"/>
      <c r="D243" s="138" t="s">
        <v>301</v>
      </c>
      <c r="F243" s="151" t="s">
        <v>1638</v>
      </c>
      <c r="H243" s="152">
        <v>209.9</v>
      </c>
      <c r="I243" s="153"/>
      <c r="L243" s="149"/>
      <c r="N243" s="217">
        <f>7.615*2</f>
        <v>15.23</v>
      </c>
      <c r="O243" s="218" t="s">
        <v>3553</v>
      </c>
      <c r="Q243" s="231"/>
      <c r="CH243" s="154"/>
      <c r="CO243" s="155"/>
      <c r="DO243" s="150" t="s">
        <v>301</v>
      </c>
      <c r="DP243" s="150" t="s">
        <v>83</v>
      </c>
      <c r="DQ243" s="12" t="s">
        <v>83</v>
      </c>
      <c r="DR243" s="12" t="s">
        <v>3</v>
      </c>
      <c r="DS243" s="12" t="s">
        <v>81</v>
      </c>
      <c r="DT243" s="150" t="s">
        <v>282</v>
      </c>
    </row>
    <row r="244" spans="2:138" s="1" customFormat="1" ht="24.2" customHeight="1" x14ac:dyDescent="0.2">
      <c r="B244" s="124"/>
      <c r="C244" s="125" t="s">
        <v>422</v>
      </c>
      <c r="D244" s="125" t="s">
        <v>284</v>
      </c>
      <c r="E244" s="126" t="s">
        <v>457</v>
      </c>
      <c r="F244" s="127" t="s">
        <v>458</v>
      </c>
      <c r="G244" s="128" t="s">
        <v>418</v>
      </c>
      <c r="H244" s="129">
        <v>1058.29</v>
      </c>
      <c r="I244" s="130">
        <v>61.737071122597108</v>
      </c>
      <c r="J244" s="131">
        <f>ROUND(I244*H244,2)</f>
        <v>65335.72</v>
      </c>
      <c r="K244" s="127" t="s">
        <v>293</v>
      </c>
      <c r="L244" s="268">
        <f>S244</f>
        <v>0</v>
      </c>
      <c r="M244" s="272">
        <f>ROUND(L244*I244,2)</f>
        <v>0</v>
      </c>
      <c r="N244" s="243">
        <f>N246</f>
        <v>74.135999999999996</v>
      </c>
      <c r="O244" s="294">
        <f>ROUND(N244*I244,2)</f>
        <v>4576.9399999999996</v>
      </c>
      <c r="P244" s="273">
        <f>H244-L244-N244</f>
        <v>984.154</v>
      </c>
      <c r="Q244" s="287">
        <f>ROUND(P244*I244,2)</f>
        <v>60758.79</v>
      </c>
      <c r="R244" s="137"/>
      <c r="S244" s="269">
        <f>W244+Y244+AA244+AC244</f>
        <v>0</v>
      </c>
      <c r="T244" s="269">
        <f>ROUND(S244*I244,2)</f>
        <v>0</v>
      </c>
      <c r="U244" s="269">
        <f>H244-S244</f>
        <v>1058.29</v>
      </c>
      <c r="V244" s="269">
        <f>ROUND(U244*I244,2)</f>
        <v>65335.72</v>
      </c>
      <c r="W244" s="269"/>
      <c r="X244" s="269"/>
      <c r="Y244" s="269"/>
      <c r="Z244" s="269"/>
      <c r="AA244" s="269"/>
      <c r="AB244" s="269"/>
      <c r="AC244" s="269"/>
      <c r="AD244" s="269"/>
      <c r="CH244" s="132" t="s">
        <v>1</v>
      </c>
      <c r="CI244" s="133" t="s">
        <v>40</v>
      </c>
      <c r="CK244" s="134">
        <f>CJ244*H244</f>
        <v>0</v>
      </c>
      <c r="CL244" s="134">
        <v>0</v>
      </c>
      <c r="CM244" s="134">
        <f>CL244*H244</f>
        <v>0</v>
      </c>
      <c r="CN244" s="134">
        <v>0</v>
      </c>
      <c r="CO244" s="135">
        <f>CN244*H244</f>
        <v>0</v>
      </c>
      <c r="DM244" s="136" t="s">
        <v>95</v>
      </c>
      <c r="DO244" s="136" t="s">
        <v>284</v>
      </c>
      <c r="DP244" s="136" t="s">
        <v>83</v>
      </c>
      <c r="DT244" s="16" t="s">
        <v>282</v>
      </c>
      <c r="DZ244" s="137">
        <f>IF(CI244="základní",J244,0)</f>
        <v>65335.72</v>
      </c>
      <c r="EA244" s="137">
        <f>IF(CI244="snížená",J244,0)</f>
        <v>0</v>
      </c>
      <c r="EB244" s="137">
        <f>IF(CI244="zákl. přenesená",J244,0)</f>
        <v>0</v>
      </c>
      <c r="EC244" s="137">
        <f>IF(CI244="sníž. přenesená",J244,0)</f>
        <v>0</v>
      </c>
      <c r="ED244" s="137">
        <f>IF(CI244="nulová",J244,0)</f>
        <v>0</v>
      </c>
      <c r="EE244" s="16" t="s">
        <v>81</v>
      </c>
      <c r="EF244" s="137">
        <f>ROUND(I244*H244,2)</f>
        <v>65335.72</v>
      </c>
      <c r="EG244" s="16" t="s">
        <v>95</v>
      </c>
      <c r="EH244" s="136" t="s">
        <v>459</v>
      </c>
    </row>
    <row r="245" spans="2:138" s="1" customFormat="1" ht="29.25" x14ac:dyDescent="0.2">
      <c r="B245" s="31"/>
      <c r="D245" s="138" t="s">
        <v>289</v>
      </c>
      <c r="F245" s="139" t="s">
        <v>460</v>
      </c>
      <c r="I245" s="140"/>
      <c r="L245" s="31"/>
      <c r="N245" s="213"/>
      <c r="O245" s="214"/>
      <c r="Q245" s="229"/>
      <c r="CH245" s="141"/>
      <c r="CO245" s="50"/>
      <c r="DO245" s="16" t="s">
        <v>289</v>
      </c>
      <c r="DP245" s="16" t="s">
        <v>83</v>
      </c>
    </row>
    <row r="246" spans="2:138" s="12" customFormat="1" x14ac:dyDescent="0.2">
      <c r="B246" s="149"/>
      <c r="D246" s="138" t="s">
        <v>301</v>
      </c>
      <c r="E246" s="150" t="s">
        <v>1</v>
      </c>
      <c r="F246" s="151" t="s">
        <v>1639</v>
      </c>
      <c r="H246" s="152">
        <v>1058.29</v>
      </c>
      <c r="I246" s="153"/>
      <c r="L246" s="149"/>
      <c r="N246" s="217">
        <f>58.906+15.23</f>
        <v>74.135999999999996</v>
      </c>
      <c r="O246" s="218" t="s">
        <v>3554</v>
      </c>
      <c r="Q246" s="231"/>
      <c r="CH246" s="154"/>
      <c r="CO246" s="155"/>
      <c r="DO246" s="150" t="s">
        <v>301</v>
      </c>
      <c r="DP246" s="150" t="s">
        <v>83</v>
      </c>
      <c r="DQ246" s="12" t="s">
        <v>83</v>
      </c>
      <c r="DR246" s="12" t="s">
        <v>32</v>
      </c>
      <c r="DS246" s="12" t="s">
        <v>81</v>
      </c>
      <c r="DT246" s="150" t="s">
        <v>282</v>
      </c>
    </row>
    <row r="247" spans="2:138" s="10" customFormat="1" ht="22.9" customHeight="1" x14ac:dyDescent="0.2">
      <c r="B247" s="112"/>
      <c r="D247" s="113" t="s">
        <v>73</v>
      </c>
      <c r="E247" s="122" t="s">
        <v>83</v>
      </c>
      <c r="F247" s="122" t="s">
        <v>462</v>
      </c>
      <c r="I247" s="115"/>
      <c r="J247" s="123">
        <f>EF247</f>
        <v>48060.43</v>
      </c>
      <c r="L247" s="112"/>
      <c r="M247" s="270">
        <f>M248</f>
        <v>0</v>
      </c>
      <c r="N247" s="301"/>
      <c r="O247" s="302">
        <f t="shared" ref="O247:V247" si="3">O248</f>
        <v>3538.52</v>
      </c>
      <c r="P247" s="270"/>
      <c r="Q247" s="288">
        <f t="shared" si="3"/>
        <v>44521.919999999998</v>
      </c>
      <c r="R247" s="270"/>
      <c r="S247" s="270"/>
      <c r="T247" s="270">
        <f t="shared" si="3"/>
        <v>0</v>
      </c>
      <c r="U247" s="270"/>
      <c r="V247" s="270">
        <f t="shared" si="3"/>
        <v>48060.43</v>
      </c>
      <c r="CH247" s="117"/>
      <c r="CK247" s="118">
        <f>SUM(CK248:CK251)</f>
        <v>0</v>
      </c>
      <c r="CM247" s="118">
        <f>SUM(CM248:CM251)</f>
        <v>37.253579999999999</v>
      </c>
      <c r="CO247" s="119">
        <f>SUM(CO248:CO251)</f>
        <v>0</v>
      </c>
      <c r="DM247" s="113" t="s">
        <v>81</v>
      </c>
      <c r="DO247" s="120" t="s">
        <v>73</v>
      </c>
      <c r="DP247" s="120" t="s">
        <v>81</v>
      </c>
      <c r="DT247" s="113" t="s">
        <v>282</v>
      </c>
      <c r="EF247" s="121">
        <f>SUM(EF248:EF251)</f>
        <v>48060.43</v>
      </c>
    </row>
    <row r="248" spans="2:138" s="1" customFormat="1" ht="37.9" customHeight="1" x14ac:dyDescent="0.2">
      <c r="B248" s="124"/>
      <c r="C248" s="125" t="s">
        <v>438</v>
      </c>
      <c r="D248" s="125" t="s">
        <v>284</v>
      </c>
      <c r="E248" s="126" t="s">
        <v>464</v>
      </c>
      <c r="F248" s="127" t="s">
        <v>465</v>
      </c>
      <c r="G248" s="128" t="s">
        <v>344</v>
      </c>
      <c r="H248" s="129">
        <v>182</v>
      </c>
      <c r="I248" s="130">
        <v>264.06831423630393</v>
      </c>
      <c r="J248" s="131">
        <f>ROUND(I248*H248,2)</f>
        <v>48060.43</v>
      </c>
      <c r="K248" s="127" t="s">
        <v>293</v>
      </c>
      <c r="L248" s="268">
        <f>S248</f>
        <v>0</v>
      </c>
      <c r="M248" s="272">
        <f>ROUND(L248*I248,2)</f>
        <v>0</v>
      </c>
      <c r="N248" s="243">
        <f>N251</f>
        <v>13.400000000000006</v>
      </c>
      <c r="O248" s="294">
        <f>ROUND(N248*I248,2)</f>
        <v>3538.52</v>
      </c>
      <c r="P248" s="273">
        <f>H248-L248-N248</f>
        <v>168.6</v>
      </c>
      <c r="Q248" s="287">
        <f>ROUND(P248*I248,2)</f>
        <v>44521.919999999998</v>
      </c>
      <c r="R248" s="137"/>
      <c r="S248" s="269">
        <f>W248+Y248+AA248+AC248</f>
        <v>0</v>
      </c>
      <c r="T248" s="269">
        <f>ROUND(S248*I248,2)</f>
        <v>0</v>
      </c>
      <c r="U248" s="269">
        <f>H248-S248</f>
        <v>182</v>
      </c>
      <c r="V248" s="269">
        <f>ROUND(U248*I248,2)</f>
        <v>48060.43</v>
      </c>
      <c r="W248" s="269"/>
      <c r="X248" s="269"/>
      <c r="Y248" s="269"/>
      <c r="Z248" s="269"/>
      <c r="AA248" s="269"/>
      <c r="AB248" s="269"/>
      <c r="AC248" s="269"/>
      <c r="AD248" s="269"/>
      <c r="CH248" s="132" t="s">
        <v>1</v>
      </c>
      <c r="CI248" s="133" t="s">
        <v>40</v>
      </c>
      <c r="CK248" s="134">
        <f>CJ248*H248</f>
        <v>0</v>
      </c>
      <c r="CL248" s="134">
        <v>0.20469000000000001</v>
      </c>
      <c r="CM248" s="134">
        <f>CL248*H248</f>
        <v>37.253579999999999</v>
      </c>
      <c r="CN248" s="134">
        <v>0</v>
      </c>
      <c r="CO248" s="135">
        <f>CN248*H248</f>
        <v>0</v>
      </c>
      <c r="DM248" s="136" t="s">
        <v>95</v>
      </c>
      <c r="DO248" s="136" t="s">
        <v>284</v>
      </c>
      <c r="DP248" s="136" t="s">
        <v>83</v>
      </c>
      <c r="DT248" s="16" t="s">
        <v>282</v>
      </c>
      <c r="DZ248" s="137">
        <f>IF(CI248="základní",J248,0)</f>
        <v>48060.43</v>
      </c>
      <c r="EA248" s="137">
        <f>IF(CI248="snížená",J248,0)</f>
        <v>0</v>
      </c>
      <c r="EB248" s="137">
        <f>IF(CI248="zákl. přenesená",J248,0)</f>
        <v>0</v>
      </c>
      <c r="EC248" s="137">
        <f>IF(CI248="sníž. přenesená",J248,0)</f>
        <v>0</v>
      </c>
      <c r="ED248" s="137">
        <f>IF(CI248="nulová",J248,0)</f>
        <v>0</v>
      </c>
      <c r="EE248" s="16" t="s">
        <v>81</v>
      </c>
      <c r="EF248" s="137">
        <f>ROUND(I248*H248,2)</f>
        <v>48060.43</v>
      </c>
      <c r="EG248" s="16" t="s">
        <v>95</v>
      </c>
      <c r="EH248" s="136" t="s">
        <v>466</v>
      </c>
    </row>
    <row r="249" spans="2:138" s="1" customFormat="1" ht="39" x14ac:dyDescent="0.2">
      <c r="B249" s="31"/>
      <c r="D249" s="138" t="s">
        <v>289</v>
      </c>
      <c r="F249" s="139" t="s">
        <v>467</v>
      </c>
      <c r="I249" s="140"/>
      <c r="L249" s="31"/>
      <c r="N249" s="213"/>
      <c r="O249" s="214"/>
      <c r="Q249" s="229"/>
      <c r="CH249" s="141"/>
      <c r="CO249" s="50"/>
      <c r="DO249" s="16" t="s">
        <v>289</v>
      </c>
      <c r="DP249" s="16" t="s">
        <v>83</v>
      </c>
    </row>
    <row r="250" spans="2:138" s="1" customFormat="1" ht="19.5" x14ac:dyDescent="0.2">
      <c r="B250" s="31"/>
      <c r="D250" s="138" t="s">
        <v>299</v>
      </c>
      <c r="F250" s="142" t="s">
        <v>317</v>
      </c>
      <c r="I250" s="140"/>
      <c r="L250" s="31"/>
      <c r="N250" s="213"/>
      <c r="O250" s="214"/>
      <c r="Q250" s="229"/>
      <c r="CH250" s="141"/>
      <c r="CO250" s="50"/>
      <c r="DO250" s="16" t="s">
        <v>299</v>
      </c>
      <c r="DP250" s="16" t="s">
        <v>83</v>
      </c>
    </row>
    <row r="251" spans="2:138" s="12" customFormat="1" x14ac:dyDescent="0.2">
      <c r="B251" s="149"/>
      <c r="D251" s="138" t="s">
        <v>301</v>
      </c>
      <c r="E251" s="150" t="s">
        <v>1</v>
      </c>
      <c r="F251" s="151" t="s">
        <v>1640</v>
      </c>
      <c r="H251" s="152">
        <v>182</v>
      </c>
      <c r="I251" s="153"/>
      <c r="L251" s="149"/>
      <c r="N251" s="217">
        <f>195.4-182</f>
        <v>13.400000000000006</v>
      </c>
      <c r="O251" s="359" t="s">
        <v>3555</v>
      </c>
      <c r="Q251" s="231"/>
      <c r="CH251" s="154"/>
      <c r="CO251" s="155"/>
      <c r="DO251" s="150" t="s">
        <v>301</v>
      </c>
      <c r="DP251" s="150" t="s">
        <v>83</v>
      </c>
      <c r="DQ251" s="12" t="s">
        <v>83</v>
      </c>
      <c r="DR251" s="12" t="s">
        <v>32</v>
      </c>
      <c r="DS251" s="12" t="s">
        <v>81</v>
      </c>
      <c r="DT251" s="150" t="s">
        <v>282</v>
      </c>
    </row>
    <row r="252" spans="2:138" s="10" customFormat="1" ht="22.9" customHeight="1" x14ac:dyDescent="0.2">
      <c r="B252" s="112"/>
      <c r="D252" s="113" t="s">
        <v>73</v>
      </c>
      <c r="E252" s="122" t="s">
        <v>95</v>
      </c>
      <c r="F252" s="122" t="s">
        <v>469</v>
      </c>
      <c r="I252" s="115"/>
      <c r="J252" s="123">
        <f>EF252</f>
        <v>31794.16</v>
      </c>
      <c r="L252" s="112"/>
      <c r="M252" s="270">
        <f>SUM(M253:M280)</f>
        <v>0</v>
      </c>
      <c r="N252" s="301"/>
      <c r="O252" s="302">
        <f t="shared" ref="O252:V252" si="4">SUM(O253:O280)</f>
        <v>1679.1</v>
      </c>
      <c r="P252" s="270"/>
      <c r="Q252" s="288">
        <f t="shared" si="4"/>
        <v>30115.06</v>
      </c>
      <c r="R252" s="270"/>
      <c r="S252" s="270"/>
      <c r="T252" s="270">
        <f t="shared" si="4"/>
        <v>0</v>
      </c>
      <c r="U252" s="270"/>
      <c r="V252" s="270">
        <f t="shared" si="4"/>
        <v>31794.16</v>
      </c>
      <c r="CH252" s="117"/>
      <c r="CK252" s="118">
        <f>SUM(CK253:CK287)</f>
        <v>0</v>
      </c>
      <c r="CM252" s="118">
        <f>SUM(CM253:CM287)</f>
        <v>0.25640000000000002</v>
      </c>
      <c r="CO252" s="119">
        <f>SUM(CO253:CO287)</f>
        <v>0</v>
      </c>
      <c r="DM252" s="113" t="s">
        <v>81</v>
      </c>
      <c r="DO252" s="120" t="s">
        <v>73</v>
      </c>
      <c r="DP252" s="120" t="s">
        <v>81</v>
      </c>
      <c r="DT252" s="113" t="s">
        <v>282</v>
      </c>
      <c r="EF252" s="121">
        <f>SUM(EF253:EF287)</f>
        <v>31794.16</v>
      </c>
    </row>
    <row r="253" spans="2:138" s="1" customFormat="1" ht="14.45" customHeight="1" x14ac:dyDescent="0.2">
      <c r="B253" s="124"/>
      <c r="C253" s="125" t="s">
        <v>445</v>
      </c>
      <c r="D253" s="125" t="s">
        <v>284</v>
      </c>
      <c r="E253" s="126" t="s">
        <v>471</v>
      </c>
      <c r="F253" s="127" t="s">
        <v>472</v>
      </c>
      <c r="G253" s="128" t="s">
        <v>366</v>
      </c>
      <c r="H253" s="129">
        <v>19.100000000000001</v>
      </c>
      <c r="I253" s="130">
        <v>1200.17173250368</v>
      </c>
      <c r="J253" s="131">
        <f>ROUND(I253*H253,2)</f>
        <v>22923.279999999999</v>
      </c>
      <c r="K253" s="127" t="s">
        <v>293</v>
      </c>
      <c r="L253" s="268">
        <f>S253</f>
        <v>0</v>
      </c>
      <c r="M253" s="272">
        <f>ROUND(L253*I253,2)</f>
        <v>0</v>
      </c>
      <c r="N253" s="243">
        <f>N259</f>
        <v>1.3990500000000061</v>
      </c>
      <c r="O253" s="294">
        <f>ROUND(N253*I253,2)</f>
        <v>1679.1</v>
      </c>
      <c r="P253" s="273">
        <f>H253-L253-N253</f>
        <v>17.700949999999995</v>
      </c>
      <c r="Q253" s="287">
        <f>ROUND(P253*I253,2)</f>
        <v>21244.18</v>
      </c>
      <c r="R253" s="137"/>
      <c r="S253" s="269">
        <f>W253+Y253+AA253+AC253</f>
        <v>0</v>
      </c>
      <c r="T253" s="269">
        <f>ROUND(S253*I253,2)</f>
        <v>0</v>
      </c>
      <c r="U253" s="269">
        <f>H253-S253</f>
        <v>19.100000000000001</v>
      </c>
      <c r="V253" s="269">
        <f>ROUND(U253*I253,2)</f>
        <v>22923.279999999999</v>
      </c>
      <c r="W253" s="269"/>
      <c r="X253" s="269"/>
      <c r="Y253" s="269"/>
      <c r="Z253" s="269"/>
      <c r="AA253" s="269"/>
      <c r="AB253" s="269"/>
      <c r="AC253" s="269"/>
      <c r="AD253" s="269"/>
      <c r="CH253" s="132" t="s">
        <v>1</v>
      </c>
      <c r="CI253" s="133" t="s">
        <v>40</v>
      </c>
      <c r="CK253" s="134">
        <f>CJ253*H253</f>
        <v>0</v>
      </c>
      <c r="CL253" s="134">
        <v>0</v>
      </c>
      <c r="CM253" s="134">
        <f>CL253*H253</f>
        <v>0</v>
      </c>
      <c r="CN253" s="134">
        <v>0</v>
      </c>
      <c r="CO253" s="135">
        <f>CN253*H253</f>
        <v>0</v>
      </c>
      <c r="DM253" s="136" t="s">
        <v>95</v>
      </c>
      <c r="DO253" s="136" t="s">
        <v>284</v>
      </c>
      <c r="DP253" s="136" t="s">
        <v>83</v>
      </c>
      <c r="DT253" s="16" t="s">
        <v>282</v>
      </c>
      <c r="DZ253" s="137">
        <f>IF(CI253="základní",J253,0)</f>
        <v>22923.279999999999</v>
      </c>
      <c r="EA253" s="137">
        <f>IF(CI253="snížená",J253,0)</f>
        <v>0</v>
      </c>
      <c r="EB253" s="137">
        <f>IF(CI253="zákl. přenesená",J253,0)</f>
        <v>0</v>
      </c>
      <c r="EC253" s="137">
        <f>IF(CI253="sníž. přenesená",J253,0)</f>
        <v>0</v>
      </c>
      <c r="ED253" s="137">
        <f>IF(CI253="nulová",J253,0)</f>
        <v>0</v>
      </c>
      <c r="EE253" s="16" t="s">
        <v>81</v>
      </c>
      <c r="EF253" s="137">
        <f>ROUND(I253*H253,2)</f>
        <v>22923.279999999999</v>
      </c>
      <c r="EG253" s="16" t="s">
        <v>95</v>
      </c>
      <c r="EH253" s="136" t="s">
        <v>473</v>
      </c>
    </row>
    <row r="254" spans="2:138" s="1" customFormat="1" ht="19.5" x14ac:dyDescent="0.2">
      <c r="B254" s="31"/>
      <c r="D254" s="138" t="s">
        <v>289</v>
      </c>
      <c r="F254" s="139" t="s">
        <v>474</v>
      </c>
      <c r="I254" s="140"/>
      <c r="L254" s="31"/>
      <c r="N254" s="213"/>
      <c r="O254" s="214"/>
      <c r="Q254" s="229"/>
      <c r="CH254" s="141"/>
      <c r="CO254" s="50"/>
      <c r="DO254" s="16" t="s">
        <v>289</v>
      </c>
      <c r="DP254" s="16" t="s">
        <v>83</v>
      </c>
    </row>
    <row r="255" spans="2:138" s="1" customFormat="1" ht="19.5" x14ac:dyDescent="0.2">
      <c r="B255" s="31"/>
      <c r="D255" s="138" t="s">
        <v>299</v>
      </c>
      <c r="F255" s="142" t="s">
        <v>317</v>
      </c>
      <c r="I255" s="140"/>
      <c r="L255" s="31"/>
      <c r="N255" s="213"/>
      <c r="O255" s="214"/>
      <c r="Q255" s="229"/>
      <c r="CH255" s="141"/>
      <c r="CO255" s="50"/>
      <c r="DO255" s="16" t="s">
        <v>299</v>
      </c>
      <c r="DP255" s="16" t="s">
        <v>83</v>
      </c>
    </row>
    <row r="256" spans="2:138" s="12" customFormat="1" x14ac:dyDescent="0.2">
      <c r="B256" s="149"/>
      <c r="D256" s="138" t="s">
        <v>301</v>
      </c>
      <c r="E256" s="150" t="s">
        <v>1</v>
      </c>
      <c r="F256" s="151" t="s">
        <v>1641</v>
      </c>
      <c r="H256" s="152">
        <v>0.2</v>
      </c>
      <c r="I256" s="153"/>
      <c r="L256" s="149"/>
      <c r="N256" s="217">
        <f>3.59*1*0.1</f>
        <v>0.35899999999999999</v>
      </c>
      <c r="O256" s="359" t="s">
        <v>3527</v>
      </c>
      <c r="Q256" s="231"/>
      <c r="CH256" s="154"/>
      <c r="CO256" s="155"/>
      <c r="DO256" s="150" t="s">
        <v>301</v>
      </c>
      <c r="DP256" s="150" t="s">
        <v>83</v>
      </c>
      <c r="DQ256" s="12" t="s">
        <v>83</v>
      </c>
      <c r="DR256" s="12" t="s">
        <v>32</v>
      </c>
      <c r="DS256" s="12" t="s">
        <v>74</v>
      </c>
      <c r="DT256" s="150" t="s">
        <v>282</v>
      </c>
    </row>
    <row r="257" spans="2:138" s="12" customFormat="1" x14ac:dyDescent="0.2">
      <c r="B257" s="149"/>
      <c r="D257" s="138" t="s">
        <v>301</v>
      </c>
      <c r="E257" s="150" t="s">
        <v>1</v>
      </c>
      <c r="F257" s="151" t="s">
        <v>1642</v>
      </c>
      <c r="H257" s="152">
        <v>18.899999999999999</v>
      </c>
      <c r="I257" s="153"/>
      <c r="L257" s="149"/>
      <c r="N257" s="217">
        <f>191.81*1.05*0.1</f>
        <v>20.140050000000002</v>
      </c>
      <c r="O257" s="359" t="s">
        <v>3556</v>
      </c>
      <c r="Q257" s="231"/>
      <c r="CH257" s="154"/>
      <c r="CO257" s="155"/>
      <c r="DO257" s="150" t="s">
        <v>301</v>
      </c>
      <c r="DP257" s="150" t="s">
        <v>83</v>
      </c>
      <c r="DQ257" s="12" t="s">
        <v>83</v>
      </c>
      <c r="DR257" s="12" t="s">
        <v>32</v>
      </c>
      <c r="DS257" s="12" t="s">
        <v>74</v>
      </c>
      <c r="DT257" s="150" t="s">
        <v>282</v>
      </c>
    </row>
    <row r="258" spans="2:138" s="13" customFormat="1" x14ac:dyDescent="0.2">
      <c r="B258" s="156"/>
      <c r="D258" s="138" t="s">
        <v>301</v>
      </c>
      <c r="E258" s="157" t="s">
        <v>1</v>
      </c>
      <c r="F258" s="158" t="s">
        <v>305</v>
      </c>
      <c r="H258" s="159">
        <v>19.099999999999998</v>
      </c>
      <c r="I258" s="160"/>
      <c r="L258" s="156"/>
      <c r="N258" s="219">
        <f>N256+N257</f>
        <v>20.499050000000004</v>
      </c>
      <c r="O258" s="220"/>
      <c r="Q258" s="232"/>
      <c r="CH258" s="161"/>
      <c r="CO258" s="162"/>
      <c r="DO258" s="157" t="s">
        <v>301</v>
      </c>
      <c r="DP258" s="157" t="s">
        <v>83</v>
      </c>
      <c r="DQ258" s="13" t="s">
        <v>95</v>
      </c>
      <c r="DR258" s="13" t="s">
        <v>32</v>
      </c>
      <c r="DS258" s="13" t="s">
        <v>81</v>
      </c>
      <c r="DT258" s="157" t="s">
        <v>282</v>
      </c>
    </row>
    <row r="259" spans="2:138" s="13" customFormat="1" x14ac:dyDescent="0.2">
      <c r="B259" s="156"/>
      <c r="D259" s="138"/>
      <c r="E259" s="157"/>
      <c r="F259" s="158"/>
      <c r="H259" s="159"/>
      <c r="I259" s="160"/>
      <c r="L259" s="156"/>
      <c r="N259" s="311">
        <f>N258-H258</f>
        <v>1.3990500000000061</v>
      </c>
      <c r="O259" s="220"/>
      <c r="Q259" s="232"/>
      <c r="CH259" s="161"/>
      <c r="CO259" s="162"/>
      <c r="DO259" s="157"/>
      <c r="DP259" s="157"/>
      <c r="DT259" s="157"/>
    </row>
    <row r="260" spans="2:138" s="1" customFormat="1" ht="14.45" customHeight="1" x14ac:dyDescent="0.2">
      <c r="B260" s="124"/>
      <c r="C260" s="125" t="s">
        <v>451</v>
      </c>
      <c r="D260" s="125" t="s">
        <v>284</v>
      </c>
      <c r="E260" s="126" t="s">
        <v>477</v>
      </c>
      <c r="F260" s="127" t="s">
        <v>478</v>
      </c>
      <c r="G260" s="128" t="s">
        <v>366</v>
      </c>
      <c r="H260" s="129">
        <v>2.15</v>
      </c>
      <c r="I260" s="130">
        <v>1200.17173250368</v>
      </c>
      <c r="J260" s="131">
        <f>ROUND(I260*H260,2)</f>
        <v>2580.37</v>
      </c>
      <c r="K260" s="127" t="s">
        <v>1</v>
      </c>
      <c r="L260" s="268">
        <f>S260</f>
        <v>0</v>
      </c>
      <c r="M260" s="272">
        <f>ROUND(L260*I260,2)</f>
        <v>0</v>
      </c>
      <c r="N260" s="243"/>
      <c r="O260" s="294">
        <f>ROUND(N260*I260,2)</f>
        <v>0</v>
      </c>
      <c r="P260" s="273">
        <f>H260-L260-N260</f>
        <v>2.15</v>
      </c>
      <c r="Q260" s="287">
        <f>ROUND(P260*I260,2)</f>
        <v>2580.37</v>
      </c>
      <c r="R260" s="137"/>
      <c r="S260" s="269">
        <f>W260+Y260+AA260+AC260</f>
        <v>0</v>
      </c>
      <c r="T260" s="269">
        <f>ROUND(S260*I260,2)</f>
        <v>0</v>
      </c>
      <c r="U260" s="269">
        <f>H260-S260</f>
        <v>2.15</v>
      </c>
      <c r="V260" s="269">
        <f>ROUND(U260*I260,2)</f>
        <v>2580.37</v>
      </c>
      <c r="W260" s="269"/>
      <c r="X260" s="269"/>
      <c r="Y260" s="269"/>
      <c r="Z260" s="269"/>
      <c r="AA260" s="269"/>
      <c r="AB260" s="269"/>
      <c r="AC260" s="269"/>
      <c r="AD260" s="269"/>
      <c r="CH260" s="132" t="s">
        <v>1</v>
      </c>
      <c r="CI260" s="133" t="s">
        <v>40</v>
      </c>
      <c r="CK260" s="134">
        <f>CJ260*H260</f>
        <v>0</v>
      </c>
      <c r="CL260" s="134">
        <v>0</v>
      </c>
      <c r="CM260" s="134">
        <f>CL260*H260</f>
        <v>0</v>
      </c>
      <c r="CN260" s="134">
        <v>0</v>
      </c>
      <c r="CO260" s="135">
        <f>CN260*H260</f>
        <v>0</v>
      </c>
      <c r="DM260" s="136" t="s">
        <v>95</v>
      </c>
      <c r="DO260" s="136" t="s">
        <v>284</v>
      </c>
      <c r="DP260" s="136" t="s">
        <v>83</v>
      </c>
      <c r="DT260" s="16" t="s">
        <v>282</v>
      </c>
      <c r="DZ260" s="137">
        <f>IF(CI260="základní",J260,0)</f>
        <v>2580.37</v>
      </c>
      <c r="EA260" s="137">
        <f>IF(CI260="snížená",J260,0)</f>
        <v>0</v>
      </c>
      <c r="EB260" s="137">
        <f>IF(CI260="zákl. přenesená",J260,0)</f>
        <v>0</v>
      </c>
      <c r="EC260" s="137">
        <f>IF(CI260="sníž. přenesená",J260,0)</f>
        <v>0</v>
      </c>
      <c r="ED260" s="137">
        <f>IF(CI260="nulová",J260,0)</f>
        <v>0</v>
      </c>
      <c r="EE260" s="16" t="s">
        <v>81</v>
      </c>
      <c r="EF260" s="137">
        <f>ROUND(I260*H260,2)</f>
        <v>2580.37</v>
      </c>
      <c r="EG260" s="16" t="s">
        <v>95</v>
      </c>
      <c r="EH260" s="136" t="s">
        <v>479</v>
      </c>
    </row>
    <row r="261" spans="2:138" s="1" customFormat="1" ht="19.5" x14ac:dyDescent="0.2">
      <c r="B261" s="31"/>
      <c r="D261" s="138" t="s">
        <v>289</v>
      </c>
      <c r="F261" s="139" t="s">
        <v>474</v>
      </c>
      <c r="I261" s="140"/>
      <c r="L261" s="31"/>
      <c r="N261" s="213"/>
      <c r="O261" s="214"/>
      <c r="Q261" s="229"/>
      <c r="CH261" s="141"/>
      <c r="CO261" s="50"/>
      <c r="DO261" s="16" t="s">
        <v>289</v>
      </c>
      <c r="DP261" s="16" t="s">
        <v>83</v>
      </c>
    </row>
    <row r="262" spans="2:138" s="1" customFormat="1" ht="19.5" x14ac:dyDescent="0.2">
      <c r="B262" s="31"/>
      <c r="D262" s="138" t="s">
        <v>299</v>
      </c>
      <c r="F262" s="142" t="s">
        <v>317</v>
      </c>
      <c r="I262" s="140"/>
      <c r="L262" s="31"/>
      <c r="N262" s="213"/>
      <c r="O262" s="214"/>
      <c r="Q262" s="229"/>
      <c r="CH262" s="141"/>
      <c r="CO262" s="50"/>
      <c r="DO262" s="16" t="s">
        <v>299</v>
      </c>
      <c r="DP262" s="16" t="s">
        <v>83</v>
      </c>
    </row>
    <row r="263" spans="2:138" s="11" customFormat="1" x14ac:dyDescent="0.2">
      <c r="B263" s="143"/>
      <c r="D263" s="138" t="s">
        <v>301</v>
      </c>
      <c r="E263" s="144" t="s">
        <v>1</v>
      </c>
      <c r="F263" s="145" t="s">
        <v>765</v>
      </c>
      <c r="H263" s="144" t="s">
        <v>1</v>
      </c>
      <c r="I263" s="146"/>
      <c r="L263" s="143"/>
      <c r="N263" s="215"/>
      <c r="O263" s="216"/>
      <c r="Q263" s="230"/>
      <c r="CH263" s="147"/>
      <c r="CO263" s="148"/>
      <c r="DO263" s="144" t="s">
        <v>301</v>
      </c>
      <c r="DP263" s="144" t="s">
        <v>83</v>
      </c>
      <c r="DQ263" s="11" t="s">
        <v>81</v>
      </c>
      <c r="DR263" s="11" t="s">
        <v>32</v>
      </c>
      <c r="DS263" s="11" t="s">
        <v>74</v>
      </c>
      <c r="DT263" s="144" t="s">
        <v>282</v>
      </c>
    </row>
    <row r="264" spans="2:138" s="12" customFormat="1" x14ac:dyDescent="0.2">
      <c r="B264" s="149"/>
      <c r="D264" s="138" t="s">
        <v>301</v>
      </c>
      <c r="E264" s="150" t="s">
        <v>1</v>
      </c>
      <c r="F264" s="151" t="s">
        <v>829</v>
      </c>
      <c r="H264" s="152">
        <v>1.25</v>
      </c>
      <c r="I264" s="153"/>
      <c r="L264" s="149"/>
      <c r="N264" s="217"/>
      <c r="O264" s="218"/>
      <c r="Q264" s="231"/>
      <c r="CH264" s="154"/>
      <c r="CO264" s="155"/>
      <c r="DO264" s="150" t="s">
        <v>301</v>
      </c>
      <c r="DP264" s="150" t="s">
        <v>83</v>
      </c>
      <c r="DQ264" s="12" t="s">
        <v>83</v>
      </c>
      <c r="DR264" s="12" t="s">
        <v>32</v>
      </c>
      <c r="DS264" s="12" t="s">
        <v>74</v>
      </c>
      <c r="DT264" s="150" t="s">
        <v>282</v>
      </c>
    </row>
    <row r="265" spans="2:138" s="11" customFormat="1" x14ac:dyDescent="0.2">
      <c r="B265" s="143"/>
      <c r="D265" s="138" t="s">
        <v>301</v>
      </c>
      <c r="E265" s="144" t="s">
        <v>1</v>
      </c>
      <c r="F265" s="145" t="s">
        <v>916</v>
      </c>
      <c r="H265" s="144" t="s">
        <v>1</v>
      </c>
      <c r="I265" s="146"/>
      <c r="L265" s="143"/>
      <c r="N265" s="215"/>
      <c r="O265" s="216"/>
      <c r="Q265" s="230"/>
      <c r="CH265" s="147"/>
      <c r="CO265" s="148"/>
      <c r="DO265" s="144" t="s">
        <v>301</v>
      </c>
      <c r="DP265" s="144" t="s">
        <v>83</v>
      </c>
      <c r="DQ265" s="11" t="s">
        <v>81</v>
      </c>
      <c r="DR265" s="11" t="s">
        <v>32</v>
      </c>
      <c r="DS265" s="11" t="s">
        <v>74</v>
      </c>
      <c r="DT265" s="144" t="s">
        <v>282</v>
      </c>
    </row>
    <row r="266" spans="2:138" s="12" customFormat="1" x14ac:dyDescent="0.2">
      <c r="B266" s="149"/>
      <c r="D266" s="138" t="s">
        <v>301</v>
      </c>
      <c r="E266" s="150" t="s">
        <v>1</v>
      </c>
      <c r="F266" s="151" t="s">
        <v>1643</v>
      </c>
      <c r="H266" s="152">
        <v>0.9</v>
      </c>
      <c r="I266" s="153"/>
      <c r="L266" s="149"/>
      <c r="N266" s="217"/>
      <c r="O266" s="218"/>
      <c r="Q266" s="231"/>
      <c r="CH266" s="154"/>
      <c r="CO266" s="155"/>
      <c r="DO266" s="150" t="s">
        <v>301</v>
      </c>
      <c r="DP266" s="150" t="s">
        <v>83</v>
      </c>
      <c r="DQ266" s="12" t="s">
        <v>83</v>
      </c>
      <c r="DR266" s="12" t="s">
        <v>32</v>
      </c>
      <c r="DS266" s="12" t="s">
        <v>74</v>
      </c>
      <c r="DT266" s="150" t="s">
        <v>282</v>
      </c>
    </row>
    <row r="267" spans="2:138" s="13" customFormat="1" x14ac:dyDescent="0.2">
      <c r="B267" s="156"/>
      <c r="D267" s="138" t="s">
        <v>301</v>
      </c>
      <c r="E267" s="157" t="s">
        <v>1</v>
      </c>
      <c r="F267" s="158" t="s">
        <v>305</v>
      </c>
      <c r="H267" s="159">
        <v>2.15</v>
      </c>
      <c r="I267" s="160"/>
      <c r="L267" s="156"/>
      <c r="N267" s="219"/>
      <c r="O267" s="220"/>
      <c r="Q267" s="232"/>
      <c r="CH267" s="161"/>
      <c r="CO267" s="162"/>
      <c r="DO267" s="157" t="s">
        <v>301</v>
      </c>
      <c r="DP267" s="157" t="s">
        <v>83</v>
      </c>
      <c r="DQ267" s="13" t="s">
        <v>95</v>
      </c>
      <c r="DR267" s="13" t="s">
        <v>32</v>
      </c>
      <c r="DS267" s="13" t="s">
        <v>81</v>
      </c>
      <c r="DT267" s="157" t="s">
        <v>282</v>
      </c>
    </row>
    <row r="268" spans="2:138" s="1" customFormat="1" ht="21" customHeight="1" x14ac:dyDescent="0.2">
      <c r="B268" s="124"/>
      <c r="C268" s="125" t="s">
        <v>456</v>
      </c>
      <c r="D268" s="125" t="s">
        <v>284</v>
      </c>
      <c r="E268" s="126" t="s">
        <v>483</v>
      </c>
      <c r="F268" s="127" t="s">
        <v>484</v>
      </c>
      <c r="G268" s="128" t="s">
        <v>485</v>
      </c>
      <c r="H268" s="129">
        <v>2</v>
      </c>
      <c r="I268" s="130">
        <v>136.11246338547087</v>
      </c>
      <c r="J268" s="131">
        <f>ROUND(I268*H268,2)</f>
        <v>272.22000000000003</v>
      </c>
      <c r="K268" s="127" t="s">
        <v>293</v>
      </c>
      <c r="L268" s="268">
        <f>S268</f>
        <v>0</v>
      </c>
      <c r="M268" s="272">
        <f>ROUND(L268*I268,2)</f>
        <v>0</v>
      </c>
      <c r="N268" s="243"/>
      <c r="O268" s="294">
        <f>ROUND(N268*I268,2)</f>
        <v>0</v>
      </c>
      <c r="P268" s="273">
        <f>H268-L268-N268</f>
        <v>2</v>
      </c>
      <c r="Q268" s="287">
        <f>ROUND(P268*I268,2)</f>
        <v>272.22000000000003</v>
      </c>
      <c r="R268" s="137"/>
      <c r="S268" s="269">
        <f>W268+Y268+AA268+AC268</f>
        <v>0</v>
      </c>
      <c r="T268" s="269">
        <f>ROUND(S268*I268,2)</f>
        <v>0</v>
      </c>
      <c r="U268" s="269">
        <f>H268-S268</f>
        <v>2</v>
      </c>
      <c r="V268" s="269">
        <f>ROUND(U268*I268,2)</f>
        <v>272.22000000000003</v>
      </c>
      <c r="W268" s="269"/>
      <c r="X268" s="269"/>
      <c r="Y268" s="269"/>
      <c r="Z268" s="269"/>
      <c r="AA268" s="269"/>
      <c r="AB268" s="269"/>
      <c r="AC268" s="269"/>
      <c r="AD268" s="269"/>
      <c r="CH268" s="132" t="s">
        <v>1</v>
      </c>
      <c r="CI268" s="133" t="s">
        <v>40</v>
      </c>
      <c r="CK268" s="134">
        <f>CJ268*H268</f>
        <v>0</v>
      </c>
      <c r="CL268" s="134">
        <v>6.6E-3</v>
      </c>
      <c r="CM268" s="134">
        <f>CL268*H268</f>
        <v>1.32E-2</v>
      </c>
      <c r="CN268" s="134">
        <v>0</v>
      </c>
      <c r="CO268" s="135">
        <f>CN268*H268</f>
        <v>0</v>
      </c>
      <c r="DM268" s="136" t="s">
        <v>95</v>
      </c>
      <c r="DO268" s="136" t="s">
        <v>284</v>
      </c>
      <c r="DP268" s="136" t="s">
        <v>83</v>
      </c>
      <c r="DT268" s="16" t="s">
        <v>282</v>
      </c>
      <c r="DZ268" s="137">
        <f>IF(CI268="základní",J268,0)</f>
        <v>272.22000000000003</v>
      </c>
      <c r="EA268" s="137">
        <f>IF(CI268="snížená",J268,0)</f>
        <v>0</v>
      </c>
      <c r="EB268" s="137">
        <f>IF(CI268="zákl. přenesená",J268,0)</f>
        <v>0</v>
      </c>
      <c r="EC268" s="137">
        <f>IF(CI268="sníž. přenesená",J268,0)</f>
        <v>0</v>
      </c>
      <c r="ED268" s="137">
        <f>IF(CI268="nulová",J268,0)</f>
        <v>0</v>
      </c>
      <c r="EE268" s="16" t="s">
        <v>81</v>
      </c>
      <c r="EF268" s="137">
        <f>ROUND(I268*H268,2)</f>
        <v>272.22000000000003</v>
      </c>
      <c r="EG268" s="16" t="s">
        <v>95</v>
      </c>
      <c r="EH268" s="136" t="s">
        <v>486</v>
      </c>
    </row>
    <row r="269" spans="2:138" s="1" customFormat="1" ht="19.5" x14ac:dyDescent="0.2">
      <c r="B269" s="31"/>
      <c r="D269" s="138" t="s">
        <v>289</v>
      </c>
      <c r="F269" s="139" t="s">
        <v>487</v>
      </c>
      <c r="I269" s="140"/>
      <c r="L269" s="31"/>
      <c r="N269" s="213"/>
      <c r="O269" s="214"/>
      <c r="Q269" s="229"/>
      <c r="CH269" s="141"/>
      <c r="CO269" s="50"/>
      <c r="DO269" s="16" t="s">
        <v>289</v>
      </c>
      <c r="DP269" s="16" t="s">
        <v>83</v>
      </c>
    </row>
    <row r="270" spans="2:138" s="1" customFormat="1" ht="19.5" x14ac:dyDescent="0.2">
      <c r="B270" s="31"/>
      <c r="D270" s="138" t="s">
        <v>299</v>
      </c>
      <c r="F270" s="142" t="s">
        <v>317</v>
      </c>
      <c r="I270" s="140"/>
      <c r="L270" s="31"/>
      <c r="N270" s="213"/>
      <c r="O270" s="214"/>
      <c r="Q270" s="229"/>
      <c r="CH270" s="141"/>
      <c r="CO270" s="50"/>
      <c r="DO270" s="16" t="s">
        <v>299</v>
      </c>
      <c r="DP270" s="16" t="s">
        <v>83</v>
      </c>
    </row>
    <row r="271" spans="2:138" s="12" customFormat="1" x14ac:dyDescent="0.2">
      <c r="B271" s="149"/>
      <c r="D271" s="138" t="s">
        <v>301</v>
      </c>
      <c r="E271" s="150" t="s">
        <v>1</v>
      </c>
      <c r="F271" s="151" t="s">
        <v>83</v>
      </c>
      <c r="H271" s="152">
        <v>2</v>
      </c>
      <c r="I271" s="153"/>
      <c r="L271" s="149"/>
      <c r="N271" s="217"/>
      <c r="O271" s="218"/>
      <c r="Q271" s="231"/>
      <c r="CH271" s="154"/>
      <c r="CO271" s="155"/>
      <c r="DO271" s="150" t="s">
        <v>301</v>
      </c>
      <c r="DP271" s="150" t="s">
        <v>83</v>
      </c>
      <c r="DQ271" s="12" t="s">
        <v>83</v>
      </c>
      <c r="DR271" s="12" t="s">
        <v>32</v>
      </c>
      <c r="DS271" s="12" t="s">
        <v>81</v>
      </c>
      <c r="DT271" s="150" t="s">
        <v>282</v>
      </c>
    </row>
    <row r="272" spans="2:138" s="1" customFormat="1" ht="31.5" customHeight="1" x14ac:dyDescent="0.2">
      <c r="B272" s="124"/>
      <c r="C272" s="170" t="s">
        <v>463</v>
      </c>
      <c r="D272" s="170" t="s">
        <v>439</v>
      </c>
      <c r="E272" s="171" t="s">
        <v>502</v>
      </c>
      <c r="F272" s="172" t="s">
        <v>503</v>
      </c>
      <c r="G272" s="173" t="s">
        <v>485</v>
      </c>
      <c r="H272" s="174">
        <v>1</v>
      </c>
      <c r="I272" s="175">
        <v>314.47561239999999</v>
      </c>
      <c r="J272" s="176">
        <f>ROUND(I272*H272,2)</f>
        <v>314.48</v>
      </c>
      <c r="K272" s="172" t="s">
        <v>293</v>
      </c>
      <c r="L272" s="268">
        <f>S272</f>
        <v>0</v>
      </c>
      <c r="M272" s="272">
        <f>ROUND(L272*I272,2)</f>
        <v>0</v>
      </c>
      <c r="N272" s="243"/>
      <c r="O272" s="294">
        <f>ROUND(N272*I272,2)</f>
        <v>0</v>
      </c>
      <c r="P272" s="273">
        <f>H272-L272-N272</f>
        <v>1</v>
      </c>
      <c r="Q272" s="287">
        <f>ROUND(P272*I272,2)</f>
        <v>314.48</v>
      </c>
      <c r="R272" s="137"/>
      <c r="S272" s="269">
        <f>W272+Y272+AA272+AC272</f>
        <v>0</v>
      </c>
      <c r="T272" s="269">
        <f>ROUND(S272*I272,2)</f>
        <v>0</v>
      </c>
      <c r="U272" s="269">
        <f>H272-S272</f>
        <v>1</v>
      </c>
      <c r="V272" s="269">
        <f>ROUND(U272*I272,2)</f>
        <v>314.48</v>
      </c>
      <c r="W272" s="290"/>
      <c r="X272" s="290"/>
      <c r="Y272" s="290"/>
      <c r="Z272" s="290"/>
      <c r="AA272" s="290"/>
      <c r="AB272" s="290"/>
      <c r="AC272" s="290"/>
      <c r="AD272" s="290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77" t="s">
        <v>1</v>
      </c>
      <c r="CI272" s="178" t="s">
        <v>40</v>
      </c>
      <c r="CK272" s="134">
        <f>CJ272*H272</f>
        <v>0</v>
      </c>
      <c r="CL272" s="134">
        <v>6.8000000000000005E-2</v>
      </c>
      <c r="CM272" s="134">
        <f>CL272*H272</f>
        <v>6.8000000000000005E-2</v>
      </c>
      <c r="CN272" s="134">
        <v>0</v>
      </c>
      <c r="CO272" s="135">
        <f>CN272*H272</f>
        <v>0</v>
      </c>
      <c r="DM272" s="136" t="s">
        <v>328</v>
      </c>
      <c r="DO272" s="136" t="s">
        <v>439</v>
      </c>
      <c r="DP272" s="136" t="s">
        <v>83</v>
      </c>
      <c r="DT272" s="16" t="s">
        <v>282</v>
      </c>
      <c r="DZ272" s="137">
        <f>IF(CI272="základní",J272,0)</f>
        <v>314.48</v>
      </c>
      <c r="EA272" s="137">
        <f>IF(CI272="snížená",J272,0)</f>
        <v>0</v>
      </c>
      <c r="EB272" s="137">
        <f>IF(CI272="zákl. přenesená",J272,0)</f>
        <v>0</v>
      </c>
      <c r="EC272" s="137">
        <f>IF(CI272="sníž. přenesená",J272,0)</f>
        <v>0</v>
      </c>
      <c r="ED272" s="137">
        <f>IF(CI272="nulová",J272,0)</f>
        <v>0</v>
      </c>
      <c r="EE272" s="16" t="s">
        <v>81</v>
      </c>
      <c r="EF272" s="137">
        <f>ROUND(I272*H272,2)</f>
        <v>314.48</v>
      </c>
      <c r="EG272" s="16" t="s">
        <v>95</v>
      </c>
      <c r="EH272" s="136" t="s">
        <v>504</v>
      </c>
    </row>
    <row r="273" spans="2:138" s="1" customFormat="1" x14ac:dyDescent="0.2">
      <c r="B273" s="31"/>
      <c r="D273" s="138" t="s">
        <v>289</v>
      </c>
      <c r="F273" s="139" t="s">
        <v>503</v>
      </c>
      <c r="I273" s="140"/>
      <c r="L273" s="31"/>
      <c r="N273" s="213"/>
      <c r="O273" s="214"/>
      <c r="Q273" s="229"/>
      <c r="CH273" s="141"/>
      <c r="CO273" s="50"/>
      <c r="DO273" s="16" t="s">
        <v>289</v>
      </c>
      <c r="DP273" s="16" t="s">
        <v>83</v>
      </c>
    </row>
    <row r="274" spans="2:138" s="1" customFormat="1" ht="14.45" customHeight="1" x14ac:dyDescent="0.2">
      <c r="B274" s="124"/>
      <c r="C274" s="125" t="s">
        <v>470</v>
      </c>
      <c r="D274" s="125" t="s">
        <v>284</v>
      </c>
      <c r="E274" s="126" t="s">
        <v>506</v>
      </c>
      <c r="F274" s="127" t="s">
        <v>507</v>
      </c>
      <c r="G274" s="128" t="s">
        <v>485</v>
      </c>
      <c r="H274" s="129">
        <v>2</v>
      </c>
      <c r="I274" s="130">
        <v>217.77896833494168</v>
      </c>
      <c r="J274" s="131">
        <f>ROUND(I274*H274,2)</f>
        <v>435.56</v>
      </c>
      <c r="K274" s="127" t="s">
        <v>293</v>
      </c>
      <c r="L274" s="268">
        <f>S274</f>
        <v>0</v>
      </c>
      <c r="M274" s="272">
        <f>ROUND(L274*I274,2)</f>
        <v>0</v>
      </c>
      <c r="N274" s="243"/>
      <c r="O274" s="294">
        <f>ROUND(N274*I274,2)</f>
        <v>0</v>
      </c>
      <c r="P274" s="273">
        <f>H274-L274-N274</f>
        <v>2</v>
      </c>
      <c r="Q274" s="287">
        <f>ROUND(P274*I274,2)</f>
        <v>435.56</v>
      </c>
      <c r="R274" s="137"/>
      <c r="S274" s="269">
        <f>W274+Y274+AA274+AC274</f>
        <v>0</v>
      </c>
      <c r="T274" s="269">
        <f>ROUND(S274*I274,2)</f>
        <v>0</v>
      </c>
      <c r="U274" s="269">
        <f>H274-S274</f>
        <v>2</v>
      </c>
      <c r="V274" s="269">
        <f>ROUND(U274*I274,2)</f>
        <v>435.56</v>
      </c>
      <c r="W274" s="269"/>
      <c r="X274" s="269"/>
      <c r="Y274" s="269"/>
      <c r="Z274" s="269"/>
      <c r="AA274" s="269"/>
      <c r="AB274" s="269"/>
      <c r="AC274" s="269"/>
      <c r="AD274" s="269"/>
      <c r="CH274" s="132" t="s">
        <v>1</v>
      </c>
      <c r="CI274" s="133" t="s">
        <v>40</v>
      </c>
      <c r="CK274" s="134">
        <f>CJ274*H274</f>
        <v>0</v>
      </c>
      <c r="CL274" s="134">
        <v>6.6E-3</v>
      </c>
      <c r="CM274" s="134">
        <f>CL274*H274</f>
        <v>1.32E-2</v>
      </c>
      <c r="CN274" s="134">
        <v>0</v>
      </c>
      <c r="CO274" s="135">
        <f>CN274*H274</f>
        <v>0</v>
      </c>
      <c r="DM274" s="136" t="s">
        <v>95</v>
      </c>
      <c r="DO274" s="136" t="s">
        <v>284</v>
      </c>
      <c r="DP274" s="136" t="s">
        <v>83</v>
      </c>
      <c r="DT274" s="16" t="s">
        <v>282</v>
      </c>
      <c r="DZ274" s="137">
        <f>IF(CI274="základní",J274,0)</f>
        <v>435.56</v>
      </c>
      <c r="EA274" s="137">
        <f>IF(CI274="snížená",J274,0)</f>
        <v>0</v>
      </c>
      <c r="EB274" s="137">
        <f>IF(CI274="zákl. přenesená",J274,0)</f>
        <v>0</v>
      </c>
      <c r="EC274" s="137">
        <f>IF(CI274="sníž. přenesená",J274,0)</f>
        <v>0</v>
      </c>
      <c r="ED274" s="137">
        <f>IF(CI274="nulová",J274,0)</f>
        <v>0</v>
      </c>
      <c r="EE274" s="16" t="s">
        <v>81</v>
      </c>
      <c r="EF274" s="137">
        <f>ROUND(I274*H274,2)</f>
        <v>435.56</v>
      </c>
      <c r="EG274" s="16" t="s">
        <v>95</v>
      </c>
      <c r="EH274" s="136" t="s">
        <v>508</v>
      </c>
    </row>
    <row r="275" spans="2:138" s="1" customFormat="1" ht="19.5" x14ac:dyDescent="0.2">
      <c r="B275" s="31"/>
      <c r="D275" s="138" t="s">
        <v>289</v>
      </c>
      <c r="F275" s="139" t="s">
        <v>509</v>
      </c>
      <c r="I275" s="140"/>
      <c r="L275" s="31"/>
      <c r="N275" s="213"/>
      <c r="O275" s="214"/>
      <c r="Q275" s="229"/>
      <c r="CH275" s="141"/>
      <c r="CO275" s="50"/>
      <c r="DO275" s="16" t="s">
        <v>289</v>
      </c>
      <c r="DP275" s="16" t="s">
        <v>83</v>
      </c>
    </row>
    <row r="276" spans="2:138" s="1" customFormat="1" ht="19.5" x14ac:dyDescent="0.2">
      <c r="B276" s="31"/>
      <c r="D276" s="138" t="s">
        <v>299</v>
      </c>
      <c r="F276" s="142" t="s">
        <v>317</v>
      </c>
      <c r="I276" s="140"/>
      <c r="L276" s="31"/>
      <c r="N276" s="213"/>
      <c r="O276" s="214"/>
      <c r="Q276" s="229"/>
      <c r="CH276" s="141"/>
      <c r="CO276" s="50"/>
      <c r="DO276" s="16" t="s">
        <v>299</v>
      </c>
      <c r="DP276" s="16" t="s">
        <v>83</v>
      </c>
    </row>
    <row r="277" spans="2:138" s="12" customFormat="1" ht="13.5" customHeight="1" x14ac:dyDescent="0.2">
      <c r="B277" s="149"/>
      <c r="D277" s="138" t="s">
        <v>301</v>
      </c>
      <c r="E277" s="150" t="s">
        <v>1</v>
      </c>
      <c r="F277" s="151" t="s">
        <v>83</v>
      </c>
      <c r="H277" s="152">
        <v>2</v>
      </c>
      <c r="I277" s="153"/>
      <c r="L277" s="149"/>
      <c r="N277" s="217"/>
      <c r="O277" s="218"/>
      <c r="Q277" s="231"/>
      <c r="CH277" s="154"/>
      <c r="CO277" s="155"/>
      <c r="DO277" s="150" t="s">
        <v>301</v>
      </c>
      <c r="DP277" s="150" t="s">
        <v>83</v>
      </c>
      <c r="DQ277" s="12" t="s">
        <v>83</v>
      </c>
      <c r="DR277" s="12" t="s">
        <v>32</v>
      </c>
      <c r="DS277" s="12" t="s">
        <v>81</v>
      </c>
      <c r="DT277" s="150" t="s">
        <v>282</v>
      </c>
    </row>
    <row r="278" spans="2:138" s="1" customFormat="1" ht="24.2" customHeight="1" x14ac:dyDescent="0.2">
      <c r="B278" s="124"/>
      <c r="C278" s="170" t="s">
        <v>476</v>
      </c>
      <c r="D278" s="170" t="s">
        <v>439</v>
      </c>
      <c r="E278" s="171" t="s">
        <v>511</v>
      </c>
      <c r="F278" s="172" t="s">
        <v>512</v>
      </c>
      <c r="G278" s="173" t="s">
        <v>485</v>
      </c>
      <c r="H278" s="174">
        <v>2</v>
      </c>
      <c r="I278" s="175">
        <v>354.2586718</v>
      </c>
      <c r="J278" s="176">
        <f>ROUND(I278*H278,2)</f>
        <v>708.52</v>
      </c>
      <c r="K278" s="172" t="s">
        <v>293</v>
      </c>
      <c r="L278" s="268">
        <f>S278</f>
        <v>0</v>
      </c>
      <c r="M278" s="272">
        <f>ROUND(L278*I278,2)</f>
        <v>0</v>
      </c>
      <c r="N278" s="243"/>
      <c r="O278" s="294">
        <f>ROUND(N278*I278,2)</f>
        <v>0</v>
      </c>
      <c r="P278" s="273">
        <f>H278-L278-N278</f>
        <v>2</v>
      </c>
      <c r="Q278" s="287">
        <f>ROUND(P278*I278,2)</f>
        <v>708.52</v>
      </c>
      <c r="R278" s="137"/>
      <c r="S278" s="269">
        <f>W278+Y278+AA278+AC278</f>
        <v>0</v>
      </c>
      <c r="T278" s="269">
        <f>ROUND(S278*I278,2)</f>
        <v>0</v>
      </c>
      <c r="U278" s="269">
        <f>H278-S278</f>
        <v>2</v>
      </c>
      <c r="V278" s="269">
        <f>ROUND(U278*I278,2)</f>
        <v>708.52</v>
      </c>
      <c r="W278" s="290"/>
      <c r="X278" s="290"/>
      <c r="Y278" s="290"/>
      <c r="Z278" s="290"/>
      <c r="AA278" s="290"/>
      <c r="AB278" s="290"/>
      <c r="AC278" s="290"/>
      <c r="AD278" s="290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77" t="s">
        <v>1</v>
      </c>
      <c r="CI278" s="178" t="s">
        <v>40</v>
      </c>
      <c r="CK278" s="134">
        <f>CJ278*H278</f>
        <v>0</v>
      </c>
      <c r="CL278" s="134">
        <v>8.1000000000000003E-2</v>
      </c>
      <c r="CM278" s="134">
        <f>CL278*H278</f>
        <v>0.16200000000000001</v>
      </c>
      <c r="CN278" s="134">
        <v>0</v>
      </c>
      <c r="CO278" s="135">
        <f>CN278*H278</f>
        <v>0</v>
      </c>
      <c r="DM278" s="136" t="s">
        <v>328</v>
      </c>
      <c r="DO278" s="136" t="s">
        <v>439</v>
      </c>
      <c r="DP278" s="136" t="s">
        <v>83</v>
      </c>
      <c r="DT278" s="16" t="s">
        <v>282</v>
      </c>
      <c r="DZ278" s="137">
        <f>IF(CI278="základní",J278,0)</f>
        <v>708.52</v>
      </c>
      <c r="EA278" s="137">
        <f>IF(CI278="snížená",J278,0)</f>
        <v>0</v>
      </c>
      <c r="EB278" s="137">
        <f>IF(CI278="zákl. přenesená",J278,0)</f>
        <v>0</v>
      </c>
      <c r="EC278" s="137">
        <f>IF(CI278="sníž. přenesená",J278,0)</f>
        <v>0</v>
      </c>
      <c r="ED278" s="137">
        <f>IF(CI278="nulová",J278,0)</f>
        <v>0</v>
      </c>
      <c r="EE278" s="16" t="s">
        <v>81</v>
      </c>
      <c r="EF278" s="137">
        <f>ROUND(I278*H278,2)</f>
        <v>708.52</v>
      </c>
      <c r="EG278" s="16" t="s">
        <v>95</v>
      </c>
      <c r="EH278" s="136" t="s">
        <v>513</v>
      </c>
    </row>
    <row r="279" spans="2:138" s="1" customFormat="1" x14ac:dyDescent="0.2">
      <c r="B279" s="31"/>
      <c r="D279" s="138" t="s">
        <v>289</v>
      </c>
      <c r="F279" s="139" t="s">
        <v>512</v>
      </c>
      <c r="I279" s="140"/>
      <c r="L279" s="31"/>
      <c r="N279" s="213"/>
      <c r="O279" s="214"/>
      <c r="Q279" s="229"/>
      <c r="CH279" s="141"/>
      <c r="CO279" s="50"/>
      <c r="DO279" s="16" t="s">
        <v>289</v>
      </c>
      <c r="DP279" s="16" t="s">
        <v>83</v>
      </c>
    </row>
    <row r="280" spans="2:138" s="1" customFormat="1" ht="24.2" customHeight="1" x14ac:dyDescent="0.2">
      <c r="B280" s="124"/>
      <c r="C280" s="125" t="s">
        <v>482</v>
      </c>
      <c r="D280" s="125" t="s">
        <v>284</v>
      </c>
      <c r="E280" s="126" t="s">
        <v>515</v>
      </c>
      <c r="F280" s="127" t="s">
        <v>516</v>
      </c>
      <c r="G280" s="128" t="s">
        <v>366</v>
      </c>
      <c r="H280" s="129">
        <v>1.575</v>
      </c>
      <c r="I280" s="130">
        <v>2895.0660868876225</v>
      </c>
      <c r="J280" s="131">
        <f>ROUND(I280*H280,2)</f>
        <v>4559.7299999999996</v>
      </c>
      <c r="K280" s="127" t="s">
        <v>293</v>
      </c>
      <c r="L280" s="268">
        <f>S280</f>
        <v>0</v>
      </c>
      <c r="M280" s="272">
        <f>ROUND(L280*I280,2)</f>
        <v>0</v>
      </c>
      <c r="N280" s="243"/>
      <c r="O280" s="294">
        <f>ROUND(N280*I280,2)</f>
        <v>0</v>
      </c>
      <c r="P280" s="273">
        <f>H280-L280-N280</f>
        <v>1.575</v>
      </c>
      <c r="Q280" s="287">
        <f>ROUND(P280*I280,2)</f>
        <v>4559.7299999999996</v>
      </c>
      <c r="R280" s="137"/>
      <c r="S280" s="269">
        <f>W280+Y280+AA280+AC280</f>
        <v>0</v>
      </c>
      <c r="T280" s="269">
        <f>ROUND(S280*I280,2)</f>
        <v>0</v>
      </c>
      <c r="U280" s="269">
        <f>H280-S280</f>
        <v>1.575</v>
      </c>
      <c r="V280" s="269">
        <f>ROUND(U280*I280,2)</f>
        <v>4559.7299999999996</v>
      </c>
      <c r="W280" s="269"/>
      <c r="X280" s="269"/>
      <c r="Y280" s="269"/>
      <c r="Z280" s="269"/>
      <c r="AA280" s="269"/>
      <c r="AB280" s="269"/>
      <c r="AC280" s="269"/>
      <c r="AD280" s="269"/>
      <c r="CH280" s="132" t="s">
        <v>1</v>
      </c>
      <c r="CI280" s="133" t="s">
        <v>40</v>
      </c>
      <c r="CK280" s="134">
        <f>CJ280*H280</f>
        <v>0</v>
      </c>
      <c r="CL280" s="134">
        <v>0</v>
      </c>
      <c r="CM280" s="134">
        <f>CL280*H280</f>
        <v>0</v>
      </c>
      <c r="CN280" s="134">
        <v>0</v>
      </c>
      <c r="CO280" s="135">
        <f>CN280*H280</f>
        <v>0</v>
      </c>
      <c r="DM280" s="136" t="s">
        <v>95</v>
      </c>
      <c r="DO280" s="136" t="s">
        <v>284</v>
      </c>
      <c r="DP280" s="136" t="s">
        <v>83</v>
      </c>
      <c r="DT280" s="16" t="s">
        <v>282</v>
      </c>
      <c r="DZ280" s="137">
        <f>IF(CI280="základní",J280,0)</f>
        <v>4559.7299999999996</v>
      </c>
      <c r="EA280" s="137">
        <f>IF(CI280="snížená",J280,0)</f>
        <v>0</v>
      </c>
      <c r="EB280" s="137">
        <f>IF(CI280="zákl. přenesená",J280,0)</f>
        <v>0</v>
      </c>
      <c r="EC280" s="137">
        <f>IF(CI280="sníž. přenesená",J280,0)</f>
        <v>0</v>
      </c>
      <c r="ED280" s="137">
        <f>IF(CI280="nulová",J280,0)</f>
        <v>0</v>
      </c>
      <c r="EE280" s="16" t="s">
        <v>81</v>
      </c>
      <c r="EF280" s="137">
        <f>ROUND(I280*H280,2)</f>
        <v>4559.7299999999996</v>
      </c>
      <c r="EG280" s="16" t="s">
        <v>95</v>
      </c>
      <c r="EH280" s="136" t="s">
        <v>517</v>
      </c>
    </row>
    <row r="281" spans="2:138" s="1" customFormat="1" ht="29.25" x14ac:dyDescent="0.2">
      <c r="B281" s="31"/>
      <c r="D281" s="138" t="s">
        <v>289</v>
      </c>
      <c r="F281" s="139" t="s">
        <v>518</v>
      </c>
      <c r="I281" s="140"/>
      <c r="L281" s="31"/>
      <c r="N281" s="213"/>
      <c r="O281" s="214"/>
      <c r="Q281" s="229"/>
      <c r="CH281" s="141"/>
      <c r="CO281" s="50"/>
      <c r="DO281" s="16" t="s">
        <v>289</v>
      </c>
      <c r="DP281" s="16" t="s">
        <v>83</v>
      </c>
    </row>
    <row r="282" spans="2:138" s="1" customFormat="1" ht="19.5" x14ac:dyDescent="0.2">
      <c r="B282" s="31"/>
      <c r="D282" s="138" t="s">
        <v>299</v>
      </c>
      <c r="F282" s="142" t="s">
        <v>317</v>
      </c>
      <c r="I282" s="140"/>
      <c r="L282" s="31"/>
      <c r="N282" s="213"/>
      <c r="O282" s="214"/>
      <c r="Q282" s="229"/>
      <c r="CH282" s="141"/>
      <c r="CO282" s="50"/>
      <c r="DO282" s="16" t="s">
        <v>299</v>
      </c>
      <c r="DP282" s="16" t="s">
        <v>83</v>
      </c>
    </row>
    <row r="283" spans="2:138" s="11" customFormat="1" x14ac:dyDescent="0.2">
      <c r="B283" s="143"/>
      <c r="D283" s="138" t="s">
        <v>301</v>
      </c>
      <c r="E283" s="144" t="s">
        <v>1</v>
      </c>
      <c r="F283" s="145" t="s">
        <v>765</v>
      </c>
      <c r="H283" s="144" t="s">
        <v>1</v>
      </c>
      <c r="I283" s="146"/>
      <c r="L283" s="143"/>
      <c r="N283" s="215"/>
      <c r="O283" s="216"/>
      <c r="Q283" s="230"/>
      <c r="CH283" s="147"/>
      <c r="CO283" s="148"/>
      <c r="DO283" s="144" t="s">
        <v>301</v>
      </c>
      <c r="DP283" s="144" t="s">
        <v>83</v>
      </c>
      <c r="DQ283" s="11" t="s">
        <v>81</v>
      </c>
      <c r="DR283" s="11" t="s">
        <v>32</v>
      </c>
      <c r="DS283" s="11" t="s">
        <v>74</v>
      </c>
      <c r="DT283" s="144" t="s">
        <v>282</v>
      </c>
    </row>
    <row r="284" spans="2:138" s="12" customFormat="1" x14ac:dyDescent="0.2">
      <c r="B284" s="149"/>
      <c r="D284" s="138" t="s">
        <v>301</v>
      </c>
      <c r="E284" s="150" t="s">
        <v>1</v>
      </c>
      <c r="F284" s="151" t="s">
        <v>830</v>
      </c>
      <c r="H284" s="152">
        <v>0.67500000000000004</v>
      </c>
      <c r="I284" s="153"/>
      <c r="L284" s="149"/>
      <c r="N284" s="217"/>
      <c r="O284" s="218"/>
      <c r="Q284" s="231"/>
      <c r="CH284" s="154"/>
      <c r="CO284" s="155"/>
      <c r="DO284" s="150" t="s">
        <v>301</v>
      </c>
      <c r="DP284" s="150" t="s">
        <v>83</v>
      </c>
      <c r="DQ284" s="12" t="s">
        <v>83</v>
      </c>
      <c r="DR284" s="12" t="s">
        <v>32</v>
      </c>
      <c r="DS284" s="12" t="s">
        <v>74</v>
      </c>
      <c r="DT284" s="150" t="s">
        <v>282</v>
      </c>
    </row>
    <row r="285" spans="2:138" s="11" customFormat="1" x14ac:dyDescent="0.2">
      <c r="B285" s="143"/>
      <c r="D285" s="138" t="s">
        <v>301</v>
      </c>
      <c r="E285" s="144" t="s">
        <v>1</v>
      </c>
      <c r="F285" s="145" t="s">
        <v>916</v>
      </c>
      <c r="H285" s="144" t="s">
        <v>1</v>
      </c>
      <c r="I285" s="146"/>
      <c r="L285" s="143"/>
      <c r="N285" s="215"/>
      <c r="O285" s="216"/>
      <c r="Q285" s="230"/>
      <c r="CH285" s="147"/>
      <c r="CO285" s="148"/>
      <c r="DO285" s="144" t="s">
        <v>301</v>
      </c>
      <c r="DP285" s="144" t="s">
        <v>83</v>
      </c>
      <c r="DQ285" s="11" t="s">
        <v>81</v>
      </c>
      <c r="DR285" s="11" t="s">
        <v>32</v>
      </c>
      <c r="DS285" s="11" t="s">
        <v>74</v>
      </c>
      <c r="DT285" s="144" t="s">
        <v>282</v>
      </c>
    </row>
    <row r="286" spans="2:138" s="12" customFormat="1" x14ac:dyDescent="0.2">
      <c r="B286" s="149"/>
      <c r="D286" s="138" t="s">
        <v>301</v>
      </c>
      <c r="E286" s="150" t="s">
        <v>1</v>
      </c>
      <c r="F286" s="151" t="s">
        <v>1643</v>
      </c>
      <c r="H286" s="152">
        <v>0.9</v>
      </c>
      <c r="I286" s="153"/>
      <c r="L286" s="149"/>
      <c r="N286" s="217"/>
      <c r="O286" s="218"/>
      <c r="Q286" s="231"/>
      <c r="CH286" s="154"/>
      <c r="CO286" s="155"/>
      <c r="DO286" s="150" t="s">
        <v>301</v>
      </c>
      <c r="DP286" s="150" t="s">
        <v>83</v>
      </c>
      <c r="DQ286" s="12" t="s">
        <v>83</v>
      </c>
      <c r="DR286" s="12" t="s">
        <v>32</v>
      </c>
      <c r="DS286" s="12" t="s">
        <v>74</v>
      </c>
      <c r="DT286" s="150" t="s">
        <v>282</v>
      </c>
    </row>
    <row r="287" spans="2:138" s="13" customFormat="1" x14ac:dyDescent="0.2">
      <c r="B287" s="156"/>
      <c r="D287" s="138" t="s">
        <v>301</v>
      </c>
      <c r="E287" s="157" t="s">
        <v>1</v>
      </c>
      <c r="F287" s="158" t="s">
        <v>305</v>
      </c>
      <c r="H287" s="159">
        <v>1.5750000000000002</v>
      </c>
      <c r="I287" s="160"/>
      <c r="L287" s="156"/>
      <c r="N287" s="219"/>
      <c r="O287" s="220"/>
      <c r="Q287" s="232"/>
      <c r="CH287" s="161"/>
      <c r="CO287" s="162"/>
      <c r="DO287" s="157" t="s">
        <v>301</v>
      </c>
      <c r="DP287" s="157" t="s">
        <v>83</v>
      </c>
      <c r="DQ287" s="13" t="s">
        <v>95</v>
      </c>
      <c r="DR287" s="13" t="s">
        <v>32</v>
      </c>
      <c r="DS287" s="13" t="s">
        <v>81</v>
      </c>
      <c r="DT287" s="157" t="s">
        <v>282</v>
      </c>
    </row>
    <row r="288" spans="2:138" s="10" customFormat="1" ht="22.9" customHeight="1" x14ac:dyDescent="0.2">
      <c r="B288" s="112"/>
      <c r="D288" s="113" t="s">
        <v>73</v>
      </c>
      <c r="E288" s="122" t="s">
        <v>312</v>
      </c>
      <c r="F288" s="122" t="s">
        <v>520</v>
      </c>
      <c r="I288" s="115"/>
      <c r="J288" s="123">
        <f>EF288</f>
        <v>445212.32</v>
      </c>
      <c r="L288" s="112"/>
      <c r="M288" s="270">
        <f>SUM(M289:M302)</f>
        <v>0</v>
      </c>
      <c r="N288" s="301"/>
      <c r="O288" s="302">
        <f t="shared" ref="O288:V288" si="5">SUM(O289:O302)</f>
        <v>32098.32</v>
      </c>
      <c r="P288" s="270"/>
      <c r="Q288" s="288">
        <f t="shared" si="5"/>
        <v>413114</v>
      </c>
      <c r="R288" s="270"/>
      <c r="S288" s="270"/>
      <c r="T288" s="270">
        <f t="shared" si="5"/>
        <v>0</v>
      </c>
      <c r="U288" s="270"/>
      <c r="V288" s="270">
        <f t="shared" si="5"/>
        <v>445212.32</v>
      </c>
      <c r="CH288" s="117"/>
      <c r="CK288" s="118">
        <f>SUM(CK289:CK306)</f>
        <v>0</v>
      </c>
      <c r="CM288" s="118">
        <f>SUM(CM289:CM306)</f>
        <v>0</v>
      </c>
      <c r="CO288" s="119">
        <f>SUM(CO289:CO306)</f>
        <v>0</v>
      </c>
      <c r="DM288" s="113" t="s">
        <v>81</v>
      </c>
      <c r="DO288" s="120" t="s">
        <v>73</v>
      </c>
      <c r="DP288" s="120" t="s">
        <v>81</v>
      </c>
      <c r="DT288" s="113" t="s">
        <v>282</v>
      </c>
      <c r="EF288" s="121">
        <f>SUM(EF289:EF306)</f>
        <v>445212.32</v>
      </c>
    </row>
    <row r="289" spans="2:138" s="1" customFormat="1" ht="24.2" customHeight="1" x14ac:dyDescent="0.2">
      <c r="B289" s="124"/>
      <c r="C289" s="125" t="s">
        <v>489</v>
      </c>
      <c r="D289" s="125" t="s">
        <v>284</v>
      </c>
      <c r="E289" s="126" t="s">
        <v>522</v>
      </c>
      <c r="F289" s="127" t="s">
        <v>523</v>
      </c>
      <c r="G289" s="128" t="s">
        <v>287</v>
      </c>
      <c r="H289" s="129">
        <v>202.61</v>
      </c>
      <c r="I289" s="130">
        <v>130.95617506780872</v>
      </c>
      <c r="J289" s="131">
        <f>ROUND(I289*H289,2)</f>
        <v>26533.03</v>
      </c>
      <c r="K289" s="127" t="s">
        <v>293</v>
      </c>
      <c r="L289" s="268">
        <f>S289</f>
        <v>0</v>
      </c>
      <c r="M289" s="272">
        <f>ROUND(L289*I289,2)</f>
        <v>0</v>
      </c>
      <c r="N289" s="243">
        <f>N126</f>
        <v>13.990500000000026</v>
      </c>
      <c r="O289" s="294">
        <f>ROUND(N289*I289,2)</f>
        <v>1832.14</v>
      </c>
      <c r="P289" s="273">
        <f>H289-L289-N289</f>
        <v>188.61949999999999</v>
      </c>
      <c r="Q289" s="287">
        <f>ROUND(P289*I289,2)</f>
        <v>24700.89</v>
      </c>
      <c r="R289" s="137"/>
      <c r="S289" s="269">
        <f>W289+Y289+AA289+AC289</f>
        <v>0</v>
      </c>
      <c r="T289" s="269">
        <f>ROUND(S289*I289,2)</f>
        <v>0</v>
      </c>
      <c r="U289" s="269">
        <f>H289-S289</f>
        <v>202.61</v>
      </c>
      <c r="V289" s="269">
        <f>ROUND(U289*I289,2)</f>
        <v>26533.03</v>
      </c>
      <c r="W289" s="269"/>
      <c r="X289" s="269"/>
      <c r="Y289" s="269"/>
      <c r="Z289" s="269"/>
      <c r="AA289" s="269"/>
      <c r="AB289" s="269"/>
      <c r="AC289" s="269"/>
      <c r="AD289" s="269"/>
      <c r="CH289" s="132" t="s">
        <v>1</v>
      </c>
      <c r="CI289" s="133" t="s">
        <v>40</v>
      </c>
      <c r="CK289" s="134">
        <f>CJ289*H289</f>
        <v>0</v>
      </c>
      <c r="CL289" s="134">
        <v>0</v>
      </c>
      <c r="CM289" s="134">
        <f>CL289*H289</f>
        <v>0</v>
      </c>
      <c r="CN289" s="134">
        <v>0</v>
      </c>
      <c r="CO289" s="135">
        <f>CN289*H289</f>
        <v>0</v>
      </c>
      <c r="DM289" s="136" t="s">
        <v>95</v>
      </c>
      <c r="DO289" s="136" t="s">
        <v>284</v>
      </c>
      <c r="DP289" s="136" t="s">
        <v>83</v>
      </c>
      <c r="DT289" s="16" t="s">
        <v>282</v>
      </c>
      <c r="DZ289" s="137">
        <f>IF(CI289="základní",J289,0)</f>
        <v>26533.03</v>
      </c>
      <c r="EA289" s="137">
        <f>IF(CI289="snížená",J289,0)</f>
        <v>0</v>
      </c>
      <c r="EB289" s="137">
        <f>IF(CI289="zákl. přenesená",J289,0)</f>
        <v>0</v>
      </c>
      <c r="EC289" s="137">
        <f>IF(CI289="sníž. přenesená",J289,0)</f>
        <v>0</v>
      </c>
      <c r="ED289" s="137">
        <f>IF(CI289="nulová",J289,0)</f>
        <v>0</v>
      </c>
      <c r="EE289" s="16" t="s">
        <v>81</v>
      </c>
      <c r="EF289" s="137">
        <f>ROUND(I289*H289,2)</f>
        <v>26533.03</v>
      </c>
      <c r="EG289" s="16" t="s">
        <v>95</v>
      </c>
      <c r="EH289" s="136" t="s">
        <v>524</v>
      </c>
    </row>
    <row r="290" spans="2:138" s="1" customFormat="1" ht="19.5" x14ac:dyDescent="0.2">
      <c r="B290" s="31"/>
      <c r="D290" s="138" t="s">
        <v>289</v>
      </c>
      <c r="F290" s="139" t="s">
        <v>525</v>
      </c>
      <c r="I290" s="140"/>
      <c r="L290" s="31"/>
      <c r="N290" s="213"/>
      <c r="O290" s="214"/>
      <c r="Q290" s="229"/>
      <c r="CH290" s="141"/>
      <c r="CO290" s="50"/>
      <c r="DO290" s="16" t="s">
        <v>289</v>
      </c>
      <c r="DP290" s="16" t="s">
        <v>83</v>
      </c>
    </row>
    <row r="291" spans="2:138" s="1" customFormat="1" ht="14.45" customHeight="1" x14ac:dyDescent="0.2">
      <c r="B291" s="124"/>
      <c r="C291" s="125" t="s">
        <v>493</v>
      </c>
      <c r="D291" s="125" t="s">
        <v>284</v>
      </c>
      <c r="E291" s="126" t="s">
        <v>527</v>
      </c>
      <c r="F291" s="127" t="s">
        <v>528</v>
      </c>
      <c r="G291" s="128" t="s">
        <v>287</v>
      </c>
      <c r="H291" s="129">
        <v>202.61</v>
      </c>
      <c r="I291" s="130">
        <v>200.20823792465458</v>
      </c>
      <c r="J291" s="131">
        <f>ROUND(I291*H291,2)</f>
        <v>40564.19</v>
      </c>
      <c r="K291" s="127" t="s">
        <v>293</v>
      </c>
      <c r="L291" s="268">
        <f>S291</f>
        <v>0</v>
      </c>
      <c r="M291" s="272">
        <f>ROUND(L291*I291,2)</f>
        <v>0</v>
      </c>
      <c r="N291" s="243">
        <f>N289</f>
        <v>13.990500000000026</v>
      </c>
      <c r="O291" s="294">
        <f>ROUND(N291*I291,2)</f>
        <v>2801.01</v>
      </c>
      <c r="P291" s="273">
        <f>H291-L291-N291</f>
        <v>188.61949999999999</v>
      </c>
      <c r="Q291" s="287">
        <f>ROUND(P291*I291,2)</f>
        <v>37763.18</v>
      </c>
      <c r="R291" s="137"/>
      <c r="S291" s="269">
        <f>W291+Y291+AA291+AC291</f>
        <v>0</v>
      </c>
      <c r="T291" s="269">
        <f>ROUND(S291*I291,2)</f>
        <v>0</v>
      </c>
      <c r="U291" s="269">
        <f>H291-S291</f>
        <v>202.61</v>
      </c>
      <c r="V291" s="269">
        <f>ROUND(U291*I291,2)</f>
        <v>40564.19</v>
      </c>
      <c r="W291" s="269"/>
      <c r="X291" s="269"/>
      <c r="Y291" s="269"/>
      <c r="Z291" s="269"/>
      <c r="AA291" s="269"/>
      <c r="AB291" s="269"/>
      <c r="AC291" s="269"/>
      <c r="AD291" s="269"/>
      <c r="CH291" s="132" t="s">
        <v>1</v>
      </c>
      <c r="CI291" s="133" t="s">
        <v>40</v>
      </c>
      <c r="CK291" s="134">
        <f>CJ291*H291</f>
        <v>0</v>
      </c>
      <c r="CL291" s="134">
        <v>0</v>
      </c>
      <c r="CM291" s="134">
        <f>CL291*H291</f>
        <v>0</v>
      </c>
      <c r="CN291" s="134">
        <v>0</v>
      </c>
      <c r="CO291" s="135">
        <f>CN291*H291</f>
        <v>0</v>
      </c>
      <c r="DM291" s="136" t="s">
        <v>95</v>
      </c>
      <c r="DO291" s="136" t="s">
        <v>284</v>
      </c>
      <c r="DP291" s="136" t="s">
        <v>83</v>
      </c>
      <c r="DT291" s="16" t="s">
        <v>282</v>
      </c>
      <c r="DZ291" s="137">
        <f>IF(CI291="základní",J291,0)</f>
        <v>40564.19</v>
      </c>
      <c r="EA291" s="137">
        <f>IF(CI291="snížená",J291,0)</f>
        <v>0</v>
      </c>
      <c r="EB291" s="137">
        <f>IF(CI291="zákl. přenesená",J291,0)</f>
        <v>0</v>
      </c>
      <c r="EC291" s="137">
        <f>IF(CI291="sníž. přenesená",J291,0)</f>
        <v>0</v>
      </c>
      <c r="ED291" s="137">
        <f>IF(CI291="nulová",J291,0)</f>
        <v>0</v>
      </c>
      <c r="EE291" s="16" t="s">
        <v>81</v>
      </c>
      <c r="EF291" s="137">
        <f>ROUND(I291*H291,2)</f>
        <v>40564.19</v>
      </c>
      <c r="EG291" s="16" t="s">
        <v>95</v>
      </c>
      <c r="EH291" s="136" t="s">
        <v>529</v>
      </c>
    </row>
    <row r="292" spans="2:138" s="1" customFormat="1" ht="19.5" x14ac:dyDescent="0.2">
      <c r="B292" s="31"/>
      <c r="D292" s="138" t="s">
        <v>289</v>
      </c>
      <c r="F292" s="139" t="s">
        <v>530</v>
      </c>
      <c r="I292" s="140"/>
      <c r="L292" s="31"/>
      <c r="N292" s="213"/>
      <c r="O292" s="214"/>
      <c r="Q292" s="229"/>
      <c r="CH292" s="141"/>
      <c r="CO292" s="50"/>
      <c r="DO292" s="16" t="s">
        <v>289</v>
      </c>
      <c r="DP292" s="16" t="s">
        <v>83</v>
      </c>
    </row>
    <row r="293" spans="2:138" s="1" customFormat="1" ht="24.2" customHeight="1" x14ac:dyDescent="0.2">
      <c r="B293" s="124"/>
      <c r="C293" s="125" t="s">
        <v>497</v>
      </c>
      <c r="D293" s="125" t="s">
        <v>284</v>
      </c>
      <c r="E293" s="126" t="s">
        <v>532</v>
      </c>
      <c r="F293" s="127" t="s">
        <v>533</v>
      </c>
      <c r="G293" s="128" t="s">
        <v>287</v>
      </c>
      <c r="H293" s="129">
        <v>202.61</v>
      </c>
      <c r="I293" s="130">
        <v>40.878739778868102</v>
      </c>
      <c r="J293" s="131">
        <f>ROUND(I293*H293,2)</f>
        <v>8282.44</v>
      </c>
      <c r="K293" s="127" t="s">
        <v>293</v>
      </c>
      <c r="L293" s="268">
        <f>S293</f>
        <v>0</v>
      </c>
      <c r="M293" s="272">
        <f>ROUND(L293*I293,2)</f>
        <v>0</v>
      </c>
      <c r="N293" s="243">
        <f>N291</f>
        <v>13.990500000000026</v>
      </c>
      <c r="O293" s="294">
        <f>ROUND(N293*I293,2)</f>
        <v>571.91</v>
      </c>
      <c r="P293" s="273">
        <f>H293-L293-N293</f>
        <v>188.61949999999999</v>
      </c>
      <c r="Q293" s="287">
        <f>ROUND(P293*I293,2)</f>
        <v>7710.53</v>
      </c>
      <c r="R293" s="137"/>
      <c r="S293" s="269">
        <f>W293+Y293+AA293+AC293</f>
        <v>0</v>
      </c>
      <c r="T293" s="269">
        <f>ROUND(S293*I293,2)</f>
        <v>0</v>
      </c>
      <c r="U293" s="269">
        <f>H293-S293</f>
        <v>202.61</v>
      </c>
      <c r="V293" s="269">
        <f>ROUND(U293*I293,2)</f>
        <v>8282.44</v>
      </c>
      <c r="W293" s="269"/>
      <c r="X293" s="269"/>
      <c r="Y293" s="269"/>
      <c r="Z293" s="269"/>
      <c r="AA293" s="269"/>
      <c r="AB293" s="269"/>
      <c r="AC293" s="269"/>
      <c r="AD293" s="269"/>
      <c r="CH293" s="132" t="s">
        <v>1</v>
      </c>
      <c r="CI293" s="133" t="s">
        <v>40</v>
      </c>
      <c r="CK293" s="134">
        <f>CJ293*H293</f>
        <v>0</v>
      </c>
      <c r="CL293" s="134">
        <v>0</v>
      </c>
      <c r="CM293" s="134">
        <f>CL293*H293</f>
        <v>0</v>
      </c>
      <c r="CN293" s="134">
        <v>0</v>
      </c>
      <c r="CO293" s="135">
        <f>CN293*H293</f>
        <v>0</v>
      </c>
      <c r="DM293" s="136" t="s">
        <v>95</v>
      </c>
      <c r="DO293" s="136" t="s">
        <v>284</v>
      </c>
      <c r="DP293" s="136" t="s">
        <v>83</v>
      </c>
      <c r="DT293" s="16" t="s">
        <v>282</v>
      </c>
      <c r="DZ293" s="137">
        <f>IF(CI293="základní",J293,0)</f>
        <v>8282.44</v>
      </c>
      <c r="EA293" s="137">
        <f>IF(CI293="snížená",J293,0)</f>
        <v>0</v>
      </c>
      <c r="EB293" s="137">
        <f>IF(CI293="zákl. přenesená",J293,0)</f>
        <v>0</v>
      </c>
      <c r="EC293" s="137">
        <f>IF(CI293="sníž. přenesená",J293,0)</f>
        <v>0</v>
      </c>
      <c r="ED293" s="137">
        <f>IF(CI293="nulová",J293,0)</f>
        <v>0</v>
      </c>
      <c r="EE293" s="16" t="s">
        <v>81</v>
      </c>
      <c r="EF293" s="137">
        <f>ROUND(I293*H293,2)</f>
        <v>8282.44</v>
      </c>
      <c r="EG293" s="16" t="s">
        <v>95</v>
      </c>
      <c r="EH293" s="136" t="s">
        <v>534</v>
      </c>
    </row>
    <row r="294" spans="2:138" s="1" customFormat="1" ht="19.5" x14ac:dyDescent="0.2">
      <c r="B294" s="31"/>
      <c r="D294" s="138" t="s">
        <v>289</v>
      </c>
      <c r="F294" s="139" t="s">
        <v>535</v>
      </c>
      <c r="I294" s="140"/>
      <c r="L294" s="31"/>
      <c r="N294" s="213"/>
      <c r="O294" s="214"/>
      <c r="Q294" s="229"/>
      <c r="CH294" s="141"/>
      <c r="CO294" s="50"/>
      <c r="DO294" s="16" t="s">
        <v>289</v>
      </c>
      <c r="DP294" s="16" t="s">
        <v>83</v>
      </c>
    </row>
    <row r="295" spans="2:138" s="1" customFormat="1" ht="24.2" customHeight="1" x14ac:dyDescent="0.2">
      <c r="B295" s="124"/>
      <c r="C295" s="125" t="s">
        <v>501</v>
      </c>
      <c r="D295" s="125" t="s">
        <v>284</v>
      </c>
      <c r="E295" s="126" t="s">
        <v>537</v>
      </c>
      <c r="F295" s="127" t="s">
        <v>538</v>
      </c>
      <c r="G295" s="128" t="s">
        <v>287</v>
      </c>
      <c r="H295" s="129">
        <v>202.61</v>
      </c>
      <c r="I295" s="130">
        <v>362.67856108310502</v>
      </c>
      <c r="J295" s="131">
        <f>ROUND(I295*H295,2)</f>
        <v>73482.3</v>
      </c>
      <c r="K295" s="127" t="s">
        <v>293</v>
      </c>
      <c r="L295" s="268">
        <f>S295</f>
        <v>0</v>
      </c>
      <c r="M295" s="272">
        <f>ROUND(L295*I295,2)</f>
        <v>0</v>
      </c>
      <c r="N295" s="243">
        <f>N293</f>
        <v>13.990500000000026</v>
      </c>
      <c r="O295" s="294">
        <f>ROUND(N295*I295,2)</f>
        <v>5074.05</v>
      </c>
      <c r="P295" s="273">
        <f>H295-L295-N295</f>
        <v>188.61949999999999</v>
      </c>
      <c r="Q295" s="287">
        <f>ROUND(P295*I295,2)</f>
        <v>68408.25</v>
      </c>
      <c r="R295" s="137"/>
      <c r="S295" s="269">
        <f>W295+Y295+AA295+AC295</f>
        <v>0</v>
      </c>
      <c r="T295" s="269">
        <f>ROUND(S295*I295,2)</f>
        <v>0</v>
      </c>
      <c r="U295" s="269">
        <f>H295-S295</f>
        <v>202.61</v>
      </c>
      <c r="V295" s="269">
        <f>ROUND(U295*I295,2)</f>
        <v>73482.3</v>
      </c>
      <c r="W295" s="269"/>
      <c r="X295" s="269"/>
      <c r="Y295" s="269"/>
      <c r="Z295" s="269"/>
      <c r="AA295" s="269"/>
      <c r="AB295" s="269"/>
      <c r="AC295" s="269"/>
      <c r="AD295" s="269"/>
      <c r="CH295" s="132" t="s">
        <v>1</v>
      </c>
      <c r="CI295" s="133" t="s">
        <v>40</v>
      </c>
      <c r="CK295" s="134">
        <f>CJ295*H295</f>
        <v>0</v>
      </c>
      <c r="CL295" s="134">
        <v>0</v>
      </c>
      <c r="CM295" s="134">
        <f>CL295*H295</f>
        <v>0</v>
      </c>
      <c r="CN295" s="134">
        <v>0</v>
      </c>
      <c r="CO295" s="135">
        <f>CN295*H295</f>
        <v>0</v>
      </c>
      <c r="DM295" s="136" t="s">
        <v>95</v>
      </c>
      <c r="DO295" s="136" t="s">
        <v>284</v>
      </c>
      <c r="DP295" s="136" t="s">
        <v>83</v>
      </c>
      <c r="DT295" s="16" t="s">
        <v>282</v>
      </c>
      <c r="DZ295" s="137">
        <f>IF(CI295="základní",J295,0)</f>
        <v>73482.3</v>
      </c>
      <c r="EA295" s="137">
        <f>IF(CI295="snížená",J295,0)</f>
        <v>0</v>
      </c>
      <c r="EB295" s="137">
        <f>IF(CI295="zákl. přenesená",J295,0)</f>
        <v>0</v>
      </c>
      <c r="EC295" s="137">
        <f>IF(CI295="sníž. přenesená",J295,0)</f>
        <v>0</v>
      </c>
      <c r="ED295" s="137">
        <f>IF(CI295="nulová",J295,0)</f>
        <v>0</v>
      </c>
      <c r="EE295" s="16" t="s">
        <v>81</v>
      </c>
      <c r="EF295" s="137">
        <f>ROUND(I295*H295,2)</f>
        <v>73482.3</v>
      </c>
      <c r="EG295" s="16" t="s">
        <v>95</v>
      </c>
      <c r="EH295" s="136" t="s">
        <v>539</v>
      </c>
    </row>
    <row r="296" spans="2:138" s="1" customFormat="1" ht="29.25" x14ac:dyDescent="0.2">
      <c r="B296" s="31"/>
      <c r="D296" s="138" t="s">
        <v>289</v>
      </c>
      <c r="F296" s="139" t="s">
        <v>540</v>
      </c>
      <c r="I296" s="140"/>
      <c r="L296" s="31"/>
      <c r="N296" s="213"/>
      <c r="O296" s="214"/>
      <c r="Q296" s="229"/>
      <c r="CH296" s="141"/>
      <c r="CO296" s="50"/>
      <c r="DO296" s="16" t="s">
        <v>289</v>
      </c>
      <c r="DP296" s="16" t="s">
        <v>83</v>
      </c>
    </row>
    <row r="297" spans="2:138" s="1" customFormat="1" ht="29.25" x14ac:dyDescent="0.2">
      <c r="B297" s="31"/>
      <c r="D297" s="138" t="s">
        <v>299</v>
      </c>
      <c r="F297" s="142" t="s">
        <v>1611</v>
      </c>
      <c r="I297" s="140"/>
      <c r="L297" s="31"/>
      <c r="N297" s="213"/>
      <c r="O297" s="214"/>
      <c r="Q297" s="229"/>
      <c r="CH297" s="141"/>
      <c r="CO297" s="50"/>
      <c r="DO297" s="16" t="s">
        <v>299</v>
      </c>
      <c r="DP297" s="16" t="s">
        <v>83</v>
      </c>
    </row>
    <row r="298" spans="2:138" s="11" customFormat="1" x14ac:dyDescent="0.2">
      <c r="B298" s="143"/>
      <c r="D298" s="138" t="s">
        <v>301</v>
      </c>
      <c r="E298" s="144" t="s">
        <v>1</v>
      </c>
      <c r="F298" s="145" t="s">
        <v>541</v>
      </c>
      <c r="H298" s="144" t="s">
        <v>1</v>
      </c>
      <c r="I298" s="146"/>
      <c r="L298" s="143"/>
      <c r="N298" s="215"/>
      <c r="O298" s="216"/>
      <c r="Q298" s="230"/>
      <c r="CH298" s="147"/>
      <c r="CO298" s="148"/>
      <c r="DO298" s="144" t="s">
        <v>301</v>
      </c>
      <c r="DP298" s="144" t="s">
        <v>83</v>
      </c>
      <c r="DQ298" s="11" t="s">
        <v>81</v>
      </c>
      <c r="DR298" s="11" t="s">
        <v>32</v>
      </c>
      <c r="DS298" s="11" t="s">
        <v>74</v>
      </c>
      <c r="DT298" s="144" t="s">
        <v>282</v>
      </c>
    </row>
    <row r="299" spans="2:138" s="12" customFormat="1" x14ac:dyDescent="0.2">
      <c r="B299" s="149"/>
      <c r="D299" s="138" t="s">
        <v>301</v>
      </c>
      <c r="E299" s="150" t="s">
        <v>1</v>
      </c>
      <c r="F299" s="151" t="s">
        <v>1644</v>
      </c>
      <c r="H299" s="152">
        <v>202.61</v>
      </c>
      <c r="I299" s="153"/>
      <c r="L299" s="149"/>
      <c r="N299" s="217"/>
      <c r="O299" s="218"/>
      <c r="Q299" s="231"/>
      <c r="CH299" s="154"/>
      <c r="CO299" s="155"/>
      <c r="DO299" s="150" t="s">
        <v>301</v>
      </c>
      <c r="DP299" s="150" t="s">
        <v>83</v>
      </c>
      <c r="DQ299" s="12" t="s">
        <v>83</v>
      </c>
      <c r="DR299" s="12" t="s">
        <v>32</v>
      </c>
      <c r="DS299" s="12" t="s">
        <v>81</v>
      </c>
      <c r="DT299" s="150" t="s">
        <v>282</v>
      </c>
    </row>
    <row r="300" spans="2:138" s="1" customFormat="1" ht="14.45" customHeight="1" x14ac:dyDescent="0.2">
      <c r="B300" s="124"/>
      <c r="C300" s="125" t="s">
        <v>505</v>
      </c>
      <c r="D300" s="125" t="s">
        <v>284</v>
      </c>
      <c r="E300" s="126" t="s">
        <v>544</v>
      </c>
      <c r="F300" s="127" t="s">
        <v>545</v>
      </c>
      <c r="G300" s="128" t="s">
        <v>287</v>
      </c>
      <c r="H300" s="129">
        <v>728</v>
      </c>
      <c r="I300" s="130">
        <v>18.105699236185</v>
      </c>
      <c r="J300" s="131">
        <f>ROUND(I300*H300,2)</f>
        <v>13180.95</v>
      </c>
      <c r="K300" s="127" t="s">
        <v>293</v>
      </c>
      <c r="L300" s="268">
        <f>S300</f>
        <v>0</v>
      </c>
      <c r="M300" s="272">
        <f>ROUND(L300*I300,2)</f>
        <v>0</v>
      </c>
      <c r="N300" s="243">
        <f>N140</f>
        <v>53.600000000000023</v>
      </c>
      <c r="O300" s="294">
        <f>ROUND(N300*I300,2)</f>
        <v>970.47</v>
      </c>
      <c r="P300" s="273">
        <f>H300-L300-N300</f>
        <v>674.4</v>
      </c>
      <c r="Q300" s="287">
        <f>ROUND(P300*I300,2)</f>
        <v>12210.48</v>
      </c>
      <c r="R300" s="137"/>
      <c r="S300" s="269">
        <f>W300+Y300+AA300+AC300</f>
        <v>0</v>
      </c>
      <c r="T300" s="269">
        <f>ROUND(S300*I300,2)</f>
        <v>0</v>
      </c>
      <c r="U300" s="269">
        <f>H300-S300</f>
        <v>728</v>
      </c>
      <c r="V300" s="269">
        <f>ROUND(U300*I300,2)</f>
        <v>13180.95</v>
      </c>
      <c r="W300" s="269"/>
      <c r="X300" s="269"/>
      <c r="Y300" s="269"/>
      <c r="Z300" s="269"/>
      <c r="AA300" s="269"/>
      <c r="AB300" s="269"/>
      <c r="AC300" s="269"/>
      <c r="AD300" s="269"/>
      <c r="CH300" s="132" t="s">
        <v>1</v>
      </c>
      <c r="CI300" s="133" t="s">
        <v>40</v>
      </c>
      <c r="CK300" s="134">
        <f>CJ300*H300</f>
        <v>0</v>
      </c>
      <c r="CL300" s="134">
        <v>0</v>
      </c>
      <c r="CM300" s="134">
        <f>CL300*H300</f>
        <v>0</v>
      </c>
      <c r="CN300" s="134">
        <v>0</v>
      </c>
      <c r="CO300" s="135">
        <f>CN300*H300</f>
        <v>0</v>
      </c>
      <c r="DM300" s="136" t="s">
        <v>95</v>
      </c>
      <c r="DO300" s="136" t="s">
        <v>284</v>
      </c>
      <c r="DP300" s="136" t="s">
        <v>83</v>
      </c>
      <c r="DT300" s="16" t="s">
        <v>282</v>
      </c>
      <c r="DZ300" s="137">
        <f>IF(CI300="základní",J300,0)</f>
        <v>13180.95</v>
      </c>
      <c r="EA300" s="137">
        <f>IF(CI300="snížená",J300,0)</f>
        <v>0</v>
      </c>
      <c r="EB300" s="137">
        <f>IF(CI300="zákl. přenesená",J300,0)</f>
        <v>0</v>
      </c>
      <c r="EC300" s="137">
        <f>IF(CI300="sníž. přenesená",J300,0)</f>
        <v>0</v>
      </c>
      <c r="ED300" s="137">
        <f>IF(CI300="nulová",J300,0)</f>
        <v>0</v>
      </c>
      <c r="EE300" s="16" t="s">
        <v>81</v>
      </c>
      <c r="EF300" s="137">
        <f>ROUND(I300*H300,2)</f>
        <v>13180.95</v>
      </c>
      <c r="EG300" s="16" t="s">
        <v>95</v>
      </c>
      <c r="EH300" s="136" t="s">
        <v>546</v>
      </c>
    </row>
    <row r="301" spans="2:138" s="1" customFormat="1" ht="19.5" x14ac:dyDescent="0.2">
      <c r="B301" s="31"/>
      <c r="D301" s="138" t="s">
        <v>289</v>
      </c>
      <c r="F301" s="139" t="s">
        <v>547</v>
      </c>
      <c r="I301" s="140"/>
      <c r="L301" s="31"/>
      <c r="N301" s="213"/>
      <c r="O301" s="214"/>
      <c r="Q301" s="229"/>
      <c r="CH301" s="141"/>
      <c r="CO301" s="50"/>
      <c r="DO301" s="16" t="s">
        <v>289</v>
      </c>
      <c r="DP301" s="16" t="s">
        <v>83</v>
      </c>
    </row>
    <row r="302" spans="2:138" s="1" customFormat="1" ht="24.2" customHeight="1" x14ac:dyDescent="0.2">
      <c r="B302" s="124"/>
      <c r="C302" s="125" t="s">
        <v>510</v>
      </c>
      <c r="D302" s="125" t="s">
        <v>284</v>
      </c>
      <c r="E302" s="126" t="s">
        <v>549</v>
      </c>
      <c r="F302" s="127" t="s">
        <v>550</v>
      </c>
      <c r="G302" s="128" t="s">
        <v>287</v>
      </c>
      <c r="H302" s="129">
        <v>728</v>
      </c>
      <c r="I302" s="130">
        <v>388.96896513366403</v>
      </c>
      <c r="J302" s="131">
        <f>ROUND(I302*H302,2)</f>
        <v>283169.40999999997</v>
      </c>
      <c r="K302" s="127" t="s">
        <v>293</v>
      </c>
      <c r="L302" s="268">
        <f>S302</f>
        <v>0</v>
      </c>
      <c r="M302" s="272">
        <f>ROUND(L302*I302,2)</f>
        <v>0</v>
      </c>
      <c r="N302" s="243">
        <f>N300</f>
        <v>53.600000000000023</v>
      </c>
      <c r="O302" s="294">
        <f>ROUND(N302*I302,2)</f>
        <v>20848.740000000002</v>
      </c>
      <c r="P302" s="273">
        <f>H302-L302-N302</f>
        <v>674.4</v>
      </c>
      <c r="Q302" s="287">
        <f>ROUND(P302*I302,2)</f>
        <v>262320.67</v>
      </c>
      <c r="R302" s="137"/>
      <c r="S302" s="269">
        <f>W302+Y302+AA302+AC302</f>
        <v>0</v>
      </c>
      <c r="T302" s="269">
        <f>ROUND(S302*I302,2)</f>
        <v>0</v>
      </c>
      <c r="U302" s="269">
        <f>H302-S302</f>
        <v>728</v>
      </c>
      <c r="V302" s="269">
        <f>ROUND(U302*I302,2)</f>
        <v>283169.40999999997</v>
      </c>
      <c r="W302" s="269"/>
      <c r="X302" s="269"/>
      <c r="Y302" s="269"/>
      <c r="Z302" s="269"/>
      <c r="AA302" s="269"/>
      <c r="AB302" s="269"/>
      <c r="AC302" s="269"/>
      <c r="AD302" s="269"/>
      <c r="CH302" s="132" t="s">
        <v>1</v>
      </c>
      <c r="CI302" s="133" t="s">
        <v>40</v>
      </c>
      <c r="CK302" s="134">
        <f>CJ302*H302</f>
        <v>0</v>
      </c>
      <c r="CL302" s="134">
        <v>0</v>
      </c>
      <c r="CM302" s="134">
        <f>CL302*H302</f>
        <v>0</v>
      </c>
      <c r="CN302" s="134">
        <v>0</v>
      </c>
      <c r="CO302" s="135">
        <f>CN302*H302</f>
        <v>0</v>
      </c>
      <c r="DM302" s="136" t="s">
        <v>95</v>
      </c>
      <c r="DO302" s="136" t="s">
        <v>284</v>
      </c>
      <c r="DP302" s="136" t="s">
        <v>83</v>
      </c>
      <c r="DT302" s="16" t="s">
        <v>282</v>
      </c>
      <c r="DZ302" s="137">
        <f>IF(CI302="základní",J302,0)</f>
        <v>283169.40999999997</v>
      </c>
      <c r="EA302" s="137">
        <f>IF(CI302="snížená",J302,0)</f>
        <v>0</v>
      </c>
      <c r="EB302" s="137">
        <f>IF(CI302="zákl. přenesená",J302,0)</f>
        <v>0</v>
      </c>
      <c r="EC302" s="137">
        <f>IF(CI302="sníž. přenesená",J302,0)</f>
        <v>0</v>
      </c>
      <c r="ED302" s="137">
        <f>IF(CI302="nulová",J302,0)</f>
        <v>0</v>
      </c>
      <c r="EE302" s="16" t="s">
        <v>81</v>
      </c>
      <c r="EF302" s="137">
        <f>ROUND(I302*H302,2)</f>
        <v>283169.40999999997</v>
      </c>
      <c r="EG302" s="16" t="s">
        <v>95</v>
      </c>
      <c r="EH302" s="136" t="s">
        <v>551</v>
      </c>
    </row>
    <row r="303" spans="2:138" s="1" customFormat="1" ht="29.25" x14ac:dyDescent="0.2">
      <c r="B303" s="31"/>
      <c r="D303" s="138" t="s">
        <v>289</v>
      </c>
      <c r="F303" s="139" t="s">
        <v>552</v>
      </c>
      <c r="I303" s="140"/>
      <c r="L303" s="31"/>
      <c r="N303" s="213"/>
      <c r="O303" s="214"/>
      <c r="Q303" s="229"/>
      <c r="CH303" s="141"/>
      <c r="CO303" s="50"/>
      <c r="DO303" s="16" t="s">
        <v>289</v>
      </c>
      <c r="DP303" s="16" t="s">
        <v>83</v>
      </c>
    </row>
    <row r="304" spans="2:138" s="1" customFormat="1" ht="29.25" x14ac:dyDescent="0.2">
      <c r="B304" s="31"/>
      <c r="D304" s="138" t="s">
        <v>299</v>
      </c>
      <c r="F304" s="142" t="s">
        <v>1611</v>
      </c>
      <c r="I304" s="140"/>
      <c r="L304" s="31"/>
      <c r="N304" s="213"/>
      <c r="O304" s="214"/>
      <c r="Q304" s="229"/>
      <c r="CH304" s="141"/>
      <c r="CO304" s="50"/>
      <c r="DO304" s="16" t="s">
        <v>299</v>
      </c>
      <c r="DP304" s="16" t="s">
        <v>83</v>
      </c>
    </row>
    <row r="305" spans="2:138" s="11" customFormat="1" x14ac:dyDescent="0.2">
      <c r="B305" s="143"/>
      <c r="D305" s="138" t="s">
        <v>301</v>
      </c>
      <c r="E305" s="144" t="s">
        <v>1</v>
      </c>
      <c r="F305" s="145" t="s">
        <v>553</v>
      </c>
      <c r="H305" s="144" t="s">
        <v>1</v>
      </c>
      <c r="I305" s="146"/>
      <c r="L305" s="143"/>
      <c r="N305" s="215"/>
      <c r="O305" s="216"/>
      <c r="Q305" s="230"/>
      <c r="CH305" s="147"/>
      <c r="CO305" s="148"/>
      <c r="DO305" s="144" t="s">
        <v>301</v>
      </c>
      <c r="DP305" s="144" t="s">
        <v>83</v>
      </c>
      <c r="DQ305" s="11" t="s">
        <v>81</v>
      </c>
      <c r="DR305" s="11" t="s">
        <v>32</v>
      </c>
      <c r="DS305" s="11" t="s">
        <v>74</v>
      </c>
      <c r="DT305" s="144" t="s">
        <v>282</v>
      </c>
    </row>
    <row r="306" spans="2:138" s="12" customFormat="1" x14ac:dyDescent="0.2">
      <c r="B306" s="149"/>
      <c r="D306" s="138" t="s">
        <v>301</v>
      </c>
      <c r="E306" s="150" t="s">
        <v>1</v>
      </c>
      <c r="F306" s="151" t="s">
        <v>1645</v>
      </c>
      <c r="H306" s="152">
        <v>728</v>
      </c>
      <c r="I306" s="153"/>
      <c r="L306" s="149"/>
      <c r="N306" s="217"/>
      <c r="O306" s="218"/>
      <c r="Q306" s="231"/>
      <c r="CH306" s="154"/>
      <c r="CO306" s="155"/>
      <c r="DO306" s="150" t="s">
        <v>301</v>
      </c>
      <c r="DP306" s="150" t="s">
        <v>83</v>
      </c>
      <c r="DQ306" s="12" t="s">
        <v>83</v>
      </c>
      <c r="DR306" s="12" t="s">
        <v>32</v>
      </c>
      <c r="DS306" s="12" t="s">
        <v>81</v>
      </c>
      <c r="DT306" s="150" t="s">
        <v>282</v>
      </c>
    </row>
    <row r="307" spans="2:138" s="10" customFormat="1" ht="22.9" customHeight="1" x14ac:dyDescent="0.2">
      <c r="B307" s="112"/>
      <c r="D307" s="113" t="s">
        <v>73</v>
      </c>
      <c r="E307" s="122" t="s">
        <v>328</v>
      </c>
      <c r="F307" s="122" t="s">
        <v>555</v>
      </c>
      <c r="I307" s="115"/>
      <c r="J307" s="123">
        <f>EF307</f>
        <v>378636.48000000004</v>
      </c>
      <c r="L307" s="112"/>
      <c r="M307" s="270">
        <f>SUM(M308:M398)</f>
        <v>0</v>
      </c>
      <c r="N307" s="301"/>
      <c r="O307" s="302">
        <f t="shared" ref="O307:V307" si="6">SUM(O308:O398)</f>
        <v>12415.800000000001</v>
      </c>
      <c r="P307" s="270"/>
      <c r="Q307" s="288">
        <f t="shared" si="6"/>
        <v>366220.65000000008</v>
      </c>
      <c r="R307" s="270"/>
      <c r="S307" s="270"/>
      <c r="T307" s="270">
        <f t="shared" si="6"/>
        <v>0</v>
      </c>
      <c r="U307" s="270"/>
      <c r="V307" s="270">
        <f t="shared" si="6"/>
        <v>378636.48000000004</v>
      </c>
      <c r="CH307" s="117"/>
      <c r="CK307" s="118">
        <f>SUM(CK308:CK399)</f>
        <v>0</v>
      </c>
      <c r="CM307" s="118">
        <f>SUM(CM308:CM399)</f>
        <v>11.779829999999999</v>
      </c>
      <c r="CO307" s="119">
        <f>SUM(CO308:CO399)</f>
        <v>0</v>
      </c>
      <c r="DM307" s="113" t="s">
        <v>81</v>
      </c>
      <c r="DO307" s="120" t="s">
        <v>73</v>
      </c>
      <c r="DP307" s="120" t="s">
        <v>81</v>
      </c>
      <c r="DT307" s="113" t="s">
        <v>282</v>
      </c>
      <c r="EF307" s="121">
        <f>SUM(EF308:EF399)</f>
        <v>378636.48000000004</v>
      </c>
    </row>
    <row r="308" spans="2:138" s="1" customFormat="1" ht="24.2" customHeight="1" x14ac:dyDescent="0.2">
      <c r="B308" s="124"/>
      <c r="C308" s="125" t="s">
        <v>514</v>
      </c>
      <c r="D308" s="125" t="s">
        <v>284</v>
      </c>
      <c r="E308" s="126" t="s">
        <v>770</v>
      </c>
      <c r="F308" s="127" t="s">
        <v>771</v>
      </c>
      <c r="G308" s="128" t="s">
        <v>344</v>
      </c>
      <c r="H308" s="129">
        <v>2</v>
      </c>
      <c r="I308" s="130">
        <v>729.66571088016701</v>
      </c>
      <c r="J308" s="131">
        <f>ROUND(I308*H308,2)</f>
        <v>1459.33</v>
      </c>
      <c r="K308" s="127" t="s">
        <v>293</v>
      </c>
      <c r="L308" s="268">
        <f>S308</f>
        <v>0</v>
      </c>
      <c r="M308" s="272">
        <f>ROUND(L308*I308,2)</f>
        <v>0</v>
      </c>
      <c r="N308" s="243">
        <f>N311</f>
        <v>1.5899999999999999</v>
      </c>
      <c r="O308" s="294">
        <f>ROUND(N308*I308,2)</f>
        <v>1160.17</v>
      </c>
      <c r="P308" s="273">
        <f>H308-L308-N308</f>
        <v>0.41000000000000014</v>
      </c>
      <c r="Q308" s="287">
        <f>ROUND(P308*I308,2)</f>
        <v>299.16000000000003</v>
      </c>
      <c r="R308" s="137"/>
      <c r="S308" s="269">
        <f>W308+Y308+AA308+AC308</f>
        <v>0</v>
      </c>
      <c r="T308" s="269">
        <f>ROUND(S308*I308,2)</f>
        <v>0</v>
      </c>
      <c r="U308" s="269">
        <f>H308-S308</f>
        <v>2</v>
      </c>
      <c r="V308" s="269">
        <f>ROUND(U308*I308,2)</f>
        <v>1459.33</v>
      </c>
      <c r="W308" s="269"/>
      <c r="X308" s="269"/>
      <c r="Y308" s="269"/>
      <c r="Z308" s="269"/>
      <c r="AA308" s="269"/>
      <c r="AB308" s="269"/>
      <c r="AC308" s="269"/>
      <c r="AD308" s="269"/>
      <c r="CH308" s="132" t="s">
        <v>1</v>
      </c>
      <c r="CI308" s="133" t="s">
        <v>40</v>
      </c>
      <c r="CK308" s="134">
        <f>CJ308*H308</f>
        <v>0</v>
      </c>
      <c r="CL308" s="134">
        <v>6.5599999999999999E-3</v>
      </c>
      <c r="CM308" s="134">
        <f>CL308*H308</f>
        <v>1.312E-2</v>
      </c>
      <c r="CN308" s="134">
        <v>0</v>
      </c>
      <c r="CO308" s="135">
        <f>CN308*H308</f>
        <v>0</v>
      </c>
      <c r="DM308" s="136" t="s">
        <v>95</v>
      </c>
      <c r="DO308" s="136" t="s">
        <v>284</v>
      </c>
      <c r="DP308" s="136" t="s">
        <v>83</v>
      </c>
      <c r="DT308" s="16" t="s">
        <v>282</v>
      </c>
      <c r="DZ308" s="137">
        <f>IF(CI308="základní",J308,0)</f>
        <v>1459.33</v>
      </c>
      <c r="EA308" s="137">
        <f>IF(CI308="snížená",J308,0)</f>
        <v>0</v>
      </c>
      <c r="EB308" s="137">
        <f>IF(CI308="zákl. přenesená",J308,0)</f>
        <v>0</v>
      </c>
      <c r="EC308" s="137">
        <f>IF(CI308="sníž. přenesená",J308,0)</f>
        <v>0</v>
      </c>
      <c r="ED308" s="137">
        <f>IF(CI308="nulová",J308,0)</f>
        <v>0</v>
      </c>
      <c r="EE308" s="16" t="s">
        <v>81</v>
      </c>
      <c r="EF308" s="137">
        <f>ROUND(I308*H308,2)</f>
        <v>1459.33</v>
      </c>
      <c r="EG308" s="16" t="s">
        <v>95</v>
      </c>
      <c r="EH308" s="136" t="s">
        <v>772</v>
      </c>
    </row>
    <row r="309" spans="2:138" s="1" customFormat="1" ht="29.25" x14ac:dyDescent="0.2">
      <c r="B309" s="31"/>
      <c r="D309" s="138" t="s">
        <v>289</v>
      </c>
      <c r="F309" s="139" t="s">
        <v>773</v>
      </c>
      <c r="I309" s="140"/>
      <c r="L309" s="31"/>
      <c r="N309" s="213"/>
      <c r="O309" s="214"/>
      <c r="Q309" s="229"/>
      <c r="CH309" s="141"/>
      <c r="CO309" s="50"/>
      <c r="DO309" s="16" t="s">
        <v>289</v>
      </c>
      <c r="DP309" s="16" t="s">
        <v>83</v>
      </c>
    </row>
    <row r="310" spans="2:138" s="1" customFormat="1" ht="29.25" x14ac:dyDescent="0.2">
      <c r="B310" s="31"/>
      <c r="D310" s="138" t="s">
        <v>299</v>
      </c>
      <c r="F310" s="142" t="s">
        <v>1611</v>
      </c>
      <c r="I310" s="140"/>
      <c r="L310" s="31"/>
      <c r="N310" s="213"/>
      <c r="O310" s="214"/>
      <c r="Q310" s="229"/>
      <c r="CH310" s="141"/>
      <c r="CO310" s="50"/>
      <c r="DO310" s="16" t="s">
        <v>299</v>
      </c>
      <c r="DP310" s="16" t="s">
        <v>83</v>
      </c>
    </row>
    <row r="311" spans="2:138" s="12" customFormat="1" x14ac:dyDescent="0.2">
      <c r="B311" s="149"/>
      <c r="D311" s="138" t="s">
        <v>301</v>
      </c>
      <c r="E311" s="150" t="s">
        <v>1</v>
      </c>
      <c r="F311" s="151" t="s">
        <v>83</v>
      </c>
      <c r="H311" s="152">
        <v>2</v>
      </c>
      <c r="I311" s="153"/>
      <c r="L311" s="149"/>
      <c r="N311" s="217">
        <f>3.59-2</f>
        <v>1.5899999999999999</v>
      </c>
      <c r="O311" s="359" t="s">
        <v>3528</v>
      </c>
      <c r="Q311" s="231"/>
      <c r="CH311" s="154"/>
      <c r="CO311" s="155"/>
      <c r="DO311" s="150" t="s">
        <v>301</v>
      </c>
      <c r="DP311" s="150" t="s">
        <v>83</v>
      </c>
      <c r="DQ311" s="12" t="s">
        <v>83</v>
      </c>
      <c r="DR311" s="12" t="s">
        <v>32</v>
      </c>
      <c r="DS311" s="12" t="s">
        <v>81</v>
      </c>
      <c r="DT311" s="150" t="s">
        <v>282</v>
      </c>
    </row>
    <row r="312" spans="2:138" s="1" customFormat="1" ht="24.2" customHeight="1" x14ac:dyDescent="0.2">
      <c r="B312" s="124"/>
      <c r="C312" s="125" t="s">
        <v>521</v>
      </c>
      <c r="D312" s="125" t="s">
        <v>284</v>
      </c>
      <c r="E312" s="126" t="s">
        <v>557</v>
      </c>
      <c r="F312" s="127" t="s">
        <v>558</v>
      </c>
      <c r="G312" s="128" t="s">
        <v>344</v>
      </c>
      <c r="H312" s="129">
        <v>180</v>
      </c>
      <c r="I312" s="130">
        <v>850.78954015145496</v>
      </c>
      <c r="J312" s="131">
        <f>ROUND(I312*H312,2)</f>
        <v>153142.12</v>
      </c>
      <c r="K312" s="127" t="s">
        <v>293</v>
      </c>
      <c r="L312" s="268">
        <f>S312</f>
        <v>0</v>
      </c>
      <c r="M312" s="272">
        <f>ROUND(L312*I312,2)</f>
        <v>0</v>
      </c>
      <c r="N312" s="243">
        <f>N315</f>
        <v>11.810000000000002</v>
      </c>
      <c r="O312" s="294">
        <f>ROUND(N312*I312,2)</f>
        <v>10047.82</v>
      </c>
      <c r="P312" s="273">
        <f>H312-L312-N312</f>
        <v>168.19</v>
      </c>
      <c r="Q312" s="287">
        <f>ROUND(P312*I312,2)</f>
        <v>143094.29</v>
      </c>
      <c r="R312" s="137"/>
      <c r="S312" s="269">
        <f>W312+Y312+AA312+AC312</f>
        <v>0</v>
      </c>
      <c r="T312" s="269">
        <f>ROUND(S312*I312,2)</f>
        <v>0</v>
      </c>
      <c r="U312" s="269">
        <f>H312-S312</f>
        <v>180</v>
      </c>
      <c r="V312" s="269">
        <f>ROUND(U312*I312,2)</f>
        <v>153142.12</v>
      </c>
      <c r="W312" s="269"/>
      <c r="X312" s="269"/>
      <c r="Y312" s="269"/>
      <c r="Z312" s="269"/>
      <c r="AA312" s="269"/>
      <c r="AB312" s="269"/>
      <c r="AC312" s="269"/>
      <c r="AD312" s="269"/>
      <c r="CH312" s="132" t="s">
        <v>1</v>
      </c>
      <c r="CI312" s="133" t="s">
        <v>40</v>
      </c>
      <c r="CK312" s="134">
        <f>CJ312*H312</f>
        <v>0</v>
      </c>
      <c r="CL312" s="134">
        <v>1.323E-2</v>
      </c>
      <c r="CM312" s="134">
        <f>CL312*H312</f>
        <v>2.3814000000000002</v>
      </c>
      <c r="CN312" s="134">
        <v>0</v>
      </c>
      <c r="CO312" s="135">
        <f>CN312*H312</f>
        <v>0</v>
      </c>
      <c r="DM312" s="136" t="s">
        <v>95</v>
      </c>
      <c r="DO312" s="136" t="s">
        <v>284</v>
      </c>
      <c r="DP312" s="136" t="s">
        <v>83</v>
      </c>
      <c r="DT312" s="16" t="s">
        <v>282</v>
      </c>
      <c r="DZ312" s="137">
        <f>IF(CI312="základní",J312,0)</f>
        <v>153142.12</v>
      </c>
      <c r="EA312" s="137">
        <f>IF(CI312="snížená",J312,0)</f>
        <v>0</v>
      </c>
      <c r="EB312" s="137">
        <f>IF(CI312="zákl. přenesená",J312,0)</f>
        <v>0</v>
      </c>
      <c r="EC312" s="137">
        <f>IF(CI312="sníž. přenesená",J312,0)</f>
        <v>0</v>
      </c>
      <c r="ED312" s="137">
        <f>IF(CI312="nulová",J312,0)</f>
        <v>0</v>
      </c>
      <c r="EE312" s="16" t="s">
        <v>81</v>
      </c>
      <c r="EF312" s="137">
        <f>ROUND(I312*H312,2)</f>
        <v>153142.12</v>
      </c>
      <c r="EG312" s="16" t="s">
        <v>95</v>
      </c>
      <c r="EH312" s="136" t="s">
        <v>559</v>
      </c>
    </row>
    <row r="313" spans="2:138" s="1" customFormat="1" ht="29.25" x14ac:dyDescent="0.2">
      <c r="B313" s="31"/>
      <c r="D313" s="138" t="s">
        <v>289</v>
      </c>
      <c r="F313" s="139" t="s">
        <v>560</v>
      </c>
      <c r="I313" s="140"/>
      <c r="L313" s="31"/>
      <c r="N313" s="213"/>
      <c r="O313" s="214"/>
      <c r="Q313" s="229"/>
      <c r="CH313" s="141"/>
      <c r="CO313" s="50"/>
      <c r="DO313" s="16" t="s">
        <v>289</v>
      </c>
      <c r="DP313" s="16" t="s">
        <v>83</v>
      </c>
    </row>
    <row r="314" spans="2:138" s="1" customFormat="1" ht="29.25" x14ac:dyDescent="0.2">
      <c r="B314" s="31"/>
      <c r="D314" s="138" t="s">
        <v>299</v>
      </c>
      <c r="F314" s="142" t="s">
        <v>1611</v>
      </c>
      <c r="I314" s="140"/>
      <c r="L314" s="31"/>
      <c r="N314" s="213"/>
      <c r="O314" s="214"/>
      <c r="Q314" s="229"/>
      <c r="CH314" s="141"/>
      <c r="CO314" s="50"/>
      <c r="DO314" s="16" t="s">
        <v>299</v>
      </c>
      <c r="DP314" s="16" t="s">
        <v>83</v>
      </c>
    </row>
    <row r="315" spans="2:138" s="12" customFormat="1" x14ac:dyDescent="0.2">
      <c r="B315" s="149"/>
      <c r="D315" s="138" t="s">
        <v>301</v>
      </c>
      <c r="E315" s="150" t="s">
        <v>1</v>
      </c>
      <c r="F315" s="151" t="s">
        <v>1646</v>
      </c>
      <c r="H315" s="152">
        <v>180</v>
      </c>
      <c r="I315" s="153"/>
      <c r="L315" s="149"/>
      <c r="N315" s="217">
        <f>191.81-180</f>
        <v>11.810000000000002</v>
      </c>
      <c r="O315" s="359" t="s">
        <v>3557</v>
      </c>
      <c r="Q315" s="231"/>
      <c r="CH315" s="154"/>
      <c r="CO315" s="155"/>
      <c r="DO315" s="150" t="s">
        <v>301</v>
      </c>
      <c r="DP315" s="150" t="s">
        <v>83</v>
      </c>
      <c r="DQ315" s="12" t="s">
        <v>83</v>
      </c>
      <c r="DR315" s="12" t="s">
        <v>32</v>
      </c>
      <c r="DS315" s="12" t="s">
        <v>81</v>
      </c>
      <c r="DT315" s="150" t="s">
        <v>282</v>
      </c>
    </row>
    <row r="316" spans="2:138" s="1" customFormat="1" ht="24.2" customHeight="1" x14ac:dyDescent="0.2">
      <c r="B316" s="124"/>
      <c r="C316" s="125" t="s">
        <v>526</v>
      </c>
      <c r="D316" s="125" t="s">
        <v>284</v>
      </c>
      <c r="E316" s="126" t="s">
        <v>563</v>
      </c>
      <c r="F316" s="127" t="s">
        <v>564</v>
      </c>
      <c r="G316" s="128" t="s">
        <v>485</v>
      </c>
      <c r="H316" s="129">
        <v>13</v>
      </c>
      <c r="I316" s="130">
        <v>428.93856860779169</v>
      </c>
      <c r="J316" s="131">
        <f>ROUND(I316*H316,2)</f>
        <v>5576.2</v>
      </c>
      <c r="K316" s="127" t="s">
        <v>293</v>
      </c>
      <c r="L316" s="268">
        <f>S316</f>
        <v>0</v>
      </c>
      <c r="M316" s="272">
        <f>ROUND(L316*I316,2)</f>
        <v>0</v>
      </c>
      <c r="N316" s="243"/>
      <c r="O316" s="294">
        <f>ROUND(N316*I316,2)</f>
        <v>0</v>
      </c>
      <c r="P316" s="273">
        <f>H316-L316-N316</f>
        <v>13</v>
      </c>
      <c r="Q316" s="287">
        <f>ROUND(P316*I316,2)</f>
        <v>5576.2</v>
      </c>
      <c r="R316" s="137"/>
      <c r="S316" s="269">
        <f>W316+Y316+AA316+AC316</f>
        <v>0</v>
      </c>
      <c r="T316" s="269">
        <f>ROUND(S316*I316,2)</f>
        <v>0</v>
      </c>
      <c r="U316" s="269">
        <f>H316-S316</f>
        <v>13</v>
      </c>
      <c r="V316" s="269">
        <f>ROUND(U316*I316,2)</f>
        <v>5576.2</v>
      </c>
      <c r="W316" s="269"/>
      <c r="X316" s="269"/>
      <c r="Y316" s="269"/>
      <c r="Z316" s="269"/>
      <c r="AA316" s="269"/>
      <c r="AB316" s="269"/>
      <c r="AC316" s="269"/>
      <c r="AD316" s="269"/>
      <c r="CH316" s="132" t="s">
        <v>1</v>
      </c>
      <c r="CI316" s="133" t="s">
        <v>40</v>
      </c>
      <c r="CK316" s="134">
        <f>CJ316*H316</f>
        <v>0</v>
      </c>
      <c r="CL316" s="134">
        <v>2.0000000000000002E-5</v>
      </c>
      <c r="CM316" s="134">
        <f>CL316*H316</f>
        <v>2.6000000000000003E-4</v>
      </c>
      <c r="CN316" s="134">
        <v>0</v>
      </c>
      <c r="CO316" s="135">
        <f>CN316*H316</f>
        <v>0</v>
      </c>
      <c r="DM316" s="136" t="s">
        <v>95</v>
      </c>
      <c r="DO316" s="136" t="s">
        <v>284</v>
      </c>
      <c r="DP316" s="136" t="s">
        <v>83</v>
      </c>
      <c r="DT316" s="16" t="s">
        <v>282</v>
      </c>
      <c r="DZ316" s="137">
        <f>IF(CI316="základní",J316,0)</f>
        <v>5576.2</v>
      </c>
      <c r="EA316" s="137">
        <f>IF(CI316="snížená",J316,0)</f>
        <v>0</v>
      </c>
      <c r="EB316" s="137">
        <f>IF(CI316="zákl. přenesená",J316,0)</f>
        <v>0</v>
      </c>
      <c r="EC316" s="137">
        <f>IF(CI316="sníž. přenesená",J316,0)</f>
        <v>0</v>
      </c>
      <c r="ED316" s="137">
        <f>IF(CI316="nulová",J316,0)</f>
        <v>0</v>
      </c>
      <c r="EE316" s="16" t="s">
        <v>81</v>
      </c>
      <c r="EF316" s="137">
        <f>ROUND(I316*H316,2)</f>
        <v>5576.2</v>
      </c>
      <c r="EG316" s="16" t="s">
        <v>95</v>
      </c>
      <c r="EH316" s="136" t="s">
        <v>565</v>
      </c>
    </row>
    <row r="317" spans="2:138" s="1" customFormat="1" ht="19.5" x14ac:dyDescent="0.2">
      <c r="B317" s="31"/>
      <c r="D317" s="138" t="s">
        <v>289</v>
      </c>
      <c r="F317" s="139" t="s">
        <v>566</v>
      </c>
      <c r="I317" s="140"/>
      <c r="L317" s="31"/>
      <c r="N317" s="213"/>
      <c r="O317" s="214"/>
      <c r="Q317" s="229"/>
      <c r="CH317" s="141"/>
      <c r="CO317" s="50"/>
      <c r="DO317" s="16" t="s">
        <v>289</v>
      </c>
      <c r="DP317" s="16" t="s">
        <v>83</v>
      </c>
    </row>
    <row r="318" spans="2:138" s="1" customFormat="1" ht="19.5" x14ac:dyDescent="0.2">
      <c r="B318" s="31"/>
      <c r="D318" s="138" t="s">
        <v>299</v>
      </c>
      <c r="F318" s="142" t="s">
        <v>317</v>
      </c>
      <c r="I318" s="140"/>
      <c r="L318" s="31"/>
      <c r="N318" s="213"/>
      <c r="O318" s="214"/>
      <c r="Q318" s="229"/>
      <c r="CH318" s="141"/>
      <c r="CO318" s="50"/>
      <c r="DO318" s="16" t="s">
        <v>299</v>
      </c>
      <c r="DP318" s="16" t="s">
        <v>83</v>
      </c>
    </row>
    <row r="319" spans="2:138" s="12" customFormat="1" x14ac:dyDescent="0.2">
      <c r="B319" s="149"/>
      <c r="D319" s="138" t="s">
        <v>301</v>
      </c>
      <c r="E319" s="150" t="s">
        <v>1</v>
      </c>
      <c r="F319" s="151" t="s">
        <v>1647</v>
      </c>
      <c r="H319" s="152">
        <v>13</v>
      </c>
      <c r="I319" s="153"/>
      <c r="L319" s="149"/>
      <c r="N319" s="217"/>
      <c r="O319" s="218"/>
      <c r="Q319" s="231"/>
      <c r="CH319" s="154"/>
      <c r="CO319" s="155"/>
      <c r="DO319" s="150" t="s">
        <v>301</v>
      </c>
      <c r="DP319" s="150" t="s">
        <v>83</v>
      </c>
      <c r="DQ319" s="12" t="s">
        <v>83</v>
      </c>
      <c r="DR319" s="12" t="s">
        <v>32</v>
      </c>
      <c r="DS319" s="12" t="s">
        <v>81</v>
      </c>
      <c r="DT319" s="150" t="s">
        <v>282</v>
      </c>
    </row>
    <row r="320" spans="2:138" s="1" customFormat="1" ht="24.2" customHeight="1" x14ac:dyDescent="0.2">
      <c r="B320" s="124"/>
      <c r="C320" s="170" t="s">
        <v>531</v>
      </c>
      <c r="D320" s="170" t="s">
        <v>439</v>
      </c>
      <c r="E320" s="171" t="s">
        <v>569</v>
      </c>
      <c r="F320" s="172" t="s">
        <v>570</v>
      </c>
      <c r="G320" s="173" t="s">
        <v>485</v>
      </c>
      <c r="H320" s="174">
        <v>13</v>
      </c>
      <c r="I320" s="175">
        <v>1984.4168915</v>
      </c>
      <c r="J320" s="176">
        <f>ROUND(I320*H320,2)</f>
        <v>25797.42</v>
      </c>
      <c r="K320" s="172" t="s">
        <v>293</v>
      </c>
      <c r="L320" s="268">
        <f>S320</f>
        <v>0</v>
      </c>
      <c r="M320" s="272">
        <f>ROUND(L320*I320,2)</f>
        <v>0</v>
      </c>
      <c r="N320" s="243"/>
      <c r="O320" s="294">
        <f>ROUND(N320*I320,2)</f>
        <v>0</v>
      </c>
      <c r="P320" s="273">
        <f>H320-L320-N320</f>
        <v>13</v>
      </c>
      <c r="Q320" s="287">
        <f>ROUND(P320*I320,2)</f>
        <v>25797.42</v>
      </c>
      <c r="R320" s="137"/>
      <c r="S320" s="269">
        <f>W320+Y320+AA320+AC320</f>
        <v>0</v>
      </c>
      <c r="T320" s="269">
        <f>ROUND(S320*I320,2)</f>
        <v>0</v>
      </c>
      <c r="U320" s="269">
        <f>H320-S320</f>
        <v>13</v>
      </c>
      <c r="V320" s="269">
        <f>ROUND(U320*I320,2)</f>
        <v>25797.42</v>
      </c>
      <c r="W320" s="290"/>
      <c r="X320" s="290"/>
      <c r="Y320" s="290"/>
      <c r="Z320" s="290"/>
      <c r="AA320" s="290"/>
      <c r="AB320" s="290"/>
      <c r="AC320" s="290"/>
      <c r="AD320" s="290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77" t="s">
        <v>1</v>
      </c>
      <c r="CI320" s="178" t="s">
        <v>40</v>
      </c>
      <c r="CK320" s="134">
        <f>CJ320*H320</f>
        <v>0</v>
      </c>
      <c r="CL320" s="134">
        <v>4.2599999999999999E-3</v>
      </c>
      <c r="CM320" s="134">
        <f>CL320*H320</f>
        <v>5.5379999999999999E-2</v>
      </c>
      <c r="CN320" s="134">
        <v>0</v>
      </c>
      <c r="CO320" s="135">
        <f>CN320*H320</f>
        <v>0</v>
      </c>
      <c r="DM320" s="136" t="s">
        <v>328</v>
      </c>
      <c r="DO320" s="136" t="s">
        <v>439</v>
      </c>
      <c r="DP320" s="136" t="s">
        <v>83</v>
      </c>
      <c r="DT320" s="16" t="s">
        <v>282</v>
      </c>
      <c r="DZ320" s="137">
        <f>IF(CI320="základní",J320,0)</f>
        <v>25797.42</v>
      </c>
      <c r="EA320" s="137">
        <f>IF(CI320="snížená",J320,0)</f>
        <v>0</v>
      </c>
      <c r="EB320" s="137">
        <f>IF(CI320="zákl. přenesená",J320,0)</f>
        <v>0</v>
      </c>
      <c r="EC320" s="137">
        <f>IF(CI320="sníž. přenesená",J320,0)</f>
        <v>0</v>
      </c>
      <c r="ED320" s="137">
        <f>IF(CI320="nulová",J320,0)</f>
        <v>0</v>
      </c>
      <c r="EE320" s="16" t="s">
        <v>81</v>
      </c>
      <c r="EF320" s="137">
        <f>ROUND(I320*H320,2)</f>
        <v>25797.42</v>
      </c>
      <c r="EG320" s="16" t="s">
        <v>95</v>
      </c>
      <c r="EH320" s="136" t="s">
        <v>571</v>
      </c>
    </row>
    <row r="321" spans="2:138" s="1" customFormat="1" x14ac:dyDescent="0.2">
      <c r="B321" s="31"/>
      <c r="D321" s="138" t="s">
        <v>289</v>
      </c>
      <c r="F321" s="139" t="s">
        <v>570</v>
      </c>
      <c r="I321" s="140"/>
      <c r="L321" s="31"/>
      <c r="N321" s="213"/>
      <c r="O321" s="214"/>
      <c r="Q321" s="229"/>
      <c r="CH321" s="141"/>
      <c r="CO321" s="50"/>
      <c r="DO321" s="16" t="s">
        <v>289</v>
      </c>
      <c r="DP321" s="16" t="s">
        <v>83</v>
      </c>
    </row>
    <row r="322" spans="2:138" s="1" customFormat="1" ht="24.2" customHeight="1" x14ac:dyDescent="0.2">
      <c r="B322" s="124"/>
      <c r="C322" s="125" t="s">
        <v>536</v>
      </c>
      <c r="D322" s="125" t="s">
        <v>284</v>
      </c>
      <c r="E322" s="126" t="s">
        <v>573</v>
      </c>
      <c r="F322" s="127" t="s">
        <v>574</v>
      </c>
      <c r="G322" s="128" t="s">
        <v>344</v>
      </c>
      <c r="H322" s="129">
        <v>182</v>
      </c>
      <c r="I322" s="130">
        <v>42.624706500000002</v>
      </c>
      <c r="J322" s="131">
        <f>ROUND(I322*H322,2)</f>
        <v>7757.7</v>
      </c>
      <c r="K322" s="127" t="s">
        <v>1</v>
      </c>
      <c r="L322" s="268">
        <f>S322</f>
        <v>0</v>
      </c>
      <c r="M322" s="272">
        <f>ROUND(L322*I322,2)</f>
        <v>0</v>
      </c>
      <c r="N322" s="243">
        <f>N324</f>
        <v>13.400000000000006</v>
      </c>
      <c r="O322" s="294">
        <f>ROUND(N322*I322,2)</f>
        <v>571.16999999999996</v>
      </c>
      <c r="P322" s="273">
        <f>H322-L322-N322</f>
        <v>168.6</v>
      </c>
      <c r="Q322" s="287">
        <f>ROUND(P322*I322,2)</f>
        <v>7186.53</v>
      </c>
      <c r="R322" s="137"/>
      <c r="S322" s="269">
        <f>W322+Y322+AA322+AC322</f>
        <v>0</v>
      </c>
      <c r="T322" s="269">
        <f>ROUND(S322*I322,2)</f>
        <v>0</v>
      </c>
      <c r="U322" s="269">
        <f>H322-S322</f>
        <v>182</v>
      </c>
      <c r="V322" s="269">
        <f>ROUND(U322*I322,2)</f>
        <v>7757.7</v>
      </c>
      <c r="W322" s="269"/>
      <c r="X322" s="269"/>
      <c r="Y322" s="269"/>
      <c r="Z322" s="269"/>
      <c r="AA322" s="269"/>
      <c r="AB322" s="269"/>
      <c r="AC322" s="269"/>
      <c r="AD322" s="269"/>
      <c r="CH322" s="132" t="s">
        <v>1</v>
      </c>
      <c r="CI322" s="133" t="s">
        <v>40</v>
      </c>
      <c r="CK322" s="134">
        <f>CJ322*H322</f>
        <v>0</v>
      </c>
      <c r="CL322" s="134">
        <v>0</v>
      </c>
      <c r="CM322" s="134">
        <f>CL322*H322</f>
        <v>0</v>
      </c>
      <c r="CN322" s="134">
        <v>0</v>
      </c>
      <c r="CO322" s="135">
        <f>CN322*H322</f>
        <v>0</v>
      </c>
      <c r="DM322" s="136" t="s">
        <v>95</v>
      </c>
      <c r="DO322" s="136" t="s">
        <v>284</v>
      </c>
      <c r="DP322" s="136" t="s">
        <v>83</v>
      </c>
      <c r="DT322" s="16" t="s">
        <v>282</v>
      </c>
      <c r="DZ322" s="137">
        <f>IF(CI322="základní",J322,0)</f>
        <v>7757.7</v>
      </c>
      <c r="EA322" s="137">
        <f>IF(CI322="snížená",J322,0)</f>
        <v>0</v>
      </c>
      <c r="EB322" s="137">
        <f>IF(CI322="zákl. přenesená",J322,0)</f>
        <v>0</v>
      </c>
      <c r="EC322" s="137">
        <f>IF(CI322="sníž. přenesená",J322,0)</f>
        <v>0</v>
      </c>
      <c r="ED322" s="137">
        <f>IF(CI322="nulová",J322,0)</f>
        <v>0</v>
      </c>
      <c r="EE322" s="16" t="s">
        <v>81</v>
      </c>
      <c r="EF322" s="137">
        <f>ROUND(I322*H322,2)</f>
        <v>7757.7</v>
      </c>
      <c r="EG322" s="16" t="s">
        <v>95</v>
      </c>
      <c r="EH322" s="136" t="s">
        <v>575</v>
      </c>
    </row>
    <row r="323" spans="2:138" s="1" customFormat="1" ht="19.5" x14ac:dyDescent="0.2">
      <c r="B323" s="31"/>
      <c r="D323" s="138" t="s">
        <v>289</v>
      </c>
      <c r="F323" s="139" t="s">
        <v>574</v>
      </c>
      <c r="I323" s="140"/>
      <c r="L323" s="31"/>
      <c r="N323" s="213"/>
      <c r="O323" s="214"/>
      <c r="Q323" s="229"/>
      <c r="CH323" s="141"/>
      <c r="CO323" s="50"/>
      <c r="DO323" s="16" t="s">
        <v>289</v>
      </c>
      <c r="DP323" s="16" t="s">
        <v>83</v>
      </c>
    </row>
    <row r="324" spans="2:138" s="12" customFormat="1" x14ac:dyDescent="0.2">
      <c r="B324" s="149"/>
      <c r="D324" s="138" t="s">
        <v>301</v>
      </c>
      <c r="E324" s="150" t="s">
        <v>1</v>
      </c>
      <c r="F324" s="151" t="s">
        <v>1640</v>
      </c>
      <c r="H324" s="152">
        <v>182</v>
      </c>
      <c r="I324" s="153"/>
      <c r="L324" s="149"/>
      <c r="N324" s="217">
        <f>195.4-182</f>
        <v>13.400000000000006</v>
      </c>
      <c r="O324" s="359" t="s">
        <v>3555</v>
      </c>
      <c r="Q324" s="231"/>
      <c r="CH324" s="154"/>
      <c r="CO324" s="155"/>
      <c r="DO324" s="150" t="s">
        <v>301</v>
      </c>
      <c r="DP324" s="150" t="s">
        <v>83</v>
      </c>
      <c r="DQ324" s="12" t="s">
        <v>83</v>
      </c>
      <c r="DR324" s="12" t="s">
        <v>32</v>
      </c>
      <c r="DS324" s="12" t="s">
        <v>81</v>
      </c>
      <c r="DT324" s="150" t="s">
        <v>282</v>
      </c>
    </row>
    <row r="325" spans="2:138" s="1" customFormat="1" ht="14.45" customHeight="1" x14ac:dyDescent="0.2">
      <c r="B325" s="124"/>
      <c r="C325" s="125" t="s">
        <v>543</v>
      </c>
      <c r="D325" s="125" t="s">
        <v>284</v>
      </c>
      <c r="E325" s="126" t="s">
        <v>577</v>
      </c>
      <c r="F325" s="127" t="s">
        <v>578</v>
      </c>
      <c r="G325" s="128" t="s">
        <v>344</v>
      </c>
      <c r="H325" s="129">
        <v>182</v>
      </c>
      <c r="I325" s="130">
        <v>18.944313999999999</v>
      </c>
      <c r="J325" s="131">
        <f>ROUND(I325*H325,2)</f>
        <v>3447.87</v>
      </c>
      <c r="K325" s="127" t="s">
        <v>1</v>
      </c>
      <c r="L325" s="268">
        <f>S325</f>
        <v>0</v>
      </c>
      <c r="M325" s="272">
        <f>ROUND(L325*I325,2)</f>
        <v>0</v>
      </c>
      <c r="N325" s="243">
        <f>N322</f>
        <v>13.400000000000006</v>
      </c>
      <c r="O325" s="294">
        <f>ROUND(N325*I325,2)</f>
        <v>253.85</v>
      </c>
      <c r="P325" s="273">
        <f>H325-L325-N325</f>
        <v>168.6</v>
      </c>
      <c r="Q325" s="287">
        <f>ROUND(P325*I325,2)</f>
        <v>3194.01</v>
      </c>
      <c r="R325" s="137"/>
      <c r="S325" s="269">
        <f>W325+Y325+AA325+AC325</f>
        <v>0</v>
      </c>
      <c r="T325" s="269">
        <f>ROUND(S325*I325,2)</f>
        <v>0</v>
      </c>
      <c r="U325" s="269">
        <f>H325-S325</f>
        <v>182</v>
      </c>
      <c r="V325" s="269">
        <f>ROUND(U325*I325,2)</f>
        <v>3447.87</v>
      </c>
      <c r="W325" s="269"/>
      <c r="X325" s="269"/>
      <c r="Y325" s="269"/>
      <c r="Z325" s="269"/>
      <c r="AA325" s="269"/>
      <c r="AB325" s="269"/>
      <c r="AC325" s="269"/>
      <c r="AD325" s="269"/>
      <c r="CH325" s="132" t="s">
        <v>1</v>
      </c>
      <c r="CI325" s="133" t="s">
        <v>40</v>
      </c>
      <c r="CK325" s="134">
        <f>CJ325*H325</f>
        <v>0</v>
      </c>
      <c r="CL325" s="134">
        <v>0</v>
      </c>
      <c r="CM325" s="134">
        <f>CL325*H325</f>
        <v>0</v>
      </c>
      <c r="CN325" s="134">
        <v>0</v>
      </c>
      <c r="CO325" s="135">
        <f>CN325*H325</f>
        <v>0</v>
      </c>
      <c r="DM325" s="136" t="s">
        <v>95</v>
      </c>
      <c r="DO325" s="136" t="s">
        <v>284</v>
      </c>
      <c r="DP325" s="136" t="s">
        <v>83</v>
      </c>
      <c r="DT325" s="16" t="s">
        <v>282</v>
      </c>
      <c r="DZ325" s="137">
        <f>IF(CI325="základní",J325,0)</f>
        <v>3447.87</v>
      </c>
      <c r="EA325" s="137">
        <f>IF(CI325="snížená",J325,0)</f>
        <v>0</v>
      </c>
      <c r="EB325" s="137">
        <f>IF(CI325="zákl. přenesená",J325,0)</f>
        <v>0</v>
      </c>
      <c r="EC325" s="137">
        <f>IF(CI325="sníž. přenesená",J325,0)</f>
        <v>0</v>
      </c>
      <c r="ED325" s="137">
        <f>IF(CI325="nulová",J325,0)</f>
        <v>0</v>
      </c>
      <c r="EE325" s="16" t="s">
        <v>81</v>
      </c>
      <c r="EF325" s="137">
        <f>ROUND(I325*H325,2)</f>
        <v>3447.87</v>
      </c>
      <c r="EG325" s="16" t="s">
        <v>95</v>
      </c>
      <c r="EH325" s="136" t="s">
        <v>579</v>
      </c>
    </row>
    <row r="326" spans="2:138" s="1" customFormat="1" x14ac:dyDescent="0.2">
      <c r="B326" s="31"/>
      <c r="D326" s="138" t="s">
        <v>289</v>
      </c>
      <c r="F326" s="139" t="s">
        <v>578</v>
      </c>
      <c r="I326" s="140"/>
      <c r="L326" s="31"/>
      <c r="N326" s="213"/>
      <c r="O326" s="214"/>
      <c r="Q326" s="229"/>
      <c r="CH326" s="141"/>
      <c r="CO326" s="50"/>
      <c r="DO326" s="16" t="s">
        <v>289</v>
      </c>
      <c r="DP326" s="16" t="s">
        <v>83</v>
      </c>
    </row>
    <row r="327" spans="2:138" s="1" customFormat="1" ht="29.25" x14ac:dyDescent="0.2">
      <c r="B327" s="31"/>
      <c r="D327" s="138" t="s">
        <v>299</v>
      </c>
      <c r="F327" s="142" t="s">
        <v>580</v>
      </c>
      <c r="I327" s="140"/>
      <c r="L327" s="31"/>
      <c r="N327" s="213"/>
      <c r="O327" s="214"/>
      <c r="Q327" s="229"/>
      <c r="CH327" s="141"/>
      <c r="CO327" s="50"/>
      <c r="DO327" s="16" t="s">
        <v>299</v>
      </c>
      <c r="DP327" s="16" t="s">
        <v>83</v>
      </c>
    </row>
    <row r="328" spans="2:138" s="1" customFormat="1" ht="14.45" customHeight="1" x14ac:dyDescent="0.2">
      <c r="B328" s="124"/>
      <c r="C328" s="125" t="s">
        <v>548</v>
      </c>
      <c r="D328" s="125" t="s">
        <v>284</v>
      </c>
      <c r="E328" s="126" t="s">
        <v>776</v>
      </c>
      <c r="F328" s="127" t="s">
        <v>777</v>
      </c>
      <c r="G328" s="128" t="s">
        <v>344</v>
      </c>
      <c r="H328" s="129">
        <v>2</v>
      </c>
      <c r="I328" s="130">
        <v>21.984104604889872</v>
      </c>
      <c r="J328" s="131">
        <f>ROUND(I328*H328,2)</f>
        <v>43.97</v>
      </c>
      <c r="K328" s="127" t="s">
        <v>293</v>
      </c>
      <c r="L328" s="268">
        <f>S328</f>
        <v>0</v>
      </c>
      <c r="M328" s="272">
        <f>ROUND(L328*I328,2)</f>
        <v>0</v>
      </c>
      <c r="N328" s="243">
        <f>N330</f>
        <v>1.5899999999999999</v>
      </c>
      <c r="O328" s="294">
        <f>ROUND(N328*I328,2)</f>
        <v>34.950000000000003</v>
      </c>
      <c r="P328" s="273">
        <f>H328-L328-N328</f>
        <v>0.41000000000000014</v>
      </c>
      <c r="Q328" s="287">
        <f>ROUND(P328*I328,2)</f>
        <v>9.01</v>
      </c>
      <c r="R328" s="137"/>
      <c r="S328" s="269">
        <f>W328+Y328+AA328+AC328</f>
        <v>0</v>
      </c>
      <c r="T328" s="269">
        <f>ROUND(S328*I328,2)</f>
        <v>0</v>
      </c>
      <c r="U328" s="269">
        <f>H328-S328</f>
        <v>2</v>
      </c>
      <c r="V328" s="269">
        <f>ROUND(U328*I328,2)</f>
        <v>43.97</v>
      </c>
      <c r="W328" s="269"/>
      <c r="X328" s="269"/>
      <c r="Y328" s="269"/>
      <c r="Z328" s="269"/>
      <c r="AA328" s="269"/>
      <c r="AB328" s="269"/>
      <c r="AC328" s="269"/>
      <c r="AD328" s="269"/>
      <c r="CH328" s="132" t="s">
        <v>1</v>
      </c>
      <c r="CI328" s="133" t="s">
        <v>40</v>
      </c>
      <c r="CK328" s="134">
        <f>CJ328*H328</f>
        <v>0</v>
      </c>
      <c r="CL328" s="134">
        <v>0</v>
      </c>
      <c r="CM328" s="134">
        <f>CL328*H328</f>
        <v>0</v>
      </c>
      <c r="CN328" s="134">
        <v>0</v>
      </c>
      <c r="CO328" s="135">
        <f>CN328*H328</f>
        <v>0</v>
      </c>
      <c r="DM328" s="136" t="s">
        <v>95</v>
      </c>
      <c r="DO328" s="136" t="s">
        <v>284</v>
      </c>
      <c r="DP328" s="136" t="s">
        <v>83</v>
      </c>
      <c r="DT328" s="16" t="s">
        <v>282</v>
      </c>
      <c r="DZ328" s="137">
        <f>IF(CI328="základní",J328,0)</f>
        <v>43.97</v>
      </c>
      <c r="EA328" s="137">
        <f>IF(CI328="snížená",J328,0)</f>
        <v>0</v>
      </c>
      <c r="EB328" s="137">
        <f>IF(CI328="zákl. přenesená",J328,0)</f>
        <v>0</v>
      </c>
      <c r="EC328" s="137">
        <f>IF(CI328="sníž. přenesená",J328,0)</f>
        <v>0</v>
      </c>
      <c r="ED328" s="137">
        <f>IF(CI328="nulová",J328,0)</f>
        <v>0</v>
      </c>
      <c r="EE328" s="16" t="s">
        <v>81</v>
      </c>
      <c r="EF328" s="137">
        <f>ROUND(I328*H328,2)</f>
        <v>43.97</v>
      </c>
      <c r="EG328" s="16" t="s">
        <v>95</v>
      </c>
      <c r="EH328" s="136" t="s">
        <v>778</v>
      </c>
    </row>
    <row r="329" spans="2:138" s="1" customFormat="1" x14ac:dyDescent="0.2">
      <c r="B329" s="31"/>
      <c r="D329" s="138" t="s">
        <v>289</v>
      </c>
      <c r="F329" s="139" t="s">
        <v>779</v>
      </c>
      <c r="I329" s="140"/>
      <c r="L329" s="31"/>
      <c r="N329" s="213"/>
      <c r="O329" s="214"/>
      <c r="Q329" s="229"/>
      <c r="CH329" s="141"/>
      <c r="CO329" s="50"/>
      <c r="DO329" s="16" t="s">
        <v>289</v>
      </c>
      <c r="DP329" s="16" t="s">
        <v>83</v>
      </c>
    </row>
    <row r="330" spans="2:138" s="1" customFormat="1" ht="19.5" x14ac:dyDescent="0.2">
      <c r="B330" s="31"/>
      <c r="D330" s="138" t="s">
        <v>299</v>
      </c>
      <c r="F330" s="142" t="s">
        <v>587</v>
      </c>
      <c r="I330" s="140"/>
      <c r="L330" s="31"/>
      <c r="N330" s="213">
        <f>3.59-2</f>
        <v>1.5899999999999999</v>
      </c>
      <c r="O330" s="214" t="s">
        <v>3528</v>
      </c>
      <c r="Q330" s="229"/>
      <c r="CH330" s="141"/>
      <c r="CO330" s="50"/>
      <c r="DO330" s="16" t="s">
        <v>299</v>
      </c>
      <c r="DP330" s="16" t="s">
        <v>83</v>
      </c>
    </row>
    <row r="331" spans="2:138" s="1" customFormat="1" ht="24.2" customHeight="1" x14ac:dyDescent="0.2">
      <c r="B331" s="124"/>
      <c r="C331" s="125" t="s">
        <v>556</v>
      </c>
      <c r="D331" s="125" t="s">
        <v>284</v>
      </c>
      <c r="E331" s="126" t="s">
        <v>582</v>
      </c>
      <c r="F331" s="127" t="s">
        <v>583</v>
      </c>
      <c r="G331" s="128" t="s">
        <v>584</v>
      </c>
      <c r="H331" s="129">
        <v>6</v>
      </c>
      <c r="I331" s="130">
        <v>933.22469567263556</v>
      </c>
      <c r="J331" s="131">
        <f>ROUND(I331*H331,2)</f>
        <v>5599.35</v>
      </c>
      <c r="K331" s="127" t="s">
        <v>293</v>
      </c>
      <c r="L331" s="268">
        <f>S331</f>
        <v>0</v>
      </c>
      <c r="M331" s="272">
        <f>ROUND(L331*I331,2)</f>
        <v>0</v>
      </c>
      <c r="N331" s="243"/>
      <c r="O331" s="294">
        <f>ROUND(N331*I331,2)</f>
        <v>0</v>
      </c>
      <c r="P331" s="273">
        <f>H331-L331-N331</f>
        <v>6</v>
      </c>
      <c r="Q331" s="287">
        <f>ROUND(P331*I331,2)</f>
        <v>5599.35</v>
      </c>
      <c r="R331" s="137"/>
      <c r="S331" s="269">
        <f>W331+Y331+AA331+AC331</f>
        <v>0</v>
      </c>
      <c r="T331" s="269">
        <f>ROUND(S331*I331,2)</f>
        <v>0</v>
      </c>
      <c r="U331" s="269">
        <f>H331-S331</f>
        <v>6</v>
      </c>
      <c r="V331" s="269">
        <f>ROUND(U331*I331,2)</f>
        <v>5599.35</v>
      </c>
      <c r="W331" s="269"/>
      <c r="X331" s="269"/>
      <c r="Y331" s="269"/>
      <c r="Z331" s="269"/>
      <c r="AA331" s="269"/>
      <c r="AB331" s="269"/>
      <c r="AC331" s="269"/>
      <c r="AD331" s="269"/>
      <c r="CH331" s="132" t="s">
        <v>1</v>
      </c>
      <c r="CI331" s="133" t="s">
        <v>40</v>
      </c>
      <c r="CK331" s="134">
        <f>CJ331*H331</f>
        <v>0</v>
      </c>
      <c r="CL331" s="134">
        <v>3.1E-4</v>
      </c>
      <c r="CM331" s="134">
        <f>CL331*H331</f>
        <v>1.8600000000000001E-3</v>
      </c>
      <c r="CN331" s="134">
        <v>0</v>
      </c>
      <c r="CO331" s="135">
        <f>CN331*H331</f>
        <v>0</v>
      </c>
      <c r="DM331" s="136" t="s">
        <v>95</v>
      </c>
      <c r="DO331" s="136" t="s">
        <v>284</v>
      </c>
      <c r="DP331" s="136" t="s">
        <v>83</v>
      </c>
      <c r="DT331" s="16" t="s">
        <v>282</v>
      </c>
      <c r="DZ331" s="137">
        <f>IF(CI331="základní",J331,0)</f>
        <v>5599.35</v>
      </c>
      <c r="EA331" s="137">
        <f>IF(CI331="snížená",J331,0)</f>
        <v>0</v>
      </c>
      <c r="EB331" s="137">
        <f>IF(CI331="zákl. přenesená",J331,0)</f>
        <v>0</v>
      </c>
      <c r="EC331" s="137">
        <f>IF(CI331="sníž. přenesená",J331,0)</f>
        <v>0</v>
      </c>
      <c r="ED331" s="137">
        <f>IF(CI331="nulová",J331,0)</f>
        <v>0</v>
      </c>
      <c r="EE331" s="16" t="s">
        <v>81</v>
      </c>
      <c r="EF331" s="137">
        <f>ROUND(I331*H331,2)</f>
        <v>5599.35</v>
      </c>
      <c r="EG331" s="16" t="s">
        <v>95</v>
      </c>
      <c r="EH331" s="136" t="s">
        <v>585</v>
      </c>
    </row>
    <row r="332" spans="2:138" s="1" customFormat="1" x14ac:dyDescent="0.2">
      <c r="B332" s="31"/>
      <c r="D332" s="138" t="s">
        <v>289</v>
      </c>
      <c r="F332" s="139" t="s">
        <v>586</v>
      </c>
      <c r="I332" s="140"/>
      <c r="L332" s="31"/>
      <c r="N332" s="213"/>
      <c r="O332" s="214"/>
      <c r="Q332" s="229"/>
      <c r="CH332" s="141"/>
      <c r="CO332" s="50"/>
      <c r="DO332" s="16" t="s">
        <v>289</v>
      </c>
      <c r="DP332" s="16" t="s">
        <v>83</v>
      </c>
    </row>
    <row r="333" spans="2:138" s="1" customFormat="1" ht="19.5" x14ac:dyDescent="0.2">
      <c r="B333" s="31"/>
      <c r="D333" s="138" t="s">
        <v>299</v>
      </c>
      <c r="F333" s="142" t="s">
        <v>587</v>
      </c>
      <c r="I333" s="140"/>
      <c r="L333" s="31"/>
      <c r="N333" s="213"/>
      <c r="O333" s="214"/>
      <c r="Q333" s="229"/>
      <c r="CH333" s="141"/>
      <c r="CO333" s="50"/>
      <c r="DO333" s="16" t="s">
        <v>299</v>
      </c>
      <c r="DP333" s="16" t="s">
        <v>83</v>
      </c>
    </row>
    <row r="334" spans="2:138" s="11" customFormat="1" x14ac:dyDescent="0.2">
      <c r="B334" s="143"/>
      <c r="D334" s="138" t="s">
        <v>301</v>
      </c>
      <c r="E334" s="144" t="s">
        <v>1</v>
      </c>
      <c r="F334" s="145" t="s">
        <v>588</v>
      </c>
      <c r="H334" s="144" t="s">
        <v>1</v>
      </c>
      <c r="I334" s="146"/>
      <c r="L334" s="143"/>
      <c r="N334" s="215"/>
      <c r="O334" s="216"/>
      <c r="Q334" s="230"/>
      <c r="CH334" s="147"/>
      <c r="CO334" s="148"/>
      <c r="DO334" s="144" t="s">
        <v>301</v>
      </c>
      <c r="DP334" s="144" t="s">
        <v>83</v>
      </c>
      <c r="DQ334" s="11" t="s">
        <v>81</v>
      </c>
      <c r="DR334" s="11" t="s">
        <v>32</v>
      </c>
      <c r="DS334" s="11" t="s">
        <v>74</v>
      </c>
      <c r="DT334" s="144" t="s">
        <v>282</v>
      </c>
    </row>
    <row r="335" spans="2:138" s="12" customFormat="1" x14ac:dyDescent="0.2">
      <c r="B335" s="149"/>
      <c r="D335" s="138" t="s">
        <v>301</v>
      </c>
      <c r="E335" s="150" t="s">
        <v>1</v>
      </c>
      <c r="F335" s="151" t="s">
        <v>1648</v>
      </c>
      <c r="H335" s="152">
        <v>6</v>
      </c>
      <c r="I335" s="153"/>
      <c r="L335" s="149"/>
      <c r="N335" s="217"/>
      <c r="O335" s="218"/>
      <c r="Q335" s="231"/>
      <c r="CH335" s="154"/>
      <c r="CO335" s="155"/>
      <c r="DO335" s="150" t="s">
        <v>301</v>
      </c>
      <c r="DP335" s="150" t="s">
        <v>83</v>
      </c>
      <c r="DQ335" s="12" t="s">
        <v>83</v>
      </c>
      <c r="DR335" s="12" t="s">
        <v>32</v>
      </c>
      <c r="DS335" s="12" t="s">
        <v>81</v>
      </c>
      <c r="DT335" s="150" t="s">
        <v>282</v>
      </c>
    </row>
    <row r="336" spans="2:138" s="1" customFormat="1" ht="24.2" customHeight="1" x14ac:dyDescent="0.2">
      <c r="B336" s="124"/>
      <c r="C336" s="125" t="s">
        <v>562</v>
      </c>
      <c r="D336" s="125" t="s">
        <v>284</v>
      </c>
      <c r="E336" s="126" t="s">
        <v>590</v>
      </c>
      <c r="F336" s="127" t="s">
        <v>591</v>
      </c>
      <c r="G336" s="128" t="s">
        <v>344</v>
      </c>
      <c r="H336" s="129">
        <v>180</v>
      </c>
      <c r="I336" s="130">
        <v>29.453410986389244</v>
      </c>
      <c r="J336" s="131">
        <f>ROUND(I336*H336,2)</f>
        <v>5301.61</v>
      </c>
      <c r="K336" s="127" t="s">
        <v>293</v>
      </c>
      <c r="L336" s="268">
        <f>S336</f>
        <v>0</v>
      </c>
      <c r="M336" s="272">
        <f>ROUND(L336*I336,2)</f>
        <v>0</v>
      </c>
      <c r="N336" s="243">
        <f>N338</f>
        <v>11.810000000000002</v>
      </c>
      <c r="O336" s="294">
        <f>ROUND(N336*I336,2)</f>
        <v>347.84</v>
      </c>
      <c r="P336" s="273">
        <f>H336-L336-N336</f>
        <v>168.19</v>
      </c>
      <c r="Q336" s="287">
        <f>ROUND(P336*I336,2)</f>
        <v>4953.7700000000004</v>
      </c>
      <c r="R336" s="137"/>
      <c r="S336" s="269">
        <f>W336+Y336+AA336+AC336</f>
        <v>0</v>
      </c>
      <c r="T336" s="269">
        <f>ROUND(S336*I336,2)</f>
        <v>0</v>
      </c>
      <c r="U336" s="269">
        <f>H336-S336</f>
        <v>180</v>
      </c>
      <c r="V336" s="269">
        <f>ROUND(U336*I336,2)</f>
        <v>5301.61</v>
      </c>
      <c r="W336" s="269"/>
      <c r="X336" s="269"/>
      <c r="Y336" s="269"/>
      <c r="Z336" s="269"/>
      <c r="AA336" s="269"/>
      <c r="AB336" s="269"/>
      <c r="AC336" s="269"/>
      <c r="AD336" s="269"/>
      <c r="CH336" s="132" t="s">
        <v>1</v>
      </c>
      <c r="CI336" s="133" t="s">
        <v>40</v>
      </c>
      <c r="CK336" s="134">
        <f>CJ336*H336</f>
        <v>0</v>
      </c>
      <c r="CL336" s="134">
        <v>0</v>
      </c>
      <c r="CM336" s="134">
        <f>CL336*H336</f>
        <v>0</v>
      </c>
      <c r="CN336" s="134">
        <v>0</v>
      </c>
      <c r="CO336" s="135">
        <f>CN336*H336</f>
        <v>0</v>
      </c>
      <c r="DM336" s="136" t="s">
        <v>95</v>
      </c>
      <c r="DO336" s="136" t="s">
        <v>284</v>
      </c>
      <c r="DP336" s="136" t="s">
        <v>83</v>
      </c>
      <c r="DT336" s="16" t="s">
        <v>282</v>
      </c>
      <c r="DZ336" s="137">
        <f>IF(CI336="základní",J336,0)</f>
        <v>5301.61</v>
      </c>
      <c r="EA336" s="137">
        <f>IF(CI336="snížená",J336,0)</f>
        <v>0</v>
      </c>
      <c r="EB336" s="137">
        <f>IF(CI336="zákl. přenesená",J336,0)</f>
        <v>0</v>
      </c>
      <c r="EC336" s="137">
        <f>IF(CI336="sníž. přenesená",J336,0)</f>
        <v>0</v>
      </c>
      <c r="ED336" s="137">
        <f>IF(CI336="nulová",J336,0)</f>
        <v>0</v>
      </c>
      <c r="EE336" s="16" t="s">
        <v>81</v>
      </c>
      <c r="EF336" s="137">
        <f>ROUND(I336*H336,2)</f>
        <v>5301.61</v>
      </c>
      <c r="EG336" s="16" t="s">
        <v>95</v>
      </c>
      <c r="EH336" s="136" t="s">
        <v>592</v>
      </c>
    </row>
    <row r="337" spans="2:138" s="1" customFormat="1" x14ac:dyDescent="0.2">
      <c r="B337" s="31"/>
      <c r="D337" s="138" t="s">
        <v>289</v>
      </c>
      <c r="F337" s="139" t="s">
        <v>593</v>
      </c>
      <c r="I337" s="140"/>
      <c r="L337" s="31"/>
      <c r="N337" s="213"/>
      <c r="O337" s="214"/>
      <c r="Q337" s="229"/>
      <c r="CH337" s="141"/>
      <c r="CO337" s="50"/>
      <c r="DO337" s="16" t="s">
        <v>289</v>
      </c>
      <c r="DP337" s="16" t="s">
        <v>83</v>
      </c>
    </row>
    <row r="338" spans="2:138" s="1" customFormat="1" ht="19.5" x14ac:dyDescent="0.2">
      <c r="B338" s="31"/>
      <c r="D338" s="138" t="s">
        <v>299</v>
      </c>
      <c r="F338" s="142" t="s">
        <v>587</v>
      </c>
      <c r="I338" s="140"/>
      <c r="L338" s="31"/>
      <c r="N338" s="213">
        <f>191.81-180</f>
        <v>11.810000000000002</v>
      </c>
      <c r="O338" s="366" t="s">
        <v>3557</v>
      </c>
      <c r="Q338" s="229"/>
      <c r="CH338" s="141"/>
      <c r="CO338" s="50"/>
      <c r="DO338" s="16" t="s">
        <v>299</v>
      </c>
      <c r="DP338" s="16" t="s">
        <v>83</v>
      </c>
    </row>
    <row r="339" spans="2:138" s="1" customFormat="1" ht="24.2" customHeight="1" x14ac:dyDescent="0.2">
      <c r="B339" s="124"/>
      <c r="C339" s="125" t="s">
        <v>568</v>
      </c>
      <c r="D339" s="125" t="s">
        <v>284</v>
      </c>
      <c r="E339" s="126" t="s">
        <v>595</v>
      </c>
      <c r="F339" s="127" t="s">
        <v>596</v>
      </c>
      <c r="G339" s="128" t="s">
        <v>485</v>
      </c>
      <c r="H339" s="129">
        <v>3</v>
      </c>
      <c r="I339" s="130">
        <v>867.6587001634532</v>
      </c>
      <c r="J339" s="131">
        <f>ROUND(I339*H339,2)</f>
        <v>2602.98</v>
      </c>
      <c r="K339" s="127" t="s">
        <v>293</v>
      </c>
      <c r="L339" s="268">
        <f>S339</f>
        <v>0</v>
      </c>
      <c r="M339" s="272">
        <f>ROUND(L339*I339,2)</f>
        <v>0</v>
      </c>
      <c r="N339" s="243"/>
      <c r="O339" s="294">
        <f>ROUND(N339*I339,2)</f>
        <v>0</v>
      </c>
      <c r="P339" s="273">
        <f>H339-L339-N339</f>
        <v>3</v>
      </c>
      <c r="Q339" s="287">
        <f>ROUND(P339*I339,2)</f>
        <v>2602.98</v>
      </c>
      <c r="R339" s="137"/>
      <c r="S339" s="269">
        <f>W339+Y339+AA339+AC339</f>
        <v>0</v>
      </c>
      <c r="T339" s="269">
        <f>ROUND(S339*I339,2)</f>
        <v>0</v>
      </c>
      <c r="U339" s="269">
        <f>H339-S339</f>
        <v>3</v>
      </c>
      <c r="V339" s="269">
        <f>ROUND(U339*I339,2)</f>
        <v>2602.98</v>
      </c>
      <c r="W339" s="269"/>
      <c r="X339" s="269"/>
      <c r="Y339" s="269"/>
      <c r="Z339" s="269"/>
      <c r="AA339" s="269"/>
      <c r="AB339" s="269"/>
      <c r="AC339" s="269"/>
      <c r="AD339" s="269"/>
      <c r="CH339" s="132" t="s">
        <v>1</v>
      </c>
      <c r="CI339" s="133" t="s">
        <v>40</v>
      </c>
      <c r="CK339" s="134">
        <f>CJ339*H339</f>
        <v>0</v>
      </c>
      <c r="CL339" s="134">
        <v>1.0189999999999999E-2</v>
      </c>
      <c r="CM339" s="134">
        <f>CL339*H339</f>
        <v>3.057E-2</v>
      </c>
      <c r="CN339" s="134">
        <v>0</v>
      </c>
      <c r="CO339" s="135">
        <f>CN339*H339</f>
        <v>0</v>
      </c>
      <c r="DM339" s="136" t="s">
        <v>95</v>
      </c>
      <c r="DO339" s="136" t="s">
        <v>284</v>
      </c>
      <c r="DP339" s="136" t="s">
        <v>83</v>
      </c>
      <c r="DT339" s="16" t="s">
        <v>282</v>
      </c>
      <c r="DZ339" s="137">
        <f>IF(CI339="základní",J339,0)</f>
        <v>2602.98</v>
      </c>
      <c r="EA339" s="137">
        <f>IF(CI339="snížená",J339,0)</f>
        <v>0</v>
      </c>
      <c r="EB339" s="137">
        <f>IF(CI339="zákl. přenesená",J339,0)</f>
        <v>0</v>
      </c>
      <c r="EC339" s="137">
        <f>IF(CI339="sníž. přenesená",J339,0)</f>
        <v>0</v>
      </c>
      <c r="ED339" s="137">
        <f>IF(CI339="nulová",J339,0)</f>
        <v>0</v>
      </c>
      <c r="EE339" s="16" t="s">
        <v>81</v>
      </c>
      <c r="EF339" s="137">
        <f>ROUND(I339*H339,2)</f>
        <v>2602.98</v>
      </c>
      <c r="EG339" s="16" t="s">
        <v>95</v>
      </c>
      <c r="EH339" s="136" t="s">
        <v>597</v>
      </c>
    </row>
    <row r="340" spans="2:138" s="1" customFormat="1" ht="19.5" x14ac:dyDescent="0.2">
      <c r="B340" s="31"/>
      <c r="D340" s="138" t="s">
        <v>289</v>
      </c>
      <c r="F340" s="139" t="s">
        <v>596</v>
      </c>
      <c r="I340" s="140"/>
      <c r="L340" s="31"/>
      <c r="N340" s="213"/>
      <c r="O340" s="214"/>
      <c r="Q340" s="229"/>
      <c r="CH340" s="141"/>
      <c r="CO340" s="50"/>
      <c r="DO340" s="16" t="s">
        <v>289</v>
      </c>
      <c r="DP340" s="16" t="s">
        <v>83</v>
      </c>
    </row>
    <row r="341" spans="2:138" s="1" customFormat="1" ht="19.5" x14ac:dyDescent="0.2">
      <c r="B341" s="31"/>
      <c r="D341" s="138" t="s">
        <v>299</v>
      </c>
      <c r="F341" s="142" t="s">
        <v>317</v>
      </c>
      <c r="I341" s="140"/>
      <c r="L341" s="31"/>
      <c r="N341" s="213"/>
      <c r="O341" s="214"/>
      <c r="Q341" s="229"/>
      <c r="CH341" s="141"/>
      <c r="CO341" s="50"/>
      <c r="DO341" s="16" t="s">
        <v>299</v>
      </c>
      <c r="DP341" s="16" t="s">
        <v>83</v>
      </c>
    </row>
    <row r="342" spans="2:138" s="12" customFormat="1" x14ac:dyDescent="0.2">
      <c r="B342" s="149"/>
      <c r="D342" s="138" t="s">
        <v>301</v>
      </c>
      <c r="E342" s="150" t="s">
        <v>1</v>
      </c>
      <c r="F342" s="151" t="s">
        <v>833</v>
      </c>
      <c r="H342" s="152">
        <v>3</v>
      </c>
      <c r="I342" s="153"/>
      <c r="L342" s="149"/>
      <c r="N342" s="217"/>
      <c r="O342" s="218"/>
      <c r="Q342" s="231"/>
      <c r="CH342" s="154"/>
      <c r="CO342" s="155"/>
      <c r="DO342" s="150" t="s">
        <v>301</v>
      </c>
      <c r="DP342" s="150" t="s">
        <v>83</v>
      </c>
      <c r="DQ342" s="12" t="s">
        <v>83</v>
      </c>
      <c r="DR342" s="12" t="s">
        <v>32</v>
      </c>
      <c r="DS342" s="12" t="s">
        <v>81</v>
      </c>
      <c r="DT342" s="150" t="s">
        <v>282</v>
      </c>
    </row>
    <row r="343" spans="2:138" s="1" customFormat="1" ht="24.2" customHeight="1" x14ac:dyDescent="0.2">
      <c r="B343" s="124"/>
      <c r="C343" s="170" t="s">
        <v>572</v>
      </c>
      <c r="D343" s="170" t="s">
        <v>439</v>
      </c>
      <c r="E343" s="171" t="s">
        <v>605</v>
      </c>
      <c r="F343" s="172" t="s">
        <v>606</v>
      </c>
      <c r="G343" s="173" t="s">
        <v>485</v>
      </c>
      <c r="H343" s="174">
        <v>1</v>
      </c>
      <c r="I343" s="175">
        <v>2008.0972839999999</v>
      </c>
      <c r="J343" s="176">
        <f>ROUND(I343*H343,2)</f>
        <v>2008.1</v>
      </c>
      <c r="K343" s="172" t="s">
        <v>293</v>
      </c>
      <c r="L343" s="268">
        <f>S343</f>
        <v>0</v>
      </c>
      <c r="M343" s="272">
        <f>ROUND(L343*I343,2)</f>
        <v>0</v>
      </c>
      <c r="N343" s="243"/>
      <c r="O343" s="294">
        <f>ROUND(N343*I343,2)</f>
        <v>0</v>
      </c>
      <c r="P343" s="273">
        <f>H343-L343-N343</f>
        <v>1</v>
      </c>
      <c r="Q343" s="287">
        <f>ROUND(P343*I343,2)</f>
        <v>2008.1</v>
      </c>
      <c r="R343" s="137"/>
      <c r="S343" s="269">
        <f>W343+Y343+AA343+AC343</f>
        <v>0</v>
      </c>
      <c r="T343" s="269">
        <f>ROUND(S343*I343,2)</f>
        <v>0</v>
      </c>
      <c r="U343" s="269">
        <f>H343-S343</f>
        <v>1</v>
      </c>
      <c r="V343" s="269">
        <f>ROUND(U343*I343,2)</f>
        <v>2008.1</v>
      </c>
      <c r="W343" s="290"/>
      <c r="X343" s="290"/>
      <c r="Y343" s="290"/>
      <c r="Z343" s="290"/>
      <c r="AA343" s="290"/>
      <c r="AB343" s="290"/>
      <c r="AC343" s="290"/>
      <c r="AD343" s="290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77" t="s">
        <v>1</v>
      </c>
      <c r="CI343" s="178" t="s">
        <v>40</v>
      </c>
      <c r="CK343" s="134">
        <f>CJ343*H343</f>
        <v>0</v>
      </c>
      <c r="CL343" s="134">
        <v>0.50600000000000001</v>
      </c>
      <c r="CM343" s="134">
        <f>CL343*H343</f>
        <v>0.50600000000000001</v>
      </c>
      <c r="CN343" s="134">
        <v>0</v>
      </c>
      <c r="CO343" s="135">
        <f>CN343*H343</f>
        <v>0</v>
      </c>
      <c r="DM343" s="136" t="s">
        <v>328</v>
      </c>
      <c r="DO343" s="136" t="s">
        <v>439</v>
      </c>
      <c r="DP343" s="136" t="s">
        <v>83</v>
      </c>
      <c r="DT343" s="16" t="s">
        <v>282</v>
      </c>
      <c r="DZ343" s="137">
        <f>IF(CI343="základní",J343,0)</f>
        <v>2008.1</v>
      </c>
      <c r="EA343" s="137">
        <f>IF(CI343="snížená",J343,0)</f>
        <v>0</v>
      </c>
      <c r="EB343" s="137">
        <f>IF(CI343="zákl. přenesená",J343,0)</f>
        <v>0</v>
      </c>
      <c r="EC343" s="137">
        <f>IF(CI343="sníž. přenesená",J343,0)</f>
        <v>0</v>
      </c>
      <c r="ED343" s="137">
        <f>IF(CI343="nulová",J343,0)</f>
        <v>0</v>
      </c>
      <c r="EE343" s="16" t="s">
        <v>81</v>
      </c>
      <c r="EF343" s="137">
        <f>ROUND(I343*H343,2)</f>
        <v>2008.1</v>
      </c>
      <c r="EG343" s="16" t="s">
        <v>95</v>
      </c>
      <c r="EH343" s="136" t="s">
        <v>607</v>
      </c>
    </row>
    <row r="344" spans="2:138" s="1" customFormat="1" x14ac:dyDescent="0.2">
      <c r="B344" s="31"/>
      <c r="D344" s="138" t="s">
        <v>289</v>
      </c>
      <c r="F344" s="139" t="s">
        <v>608</v>
      </c>
      <c r="I344" s="140"/>
      <c r="L344" s="31"/>
      <c r="N344" s="213"/>
      <c r="O344" s="214"/>
      <c r="Q344" s="229"/>
      <c r="CH344" s="141"/>
      <c r="CO344" s="50"/>
      <c r="DO344" s="16" t="s">
        <v>289</v>
      </c>
      <c r="DP344" s="16" t="s">
        <v>83</v>
      </c>
    </row>
    <row r="345" spans="2:138" s="1" customFormat="1" ht="24.2" customHeight="1" x14ac:dyDescent="0.2">
      <c r="B345" s="124"/>
      <c r="C345" s="170" t="s">
        <v>576</v>
      </c>
      <c r="D345" s="170" t="s">
        <v>439</v>
      </c>
      <c r="E345" s="171" t="s">
        <v>610</v>
      </c>
      <c r="F345" s="172" t="s">
        <v>611</v>
      </c>
      <c r="G345" s="173" t="s">
        <v>485</v>
      </c>
      <c r="H345" s="174">
        <v>2</v>
      </c>
      <c r="I345" s="175">
        <v>2661.676117</v>
      </c>
      <c r="J345" s="176">
        <f>ROUND(I345*H345,2)</f>
        <v>5323.35</v>
      </c>
      <c r="K345" s="172" t="s">
        <v>293</v>
      </c>
      <c r="L345" s="268">
        <f>S345</f>
        <v>0</v>
      </c>
      <c r="M345" s="272">
        <f>ROUND(L345*I345,2)</f>
        <v>0</v>
      </c>
      <c r="N345" s="243"/>
      <c r="O345" s="294">
        <f>ROUND(N345*I345,2)</f>
        <v>0</v>
      </c>
      <c r="P345" s="273">
        <f>H345-L345-N345</f>
        <v>2</v>
      </c>
      <c r="Q345" s="287">
        <f>ROUND(P345*I345,2)</f>
        <v>5323.35</v>
      </c>
      <c r="R345" s="137"/>
      <c r="S345" s="269">
        <f>W345+Y345+AA345+AC345</f>
        <v>0</v>
      </c>
      <c r="T345" s="269">
        <f>ROUND(S345*I345,2)</f>
        <v>0</v>
      </c>
      <c r="U345" s="269">
        <f>H345-S345</f>
        <v>2</v>
      </c>
      <c r="V345" s="269">
        <f>ROUND(U345*I345,2)</f>
        <v>5323.35</v>
      </c>
      <c r="W345" s="290"/>
      <c r="X345" s="290"/>
      <c r="Y345" s="290"/>
      <c r="Z345" s="290"/>
      <c r="AA345" s="290"/>
      <c r="AB345" s="290"/>
      <c r="AC345" s="290"/>
      <c r="AD345" s="290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77" t="s">
        <v>1</v>
      </c>
      <c r="CI345" s="178" t="s">
        <v>40</v>
      </c>
      <c r="CK345" s="134">
        <f>CJ345*H345</f>
        <v>0</v>
      </c>
      <c r="CL345" s="134">
        <v>1.0129999999999999</v>
      </c>
      <c r="CM345" s="134">
        <f>CL345*H345</f>
        <v>2.0259999999999998</v>
      </c>
      <c r="CN345" s="134">
        <v>0</v>
      </c>
      <c r="CO345" s="135">
        <f>CN345*H345</f>
        <v>0</v>
      </c>
      <c r="DM345" s="136" t="s">
        <v>328</v>
      </c>
      <c r="DO345" s="136" t="s">
        <v>439</v>
      </c>
      <c r="DP345" s="136" t="s">
        <v>83</v>
      </c>
      <c r="DT345" s="16" t="s">
        <v>282</v>
      </c>
      <c r="DZ345" s="137">
        <f>IF(CI345="základní",J345,0)</f>
        <v>5323.35</v>
      </c>
      <c r="EA345" s="137">
        <f>IF(CI345="snížená",J345,0)</f>
        <v>0</v>
      </c>
      <c r="EB345" s="137">
        <f>IF(CI345="zákl. přenesená",J345,0)</f>
        <v>0</v>
      </c>
      <c r="EC345" s="137">
        <f>IF(CI345="sníž. přenesená",J345,0)</f>
        <v>0</v>
      </c>
      <c r="ED345" s="137">
        <f>IF(CI345="nulová",J345,0)</f>
        <v>0</v>
      </c>
      <c r="EE345" s="16" t="s">
        <v>81</v>
      </c>
      <c r="EF345" s="137">
        <f>ROUND(I345*H345,2)</f>
        <v>5323.35</v>
      </c>
      <c r="EG345" s="16" t="s">
        <v>95</v>
      </c>
      <c r="EH345" s="136" t="s">
        <v>612</v>
      </c>
    </row>
    <row r="346" spans="2:138" s="1" customFormat="1" x14ac:dyDescent="0.2">
      <c r="B346" s="31"/>
      <c r="D346" s="138" t="s">
        <v>289</v>
      </c>
      <c r="F346" s="139" t="s">
        <v>613</v>
      </c>
      <c r="I346" s="140"/>
      <c r="L346" s="31"/>
      <c r="N346" s="213"/>
      <c r="O346" s="214"/>
      <c r="Q346" s="229"/>
      <c r="CH346" s="141"/>
      <c r="CO346" s="50"/>
      <c r="DO346" s="16" t="s">
        <v>289</v>
      </c>
      <c r="DP346" s="16" t="s">
        <v>83</v>
      </c>
    </row>
    <row r="347" spans="2:138" s="1" customFormat="1" ht="24.2" customHeight="1" x14ac:dyDescent="0.2">
      <c r="B347" s="124"/>
      <c r="C347" s="125" t="s">
        <v>581</v>
      </c>
      <c r="D347" s="125" t="s">
        <v>284</v>
      </c>
      <c r="E347" s="126" t="s">
        <v>615</v>
      </c>
      <c r="F347" s="127" t="s">
        <v>616</v>
      </c>
      <c r="G347" s="128" t="s">
        <v>485</v>
      </c>
      <c r="H347" s="129">
        <v>1</v>
      </c>
      <c r="I347" s="130">
        <v>900.06084521218918</v>
      </c>
      <c r="J347" s="131">
        <f>ROUND(I347*H347,2)</f>
        <v>900.06</v>
      </c>
      <c r="K347" s="127" t="s">
        <v>293</v>
      </c>
      <c r="L347" s="268">
        <f>S347</f>
        <v>0</v>
      </c>
      <c r="M347" s="272">
        <f>ROUND(L347*I347,2)</f>
        <v>0</v>
      </c>
      <c r="N347" s="243"/>
      <c r="O347" s="294">
        <f>ROUND(N347*I347,2)</f>
        <v>0</v>
      </c>
      <c r="P347" s="273">
        <f>H347-L347-N347</f>
        <v>1</v>
      </c>
      <c r="Q347" s="287">
        <f>ROUND(P347*I347,2)</f>
        <v>900.06</v>
      </c>
      <c r="R347" s="137"/>
      <c r="S347" s="269">
        <f>W347+Y347+AA347+AC347</f>
        <v>0</v>
      </c>
      <c r="T347" s="269">
        <f>ROUND(S347*I347,2)</f>
        <v>0</v>
      </c>
      <c r="U347" s="269">
        <f>H347-S347</f>
        <v>1</v>
      </c>
      <c r="V347" s="269">
        <f>ROUND(U347*I347,2)</f>
        <v>900.06</v>
      </c>
      <c r="W347" s="269"/>
      <c r="X347" s="269"/>
      <c r="Y347" s="269"/>
      <c r="Z347" s="269"/>
      <c r="AA347" s="269"/>
      <c r="AB347" s="269"/>
      <c r="AC347" s="269"/>
      <c r="AD347" s="269"/>
      <c r="CH347" s="132" t="s">
        <v>1</v>
      </c>
      <c r="CI347" s="133" t="s">
        <v>40</v>
      </c>
      <c r="CK347" s="134">
        <f>CJ347*H347</f>
        <v>0</v>
      </c>
      <c r="CL347" s="134">
        <v>1.248E-2</v>
      </c>
      <c r="CM347" s="134">
        <f>CL347*H347</f>
        <v>1.248E-2</v>
      </c>
      <c r="CN347" s="134">
        <v>0</v>
      </c>
      <c r="CO347" s="135">
        <f>CN347*H347</f>
        <v>0</v>
      </c>
      <c r="DM347" s="136" t="s">
        <v>95</v>
      </c>
      <c r="DO347" s="136" t="s">
        <v>284</v>
      </c>
      <c r="DP347" s="136" t="s">
        <v>83</v>
      </c>
      <c r="DT347" s="16" t="s">
        <v>282</v>
      </c>
      <c r="DZ347" s="137">
        <f>IF(CI347="základní",J347,0)</f>
        <v>900.06</v>
      </c>
      <c r="EA347" s="137">
        <f>IF(CI347="snížená",J347,0)</f>
        <v>0</v>
      </c>
      <c r="EB347" s="137">
        <f>IF(CI347="zákl. přenesená",J347,0)</f>
        <v>0</v>
      </c>
      <c r="EC347" s="137">
        <f>IF(CI347="sníž. přenesená",J347,0)</f>
        <v>0</v>
      </c>
      <c r="ED347" s="137">
        <f>IF(CI347="nulová",J347,0)</f>
        <v>0</v>
      </c>
      <c r="EE347" s="16" t="s">
        <v>81</v>
      </c>
      <c r="EF347" s="137">
        <f>ROUND(I347*H347,2)</f>
        <v>900.06</v>
      </c>
      <c r="EG347" s="16" t="s">
        <v>95</v>
      </c>
      <c r="EH347" s="136" t="s">
        <v>617</v>
      </c>
    </row>
    <row r="348" spans="2:138" s="1" customFormat="1" ht="19.5" x14ac:dyDescent="0.2">
      <c r="B348" s="31"/>
      <c r="D348" s="138" t="s">
        <v>289</v>
      </c>
      <c r="F348" s="139" t="s">
        <v>616</v>
      </c>
      <c r="I348" s="140"/>
      <c r="L348" s="31"/>
      <c r="N348" s="213"/>
      <c r="O348" s="214"/>
      <c r="Q348" s="229"/>
      <c r="CH348" s="141"/>
      <c r="CO348" s="50"/>
      <c r="DO348" s="16" t="s">
        <v>289</v>
      </c>
      <c r="DP348" s="16" t="s">
        <v>83</v>
      </c>
    </row>
    <row r="349" spans="2:138" s="1" customFormat="1" ht="19.5" x14ac:dyDescent="0.2">
      <c r="B349" s="31"/>
      <c r="D349" s="138" t="s">
        <v>299</v>
      </c>
      <c r="F349" s="142" t="s">
        <v>317</v>
      </c>
      <c r="I349" s="140"/>
      <c r="L349" s="31"/>
      <c r="N349" s="213"/>
      <c r="O349" s="214"/>
      <c r="Q349" s="229"/>
      <c r="CH349" s="141"/>
      <c r="CO349" s="50"/>
      <c r="DO349" s="16" t="s">
        <v>299</v>
      </c>
      <c r="DP349" s="16" t="s">
        <v>83</v>
      </c>
    </row>
    <row r="350" spans="2:138" s="12" customFormat="1" x14ac:dyDescent="0.2">
      <c r="B350" s="149"/>
      <c r="D350" s="138" t="s">
        <v>301</v>
      </c>
      <c r="E350" s="150" t="s">
        <v>1</v>
      </c>
      <c r="F350" s="151" t="s">
        <v>81</v>
      </c>
      <c r="H350" s="152">
        <v>1</v>
      </c>
      <c r="I350" s="153"/>
      <c r="L350" s="149"/>
      <c r="N350" s="217"/>
      <c r="O350" s="218"/>
      <c r="Q350" s="231"/>
      <c r="CH350" s="154"/>
      <c r="CO350" s="155"/>
      <c r="DO350" s="150" t="s">
        <v>301</v>
      </c>
      <c r="DP350" s="150" t="s">
        <v>83</v>
      </c>
      <c r="DQ350" s="12" t="s">
        <v>83</v>
      </c>
      <c r="DR350" s="12" t="s">
        <v>32</v>
      </c>
      <c r="DS350" s="12" t="s">
        <v>81</v>
      </c>
      <c r="DT350" s="150" t="s">
        <v>282</v>
      </c>
    </row>
    <row r="351" spans="2:138" s="1" customFormat="1" ht="24.2" customHeight="1" x14ac:dyDescent="0.2">
      <c r="B351" s="124"/>
      <c r="C351" s="170" t="s">
        <v>589</v>
      </c>
      <c r="D351" s="170" t="s">
        <v>439</v>
      </c>
      <c r="E351" s="171" t="s">
        <v>619</v>
      </c>
      <c r="F351" s="172" t="s">
        <v>620</v>
      </c>
      <c r="G351" s="173" t="s">
        <v>485</v>
      </c>
      <c r="H351" s="174">
        <v>1</v>
      </c>
      <c r="I351" s="175">
        <v>2453.2886629999998</v>
      </c>
      <c r="J351" s="176">
        <f>ROUND(I351*H351,2)</f>
        <v>2453.29</v>
      </c>
      <c r="K351" s="172" t="s">
        <v>293</v>
      </c>
      <c r="L351" s="268">
        <f>S351</f>
        <v>0</v>
      </c>
      <c r="M351" s="272">
        <f>ROUND(L351*I351,2)</f>
        <v>0</v>
      </c>
      <c r="N351" s="243"/>
      <c r="O351" s="294">
        <f>ROUND(N351*I351,2)</f>
        <v>0</v>
      </c>
      <c r="P351" s="273">
        <f>H351-L351-N351</f>
        <v>1</v>
      </c>
      <c r="Q351" s="287">
        <f>ROUND(P351*I351,2)</f>
        <v>2453.29</v>
      </c>
      <c r="R351" s="137"/>
      <c r="S351" s="269">
        <f>W351+Y351+AA351+AC351</f>
        <v>0</v>
      </c>
      <c r="T351" s="269">
        <f>ROUND(S351*I351,2)</f>
        <v>0</v>
      </c>
      <c r="U351" s="269">
        <f>H351-S351</f>
        <v>1</v>
      </c>
      <c r="V351" s="269">
        <f>ROUND(U351*I351,2)</f>
        <v>2453.29</v>
      </c>
      <c r="W351" s="290"/>
      <c r="X351" s="290"/>
      <c r="Y351" s="290"/>
      <c r="Z351" s="290"/>
      <c r="AA351" s="290"/>
      <c r="AB351" s="290"/>
      <c r="AC351" s="290"/>
      <c r="AD351" s="290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77" t="s">
        <v>1</v>
      </c>
      <c r="CI351" s="178" t="s">
        <v>40</v>
      </c>
      <c r="CK351" s="134">
        <f>CJ351*H351</f>
        <v>0</v>
      </c>
      <c r="CL351" s="134">
        <v>0.54800000000000004</v>
      </c>
      <c r="CM351" s="134">
        <f>CL351*H351</f>
        <v>0.54800000000000004</v>
      </c>
      <c r="CN351" s="134">
        <v>0</v>
      </c>
      <c r="CO351" s="135">
        <f>CN351*H351</f>
        <v>0</v>
      </c>
      <c r="DM351" s="136" t="s">
        <v>328</v>
      </c>
      <c r="DO351" s="136" t="s">
        <v>439</v>
      </c>
      <c r="DP351" s="136" t="s">
        <v>83</v>
      </c>
      <c r="DT351" s="16" t="s">
        <v>282</v>
      </c>
      <c r="DZ351" s="137">
        <f>IF(CI351="základní",J351,0)</f>
        <v>2453.29</v>
      </c>
      <c r="EA351" s="137">
        <f>IF(CI351="snížená",J351,0)</f>
        <v>0</v>
      </c>
      <c r="EB351" s="137">
        <f>IF(CI351="zákl. přenesená",J351,0)</f>
        <v>0</v>
      </c>
      <c r="EC351" s="137">
        <f>IF(CI351="sníž. přenesená",J351,0)</f>
        <v>0</v>
      </c>
      <c r="ED351" s="137">
        <f>IF(CI351="nulová",J351,0)</f>
        <v>0</v>
      </c>
      <c r="EE351" s="16" t="s">
        <v>81</v>
      </c>
      <c r="EF351" s="137">
        <f>ROUND(I351*H351,2)</f>
        <v>2453.29</v>
      </c>
      <c r="EG351" s="16" t="s">
        <v>95</v>
      </c>
      <c r="EH351" s="136" t="s">
        <v>621</v>
      </c>
    </row>
    <row r="352" spans="2:138" s="1" customFormat="1" ht="19.5" x14ac:dyDescent="0.2">
      <c r="B352" s="31"/>
      <c r="D352" s="138" t="s">
        <v>289</v>
      </c>
      <c r="F352" s="139" t="s">
        <v>620</v>
      </c>
      <c r="I352" s="140"/>
      <c r="L352" s="31"/>
      <c r="N352" s="213"/>
      <c r="O352" s="214"/>
      <c r="Q352" s="229"/>
      <c r="CH352" s="141"/>
      <c r="CO352" s="50"/>
      <c r="DO352" s="16" t="s">
        <v>289</v>
      </c>
      <c r="DP352" s="16" t="s">
        <v>83</v>
      </c>
    </row>
    <row r="353" spans="2:138" s="1" customFormat="1" ht="24.2" customHeight="1" x14ac:dyDescent="0.2">
      <c r="B353" s="124"/>
      <c r="C353" s="125" t="s">
        <v>594</v>
      </c>
      <c r="D353" s="125" t="s">
        <v>284</v>
      </c>
      <c r="E353" s="126" t="s">
        <v>623</v>
      </c>
      <c r="F353" s="127" t="s">
        <v>624</v>
      </c>
      <c r="G353" s="128" t="s">
        <v>485</v>
      </c>
      <c r="H353" s="129">
        <v>2</v>
      </c>
      <c r="I353" s="130">
        <v>1039.9593659999746</v>
      </c>
      <c r="J353" s="131">
        <f>ROUND(I353*H353,2)</f>
        <v>2079.92</v>
      </c>
      <c r="K353" s="127" t="s">
        <v>293</v>
      </c>
      <c r="L353" s="268">
        <f>S353</f>
        <v>0</v>
      </c>
      <c r="M353" s="272">
        <f>ROUND(L353*I353,2)</f>
        <v>0</v>
      </c>
      <c r="N353" s="243"/>
      <c r="O353" s="294">
        <f>ROUND(N353*I353,2)</f>
        <v>0</v>
      </c>
      <c r="P353" s="273">
        <f>H353-L353-N353</f>
        <v>2</v>
      </c>
      <c r="Q353" s="287">
        <f>ROUND(P353*I353,2)</f>
        <v>2079.92</v>
      </c>
      <c r="R353" s="137"/>
      <c r="S353" s="269">
        <f>W353+Y353+AA353+AC353</f>
        <v>0</v>
      </c>
      <c r="T353" s="269">
        <f>ROUND(S353*I353,2)</f>
        <v>0</v>
      </c>
      <c r="U353" s="269">
        <f>H353-S353</f>
        <v>2</v>
      </c>
      <c r="V353" s="269">
        <f>ROUND(U353*I353,2)</f>
        <v>2079.92</v>
      </c>
      <c r="W353" s="269"/>
      <c r="X353" s="269"/>
      <c r="Y353" s="269"/>
      <c r="Z353" s="269"/>
      <c r="AA353" s="269"/>
      <c r="AB353" s="269"/>
      <c r="AC353" s="269"/>
      <c r="AD353" s="269"/>
      <c r="CH353" s="132" t="s">
        <v>1</v>
      </c>
      <c r="CI353" s="133" t="s">
        <v>40</v>
      </c>
      <c r="CK353" s="134">
        <f>CJ353*H353</f>
        <v>0</v>
      </c>
      <c r="CL353" s="134">
        <v>2.8539999999999999E-2</v>
      </c>
      <c r="CM353" s="134">
        <f>CL353*H353</f>
        <v>5.7079999999999999E-2</v>
      </c>
      <c r="CN353" s="134">
        <v>0</v>
      </c>
      <c r="CO353" s="135">
        <f>CN353*H353</f>
        <v>0</v>
      </c>
      <c r="DM353" s="136" t="s">
        <v>95</v>
      </c>
      <c r="DO353" s="136" t="s">
        <v>284</v>
      </c>
      <c r="DP353" s="136" t="s">
        <v>83</v>
      </c>
      <c r="DT353" s="16" t="s">
        <v>282</v>
      </c>
      <c r="DZ353" s="137">
        <f>IF(CI353="základní",J353,0)</f>
        <v>2079.92</v>
      </c>
      <c r="EA353" s="137">
        <f>IF(CI353="snížená",J353,0)</f>
        <v>0</v>
      </c>
      <c r="EB353" s="137">
        <f>IF(CI353="zákl. přenesená",J353,0)</f>
        <v>0</v>
      </c>
      <c r="EC353" s="137">
        <f>IF(CI353="sníž. přenesená",J353,0)</f>
        <v>0</v>
      </c>
      <c r="ED353" s="137">
        <f>IF(CI353="nulová",J353,0)</f>
        <v>0</v>
      </c>
      <c r="EE353" s="16" t="s">
        <v>81</v>
      </c>
      <c r="EF353" s="137">
        <f>ROUND(I353*H353,2)</f>
        <v>2079.92</v>
      </c>
      <c r="EG353" s="16" t="s">
        <v>95</v>
      </c>
      <c r="EH353" s="136" t="s">
        <v>625</v>
      </c>
    </row>
    <row r="354" spans="2:138" s="1" customFormat="1" ht="19.5" x14ac:dyDescent="0.2">
      <c r="B354" s="31"/>
      <c r="D354" s="138" t="s">
        <v>289</v>
      </c>
      <c r="F354" s="139" t="s">
        <v>624</v>
      </c>
      <c r="I354" s="140"/>
      <c r="L354" s="31"/>
      <c r="N354" s="213"/>
      <c r="O354" s="214"/>
      <c r="Q354" s="229"/>
      <c r="CH354" s="141"/>
      <c r="CO354" s="50"/>
      <c r="DO354" s="16" t="s">
        <v>289</v>
      </c>
      <c r="DP354" s="16" t="s">
        <v>83</v>
      </c>
    </row>
    <row r="355" spans="2:138" s="1" customFormat="1" ht="19.5" x14ac:dyDescent="0.2">
      <c r="B355" s="31"/>
      <c r="D355" s="138" t="s">
        <v>299</v>
      </c>
      <c r="F355" s="142" t="s">
        <v>317</v>
      </c>
      <c r="I355" s="140"/>
      <c r="L355" s="31"/>
      <c r="N355" s="213"/>
      <c r="O355" s="214"/>
      <c r="Q355" s="229"/>
      <c r="CH355" s="141"/>
      <c r="CO355" s="50"/>
      <c r="DO355" s="16" t="s">
        <v>299</v>
      </c>
      <c r="DP355" s="16" t="s">
        <v>83</v>
      </c>
    </row>
    <row r="356" spans="2:138" s="12" customFormat="1" x14ac:dyDescent="0.2">
      <c r="B356" s="149"/>
      <c r="D356" s="138" t="s">
        <v>301</v>
      </c>
      <c r="E356" s="150" t="s">
        <v>1</v>
      </c>
      <c r="F356" s="151" t="s">
        <v>834</v>
      </c>
      <c r="H356" s="152">
        <v>2</v>
      </c>
      <c r="I356" s="153"/>
      <c r="L356" s="149"/>
      <c r="N356" s="217"/>
      <c r="O356" s="218"/>
      <c r="Q356" s="231"/>
      <c r="CH356" s="154"/>
      <c r="CO356" s="155"/>
      <c r="DO356" s="150" t="s">
        <v>301</v>
      </c>
      <c r="DP356" s="150" t="s">
        <v>83</v>
      </c>
      <c r="DQ356" s="12" t="s">
        <v>83</v>
      </c>
      <c r="DR356" s="12" t="s">
        <v>32</v>
      </c>
      <c r="DS356" s="12" t="s">
        <v>81</v>
      </c>
      <c r="DT356" s="150" t="s">
        <v>282</v>
      </c>
    </row>
    <row r="357" spans="2:138" s="1" customFormat="1" ht="62.65" customHeight="1" x14ac:dyDescent="0.2">
      <c r="B357" s="124"/>
      <c r="C357" s="170" t="s">
        <v>599</v>
      </c>
      <c r="D357" s="170" t="s">
        <v>439</v>
      </c>
      <c r="E357" s="171" t="s">
        <v>632</v>
      </c>
      <c r="F357" s="172" t="s">
        <v>633</v>
      </c>
      <c r="G357" s="173" t="s">
        <v>485</v>
      </c>
      <c r="H357" s="174">
        <v>1</v>
      </c>
      <c r="I357" s="175">
        <v>9051.3334500000001</v>
      </c>
      <c r="J357" s="176">
        <f>ROUND(I357*H357,2)</f>
        <v>9051.33</v>
      </c>
      <c r="K357" s="172" t="s">
        <v>1</v>
      </c>
      <c r="L357" s="268">
        <f>S357</f>
        <v>0</v>
      </c>
      <c r="M357" s="272">
        <f>ROUND(L357*I357,2)</f>
        <v>0</v>
      </c>
      <c r="N357" s="243"/>
      <c r="O357" s="294">
        <f>ROUND(N357*I357,2)</f>
        <v>0</v>
      </c>
      <c r="P357" s="273">
        <f>H357-L357-N357</f>
        <v>1</v>
      </c>
      <c r="Q357" s="287">
        <f>ROUND(P357*I357,2)</f>
        <v>9051.33</v>
      </c>
      <c r="R357" s="137"/>
      <c r="S357" s="269">
        <f>W357+Y357+AA357+AC357</f>
        <v>0</v>
      </c>
      <c r="T357" s="269">
        <f>ROUND(S357*I357,2)</f>
        <v>0</v>
      </c>
      <c r="U357" s="269">
        <f>H357-S357</f>
        <v>1</v>
      </c>
      <c r="V357" s="269">
        <f>ROUND(U357*I357,2)</f>
        <v>9051.33</v>
      </c>
      <c r="W357" s="290"/>
      <c r="X357" s="290"/>
      <c r="Y357" s="290"/>
      <c r="Z357" s="290"/>
      <c r="AA357" s="290"/>
      <c r="AB357" s="290"/>
      <c r="AC357" s="290"/>
      <c r="AD357" s="290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77" t="s">
        <v>1</v>
      </c>
      <c r="CI357" s="178" t="s">
        <v>40</v>
      </c>
      <c r="CK357" s="134">
        <f>CJ357*H357</f>
        <v>0</v>
      </c>
      <c r="CL357" s="134">
        <v>1.87</v>
      </c>
      <c r="CM357" s="134">
        <f>CL357*H357</f>
        <v>1.87</v>
      </c>
      <c r="CN357" s="134">
        <v>0</v>
      </c>
      <c r="CO357" s="135">
        <f>CN357*H357</f>
        <v>0</v>
      </c>
      <c r="DM357" s="136" t="s">
        <v>328</v>
      </c>
      <c r="DO357" s="136" t="s">
        <v>439</v>
      </c>
      <c r="DP357" s="136" t="s">
        <v>83</v>
      </c>
      <c r="DT357" s="16" t="s">
        <v>282</v>
      </c>
      <c r="DZ357" s="137">
        <f>IF(CI357="základní",J357,0)</f>
        <v>9051.33</v>
      </c>
      <c r="EA357" s="137">
        <f>IF(CI357="snížená",J357,0)</f>
        <v>0</v>
      </c>
      <c r="EB357" s="137">
        <f>IF(CI357="zákl. přenesená",J357,0)</f>
        <v>0</v>
      </c>
      <c r="EC357" s="137">
        <f>IF(CI357="sníž. přenesená",J357,0)</f>
        <v>0</v>
      </c>
      <c r="ED357" s="137">
        <f>IF(CI357="nulová",J357,0)</f>
        <v>0</v>
      </c>
      <c r="EE357" s="16" t="s">
        <v>81</v>
      </c>
      <c r="EF357" s="137">
        <f>ROUND(I357*H357,2)</f>
        <v>9051.33</v>
      </c>
      <c r="EG357" s="16" t="s">
        <v>95</v>
      </c>
      <c r="EH357" s="136" t="s">
        <v>634</v>
      </c>
    </row>
    <row r="358" spans="2:138" s="1" customFormat="1" ht="39" x14ac:dyDescent="0.2">
      <c r="B358" s="31"/>
      <c r="D358" s="138" t="s">
        <v>289</v>
      </c>
      <c r="F358" s="139" t="s">
        <v>633</v>
      </c>
      <c r="I358" s="140"/>
      <c r="L358" s="31"/>
      <c r="N358" s="213"/>
      <c r="O358" s="214"/>
      <c r="Q358" s="229"/>
      <c r="CH358" s="141"/>
      <c r="CO358" s="50"/>
      <c r="DO358" s="16" t="s">
        <v>289</v>
      </c>
      <c r="DP358" s="16" t="s">
        <v>83</v>
      </c>
    </row>
    <row r="359" spans="2:138" s="1" customFormat="1" ht="62.65" customHeight="1" x14ac:dyDescent="0.2">
      <c r="B359" s="124"/>
      <c r="C359" s="170" t="s">
        <v>604</v>
      </c>
      <c r="D359" s="170" t="s">
        <v>439</v>
      </c>
      <c r="E359" s="171" t="s">
        <v>1649</v>
      </c>
      <c r="F359" s="172" t="s">
        <v>783</v>
      </c>
      <c r="G359" s="173" t="s">
        <v>485</v>
      </c>
      <c r="H359" s="174">
        <v>1</v>
      </c>
      <c r="I359" s="175">
        <v>10945.76485</v>
      </c>
      <c r="J359" s="176">
        <f>ROUND(I359*H359,2)</f>
        <v>10945.76</v>
      </c>
      <c r="K359" s="172" t="s">
        <v>1</v>
      </c>
      <c r="L359" s="268">
        <f>S359</f>
        <v>0</v>
      </c>
      <c r="M359" s="272">
        <f>ROUND(L359*I359,2)</f>
        <v>0</v>
      </c>
      <c r="N359" s="243"/>
      <c r="O359" s="294">
        <f>ROUND(N359*I359,2)</f>
        <v>0</v>
      </c>
      <c r="P359" s="273">
        <f>H359-L359-N359</f>
        <v>1</v>
      </c>
      <c r="Q359" s="287">
        <f>ROUND(P359*I359,2)</f>
        <v>10945.76</v>
      </c>
      <c r="R359" s="137"/>
      <c r="S359" s="269">
        <f>W359+Y359+AA359+AC359</f>
        <v>0</v>
      </c>
      <c r="T359" s="269">
        <f>ROUND(S359*I359,2)</f>
        <v>0</v>
      </c>
      <c r="U359" s="269">
        <f>H359-S359</f>
        <v>1</v>
      </c>
      <c r="V359" s="269">
        <f>ROUND(U359*I359,2)</f>
        <v>10945.76</v>
      </c>
      <c r="W359" s="290"/>
      <c r="X359" s="290"/>
      <c r="Y359" s="290"/>
      <c r="Z359" s="290"/>
      <c r="AA359" s="290"/>
      <c r="AB359" s="290"/>
      <c r="AC359" s="290"/>
      <c r="AD359" s="290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77" t="s">
        <v>1</v>
      </c>
      <c r="CI359" s="178" t="s">
        <v>40</v>
      </c>
      <c r="CK359" s="134">
        <f>CJ359*H359</f>
        <v>0</v>
      </c>
      <c r="CL359" s="134">
        <v>1.87</v>
      </c>
      <c r="CM359" s="134">
        <f>CL359*H359</f>
        <v>1.87</v>
      </c>
      <c r="CN359" s="134">
        <v>0</v>
      </c>
      <c r="CO359" s="135">
        <f>CN359*H359</f>
        <v>0</v>
      </c>
      <c r="DM359" s="136" t="s">
        <v>328</v>
      </c>
      <c r="DO359" s="136" t="s">
        <v>439</v>
      </c>
      <c r="DP359" s="136" t="s">
        <v>83</v>
      </c>
      <c r="DT359" s="16" t="s">
        <v>282</v>
      </c>
      <c r="DZ359" s="137">
        <f>IF(CI359="základní",J359,0)</f>
        <v>10945.76</v>
      </c>
      <c r="EA359" s="137">
        <f>IF(CI359="snížená",J359,0)</f>
        <v>0</v>
      </c>
      <c r="EB359" s="137">
        <f>IF(CI359="zákl. přenesená",J359,0)</f>
        <v>0</v>
      </c>
      <c r="EC359" s="137">
        <f>IF(CI359="sníž. přenesená",J359,0)</f>
        <v>0</v>
      </c>
      <c r="ED359" s="137">
        <f>IF(CI359="nulová",J359,0)</f>
        <v>0</v>
      </c>
      <c r="EE359" s="16" t="s">
        <v>81</v>
      </c>
      <c r="EF359" s="137">
        <f>ROUND(I359*H359,2)</f>
        <v>10945.76</v>
      </c>
      <c r="EG359" s="16" t="s">
        <v>95</v>
      </c>
      <c r="EH359" s="136" t="s">
        <v>1650</v>
      </c>
    </row>
    <row r="360" spans="2:138" s="1" customFormat="1" ht="39" x14ac:dyDescent="0.2">
      <c r="B360" s="31"/>
      <c r="D360" s="138" t="s">
        <v>289</v>
      </c>
      <c r="F360" s="139" t="s">
        <v>783</v>
      </c>
      <c r="I360" s="140"/>
      <c r="L360" s="31"/>
      <c r="N360" s="213"/>
      <c r="O360" s="214"/>
      <c r="Q360" s="229"/>
      <c r="CH360" s="141"/>
      <c r="CO360" s="50"/>
      <c r="DO360" s="16" t="s">
        <v>289</v>
      </c>
      <c r="DP360" s="16" t="s">
        <v>83</v>
      </c>
    </row>
    <row r="361" spans="2:138" s="1" customFormat="1" ht="24.2" customHeight="1" x14ac:dyDescent="0.2">
      <c r="B361" s="124"/>
      <c r="C361" s="170" t="s">
        <v>609</v>
      </c>
      <c r="D361" s="170" t="s">
        <v>439</v>
      </c>
      <c r="E361" s="171" t="s">
        <v>640</v>
      </c>
      <c r="F361" s="172" t="s">
        <v>641</v>
      </c>
      <c r="G361" s="173" t="s">
        <v>485</v>
      </c>
      <c r="H361" s="174">
        <v>5</v>
      </c>
      <c r="I361" s="175">
        <v>182.81263010000001</v>
      </c>
      <c r="J361" s="176">
        <f>ROUND(I361*H361,2)</f>
        <v>914.06</v>
      </c>
      <c r="K361" s="172" t="s">
        <v>293</v>
      </c>
      <c r="L361" s="268">
        <f>S361</f>
        <v>0</v>
      </c>
      <c r="M361" s="272">
        <f>ROUND(L361*I361,2)</f>
        <v>0</v>
      </c>
      <c r="N361" s="243"/>
      <c r="O361" s="294">
        <f>ROUND(N361*I361,2)</f>
        <v>0</v>
      </c>
      <c r="P361" s="273">
        <f>H361-L361-N361</f>
        <v>5</v>
      </c>
      <c r="Q361" s="287">
        <f>ROUND(P361*I361,2)</f>
        <v>914.06</v>
      </c>
      <c r="R361" s="137"/>
      <c r="S361" s="269">
        <f>W361+Y361+AA361+AC361</f>
        <v>0</v>
      </c>
      <c r="T361" s="269">
        <f>ROUND(S361*I361,2)</f>
        <v>0</v>
      </c>
      <c r="U361" s="269">
        <f>H361-S361</f>
        <v>5</v>
      </c>
      <c r="V361" s="269">
        <f>ROUND(U361*I361,2)</f>
        <v>914.06</v>
      </c>
      <c r="W361" s="290"/>
      <c r="X361" s="290"/>
      <c r="Y361" s="290"/>
      <c r="Z361" s="290"/>
      <c r="AA361" s="290"/>
      <c r="AB361" s="290"/>
      <c r="AC361" s="290"/>
      <c r="AD361" s="290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77" t="s">
        <v>1</v>
      </c>
      <c r="CI361" s="178" t="s">
        <v>40</v>
      </c>
      <c r="CK361" s="134">
        <f>CJ361*H361</f>
        <v>0</v>
      </c>
      <c r="CL361" s="134">
        <v>2E-3</v>
      </c>
      <c r="CM361" s="134">
        <f>CL361*H361</f>
        <v>0.01</v>
      </c>
      <c r="CN361" s="134">
        <v>0</v>
      </c>
      <c r="CO361" s="135">
        <f>CN361*H361</f>
        <v>0</v>
      </c>
      <c r="DM361" s="136" t="s">
        <v>328</v>
      </c>
      <c r="DO361" s="136" t="s">
        <v>439</v>
      </c>
      <c r="DP361" s="136" t="s">
        <v>83</v>
      </c>
      <c r="DT361" s="16" t="s">
        <v>282</v>
      </c>
      <c r="DZ361" s="137">
        <f>IF(CI361="základní",J361,0)</f>
        <v>914.06</v>
      </c>
      <c r="EA361" s="137">
        <f>IF(CI361="snížená",J361,0)</f>
        <v>0</v>
      </c>
      <c r="EB361" s="137">
        <f>IF(CI361="zákl. přenesená",J361,0)</f>
        <v>0</v>
      </c>
      <c r="EC361" s="137">
        <f>IF(CI361="sníž. přenesená",J361,0)</f>
        <v>0</v>
      </c>
      <c r="ED361" s="137">
        <f>IF(CI361="nulová",J361,0)</f>
        <v>0</v>
      </c>
      <c r="EE361" s="16" t="s">
        <v>81</v>
      </c>
      <c r="EF361" s="137">
        <f>ROUND(I361*H361,2)</f>
        <v>914.06</v>
      </c>
      <c r="EG361" s="16" t="s">
        <v>95</v>
      </c>
      <c r="EH361" s="136" t="s">
        <v>642</v>
      </c>
    </row>
    <row r="362" spans="2:138" s="1" customFormat="1" x14ac:dyDescent="0.2">
      <c r="B362" s="31"/>
      <c r="D362" s="138" t="s">
        <v>289</v>
      </c>
      <c r="F362" s="139" t="s">
        <v>641</v>
      </c>
      <c r="I362" s="140"/>
      <c r="L362" s="31"/>
      <c r="N362" s="213"/>
      <c r="O362" s="214"/>
      <c r="Q362" s="229"/>
      <c r="CH362" s="141"/>
      <c r="CO362" s="50"/>
      <c r="DO362" s="16" t="s">
        <v>289</v>
      </c>
      <c r="DP362" s="16" t="s">
        <v>83</v>
      </c>
    </row>
    <row r="363" spans="2:138" s="1" customFormat="1" ht="24.2" customHeight="1" x14ac:dyDescent="0.2">
      <c r="B363" s="124"/>
      <c r="C363" s="125" t="s">
        <v>614</v>
      </c>
      <c r="D363" s="125" t="s">
        <v>284</v>
      </c>
      <c r="E363" s="126" t="s">
        <v>785</v>
      </c>
      <c r="F363" s="127" t="s">
        <v>786</v>
      </c>
      <c r="G363" s="128" t="s">
        <v>485</v>
      </c>
      <c r="H363" s="129">
        <v>1</v>
      </c>
      <c r="I363" s="130">
        <v>670.01283357972886</v>
      </c>
      <c r="J363" s="131">
        <f>ROUND(I363*H363,2)</f>
        <v>670.01</v>
      </c>
      <c r="K363" s="127" t="s">
        <v>293</v>
      </c>
      <c r="L363" s="268">
        <f>S363</f>
        <v>0</v>
      </c>
      <c r="M363" s="272">
        <f>ROUND(L363*I363,2)</f>
        <v>0</v>
      </c>
      <c r="N363" s="243"/>
      <c r="O363" s="294">
        <f>ROUND(N363*I363,2)</f>
        <v>0</v>
      </c>
      <c r="P363" s="273">
        <f>H363-L363-N363</f>
        <v>1</v>
      </c>
      <c r="Q363" s="287">
        <f>ROUND(P363*I363,2)</f>
        <v>670.01</v>
      </c>
      <c r="R363" s="137"/>
      <c r="S363" s="269">
        <f>W363+Y363+AA363+AC363</f>
        <v>0</v>
      </c>
      <c r="T363" s="269">
        <f>ROUND(S363*I363,2)</f>
        <v>0</v>
      </c>
      <c r="U363" s="269">
        <f>H363-S363</f>
        <v>1</v>
      </c>
      <c r="V363" s="269">
        <f>ROUND(U363*I363,2)</f>
        <v>670.01</v>
      </c>
      <c r="W363" s="269"/>
      <c r="X363" s="269"/>
      <c r="Y363" s="269"/>
      <c r="Z363" s="269"/>
      <c r="AA363" s="269"/>
      <c r="AB363" s="269"/>
      <c r="AC363" s="269"/>
      <c r="AD363" s="269"/>
      <c r="CH363" s="132" t="s">
        <v>1</v>
      </c>
      <c r="CI363" s="133" t="s">
        <v>40</v>
      </c>
      <c r="CK363" s="134">
        <f>CJ363*H363</f>
        <v>0</v>
      </c>
      <c r="CL363" s="134">
        <v>3.9269999999999999E-2</v>
      </c>
      <c r="CM363" s="134">
        <f>CL363*H363</f>
        <v>3.9269999999999999E-2</v>
      </c>
      <c r="CN363" s="134">
        <v>0</v>
      </c>
      <c r="CO363" s="135">
        <f>CN363*H363</f>
        <v>0</v>
      </c>
      <c r="DM363" s="136" t="s">
        <v>95</v>
      </c>
      <c r="DO363" s="136" t="s">
        <v>284</v>
      </c>
      <c r="DP363" s="136" t="s">
        <v>83</v>
      </c>
      <c r="DT363" s="16" t="s">
        <v>282</v>
      </c>
      <c r="DZ363" s="137">
        <f>IF(CI363="základní",J363,0)</f>
        <v>670.01</v>
      </c>
      <c r="EA363" s="137">
        <f>IF(CI363="snížená",J363,0)</f>
        <v>0</v>
      </c>
      <c r="EB363" s="137">
        <f>IF(CI363="zákl. přenesená",J363,0)</f>
        <v>0</v>
      </c>
      <c r="EC363" s="137">
        <f>IF(CI363="sníž. přenesená",J363,0)</f>
        <v>0</v>
      </c>
      <c r="ED363" s="137">
        <f>IF(CI363="nulová",J363,0)</f>
        <v>0</v>
      </c>
      <c r="EE363" s="16" t="s">
        <v>81</v>
      </c>
      <c r="EF363" s="137">
        <f>ROUND(I363*H363,2)</f>
        <v>670.01</v>
      </c>
      <c r="EG363" s="16" t="s">
        <v>95</v>
      </c>
      <c r="EH363" s="136" t="s">
        <v>787</v>
      </c>
    </row>
    <row r="364" spans="2:138" s="1" customFormat="1" ht="19.5" x14ac:dyDescent="0.2">
      <c r="B364" s="31"/>
      <c r="D364" s="138" t="s">
        <v>289</v>
      </c>
      <c r="F364" s="139" t="s">
        <v>786</v>
      </c>
      <c r="I364" s="140"/>
      <c r="L364" s="31"/>
      <c r="N364" s="213"/>
      <c r="O364" s="214"/>
      <c r="Q364" s="229"/>
      <c r="CH364" s="141"/>
      <c r="CO364" s="50"/>
      <c r="DO364" s="16" t="s">
        <v>289</v>
      </c>
      <c r="DP364" s="16" t="s">
        <v>83</v>
      </c>
    </row>
    <row r="365" spans="2:138" s="1" customFormat="1" ht="19.5" x14ac:dyDescent="0.2">
      <c r="B365" s="31"/>
      <c r="D365" s="138" t="s">
        <v>299</v>
      </c>
      <c r="F365" s="142" t="s">
        <v>317</v>
      </c>
      <c r="I365" s="140"/>
      <c r="L365" s="31"/>
      <c r="N365" s="213"/>
      <c r="O365" s="214"/>
      <c r="Q365" s="229"/>
      <c r="CH365" s="141"/>
      <c r="CO365" s="50"/>
      <c r="DO365" s="16" t="s">
        <v>299</v>
      </c>
      <c r="DP365" s="16" t="s">
        <v>83</v>
      </c>
    </row>
    <row r="366" spans="2:138" s="12" customFormat="1" x14ac:dyDescent="0.2">
      <c r="B366" s="149"/>
      <c r="D366" s="138" t="s">
        <v>301</v>
      </c>
      <c r="E366" s="150" t="s">
        <v>1</v>
      </c>
      <c r="F366" s="151" t="s">
        <v>81</v>
      </c>
      <c r="H366" s="152">
        <v>1</v>
      </c>
      <c r="I366" s="153"/>
      <c r="L366" s="149"/>
      <c r="N366" s="217"/>
      <c r="O366" s="218"/>
      <c r="Q366" s="231"/>
      <c r="CH366" s="154"/>
      <c r="CO366" s="155"/>
      <c r="DO366" s="150" t="s">
        <v>301</v>
      </c>
      <c r="DP366" s="150" t="s">
        <v>83</v>
      </c>
      <c r="DQ366" s="12" t="s">
        <v>83</v>
      </c>
      <c r="DR366" s="12" t="s">
        <v>32</v>
      </c>
      <c r="DS366" s="12" t="s">
        <v>81</v>
      </c>
      <c r="DT366" s="150" t="s">
        <v>282</v>
      </c>
    </row>
    <row r="367" spans="2:138" s="1" customFormat="1" ht="24.2" customHeight="1" x14ac:dyDescent="0.2">
      <c r="B367" s="124"/>
      <c r="C367" s="170" t="s">
        <v>618</v>
      </c>
      <c r="D367" s="170" t="s">
        <v>439</v>
      </c>
      <c r="E367" s="171" t="s">
        <v>788</v>
      </c>
      <c r="F367" s="172" t="s">
        <v>789</v>
      </c>
      <c r="G367" s="173" t="s">
        <v>485</v>
      </c>
      <c r="H367" s="174">
        <v>1</v>
      </c>
      <c r="I367" s="175">
        <v>3220.5333799999999</v>
      </c>
      <c r="J367" s="176">
        <f>ROUND(I367*H367,2)</f>
        <v>3220.53</v>
      </c>
      <c r="K367" s="172" t="s">
        <v>1</v>
      </c>
      <c r="L367" s="268">
        <f>S367</f>
        <v>0</v>
      </c>
      <c r="M367" s="272">
        <f>ROUND(L367*I367,2)</f>
        <v>0</v>
      </c>
      <c r="N367" s="243"/>
      <c r="O367" s="294">
        <f>ROUND(N367*I367,2)</f>
        <v>0</v>
      </c>
      <c r="P367" s="273">
        <f>H367-L367-N367</f>
        <v>1</v>
      </c>
      <c r="Q367" s="287">
        <f>ROUND(P367*I367,2)</f>
        <v>3220.53</v>
      </c>
      <c r="R367" s="137"/>
      <c r="S367" s="269">
        <f>W367+Y367+AA367+AC367</f>
        <v>0</v>
      </c>
      <c r="T367" s="269">
        <f>ROUND(S367*I367,2)</f>
        <v>0</v>
      </c>
      <c r="U367" s="269">
        <f>H367-S367</f>
        <v>1</v>
      </c>
      <c r="V367" s="269">
        <f>ROUND(U367*I367,2)</f>
        <v>3220.53</v>
      </c>
      <c r="W367" s="290"/>
      <c r="X367" s="290"/>
      <c r="Y367" s="290"/>
      <c r="Z367" s="290"/>
      <c r="AA367" s="290"/>
      <c r="AB367" s="290"/>
      <c r="AC367" s="290"/>
      <c r="AD367" s="290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77" t="s">
        <v>1</v>
      </c>
      <c r="CI367" s="178" t="s">
        <v>40</v>
      </c>
      <c r="CK367" s="134">
        <f>CJ367*H367</f>
        <v>0</v>
      </c>
      <c r="CL367" s="134">
        <v>0.44900000000000001</v>
      </c>
      <c r="CM367" s="134">
        <f>CL367*H367</f>
        <v>0.44900000000000001</v>
      </c>
      <c r="CN367" s="134">
        <v>0</v>
      </c>
      <c r="CO367" s="135">
        <f>CN367*H367</f>
        <v>0</v>
      </c>
      <c r="DM367" s="136" t="s">
        <v>328</v>
      </c>
      <c r="DO367" s="136" t="s">
        <v>439</v>
      </c>
      <c r="DP367" s="136" t="s">
        <v>83</v>
      </c>
      <c r="DT367" s="16" t="s">
        <v>282</v>
      </c>
      <c r="DZ367" s="137">
        <f>IF(CI367="základní",J367,0)</f>
        <v>3220.53</v>
      </c>
      <c r="EA367" s="137">
        <f>IF(CI367="snížená",J367,0)</f>
        <v>0</v>
      </c>
      <c r="EB367" s="137">
        <f>IF(CI367="zákl. přenesená",J367,0)</f>
        <v>0</v>
      </c>
      <c r="EC367" s="137">
        <f>IF(CI367="sníž. přenesená",J367,0)</f>
        <v>0</v>
      </c>
      <c r="ED367" s="137">
        <f>IF(CI367="nulová",J367,0)</f>
        <v>0</v>
      </c>
      <c r="EE367" s="16" t="s">
        <v>81</v>
      </c>
      <c r="EF367" s="137">
        <f>ROUND(I367*H367,2)</f>
        <v>3220.53</v>
      </c>
      <c r="EG367" s="16" t="s">
        <v>95</v>
      </c>
      <c r="EH367" s="136" t="s">
        <v>790</v>
      </c>
    </row>
    <row r="368" spans="2:138" s="1" customFormat="1" x14ac:dyDescent="0.2">
      <c r="B368" s="31"/>
      <c r="D368" s="138" t="s">
        <v>289</v>
      </c>
      <c r="F368" s="139" t="s">
        <v>791</v>
      </c>
      <c r="I368" s="140"/>
      <c r="L368" s="31"/>
      <c r="N368" s="213"/>
      <c r="O368" s="214"/>
      <c r="Q368" s="229"/>
      <c r="CH368" s="141"/>
      <c r="CO368" s="50"/>
      <c r="DO368" s="16" t="s">
        <v>289</v>
      </c>
      <c r="DP368" s="16" t="s">
        <v>83</v>
      </c>
    </row>
    <row r="369" spans="2:138" s="1" customFormat="1" ht="24.2" customHeight="1" x14ac:dyDescent="0.2">
      <c r="B369" s="124"/>
      <c r="C369" s="125" t="s">
        <v>622</v>
      </c>
      <c r="D369" s="125" t="s">
        <v>284</v>
      </c>
      <c r="E369" s="126" t="s">
        <v>1028</v>
      </c>
      <c r="F369" s="127" t="s">
        <v>1539</v>
      </c>
      <c r="G369" s="128" t="s">
        <v>485</v>
      </c>
      <c r="H369" s="129">
        <v>2</v>
      </c>
      <c r="I369" s="130">
        <v>6140.7931243984813</v>
      </c>
      <c r="J369" s="131">
        <f>ROUND(I369*H369,2)</f>
        <v>12281.59</v>
      </c>
      <c r="K369" s="127" t="s">
        <v>293</v>
      </c>
      <c r="L369" s="268">
        <f>S369</f>
        <v>0</v>
      </c>
      <c r="M369" s="272">
        <f>ROUND(L369*I369,2)</f>
        <v>0</v>
      </c>
      <c r="N369" s="243"/>
      <c r="O369" s="294">
        <f>ROUND(N369*I369,2)</f>
        <v>0</v>
      </c>
      <c r="P369" s="273">
        <f>H369-L369-N369</f>
        <v>2</v>
      </c>
      <c r="Q369" s="287">
        <f>ROUND(P369*I369,2)</f>
        <v>12281.59</v>
      </c>
      <c r="R369" s="137"/>
      <c r="S369" s="269">
        <f>W369+Y369+AA369+AC369</f>
        <v>0</v>
      </c>
      <c r="T369" s="269">
        <f>ROUND(S369*I369,2)</f>
        <v>0</v>
      </c>
      <c r="U369" s="269">
        <f>H369-S369</f>
        <v>2</v>
      </c>
      <c r="V369" s="269">
        <f>ROUND(U369*I369,2)</f>
        <v>12281.59</v>
      </c>
      <c r="W369" s="269"/>
      <c r="X369" s="269"/>
      <c r="Y369" s="269"/>
      <c r="Z369" s="269"/>
      <c r="AA369" s="269"/>
      <c r="AB369" s="269"/>
      <c r="AC369" s="269"/>
      <c r="AD369" s="269"/>
      <c r="CH369" s="132" t="s">
        <v>1</v>
      </c>
      <c r="CI369" s="133" t="s">
        <v>40</v>
      </c>
      <c r="CK369" s="134">
        <f>CJ369*H369</f>
        <v>0</v>
      </c>
      <c r="CL369" s="134">
        <v>0.10833</v>
      </c>
      <c r="CM369" s="134">
        <f>CL369*H369</f>
        <v>0.21665999999999999</v>
      </c>
      <c r="CN369" s="134">
        <v>0</v>
      </c>
      <c r="CO369" s="135">
        <f>CN369*H369</f>
        <v>0</v>
      </c>
      <c r="DM369" s="136" t="s">
        <v>95</v>
      </c>
      <c r="DO369" s="136" t="s">
        <v>284</v>
      </c>
      <c r="DP369" s="136" t="s">
        <v>83</v>
      </c>
      <c r="DT369" s="16" t="s">
        <v>282</v>
      </c>
      <c r="DZ369" s="137">
        <f>IF(CI369="základní",J369,0)</f>
        <v>12281.59</v>
      </c>
      <c r="EA369" s="137">
        <f>IF(CI369="snížená",J369,0)</f>
        <v>0</v>
      </c>
      <c r="EB369" s="137">
        <f>IF(CI369="zákl. přenesená",J369,0)</f>
        <v>0</v>
      </c>
      <c r="EC369" s="137">
        <f>IF(CI369="sníž. přenesená",J369,0)</f>
        <v>0</v>
      </c>
      <c r="ED369" s="137">
        <f>IF(CI369="nulová",J369,0)</f>
        <v>0</v>
      </c>
      <c r="EE369" s="16" t="s">
        <v>81</v>
      </c>
      <c r="EF369" s="137">
        <f>ROUND(I369*H369,2)</f>
        <v>12281.59</v>
      </c>
      <c r="EG369" s="16" t="s">
        <v>95</v>
      </c>
      <c r="EH369" s="136" t="s">
        <v>1540</v>
      </c>
    </row>
    <row r="370" spans="2:138" s="1" customFormat="1" ht="29.25" x14ac:dyDescent="0.2">
      <c r="B370" s="31"/>
      <c r="D370" s="138" t="s">
        <v>289</v>
      </c>
      <c r="F370" s="139" t="s">
        <v>1031</v>
      </c>
      <c r="I370" s="140"/>
      <c r="L370" s="31"/>
      <c r="N370" s="213"/>
      <c r="O370" s="214"/>
      <c r="Q370" s="229"/>
      <c r="CH370" s="141"/>
      <c r="CO370" s="50"/>
      <c r="DO370" s="16" t="s">
        <v>289</v>
      </c>
      <c r="DP370" s="16" t="s">
        <v>83</v>
      </c>
    </row>
    <row r="371" spans="2:138" s="1" customFormat="1" ht="19.5" x14ac:dyDescent="0.2">
      <c r="B371" s="31"/>
      <c r="D371" s="138" t="s">
        <v>299</v>
      </c>
      <c r="F371" s="142" t="s">
        <v>317</v>
      </c>
      <c r="I371" s="140"/>
      <c r="L371" s="31"/>
      <c r="N371" s="213"/>
      <c r="O371" s="214"/>
      <c r="Q371" s="229"/>
      <c r="CH371" s="141"/>
      <c r="CO371" s="50"/>
      <c r="DO371" s="16" t="s">
        <v>299</v>
      </c>
      <c r="DP371" s="16" t="s">
        <v>83</v>
      </c>
    </row>
    <row r="372" spans="2:138" s="12" customFormat="1" x14ac:dyDescent="0.2">
      <c r="B372" s="149"/>
      <c r="D372" s="138" t="s">
        <v>301</v>
      </c>
      <c r="E372" s="150" t="s">
        <v>1</v>
      </c>
      <c r="F372" s="151" t="s">
        <v>83</v>
      </c>
      <c r="H372" s="152">
        <v>2</v>
      </c>
      <c r="I372" s="153"/>
      <c r="L372" s="149"/>
      <c r="N372" s="217"/>
      <c r="O372" s="218"/>
      <c r="Q372" s="231"/>
      <c r="CH372" s="154"/>
      <c r="CO372" s="155"/>
      <c r="DO372" s="150" t="s">
        <v>301</v>
      </c>
      <c r="DP372" s="150" t="s">
        <v>83</v>
      </c>
      <c r="DQ372" s="12" t="s">
        <v>83</v>
      </c>
      <c r="DR372" s="12" t="s">
        <v>32</v>
      </c>
      <c r="DS372" s="12" t="s">
        <v>81</v>
      </c>
      <c r="DT372" s="150" t="s">
        <v>282</v>
      </c>
    </row>
    <row r="373" spans="2:138" s="1" customFormat="1" ht="24.2" customHeight="1" x14ac:dyDescent="0.2">
      <c r="B373" s="124"/>
      <c r="C373" s="125" t="s">
        <v>627</v>
      </c>
      <c r="D373" s="125" t="s">
        <v>284</v>
      </c>
      <c r="E373" s="126" t="s">
        <v>928</v>
      </c>
      <c r="F373" s="127" t="s">
        <v>929</v>
      </c>
      <c r="G373" s="128" t="s">
        <v>485</v>
      </c>
      <c r="H373" s="129">
        <v>2</v>
      </c>
      <c r="I373" s="130">
        <v>6179.0606386784812</v>
      </c>
      <c r="J373" s="131">
        <f>ROUND(I373*H373,2)</f>
        <v>12358.12</v>
      </c>
      <c r="K373" s="127" t="s">
        <v>293</v>
      </c>
      <c r="L373" s="268">
        <f>S373</f>
        <v>0</v>
      </c>
      <c r="M373" s="272">
        <f>ROUND(L373*I373,2)</f>
        <v>0</v>
      </c>
      <c r="N373" s="243"/>
      <c r="O373" s="294">
        <f>ROUND(N373*I373,2)</f>
        <v>0</v>
      </c>
      <c r="P373" s="273">
        <f>H373-L373-N373</f>
        <v>2</v>
      </c>
      <c r="Q373" s="287">
        <f>ROUND(P373*I373,2)</f>
        <v>12358.12</v>
      </c>
      <c r="R373" s="137"/>
      <c r="S373" s="269">
        <f>W373+Y373+AA373+AC373</f>
        <v>0</v>
      </c>
      <c r="T373" s="269">
        <f>ROUND(S373*I373,2)</f>
        <v>0</v>
      </c>
      <c r="U373" s="269">
        <f>H373-S373</f>
        <v>2</v>
      </c>
      <c r="V373" s="269">
        <f>ROUND(U373*I373,2)</f>
        <v>12358.12</v>
      </c>
      <c r="W373" s="269"/>
      <c r="X373" s="269"/>
      <c r="Y373" s="269"/>
      <c r="Z373" s="269"/>
      <c r="AA373" s="269"/>
      <c r="AB373" s="269"/>
      <c r="AC373" s="269"/>
      <c r="AD373" s="269"/>
      <c r="CH373" s="132" t="s">
        <v>1</v>
      </c>
      <c r="CI373" s="133" t="s">
        <v>40</v>
      </c>
      <c r="CK373" s="134">
        <f>CJ373*H373</f>
        <v>0</v>
      </c>
      <c r="CL373" s="134">
        <v>0.10833</v>
      </c>
      <c r="CM373" s="134">
        <f>CL373*H373</f>
        <v>0.21665999999999999</v>
      </c>
      <c r="CN373" s="134">
        <v>0</v>
      </c>
      <c r="CO373" s="135">
        <f>CN373*H373</f>
        <v>0</v>
      </c>
      <c r="DM373" s="136" t="s">
        <v>95</v>
      </c>
      <c r="DO373" s="136" t="s">
        <v>284</v>
      </c>
      <c r="DP373" s="136" t="s">
        <v>83</v>
      </c>
      <c r="DT373" s="16" t="s">
        <v>282</v>
      </c>
      <c r="DZ373" s="137">
        <f>IF(CI373="základní",J373,0)</f>
        <v>12358.12</v>
      </c>
      <c r="EA373" s="137">
        <f>IF(CI373="snížená",J373,0)</f>
        <v>0</v>
      </c>
      <c r="EB373" s="137">
        <f>IF(CI373="zákl. přenesená",J373,0)</f>
        <v>0</v>
      </c>
      <c r="EC373" s="137">
        <f>IF(CI373="sníž. přenesená",J373,0)</f>
        <v>0</v>
      </c>
      <c r="ED373" s="137">
        <f>IF(CI373="nulová",J373,0)</f>
        <v>0</v>
      </c>
      <c r="EE373" s="16" t="s">
        <v>81</v>
      </c>
      <c r="EF373" s="137">
        <f>ROUND(I373*H373,2)</f>
        <v>12358.12</v>
      </c>
      <c r="EG373" s="16" t="s">
        <v>95</v>
      </c>
      <c r="EH373" s="136" t="s">
        <v>1541</v>
      </c>
    </row>
    <row r="374" spans="2:138" s="1" customFormat="1" ht="29.25" x14ac:dyDescent="0.2">
      <c r="B374" s="31"/>
      <c r="D374" s="138" t="s">
        <v>289</v>
      </c>
      <c r="F374" s="139" t="s">
        <v>931</v>
      </c>
      <c r="I374" s="140"/>
      <c r="L374" s="31"/>
      <c r="N374" s="213"/>
      <c r="O374" s="214"/>
      <c r="Q374" s="229"/>
      <c r="CH374" s="141"/>
      <c r="CO374" s="50"/>
      <c r="DO374" s="16" t="s">
        <v>289</v>
      </c>
      <c r="DP374" s="16" t="s">
        <v>83</v>
      </c>
    </row>
    <row r="375" spans="2:138" s="12" customFormat="1" x14ac:dyDescent="0.2">
      <c r="B375" s="149"/>
      <c r="D375" s="138" t="s">
        <v>301</v>
      </c>
      <c r="E375" s="150" t="s">
        <v>1</v>
      </c>
      <c r="F375" s="151" t="s">
        <v>83</v>
      </c>
      <c r="H375" s="152">
        <v>2</v>
      </c>
      <c r="I375" s="153"/>
      <c r="L375" s="149"/>
      <c r="N375" s="217"/>
      <c r="O375" s="218"/>
      <c r="Q375" s="231"/>
      <c r="CH375" s="154"/>
      <c r="CO375" s="155"/>
      <c r="DO375" s="150" t="s">
        <v>301</v>
      </c>
      <c r="DP375" s="150" t="s">
        <v>83</v>
      </c>
      <c r="DQ375" s="12" t="s">
        <v>83</v>
      </c>
      <c r="DR375" s="12" t="s">
        <v>32</v>
      </c>
      <c r="DS375" s="12" t="s">
        <v>81</v>
      </c>
      <c r="DT375" s="150" t="s">
        <v>282</v>
      </c>
    </row>
    <row r="376" spans="2:138" s="1" customFormat="1" ht="24.2" customHeight="1" x14ac:dyDescent="0.2">
      <c r="B376" s="124"/>
      <c r="C376" s="125" t="s">
        <v>631</v>
      </c>
      <c r="D376" s="125" t="s">
        <v>284</v>
      </c>
      <c r="E376" s="126" t="s">
        <v>932</v>
      </c>
      <c r="F376" s="127" t="s">
        <v>933</v>
      </c>
      <c r="G376" s="128" t="s">
        <v>485</v>
      </c>
      <c r="H376" s="129">
        <v>3</v>
      </c>
      <c r="I376" s="130">
        <v>3593.8097854433977</v>
      </c>
      <c r="J376" s="131">
        <f>ROUND(I376*H376,2)</f>
        <v>10781.43</v>
      </c>
      <c r="K376" s="127" t="s">
        <v>293</v>
      </c>
      <c r="L376" s="268">
        <f>S376</f>
        <v>0</v>
      </c>
      <c r="M376" s="272">
        <f>ROUND(L376*I376,2)</f>
        <v>0</v>
      </c>
      <c r="N376" s="243"/>
      <c r="O376" s="294">
        <f>ROUND(N376*I376,2)</f>
        <v>0</v>
      </c>
      <c r="P376" s="273">
        <f>H376-L376-N376</f>
        <v>3</v>
      </c>
      <c r="Q376" s="287">
        <f>ROUND(P376*I376,2)</f>
        <v>10781.43</v>
      </c>
      <c r="R376" s="137"/>
      <c r="S376" s="269">
        <f>W376+Y376+AA376+AC376</f>
        <v>0</v>
      </c>
      <c r="T376" s="269">
        <f>ROUND(S376*I376,2)</f>
        <v>0</v>
      </c>
      <c r="U376" s="269">
        <f>H376-S376</f>
        <v>3</v>
      </c>
      <c r="V376" s="269">
        <f>ROUND(U376*I376,2)</f>
        <v>10781.43</v>
      </c>
      <c r="W376" s="269"/>
      <c r="X376" s="269"/>
      <c r="Y376" s="269"/>
      <c r="Z376" s="269"/>
      <c r="AA376" s="269"/>
      <c r="AB376" s="269"/>
      <c r="AC376" s="269"/>
      <c r="AD376" s="269"/>
      <c r="CH376" s="132" t="s">
        <v>1</v>
      </c>
      <c r="CI376" s="133" t="s">
        <v>40</v>
      </c>
      <c r="CK376" s="134">
        <f>CJ376*H376</f>
        <v>0</v>
      </c>
      <c r="CL376" s="134">
        <v>2.4240000000000001E-2</v>
      </c>
      <c r="CM376" s="134">
        <f>CL376*H376</f>
        <v>7.2720000000000007E-2</v>
      </c>
      <c r="CN376" s="134">
        <v>0</v>
      </c>
      <c r="CO376" s="135">
        <f>CN376*H376</f>
        <v>0</v>
      </c>
      <c r="DM376" s="136" t="s">
        <v>95</v>
      </c>
      <c r="DO376" s="136" t="s">
        <v>284</v>
      </c>
      <c r="DP376" s="136" t="s">
        <v>83</v>
      </c>
      <c r="DT376" s="16" t="s">
        <v>282</v>
      </c>
      <c r="DZ376" s="137">
        <f>IF(CI376="základní",J376,0)</f>
        <v>10781.43</v>
      </c>
      <c r="EA376" s="137">
        <f>IF(CI376="snížená",J376,0)</f>
        <v>0</v>
      </c>
      <c r="EB376" s="137">
        <f>IF(CI376="zákl. přenesená",J376,0)</f>
        <v>0</v>
      </c>
      <c r="EC376" s="137">
        <f>IF(CI376="sníž. přenesená",J376,0)</f>
        <v>0</v>
      </c>
      <c r="ED376" s="137">
        <f>IF(CI376="nulová",J376,0)</f>
        <v>0</v>
      </c>
      <c r="EE376" s="16" t="s">
        <v>81</v>
      </c>
      <c r="EF376" s="137">
        <f>ROUND(I376*H376,2)</f>
        <v>10781.43</v>
      </c>
      <c r="EG376" s="16" t="s">
        <v>95</v>
      </c>
      <c r="EH376" s="136" t="s">
        <v>1651</v>
      </c>
    </row>
    <row r="377" spans="2:138" s="1" customFormat="1" ht="19.5" x14ac:dyDescent="0.2">
      <c r="B377" s="31"/>
      <c r="D377" s="138" t="s">
        <v>289</v>
      </c>
      <c r="F377" s="139" t="s">
        <v>935</v>
      </c>
      <c r="I377" s="140"/>
      <c r="L377" s="31"/>
      <c r="N377" s="213"/>
      <c r="O377" s="214"/>
      <c r="Q377" s="229"/>
      <c r="CH377" s="141"/>
      <c r="CO377" s="50"/>
      <c r="DO377" s="16" t="s">
        <v>289</v>
      </c>
      <c r="DP377" s="16" t="s">
        <v>83</v>
      </c>
    </row>
    <row r="378" spans="2:138" s="1" customFormat="1" ht="24.2" customHeight="1" x14ac:dyDescent="0.2">
      <c r="B378" s="124"/>
      <c r="C378" s="125" t="s">
        <v>635</v>
      </c>
      <c r="D378" s="125" t="s">
        <v>284</v>
      </c>
      <c r="E378" s="126" t="s">
        <v>1034</v>
      </c>
      <c r="F378" s="127" t="s">
        <v>1035</v>
      </c>
      <c r="G378" s="128" t="s">
        <v>485</v>
      </c>
      <c r="H378" s="129">
        <v>1</v>
      </c>
      <c r="I378" s="130">
        <v>4993.6517165286823</v>
      </c>
      <c r="J378" s="131">
        <f>ROUND(I378*H378,2)</f>
        <v>4993.6499999999996</v>
      </c>
      <c r="K378" s="127" t="s">
        <v>293</v>
      </c>
      <c r="L378" s="268">
        <f>S378</f>
        <v>0</v>
      </c>
      <c r="M378" s="272">
        <f>ROUND(L378*I378,2)</f>
        <v>0</v>
      </c>
      <c r="N378" s="243"/>
      <c r="O378" s="294">
        <f>ROUND(N378*I378,2)</f>
        <v>0</v>
      </c>
      <c r="P378" s="273">
        <f>H378-L378-N378</f>
        <v>1</v>
      </c>
      <c r="Q378" s="287">
        <f>ROUND(P378*I378,2)</f>
        <v>4993.6499999999996</v>
      </c>
      <c r="R378" s="137"/>
      <c r="S378" s="269">
        <f>W378+Y378+AA378+AC378</f>
        <v>0</v>
      </c>
      <c r="T378" s="269">
        <f>ROUND(S378*I378,2)</f>
        <v>0</v>
      </c>
      <c r="U378" s="269">
        <f>H378-S378</f>
        <v>1</v>
      </c>
      <c r="V378" s="269">
        <f>ROUND(U378*I378,2)</f>
        <v>4993.6499999999996</v>
      </c>
      <c r="W378" s="269"/>
      <c r="X378" s="269"/>
      <c r="Y378" s="269"/>
      <c r="Z378" s="269"/>
      <c r="AA378" s="269"/>
      <c r="AB378" s="269"/>
      <c r="AC378" s="269"/>
      <c r="AD378" s="269"/>
      <c r="CH378" s="132" t="s">
        <v>1</v>
      </c>
      <c r="CI378" s="133" t="s">
        <v>40</v>
      </c>
      <c r="CK378" s="134">
        <f>CJ378*H378</f>
        <v>0</v>
      </c>
      <c r="CL378" s="134">
        <v>3.637E-2</v>
      </c>
      <c r="CM378" s="134">
        <f>CL378*H378</f>
        <v>3.637E-2</v>
      </c>
      <c r="CN378" s="134">
        <v>0</v>
      </c>
      <c r="CO378" s="135">
        <f>CN378*H378</f>
        <v>0</v>
      </c>
      <c r="DM378" s="136" t="s">
        <v>95</v>
      </c>
      <c r="DO378" s="136" t="s">
        <v>284</v>
      </c>
      <c r="DP378" s="136" t="s">
        <v>83</v>
      </c>
      <c r="DT378" s="16" t="s">
        <v>282</v>
      </c>
      <c r="DZ378" s="137">
        <f>IF(CI378="základní",J378,0)</f>
        <v>4993.6499999999996</v>
      </c>
      <c r="EA378" s="137">
        <f>IF(CI378="snížená",J378,0)</f>
        <v>0</v>
      </c>
      <c r="EB378" s="137">
        <f>IF(CI378="zákl. přenesená",J378,0)</f>
        <v>0</v>
      </c>
      <c r="EC378" s="137">
        <f>IF(CI378="sníž. přenesená",J378,0)</f>
        <v>0</v>
      </c>
      <c r="ED378" s="137">
        <f>IF(CI378="nulová",J378,0)</f>
        <v>0</v>
      </c>
      <c r="EE378" s="16" t="s">
        <v>81</v>
      </c>
      <c r="EF378" s="137">
        <f>ROUND(I378*H378,2)</f>
        <v>4993.6499999999996</v>
      </c>
      <c r="EG378" s="16" t="s">
        <v>95</v>
      </c>
      <c r="EH378" s="136" t="s">
        <v>1542</v>
      </c>
    </row>
    <row r="379" spans="2:138" s="1" customFormat="1" ht="19.5" x14ac:dyDescent="0.2">
      <c r="B379" s="31"/>
      <c r="D379" s="138" t="s">
        <v>289</v>
      </c>
      <c r="F379" s="139" t="s">
        <v>1037</v>
      </c>
      <c r="I379" s="140"/>
      <c r="L379" s="31"/>
      <c r="N379" s="213"/>
      <c r="O379" s="214"/>
      <c r="Q379" s="229"/>
      <c r="CH379" s="141"/>
      <c r="CO379" s="50"/>
      <c r="DO379" s="16" t="s">
        <v>289</v>
      </c>
      <c r="DP379" s="16" t="s">
        <v>83</v>
      </c>
    </row>
    <row r="380" spans="2:138" s="1" customFormat="1" ht="24.2" customHeight="1" x14ac:dyDescent="0.2">
      <c r="B380" s="124"/>
      <c r="C380" s="125" t="s">
        <v>639</v>
      </c>
      <c r="D380" s="125" t="s">
        <v>284</v>
      </c>
      <c r="E380" s="126" t="s">
        <v>936</v>
      </c>
      <c r="F380" s="127" t="s">
        <v>937</v>
      </c>
      <c r="G380" s="128" t="s">
        <v>485</v>
      </c>
      <c r="H380" s="129">
        <v>4</v>
      </c>
      <c r="I380" s="130">
        <v>1078.0568828114554</v>
      </c>
      <c r="J380" s="131">
        <f>ROUND(I380*H380,2)</f>
        <v>4312.2299999999996</v>
      </c>
      <c r="K380" s="127" t="s">
        <v>293</v>
      </c>
      <c r="L380" s="268">
        <f>S380</f>
        <v>0</v>
      </c>
      <c r="M380" s="272">
        <f>ROUND(L380*I380,2)</f>
        <v>0</v>
      </c>
      <c r="N380" s="243"/>
      <c r="O380" s="294">
        <f>ROUND(N380*I380,2)</f>
        <v>0</v>
      </c>
      <c r="P380" s="273">
        <f>H380-L380-N380</f>
        <v>4</v>
      </c>
      <c r="Q380" s="287">
        <f>ROUND(P380*I380,2)</f>
        <v>4312.2299999999996</v>
      </c>
      <c r="R380" s="137"/>
      <c r="S380" s="269">
        <f>W380+Y380+AA380+AC380</f>
        <v>0</v>
      </c>
      <c r="T380" s="269">
        <f>ROUND(S380*I380,2)</f>
        <v>0</v>
      </c>
      <c r="U380" s="269">
        <f>H380-S380</f>
        <v>4</v>
      </c>
      <c r="V380" s="269">
        <f>ROUND(U380*I380,2)</f>
        <v>4312.2299999999996</v>
      </c>
      <c r="W380" s="269"/>
      <c r="X380" s="269"/>
      <c r="Y380" s="269"/>
      <c r="Z380" s="269"/>
      <c r="AA380" s="269"/>
      <c r="AB380" s="269"/>
      <c r="AC380" s="269"/>
      <c r="AD380" s="269"/>
      <c r="CH380" s="132" t="s">
        <v>1</v>
      </c>
      <c r="CI380" s="133" t="s">
        <v>40</v>
      </c>
      <c r="CK380" s="134">
        <f>CJ380*H380</f>
        <v>0</v>
      </c>
      <c r="CL380" s="134">
        <v>0</v>
      </c>
      <c r="CM380" s="134">
        <f>CL380*H380</f>
        <v>0</v>
      </c>
      <c r="CN380" s="134">
        <v>0</v>
      </c>
      <c r="CO380" s="135">
        <f>CN380*H380</f>
        <v>0</v>
      </c>
      <c r="DM380" s="136" t="s">
        <v>95</v>
      </c>
      <c r="DO380" s="136" t="s">
        <v>284</v>
      </c>
      <c r="DP380" s="136" t="s">
        <v>83</v>
      </c>
      <c r="DT380" s="16" t="s">
        <v>282</v>
      </c>
      <c r="DZ380" s="137">
        <f>IF(CI380="základní",J380,0)</f>
        <v>4312.2299999999996</v>
      </c>
      <c r="EA380" s="137">
        <f>IF(CI380="snížená",J380,0)</f>
        <v>0</v>
      </c>
      <c r="EB380" s="137">
        <f>IF(CI380="zákl. přenesená",J380,0)</f>
        <v>0</v>
      </c>
      <c r="EC380" s="137">
        <f>IF(CI380="sníž. přenesená",J380,0)</f>
        <v>0</v>
      </c>
      <c r="ED380" s="137">
        <f>IF(CI380="nulová",J380,0)</f>
        <v>0</v>
      </c>
      <c r="EE380" s="16" t="s">
        <v>81</v>
      </c>
      <c r="EF380" s="137">
        <f>ROUND(I380*H380,2)</f>
        <v>4312.2299999999996</v>
      </c>
      <c r="EG380" s="16" t="s">
        <v>95</v>
      </c>
      <c r="EH380" s="136" t="s">
        <v>1543</v>
      </c>
    </row>
    <row r="381" spans="2:138" s="1" customFormat="1" ht="19.5" x14ac:dyDescent="0.2">
      <c r="B381" s="31"/>
      <c r="D381" s="138" t="s">
        <v>289</v>
      </c>
      <c r="F381" s="139" t="s">
        <v>939</v>
      </c>
      <c r="I381" s="140"/>
      <c r="L381" s="31"/>
      <c r="N381" s="213"/>
      <c r="O381" s="214"/>
      <c r="Q381" s="229"/>
      <c r="CH381" s="141"/>
      <c r="CO381" s="50"/>
      <c r="DO381" s="16" t="s">
        <v>289</v>
      </c>
      <c r="DP381" s="16" t="s">
        <v>83</v>
      </c>
    </row>
    <row r="382" spans="2:138" s="1" customFormat="1" ht="24.2" customHeight="1" x14ac:dyDescent="0.2">
      <c r="B382" s="124"/>
      <c r="C382" s="125" t="s">
        <v>643</v>
      </c>
      <c r="D382" s="125" t="s">
        <v>284</v>
      </c>
      <c r="E382" s="126" t="s">
        <v>940</v>
      </c>
      <c r="F382" s="127" t="s">
        <v>941</v>
      </c>
      <c r="G382" s="128" t="s">
        <v>485</v>
      </c>
      <c r="H382" s="129">
        <v>4</v>
      </c>
      <c r="I382" s="130">
        <v>8864.0454366400263</v>
      </c>
      <c r="J382" s="131">
        <f>ROUND(I382*H382,2)</f>
        <v>35456.18</v>
      </c>
      <c r="K382" s="127" t="s">
        <v>293</v>
      </c>
      <c r="L382" s="268">
        <f>S382</f>
        <v>0</v>
      </c>
      <c r="M382" s="272">
        <f>ROUND(L382*I382,2)</f>
        <v>0</v>
      </c>
      <c r="N382" s="243"/>
      <c r="O382" s="294">
        <f>ROUND(N382*I382,2)</f>
        <v>0</v>
      </c>
      <c r="P382" s="273">
        <f>H382-L382-N382</f>
        <v>4</v>
      </c>
      <c r="Q382" s="287">
        <f>ROUND(P382*I382,2)</f>
        <v>35456.18</v>
      </c>
      <c r="R382" s="137"/>
      <c r="S382" s="269">
        <f>W382+Y382+AA382+AC382</f>
        <v>0</v>
      </c>
      <c r="T382" s="269">
        <f>ROUND(S382*I382,2)</f>
        <v>0</v>
      </c>
      <c r="U382" s="269">
        <f>H382-S382</f>
        <v>4</v>
      </c>
      <c r="V382" s="269">
        <f>ROUND(U382*I382,2)</f>
        <v>35456.18</v>
      </c>
      <c r="W382" s="269"/>
      <c r="X382" s="269"/>
      <c r="Y382" s="269"/>
      <c r="Z382" s="269"/>
      <c r="AA382" s="269"/>
      <c r="AB382" s="269"/>
      <c r="AC382" s="269"/>
      <c r="AD382" s="269"/>
      <c r="CH382" s="132" t="s">
        <v>1</v>
      </c>
      <c r="CI382" s="133" t="s">
        <v>40</v>
      </c>
      <c r="CK382" s="134">
        <f>CJ382*H382</f>
        <v>0</v>
      </c>
      <c r="CL382" s="134">
        <v>0.21007999999999999</v>
      </c>
      <c r="CM382" s="134">
        <f>CL382*H382</f>
        <v>0.84031999999999996</v>
      </c>
      <c r="CN382" s="134">
        <v>0</v>
      </c>
      <c r="CO382" s="135">
        <f>CN382*H382</f>
        <v>0</v>
      </c>
      <c r="DM382" s="136" t="s">
        <v>95</v>
      </c>
      <c r="DO382" s="136" t="s">
        <v>284</v>
      </c>
      <c r="DP382" s="136" t="s">
        <v>83</v>
      </c>
      <c r="DT382" s="16" t="s">
        <v>282</v>
      </c>
      <c r="DZ382" s="137">
        <f>IF(CI382="základní",J382,0)</f>
        <v>35456.18</v>
      </c>
      <c r="EA382" s="137">
        <f>IF(CI382="snížená",J382,0)</f>
        <v>0</v>
      </c>
      <c r="EB382" s="137">
        <f>IF(CI382="zákl. přenesená",J382,0)</f>
        <v>0</v>
      </c>
      <c r="EC382" s="137">
        <f>IF(CI382="sníž. přenesená",J382,0)</f>
        <v>0</v>
      </c>
      <c r="ED382" s="137">
        <f>IF(CI382="nulová",J382,0)</f>
        <v>0</v>
      </c>
      <c r="EE382" s="16" t="s">
        <v>81</v>
      </c>
      <c r="EF382" s="137">
        <f>ROUND(I382*H382,2)</f>
        <v>35456.18</v>
      </c>
      <c r="EG382" s="16" t="s">
        <v>95</v>
      </c>
      <c r="EH382" s="136" t="s">
        <v>1545</v>
      </c>
    </row>
    <row r="383" spans="2:138" s="1" customFormat="1" ht="29.25" x14ac:dyDescent="0.2">
      <c r="B383" s="31"/>
      <c r="D383" s="138" t="s">
        <v>289</v>
      </c>
      <c r="F383" s="139" t="s">
        <v>943</v>
      </c>
      <c r="I383" s="140"/>
      <c r="L383" s="31"/>
      <c r="N383" s="213"/>
      <c r="O383" s="214"/>
      <c r="Q383" s="229"/>
      <c r="CH383" s="141"/>
      <c r="CO383" s="50"/>
      <c r="DO383" s="16" t="s">
        <v>289</v>
      </c>
      <c r="DP383" s="16" t="s">
        <v>83</v>
      </c>
    </row>
    <row r="384" spans="2:138" s="1" customFormat="1" ht="37.9" customHeight="1" x14ac:dyDescent="0.2">
      <c r="B384" s="124"/>
      <c r="C384" s="125" t="s">
        <v>650</v>
      </c>
      <c r="D384" s="125" t="s">
        <v>284</v>
      </c>
      <c r="E384" s="126" t="s">
        <v>792</v>
      </c>
      <c r="F384" s="127" t="s">
        <v>793</v>
      </c>
      <c r="G384" s="128" t="s">
        <v>315</v>
      </c>
      <c r="H384" s="129">
        <v>1</v>
      </c>
      <c r="I384" s="130">
        <v>5683.2942000000003</v>
      </c>
      <c r="J384" s="131">
        <f>ROUND(I384*H384,2)</f>
        <v>5683.29</v>
      </c>
      <c r="K384" s="127" t="s">
        <v>1</v>
      </c>
      <c r="L384" s="268">
        <f>S384</f>
        <v>0</v>
      </c>
      <c r="M384" s="272">
        <f>ROUND(L384*I384,2)</f>
        <v>0</v>
      </c>
      <c r="N384" s="243"/>
      <c r="O384" s="294">
        <f>ROUND(N384*I384,2)</f>
        <v>0</v>
      </c>
      <c r="P384" s="273">
        <f>H384-L384-N384</f>
        <v>1</v>
      </c>
      <c r="Q384" s="287">
        <f>ROUND(P384*I384,2)</f>
        <v>5683.29</v>
      </c>
      <c r="R384" s="137"/>
      <c r="S384" s="269">
        <f>W384+Y384+AA384+AC384</f>
        <v>0</v>
      </c>
      <c r="T384" s="269">
        <f>ROUND(S384*I384,2)</f>
        <v>0</v>
      </c>
      <c r="U384" s="269">
        <f>H384-S384</f>
        <v>1</v>
      </c>
      <c r="V384" s="269">
        <f>ROUND(U384*I384,2)</f>
        <v>5683.29</v>
      </c>
      <c r="W384" s="269"/>
      <c r="X384" s="269"/>
      <c r="Y384" s="269"/>
      <c r="Z384" s="269"/>
      <c r="AA384" s="269"/>
      <c r="AB384" s="269"/>
      <c r="AC384" s="269"/>
      <c r="AD384" s="269"/>
      <c r="CH384" s="132" t="s">
        <v>1</v>
      </c>
      <c r="CI384" s="133" t="s">
        <v>40</v>
      </c>
      <c r="CK384" s="134">
        <f>CJ384*H384</f>
        <v>0</v>
      </c>
      <c r="CL384" s="134">
        <v>0</v>
      </c>
      <c r="CM384" s="134">
        <f>CL384*H384</f>
        <v>0</v>
      </c>
      <c r="CN384" s="134">
        <v>0</v>
      </c>
      <c r="CO384" s="135">
        <f>CN384*H384</f>
        <v>0</v>
      </c>
      <c r="DM384" s="136" t="s">
        <v>95</v>
      </c>
      <c r="DO384" s="136" t="s">
        <v>284</v>
      </c>
      <c r="DP384" s="136" t="s">
        <v>83</v>
      </c>
      <c r="DT384" s="16" t="s">
        <v>282</v>
      </c>
      <c r="DZ384" s="137">
        <f>IF(CI384="základní",J384,0)</f>
        <v>5683.29</v>
      </c>
      <c r="EA384" s="137">
        <f>IF(CI384="snížená",J384,0)</f>
        <v>0</v>
      </c>
      <c r="EB384" s="137">
        <f>IF(CI384="zákl. přenesená",J384,0)</f>
        <v>0</v>
      </c>
      <c r="EC384" s="137">
        <f>IF(CI384="sníž. přenesená",J384,0)</f>
        <v>0</v>
      </c>
      <c r="ED384" s="137">
        <f>IF(CI384="nulová",J384,0)</f>
        <v>0</v>
      </c>
      <c r="EE384" s="16" t="s">
        <v>81</v>
      </c>
      <c r="EF384" s="137">
        <f>ROUND(I384*H384,2)</f>
        <v>5683.29</v>
      </c>
      <c r="EG384" s="16" t="s">
        <v>95</v>
      </c>
      <c r="EH384" s="136" t="s">
        <v>658</v>
      </c>
    </row>
    <row r="385" spans="2:138" s="1" customFormat="1" ht="19.5" x14ac:dyDescent="0.2">
      <c r="B385" s="31"/>
      <c r="D385" s="138" t="s">
        <v>289</v>
      </c>
      <c r="F385" s="139" t="s">
        <v>793</v>
      </c>
      <c r="I385" s="140"/>
      <c r="L385" s="31"/>
      <c r="N385" s="213"/>
      <c r="O385" s="214"/>
      <c r="Q385" s="229"/>
      <c r="CH385" s="141"/>
      <c r="CO385" s="50"/>
      <c r="DO385" s="16" t="s">
        <v>289</v>
      </c>
      <c r="DP385" s="16" t="s">
        <v>83</v>
      </c>
    </row>
    <row r="386" spans="2:138" s="1" customFormat="1" ht="19.5" x14ac:dyDescent="0.2">
      <c r="B386" s="31"/>
      <c r="D386" s="138" t="s">
        <v>299</v>
      </c>
      <c r="F386" s="142" t="s">
        <v>317</v>
      </c>
      <c r="I386" s="140"/>
      <c r="L386" s="31"/>
      <c r="N386" s="213"/>
      <c r="O386" s="214"/>
      <c r="Q386" s="229"/>
      <c r="CH386" s="141"/>
      <c r="CO386" s="50"/>
      <c r="DO386" s="16" t="s">
        <v>299</v>
      </c>
      <c r="DP386" s="16" t="s">
        <v>83</v>
      </c>
    </row>
    <row r="387" spans="2:138" s="12" customFormat="1" x14ac:dyDescent="0.2">
      <c r="B387" s="149"/>
      <c r="D387" s="138" t="s">
        <v>301</v>
      </c>
      <c r="E387" s="150" t="s">
        <v>1</v>
      </c>
      <c r="F387" s="151" t="s">
        <v>1652</v>
      </c>
      <c r="H387" s="152">
        <v>1</v>
      </c>
      <c r="I387" s="153"/>
      <c r="L387" s="149"/>
      <c r="N387" s="217"/>
      <c r="O387" s="218"/>
      <c r="Q387" s="231"/>
      <c r="CH387" s="154"/>
      <c r="CO387" s="155"/>
      <c r="DO387" s="150" t="s">
        <v>301</v>
      </c>
      <c r="DP387" s="150" t="s">
        <v>83</v>
      </c>
      <c r="DQ387" s="12" t="s">
        <v>83</v>
      </c>
      <c r="DR387" s="12" t="s">
        <v>32</v>
      </c>
      <c r="DS387" s="12" t="s">
        <v>81</v>
      </c>
      <c r="DT387" s="150" t="s">
        <v>282</v>
      </c>
    </row>
    <row r="388" spans="2:138" s="1" customFormat="1" ht="62.65" customHeight="1" x14ac:dyDescent="0.2">
      <c r="B388" s="124"/>
      <c r="C388" s="125" t="s">
        <v>655</v>
      </c>
      <c r="D388" s="125" t="s">
        <v>284</v>
      </c>
      <c r="E388" s="126" t="s">
        <v>795</v>
      </c>
      <c r="F388" s="127" t="s">
        <v>796</v>
      </c>
      <c r="G388" s="128" t="s">
        <v>315</v>
      </c>
      <c r="H388" s="129">
        <v>1</v>
      </c>
      <c r="I388" s="130">
        <v>35994.196600000003</v>
      </c>
      <c r="J388" s="131">
        <f>ROUND(I388*H388,2)</f>
        <v>35994.199999999997</v>
      </c>
      <c r="K388" s="127" t="s">
        <v>1</v>
      </c>
      <c r="L388" s="268">
        <f>S388</f>
        <v>0</v>
      </c>
      <c r="M388" s="272">
        <f>ROUND(L388*I388,2)</f>
        <v>0</v>
      </c>
      <c r="N388" s="243"/>
      <c r="O388" s="294">
        <f>ROUND(N388*I388,2)</f>
        <v>0</v>
      </c>
      <c r="P388" s="273">
        <f>H388-L388-N388</f>
        <v>1</v>
      </c>
      <c r="Q388" s="287">
        <f>ROUND(P388*I388,2)</f>
        <v>35994.199999999997</v>
      </c>
      <c r="R388" s="137"/>
      <c r="S388" s="269">
        <f>W388+Y388+AA388+AC388</f>
        <v>0</v>
      </c>
      <c r="T388" s="269">
        <f>ROUND(S388*I388,2)</f>
        <v>0</v>
      </c>
      <c r="U388" s="269">
        <f>H388-S388</f>
        <v>1</v>
      </c>
      <c r="V388" s="269">
        <f>ROUND(U388*I388,2)</f>
        <v>35994.199999999997</v>
      </c>
      <c r="W388" s="269"/>
      <c r="X388" s="269"/>
      <c r="Y388" s="269"/>
      <c r="Z388" s="269"/>
      <c r="AA388" s="269"/>
      <c r="AB388" s="269"/>
      <c r="AC388" s="269"/>
      <c r="AD388" s="269"/>
      <c r="CH388" s="132" t="s">
        <v>1</v>
      </c>
      <c r="CI388" s="133" t="s">
        <v>40</v>
      </c>
      <c r="CK388" s="134">
        <f>CJ388*H388</f>
        <v>0</v>
      </c>
      <c r="CL388" s="134">
        <v>0</v>
      </c>
      <c r="CM388" s="134">
        <f>CL388*H388</f>
        <v>0</v>
      </c>
      <c r="CN388" s="134">
        <v>0</v>
      </c>
      <c r="CO388" s="135">
        <f>CN388*H388</f>
        <v>0</v>
      </c>
      <c r="DM388" s="136" t="s">
        <v>95</v>
      </c>
      <c r="DO388" s="136" t="s">
        <v>284</v>
      </c>
      <c r="DP388" s="136" t="s">
        <v>83</v>
      </c>
      <c r="DT388" s="16" t="s">
        <v>282</v>
      </c>
      <c r="DZ388" s="137">
        <f>IF(CI388="základní",J388,0)</f>
        <v>35994.199999999997</v>
      </c>
      <c r="EA388" s="137">
        <f>IF(CI388="snížená",J388,0)</f>
        <v>0</v>
      </c>
      <c r="EB388" s="137">
        <f>IF(CI388="zákl. přenesená",J388,0)</f>
        <v>0</v>
      </c>
      <c r="EC388" s="137">
        <f>IF(CI388="sníž. přenesená",J388,0)</f>
        <v>0</v>
      </c>
      <c r="ED388" s="137">
        <f>IF(CI388="nulová",J388,0)</f>
        <v>0</v>
      </c>
      <c r="EE388" s="16" t="s">
        <v>81</v>
      </c>
      <c r="EF388" s="137">
        <f>ROUND(I388*H388,2)</f>
        <v>35994.199999999997</v>
      </c>
      <c r="EG388" s="16" t="s">
        <v>95</v>
      </c>
      <c r="EH388" s="136" t="s">
        <v>797</v>
      </c>
    </row>
    <row r="389" spans="2:138" s="1" customFormat="1" ht="39" x14ac:dyDescent="0.2">
      <c r="B389" s="31"/>
      <c r="D389" s="138" t="s">
        <v>289</v>
      </c>
      <c r="F389" s="139" t="s">
        <v>796</v>
      </c>
      <c r="I389" s="140"/>
      <c r="L389" s="31"/>
      <c r="N389" s="213"/>
      <c r="O389" s="214"/>
      <c r="Q389" s="229"/>
      <c r="CH389" s="141"/>
      <c r="CO389" s="50"/>
      <c r="DO389" s="16" t="s">
        <v>289</v>
      </c>
      <c r="DP389" s="16" t="s">
        <v>83</v>
      </c>
    </row>
    <row r="390" spans="2:138" s="1" customFormat="1" ht="19.5" x14ac:dyDescent="0.2">
      <c r="B390" s="31"/>
      <c r="D390" s="138" t="s">
        <v>299</v>
      </c>
      <c r="F390" s="142" t="s">
        <v>317</v>
      </c>
      <c r="I390" s="140"/>
      <c r="L390" s="31"/>
      <c r="N390" s="213"/>
      <c r="O390" s="214"/>
      <c r="Q390" s="229"/>
      <c r="CH390" s="141"/>
      <c r="CO390" s="50"/>
      <c r="DO390" s="16" t="s">
        <v>299</v>
      </c>
      <c r="DP390" s="16" t="s">
        <v>83</v>
      </c>
    </row>
    <row r="391" spans="2:138" s="12" customFormat="1" x14ac:dyDescent="0.2">
      <c r="B391" s="149"/>
      <c r="D391" s="138" t="s">
        <v>301</v>
      </c>
      <c r="E391" s="150" t="s">
        <v>1</v>
      </c>
      <c r="F391" s="151" t="s">
        <v>1653</v>
      </c>
      <c r="H391" s="152">
        <v>1</v>
      </c>
      <c r="I391" s="153"/>
      <c r="L391" s="149"/>
      <c r="N391" s="217"/>
      <c r="O391" s="218"/>
      <c r="Q391" s="231"/>
      <c r="CH391" s="154"/>
      <c r="CO391" s="155"/>
      <c r="DO391" s="150" t="s">
        <v>301</v>
      </c>
      <c r="DP391" s="150" t="s">
        <v>83</v>
      </c>
      <c r="DQ391" s="12" t="s">
        <v>83</v>
      </c>
      <c r="DR391" s="12" t="s">
        <v>32</v>
      </c>
      <c r="DS391" s="12" t="s">
        <v>81</v>
      </c>
      <c r="DT391" s="150" t="s">
        <v>282</v>
      </c>
    </row>
    <row r="392" spans="2:138" s="1" customFormat="1" ht="24.2" customHeight="1" x14ac:dyDescent="0.2">
      <c r="B392" s="124"/>
      <c r="C392" s="125" t="s">
        <v>660</v>
      </c>
      <c r="D392" s="125" t="s">
        <v>284</v>
      </c>
      <c r="E392" s="126" t="s">
        <v>661</v>
      </c>
      <c r="F392" s="127" t="s">
        <v>662</v>
      </c>
      <c r="G392" s="128" t="s">
        <v>485</v>
      </c>
      <c r="H392" s="129">
        <v>2</v>
      </c>
      <c r="I392" s="130">
        <v>1019.8832798103068</v>
      </c>
      <c r="J392" s="131">
        <f>ROUND(I392*H392,2)</f>
        <v>2039.77</v>
      </c>
      <c r="K392" s="127" t="s">
        <v>293</v>
      </c>
      <c r="L392" s="268">
        <f>S392</f>
        <v>0</v>
      </c>
      <c r="M392" s="272">
        <f>ROUND(L392*I392,2)</f>
        <v>0</v>
      </c>
      <c r="N392" s="243"/>
      <c r="O392" s="294">
        <f>ROUND(N392*I392,2)</f>
        <v>0</v>
      </c>
      <c r="P392" s="273">
        <f>H392-L392-N392</f>
        <v>2</v>
      </c>
      <c r="Q392" s="287">
        <f>ROUND(P392*I392,2)</f>
        <v>2039.77</v>
      </c>
      <c r="R392" s="137"/>
      <c r="S392" s="269">
        <f>W392+Y392+AA392+AC392</f>
        <v>0</v>
      </c>
      <c r="T392" s="269">
        <f>ROUND(S392*I392,2)</f>
        <v>0</v>
      </c>
      <c r="U392" s="269">
        <f>H392-S392</f>
        <v>2</v>
      </c>
      <c r="V392" s="269">
        <f>ROUND(U392*I392,2)</f>
        <v>2039.77</v>
      </c>
      <c r="W392" s="269"/>
      <c r="X392" s="269"/>
      <c r="Y392" s="269"/>
      <c r="Z392" s="269"/>
      <c r="AA392" s="269"/>
      <c r="AB392" s="269"/>
      <c r="AC392" s="269"/>
      <c r="AD392" s="269"/>
      <c r="CH392" s="132" t="s">
        <v>1</v>
      </c>
      <c r="CI392" s="133" t="s">
        <v>40</v>
      </c>
      <c r="CK392" s="134">
        <f>CJ392*H392</f>
        <v>0</v>
      </c>
      <c r="CL392" s="134">
        <v>0.21734000000000001</v>
      </c>
      <c r="CM392" s="134">
        <f>CL392*H392</f>
        <v>0.43468000000000001</v>
      </c>
      <c r="CN392" s="134">
        <v>0</v>
      </c>
      <c r="CO392" s="135">
        <f>CN392*H392</f>
        <v>0</v>
      </c>
      <c r="DM392" s="136" t="s">
        <v>95</v>
      </c>
      <c r="DO392" s="136" t="s">
        <v>284</v>
      </c>
      <c r="DP392" s="136" t="s">
        <v>83</v>
      </c>
      <c r="DT392" s="16" t="s">
        <v>282</v>
      </c>
      <c r="DZ392" s="137">
        <f>IF(CI392="základní",J392,0)</f>
        <v>2039.77</v>
      </c>
      <c r="EA392" s="137">
        <f>IF(CI392="snížená",J392,0)</f>
        <v>0</v>
      </c>
      <c r="EB392" s="137">
        <f>IF(CI392="zákl. přenesená",J392,0)</f>
        <v>0</v>
      </c>
      <c r="EC392" s="137">
        <f>IF(CI392="sníž. přenesená",J392,0)</f>
        <v>0</v>
      </c>
      <c r="ED392" s="137">
        <f>IF(CI392="nulová",J392,0)</f>
        <v>0</v>
      </c>
      <c r="EE392" s="16" t="s">
        <v>81</v>
      </c>
      <c r="EF392" s="137">
        <f>ROUND(I392*H392,2)</f>
        <v>2039.77</v>
      </c>
      <c r="EG392" s="16" t="s">
        <v>95</v>
      </c>
      <c r="EH392" s="136" t="s">
        <v>663</v>
      </c>
    </row>
    <row r="393" spans="2:138" s="1" customFormat="1" ht="19.5" x14ac:dyDescent="0.2">
      <c r="B393" s="31"/>
      <c r="D393" s="138" t="s">
        <v>289</v>
      </c>
      <c r="F393" s="139" t="s">
        <v>664</v>
      </c>
      <c r="I393" s="140"/>
      <c r="L393" s="31"/>
      <c r="N393" s="213"/>
      <c r="O393" s="214"/>
      <c r="Q393" s="229"/>
      <c r="CH393" s="141"/>
      <c r="CO393" s="50"/>
      <c r="DO393" s="16" t="s">
        <v>289</v>
      </c>
      <c r="DP393" s="16" t="s">
        <v>83</v>
      </c>
    </row>
    <row r="394" spans="2:138" s="1" customFormat="1" ht="19.5" x14ac:dyDescent="0.2">
      <c r="B394" s="31"/>
      <c r="D394" s="138" t="s">
        <v>299</v>
      </c>
      <c r="F394" s="142" t="s">
        <v>317</v>
      </c>
      <c r="I394" s="140"/>
      <c r="L394" s="31"/>
      <c r="N394" s="213"/>
      <c r="O394" s="214"/>
      <c r="Q394" s="229"/>
      <c r="CH394" s="141"/>
      <c r="CO394" s="50"/>
      <c r="DO394" s="16" t="s">
        <v>299</v>
      </c>
      <c r="DP394" s="16" t="s">
        <v>83</v>
      </c>
    </row>
    <row r="395" spans="2:138" s="12" customFormat="1" x14ac:dyDescent="0.2">
      <c r="B395" s="149"/>
      <c r="D395" s="138" t="s">
        <v>301</v>
      </c>
      <c r="E395" s="150" t="s">
        <v>1</v>
      </c>
      <c r="F395" s="151" t="s">
        <v>834</v>
      </c>
      <c r="H395" s="152">
        <v>2</v>
      </c>
      <c r="I395" s="153"/>
      <c r="L395" s="149"/>
      <c r="N395" s="217"/>
      <c r="O395" s="218"/>
      <c r="Q395" s="231"/>
      <c r="CH395" s="154"/>
      <c r="CO395" s="155"/>
      <c r="DO395" s="150" t="s">
        <v>301</v>
      </c>
      <c r="DP395" s="150" t="s">
        <v>83</v>
      </c>
      <c r="DQ395" s="12" t="s">
        <v>83</v>
      </c>
      <c r="DR395" s="12" t="s">
        <v>32</v>
      </c>
      <c r="DS395" s="12" t="s">
        <v>81</v>
      </c>
      <c r="DT395" s="150" t="s">
        <v>282</v>
      </c>
    </row>
    <row r="396" spans="2:138" s="1" customFormat="1" ht="24.2" customHeight="1" x14ac:dyDescent="0.2">
      <c r="B396" s="124"/>
      <c r="C396" s="170" t="s">
        <v>666</v>
      </c>
      <c r="D396" s="170" t="s">
        <v>439</v>
      </c>
      <c r="E396" s="171" t="s">
        <v>667</v>
      </c>
      <c r="F396" s="172" t="s">
        <v>668</v>
      </c>
      <c r="G396" s="173" t="s">
        <v>485</v>
      </c>
      <c r="H396" s="174">
        <v>1</v>
      </c>
      <c r="I396" s="175">
        <v>3125.8118100000002</v>
      </c>
      <c r="J396" s="176">
        <f>ROUND(I396*H396,2)</f>
        <v>3125.81</v>
      </c>
      <c r="K396" s="172" t="s">
        <v>1</v>
      </c>
      <c r="L396" s="268">
        <f>S396</f>
        <v>0</v>
      </c>
      <c r="M396" s="272">
        <f>ROUND(L396*I396,2)</f>
        <v>0</v>
      </c>
      <c r="N396" s="243"/>
      <c r="O396" s="294">
        <f>ROUND(N396*I396,2)</f>
        <v>0</v>
      </c>
      <c r="P396" s="273">
        <f>H396-L396-N396</f>
        <v>1</v>
      </c>
      <c r="Q396" s="287">
        <f>ROUND(P396*I396,2)</f>
        <v>3125.81</v>
      </c>
      <c r="R396" s="137"/>
      <c r="S396" s="269">
        <f>W396+Y396+AA396+AC396</f>
        <v>0</v>
      </c>
      <c r="T396" s="269">
        <f>ROUND(S396*I396,2)</f>
        <v>0</v>
      </c>
      <c r="U396" s="269">
        <f>H396-S396</f>
        <v>1</v>
      </c>
      <c r="V396" s="269">
        <f>ROUND(U396*I396,2)</f>
        <v>3125.81</v>
      </c>
      <c r="W396" s="290"/>
      <c r="X396" s="290"/>
      <c r="Y396" s="290"/>
      <c r="Z396" s="290"/>
      <c r="AA396" s="290"/>
      <c r="AB396" s="290"/>
      <c r="AC396" s="290"/>
      <c r="AD396" s="290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77" t="s">
        <v>1</v>
      </c>
      <c r="CI396" s="178" t="s">
        <v>40</v>
      </c>
      <c r="CK396" s="134">
        <f>CJ396*H396</f>
        <v>0</v>
      </c>
      <c r="CL396" s="134">
        <v>4.5999999999999999E-2</v>
      </c>
      <c r="CM396" s="134">
        <f>CL396*H396</f>
        <v>4.5999999999999999E-2</v>
      </c>
      <c r="CN396" s="134">
        <v>0</v>
      </c>
      <c r="CO396" s="135">
        <f>CN396*H396</f>
        <v>0</v>
      </c>
      <c r="DM396" s="136" t="s">
        <v>328</v>
      </c>
      <c r="DO396" s="136" t="s">
        <v>439</v>
      </c>
      <c r="DP396" s="136" t="s">
        <v>83</v>
      </c>
      <c r="DT396" s="16" t="s">
        <v>282</v>
      </c>
      <c r="DZ396" s="137">
        <f>IF(CI396="základní",J396,0)</f>
        <v>3125.81</v>
      </c>
      <c r="EA396" s="137">
        <f>IF(CI396="snížená",J396,0)</f>
        <v>0</v>
      </c>
      <c r="EB396" s="137">
        <f>IF(CI396="zákl. přenesená",J396,0)</f>
        <v>0</v>
      </c>
      <c r="EC396" s="137">
        <f>IF(CI396="sníž. přenesená",J396,0)</f>
        <v>0</v>
      </c>
      <c r="ED396" s="137">
        <f>IF(CI396="nulová",J396,0)</f>
        <v>0</v>
      </c>
      <c r="EE396" s="16" t="s">
        <v>81</v>
      </c>
      <c r="EF396" s="137">
        <f>ROUND(I396*H396,2)</f>
        <v>3125.81</v>
      </c>
      <c r="EG396" s="16" t="s">
        <v>95</v>
      </c>
      <c r="EH396" s="136" t="s">
        <v>669</v>
      </c>
    </row>
    <row r="397" spans="2:138" s="1" customFormat="1" ht="19.5" x14ac:dyDescent="0.2">
      <c r="B397" s="31"/>
      <c r="D397" s="138" t="s">
        <v>289</v>
      </c>
      <c r="F397" s="139" t="s">
        <v>668</v>
      </c>
      <c r="I397" s="140"/>
      <c r="L397" s="31"/>
      <c r="N397" s="213"/>
      <c r="O397" s="214"/>
      <c r="Q397" s="229"/>
      <c r="CH397" s="141"/>
      <c r="CO397" s="50"/>
      <c r="DO397" s="16" t="s">
        <v>289</v>
      </c>
      <c r="DP397" s="16" t="s">
        <v>83</v>
      </c>
    </row>
    <row r="398" spans="2:138" s="1" customFormat="1" ht="24.2" customHeight="1" x14ac:dyDescent="0.2">
      <c r="B398" s="124"/>
      <c r="C398" s="170" t="s">
        <v>670</v>
      </c>
      <c r="D398" s="170" t="s">
        <v>439</v>
      </c>
      <c r="E398" s="171" t="s">
        <v>671</v>
      </c>
      <c r="F398" s="172" t="s">
        <v>672</v>
      </c>
      <c r="G398" s="173" t="s">
        <v>485</v>
      </c>
      <c r="H398" s="174">
        <v>1</v>
      </c>
      <c r="I398" s="175">
        <v>3315.25495</v>
      </c>
      <c r="J398" s="176">
        <f>ROUND(I398*H398,2)</f>
        <v>3315.25</v>
      </c>
      <c r="K398" s="172" t="s">
        <v>1</v>
      </c>
      <c r="L398" s="268">
        <f>S398</f>
        <v>0</v>
      </c>
      <c r="M398" s="272">
        <f>ROUND(L398*I398,2)</f>
        <v>0</v>
      </c>
      <c r="N398" s="243"/>
      <c r="O398" s="294">
        <f>ROUND(N398*I398,2)</f>
        <v>0</v>
      </c>
      <c r="P398" s="273">
        <f>H398-L398-N398</f>
        <v>1</v>
      </c>
      <c r="Q398" s="287">
        <f>ROUND(P398*I398,2)</f>
        <v>3315.25</v>
      </c>
      <c r="R398" s="137"/>
      <c r="S398" s="269">
        <f>W398+Y398+AA398+AC398</f>
        <v>0</v>
      </c>
      <c r="T398" s="269">
        <f>ROUND(S398*I398,2)</f>
        <v>0</v>
      </c>
      <c r="U398" s="269">
        <f>H398-S398</f>
        <v>1</v>
      </c>
      <c r="V398" s="269">
        <f>ROUND(U398*I398,2)</f>
        <v>3315.25</v>
      </c>
      <c r="W398" s="290"/>
      <c r="X398" s="290"/>
      <c r="Y398" s="290"/>
      <c r="Z398" s="290"/>
      <c r="AA398" s="290"/>
      <c r="AB398" s="290"/>
      <c r="AC398" s="290"/>
      <c r="AD398" s="290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77" t="s">
        <v>1</v>
      </c>
      <c r="CI398" s="178" t="s">
        <v>40</v>
      </c>
      <c r="CK398" s="134">
        <f>CJ398*H398</f>
        <v>0</v>
      </c>
      <c r="CL398" s="134">
        <v>4.5999999999999999E-2</v>
      </c>
      <c r="CM398" s="134">
        <f>CL398*H398</f>
        <v>4.5999999999999999E-2</v>
      </c>
      <c r="CN398" s="134">
        <v>0</v>
      </c>
      <c r="CO398" s="135">
        <f>CN398*H398</f>
        <v>0</v>
      </c>
      <c r="DM398" s="136" t="s">
        <v>328</v>
      </c>
      <c r="DO398" s="136" t="s">
        <v>439</v>
      </c>
      <c r="DP398" s="136" t="s">
        <v>83</v>
      </c>
      <c r="DT398" s="16" t="s">
        <v>282</v>
      </c>
      <c r="DZ398" s="137">
        <f>IF(CI398="základní",J398,0)</f>
        <v>3315.25</v>
      </c>
      <c r="EA398" s="137">
        <f>IF(CI398="snížená",J398,0)</f>
        <v>0</v>
      </c>
      <c r="EB398" s="137">
        <f>IF(CI398="zákl. přenesená",J398,0)</f>
        <v>0</v>
      </c>
      <c r="EC398" s="137">
        <f>IF(CI398="sníž. přenesená",J398,0)</f>
        <v>0</v>
      </c>
      <c r="ED398" s="137">
        <f>IF(CI398="nulová",J398,0)</f>
        <v>0</v>
      </c>
      <c r="EE398" s="16" t="s">
        <v>81</v>
      </c>
      <c r="EF398" s="137">
        <f>ROUND(I398*H398,2)</f>
        <v>3315.25</v>
      </c>
      <c r="EG398" s="16" t="s">
        <v>95</v>
      </c>
      <c r="EH398" s="136" t="s">
        <v>673</v>
      </c>
    </row>
    <row r="399" spans="2:138" s="1" customFormat="1" ht="19.5" x14ac:dyDescent="0.2">
      <c r="B399" s="31"/>
      <c r="D399" s="138" t="s">
        <v>289</v>
      </c>
      <c r="F399" s="139" t="s">
        <v>672</v>
      </c>
      <c r="I399" s="140"/>
      <c r="L399" s="31"/>
      <c r="N399" s="213"/>
      <c r="O399" s="214"/>
      <c r="Q399" s="229"/>
      <c r="CH399" s="141"/>
      <c r="CO399" s="50"/>
      <c r="DO399" s="16" t="s">
        <v>289</v>
      </c>
      <c r="DP399" s="16" t="s">
        <v>83</v>
      </c>
    </row>
    <row r="400" spans="2:138" s="10" customFormat="1" ht="22.9" customHeight="1" x14ac:dyDescent="0.2">
      <c r="B400" s="112"/>
      <c r="D400" s="113" t="s">
        <v>73</v>
      </c>
      <c r="E400" s="122" t="s">
        <v>335</v>
      </c>
      <c r="F400" s="122" t="s">
        <v>674</v>
      </c>
      <c r="I400" s="115"/>
      <c r="J400" s="123">
        <f>EF400</f>
        <v>14586.78</v>
      </c>
      <c r="L400" s="112"/>
      <c r="M400" s="270">
        <f>SUM(M401:M406)</f>
        <v>0</v>
      </c>
      <c r="N400" s="301"/>
      <c r="O400" s="302">
        <f t="shared" ref="O400:V400" si="7">SUM(O401:O406)</f>
        <v>0</v>
      </c>
      <c r="P400" s="270"/>
      <c r="Q400" s="288">
        <f t="shared" si="7"/>
        <v>14586.78</v>
      </c>
      <c r="R400" s="270"/>
      <c r="S400" s="270"/>
      <c r="T400" s="270">
        <f t="shared" si="7"/>
        <v>0</v>
      </c>
      <c r="U400" s="270"/>
      <c r="V400" s="270">
        <f t="shared" si="7"/>
        <v>14586.78</v>
      </c>
      <c r="CH400" s="117"/>
      <c r="CK400" s="118">
        <f>SUM(CK401:CK410)</f>
        <v>0</v>
      </c>
      <c r="CM400" s="118">
        <f>SUM(CM401:CM410)</f>
        <v>7.2000000000000005E-4</v>
      </c>
      <c r="CO400" s="119">
        <f>SUM(CO401:CO410)</f>
        <v>0</v>
      </c>
      <c r="DM400" s="113" t="s">
        <v>81</v>
      </c>
      <c r="DO400" s="120" t="s">
        <v>73</v>
      </c>
      <c r="DP400" s="120" t="s">
        <v>81</v>
      </c>
      <c r="DT400" s="113" t="s">
        <v>282</v>
      </c>
      <c r="EF400" s="121">
        <f>SUM(EF401:EF410)</f>
        <v>14586.78</v>
      </c>
    </row>
    <row r="401" spans="2:138" s="1" customFormat="1" ht="24.2" customHeight="1" x14ac:dyDescent="0.2">
      <c r="B401" s="124"/>
      <c r="C401" s="125" t="s">
        <v>675</v>
      </c>
      <c r="D401" s="125" t="s">
        <v>284</v>
      </c>
      <c r="E401" s="126" t="s">
        <v>682</v>
      </c>
      <c r="F401" s="127" t="s">
        <v>683</v>
      </c>
      <c r="G401" s="128" t="s">
        <v>344</v>
      </c>
      <c r="H401" s="129">
        <v>8</v>
      </c>
      <c r="I401" s="130">
        <v>118.35908321829292</v>
      </c>
      <c r="J401" s="131">
        <f>ROUND(I401*H401,2)</f>
        <v>946.87</v>
      </c>
      <c r="K401" s="127" t="s">
        <v>293</v>
      </c>
      <c r="L401" s="268">
        <f>S401</f>
        <v>0</v>
      </c>
      <c r="M401" s="272">
        <f>ROUND(L401*I401,2)</f>
        <v>0</v>
      </c>
      <c r="N401" s="243"/>
      <c r="O401" s="294">
        <f>ROUND(N401*I401,2)</f>
        <v>0</v>
      </c>
      <c r="P401" s="273">
        <f>H401-L401-N401</f>
        <v>8</v>
      </c>
      <c r="Q401" s="287">
        <f>ROUND(P401*I401,2)</f>
        <v>946.87</v>
      </c>
      <c r="R401" s="137"/>
      <c r="S401" s="269">
        <f>W401+Y401+AA401+AC401</f>
        <v>0</v>
      </c>
      <c r="T401" s="269">
        <f>ROUND(S401*I401,2)</f>
        <v>0</v>
      </c>
      <c r="U401" s="269">
        <f>H401-S401</f>
        <v>8</v>
      </c>
      <c r="V401" s="269">
        <f>ROUND(U401*I401,2)</f>
        <v>946.87</v>
      </c>
      <c r="W401" s="269"/>
      <c r="X401" s="269"/>
      <c r="Y401" s="269"/>
      <c r="Z401" s="269"/>
      <c r="AA401" s="269"/>
      <c r="AB401" s="269"/>
      <c r="AC401" s="269"/>
      <c r="AD401" s="269"/>
      <c r="CH401" s="132" t="s">
        <v>1</v>
      </c>
      <c r="CI401" s="133" t="s">
        <v>40</v>
      </c>
      <c r="CK401" s="134">
        <f>CJ401*H401</f>
        <v>0</v>
      </c>
      <c r="CL401" s="134">
        <v>9.0000000000000006E-5</v>
      </c>
      <c r="CM401" s="134">
        <f>CL401*H401</f>
        <v>7.2000000000000005E-4</v>
      </c>
      <c r="CN401" s="134">
        <v>0</v>
      </c>
      <c r="CO401" s="135">
        <f>CN401*H401</f>
        <v>0</v>
      </c>
      <c r="DM401" s="136" t="s">
        <v>95</v>
      </c>
      <c r="DO401" s="136" t="s">
        <v>284</v>
      </c>
      <c r="DP401" s="136" t="s">
        <v>83</v>
      </c>
      <c r="DT401" s="16" t="s">
        <v>282</v>
      </c>
      <c r="DZ401" s="137">
        <f>IF(CI401="základní",J401,0)</f>
        <v>946.87</v>
      </c>
      <c r="EA401" s="137">
        <f>IF(CI401="snížená",J401,0)</f>
        <v>0</v>
      </c>
      <c r="EB401" s="137">
        <f>IF(CI401="zákl. přenesená",J401,0)</f>
        <v>0</v>
      </c>
      <c r="EC401" s="137">
        <f>IF(CI401="sníž. přenesená",J401,0)</f>
        <v>0</v>
      </c>
      <c r="ED401" s="137">
        <f>IF(CI401="nulová",J401,0)</f>
        <v>0</v>
      </c>
      <c r="EE401" s="16" t="s">
        <v>81</v>
      </c>
      <c r="EF401" s="137">
        <f>ROUND(I401*H401,2)</f>
        <v>946.87</v>
      </c>
      <c r="EG401" s="16" t="s">
        <v>95</v>
      </c>
      <c r="EH401" s="136" t="s">
        <v>684</v>
      </c>
    </row>
    <row r="402" spans="2:138" s="1" customFormat="1" ht="39" x14ac:dyDescent="0.2">
      <c r="B402" s="31"/>
      <c r="D402" s="138" t="s">
        <v>289</v>
      </c>
      <c r="F402" s="139" t="s">
        <v>685</v>
      </c>
      <c r="I402" s="140"/>
      <c r="L402" s="31"/>
      <c r="N402" s="213"/>
      <c r="O402" s="214"/>
      <c r="Q402" s="229"/>
      <c r="CH402" s="141"/>
      <c r="CO402" s="50"/>
      <c r="DO402" s="16" t="s">
        <v>289</v>
      </c>
      <c r="DP402" s="16" t="s">
        <v>83</v>
      </c>
    </row>
    <row r="403" spans="2:138" s="1" customFormat="1" ht="19.5" x14ac:dyDescent="0.2">
      <c r="B403" s="31"/>
      <c r="D403" s="138" t="s">
        <v>299</v>
      </c>
      <c r="F403" s="142" t="s">
        <v>317</v>
      </c>
      <c r="I403" s="140"/>
      <c r="L403" s="31"/>
      <c r="N403" s="213"/>
      <c r="O403" s="214"/>
      <c r="Q403" s="229"/>
      <c r="CH403" s="141"/>
      <c r="CO403" s="50"/>
      <c r="DO403" s="16" t="s">
        <v>299</v>
      </c>
      <c r="DP403" s="16" t="s">
        <v>83</v>
      </c>
    </row>
    <row r="404" spans="2:138" s="11" customFormat="1" x14ac:dyDescent="0.2">
      <c r="B404" s="143"/>
      <c r="D404" s="138" t="s">
        <v>301</v>
      </c>
      <c r="E404" s="144" t="s">
        <v>1</v>
      </c>
      <c r="F404" s="145" t="s">
        <v>686</v>
      </c>
      <c r="H404" s="144" t="s">
        <v>1</v>
      </c>
      <c r="I404" s="146"/>
      <c r="L404" s="143"/>
      <c r="N404" s="215"/>
      <c r="O404" s="216"/>
      <c r="Q404" s="230"/>
      <c r="CH404" s="147"/>
      <c r="CO404" s="148"/>
      <c r="DO404" s="144" t="s">
        <v>301</v>
      </c>
      <c r="DP404" s="144" t="s">
        <v>83</v>
      </c>
      <c r="DQ404" s="11" t="s">
        <v>81</v>
      </c>
      <c r="DR404" s="11" t="s">
        <v>32</v>
      </c>
      <c r="DS404" s="11" t="s">
        <v>74</v>
      </c>
      <c r="DT404" s="144" t="s">
        <v>282</v>
      </c>
    </row>
    <row r="405" spans="2:138" s="12" customFormat="1" x14ac:dyDescent="0.2">
      <c r="B405" s="149"/>
      <c r="D405" s="138" t="s">
        <v>301</v>
      </c>
      <c r="E405" s="150" t="s">
        <v>1</v>
      </c>
      <c r="F405" s="151" t="s">
        <v>1420</v>
      </c>
      <c r="H405" s="152">
        <v>8</v>
      </c>
      <c r="I405" s="153"/>
      <c r="L405" s="149"/>
      <c r="N405" s="217"/>
      <c r="O405" s="218"/>
      <c r="Q405" s="231"/>
      <c r="CH405" s="154"/>
      <c r="CO405" s="155"/>
      <c r="DO405" s="150" t="s">
        <v>301</v>
      </c>
      <c r="DP405" s="150" t="s">
        <v>83</v>
      </c>
      <c r="DQ405" s="12" t="s">
        <v>83</v>
      </c>
      <c r="DR405" s="12" t="s">
        <v>32</v>
      </c>
      <c r="DS405" s="12" t="s">
        <v>81</v>
      </c>
      <c r="DT405" s="150" t="s">
        <v>282</v>
      </c>
    </row>
    <row r="406" spans="2:138" s="1" customFormat="1" ht="14.45" customHeight="1" x14ac:dyDescent="0.2">
      <c r="B406" s="124"/>
      <c r="C406" s="125" t="s">
        <v>681</v>
      </c>
      <c r="D406" s="125" t="s">
        <v>284</v>
      </c>
      <c r="E406" s="126" t="s">
        <v>689</v>
      </c>
      <c r="F406" s="127" t="s">
        <v>690</v>
      </c>
      <c r="G406" s="128" t="s">
        <v>315</v>
      </c>
      <c r="H406" s="129">
        <v>8</v>
      </c>
      <c r="I406" s="130">
        <v>1704.9882600000001</v>
      </c>
      <c r="J406" s="131">
        <f>ROUND(I406*H406,2)</f>
        <v>13639.91</v>
      </c>
      <c r="K406" s="127" t="s">
        <v>1</v>
      </c>
      <c r="L406" s="268">
        <f>S406</f>
        <v>0</v>
      </c>
      <c r="M406" s="272">
        <f>ROUND(L406*I406,2)</f>
        <v>0</v>
      </c>
      <c r="N406" s="243"/>
      <c r="O406" s="294">
        <f>ROUND(N406*I406,2)</f>
        <v>0</v>
      </c>
      <c r="P406" s="273">
        <f>H406-L406-N406</f>
        <v>8</v>
      </c>
      <c r="Q406" s="287">
        <f>ROUND(P406*I406,2)</f>
        <v>13639.91</v>
      </c>
      <c r="R406" s="137"/>
      <c r="S406" s="269">
        <f>W406+Y406+AA406+AC406</f>
        <v>0</v>
      </c>
      <c r="T406" s="269">
        <f>ROUND(S406*I406,2)</f>
        <v>0</v>
      </c>
      <c r="U406" s="269">
        <f>H406-S406</f>
        <v>8</v>
      </c>
      <c r="V406" s="269">
        <f>ROUND(U406*I406,2)</f>
        <v>13639.91</v>
      </c>
      <c r="W406" s="269"/>
      <c r="X406" s="269"/>
      <c r="Y406" s="269"/>
      <c r="Z406" s="269"/>
      <c r="AA406" s="269"/>
      <c r="AB406" s="269"/>
      <c r="AC406" s="269"/>
      <c r="AD406" s="269"/>
      <c r="CH406" s="132" t="s">
        <v>1</v>
      </c>
      <c r="CI406" s="133" t="s">
        <v>40</v>
      </c>
      <c r="CK406" s="134">
        <f>CJ406*H406</f>
        <v>0</v>
      </c>
      <c r="CL406" s="134">
        <v>0</v>
      </c>
      <c r="CM406" s="134">
        <f>CL406*H406</f>
        <v>0</v>
      </c>
      <c r="CN406" s="134">
        <v>0</v>
      </c>
      <c r="CO406" s="135">
        <f>CN406*H406</f>
        <v>0</v>
      </c>
      <c r="DM406" s="136" t="s">
        <v>95</v>
      </c>
      <c r="DO406" s="136" t="s">
        <v>284</v>
      </c>
      <c r="DP406" s="136" t="s">
        <v>83</v>
      </c>
      <c r="DT406" s="16" t="s">
        <v>282</v>
      </c>
      <c r="DZ406" s="137">
        <f>IF(CI406="základní",J406,0)</f>
        <v>13639.91</v>
      </c>
      <c r="EA406" s="137">
        <f>IF(CI406="snížená",J406,0)</f>
        <v>0</v>
      </c>
      <c r="EB406" s="137">
        <f>IF(CI406="zákl. přenesená",J406,0)</f>
        <v>0</v>
      </c>
      <c r="EC406" s="137">
        <f>IF(CI406="sníž. přenesená",J406,0)</f>
        <v>0</v>
      </c>
      <c r="ED406" s="137">
        <f>IF(CI406="nulová",J406,0)</f>
        <v>0</v>
      </c>
      <c r="EE406" s="16" t="s">
        <v>81</v>
      </c>
      <c r="EF406" s="137">
        <f>ROUND(I406*H406,2)</f>
        <v>13639.91</v>
      </c>
      <c r="EG406" s="16" t="s">
        <v>95</v>
      </c>
      <c r="EH406" s="136" t="s">
        <v>691</v>
      </c>
    </row>
    <row r="407" spans="2:138" s="1" customFormat="1" ht="48.75" x14ac:dyDescent="0.2">
      <c r="B407" s="31"/>
      <c r="D407" s="138" t="s">
        <v>289</v>
      </c>
      <c r="F407" s="139" t="s">
        <v>692</v>
      </c>
      <c r="I407" s="140"/>
      <c r="L407" s="31"/>
      <c r="N407" s="213"/>
      <c r="O407" s="214"/>
      <c r="Q407" s="229"/>
      <c r="CH407" s="141"/>
      <c r="CO407" s="50"/>
      <c r="DO407" s="16" t="s">
        <v>289</v>
      </c>
      <c r="DP407" s="16" t="s">
        <v>83</v>
      </c>
    </row>
    <row r="408" spans="2:138" s="1" customFormat="1" ht="19.5" x14ac:dyDescent="0.2">
      <c r="B408" s="31"/>
      <c r="D408" s="138" t="s">
        <v>299</v>
      </c>
      <c r="F408" s="142" t="s">
        <v>693</v>
      </c>
      <c r="I408" s="140"/>
      <c r="L408" s="31"/>
      <c r="N408" s="213"/>
      <c r="O408" s="214"/>
      <c r="Q408" s="229"/>
      <c r="CH408" s="141"/>
      <c r="CO408" s="50"/>
      <c r="DO408" s="16" t="s">
        <v>299</v>
      </c>
      <c r="DP408" s="16" t="s">
        <v>83</v>
      </c>
    </row>
    <row r="409" spans="2:138" s="11" customFormat="1" x14ac:dyDescent="0.2">
      <c r="B409" s="143"/>
      <c r="D409" s="138" t="s">
        <v>301</v>
      </c>
      <c r="E409" s="144" t="s">
        <v>1</v>
      </c>
      <c r="F409" s="145" t="s">
        <v>694</v>
      </c>
      <c r="H409" s="144" t="s">
        <v>1</v>
      </c>
      <c r="I409" s="146"/>
      <c r="L409" s="143"/>
      <c r="N409" s="215"/>
      <c r="O409" s="216"/>
      <c r="Q409" s="230"/>
      <c r="CH409" s="147"/>
      <c r="CO409" s="148"/>
      <c r="DO409" s="144" t="s">
        <v>301</v>
      </c>
      <c r="DP409" s="144" t="s">
        <v>83</v>
      </c>
      <c r="DQ409" s="11" t="s">
        <v>81</v>
      </c>
      <c r="DR409" s="11" t="s">
        <v>32</v>
      </c>
      <c r="DS409" s="11" t="s">
        <v>74</v>
      </c>
      <c r="DT409" s="144" t="s">
        <v>282</v>
      </c>
    </row>
    <row r="410" spans="2:138" s="12" customFormat="1" x14ac:dyDescent="0.2">
      <c r="B410" s="149"/>
      <c r="D410" s="138" t="s">
        <v>301</v>
      </c>
      <c r="E410" s="150" t="s">
        <v>1</v>
      </c>
      <c r="F410" s="151" t="s">
        <v>328</v>
      </c>
      <c r="H410" s="152">
        <v>8</v>
      </c>
      <c r="I410" s="153"/>
      <c r="L410" s="149"/>
      <c r="N410" s="217"/>
      <c r="O410" s="218"/>
      <c r="Q410" s="231"/>
      <c r="CH410" s="154"/>
      <c r="CO410" s="155"/>
      <c r="DO410" s="150" t="s">
        <v>301</v>
      </c>
      <c r="DP410" s="150" t="s">
        <v>83</v>
      </c>
      <c r="DQ410" s="12" t="s">
        <v>83</v>
      </c>
      <c r="DR410" s="12" t="s">
        <v>32</v>
      </c>
      <c r="DS410" s="12" t="s">
        <v>81</v>
      </c>
      <c r="DT410" s="150" t="s">
        <v>282</v>
      </c>
    </row>
    <row r="411" spans="2:138" s="10" customFormat="1" ht="22.9" customHeight="1" x14ac:dyDescent="0.2">
      <c r="B411" s="112"/>
      <c r="D411" s="113" t="s">
        <v>73</v>
      </c>
      <c r="E411" s="122" t="s">
        <v>695</v>
      </c>
      <c r="F411" s="122" t="s">
        <v>696</v>
      </c>
      <c r="I411" s="115"/>
      <c r="J411" s="123">
        <f>EF411</f>
        <v>133242.88999999998</v>
      </c>
      <c r="L411" s="112"/>
      <c r="M411" s="270">
        <f>SUM(M412:M428)</f>
        <v>0</v>
      </c>
      <c r="N411" s="301"/>
      <c r="O411" s="302">
        <f t="shared" ref="O411:V411" si="8">SUM(O412:O428)</f>
        <v>9193.76</v>
      </c>
      <c r="P411" s="270"/>
      <c r="Q411" s="288">
        <f t="shared" si="8"/>
        <v>124049.14</v>
      </c>
      <c r="R411" s="270"/>
      <c r="S411" s="270"/>
      <c r="T411" s="270">
        <f t="shared" si="8"/>
        <v>0</v>
      </c>
      <c r="U411" s="270"/>
      <c r="V411" s="270">
        <f t="shared" si="8"/>
        <v>133242.88999999998</v>
      </c>
      <c r="CH411" s="117"/>
      <c r="CK411" s="118">
        <f>SUM(CK412:CK430)</f>
        <v>0</v>
      </c>
      <c r="CM411" s="118">
        <f>SUM(CM412:CM430)</f>
        <v>0</v>
      </c>
      <c r="CO411" s="119">
        <f>SUM(CO412:CO430)</f>
        <v>0</v>
      </c>
      <c r="DM411" s="113" t="s">
        <v>81</v>
      </c>
      <c r="DO411" s="120" t="s">
        <v>73</v>
      </c>
      <c r="DP411" s="120" t="s">
        <v>81</v>
      </c>
      <c r="DT411" s="113" t="s">
        <v>282</v>
      </c>
      <c r="EF411" s="121">
        <f>SUM(EF412:EF430)</f>
        <v>133242.88999999998</v>
      </c>
    </row>
    <row r="412" spans="2:138" s="1" customFormat="1" ht="14.45" customHeight="1" x14ac:dyDescent="0.2">
      <c r="B412" s="124"/>
      <c r="C412" s="125" t="s">
        <v>688</v>
      </c>
      <c r="D412" s="125" t="s">
        <v>284</v>
      </c>
      <c r="E412" s="126" t="s">
        <v>698</v>
      </c>
      <c r="F412" s="127" t="s">
        <v>699</v>
      </c>
      <c r="G412" s="128" t="s">
        <v>418</v>
      </c>
      <c r="H412" s="129">
        <v>338.60300000000001</v>
      </c>
      <c r="I412" s="130">
        <v>40.477390926043419</v>
      </c>
      <c r="J412" s="131">
        <f>ROUND(I412*H412,2)</f>
        <v>13705.77</v>
      </c>
      <c r="K412" s="127" t="s">
        <v>293</v>
      </c>
      <c r="L412" s="268">
        <f>S412</f>
        <v>0</v>
      </c>
      <c r="M412" s="272">
        <f>ROUND(L412*I412,2)</f>
        <v>0</v>
      </c>
      <c r="N412" s="243">
        <f>N414</f>
        <v>23.363607000000002</v>
      </c>
      <c r="O412" s="294">
        <f>ROUND(N412*I412,2)</f>
        <v>945.7</v>
      </c>
      <c r="P412" s="273">
        <f>H412-L412-N412</f>
        <v>315.23939300000001</v>
      </c>
      <c r="Q412" s="287">
        <f>ROUND(P412*I412,2)</f>
        <v>12760.07</v>
      </c>
      <c r="R412" s="137"/>
      <c r="S412" s="269">
        <f>W412+Y412+AA412+AC412</f>
        <v>0</v>
      </c>
      <c r="T412" s="269">
        <f>ROUND(S412*I412,2)</f>
        <v>0</v>
      </c>
      <c r="U412" s="269">
        <f>H412-S412</f>
        <v>338.60300000000001</v>
      </c>
      <c r="V412" s="269">
        <f>ROUND(U412*I412,2)</f>
        <v>13705.77</v>
      </c>
      <c r="W412" s="269"/>
      <c r="X412" s="269"/>
      <c r="Y412" s="269"/>
      <c r="Z412" s="269"/>
      <c r="AA412" s="269"/>
      <c r="AB412" s="269"/>
      <c r="AC412" s="269"/>
      <c r="AD412" s="269"/>
      <c r="CH412" s="132" t="s">
        <v>1</v>
      </c>
      <c r="CI412" s="133" t="s">
        <v>40</v>
      </c>
      <c r="CK412" s="134">
        <f>CJ412*H412</f>
        <v>0</v>
      </c>
      <c r="CL412" s="134">
        <v>0</v>
      </c>
      <c r="CM412" s="134">
        <f>CL412*H412</f>
        <v>0</v>
      </c>
      <c r="CN412" s="134">
        <v>0</v>
      </c>
      <c r="CO412" s="135">
        <f>CN412*H412</f>
        <v>0</v>
      </c>
      <c r="DM412" s="136" t="s">
        <v>95</v>
      </c>
      <c r="DO412" s="136" t="s">
        <v>284</v>
      </c>
      <c r="DP412" s="136" t="s">
        <v>83</v>
      </c>
      <c r="DT412" s="16" t="s">
        <v>282</v>
      </c>
      <c r="DZ412" s="137">
        <f>IF(CI412="základní",J412,0)</f>
        <v>13705.77</v>
      </c>
      <c r="EA412" s="137">
        <f>IF(CI412="snížená",J412,0)</f>
        <v>0</v>
      </c>
      <c r="EB412" s="137">
        <f>IF(CI412="zákl. přenesená",J412,0)</f>
        <v>0</v>
      </c>
      <c r="EC412" s="137">
        <f>IF(CI412="sníž. přenesená",J412,0)</f>
        <v>0</v>
      </c>
      <c r="ED412" s="137">
        <f>IF(CI412="nulová",J412,0)</f>
        <v>0</v>
      </c>
      <c r="EE412" s="16" t="s">
        <v>81</v>
      </c>
      <c r="EF412" s="137">
        <f>ROUND(I412*H412,2)</f>
        <v>13705.77</v>
      </c>
      <c r="EG412" s="16" t="s">
        <v>95</v>
      </c>
      <c r="EH412" s="136" t="s">
        <v>700</v>
      </c>
    </row>
    <row r="413" spans="2:138" s="1" customFormat="1" ht="19.5" x14ac:dyDescent="0.2">
      <c r="B413" s="31"/>
      <c r="D413" s="138" t="s">
        <v>289</v>
      </c>
      <c r="F413" s="139" t="s">
        <v>701</v>
      </c>
      <c r="I413" s="140"/>
      <c r="L413" s="31"/>
      <c r="N413" s="213">
        <f>1.069*338.603</f>
        <v>361.96660700000001</v>
      </c>
      <c r="O413" s="214" t="s">
        <v>3928</v>
      </c>
      <c r="Q413" s="229"/>
      <c r="CH413" s="141"/>
      <c r="CO413" s="50"/>
      <c r="DO413" s="16" t="s">
        <v>289</v>
      </c>
      <c r="DP413" s="16" t="s">
        <v>83</v>
      </c>
    </row>
    <row r="414" spans="2:138" s="12" customFormat="1" x14ac:dyDescent="0.2">
      <c r="B414" s="149"/>
      <c r="D414" s="138" t="s">
        <v>301</v>
      </c>
      <c r="E414" s="150" t="s">
        <v>1</v>
      </c>
      <c r="F414" s="151" t="s">
        <v>1654</v>
      </c>
      <c r="H414" s="152">
        <v>235.02799999999999</v>
      </c>
      <c r="I414" s="153"/>
      <c r="L414" s="149"/>
      <c r="N414" s="310">
        <f>N413-H416</f>
        <v>23.363607000000002</v>
      </c>
      <c r="O414" s="218"/>
      <c r="Q414" s="231"/>
      <c r="CH414" s="154"/>
      <c r="CO414" s="155"/>
      <c r="DO414" s="150" t="s">
        <v>301</v>
      </c>
      <c r="DP414" s="150" t="s">
        <v>83</v>
      </c>
      <c r="DQ414" s="12" t="s">
        <v>83</v>
      </c>
      <c r="DR414" s="12" t="s">
        <v>32</v>
      </c>
      <c r="DS414" s="12" t="s">
        <v>74</v>
      </c>
      <c r="DT414" s="150" t="s">
        <v>282</v>
      </c>
    </row>
    <row r="415" spans="2:138" s="12" customFormat="1" x14ac:dyDescent="0.2">
      <c r="B415" s="149"/>
      <c r="D415" s="138" t="s">
        <v>301</v>
      </c>
      <c r="E415" s="150" t="s">
        <v>1</v>
      </c>
      <c r="F415" s="151" t="s">
        <v>1655</v>
      </c>
      <c r="H415" s="152">
        <v>103.575</v>
      </c>
      <c r="I415" s="153"/>
      <c r="L415" s="149"/>
      <c r="N415" s="217"/>
      <c r="O415" s="218"/>
      <c r="Q415" s="231"/>
      <c r="CH415" s="154"/>
      <c r="CO415" s="155"/>
      <c r="DO415" s="150" t="s">
        <v>301</v>
      </c>
      <c r="DP415" s="150" t="s">
        <v>83</v>
      </c>
      <c r="DQ415" s="12" t="s">
        <v>83</v>
      </c>
      <c r="DR415" s="12" t="s">
        <v>32</v>
      </c>
      <c r="DS415" s="12" t="s">
        <v>74</v>
      </c>
      <c r="DT415" s="150" t="s">
        <v>282</v>
      </c>
    </row>
    <row r="416" spans="2:138" s="13" customFormat="1" x14ac:dyDescent="0.2">
      <c r="B416" s="156"/>
      <c r="D416" s="138" t="s">
        <v>301</v>
      </c>
      <c r="E416" s="157" t="s">
        <v>1</v>
      </c>
      <c r="F416" s="158" t="s">
        <v>305</v>
      </c>
      <c r="H416" s="159">
        <v>338.60300000000001</v>
      </c>
      <c r="I416" s="160"/>
      <c r="L416" s="156"/>
      <c r="N416" s="219"/>
      <c r="O416" s="220"/>
      <c r="Q416" s="232"/>
      <c r="CH416" s="161"/>
      <c r="CO416" s="162"/>
      <c r="DO416" s="157" t="s">
        <v>301</v>
      </c>
      <c r="DP416" s="157" t="s">
        <v>83</v>
      </c>
      <c r="DQ416" s="13" t="s">
        <v>95</v>
      </c>
      <c r="DR416" s="13" t="s">
        <v>32</v>
      </c>
      <c r="DS416" s="13" t="s">
        <v>81</v>
      </c>
      <c r="DT416" s="157" t="s">
        <v>282</v>
      </c>
    </row>
    <row r="417" spans="2:138" s="1" customFormat="1" ht="24.2" customHeight="1" x14ac:dyDescent="0.2">
      <c r="B417" s="124"/>
      <c r="C417" s="125" t="s">
        <v>697</v>
      </c>
      <c r="D417" s="125" t="s">
        <v>284</v>
      </c>
      <c r="E417" s="126" t="s">
        <v>705</v>
      </c>
      <c r="F417" s="127" t="s">
        <v>706</v>
      </c>
      <c r="G417" s="128" t="s">
        <v>418</v>
      </c>
      <c r="H417" s="129">
        <v>4740.442</v>
      </c>
      <c r="I417" s="130">
        <v>3.1192340975392101</v>
      </c>
      <c r="J417" s="131">
        <f>ROUND(I417*H417,2)</f>
        <v>14786.55</v>
      </c>
      <c r="K417" s="127" t="s">
        <v>293</v>
      </c>
      <c r="L417" s="268">
        <f>S417</f>
        <v>0</v>
      </c>
      <c r="M417" s="272">
        <f>ROUND(L417*I417,2)</f>
        <v>0</v>
      </c>
      <c r="N417" s="243">
        <f>N419</f>
        <v>327.09049799999957</v>
      </c>
      <c r="O417" s="294">
        <f>ROUND(N417*I417,2)</f>
        <v>1020.27</v>
      </c>
      <c r="P417" s="273">
        <f>H417-L417-N417</f>
        <v>4413.3515020000004</v>
      </c>
      <c r="Q417" s="287">
        <f>ROUND(P417*I417,2)</f>
        <v>13766.28</v>
      </c>
      <c r="R417" s="137"/>
      <c r="S417" s="269">
        <f>W417+Y417+AA417+AC417</f>
        <v>0</v>
      </c>
      <c r="T417" s="269">
        <f>ROUND(S417*I417,2)</f>
        <v>0</v>
      </c>
      <c r="U417" s="269">
        <f>H417-S417</f>
        <v>4740.442</v>
      </c>
      <c r="V417" s="269">
        <f>ROUND(U417*I417,2)</f>
        <v>14786.55</v>
      </c>
      <c r="W417" s="269"/>
      <c r="X417" s="269"/>
      <c r="Y417" s="269"/>
      <c r="Z417" s="269"/>
      <c r="AA417" s="269"/>
      <c r="AB417" s="269"/>
      <c r="AC417" s="269"/>
      <c r="AD417" s="269"/>
      <c r="CH417" s="132" t="s">
        <v>1</v>
      </c>
      <c r="CI417" s="133" t="s">
        <v>40</v>
      </c>
      <c r="CK417" s="134">
        <f>CJ417*H417</f>
        <v>0</v>
      </c>
      <c r="CL417" s="134">
        <v>0</v>
      </c>
      <c r="CM417" s="134">
        <f>CL417*H417</f>
        <v>0</v>
      </c>
      <c r="CN417" s="134">
        <v>0</v>
      </c>
      <c r="CO417" s="135">
        <f>CN417*H417</f>
        <v>0</v>
      </c>
      <c r="DM417" s="136" t="s">
        <v>95</v>
      </c>
      <c r="DO417" s="136" t="s">
        <v>284</v>
      </c>
      <c r="DP417" s="136" t="s">
        <v>83</v>
      </c>
      <c r="DT417" s="16" t="s">
        <v>282</v>
      </c>
      <c r="DZ417" s="137">
        <f>IF(CI417="základní",J417,0)</f>
        <v>14786.55</v>
      </c>
      <c r="EA417" s="137">
        <f>IF(CI417="snížená",J417,0)</f>
        <v>0</v>
      </c>
      <c r="EB417" s="137">
        <f>IF(CI417="zákl. přenesená",J417,0)</f>
        <v>0</v>
      </c>
      <c r="EC417" s="137">
        <f>IF(CI417="sníž. přenesená",J417,0)</f>
        <v>0</v>
      </c>
      <c r="ED417" s="137">
        <f>IF(CI417="nulová",J417,0)</f>
        <v>0</v>
      </c>
      <c r="EE417" s="16" t="s">
        <v>81</v>
      </c>
      <c r="EF417" s="137">
        <f>ROUND(I417*H417,2)</f>
        <v>14786.55</v>
      </c>
      <c r="EG417" s="16" t="s">
        <v>95</v>
      </c>
      <c r="EH417" s="136" t="s">
        <v>707</v>
      </c>
    </row>
    <row r="418" spans="2:138" s="1" customFormat="1" ht="29.25" x14ac:dyDescent="0.2">
      <c r="B418" s="31"/>
      <c r="D418" s="138" t="s">
        <v>289</v>
      </c>
      <c r="F418" s="139" t="s">
        <v>708</v>
      </c>
      <c r="I418" s="140"/>
      <c r="L418" s="31"/>
      <c r="N418" s="213">
        <f>1.069*4740.442</f>
        <v>5067.5324979999996</v>
      </c>
      <c r="O418" s="214" t="s">
        <v>3929</v>
      </c>
      <c r="Q418" s="229"/>
      <c r="CH418" s="141"/>
      <c r="CO418" s="50"/>
      <c r="DO418" s="16" t="s">
        <v>289</v>
      </c>
      <c r="DP418" s="16" t="s">
        <v>83</v>
      </c>
    </row>
    <row r="419" spans="2:138" s="12" customFormat="1" x14ac:dyDescent="0.2">
      <c r="B419" s="149"/>
      <c r="D419" s="138" t="s">
        <v>301</v>
      </c>
      <c r="E419" s="150" t="s">
        <v>1</v>
      </c>
      <c r="F419" s="151" t="s">
        <v>1654</v>
      </c>
      <c r="H419" s="152">
        <v>235.02799999999999</v>
      </c>
      <c r="I419" s="153"/>
      <c r="L419" s="149"/>
      <c r="N419" s="310">
        <f>N418-H422</f>
        <v>327.09049799999957</v>
      </c>
      <c r="O419" s="218"/>
      <c r="Q419" s="231"/>
      <c r="CH419" s="154"/>
      <c r="CO419" s="155"/>
      <c r="DO419" s="150" t="s">
        <v>301</v>
      </c>
      <c r="DP419" s="150" t="s">
        <v>83</v>
      </c>
      <c r="DQ419" s="12" t="s">
        <v>83</v>
      </c>
      <c r="DR419" s="12" t="s">
        <v>32</v>
      </c>
      <c r="DS419" s="12" t="s">
        <v>74</v>
      </c>
      <c r="DT419" s="150" t="s">
        <v>282</v>
      </c>
    </row>
    <row r="420" spans="2:138" s="12" customFormat="1" x14ac:dyDescent="0.2">
      <c r="B420" s="149"/>
      <c r="D420" s="138" t="s">
        <v>301</v>
      </c>
      <c r="E420" s="150" t="s">
        <v>1</v>
      </c>
      <c r="F420" s="151" t="s">
        <v>1655</v>
      </c>
      <c r="H420" s="152">
        <v>103.575</v>
      </c>
      <c r="I420" s="153"/>
      <c r="L420" s="149"/>
      <c r="N420" s="217"/>
      <c r="O420" s="218"/>
      <c r="Q420" s="231"/>
      <c r="CH420" s="154"/>
      <c r="CO420" s="155"/>
      <c r="DO420" s="150" t="s">
        <v>301</v>
      </c>
      <c r="DP420" s="150" t="s">
        <v>83</v>
      </c>
      <c r="DQ420" s="12" t="s">
        <v>83</v>
      </c>
      <c r="DR420" s="12" t="s">
        <v>32</v>
      </c>
      <c r="DS420" s="12" t="s">
        <v>74</v>
      </c>
      <c r="DT420" s="150" t="s">
        <v>282</v>
      </c>
    </row>
    <row r="421" spans="2:138" s="13" customFormat="1" x14ac:dyDescent="0.2">
      <c r="B421" s="156"/>
      <c r="D421" s="138" t="s">
        <v>301</v>
      </c>
      <c r="E421" s="157" t="s">
        <v>1</v>
      </c>
      <c r="F421" s="158" t="s">
        <v>305</v>
      </c>
      <c r="H421" s="159">
        <v>338.60300000000001</v>
      </c>
      <c r="I421" s="160"/>
      <c r="L421" s="156"/>
      <c r="N421" s="219"/>
      <c r="O421" s="220"/>
      <c r="Q421" s="232"/>
      <c r="CH421" s="161"/>
      <c r="CO421" s="162"/>
      <c r="DO421" s="157" t="s">
        <v>301</v>
      </c>
      <c r="DP421" s="157" t="s">
        <v>83</v>
      </c>
      <c r="DQ421" s="13" t="s">
        <v>95</v>
      </c>
      <c r="DR421" s="13" t="s">
        <v>32</v>
      </c>
      <c r="DS421" s="13" t="s">
        <v>81</v>
      </c>
      <c r="DT421" s="157" t="s">
        <v>282</v>
      </c>
    </row>
    <row r="422" spans="2:138" s="12" customFormat="1" x14ac:dyDescent="0.2">
      <c r="B422" s="149"/>
      <c r="D422" s="138" t="s">
        <v>301</v>
      </c>
      <c r="F422" s="151" t="s">
        <v>1656</v>
      </c>
      <c r="H422" s="152">
        <v>4740.442</v>
      </c>
      <c r="I422" s="153"/>
      <c r="L422" s="149"/>
      <c r="N422" s="217"/>
      <c r="O422" s="218"/>
      <c r="Q422" s="231"/>
      <c r="CH422" s="154"/>
      <c r="CO422" s="155"/>
      <c r="DO422" s="150" t="s">
        <v>301</v>
      </c>
      <c r="DP422" s="150" t="s">
        <v>83</v>
      </c>
      <c r="DQ422" s="12" t="s">
        <v>83</v>
      </c>
      <c r="DR422" s="12" t="s">
        <v>3</v>
      </c>
      <c r="DS422" s="12" t="s">
        <v>81</v>
      </c>
      <c r="DT422" s="150" t="s">
        <v>282</v>
      </c>
    </row>
    <row r="423" spans="2:138" s="1" customFormat="1" ht="24.2" customHeight="1" x14ac:dyDescent="0.2">
      <c r="B423" s="124"/>
      <c r="C423" s="125" t="s">
        <v>704</v>
      </c>
      <c r="D423" s="125" t="s">
        <v>284</v>
      </c>
      <c r="E423" s="126" t="s">
        <v>711</v>
      </c>
      <c r="F423" s="127" t="s">
        <v>712</v>
      </c>
      <c r="G423" s="128" t="s">
        <v>418</v>
      </c>
      <c r="H423" s="129">
        <v>338.60300000000001</v>
      </c>
      <c r="I423" s="130">
        <v>155.98322812074767</v>
      </c>
      <c r="J423" s="131">
        <f>ROUND(I423*H423,2)</f>
        <v>52816.39</v>
      </c>
      <c r="K423" s="127" t="s">
        <v>293</v>
      </c>
      <c r="L423" s="268">
        <f>S423</f>
        <v>0</v>
      </c>
      <c r="M423" s="272">
        <f>ROUND(L423*I423,2)</f>
        <v>0</v>
      </c>
      <c r="N423" s="243">
        <f>N412</f>
        <v>23.363607000000002</v>
      </c>
      <c r="O423" s="294">
        <f>ROUND(N423*I423,2)</f>
        <v>3644.33</v>
      </c>
      <c r="P423" s="273">
        <f>H423-L423-N423</f>
        <v>315.23939300000001</v>
      </c>
      <c r="Q423" s="287">
        <f>ROUND(P423*I423,2)</f>
        <v>49172.06</v>
      </c>
      <c r="R423" s="137"/>
      <c r="S423" s="269">
        <f>W423+Y423+AA423+AC423</f>
        <v>0</v>
      </c>
      <c r="T423" s="269">
        <f>ROUND(S423*I423,2)</f>
        <v>0</v>
      </c>
      <c r="U423" s="269">
        <f>H423-S423</f>
        <v>338.60300000000001</v>
      </c>
      <c r="V423" s="269">
        <f>ROUND(U423*I423,2)</f>
        <v>52816.39</v>
      </c>
      <c r="W423" s="269"/>
      <c r="X423" s="269"/>
      <c r="Y423" s="269"/>
      <c r="Z423" s="269"/>
      <c r="AA423" s="269"/>
      <c r="AB423" s="269"/>
      <c r="AC423" s="269"/>
      <c r="AD423" s="269"/>
      <c r="CH423" s="132" t="s">
        <v>1</v>
      </c>
      <c r="CI423" s="133" t="s">
        <v>40</v>
      </c>
      <c r="CK423" s="134">
        <f>CJ423*H423</f>
        <v>0</v>
      </c>
      <c r="CL423" s="134">
        <v>0</v>
      </c>
      <c r="CM423" s="134">
        <f>CL423*H423</f>
        <v>0</v>
      </c>
      <c r="CN423" s="134">
        <v>0</v>
      </c>
      <c r="CO423" s="135">
        <f>CN423*H423</f>
        <v>0</v>
      </c>
      <c r="DM423" s="136" t="s">
        <v>95</v>
      </c>
      <c r="DO423" s="136" t="s">
        <v>284</v>
      </c>
      <c r="DP423" s="136" t="s">
        <v>83</v>
      </c>
      <c r="DT423" s="16" t="s">
        <v>282</v>
      </c>
      <c r="DZ423" s="137">
        <f>IF(CI423="základní",J423,0)</f>
        <v>52816.39</v>
      </c>
      <c r="EA423" s="137">
        <f>IF(CI423="snížená",J423,0)</f>
        <v>0</v>
      </c>
      <c r="EB423" s="137">
        <f>IF(CI423="zákl. přenesená",J423,0)</f>
        <v>0</v>
      </c>
      <c r="EC423" s="137">
        <f>IF(CI423="sníž. přenesená",J423,0)</f>
        <v>0</v>
      </c>
      <c r="ED423" s="137">
        <f>IF(CI423="nulová",J423,0)</f>
        <v>0</v>
      </c>
      <c r="EE423" s="16" t="s">
        <v>81</v>
      </c>
      <c r="EF423" s="137">
        <f>ROUND(I423*H423,2)</f>
        <v>52816.39</v>
      </c>
      <c r="EG423" s="16" t="s">
        <v>95</v>
      </c>
      <c r="EH423" s="136" t="s">
        <v>713</v>
      </c>
    </row>
    <row r="424" spans="2:138" s="1" customFormat="1" x14ac:dyDescent="0.2">
      <c r="B424" s="31"/>
      <c r="D424" s="138" t="s">
        <v>289</v>
      </c>
      <c r="F424" s="139" t="s">
        <v>714</v>
      </c>
      <c r="I424" s="140"/>
      <c r="L424" s="31"/>
      <c r="N424" s="213"/>
      <c r="O424" s="214"/>
      <c r="Q424" s="229"/>
      <c r="CH424" s="141"/>
      <c r="CO424" s="50"/>
      <c r="DO424" s="16" t="s">
        <v>289</v>
      </c>
      <c r="DP424" s="16" t="s">
        <v>83</v>
      </c>
    </row>
    <row r="425" spans="2:138" s="1" customFormat="1" ht="37.9" customHeight="1" x14ac:dyDescent="0.2">
      <c r="B425" s="124"/>
      <c r="C425" s="125" t="s">
        <v>710</v>
      </c>
      <c r="D425" s="125" t="s">
        <v>284</v>
      </c>
      <c r="E425" s="126" t="s">
        <v>716</v>
      </c>
      <c r="F425" s="127" t="s">
        <v>420</v>
      </c>
      <c r="G425" s="128" t="s">
        <v>418</v>
      </c>
      <c r="H425" s="129">
        <v>235.02799999999999</v>
      </c>
      <c r="I425" s="130">
        <v>110.6455721</v>
      </c>
      <c r="J425" s="131">
        <f>ROUND(I425*H425,2)</f>
        <v>26004.81</v>
      </c>
      <c r="K425" s="127" t="s">
        <v>293</v>
      </c>
      <c r="L425" s="268">
        <f>S425</f>
        <v>0</v>
      </c>
      <c r="M425" s="272">
        <f>ROUND(L425*I425,2)</f>
        <v>0</v>
      </c>
      <c r="N425" s="243">
        <f>N427</f>
        <v>16.216931999999986</v>
      </c>
      <c r="O425" s="294">
        <f>ROUND(N425*I425,2)</f>
        <v>1794.33</v>
      </c>
      <c r="P425" s="273">
        <f>H425-L425-N425</f>
        <v>218.81106800000001</v>
      </c>
      <c r="Q425" s="287">
        <f>ROUND(P425*I425,2)</f>
        <v>24210.48</v>
      </c>
      <c r="R425" s="137"/>
      <c r="S425" s="269">
        <f>W425+Y425+AA425+AC425</f>
        <v>0</v>
      </c>
      <c r="T425" s="269">
        <f>ROUND(S425*I425,2)</f>
        <v>0</v>
      </c>
      <c r="U425" s="269">
        <f>H425-S425</f>
        <v>235.02799999999999</v>
      </c>
      <c r="V425" s="269">
        <f>ROUND(U425*I425,2)</f>
        <v>26004.81</v>
      </c>
      <c r="W425" s="269"/>
      <c r="X425" s="269"/>
      <c r="Y425" s="269"/>
      <c r="Z425" s="269"/>
      <c r="AA425" s="269"/>
      <c r="AB425" s="269"/>
      <c r="AC425" s="269"/>
      <c r="AD425" s="269"/>
      <c r="CH425" s="132" t="s">
        <v>1</v>
      </c>
      <c r="CI425" s="133" t="s">
        <v>40</v>
      </c>
      <c r="CK425" s="134">
        <f>CJ425*H425</f>
        <v>0</v>
      </c>
      <c r="CL425" s="134">
        <v>0</v>
      </c>
      <c r="CM425" s="134">
        <f>CL425*H425</f>
        <v>0</v>
      </c>
      <c r="CN425" s="134">
        <v>0</v>
      </c>
      <c r="CO425" s="135">
        <f>CN425*H425</f>
        <v>0</v>
      </c>
      <c r="DM425" s="136" t="s">
        <v>95</v>
      </c>
      <c r="DO425" s="136" t="s">
        <v>284</v>
      </c>
      <c r="DP425" s="136" t="s">
        <v>83</v>
      </c>
      <c r="DT425" s="16" t="s">
        <v>282</v>
      </c>
      <c r="DZ425" s="137">
        <f>IF(CI425="základní",J425,0)</f>
        <v>26004.81</v>
      </c>
      <c r="EA425" s="137">
        <f>IF(CI425="snížená",J425,0)</f>
        <v>0</v>
      </c>
      <c r="EB425" s="137">
        <f>IF(CI425="zákl. přenesená",J425,0)</f>
        <v>0</v>
      </c>
      <c r="EC425" s="137">
        <f>IF(CI425="sníž. přenesená",J425,0)</f>
        <v>0</v>
      </c>
      <c r="ED425" s="137">
        <f>IF(CI425="nulová",J425,0)</f>
        <v>0</v>
      </c>
      <c r="EE425" s="16" t="s">
        <v>81</v>
      </c>
      <c r="EF425" s="137">
        <f>ROUND(I425*H425,2)</f>
        <v>26004.81</v>
      </c>
      <c r="EG425" s="16" t="s">
        <v>95</v>
      </c>
      <c r="EH425" s="136" t="s">
        <v>717</v>
      </c>
    </row>
    <row r="426" spans="2:138" s="1" customFormat="1" ht="29.25" x14ac:dyDescent="0.2">
      <c r="B426" s="31"/>
      <c r="D426" s="138" t="s">
        <v>289</v>
      </c>
      <c r="F426" s="139" t="s">
        <v>420</v>
      </c>
      <c r="I426" s="140"/>
      <c r="L426" s="31"/>
      <c r="N426" s="213">
        <f>1.069*235.028</f>
        <v>251.24493199999998</v>
      </c>
      <c r="O426" s="214" t="s">
        <v>3930</v>
      </c>
      <c r="Q426" s="229"/>
      <c r="CH426" s="141"/>
      <c r="CO426" s="50"/>
      <c r="DO426" s="16" t="s">
        <v>289</v>
      </c>
      <c r="DP426" s="16" t="s">
        <v>83</v>
      </c>
    </row>
    <row r="427" spans="2:138" s="12" customFormat="1" x14ac:dyDescent="0.2">
      <c r="B427" s="149"/>
      <c r="D427" s="138" t="s">
        <v>301</v>
      </c>
      <c r="E427" s="150" t="s">
        <v>1</v>
      </c>
      <c r="F427" s="151" t="s">
        <v>1654</v>
      </c>
      <c r="H427" s="152">
        <v>235.02799999999999</v>
      </c>
      <c r="I427" s="153"/>
      <c r="L427" s="149"/>
      <c r="N427" s="310">
        <f>N426-H427</f>
        <v>16.216931999999986</v>
      </c>
      <c r="O427" s="218"/>
      <c r="Q427" s="231"/>
      <c r="CH427" s="154"/>
      <c r="CO427" s="155"/>
      <c r="DO427" s="150" t="s">
        <v>301</v>
      </c>
      <c r="DP427" s="150" t="s">
        <v>83</v>
      </c>
      <c r="DQ427" s="12" t="s">
        <v>83</v>
      </c>
      <c r="DR427" s="12" t="s">
        <v>32</v>
      </c>
      <c r="DS427" s="12" t="s">
        <v>81</v>
      </c>
      <c r="DT427" s="150" t="s">
        <v>282</v>
      </c>
    </row>
    <row r="428" spans="2:138" s="1" customFormat="1" ht="37.9" customHeight="1" x14ac:dyDescent="0.2">
      <c r="B428" s="124"/>
      <c r="C428" s="125" t="s">
        <v>715</v>
      </c>
      <c r="D428" s="125" t="s">
        <v>284</v>
      </c>
      <c r="E428" s="126" t="s">
        <v>719</v>
      </c>
      <c r="F428" s="127" t="s">
        <v>720</v>
      </c>
      <c r="G428" s="128" t="s">
        <v>418</v>
      </c>
      <c r="H428" s="129">
        <v>103.575</v>
      </c>
      <c r="I428" s="130">
        <v>250.3439285</v>
      </c>
      <c r="J428" s="131">
        <f>ROUND(I428*H428,2)</f>
        <v>25929.37</v>
      </c>
      <c r="K428" s="127" t="s">
        <v>293</v>
      </c>
      <c r="L428" s="268">
        <f>S428</f>
        <v>0</v>
      </c>
      <c r="M428" s="272">
        <f>ROUND(L428*I428,2)</f>
        <v>0</v>
      </c>
      <c r="N428" s="243">
        <f>N430</f>
        <v>7.1466750000000019</v>
      </c>
      <c r="O428" s="294">
        <f>ROUND(N428*I428,2)</f>
        <v>1789.13</v>
      </c>
      <c r="P428" s="273">
        <f>H428-L428-N428</f>
        <v>96.428325000000001</v>
      </c>
      <c r="Q428" s="287">
        <f>ROUND(P428*I428,2)</f>
        <v>24140.25</v>
      </c>
      <c r="R428" s="137"/>
      <c r="S428" s="269">
        <f>W428+Y428+AA428+AC428</f>
        <v>0</v>
      </c>
      <c r="T428" s="269">
        <f>ROUND(S428*I428,2)</f>
        <v>0</v>
      </c>
      <c r="U428" s="269">
        <f>H428-S428</f>
        <v>103.575</v>
      </c>
      <c r="V428" s="269">
        <f>ROUND(U428*I428,2)</f>
        <v>25929.37</v>
      </c>
      <c r="W428" s="269"/>
      <c r="X428" s="269"/>
      <c r="Y428" s="269"/>
      <c r="Z428" s="269"/>
      <c r="AA428" s="269"/>
      <c r="AB428" s="269"/>
      <c r="AC428" s="269"/>
      <c r="AD428" s="269"/>
      <c r="CH428" s="132" t="s">
        <v>1</v>
      </c>
      <c r="CI428" s="133" t="s">
        <v>40</v>
      </c>
      <c r="CK428" s="134">
        <f>CJ428*H428</f>
        <v>0</v>
      </c>
      <c r="CL428" s="134">
        <v>0</v>
      </c>
      <c r="CM428" s="134">
        <f>CL428*H428</f>
        <v>0</v>
      </c>
      <c r="CN428" s="134">
        <v>0</v>
      </c>
      <c r="CO428" s="135">
        <f>CN428*H428</f>
        <v>0</v>
      </c>
      <c r="DM428" s="136" t="s">
        <v>95</v>
      </c>
      <c r="DO428" s="136" t="s">
        <v>284</v>
      </c>
      <c r="DP428" s="136" t="s">
        <v>83</v>
      </c>
      <c r="DT428" s="16" t="s">
        <v>282</v>
      </c>
      <c r="DZ428" s="137">
        <f>IF(CI428="základní",J428,0)</f>
        <v>25929.37</v>
      </c>
      <c r="EA428" s="137">
        <f>IF(CI428="snížená",J428,0)</f>
        <v>0</v>
      </c>
      <c r="EB428" s="137">
        <f>IF(CI428="zákl. přenesená",J428,0)</f>
        <v>0</v>
      </c>
      <c r="EC428" s="137">
        <f>IF(CI428="sníž. přenesená",J428,0)</f>
        <v>0</v>
      </c>
      <c r="ED428" s="137">
        <f>IF(CI428="nulová",J428,0)</f>
        <v>0</v>
      </c>
      <c r="EE428" s="16" t="s">
        <v>81</v>
      </c>
      <c r="EF428" s="137">
        <f>ROUND(I428*H428,2)</f>
        <v>25929.37</v>
      </c>
      <c r="EG428" s="16" t="s">
        <v>95</v>
      </c>
      <c r="EH428" s="136" t="s">
        <v>721</v>
      </c>
    </row>
    <row r="429" spans="2:138" s="1" customFormat="1" ht="29.25" x14ac:dyDescent="0.2">
      <c r="B429" s="31"/>
      <c r="D429" s="138" t="s">
        <v>289</v>
      </c>
      <c r="F429" s="139" t="s">
        <v>720</v>
      </c>
      <c r="I429" s="140"/>
      <c r="L429" s="31"/>
      <c r="N429" s="213">
        <f>1.069*103.575</f>
        <v>110.721675</v>
      </c>
      <c r="O429" s="214" t="s">
        <v>3931</v>
      </c>
      <c r="Q429" s="229"/>
      <c r="CH429" s="141"/>
      <c r="CO429" s="50"/>
      <c r="DO429" s="16" t="s">
        <v>289</v>
      </c>
      <c r="DP429" s="16" t="s">
        <v>83</v>
      </c>
    </row>
    <row r="430" spans="2:138" s="12" customFormat="1" x14ac:dyDescent="0.2">
      <c r="B430" s="149"/>
      <c r="D430" s="138" t="s">
        <v>301</v>
      </c>
      <c r="E430" s="150" t="s">
        <v>1</v>
      </c>
      <c r="F430" s="151" t="s">
        <v>1655</v>
      </c>
      <c r="H430" s="152">
        <v>103.575</v>
      </c>
      <c r="I430" s="153"/>
      <c r="L430" s="149"/>
      <c r="N430" s="310">
        <f>N429-H430</f>
        <v>7.1466750000000019</v>
      </c>
      <c r="O430" s="218"/>
      <c r="Q430" s="231"/>
      <c r="CH430" s="154"/>
      <c r="CO430" s="155"/>
      <c r="DO430" s="150" t="s">
        <v>301</v>
      </c>
      <c r="DP430" s="150" t="s">
        <v>83</v>
      </c>
      <c r="DQ430" s="12" t="s">
        <v>83</v>
      </c>
      <c r="DR430" s="12" t="s">
        <v>32</v>
      </c>
      <c r="DS430" s="12" t="s">
        <v>81</v>
      </c>
      <c r="DT430" s="150" t="s">
        <v>282</v>
      </c>
    </row>
    <row r="431" spans="2:138" s="10" customFormat="1" ht="22.9" customHeight="1" x14ac:dyDescent="0.2">
      <c r="B431" s="112"/>
      <c r="D431" s="113" t="s">
        <v>73</v>
      </c>
      <c r="E431" s="122" t="s">
        <v>722</v>
      </c>
      <c r="F431" s="122" t="s">
        <v>723</v>
      </c>
      <c r="I431" s="115"/>
      <c r="J431" s="123">
        <f>EF431</f>
        <v>45407.35</v>
      </c>
      <c r="L431" s="112"/>
      <c r="M431" s="270">
        <f>M432</f>
        <v>0</v>
      </c>
      <c r="N431" s="301"/>
      <c r="O431" s="302">
        <f t="shared" ref="O431:V431" si="9">O432</f>
        <v>3133.11</v>
      </c>
      <c r="P431" s="270"/>
      <c r="Q431" s="288">
        <f t="shared" si="9"/>
        <v>42274.239999999998</v>
      </c>
      <c r="R431" s="270"/>
      <c r="S431" s="270"/>
      <c r="T431" s="270">
        <f t="shared" si="9"/>
        <v>0</v>
      </c>
      <c r="U431" s="270"/>
      <c r="V431" s="270">
        <f t="shared" si="9"/>
        <v>45407.35</v>
      </c>
      <c r="CH431" s="117"/>
      <c r="CK431" s="118">
        <f>SUM(CK432:CK435)</f>
        <v>0</v>
      </c>
      <c r="CM431" s="118">
        <f>SUM(CM432:CM435)</f>
        <v>0</v>
      </c>
      <c r="CO431" s="119">
        <f>SUM(CO432:CO435)</f>
        <v>0</v>
      </c>
      <c r="DM431" s="113" t="s">
        <v>81</v>
      </c>
      <c r="DO431" s="120" t="s">
        <v>73</v>
      </c>
      <c r="DP431" s="120" t="s">
        <v>81</v>
      </c>
      <c r="DT431" s="113" t="s">
        <v>282</v>
      </c>
      <c r="EF431" s="121">
        <f>SUM(EF432:EF435)</f>
        <v>45407.35</v>
      </c>
    </row>
    <row r="432" spans="2:138" s="1" customFormat="1" ht="24.2" customHeight="1" x14ac:dyDescent="0.2">
      <c r="B432" s="124"/>
      <c r="C432" s="125" t="s">
        <v>718</v>
      </c>
      <c r="D432" s="125" t="s">
        <v>284</v>
      </c>
      <c r="E432" s="126" t="s">
        <v>725</v>
      </c>
      <c r="F432" s="127" t="s">
        <v>726</v>
      </c>
      <c r="G432" s="128" t="s">
        <v>418</v>
      </c>
      <c r="H432" s="129">
        <v>50.186</v>
      </c>
      <c r="I432" s="130">
        <v>904.78117744148574</v>
      </c>
      <c r="J432" s="131">
        <f>ROUND(I432*H432,2)</f>
        <v>45407.35</v>
      </c>
      <c r="K432" s="127" t="s">
        <v>293</v>
      </c>
      <c r="L432" s="268">
        <f>S432</f>
        <v>0</v>
      </c>
      <c r="M432" s="272">
        <f>ROUND(L432*I432,2)</f>
        <v>0</v>
      </c>
      <c r="N432" s="243">
        <f>N434</f>
        <v>3.4628340000000009</v>
      </c>
      <c r="O432" s="294">
        <f>ROUND(N432*I432,2)</f>
        <v>3133.11</v>
      </c>
      <c r="P432" s="273">
        <f>H432-L432-N432</f>
        <v>46.723165999999999</v>
      </c>
      <c r="Q432" s="287">
        <f>ROUND(P432*I432,2)</f>
        <v>42274.239999999998</v>
      </c>
      <c r="R432" s="137"/>
      <c r="S432" s="269">
        <f>W432+Y432+AA432+AC432</f>
        <v>0</v>
      </c>
      <c r="T432" s="269">
        <f>ROUND(S432*I432,2)</f>
        <v>0</v>
      </c>
      <c r="U432" s="269">
        <f>H432-S432</f>
        <v>50.186</v>
      </c>
      <c r="V432" s="269">
        <f>ROUND(U432*I432,2)</f>
        <v>45407.35</v>
      </c>
      <c r="W432" s="269"/>
      <c r="X432" s="269"/>
      <c r="Y432" s="269"/>
      <c r="Z432" s="269"/>
      <c r="AA432" s="269"/>
      <c r="AB432" s="269"/>
      <c r="AC432" s="269"/>
      <c r="AD432" s="269"/>
      <c r="CH432" s="132" t="s">
        <v>1</v>
      </c>
      <c r="CI432" s="133" t="s">
        <v>40</v>
      </c>
      <c r="CK432" s="134">
        <f>CJ432*H432</f>
        <v>0</v>
      </c>
      <c r="CL432" s="134">
        <v>0</v>
      </c>
      <c r="CM432" s="134">
        <f>CL432*H432</f>
        <v>0</v>
      </c>
      <c r="CN432" s="134">
        <v>0</v>
      </c>
      <c r="CO432" s="135">
        <f>CN432*H432</f>
        <v>0</v>
      </c>
      <c r="DM432" s="136" t="s">
        <v>95</v>
      </c>
      <c r="DO432" s="136" t="s">
        <v>284</v>
      </c>
      <c r="DP432" s="136" t="s">
        <v>83</v>
      </c>
      <c r="DT432" s="16" t="s">
        <v>282</v>
      </c>
      <c r="DZ432" s="137">
        <f>IF(CI432="základní",J432,0)</f>
        <v>45407.35</v>
      </c>
      <c r="EA432" s="137">
        <f>IF(CI432="snížená",J432,0)</f>
        <v>0</v>
      </c>
      <c r="EB432" s="137">
        <f>IF(CI432="zákl. přenesená",J432,0)</f>
        <v>0</v>
      </c>
      <c r="EC432" s="137">
        <f>IF(CI432="sníž. přenesená",J432,0)</f>
        <v>0</v>
      </c>
      <c r="ED432" s="137">
        <f>IF(CI432="nulová",J432,0)</f>
        <v>0</v>
      </c>
      <c r="EE432" s="16" t="s">
        <v>81</v>
      </c>
      <c r="EF432" s="137">
        <f>ROUND(I432*H432,2)</f>
        <v>45407.35</v>
      </c>
      <c r="EG432" s="16" t="s">
        <v>95</v>
      </c>
      <c r="EH432" s="136" t="s">
        <v>727</v>
      </c>
    </row>
    <row r="433" spans="2:124" s="1" customFormat="1" ht="29.25" x14ac:dyDescent="0.2">
      <c r="B433" s="31"/>
      <c r="D433" s="138" t="s">
        <v>289</v>
      </c>
      <c r="F433" s="139" t="s">
        <v>728</v>
      </c>
      <c r="I433" s="140"/>
      <c r="L433" s="31"/>
      <c r="N433" s="213">
        <f>1.069*50.186</f>
        <v>53.648834000000001</v>
      </c>
      <c r="O433" s="214" t="s">
        <v>3932</v>
      </c>
      <c r="Q433" s="229"/>
      <c r="CH433" s="141"/>
      <c r="CO433" s="50"/>
      <c r="DO433" s="16" t="s">
        <v>289</v>
      </c>
      <c r="DP433" s="16" t="s">
        <v>83</v>
      </c>
    </row>
    <row r="434" spans="2:124" s="11" customFormat="1" x14ac:dyDescent="0.2">
      <c r="B434" s="143"/>
      <c r="D434" s="138" t="s">
        <v>301</v>
      </c>
      <c r="E434" s="144" t="s">
        <v>1</v>
      </c>
      <c r="F434" s="145" t="s">
        <v>729</v>
      </c>
      <c r="H434" s="144" t="s">
        <v>1</v>
      </c>
      <c r="I434" s="146"/>
      <c r="L434" s="143"/>
      <c r="N434" s="319">
        <f>N433-H435</f>
        <v>3.4628340000000009</v>
      </c>
      <c r="O434" s="216"/>
      <c r="Q434" s="230"/>
      <c r="CH434" s="147"/>
      <c r="CO434" s="148"/>
      <c r="DO434" s="144" t="s">
        <v>301</v>
      </c>
      <c r="DP434" s="144" t="s">
        <v>83</v>
      </c>
      <c r="DQ434" s="11" t="s">
        <v>81</v>
      </c>
      <c r="DR434" s="11" t="s">
        <v>32</v>
      </c>
      <c r="DS434" s="11" t="s">
        <v>74</v>
      </c>
      <c r="DT434" s="144" t="s">
        <v>282</v>
      </c>
    </row>
    <row r="435" spans="2:124" s="12" customFormat="1" x14ac:dyDescent="0.2">
      <c r="B435" s="149"/>
      <c r="D435" s="138" t="s">
        <v>301</v>
      </c>
      <c r="E435" s="150" t="s">
        <v>1</v>
      </c>
      <c r="F435" s="151" t="s">
        <v>1657</v>
      </c>
      <c r="H435" s="152">
        <v>50.186</v>
      </c>
      <c r="I435" s="153"/>
      <c r="L435" s="149"/>
      <c r="N435" s="217"/>
      <c r="O435" s="218"/>
      <c r="Q435" s="327"/>
      <c r="CH435" s="179"/>
      <c r="CI435" s="180"/>
      <c r="CJ435" s="180"/>
      <c r="CK435" s="180"/>
      <c r="CL435" s="180"/>
      <c r="CM435" s="180"/>
      <c r="CN435" s="180"/>
      <c r="CO435" s="181"/>
      <c r="DO435" s="150" t="s">
        <v>301</v>
      </c>
      <c r="DP435" s="150" t="s">
        <v>83</v>
      </c>
      <c r="DQ435" s="12" t="s">
        <v>83</v>
      </c>
      <c r="DR435" s="12" t="s">
        <v>32</v>
      </c>
      <c r="DS435" s="12" t="s">
        <v>81</v>
      </c>
      <c r="DT435" s="150" t="s">
        <v>282</v>
      </c>
    </row>
    <row r="436" spans="2:124" s="1" customFormat="1" ht="6.95" customHeight="1" thickBot="1" x14ac:dyDescent="0.25">
      <c r="B436" s="43"/>
      <c r="C436" s="44"/>
      <c r="D436" s="44"/>
      <c r="E436" s="44"/>
      <c r="F436" s="44"/>
      <c r="G436" s="44"/>
      <c r="H436" s="44"/>
      <c r="I436" s="44"/>
      <c r="J436" s="44"/>
      <c r="K436" s="44"/>
      <c r="L436" s="235"/>
      <c r="M436" s="237"/>
      <c r="N436" s="239"/>
      <c r="O436" s="240"/>
      <c r="P436" s="238"/>
      <c r="Q436" s="235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</row>
  </sheetData>
  <autoFilter ref="C121:K435"/>
  <mergeCells count="23">
    <mergeCell ref="AC122:AD122"/>
    <mergeCell ref="U122:V122"/>
    <mergeCell ref="W122:X122"/>
    <mergeCell ref="Y122:Z122"/>
    <mergeCell ref="AA122:AB122"/>
    <mergeCell ref="L121:Q121"/>
    <mergeCell ref="L122:M122"/>
    <mergeCell ref="N122:O122"/>
    <mergeCell ref="P122:Q122"/>
    <mergeCell ref="S122:T122"/>
    <mergeCell ref="G120:K120"/>
    <mergeCell ref="E117:H117"/>
    <mergeCell ref="L2:CQ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H395"/>
  <sheetViews>
    <sheetView windowProtection="1" showGridLines="0" topLeftCell="A372" zoomScale="90" zoomScaleNormal="90" workbookViewId="0">
      <selection activeCell="P372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5" width="16" customWidth="1"/>
    <col min="16" max="17" width="16" hidden="1" customWidth="1"/>
    <col min="18" max="69" width="16" customWidth="1"/>
    <col min="70" max="70" width="16.33203125" customWidth="1"/>
    <col min="71" max="71" width="12.33203125" customWidth="1"/>
    <col min="72" max="72" width="15" customWidth="1"/>
    <col min="73" max="73" width="11" customWidth="1"/>
    <col min="74" max="74" width="15" customWidth="1"/>
    <col min="75" max="75" width="16.33203125" customWidth="1"/>
    <col min="76" max="76" width="11" customWidth="1"/>
    <col min="77" max="77" width="15" customWidth="1"/>
    <col min="78" max="78" width="16.33203125" customWidth="1"/>
    <col min="91" max="112" width="9.33203125" hidden="1"/>
  </cols>
  <sheetData>
    <row r="2" spans="2:93" ht="36.950000000000003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CO2" s="16" t="s">
        <v>145</v>
      </c>
    </row>
    <row r="3" spans="2:93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O3" s="16" t="s">
        <v>83</v>
      </c>
    </row>
    <row r="4" spans="2:93" ht="24.95" customHeight="1" x14ac:dyDescent="0.2">
      <c r="B4" s="19"/>
      <c r="D4" s="20" t="s">
        <v>243</v>
      </c>
      <c r="L4" s="19"/>
      <c r="BH4" s="79" t="s">
        <v>10</v>
      </c>
      <c r="CO4" s="16" t="s">
        <v>3</v>
      </c>
    </row>
    <row r="5" spans="2:93" ht="6.95" customHeight="1" x14ac:dyDescent="0.2">
      <c r="B5" s="19"/>
      <c r="L5" s="19"/>
    </row>
    <row r="6" spans="2:93" ht="12" customHeight="1" x14ac:dyDescent="0.2">
      <c r="B6" s="19"/>
      <c r="D6" s="26" t="s">
        <v>16</v>
      </c>
      <c r="L6" s="19"/>
    </row>
    <row r="7" spans="2:93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93" ht="12.75" x14ac:dyDescent="0.2">
      <c r="B8" s="19"/>
      <c r="D8" s="26" t="s">
        <v>244</v>
      </c>
      <c r="L8" s="19"/>
    </row>
    <row r="9" spans="2:93" ht="16.5" customHeight="1" x14ac:dyDescent="0.2">
      <c r="B9" s="19"/>
      <c r="E9" s="434" t="s">
        <v>245</v>
      </c>
      <c r="F9" s="399"/>
      <c r="G9" s="399"/>
      <c r="H9" s="399"/>
      <c r="L9" s="19"/>
    </row>
    <row r="10" spans="2:93" ht="12" customHeight="1" x14ac:dyDescent="0.2">
      <c r="B10" s="19"/>
      <c r="D10" s="26" t="s">
        <v>246</v>
      </c>
      <c r="L10" s="19"/>
    </row>
    <row r="11" spans="2:93" s="1" customFormat="1" ht="16.5" customHeight="1" x14ac:dyDescent="0.2">
      <c r="B11" s="31"/>
      <c r="E11" s="401" t="s">
        <v>247</v>
      </c>
      <c r="F11" s="433"/>
      <c r="G11" s="433"/>
      <c r="H11" s="433"/>
      <c r="L11" s="31"/>
    </row>
    <row r="12" spans="2:93" s="1" customFormat="1" ht="12" customHeight="1" x14ac:dyDescent="0.2">
      <c r="B12" s="31"/>
      <c r="D12" s="26" t="s">
        <v>248</v>
      </c>
      <c r="L12" s="31"/>
    </row>
    <row r="13" spans="2:93" s="1" customFormat="1" ht="16.5" customHeight="1" x14ac:dyDescent="0.2">
      <c r="B13" s="31"/>
      <c r="E13" s="432" t="s">
        <v>1658</v>
      </c>
      <c r="F13" s="433"/>
      <c r="G13" s="433"/>
      <c r="H13" s="433"/>
      <c r="L13" s="31"/>
    </row>
    <row r="14" spans="2:93" s="1" customFormat="1" x14ac:dyDescent="0.2">
      <c r="B14" s="31"/>
      <c r="L14" s="31"/>
    </row>
    <row r="15" spans="2:93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93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ROUND(J123, 2)</f>
        <v>1970384.99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ROUND((SUM(CZ123:CZ394)),  2)</f>
        <v>1970384.99</v>
      </c>
      <c r="I37" s="84">
        <v>0.21</v>
      </c>
      <c r="J37" s="71">
        <f>ROUND(((SUM(CZ123:CZ394))*I37),  2)</f>
        <v>413780.85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ROUND((SUM(DA123:DA394)),  2)</f>
        <v>0</v>
      </c>
      <c r="I38" s="84">
        <v>0.15</v>
      </c>
      <c r="J38" s="71">
        <f>ROUND(((SUM(DA123:DA394))*I38),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ROUND((SUM(DB123:DB394)),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ROUND((SUM(DC123:DC394)),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ROUND((SUM(DD123:DD394)),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2384165.84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s="1" customFormat="1" ht="14.45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x14ac:dyDescent="0.2">
      <c r="B50" s="19"/>
      <c r="L50" s="19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s="1" customFormat="1" ht="12.75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x14ac:dyDescent="0.2">
      <c r="B61" s="19"/>
      <c r="L61" s="19"/>
    </row>
    <row r="62" spans="2:12" x14ac:dyDescent="0.2">
      <c r="B62" s="19"/>
      <c r="L62" s="19"/>
    </row>
    <row r="63" spans="2:12" x14ac:dyDescent="0.2">
      <c r="B63" s="19"/>
      <c r="L63" s="19"/>
    </row>
    <row r="64" spans="2:12" s="1" customFormat="1" ht="12.75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x14ac:dyDescent="0.2">
      <c r="B65" s="19"/>
      <c r="L65" s="19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s="1" customFormat="1" ht="12.75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80" spans="2:12" s="1" customFormat="1" ht="6.95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customHeight="1" x14ac:dyDescent="0.2">
      <c r="B81" s="31"/>
      <c r="C81" s="20" t="s">
        <v>253</v>
      </c>
      <c r="L81" s="31"/>
    </row>
    <row r="82" spans="2:12" s="1" customFormat="1" ht="6.95" customHeight="1" x14ac:dyDescent="0.2">
      <c r="B82" s="31"/>
      <c r="L82" s="31"/>
    </row>
    <row r="83" spans="2:12" s="1" customFormat="1" ht="12" customHeight="1" x14ac:dyDescent="0.2">
      <c r="B83" s="31"/>
      <c r="C83" s="26" t="s">
        <v>16</v>
      </c>
      <c r="L83" s="31"/>
    </row>
    <row r="84" spans="2:12" s="1" customFormat="1" ht="16.5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customHeight="1" x14ac:dyDescent="0.2">
      <c r="B85" s="19"/>
      <c r="C85" s="26" t="s">
        <v>244</v>
      </c>
      <c r="L85" s="19"/>
    </row>
    <row r="86" spans="2:12" ht="16.5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customHeight="1" x14ac:dyDescent="0.2">
      <c r="B87" s="19"/>
      <c r="C87" s="26" t="s">
        <v>246</v>
      </c>
      <c r="L87" s="19"/>
    </row>
    <row r="88" spans="2:12" s="1" customFormat="1" ht="16.5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customHeight="1" x14ac:dyDescent="0.2">
      <c r="B89" s="31"/>
      <c r="C89" s="26" t="s">
        <v>248</v>
      </c>
      <c r="L89" s="31"/>
    </row>
    <row r="90" spans="2:12" s="1" customFormat="1" ht="16.5" customHeight="1" x14ac:dyDescent="0.2">
      <c r="B90" s="31"/>
      <c r="E90" s="432" t="str">
        <f>E13</f>
        <v>00001 - DSO 01.3.1a Kanalizační odbočení Stoky D</v>
      </c>
      <c r="F90" s="433"/>
      <c r="G90" s="433"/>
      <c r="H90" s="433"/>
      <c r="L90" s="31"/>
    </row>
    <row r="91" spans="2:12" s="1" customFormat="1" ht="6.95" customHeight="1" x14ac:dyDescent="0.2">
      <c r="B91" s="31"/>
      <c r="L91" s="31"/>
    </row>
    <row r="92" spans="2:12" s="1" customFormat="1" ht="12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customHeight="1" x14ac:dyDescent="0.2">
      <c r="B93" s="31"/>
      <c r="L93" s="31"/>
    </row>
    <row r="94" spans="2:12" s="1" customFormat="1" ht="40.15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customHeight="1" x14ac:dyDescent="0.2">
      <c r="B96" s="31"/>
      <c r="L96" s="31"/>
    </row>
    <row r="97" spans="2:94" s="1" customFormat="1" ht="29.25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94" s="1" customFormat="1" ht="10.35" customHeight="1" x14ac:dyDescent="0.2">
      <c r="B98" s="31"/>
      <c r="L98" s="31"/>
    </row>
    <row r="99" spans="2:94" s="1" customFormat="1" ht="22.9" customHeight="1" x14ac:dyDescent="0.2">
      <c r="B99" s="31"/>
      <c r="C99" s="95" t="s">
        <v>256</v>
      </c>
      <c r="J99" s="58">
        <f>J123</f>
        <v>1970384.9900000005</v>
      </c>
      <c r="L99" s="31"/>
      <c r="CP99" s="16" t="s">
        <v>257</v>
      </c>
    </row>
    <row r="100" spans="2:94" s="7" customFormat="1" ht="24.95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J124</f>
        <v>1970384.9900000005</v>
      </c>
      <c r="L100" s="96"/>
    </row>
    <row r="101" spans="2:94" s="8" customFormat="1" ht="19.899999999999999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J126</f>
        <v>803066.73000000021</v>
      </c>
      <c r="L101" s="100"/>
    </row>
    <row r="102" spans="2:94" s="8" customFormat="1" ht="19.899999999999999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J263</f>
        <v>39636.65</v>
      </c>
      <c r="L102" s="100"/>
    </row>
    <row r="103" spans="2:94" s="8" customFormat="1" ht="19.899999999999999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J268</f>
        <v>42707.130000000005</v>
      </c>
      <c r="L103" s="100"/>
    </row>
    <row r="104" spans="2:94" s="8" customFormat="1" ht="19.899999999999999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J292</f>
        <v>109172.3</v>
      </c>
      <c r="L104" s="100"/>
    </row>
    <row r="105" spans="2:94" s="8" customFormat="1" ht="19.899999999999999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J304</f>
        <v>835209.09000000008</v>
      </c>
      <c r="L105" s="100"/>
    </row>
    <row r="106" spans="2:94" s="8" customFormat="1" ht="19.899999999999999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J357</f>
        <v>34478.639999999999</v>
      </c>
      <c r="L106" s="100"/>
    </row>
    <row r="107" spans="2:94" s="8" customFormat="1" ht="19.899999999999999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J370</f>
        <v>67603.34</v>
      </c>
      <c r="L107" s="100"/>
    </row>
    <row r="108" spans="2:94" s="8" customFormat="1" ht="19.899999999999999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J390</f>
        <v>38511.11</v>
      </c>
      <c r="L108" s="100"/>
    </row>
    <row r="109" spans="2:94" s="1" customFormat="1" ht="21.75" customHeight="1" x14ac:dyDescent="0.2">
      <c r="B109" s="31"/>
      <c r="L109" s="31"/>
    </row>
    <row r="110" spans="2:94" s="1" customFormat="1" ht="6.9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12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12" s="1" customFormat="1" ht="24.95" customHeight="1" x14ac:dyDescent="0.2">
      <c r="B115" s="31"/>
      <c r="C115" s="20" t="s">
        <v>267</v>
      </c>
      <c r="L115" s="31"/>
    </row>
    <row r="116" spans="2:112" s="1" customFormat="1" ht="6.95" customHeight="1" x14ac:dyDescent="0.2">
      <c r="B116" s="31"/>
      <c r="L116" s="31"/>
    </row>
    <row r="117" spans="2:112" s="1" customFormat="1" ht="12" customHeight="1" x14ac:dyDescent="0.2">
      <c r="B117" s="31"/>
      <c r="C117" s="26" t="s">
        <v>248</v>
      </c>
      <c r="L117" s="31"/>
    </row>
    <row r="118" spans="2:112" s="1" customFormat="1" ht="16.5" customHeight="1" x14ac:dyDescent="0.2">
      <c r="B118" s="31"/>
      <c r="E118" s="432" t="str">
        <f>E13</f>
        <v>00001 - DSO 01.3.1a Kanalizační odbočení Stoky D</v>
      </c>
      <c r="F118" s="433"/>
      <c r="G118" s="433"/>
      <c r="H118" s="433"/>
      <c r="L118" s="31"/>
    </row>
    <row r="119" spans="2:112" s="1" customFormat="1" ht="6.95" customHeight="1" x14ac:dyDescent="0.2">
      <c r="B119" s="31"/>
      <c r="L119" s="31"/>
    </row>
    <row r="120" spans="2:112" s="1" customFormat="1" ht="15.2" customHeight="1" x14ac:dyDescent="0.2">
      <c r="B120" s="31"/>
      <c r="C120" s="26"/>
      <c r="F120" s="24"/>
      <c r="I120" s="26"/>
      <c r="J120" s="29" t="str">
        <f>E28</f>
        <v xml:space="preserve"> </v>
      </c>
      <c r="L120" s="31"/>
    </row>
    <row r="121" spans="2:112" s="1" customFormat="1" ht="26.25" customHeight="1" x14ac:dyDescent="0.2">
      <c r="B121" s="31"/>
      <c r="G121" s="446" t="s">
        <v>3305</v>
      </c>
      <c r="H121" s="446"/>
      <c r="I121" s="446"/>
      <c r="J121" s="446"/>
      <c r="K121" s="447"/>
      <c r="L121" s="31"/>
    </row>
    <row r="122" spans="2:112" s="9" customFormat="1" ht="29.25" customHeight="1" thickBot="1" x14ac:dyDescent="0.25">
      <c r="B122" s="104"/>
      <c r="C122" s="105" t="s">
        <v>268</v>
      </c>
      <c r="D122" s="106" t="s">
        <v>59</v>
      </c>
      <c r="E122" s="106" t="s">
        <v>55</v>
      </c>
      <c r="F122" s="106" t="s">
        <v>56</v>
      </c>
      <c r="G122" s="106" t="s">
        <v>269</v>
      </c>
      <c r="H122" s="106" t="s">
        <v>270</v>
      </c>
      <c r="I122" s="106" t="s">
        <v>271</v>
      </c>
      <c r="J122" s="106" t="s">
        <v>255</v>
      </c>
      <c r="K122" s="107" t="s">
        <v>272</v>
      </c>
      <c r="L122" s="437" t="s">
        <v>3307</v>
      </c>
      <c r="M122" s="438"/>
      <c r="N122" s="438"/>
      <c r="O122" s="438"/>
      <c r="P122" s="438"/>
      <c r="Q122" s="439"/>
      <c r="BH122" s="52" t="s">
        <v>1</v>
      </c>
      <c r="BI122" s="53" t="s">
        <v>39</v>
      </c>
      <c r="BJ122" s="53" t="s">
        <v>273</v>
      </c>
      <c r="BK122" s="53" t="s">
        <v>274</v>
      </c>
      <c r="BL122" s="53" t="s">
        <v>275</v>
      </c>
      <c r="BM122" s="53" t="s">
        <v>276</v>
      </c>
      <c r="BN122" s="53" t="s">
        <v>277</v>
      </c>
      <c r="BO122" s="54" t="s">
        <v>278</v>
      </c>
    </row>
    <row r="123" spans="2:112" s="1" customFormat="1" ht="22.9" customHeight="1" x14ac:dyDescent="0.25">
      <c r="B123" s="31"/>
      <c r="C123" s="57" t="s">
        <v>279</v>
      </c>
      <c r="G123" s="1" t="s">
        <v>3306</v>
      </c>
      <c r="J123" s="108">
        <f>DF123</f>
        <v>1970384.9900000005</v>
      </c>
      <c r="L123" s="440" t="s">
        <v>3308</v>
      </c>
      <c r="M123" s="441"/>
      <c r="N123" s="440" t="s">
        <v>3377</v>
      </c>
      <c r="O123" s="441"/>
      <c r="P123" s="440" t="s">
        <v>3309</v>
      </c>
      <c r="Q123" s="441"/>
      <c r="S123" s="442" t="s">
        <v>3312</v>
      </c>
      <c r="T123" s="443"/>
      <c r="U123" s="443" t="s">
        <v>3313</v>
      </c>
      <c r="V123" s="443"/>
      <c r="W123" s="444" t="s">
        <v>3324</v>
      </c>
      <c r="X123" s="444"/>
      <c r="Y123" s="444" t="s">
        <v>3325</v>
      </c>
      <c r="Z123" s="444"/>
      <c r="AA123" s="444" t="s">
        <v>3326</v>
      </c>
      <c r="AB123" s="444"/>
      <c r="AC123" s="444" t="s">
        <v>3327</v>
      </c>
      <c r="AD123" s="445"/>
      <c r="BH123" s="55"/>
      <c r="BI123" s="49"/>
      <c r="BJ123" s="49"/>
      <c r="BK123" s="109">
        <f>BK124</f>
        <v>0</v>
      </c>
      <c r="BL123" s="49"/>
      <c r="BM123" s="109">
        <f>BM124</f>
        <v>578.0459006000001</v>
      </c>
      <c r="BN123" s="49"/>
      <c r="BO123" s="110">
        <f>BO124</f>
        <v>186.92622</v>
      </c>
      <c r="CO123" s="16" t="s">
        <v>73</v>
      </c>
      <c r="CP123" s="16" t="s">
        <v>257</v>
      </c>
      <c r="DF123" s="111">
        <f>DF124</f>
        <v>1970384.9900000005</v>
      </c>
    </row>
    <row r="124" spans="2:112" s="10" customFormat="1" ht="25.9" customHeight="1" thickBot="1" x14ac:dyDescent="0.25">
      <c r="B124" s="112"/>
      <c r="D124" s="113" t="s">
        <v>73</v>
      </c>
      <c r="E124" s="114" t="s">
        <v>280</v>
      </c>
      <c r="F124" s="114" t="s">
        <v>281</v>
      </c>
      <c r="G124" s="10" t="s">
        <v>3306</v>
      </c>
      <c r="I124" s="115"/>
      <c r="J124" s="116">
        <f>DF124</f>
        <v>1970384.9900000005</v>
      </c>
      <c r="L124" s="190" t="s">
        <v>270</v>
      </c>
      <c r="M124" s="190" t="s">
        <v>3310</v>
      </c>
      <c r="N124" s="190" t="s">
        <v>270</v>
      </c>
      <c r="O124" s="190" t="s">
        <v>3310</v>
      </c>
      <c r="P124" s="190" t="s">
        <v>3311</v>
      </c>
      <c r="Q124" s="190" t="s">
        <v>3310</v>
      </c>
      <c r="S124" s="193" t="s">
        <v>270</v>
      </c>
      <c r="T124" s="194" t="s">
        <v>3310</v>
      </c>
      <c r="U124" s="194" t="s">
        <v>270</v>
      </c>
      <c r="V124" s="194" t="s">
        <v>3310</v>
      </c>
      <c r="W124" s="194" t="s">
        <v>270</v>
      </c>
      <c r="X124" s="194" t="s">
        <v>3328</v>
      </c>
      <c r="Y124" s="194" t="s">
        <v>270</v>
      </c>
      <c r="Z124" s="194" t="s">
        <v>3328</v>
      </c>
      <c r="AA124" s="194" t="s">
        <v>270</v>
      </c>
      <c r="AB124" s="194" t="s">
        <v>3328</v>
      </c>
      <c r="AC124" s="194" t="s">
        <v>270</v>
      </c>
      <c r="AD124" s="195" t="s">
        <v>3328</v>
      </c>
      <c r="BH124" s="117"/>
      <c r="BK124" s="118">
        <f>BK126+BK263+BK268+BK292+BK304+BK357+BK370+BK390</f>
        <v>0</v>
      </c>
      <c r="BM124" s="118">
        <f>BM126+BM263+BM268+BM292+BM304+BM357+BM370+BM390</f>
        <v>578.0459006000001</v>
      </c>
      <c r="BO124" s="119">
        <f>BO126+BO263+BO268+BO292+BO304+BO357+BO370+BO390</f>
        <v>186.92622</v>
      </c>
      <c r="CM124" s="113" t="s">
        <v>81</v>
      </c>
      <c r="CO124" s="120" t="s">
        <v>73</v>
      </c>
      <c r="CP124" s="120" t="s">
        <v>74</v>
      </c>
      <c r="CT124" s="113" t="s">
        <v>282</v>
      </c>
      <c r="DF124" s="121">
        <f>DF126+DF263+DF268+DF292+DF304+DF357+DF370+DF390</f>
        <v>1970384.9900000005</v>
      </c>
    </row>
    <row r="125" spans="2:112" s="10" customFormat="1" ht="25.9" customHeight="1" thickBot="1" x14ac:dyDescent="0.25">
      <c r="B125" s="112"/>
      <c r="D125" s="113"/>
      <c r="E125" s="114"/>
      <c r="F125" s="114"/>
      <c r="G125" s="10" t="s">
        <v>3306</v>
      </c>
      <c r="I125" s="115"/>
      <c r="J125" s="116" t="s">
        <v>3306</v>
      </c>
      <c r="L125" s="191"/>
      <c r="M125" s="192">
        <f>M126+M263+M268+M292+M304+M357+M370+M390</f>
        <v>0</v>
      </c>
      <c r="N125" s="208"/>
      <c r="O125" s="208">
        <f t="shared" ref="O125:Q125" si="0">O126+O263+O268+O292+O304+O357+O370+O390</f>
        <v>-171900.05999999997</v>
      </c>
      <c r="P125" s="192"/>
      <c r="Q125" s="192">
        <f t="shared" si="0"/>
        <v>2142285.0499999998</v>
      </c>
      <c r="S125" s="196"/>
      <c r="T125" s="197">
        <f>T126+T263+T268+T292+T304+T357+T370+T390</f>
        <v>0</v>
      </c>
      <c r="U125" s="197"/>
      <c r="V125" s="197">
        <f t="shared" ref="V125:AD125" si="1">V126+V263+V268+V292+V304+V357+V370+V390</f>
        <v>1970384.9900000005</v>
      </c>
      <c r="W125" s="197"/>
      <c r="X125" s="197">
        <f t="shared" si="1"/>
        <v>0</v>
      </c>
      <c r="Y125" s="197"/>
      <c r="Z125" s="197">
        <f t="shared" si="1"/>
        <v>0</v>
      </c>
      <c r="AA125" s="197"/>
      <c r="AB125" s="197">
        <f t="shared" si="1"/>
        <v>0</v>
      </c>
      <c r="AC125" s="197"/>
      <c r="AD125" s="197">
        <f t="shared" si="1"/>
        <v>0</v>
      </c>
      <c r="BH125" s="117"/>
      <c r="BK125" s="118"/>
      <c r="BM125" s="118"/>
      <c r="BO125" s="119"/>
      <c r="CM125" s="113"/>
      <c r="CO125" s="120"/>
      <c r="CP125" s="120"/>
      <c r="CT125" s="113"/>
      <c r="DF125" s="121"/>
    </row>
    <row r="126" spans="2:112" s="10" customFormat="1" ht="22.9" customHeight="1" x14ac:dyDescent="0.2">
      <c r="B126" s="112"/>
      <c r="D126" s="113" t="s">
        <v>73</v>
      </c>
      <c r="E126" s="122" t="s">
        <v>81</v>
      </c>
      <c r="F126" s="122" t="s">
        <v>283</v>
      </c>
      <c r="G126" s="10" t="s">
        <v>3306</v>
      </c>
      <c r="I126" s="115"/>
      <c r="J126" s="123">
        <f>DF126</f>
        <v>803066.73000000021</v>
      </c>
      <c r="L126" s="112"/>
      <c r="M126" s="270">
        <f>SUM(M127:M260)</f>
        <v>0</v>
      </c>
      <c r="N126" s="299"/>
      <c r="O126" s="300">
        <f t="shared" ref="O126:V126" si="2">SUM(O127:O260)</f>
        <v>-93710.94</v>
      </c>
      <c r="P126" s="270"/>
      <c r="Q126" s="286">
        <f t="shared" si="2"/>
        <v>896777.72000000009</v>
      </c>
      <c r="R126" s="270"/>
      <c r="S126" s="270"/>
      <c r="T126" s="270">
        <f t="shared" si="2"/>
        <v>0</v>
      </c>
      <c r="U126" s="270"/>
      <c r="V126" s="270">
        <f t="shared" si="2"/>
        <v>803066.73000000021</v>
      </c>
      <c r="BH126" s="117"/>
      <c r="BK126" s="118">
        <f>SUM(BK127:BK262)</f>
        <v>0</v>
      </c>
      <c r="BM126" s="118">
        <f>SUM(BM127:BM262)</f>
        <v>535.87165960000004</v>
      </c>
      <c r="BO126" s="119">
        <f>SUM(BO127:BO262)</f>
        <v>186.92622</v>
      </c>
      <c r="CM126" s="113" t="s">
        <v>81</v>
      </c>
      <c r="CO126" s="120" t="s">
        <v>73</v>
      </c>
      <c r="CP126" s="120" t="s">
        <v>81</v>
      </c>
      <c r="CT126" s="113" t="s">
        <v>282</v>
      </c>
      <c r="DF126" s="121">
        <f>SUM(DF127:DF262)</f>
        <v>803066.73000000021</v>
      </c>
    </row>
    <row r="127" spans="2:112" s="1" customFormat="1" ht="24.2" customHeight="1" x14ac:dyDescent="0.2">
      <c r="B127" s="124"/>
      <c r="C127" s="125" t="s">
        <v>81</v>
      </c>
      <c r="D127" s="125" t="s">
        <v>284</v>
      </c>
      <c r="E127" s="126" t="s">
        <v>285</v>
      </c>
      <c r="F127" s="127" t="s">
        <v>286</v>
      </c>
      <c r="G127" s="128" t="s">
        <v>287</v>
      </c>
      <c r="H127" s="129">
        <v>148.59</v>
      </c>
      <c r="I127" s="130">
        <v>68.767172335543137</v>
      </c>
      <c r="J127" s="131">
        <f>ROUND(I127*H127,2)</f>
        <v>10218.11</v>
      </c>
      <c r="K127" s="127" t="s">
        <v>1</v>
      </c>
      <c r="L127" s="268">
        <f>S127</f>
        <v>0</v>
      </c>
      <c r="M127" s="272">
        <f>ROUND(L127*I127,2)</f>
        <v>0</v>
      </c>
      <c r="N127" s="243">
        <f>N129</f>
        <v>-15.75</v>
      </c>
      <c r="O127" s="294">
        <f>ROUND(N127*I127,2)</f>
        <v>-1083.08</v>
      </c>
      <c r="P127" s="273">
        <f>H127-L127-N127</f>
        <v>164.34</v>
      </c>
      <c r="Q127" s="287">
        <f>ROUND(P127*I127,2)</f>
        <v>11301.2</v>
      </c>
      <c r="R127" s="137"/>
      <c r="S127" s="269">
        <f>W127+Y127+AA127+AC127</f>
        <v>0</v>
      </c>
      <c r="T127" s="269">
        <f>ROUND(S127*I127,2)</f>
        <v>0</v>
      </c>
      <c r="U127" s="269">
        <f>H127-S127</f>
        <v>148.59</v>
      </c>
      <c r="V127" s="269">
        <f>ROUND(U127*I127,2)</f>
        <v>10218.11</v>
      </c>
      <c r="W127" s="269"/>
      <c r="X127" s="269"/>
      <c r="Y127" s="269"/>
      <c r="Z127" s="269"/>
      <c r="AA127" s="269"/>
      <c r="AB127" s="269"/>
      <c r="AC127" s="269"/>
      <c r="AD127" s="269"/>
      <c r="BH127" s="132" t="s">
        <v>1</v>
      </c>
      <c r="BI127" s="133" t="s">
        <v>40</v>
      </c>
      <c r="BK127" s="134">
        <f>BJ127*H127</f>
        <v>0</v>
      </c>
      <c r="BL127" s="134">
        <v>0</v>
      </c>
      <c r="BM127" s="134">
        <f>BL127*H127</f>
        <v>0</v>
      </c>
      <c r="BN127" s="134">
        <v>0.57999999999999996</v>
      </c>
      <c r="BO127" s="135">
        <f>BN127*H127</f>
        <v>86.182199999999995</v>
      </c>
      <c r="CM127" s="136" t="s">
        <v>95</v>
      </c>
      <c r="CO127" s="136" t="s">
        <v>284</v>
      </c>
      <c r="CP127" s="136" t="s">
        <v>83</v>
      </c>
      <c r="CT127" s="16" t="s">
        <v>282</v>
      </c>
      <c r="CZ127" s="137">
        <f>IF(BI127="základní",J127,0)</f>
        <v>10218.11</v>
      </c>
      <c r="DA127" s="137">
        <f>IF(BI127="snížená",J127,0)</f>
        <v>0</v>
      </c>
      <c r="DB127" s="137">
        <f>IF(BI127="zákl. přenesená",J127,0)</f>
        <v>0</v>
      </c>
      <c r="DC127" s="137">
        <f>IF(BI127="sníž. přenesená",J127,0)</f>
        <v>0</v>
      </c>
      <c r="DD127" s="137">
        <f>IF(BI127="nulová",J127,0)</f>
        <v>0</v>
      </c>
      <c r="DE127" s="16" t="s">
        <v>81</v>
      </c>
      <c r="DF127" s="137">
        <f>ROUND(I127*H127,2)</f>
        <v>10218.11</v>
      </c>
      <c r="DG127" s="16" t="s">
        <v>95</v>
      </c>
      <c r="DH127" s="136" t="s">
        <v>288</v>
      </c>
    </row>
    <row r="128" spans="2:112" s="1" customFormat="1" ht="39" x14ac:dyDescent="0.2">
      <c r="B128" s="31"/>
      <c r="D128" s="138" t="s">
        <v>289</v>
      </c>
      <c r="F128" s="139" t="s">
        <v>290</v>
      </c>
      <c r="I128" s="140"/>
      <c r="L128" s="31"/>
      <c r="N128" s="213"/>
      <c r="O128" s="214"/>
      <c r="Q128" s="229"/>
      <c r="BH128" s="141"/>
      <c r="BO128" s="50"/>
      <c r="CO128" s="16" t="s">
        <v>289</v>
      </c>
      <c r="CP128" s="16" t="s">
        <v>83</v>
      </c>
    </row>
    <row r="129" spans="2:112" s="1" customFormat="1" ht="24.2" customHeight="1" x14ac:dyDescent="0.2">
      <c r="B129" s="124"/>
      <c r="C129" s="125" t="s">
        <v>83</v>
      </c>
      <c r="D129" s="125" t="s">
        <v>284</v>
      </c>
      <c r="E129" s="126" t="s">
        <v>291</v>
      </c>
      <c r="F129" s="127" t="s">
        <v>292</v>
      </c>
      <c r="G129" s="128" t="s">
        <v>287</v>
      </c>
      <c r="H129" s="129">
        <v>148.59</v>
      </c>
      <c r="I129" s="130">
        <v>68.767172335543137</v>
      </c>
      <c r="J129" s="131">
        <f>ROUND(I129*H129,2)</f>
        <v>10218.11</v>
      </c>
      <c r="K129" s="127" t="s">
        <v>293</v>
      </c>
      <c r="L129" s="268">
        <f>S129</f>
        <v>0</v>
      </c>
      <c r="M129" s="272">
        <f>ROUND(L129*I129,2)</f>
        <v>0</v>
      </c>
      <c r="N129" s="243">
        <f>N131</f>
        <v>-15.75</v>
      </c>
      <c r="O129" s="294">
        <f>ROUND(N129*I129,2)</f>
        <v>-1083.08</v>
      </c>
      <c r="P129" s="273">
        <f>H129-L129-N129</f>
        <v>164.34</v>
      </c>
      <c r="Q129" s="287">
        <f>ROUND(P129*I129,2)</f>
        <v>11301.2</v>
      </c>
      <c r="R129" s="137"/>
      <c r="S129" s="269">
        <f>W129+Y129+AA129+AC129</f>
        <v>0</v>
      </c>
      <c r="T129" s="269">
        <f>ROUND(S129*I129,2)</f>
        <v>0</v>
      </c>
      <c r="U129" s="269">
        <f>H129-S129</f>
        <v>148.59</v>
      </c>
      <c r="V129" s="269">
        <f>ROUND(U129*I129,2)</f>
        <v>10218.11</v>
      </c>
      <c r="W129" s="269"/>
      <c r="X129" s="269"/>
      <c r="Y129" s="269"/>
      <c r="Z129" s="269"/>
      <c r="AA129" s="269"/>
      <c r="AB129" s="269"/>
      <c r="AC129" s="269"/>
      <c r="AD129" s="269"/>
      <c r="BH129" s="132" t="s">
        <v>1</v>
      </c>
      <c r="BI129" s="133" t="s">
        <v>40</v>
      </c>
      <c r="BK129" s="134">
        <f>BJ129*H129</f>
        <v>0</v>
      </c>
      <c r="BL129" s="134">
        <v>0</v>
      </c>
      <c r="BM129" s="134">
        <f>BL129*H129</f>
        <v>0</v>
      </c>
      <c r="BN129" s="134">
        <v>0.57999999999999996</v>
      </c>
      <c r="BO129" s="135">
        <f>BN129*H129</f>
        <v>86.182199999999995</v>
      </c>
      <c r="CM129" s="136" t="s">
        <v>95</v>
      </c>
      <c r="CO129" s="136" t="s">
        <v>284</v>
      </c>
      <c r="CP129" s="136" t="s">
        <v>83</v>
      </c>
      <c r="CT129" s="16" t="s">
        <v>282</v>
      </c>
      <c r="CZ129" s="137">
        <f>IF(BI129="základní",J129,0)</f>
        <v>10218.11</v>
      </c>
      <c r="DA129" s="137">
        <f>IF(BI129="snížená",J129,0)</f>
        <v>0</v>
      </c>
      <c r="DB129" s="137">
        <f>IF(BI129="zákl. přenesená",J129,0)</f>
        <v>0</v>
      </c>
      <c r="DC129" s="137">
        <f>IF(BI129="sníž. přenesená",J129,0)</f>
        <v>0</v>
      </c>
      <c r="DD129" s="137">
        <f>IF(BI129="nulová",J129,0)</f>
        <v>0</v>
      </c>
      <c r="DE129" s="16" t="s">
        <v>81</v>
      </c>
      <c r="DF129" s="137">
        <f>ROUND(I129*H129,2)</f>
        <v>10218.11</v>
      </c>
      <c r="DG129" s="16" t="s">
        <v>95</v>
      </c>
      <c r="DH129" s="136" t="s">
        <v>294</v>
      </c>
    </row>
    <row r="130" spans="2:112" s="1" customFormat="1" ht="39" x14ac:dyDescent="0.2">
      <c r="B130" s="31"/>
      <c r="D130" s="138" t="s">
        <v>289</v>
      </c>
      <c r="F130" s="139" t="s">
        <v>290</v>
      </c>
      <c r="I130" s="140"/>
      <c r="L130" s="31"/>
      <c r="N130" s="213"/>
      <c r="O130" s="214"/>
      <c r="Q130" s="229"/>
      <c r="BH130" s="141"/>
      <c r="BO130" s="50"/>
      <c r="CO130" s="16" t="s">
        <v>289</v>
      </c>
      <c r="CP130" s="16" t="s">
        <v>83</v>
      </c>
    </row>
    <row r="131" spans="2:112" s="1" customFormat="1" ht="24.2" customHeight="1" x14ac:dyDescent="0.2">
      <c r="B131" s="124"/>
      <c r="C131" s="125" t="s">
        <v>90</v>
      </c>
      <c r="D131" s="125" t="s">
        <v>284</v>
      </c>
      <c r="E131" s="126" t="s">
        <v>295</v>
      </c>
      <c r="F131" s="127" t="s">
        <v>732</v>
      </c>
      <c r="G131" s="128" t="s">
        <v>287</v>
      </c>
      <c r="H131" s="129">
        <v>148.59</v>
      </c>
      <c r="I131" s="130">
        <v>27.886826761540966</v>
      </c>
      <c r="J131" s="131">
        <f>ROUND(I131*H131,2)</f>
        <v>4143.7</v>
      </c>
      <c r="K131" s="127" t="s">
        <v>293</v>
      </c>
      <c r="L131" s="268">
        <f>S131</f>
        <v>0</v>
      </c>
      <c r="M131" s="272">
        <f>ROUND(L131*I131,2)</f>
        <v>0</v>
      </c>
      <c r="N131" s="243">
        <f>N140</f>
        <v>-15.75</v>
      </c>
      <c r="O131" s="294">
        <f>ROUND(N131*I131,2)</f>
        <v>-439.22</v>
      </c>
      <c r="P131" s="273">
        <f>H131-L131-N131</f>
        <v>164.34</v>
      </c>
      <c r="Q131" s="287">
        <f>ROUND(P131*I131,2)</f>
        <v>4582.92</v>
      </c>
      <c r="R131" s="137"/>
      <c r="S131" s="269">
        <f>W131+Y131+AA131+AC131</f>
        <v>0</v>
      </c>
      <c r="T131" s="269">
        <f>ROUND(S131*I131,2)</f>
        <v>0</v>
      </c>
      <c r="U131" s="269">
        <f>H131-S131</f>
        <v>148.59</v>
      </c>
      <c r="V131" s="269">
        <f>ROUND(U131*I131,2)</f>
        <v>4143.7</v>
      </c>
      <c r="W131" s="269"/>
      <c r="X131" s="269"/>
      <c r="Y131" s="269"/>
      <c r="Z131" s="269"/>
      <c r="AA131" s="269"/>
      <c r="AB131" s="269"/>
      <c r="AC131" s="269"/>
      <c r="AD131" s="269"/>
      <c r="BH131" s="132" t="s">
        <v>1</v>
      </c>
      <c r="BI131" s="133" t="s">
        <v>40</v>
      </c>
      <c r="BK131" s="134">
        <f>BJ131*H131</f>
        <v>0</v>
      </c>
      <c r="BL131" s="134">
        <v>0</v>
      </c>
      <c r="BM131" s="134">
        <f>BL131*H131</f>
        <v>0</v>
      </c>
      <c r="BN131" s="134">
        <v>9.8000000000000004E-2</v>
      </c>
      <c r="BO131" s="135">
        <f>BN131*H131</f>
        <v>14.561820000000001</v>
      </c>
      <c r="CM131" s="136" t="s">
        <v>95</v>
      </c>
      <c r="CO131" s="136" t="s">
        <v>284</v>
      </c>
      <c r="CP131" s="136" t="s">
        <v>83</v>
      </c>
      <c r="CT131" s="16" t="s">
        <v>282</v>
      </c>
      <c r="CZ131" s="137">
        <f>IF(BI131="základní",J131,0)</f>
        <v>4143.7</v>
      </c>
      <c r="DA131" s="137">
        <f>IF(BI131="snížená",J131,0)</f>
        <v>0</v>
      </c>
      <c r="DB131" s="137">
        <f>IF(BI131="zákl. přenesená",J131,0)</f>
        <v>0</v>
      </c>
      <c r="DC131" s="137">
        <f>IF(BI131="sníž. přenesená",J131,0)</f>
        <v>0</v>
      </c>
      <c r="DD131" s="137">
        <f>IF(BI131="nulová",J131,0)</f>
        <v>0</v>
      </c>
      <c r="DE131" s="16" t="s">
        <v>81</v>
      </c>
      <c r="DF131" s="137">
        <f>ROUND(I131*H131,2)</f>
        <v>4143.7</v>
      </c>
      <c r="DG131" s="16" t="s">
        <v>95</v>
      </c>
      <c r="DH131" s="136" t="s">
        <v>297</v>
      </c>
    </row>
    <row r="132" spans="2:112" s="1" customFormat="1" ht="29.25" x14ac:dyDescent="0.2">
      <c r="B132" s="31"/>
      <c r="D132" s="138" t="s">
        <v>289</v>
      </c>
      <c r="F132" s="139" t="s">
        <v>298</v>
      </c>
      <c r="I132" s="140"/>
      <c r="L132" s="31"/>
      <c r="N132" s="213"/>
      <c r="O132" s="214"/>
      <c r="Q132" s="229"/>
      <c r="BH132" s="141"/>
      <c r="BO132" s="50"/>
      <c r="CO132" s="16" t="s">
        <v>289</v>
      </c>
      <c r="CP132" s="16" t="s">
        <v>83</v>
      </c>
    </row>
    <row r="133" spans="2:112" s="1" customFormat="1" ht="29.25" x14ac:dyDescent="0.2">
      <c r="B133" s="31"/>
      <c r="D133" s="138" t="s">
        <v>299</v>
      </c>
      <c r="F133" s="142" t="s">
        <v>1659</v>
      </c>
      <c r="I133" s="140"/>
      <c r="L133" s="31"/>
      <c r="N133" s="213"/>
      <c r="O133" s="214"/>
      <c r="Q133" s="229"/>
      <c r="BH133" s="141"/>
      <c r="BO133" s="50"/>
      <c r="CO133" s="16" t="s">
        <v>299</v>
      </c>
      <c r="CP133" s="16" t="s">
        <v>83</v>
      </c>
    </row>
    <row r="134" spans="2:112" s="11" customFormat="1" x14ac:dyDescent="0.2">
      <c r="B134" s="143"/>
      <c r="D134" s="138" t="s">
        <v>301</v>
      </c>
      <c r="E134" s="144" t="s">
        <v>1</v>
      </c>
      <c r="F134" s="145" t="s">
        <v>1084</v>
      </c>
      <c r="H134" s="144" t="s">
        <v>1</v>
      </c>
      <c r="I134" s="146"/>
      <c r="L134" s="143"/>
      <c r="N134" s="215"/>
      <c r="O134" s="216"/>
      <c r="Q134" s="230"/>
      <c r="BH134" s="147"/>
      <c r="BO134" s="148"/>
      <c r="CO134" s="144" t="s">
        <v>301</v>
      </c>
      <c r="CP134" s="144" t="s">
        <v>83</v>
      </c>
      <c r="CQ134" s="11" t="s">
        <v>81</v>
      </c>
      <c r="CR134" s="11" t="s">
        <v>32</v>
      </c>
      <c r="CS134" s="11" t="s">
        <v>74</v>
      </c>
      <c r="CT134" s="144" t="s">
        <v>282</v>
      </c>
    </row>
    <row r="135" spans="2:112" s="11" customFormat="1" x14ac:dyDescent="0.2">
      <c r="B135" s="143"/>
      <c r="D135" s="138" t="s">
        <v>301</v>
      </c>
      <c r="E135" s="144" t="s">
        <v>1</v>
      </c>
      <c r="F135" s="145" t="s">
        <v>302</v>
      </c>
      <c r="H135" s="144" t="s">
        <v>1</v>
      </c>
      <c r="I135" s="146"/>
      <c r="L135" s="143"/>
      <c r="N135" s="215"/>
      <c r="O135" s="216"/>
      <c r="Q135" s="230"/>
      <c r="BH135" s="147"/>
      <c r="BO135" s="148"/>
      <c r="CO135" s="144" t="s">
        <v>301</v>
      </c>
      <c r="CP135" s="144" t="s">
        <v>83</v>
      </c>
      <c r="CQ135" s="11" t="s">
        <v>81</v>
      </c>
      <c r="CR135" s="11" t="s">
        <v>32</v>
      </c>
      <c r="CS135" s="11" t="s">
        <v>74</v>
      </c>
      <c r="CT135" s="144" t="s">
        <v>282</v>
      </c>
    </row>
    <row r="136" spans="2:112" s="12" customFormat="1" x14ac:dyDescent="0.2">
      <c r="B136" s="149"/>
      <c r="D136" s="138" t="s">
        <v>301</v>
      </c>
      <c r="E136" s="150" t="s">
        <v>1</v>
      </c>
      <c r="F136" s="151" t="s">
        <v>1660</v>
      </c>
      <c r="H136" s="152">
        <v>150.1</v>
      </c>
      <c r="I136" s="153"/>
      <c r="L136" s="149"/>
      <c r="N136" s="217">
        <f>129.6*1</f>
        <v>129.6</v>
      </c>
      <c r="O136" s="218" t="s">
        <v>3764</v>
      </c>
      <c r="Q136" s="231"/>
      <c r="BH136" s="154"/>
      <c r="BO136" s="155"/>
      <c r="CO136" s="150" t="s">
        <v>301</v>
      </c>
      <c r="CP136" s="150" t="s">
        <v>83</v>
      </c>
      <c r="CQ136" s="12" t="s">
        <v>83</v>
      </c>
      <c r="CR136" s="12" t="s">
        <v>32</v>
      </c>
      <c r="CS136" s="12" t="s">
        <v>74</v>
      </c>
      <c r="CT136" s="150" t="s">
        <v>282</v>
      </c>
    </row>
    <row r="137" spans="2:112" s="12" customFormat="1" x14ac:dyDescent="0.2">
      <c r="B137" s="149"/>
      <c r="D137" s="138" t="s">
        <v>301</v>
      </c>
      <c r="E137" s="150" t="s">
        <v>1</v>
      </c>
      <c r="F137" s="151" t="s">
        <v>1661</v>
      </c>
      <c r="H137" s="152">
        <v>15</v>
      </c>
      <c r="I137" s="153"/>
      <c r="L137" s="149"/>
      <c r="N137" s="217">
        <f>1.5*1.5*24-1.5*1*24</f>
        <v>18</v>
      </c>
      <c r="O137" s="218" t="s">
        <v>3765</v>
      </c>
      <c r="Q137" s="231"/>
      <c r="BH137" s="154"/>
      <c r="BO137" s="155"/>
      <c r="CO137" s="150" t="s">
        <v>301</v>
      </c>
      <c r="CP137" s="150" t="s">
        <v>83</v>
      </c>
      <c r="CQ137" s="12" t="s">
        <v>83</v>
      </c>
      <c r="CR137" s="12" t="s">
        <v>32</v>
      </c>
      <c r="CS137" s="12" t="s">
        <v>74</v>
      </c>
      <c r="CT137" s="150" t="s">
        <v>282</v>
      </c>
    </row>
    <row r="138" spans="2:112" s="14" customFormat="1" x14ac:dyDescent="0.2">
      <c r="B138" s="163"/>
      <c r="D138" s="138" t="s">
        <v>301</v>
      </c>
      <c r="E138" s="164" t="s">
        <v>1</v>
      </c>
      <c r="F138" s="165" t="s">
        <v>373</v>
      </c>
      <c r="H138" s="166">
        <v>165.1</v>
      </c>
      <c r="I138" s="167"/>
      <c r="L138" s="163"/>
      <c r="N138" s="221">
        <f>N136+N137</f>
        <v>147.6</v>
      </c>
      <c r="O138" s="222"/>
      <c r="Q138" s="233"/>
      <c r="BH138" s="168"/>
      <c r="BO138" s="169"/>
      <c r="CO138" s="164" t="s">
        <v>301</v>
      </c>
      <c r="CP138" s="164" t="s">
        <v>83</v>
      </c>
      <c r="CQ138" s="14" t="s">
        <v>90</v>
      </c>
      <c r="CR138" s="14" t="s">
        <v>32</v>
      </c>
      <c r="CS138" s="14" t="s">
        <v>74</v>
      </c>
      <c r="CT138" s="164" t="s">
        <v>282</v>
      </c>
    </row>
    <row r="139" spans="2:112" s="12" customFormat="1" x14ac:dyDescent="0.2">
      <c r="B139" s="149"/>
      <c r="D139" s="138" t="s">
        <v>301</v>
      </c>
      <c r="E139" s="150" t="s">
        <v>1</v>
      </c>
      <c r="F139" s="151" t="s">
        <v>1662</v>
      </c>
      <c r="H139" s="152">
        <v>148.59</v>
      </c>
      <c r="I139" s="153"/>
      <c r="L139" s="149"/>
      <c r="N139" s="217">
        <f>N138*0.9</f>
        <v>132.84</v>
      </c>
      <c r="O139" s="218"/>
      <c r="Q139" s="231"/>
      <c r="BH139" s="154"/>
      <c r="BO139" s="155"/>
      <c r="CO139" s="150" t="s">
        <v>301</v>
      </c>
      <c r="CP139" s="150" t="s">
        <v>83</v>
      </c>
      <c r="CQ139" s="12" t="s">
        <v>83</v>
      </c>
      <c r="CR139" s="12" t="s">
        <v>32</v>
      </c>
      <c r="CS139" s="12" t="s">
        <v>81</v>
      </c>
      <c r="CT139" s="150" t="s">
        <v>282</v>
      </c>
    </row>
    <row r="140" spans="2:112" s="12" customFormat="1" x14ac:dyDescent="0.2">
      <c r="B140" s="149"/>
      <c r="D140" s="138"/>
      <c r="E140" s="150"/>
      <c r="F140" s="151"/>
      <c r="H140" s="152"/>
      <c r="I140" s="153"/>
      <c r="L140" s="149"/>
      <c r="N140" s="310">
        <f>N139-H139</f>
        <v>-15.75</v>
      </c>
      <c r="O140" s="218"/>
      <c r="Q140" s="231"/>
      <c r="BH140" s="154"/>
      <c r="BO140" s="155"/>
      <c r="CO140" s="150"/>
      <c r="CP140" s="150"/>
      <c r="CT140" s="150"/>
    </row>
    <row r="141" spans="2:112" s="1" customFormat="1" ht="24.2" customHeight="1" x14ac:dyDescent="0.2">
      <c r="B141" s="124"/>
      <c r="C141" s="125" t="s">
        <v>95</v>
      </c>
      <c r="D141" s="125" t="s">
        <v>284</v>
      </c>
      <c r="E141" s="126" t="s">
        <v>958</v>
      </c>
      <c r="F141" s="127" t="s">
        <v>959</v>
      </c>
      <c r="G141" s="128" t="s">
        <v>287</v>
      </c>
      <c r="H141" s="129">
        <v>45.03</v>
      </c>
      <c r="I141" s="130">
        <v>23.091823190584471</v>
      </c>
      <c r="J141" s="131">
        <f>ROUND(I141*H141,2)</f>
        <v>1039.82</v>
      </c>
      <c r="K141" s="127" t="s">
        <v>293</v>
      </c>
      <c r="L141" s="268">
        <f>S141</f>
        <v>0</v>
      </c>
      <c r="M141" s="272">
        <f>ROUND(L141*I141,2)</f>
        <v>0</v>
      </c>
      <c r="N141" s="243">
        <f>N146</f>
        <v>-6.1500000000000057</v>
      </c>
      <c r="O141" s="294">
        <f>ROUND(N141*I141,2)</f>
        <v>-142.01</v>
      </c>
      <c r="P141" s="273">
        <f>H141-L141-N141</f>
        <v>51.180000000000007</v>
      </c>
      <c r="Q141" s="287">
        <f>ROUND(P141*I141,2)</f>
        <v>1181.8399999999999</v>
      </c>
      <c r="R141" s="137"/>
      <c r="S141" s="269">
        <f>W141+Y141+AA141+AC141</f>
        <v>0</v>
      </c>
      <c r="T141" s="269">
        <f>ROUND(S141*I141,2)</f>
        <v>0</v>
      </c>
      <c r="U141" s="269">
        <f>H141-S141</f>
        <v>45.03</v>
      </c>
      <c r="V141" s="269">
        <f>ROUND(U141*I141,2)</f>
        <v>1039.82</v>
      </c>
      <c r="W141" s="269"/>
      <c r="X141" s="269"/>
      <c r="Y141" s="269"/>
      <c r="Z141" s="269"/>
      <c r="AA141" s="269"/>
      <c r="AB141" s="269"/>
      <c r="AC141" s="269"/>
      <c r="AD141" s="269"/>
      <c r="BH141" s="132" t="s">
        <v>1</v>
      </c>
      <c r="BI141" s="133" t="s">
        <v>40</v>
      </c>
      <c r="BK141" s="134">
        <f>BJ141*H141</f>
        <v>0</v>
      </c>
      <c r="BL141" s="134">
        <v>0</v>
      </c>
      <c r="BM141" s="134">
        <f>BL141*H141</f>
        <v>0</v>
      </c>
      <c r="BN141" s="134">
        <v>0</v>
      </c>
      <c r="BO141" s="135">
        <f>BN141*H141</f>
        <v>0</v>
      </c>
      <c r="CM141" s="136" t="s">
        <v>95</v>
      </c>
      <c r="CO141" s="136" t="s">
        <v>284</v>
      </c>
      <c r="CP141" s="136" t="s">
        <v>83</v>
      </c>
      <c r="CT141" s="16" t="s">
        <v>282</v>
      </c>
      <c r="CZ141" s="137">
        <f>IF(BI141="základní",J141,0)</f>
        <v>1039.82</v>
      </c>
      <c r="DA141" s="137">
        <f>IF(BI141="snížená",J141,0)</f>
        <v>0</v>
      </c>
      <c r="DB141" s="137">
        <f>IF(BI141="zákl. přenesená",J141,0)</f>
        <v>0</v>
      </c>
      <c r="DC141" s="137">
        <f>IF(BI141="sníž. přenesená",J141,0)</f>
        <v>0</v>
      </c>
      <c r="DD141" s="137">
        <f>IF(BI141="nulová",J141,0)</f>
        <v>0</v>
      </c>
      <c r="DE141" s="16" t="s">
        <v>81</v>
      </c>
      <c r="DF141" s="137">
        <f>ROUND(I141*H141,2)</f>
        <v>1039.82</v>
      </c>
      <c r="DG141" s="16" t="s">
        <v>95</v>
      </c>
      <c r="DH141" s="136" t="s">
        <v>960</v>
      </c>
    </row>
    <row r="142" spans="2:112" s="1" customFormat="1" ht="19.5" x14ac:dyDescent="0.2">
      <c r="B142" s="31"/>
      <c r="D142" s="138" t="s">
        <v>289</v>
      </c>
      <c r="F142" s="139" t="s">
        <v>961</v>
      </c>
      <c r="I142" s="140"/>
      <c r="L142" s="31"/>
      <c r="N142" s="213"/>
      <c r="O142" s="214"/>
      <c r="Q142" s="229"/>
      <c r="BH142" s="141"/>
      <c r="BO142" s="50"/>
      <c r="CO142" s="16" t="s">
        <v>289</v>
      </c>
      <c r="CP142" s="16" t="s">
        <v>83</v>
      </c>
    </row>
    <row r="143" spans="2:112" s="1" customFormat="1" ht="29.25" x14ac:dyDescent="0.2">
      <c r="B143" s="31"/>
      <c r="D143" s="138" t="s">
        <v>299</v>
      </c>
      <c r="F143" s="142" t="s">
        <v>1659</v>
      </c>
      <c r="I143" s="140"/>
      <c r="L143" s="31"/>
      <c r="N143" s="213"/>
      <c r="O143" s="214"/>
      <c r="Q143" s="229"/>
      <c r="BH143" s="141"/>
      <c r="BO143" s="50"/>
      <c r="CO143" s="16" t="s">
        <v>299</v>
      </c>
      <c r="CP143" s="16" t="s">
        <v>83</v>
      </c>
    </row>
    <row r="144" spans="2:112" s="11" customFormat="1" x14ac:dyDescent="0.2">
      <c r="B144" s="143"/>
      <c r="D144" s="138" t="s">
        <v>301</v>
      </c>
      <c r="E144" s="144" t="s">
        <v>1</v>
      </c>
      <c r="F144" s="145" t="s">
        <v>1088</v>
      </c>
      <c r="H144" s="144" t="s">
        <v>1</v>
      </c>
      <c r="I144" s="146"/>
      <c r="L144" s="143"/>
      <c r="N144" s="215"/>
      <c r="O144" s="216"/>
      <c r="Q144" s="230"/>
      <c r="BH144" s="147"/>
      <c r="BO144" s="148"/>
      <c r="CO144" s="144" t="s">
        <v>301</v>
      </c>
      <c r="CP144" s="144" t="s">
        <v>83</v>
      </c>
      <c r="CQ144" s="11" t="s">
        <v>81</v>
      </c>
      <c r="CR144" s="11" t="s">
        <v>32</v>
      </c>
      <c r="CS144" s="11" t="s">
        <v>74</v>
      </c>
      <c r="CT144" s="144" t="s">
        <v>282</v>
      </c>
    </row>
    <row r="145" spans="2:112" s="12" customFormat="1" x14ac:dyDescent="0.2">
      <c r="B145" s="149"/>
      <c r="D145" s="138" t="s">
        <v>301</v>
      </c>
      <c r="E145" s="150" t="s">
        <v>1</v>
      </c>
      <c r="F145" s="151" t="s">
        <v>1663</v>
      </c>
      <c r="H145" s="152">
        <v>45.03</v>
      </c>
      <c r="I145" s="153"/>
      <c r="L145" s="149"/>
      <c r="N145" s="217">
        <f>129.6*3*0.1</f>
        <v>38.879999999999995</v>
      </c>
      <c r="O145" s="218" t="s">
        <v>3766</v>
      </c>
      <c r="Q145" s="231"/>
      <c r="BH145" s="154"/>
      <c r="BO145" s="155"/>
      <c r="CO145" s="150" t="s">
        <v>301</v>
      </c>
      <c r="CP145" s="150" t="s">
        <v>83</v>
      </c>
      <c r="CQ145" s="12" t="s">
        <v>83</v>
      </c>
      <c r="CR145" s="12" t="s">
        <v>32</v>
      </c>
      <c r="CS145" s="12" t="s">
        <v>81</v>
      </c>
      <c r="CT145" s="150" t="s">
        <v>282</v>
      </c>
    </row>
    <row r="146" spans="2:112" s="12" customFormat="1" x14ac:dyDescent="0.2">
      <c r="B146" s="149"/>
      <c r="D146" s="138"/>
      <c r="E146" s="150"/>
      <c r="F146" s="151"/>
      <c r="H146" s="152"/>
      <c r="I146" s="153"/>
      <c r="L146" s="149"/>
      <c r="N146" s="310">
        <f>N145-H145</f>
        <v>-6.1500000000000057</v>
      </c>
      <c r="O146" s="218"/>
      <c r="Q146" s="231"/>
      <c r="BH146" s="154"/>
      <c r="BO146" s="155"/>
      <c r="CO146" s="150"/>
      <c r="CP146" s="150"/>
      <c r="CT146" s="150"/>
    </row>
    <row r="147" spans="2:112" s="1" customFormat="1" ht="24.2" customHeight="1" x14ac:dyDescent="0.2">
      <c r="B147" s="124"/>
      <c r="C147" s="125" t="s">
        <v>312</v>
      </c>
      <c r="D147" s="125" t="s">
        <v>284</v>
      </c>
      <c r="E147" s="126" t="s">
        <v>364</v>
      </c>
      <c r="F147" s="127" t="s">
        <v>365</v>
      </c>
      <c r="G147" s="128" t="s">
        <v>366</v>
      </c>
      <c r="H147" s="129">
        <v>151.59</v>
      </c>
      <c r="I147" s="130">
        <v>285.201942457955</v>
      </c>
      <c r="J147" s="131">
        <f>ROUND(I147*H147,2)</f>
        <v>43233.760000000002</v>
      </c>
      <c r="K147" s="127" t="s">
        <v>293</v>
      </c>
      <c r="L147" s="268">
        <f>S147</f>
        <v>0</v>
      </c>
      <c r="M147" s="272">
        <f>ROUND(L147*I147,2)</f>
        <v>0</v>
      </c>
      <c r="N147" s="243">
        <f>N157</f>
        <v>-14.771999999999991</v>
      </c>
      <c r="O147" s="294">
        <f>ROUND(N147*I147,2)</f>
        <v>-4213</v>
      </c>
      <c r="P147" s="273">
        <f>H147-L147-N147</f>
        <v>166.36199999999999</v>
      </c>
      <c r="Q147" s="287">
        <f>ROUND(P147*I147,2)</f>
        <v>47446.77</v>
      </c>
      <c r="R147" s="137"/>
      <c r="S147" s="269">
        <f>W147+Y147+AA147+AC147</f>
        <v>0</v>
      </c>
      <c r="T147" s="269">
        <f>ROUND(S147*I147,2)</f>
        <v>0</v>
      </c>
      <c r="U147" s="269">
        <f>H147-S147</f>
        <v>151.59</v>
      </c>
      <c r="V147" s="269">
        <f>ROUND(U147*I147,2)</f>
        <v>43233.760000000002</v>
      </c>
      <c r="W147" s="269"/>
      <c r="X147" s="269"/>
      <c r="Y147" s="269"/>
      <c r="Z147" s="269"/>
      <c r="AA147" s="269"/>
      <c r="AB147" s="269"/>
      <c r="AC147" s="269"/>
      <c r="AD147" s="269"/>
      <c r="BH147" s="132" t="s">
        <v>1</v>
      </c>
      <c r="BI147" s="133" t="s">
        <v>40</v>
      </c>
      <c r="BK147" s="134">
        <f>BJ147*H147</f>
        <v>0</v>
      </c>
      <c r="BL147" s="134">
        <v>0</v>
      </c>
      <c r="BM147" s="134">
        <f>BL147*H147</f>
        <v>0</v>
      </c>
      <c r="BN147" s="134">
        <v>0</v>
      </c>
      <c r="BO147" s="135">
        <f>BN147*H147</f>
        <v>0</v>
      </c>
      <c r="CM147" s="136" t="s">
        <v>95</v>
      </c>
      <c r="CO147" s="136" t="s">
        <v>284</v>
      </c>
      <c r="CP147" s="136" t="s">
        <v>83</v>
      </c>
      <c r="CT147" s="16" t="s">
        <v>282</v>
      </c>
      <c r="CZ147" s="137">
        <f>IF(BI147="základní",J147,0)</f>
        <v>43233.760000000002</v>
      </c>
      <c r="DA147" s="137">
        <f>IF(BI147="snížená",J147,0)</f>
        <v>0</v>
      </c>
      <c r="DB147" s="137">
        <f>IF(BI147="zákl. přenesená",J147,0)</f>
        <v>0</v>
      </c>
      <c r="DC147" s="137">
        <f>IF(BI147="sníž. přenesená",J147,0)</f>
        <v>0</v>
      </c>
      <c r="DD147" s="137">
        <f>IF(BI147="nulová",J147,0)</f>
        <v>0</v>
      </c>
      <c r="DE147" s="16" t="s">
        <v>81</v>
      </c>
      <c r="DF147" s="137">
        <f>ROUND(I147*H147,2)</f>
        <v>43233.760000000002</v>
      </c>
      <c r="DG147" s="16" t="s">
        <v>95</v>
      </c>
      <c r="DH147" s="136" t="s">
        <v>367</v>
      </c>
    </row>
    <row r="148" spans="2:112" s="1" customFormat="1" ht="39" x14ac:dyDescent="0.2">
      <c r="B148" s="31"/>
      <c r="D148" s="138" t="s">
        <v>289</v>
      </c>
      <c r="F148" s="139" t="s">
        <v>368</v>
      </c>
      <c r="I148" s="140"/>
      <c r="L148" s="31"/>
      <c r="N148" s="213"/>
      <c r="O148" s="214"/>
      <c r="Q148" s="229"/>
      <c r="BH148" s="141"/>
      <c r="BO148" s="50"/>
      <c r="CO148" s="16" t="s">
        <v>289</v>
      </c>
      <c r="CP148" s="16" t="s">
        <v>83</v>
      </c>
    </row>
    <row r="149" spans="2:112" s="1" customFormat="1" ht="39" x14ac:dyDescent="0.2">
      <c r="B149" s="31"/>
      <c r="D149" s="138" t="s">
        <v>299</v>
      </c>
      <c r="F149" s="142" t="s">
        <v>1664</v>
      </c>
      <c r="I149" s="140"/>
      <c r="L149" s="31"/>
      <c r="N149" s="213"/>
      <c r="O149" s="214"/>
      <c r="Q149" s="229"/>
      <c r="BH149" s="141"/>
      <c r="BO149" s="50"/>
      <c r="CO149" s="16" t="s">
        <v>299</v>
      </c>
      <c r="CP149" s="16" t="s">
        <v>83</v>
      </c>
    </row>
    <row r="150" spans="2:112" s="11" customFormat="1" ht="22.5" x14ac:dyDescent="0.2">
      <c r="B150" s="143"/>
      <c r="D150" s="138" t="s">
        <v>301</v>
      </c>
      <c r="E150" s="144" t="s">
        <v>1</v>
      </c>
      <c r="F150" s="145" t="s">
        <v>1091</v>
      </c>
      <c r="H150" s="144" t="s">
        <v>1</v>
      </c>
      <c r="I150" s="146"/>
      <c r="L150" s="143"/>
      <c r="N150" s="215"/>
      <c r="O150" s="216"/>
      <c r="Q150" s="230"/>
      <c r="BH150" s="147"/>
      <c r="BO150" s="148"/>
      <c r="CO150" s="144" t="s">
        <v>301</v>
      </c>
      <c r="CP150" s="144" t="s">
        <v>83</v>
      </c>
      <c r="CQ150" s="11" t="s">
        <v>81</v>
      </c>
      <c r="CR150" s="11" t="s">
        <v>32</v>
      </c>
      <c r="CS150" s="11" t="s">
        <v>74</v>
      </c>
      <c r="CT150" s="144" t="s">
        <v>282</v>
      </c>
    </row>
    <row r="151" spans="2:112" s="12" customFormat="1" x14ac:dyDescent="0.2">
      <c r="B151" s="149"/>
      <c r="D151" s="138" t="s">
        <v>301</v>
      </c>
      <c r="E151" s="150" t="s">
        <v>1</v>
      </c>
      <c r="F151" s="151" t="s">
        <v>1665</v>
      </c>
      <c r="H151" s="152">
        <v>236.40799999999999</v>
      </c>
      <c r="I151" s="153"/>
      <c r="L151" s="149"/>
      <c r="N151" s="217">
        <f>129.6*1*(2.2-0.45)*0.9</f>
        <v>204.12</v>
      </c>
      <c r="O151" s="218" t="s">
        <v>3767</v>
      </c>
      <c r="Q151" s="231"/>
      <c r="BH151" s="154"/>
      <c r="BO151" s="155"/>
      <c r="CO151" s="150" t="s">
        <v>301</v>
      </c>
      <c r="CP151" s="150" t="s">
        <v>83</v>
      </c>
      <c r="CQ151" s="12" t="s">
        <v>83</v>
      </c>
      <c r="CR151" s="12" t="s">
        <v>32</v>
      </c>
      <c r="CS151" s="12" t="s">
        <v>74</v>
      </c>
      <c r="CT151" s="150" t="s">
        <v>282</v>
      </c>
    </row>
    <row r="152" spans="2:112" s="12" customFormat="1" ht="22.5" x14ac:dyDescent="0.2">
      <c r="B152" s="149"/>
      <c r="D152" s="138" t="s">
        <v>301</v>
      </c>
      <c r="E152" s="150" t="s">
        <v>1</v>
      </c>
      <c r="F152" s="151" t="s">
        <v>1666</v>
      </c>
      <c r="H152" s="152">
        <v>35.25</v>
      </c>
      <c r="I152" s="153"/>
      <c r="L152" s="149"/>
      <c r="N152" s="217">
        <f xml:space="preserve"> 1.5*1.5*(2.4-0.45)*24-1.5*1*(2.2-0.45)*24</f>
        <v>42.3</v>
      </c>
      <c r="O152" s="218" t="s">
        <v>3768</v>
      </c>
      <c r="Q152" s="231"/>
      <c r="BH152" s="154"/>
      <c r="BO152" s="155"/>
      <c r="CO152" s="150" t="s">
        <v>301</v>
      </c>
      <c r="CP152" s="150" t="s">
        <v>83</v>
      </c>
      <c r="CQ152" s="12" t="s">
        <v>83</v>
      </c>
      <c r="CR152" s="12" t="s">
        <v>32</v>
      </c>
      <c r="CS152" s="12" t="s">
        <v>74</v>
      </c>
      <c r="CT152" s="150" t="s">
        <v>282</v>
      </c>
    </row>
    <row r="153" spans="2:112" s="11" customFormat="1" x14ac:dyDescent="0.2">
      <c r="B153" s="143"/>
      <c r="D153" s="138" t="s">
        <v>301</v>
      </c>
      <c r="E153" s="144" t="s">
        <v>1</v>
      </c>
      <c r="F153" s="145" t="s">
        <v>968</v>
      </c>
      <c r="H153" s="144" t="s">
        <v>1</v>
      </c>
      <c r="I153" s="146"/>
      <c r="L153" s="143"/>
      <c r="N153" s="215"/>
      <c r="O153" s="216"/>
      <c r="Q153" s="230"/>
      <c r="BH153" s="147"/>
      <c r="BO153" s="148"/>
      <c r="CO153" s="144" t="s">
        <v>301</v>
      </c>
      <c r="CP153" s="144" t="s">
        <v>83</v>
      </c>
      <c r="CQ153" s="11" t="s">
        <v>81</v>
      </c>
      <c r="CR153" s="11" t="s">
        <v>32</v>
      </c>
      <c r="CS153" s="11" t="s">
        <v>74</v>
      </c>
      <c r="CT153" s="144" t="s">
        <v>282</v>
      </c>
    </row>
    <row r="154" spans="2:112" s="12" customFormat="1" x14ac:dyDescent="0.2">
      <c r="B154" s="149"/>
      <c r="D154" s="138" t="s">
        <v>301</v>
      </c>
      <c r="E154" s="150" t="s">
        <v>1</v>
      </c>
      <c r="F154" s="151" t="s">
        <v>1667</v>
      </c>
      <c r="H154" s="152">
        <v>31.521000000000001</v>
      </c>
      <c r="I154" s="153"/>
      <c r="L154" s="149"/>
      <c r="N154" s="217">
        <f>129.6*1*(2.2-0.1)*0.1</f>
        <v>27.216000000000005</v>
      </c>
      <c r="O154" s="218" t="s">
        <v>3769</v>
      </c>
      <c r="Q154" s="231"/>
      <c r="BH154" s="154"/>
      <c r="BO154" s="155"/>
      <c r="CO154" s="150" t="s">
        <v>301</v>
      </c>
      <c r="CP154" s="150" t="s">
        <v>83</v>
      </c>
      <c r="CQ154" s="12" t="s">
        <v>83</v>
      </c>
      <c r="CR154" s="12" t="s">
        <v>32</v>
      </c>
      <c r="CS154" s="12" t="s">
        <v>74</v>
      </c>
      <c r="CT154" s="150" t="s">
        <v>282</v>
      </c>
    </row>
    <row r="155" spans="2:112" s="14" customFormat="1" x14ac:dyDescent="0.2">
      <c r="B155" s="163"/>
      <c r="D155" s="138" t="s">
        <v>301</v>
      </c>
      <c r="E155" s="164" t="s">
        <v>1</v>
      </c>
      <c r="F155" s="165" t="s">
        <v>373</v>
      </c>
      <c r="H155" s="166">
        <v>303.17900000000003</v>
      </c>
      <c r="I155" s="167"/>
      <c r="L155" s="163"/>
      <c r="N155" s="221">
        <f>N151+N152+N154</f>
        <v>273.63600000000002</v>
      </c>
      <c r="O155" s="222"/>
      <c r="Q155" s="233"/>
      <c r="BH155" s="168"/>
      <c r="BO155" s="169"/>
      <c r="CO155" s="164" t="s">
        <v>301</v>
      </c>
      <c r="CP155" s="164" t="s">
        <v>83</v>
      </c>
      <c r="CQ155" s="14" t="s">
        <v>90</v>
      </c>
      <c r="CR155" s="14" t="s">
        <v>32</v>
      </c>
      <c r="CS155" s="14" t="s">
        <v>74</v>
      </c>
      <c r="CT155" s="164" t="s">
        <v>282</v>
      </c>
    </row>
    <row r="156" spans="2:112" s="12" customFormat="1" x14ac:dyDescent="0.2">
      <c r="B156" s="149"/>
      <c r="D156" s="138" t="s">
        <v>301</v>
      </c>
      <c r="E156" s="150" t="s">
        <v>1</v>
      </c>
      <c r="F156" s="151" t="s">
        <v>1668</v>
      </c>
      <c r="H156" s="152">
        <v>151.59</v>
      </c>
      <c r="I156" s="153"/>
      <c r="L156" s="149"/>
      <c r="N156" s="217">
        <f>N155*0.5</f>
        <v>136.81800000000001</v>
      </c>
      <c r="O156" s="218"/>
      <c r="Q156" s="231"/>
      <c r="BH156" s="154"/>
      <c r="BO156" s="155"/>
      <c r="CO156" s="150" t="s">
        <v>301</v>
      </c>
      <c r="CP156" s="150" t="s">
        <v>83</v>
      </c>
      <c r="CQ156" s="12" t="s">
        <v>83</v>
      </c>
      <c r="CR156" s="12" t="s">
        <v>32</v>
      </c>
      <c r="CS156" s="12" t="s">
        <v>81</v>
      </c>
      <c r="CT156" s="150" t="s">
        <v>282</v>
      </c>
    </row>
    <row r="157" spans="2:112" s="12" customFormat="1" x14ac:dyDescent="0.2">
      <c r="B157" s="149"/>
      <c r="D157" s="138"/>
      <c r="E157" s="150"/>
      <c r="F157" s="151"/>
      <c r="H157" s="152"/>
      <c r="I157" s="153"/>
      <c r="L157" s="149"/>
      <c r="N157" s="310">
        <f>N156-H156</f>
        <v>-14.771999999999991</v>
      </c>
      <c r="O157" s="218"/>
      <c r="Q157" s="231"/>
      <c r="BH157" s="154"/>
      <c r="BO157" s="155"/>
      <c r="CO157" s="150"/>
      <c r="CP157" s="150"/>
      <c r="CT157" s="150"/>
    </row>
    <row r="158" spans="2:112" s="1" customFormat="1" ht="24.2" customHeight="1" x14ac:dyDescent="0.2">
      <c r="B158" s="124"/>
      <c r="C158" s="125" t="s">
        <v>318</v>
      </c>
      <c r="D158" s="125" t="s">
        <v>284</v>
      </c>
      <c r="E158" s="126" t="s">
        <v>375</v>
      </c>
      <c r="F158" s="127" t="s">
        <v>376</v>
      </c>
      <c r="G158" s="128" t="s">
        <v>366</v>
      </c>
      <c r="H158" s="129">
        <v>151.59</v>
      </c>
      <c r="I158" s="130">
        <v>390.55963566140201</v>
      </c>
      <c r="J158" s="131">
        <f>ROUND(I158*H158,2)</f>
        <v>59204.94</v>
      </c>
      <c r="K158" s="127" t="s">
        <v>293</v>
      </c>
      <c r="L158" s="268">
        <f>S158</f>
        <v>0</v>
      </c>
      <c r="M158" s="272">
        <f>ROUND(L158*I158,2)</f>
        <v>0</v>
      </c>
      <c r="N158" s="243">
        <f>N147</f>
        <v>-14.771999999999991</v>
      </c>
      <c r="O158" s="294">
        <f>ROUND(N158*I158,2)</f>
        <v>-5769.35</v>
      </c>
      <c r="P158" s="273">
        <f>H158-L158-N158</f>
        <v>166.36199999999999</v>
      </c>
      <c r="Q158" s="287">
        <f>ROUND(P158*I158,2)</f>
        <v>64974.28</v>
      </c>
      <c r="R158" s="137"/>
      <c r="S158" s="269">
        <f>W158+Y158+AA158+AC158</f>
        <v>0</v>
      </c>
      <c r="T158" s="269">
        <f>ROUND(S158*I158,2)</f>
        <v>0</v>
      </c>
      <c r="U158" s="269">
        <f>H158-S158</f>
        <v>151.59</v>
      </c>
      <c r="V158" s="269">
        <f>ROUND(U158*I158,2)</f>
        <v>59204.94</v>
      </c>
      <c r="W158" s="269"/>
      <c r="X158" s="269"/>
      <c r="Y158" s="269"/>
      <c r="Z158" s="269"/>
      <c r="AA158" s="269"/>
      <c r="AB158" s="269"/>
      <c r="AC158" s="269"/>
      <c r="AD158" s="269"/>
      <c r="BH158" s="132" t="s">
        <v>1</v>
      </c>
      <c r="BI158" s="133" t="s">
        <v>40</v>
      </c>
      <c r="BK158" s="134">
        <f>BJ158*H158</f>
        <v>0</v>
      </c>
      <c r="BL158" s="134">
        <v>0</v>
      </c>
      <c r="BM158" s="134">
        <f>BL158*H158</f>
        <v>0</v>
      </c>
      <c r="BN158" s="134">
        <v>0</v>
      </c>
      <c r="BO158" s="135">
        <f>BN158*H158</f>
        <v>0</v>
      </c>
      <c r="CM158" s="136" t="s">
        <v>95</v>
      </c>
      <c r="CO158" s="136" t="s">
        <v>284</v>
      </c>
      <c r="CP158" s="136" t="s">
        <v>83</v>
      </c>
      <c r="CT158" s="16" t="s">
        <v>282</v>
      </c>
      <c r="CZ158" s="137">
        <f>IF(BI158="základní",J158,0)</f>
        <v>59204.94</v>
      </c>
      <c r="DA158" s="137">
        <f>IF(BI158="snížená",J158,0)</f>
        <v>0</v>
      </c>
      <c r="DB158" s="137">
        <f>IF(BI158="zákl. přenesená",J158,0)</f>
        <v>0</v>
      </c>
      <c r="DC158" s="137">
        <f>IF(BI158="sníž. přenesená",J158,0)</f>
        <v>0</v>
      </c>
      <c r="DD158" s="137">
        <f>IF(BI158="nulová",J158,0)</f>
        <v>0</v>
      </c>
      <c r="DE158" s="16" t="s">
        <v>81</v>
      </c>
      <c r="DF158" s="137">
        <f>ROUND(I158*H158,2)</f>
        <v>59204.94</v>
      </c>
      <c r="DG158" s="16" t="s">
        <v>95</v>
      </c>
      <c r="DH158" s="136" t="s">
        <v>377</v>
      </c>
    </row>
    <row r="159" spans="2:112" s="1" customFormat="1" ht="39" x14ac:dyDescent="0.2">
      <c r="B159" s="31"/>
      <c r="D159" s="138" t="s">
        <v>289</v>
      </c>
      <c r="F159" s="139" t="s">
        <v>378</v>
      </c>
      <c r="I159" s="140"/>
      <c r="L159" s="31"/>
      <c r="N159" s="213"/>
      <c r="O159" s="214"/>
      <c r="Q159" s="229"/>
      <c r="BH159" s="141"/>
      <c r="BO159" s="50"/>
      <c r="CO159" s="16" t="s">
        <v>289</v>
      </c>
      <c r="CP159" s="16" t="s">
        <v>83</v>
      </c>
    </row>
    <row r="160" spans="2:112" s="1" customFormat="1" ht="39" x14ac:dyDescent="0.2">
      <c r="B160" s="31"/>
      <c r="D160" s="138" t="s">
        <v>299</v>
      </c>
      <c r="F160" s="142" t="s">
        <v>1664</v>
      </c>
      <c r="I160" s="140"/>
      <c r="L160" s="31"/>
      <c r="N160" s="213"/>
      <c r="O160" s="214"/>
      <c r="Q160" s="229"/>
      <c r="BH160" s="141"/>
      <c r="BO160" s="50"/>
      <c r="CO160" s="16" t="s">
        <v>299</v>
      </c>
      <c r="CP160" s="16" t="s">
        <v>83</v>
      </c>
    </row>
    <row r="161" spans="2:112" s="1" customFormat="1" ht="24.2" customHeight="1" x14ac:dyDescent="0.2">
      <c r="B161" s="124"/>
      <c r="C161" s="125" t="s">
        <v>323</v>
      </c>
      <c r="D161" s="125" t="s">
        <v>284</v>
      </c>
      <c r="E161" s="126" t="s">
        <v>380</v>
      </c>
      <c r="F161" s="127" t="s">
        <v>381</v>
      </c>
      <c r="G161" s="128" t="s">
        <v>366</v>
      </c>
      <c r="H161" s="129">
        <v>60.636000000000003</v>
      </c>
      <c r="I161" s="130">
        <v>650.27058629099099</v>
      </c>
      <c r="J161" s="131">
        <f>ROUND(I161*H161,2)</f>
        <v>39429.81</v>
      </c>
      <c r="K161" s="127" t="s">
        <v>293</v>
      </c>
      <c r="L161" s="268">
        <f>S161</f>
        <v>0</v>
      </c>
      <c r="M161" s="272">
        <f>ROUND(L161*I161,2)</f>
        <v>0</v>
      </c>
      <c r="N161" s="243">
        <f>N165</f>
        <v>-5.9087999999999923</v>
      </c>
      <c r="O161" s="294">
        <f>ROUND(N161*I161,2)</f>
        <v>-3842.32</v>
      </c>
      <c r="P161" s="273">
        <f>H161-L161-N161</f>
        <v>66.544799999999995</v>
      </c>
      <c r="Q161" s="287">
        <f>ROUND(P161*I161,2)</f>
        <v>43272.13</v>
      </c>
      <c r="R161" s="137"/>
      <c r="S161" s="269">
        <f>W161+Y161+AA161+AC161</f>
        <v>0</v>
      </c>
      <c r="T161" s="269">
        <f>ROUND(S161*I161,2)</f>
        <v>0</v>
      </c>
      <c r="U161" s="269">
        <f>H161-S161</f>
        <v>60.636000000000003</v>
      </c>
      <c r="V161" s="269">
        <f>ROUND(U161*I161,2)</f>
        <v>39429.81</v>
      </c>
      <c r="W161" s="269"/>
      <c r="X161" s="269"/>
      <c r="Y161" s="269"/>
      <c r="Z161" s="269"/>
      <c r="AA161" s="269"/>
      <c r="AB161" s="269"/>
      <c r="AC161" s="269"/>
      <c r="AD161" s="269"/>
      <c r="BH161" s="132" t="s">
        <v>1</v>
      </c>
      <c r="BI161" s="133" t="s">
        <v>40</v>
      </c>
      <c r="BK161" s="134">
        <f>BJ161*H161</f>
        <v>0</v>
      </c>
      <c r="BL161" s="134">
        <v>0</v>
      </c>
      <c r="BM161" s="134">
        <f>BL161*H161</f>
        <v>0</v>
      </c>
      <c r="BN161" s="134">
        <v>0</v>
      </c>
      <c r="BO161" s="135">
        <f>BN161*H161</f>
        <v>0</v>
      </c>
      <c r="CM161" s="136" t="s">
        <v>95</v>
      </c>
      <c r="CO161" s="136" t="s">
        <v>284</v>
      </c>
      <c r="CP161" s="136" t="s">
        <v>83</v>
      </c>
      <c r="CT161" s="16" t="s">
        <v>282</v>
      </c>
      <c r="CZ161" s="137">
        <f>IF(BI161="základní",J161,0)</f>
        <v>39429.81</v>
      </c>
      <c r="DA161" s="137">
        <f>IF(BI161="snížená",J161,0)</f>
        <v>0</v>
      </c>
      <c r="DB161" s="137">
        <f>IF(BI161="zákl. přenesená",J161,0)</f>
        <v>0</v>
      </c>
      <c r="DC161" s="137">
        <f>IF(BI161="sníž. přenesená",J161,0)</f>
        <v>0</v>
      </c>
      <c r="DD161" s="137">
        <f>IF(BI161="nulová",J161,0)</f>
        <v>0</v>
      </c>
      <c r="DE161" s="16" t="s">
        <v>81</v>
      </c>
      <c r="DF161" s="137">
        <f>ROUND(I161*H161,2)</f>
        <v>39429.81</v>
      </c>
      <c r="DG161" s="16" t="s">
        <v>95</v>
      </c>
      <c r="DH161" s="136" t="s">
        <v>382</v>
      </c>
    </row>
    <row r="162" spans="2:112" s="1" customFormat="1" ht="29.25" x14ac:dyDescent="0.2">
      <c r="B162" s="31"/>
      <c r="D162" s="138" t="s">
        <v>289</v>
      </c>
      <c r="F162" s="139" t="s">
        <v>383</v>
      </c>
      <c r="I162" s="140"/>
      <c r="L162" s="31"/>
      <c r="N162" s="213"/>
      <c r="O162" s="214"/>
      <c r="Q162" s="229"/>
      <c r="BH162" s="141"/>
      <c r="BO162" s="50"/>
      <c r="CO162" s="16" t="s">
        <v>289</v>
      </c>
      <c r="CP162" s="16" t="s">
        <v>83</v>
      </c>
    </row>
    <row r="163" spans="2:112" s="11" customFormat="1" x14ac:dyDescent="0.2">
      <c r="B163" s="143"/>
      <c r="D163" s="138" t="s">
        <v>301</v>
      </c>
      <c r="E163" s="144" t="s">
        <v>1</v>
      </c>
      <c r="F163" s="145" t="s">
        <v>384</v>
      </c>
      <c r="H163" s="144" t="s">
        <v>1</v>
      </c>
      <c r="I163" s="146"/>
      <c r="L163" s="143"/>
      <c r="N163" s="215"/>
      <c r="O163" s="216"/>
      <c r="Q163" s="230"/>
      <c r="BH163" s="147"/>
      <c r="BO163" s="148"/>
      <c r="CO163" s="144" t="s">
        <v>301</v>
      </c>
      <c r="CP163" s="144" t="s">
        <v>83</v>
      </c>
      <c r="CQ163" s="11" t="s">
        <v>81</v>
      </c>
      <c r="CR163" s="11" t="s">
        <v>32</v>
      </c>
      <c r="CS163" s="11" t="s">
        <v>74</v>
      </c>
      <c r="CT163" s="144" t="s">
        <v>282</v>
      </c>
    </row>
    <row r="164" spans="2:112" s="12" customFormat="1" x14ac:dyDescent="0.2">
      <c r="B164" s="149"/>
      <c r="D164" s="138" t="s">
        <v>301</v>
      </c>
      <c r="E164" s="150" t="s">
        <v>1</v>
      </c>
      <c r="F164" s="151" t="s">
        <v>1669</v>
      </c>
      <c r="H164" s="152">
        <v>60.636000000000003</v>
      </c>
      <c r="I164" s="153"/>
      <c r="L164" s="149"/>
      <c r="N164" s="217">
        <f>(136.818+136.818)*0.2</f>
        <v>54.727200000000011</v>
      </c>
      <c r="O164" s="218" t="s">
        <v>3770</v>
      </c>
      <c r="Q164" s="231"/>
      <c r="BH164" s="154"/>
      <c r="BO164" s="155"/>
      <c r="CO164" s="150" t="s">
        <v>301</v>
      </c>
      <c r="CP164" s="150" t="s">
        <v>83</v>
      </c>
      <c r="CQ164" s="12" t="s">
        <v>83</v>
      </c>
      <c r="CR164" s="12" t="s">
        <v>32</v>
      </c>
      <c r="CS164" s="12" t="s">
        <v>81</v>
      </c>
      <c r="CT164" s="150" t="s">
        <v>282</v>
      </c>
    </row>
    <row r="165" spans="2:112" s="12" customFormat="1" x14ac:dyDescent="0.2">
      <c r="B165" s="149"/>
      <c r="D165" s="138"/>
      <c r="E165" s="150"/>
      <c r="F165" s="151"/>
      <c r="H165" s="152"/>
      <c r="I165" s="153"/>
      <c r="L165" s="149"/>
      <c r="N165" s="310">
        <f>N164-H164</f>
        <v>-5.9087999999999923</v>
      </c>
      <c r="O165" s="218"/>
      <c r="Q165" s="231"/>
      <c r="BH165" s="154"/>
      <c r="BO165" s="155"/>
      <c r="CO165" s="150"/>
      <c r="CP165" s="150"/>
      <c r="CT165" s="150"/>
    </row>
    <row r="166" spans="2:112" s="1" customFormat="1" ht="14.45" customHeight="1" x14ac:dyDescent="0.2">
      <c r="B166" s="124"/>
      <c r="C166" s="125" t="s">
        <v>328</v>
      </c>
      <c r="D166" s="125" t="s">
        <v>284</v>
      </c>
      <c r="E166" s="126" t="s">
        <v>387</v>
      </c>
      <c r="F166" s="127" t="s">
        <v>388</v>
      </c>
      <c r="G166" s="128" t="s">
        <v>287</v>
      </c>
      <c r="H166" s="129">
        <v>660.44</v>
      </c>
      <c r="I166" s="130">
        <v>156.6895922457376</v>
      </c>
      <c r="J166" s="131">
        <f>ROUND(I166*H166,2)</f>
        <v>103484.07</v>
      </c>
      <c r="K166" s="127" t="s">
        <v>293</v>
      </c>
      <c r="L166" s="268">
        <f>S166</f>
        <v>0</v>
      </c>
      <c r="M166" s="272">
        <f>ROUND(L166*I166,2)</f>
        <v>0</v>
      </c>
      <c r="N166" s="243">
        <f>N170</f>
        <v>-90.200000000000045</v>
      </c>
      <c r="O166" s="294">
        <f>ROUND(N166*I166,2)</f>
        <v>-14133.4</v>
      </c>
      <c r="P166" s="273">
        <f>H166-L166-N166</f>
        <v>750.6400000000001</v>
      </c>
      <c r="Q166" s="287">
        <f>ROUND(P166*I166,2)</f>
        <v>117617.48</v>
      </c>
      <c r="R166" s="137"/>
      <c r="S166" s="269">
        <f>W166+Y166+AA166+AC166</f>
        <v>0</v>
      </c>
      <c r="T166" s="269">
        <f>ROUND(S166*I166,2)</f>
        <v>0</v>
      </c>
      <c r="U166" s="269">
        <f>H166-S166</f>
        <v>660.44</v>
      </c>
      <c r="V166" s="269">
        <f>ROUND(U166*I166,2)</f>
        <v>103484.07</v>
      </c>
      <c r="W166" s="269"/>
      <c r="X166" s="269"/>
      <c r="Y166" s="269"/>
      <c r="Z166" s="269"/>
      <c r="AA166" s="269"/>
      <c r="AB166" s="269"/>
      <c r="AC166" s="269"/>
      <c r="AD166" s="269"/>
      <c r="BH166" s="132" t="s">
        <v>1</v>
      </c>
      <c r="BI166" s="133" t="s">
        <v>40</v>
      </c>
      <c r="BK166" s="134">
        <f>BJ166*H166</f>
        <v>0</v>
      </c>
      <c r="BL166" s="134">
        <v>5.9000000000000003E-4</v>
      </c>
      <c r="BM166" s="134">
        <f>BL166*H166</f>
        <v>0.38965960000000005</v>
      </c>
      <c r="BN166" s="134">
        <v>0</v>
      </c>
      <c r="BO166" s="135">
        <f>BN166*H166</f>
        <v>0</v>
      </c>
      <c r="CM166" s="136" t="s">
        <v>95</v>
      </c>
      <c r="CO166" s="136" t="s">
        <v>284</v>
      </c>
      <c r="CP166" s="136" t="s">
        <v>83</v>
      </c>
      <c r="CT166" s="16" t="s">
        <v>282</v>
      </c>
      <c r="CZ166" s="137">
        <f>IF(BI166="základní",J166,0)</f>
        <v>103484.07</v>
      </c>
      <c r="DA166" s="137">
        <f>IF(BI166="snížená",J166,0)</f>
        <v>0</v>
      </c>
      <c r="DB166" s="137">
        <f>IF(BI166="zákl. přenesená",J166,0)</f>
        <v>0</v>
      </c>
      <c r="DC166" s="137">
        <f>IF(BI166="sníž. přenesená",J166,0)</f>
        <v>0</v>
      </c>
      <c r="DD166" s="137">
        <f>IF(BI166="nulová",J166,0)</f>
        <v>0</v>
      </c>
      <c r="DE166" s="16" t="s">
        <v>81</v>
      </c>
      <c r="DF166" s="137">
        <f>ROUND(I166*H166,2)</f>
        <v>103484.07</v>
      </c>
      <c r="DG166" s="16" t="s">
        <v>95</v>
      </c>
      <c r="DH166" s="136" t="s">
        <v>389</v>
      </c>
    </row>
    <row r="167" spans="2:112" s="1" customFormat="1" ht="19.5" x14ac:dyDescent="0.2">
      <c r="B167" s="31"/>
      <c r="D167" s="138" t="s">
        <v>289</v>
      </c>
      <c r="F167" s="139" t="s">
        <v>390</v>
      </c>
      <c r="I167" s="140"/>
      <c r="L167" s="31"/>
      <c r="N167" s="213"/>
      <c r="O167" s="214"/>
      <c r="Q167" s="229"/>
      <c r="BH167" s="141"/>
      <c r="BO167" s="50"/>
      <c r="CO167" s="16" t="s">
        <v>289</v>
      </c>
      <c r="CP167" s="16" t="s">
        <v>83</v>
      </c>
    </row>
    <row r="168" spans="2:112" s="1" customFormat="1" ht="29.25" x14ac:dyDescent="0.2">
      <c r="B168" s="31"/>
      <c r="D168" s="138" t="s">
        <v>299</v>
      </c>
      <c r="F168" s="142" t="s">
        <v>1659</v>
      </c>
      <c r="I168" s="140"/>
      <c r="L168" s="31"/>
      <c r="N168" s="213"/>
      <c r="O168" s="214"/>
      <c r="Q168" s="229"/>
      <c r="BH168" s="141"/>
      <c r="BO168" s="50"/>
      <c r="CO168" s="16" t="s">
        <v>299</v>
      </c>
      <c r="CP168" s="16" t="s">
        <v>83</v>
      </c>
    </row>
    <row r="169" spans="2:112" s="12" customFormat="1" x14ac:dyDescent="0.2">
      <c r="B169" s="149"/>
      <c r="D169" s="138" t="s">
        <v>301</v>
      </c>
      <c r="E169" s="150" t="s">
        <v>1</v>
      </c>
      <c r="F169" s="151" t="s">
        <v>1670</v>
      </c>
      <c r="H169" s="152">
        <v>660.44</v>
      </c>
      <c r="I169" s="153"/>
      <c r="L169" s="149"/>
      <c r="N169" s="217">
        <f>129.6*2.2*2</f>
        <v>570.24</v>
      </c>
      <c r="O169" s="218" t="s">
        <v>3771</v>
      </c>
      <c r="Q169" s="231"/>
      <c r="BH169" s="154"/>
      <c r="BO169" s="155"/>
      <c r="CO169" s="150" t="s">
        <v>301</v>
      </c>
      <c r="CP169" s="150" t="s">
        <v>83</v>
      </c>
      <c r="CQ169" s="12" t="s">
        <v>83</v>
      </c>
      <c r="CR169" s="12" t="s">
        <v>32</v>
      </c>
      <c r="CS169" s="12" t="s">
        <v>81</v>
      </c>
      <c r="CT169" s="150" t="s">
        <v>282</v>
      </c>
    </row>
    <row r="170" spans="2:112" s="12" customFormat="1" x14ac:dyDescent="0.2">
      <c r="B170" s="149"/>
      <c r="D170" s="138"/>
      <c r="E170" s="150"/>
      <c r="F170" s="151"/>
      <c r="H170" s="152"/>
      <c r="I170" s="153"/>
      <c r="L170" s="149"/>
      <c r="N170" s="310">
        <f>N169-H169</f>
        <v>-90.200000000000045</v>
      </c>
      <c r="O170" s="218"/>
      <c r="Q170" s="231"/>
      <c r="BH170" s="154"/>
      <c r="BO170" s="155"/>
      <c r="CO170" s="150"/>
      <c r="CP170" s="150"/>
      <c r="CT170" s="150"/>
    </row>
    <row r="171" spans="2:112" s="1" customFormat="1" ht="14.45" customHeight="1" x14ac:dyDescent="0.2">
      <c r="B171" s="124"/>
      <c r="C171" s="125" t="s">
        <v>335</v>
      </c>
      <c r="D171" s="125" t="s">
        <v>284</v>
      </c>
      <c r="E171" s="126" t="s">
        <v>393</v>
      </c>
      <c r="F171" s="127" t="s">
        <v>394</v>
      </c>
      <c r="G171" s="128" t="s">
        <v>287</v>
      </c>
      <c r="H171" s="129">
        <v>660.44</v>
      </c>
      <c r="I171" s="130">
        <v>103.33666316345877</v>
      </c>
      <c r="J171" s="131">
        <f>ROUND(I171*H171,2)</f>
        <v>68247.67</v>
      </c>
      <c r="K171" s="127" t="s">
        <v>293</v>
      </c>
      <c r="L171" s="268">
        <f>S171</f>
        <v>0</v>
      </c>
      <c r="M171" s="272">
        <f>ROUND(L171*I171,2)</f>
        <v>0</v>
      </c>
      <c r="N171" s="243">
        <f>N166</f>
        <v>-90.200000000000045</v>
      </c>
      <c r="O171" s="294">
        <f>ROUND(N171*I171,2)</f>
        <v>-9320.9699999999993</v>
      </c>
      <c r="P171" s="273">
        <f>H171-L171-N171</f>
        <v>750.6400000000001</v>
      </c>
      <c r="Q171" s="287">
        <f>ROUND(P171*I171,2)</f>
        <v>77568.63</v>
      </c>
      <c r="R171" s="137"/>
      <c r="S171" s="269">
        <f>W171+Y171+AA171+AC171</f>
        <v>0</v>
      </c>
      <c r="T171" s="269">
        <f>ROUND(S171*I171,2)</f>
        <v>0</v>
      </c>
      <c r="U171" s="269">
        <f>H171-S171</f>
        <v>660.44</v>
      </c>
      <c r="V171" s="269">
        <f>ROUND(U171*I171,2)</f>
        <v>68247.67</v>
      </c>
      <c r="W171" s="269"/>
      <c r="X171" s="269"/>
      <c r="Y171" s="269"/>
      <c r="Z171" s="269"/>
      <c r="AA171" s="269"/>
      <c r="AB171" s="269"/>
      <c r="AC171" s="269"/>
      <c r="AD171" s="269"/>
      <c r="BH171" s="132" t="s">
        <v>1</v>
      </c>
      <c r="BI171" s="133" t="s">
        <v>40</v>
      </c>
      <c r="BK171" s="134">
        <f>BJ171*H171</f>
        <v>0</v>
      </c>
      <c r="BL171" s="134">
        <v>0</v>
      </c>
      <c r="BM171" s="134">
        <f>BL171*H171</f>
        <v>0</v>
      </c>
      <c r="BN171" s="134">
        <v>0</v>
      </c>
      <c r="BO171" s="135">
        <f>BN171*H171</f>
        <v>0</v>
      </c>
      <c r="CM171" s="136" t="s">
        <v>95</v>
      </c>
      <c r="CO171" s="136" t="s">
        <v>284</v>
      </c>
      <c r="CP171" s="136" t="s">
        <v>83</v>
      </c>
      <c r="CT171" s="16" t="s">
        <v>282</v>
      </c>
      <c r="CZ171" s="137">
        <f>IF(BI171="základní",J171,0)</f>
        <v>68247.67</v>
      </c>
      <c r="DA171" s="137">
        <f>IF(BI171="snížená",J171,0)</f>
        <v>0</v>
      </c>
      <c r="DB171" s="137">
        <f>IF(BI171="zákl. přenesená",J171,0)</f>
        <v>0</v>
      </c>
      <c r="DC171" s="137">
        <f>IF(BI171="sníž. přenesená",J171,0)</f>
        <v>0</v>
      </c>
      <c r="DD171" s="137">
        <f>IF(BI171="nulová",J171,0)</f>
        <v>0</v>
      </c>
      <c r="DE171" s="16" t="s">
        <v>81</v>
      </c>
      <c r="DF171" s="137">
        <f>ROUND(I171*H171,2)</f>
        <v>68247.67</v>
      </c>
      <c r="DG171" s="16" t="s">
        <v>95</v>
      </c>
      <c r="DH171" s="136" t="s">
        <v>395</v>
      </c>
    </row>
    <row r="172" spans="2:112" s="1" customFormat="1" ht="19.5" x14ac:dyDescent="0.2">
      <c r="B172" s="31"/>
      <c r="D172" s="138" t="s">
        <v>289</v>
      </c>
      <c r="F172" s="139" t="s">
        <v>396</v>
      </c>
      <c r="I172" s="140"/>
      <c r="L172" s="31"/>
      <c r="N172" s="213"/>
      <c r="O172" s="214"/>
      <c r="Q172" s="229"/>
      <c r="BH172" s="141"/>
      <c r="BO172" s="50"/>
      <c r="CO172" s="16" t="s">
        <v>289</v>
      </c>
      <c r="CP172" s="16" t="s">
        <v>83</v>
      </c>
    </row>
    <row r="173" spans="2:112" s="1" customFormat="1" ht="37.9" customHeight="1" x14ac:dyDescent="0.2">
      <c r="B173" s="124"/>
      <c r="C173" s="125" t="s">
        <v>341</v>
      </c>
      <c r="D173" s="125" t="s">
        <v>284</v>
      </c>
      <c r="E173" s="126" t="s">
        <v>398</v>
      </c>
      <c r="F173" s="127" t="s">
        <v>399</v>
      </c>
      <c r="G173" s="128" t="s">
        <v>366</v>
      </c>
      <c r="H173" s="129">
        <v>307.68299999999999</v>
      </c>
      <c r="I173" s="130">
        <v>262.06861194786097</v>
      </c>
      <c r="J173" s="131">
        <f>ROUND(I173*H173,2)</f>
        <v>80634.06</v>
      </c>
      <c r="K173" s="127" t="s">
        <v>293</v>
      </c>
      <c r="L173" s="268">
        <f>S173</f>
        <v>0</v>
      </c>
      <c r="M173" s="272">
        <f>ROUND(L173*I173,2)</f>
        <v>0</v>
      </c>
      <c r="N173" s="243">
        <f>N180</f>
        <v>-30.158999999999992</v>
      </c>
      <c r="O173" s="294">
        <f>ROUND(N173*I173,2)</f>
        <v>-7903.73</v>
      </c>
      <c r="P173" s="273">
        <f>H173-L173-N173</f>
        <v>337.84199999999998</v>
      </c>
      <c r="Q173" s="287">
        <f>ROUND(P173*I173,2)</f>
        <v>88537.78</v>
      </c>
      <c r="R173" s="137"/>
      <c r="S173" s="269">
        <f>W173+Y173+AA173+AC173</f>
        <v>0</v>
      </c>
      <c r="T173" s="269">
        <f>ROUND(S173*I173,2)</f>
        <v>0</v>
      </c>
      <c r="U173" s="269">
        <f>H173-S173</f>
        <v>307.68299999999999</v>
      </c>
      <c r="V173" s="269">
        <f>ROUND(U173*I173,2)</f>
        <v>80634.06</v>
      </c>
      <c r="W173" s="269"/>
      <c r="X173" s="269"/>
      <c r="Y173" s="269"/>
      <c r="Z173" s="269"/>
      <c r="AA173" s="269"/>
      <c r="AB173" s="269"/>
      <c r="AC173" s="269"/>
      <c r="AD173" s="269"/>
      <c r="BH173" s="132" t="s">
        <v>1</v>
      </c>
      <c r="BI173" s="133" t="s">
        <v>40</v>
      </c>
      <c r="BK173" s="134">
        <f>BJ173*H173</f>
        <v>0</v>
      </c>
      <c r="BL173" s="134">
        <v>0</v>
      </c>
      <c r="BM173" s="134">
        <f>BL173*H173</f>
        <v>0</v>
      </c>
      <c r="BN173" s="134">
        <v>0</v>
      </c>
      <c r="BO173" s="135">
        <f>BN173*H173</f>
        <v>0</v>
      </c>
      <c r="CM173" s="136" t="s">
        <v>95</v>
      </c>
      <c r="CO173" s="136" t="s">
        <v>284</v>
      </c>
      <c r="CP173" s="136" t="s">
        <v>83</v>
      </c>
      <c r="CT173" s="16" t="s">
        <v>282</v>
      </c>
      <c r="CZ173" s="137">
        <f>IF(BI173="základní",J173,0)</f>
        <v>80634.06</v>
      </c>
      <c r="DA173" s="137">
        <f>IF(BI173="snížená",J173,0)</f>
        <v>0</v>
      </c>
      <c r="DB173" s="137">
        <f>IF(BI173="zákl. přenesená",J173,0)</f>
        <v>0</v>
      </c>
      <c r="DC173" s="137">
        <f>IF(BI173="sníž. přenesená",J173,0)</f>
        <v>0</v>
      </c>
      <c r="DD173" s="137">
        <f>IF(BI173="nulová",J173,0)</f>
        <v>0</v>
      </c>
      <c r="DE173" s="16" t="s">
        <v>81</v>
      </c>
      <c r="DF173" s="137">
        <f>ROUND(I173*H173,2)</f>
        <v>80634.06</v>
      </c>
      <c r="DG173" s="16" t="s">
        <v>95</v>
      </c>
      <c r="DH173" s="136" t="s">
        <v>400</v>
      </c>
    </row>
    <row r="174" spans="2:112" s="1" customFormat="1" ht="39" x14ac:dyDescent="0.2">
      <c r="B174" s="31"/>
      <c r="D174" s="138" t="s">
        <v>289</v>
      </c>
      <c r="F174" s="139" t="s">
        <v>401</v>
      </c>
      <c r="I174" s="140"/>
      <c r="L174" s="31"/>
      <c r="N174" s="213"/>
      <c r="O174" s="214"/>
      <c r="Q174" s="229"/>
      <c r="BH174" s="141"/>
      <c r="BO174" s="50"/>
      <c r="CO174" s="16" t="s">
        <v>289</v>
      </c>
      <c r="CP174" s="16" t="s">
        <v>83</v>
      </c>
    </row>
    <row r="175" spans="2:112" s="11" customFormat="1" x14ac:dyDescent="0.2">
      <c r="B175" s="143"/>
      <c r="D175" s="138" t="s">
        <v>301</v>
      </c>
      <c r="E175" s="144" t="s">
        <v>1</v>
      </c>
      <c r="F175" s="145" t="s">
        <v>402</v>
      </c>
      <c r="H175" s="144" t="s">
        <v>1</v>
      </c>
      <c r="I175" s="146"/>
      <c r="L175" s="143"/>
      <c r="N175" s="215"/>
      <c r="O175" s="216"/>
      <c r="Q175" s="230"/>
      <c r="BH175" s="147"/>
      <c r="BO175" s="148"/>
      <c r="CO175" s="144" t="s">
        <v>301</v>
      </c>
      <c r="CP175" s="144" t="s">
        <v>83</v>
      </c>
      <c r="CQ175" s="11" t="s">
        <v>81</v>
      </c>
      <c r="CR175" s="11" t="s">
        <v>32</v>
      </c>
      <c r="CS175" s="11" t="s">
        <v>74</v>
      </c>
      <c r="CT175" s="144" t="s">
        <v>282</v>
      </c>
    </row>
    <row r="176" spans="2:112" s="12" customFormat="1" x14ac:dyDescent="0.2">
      <c r="B176" s="149"/>
      <c r="D176" s="138" t="s">
        <v>301</v>
      </c>
      <c r="E176" s="150" t="s">
        <v>1</v>
      </c>
      <c r="F176" s="151" t="s">
        <v>1671</v>
      </c>
      <c r="H176" s="152">
        <v>303.18</v>
      </c>
      <c r="I176" s="153"/>
      <c r="L176" s="149"/>
      <c r="N176" s="217">
        <f>136.818+136.818</f>
        <v>273.63600000000002</v>
      </c>
      <c r="O176" s="218" t="s">
        <v>3772</v>
      </c>
      <c r="Q176" s="231"/>
      <c r="BH176" s="154"/>
      <c r="BO176" s="155"/>
      <c r="CO176" s="150" t="s">
        <v>301</v>
      </c>
      <c r="CP176" s="150" t="s">
        <v>83</v>
      </c>
      <c r="CQ176" s="12" t="s">
        <v>83</v>
      </c>
      <c r="CR176" s="12" t="s">
        <v>32</v>
      </c>
      <c r="CS176" s="12" t="s">
        <v>74</v>
      </c>
      <c r="CT176" s="150" t="s">
        <v>282</v>
      </c>
    </row>
    <row r="177" spans="2:112" s="11" customFormat="1" x14ac:dyDescent="0.2">
      <c r="B177" s="143"/>
      <c r="D177" s="138" t="s">
        <v>301</v>
      </c>
      <c r="E177" s="144" t="s">
        <v>1</v>
      </c>
      <c r="F177" s="145" t="s">
        <v>976</v>
      </c>
      <c r="H177" s="144" t="s">
        <v>1</v>
      </c>
      <c r="I177" s="146"/>
      <c r="L177" s="143"/>
      <c r="N177" s="215"/>
      <c r="O177" s="216"/>
      <c r="Q177" s="230"/>
      <c r="BH177" s="147"/>
      <c r="BO177" s="148"/>
      <c r="CO177" s="144" t="s">
        <v>301</v>
      </c>
      <c r="CP177" s="144" t="s">
        <v>83</v>
      </c>
      <c r="CQ177" s="11" t="s">
        <v>81</v>
      </c>
      <c r="CR177" s="11" t="s">
        <v>32</v>
      </c>
      <c r="CS177" s="11" t="s">
        <v>74</v>
      </c>
      <c r="CT177" s="144" t="s">
        <v>282</v>
      </c>
    </row>
    <row r="178" spans="2:112" s="12" customFormat="1" x14ac:dyDescent="0.2">
      <c r="B178" s="149"/>
      <c r="D178" s="138" t="s">
        <v>301</v>
      </c>
      <c r="E178" s="150" t="s">
        <v>1</v>
      </c>
      <c r="F178" s="151" t="s">
        <v>1672</v>
      </c>
      <c r="H178" s="152">
        <v>4.5030000000000001</v>
      </c>
      <c r="I178" s="153"/>
      <c r="L178" s="149"/>
      <c r="N178" s="217">
        <f>38.88*0.1</f>
        <v>3.8880000000000003</v>
      </c>
      <c r="O178" s="218" t="s">
        <v>3773</v>
      </c>
      <c r="Q178" s="231"/>
      <c r="BH178" s="154"/>
      <c r="BO178" s="155"/>
      <c r="CO178" s="150" t="s">
        <v>301</v>
      </c>
      <c r="CP178" s="150" t="s">
        <v>83</v>
      </c>
      <c r="CQ178" s="12" t="s">
        <v>83</v>
      </c>
      <c r="CR178" s="12" t="s">
        <v>32</v>
      </c>
      <c r="CS178" s="12" t="s">
        <v>74</v>
      </c>
      <c r="CT178" s="150" t="s">
        <v>282</v>
      </c>
    </row>
    <row r="179" spans="2:112" s="13" customFormat="1" x14ac:dyDescent="0.2">
      <c r="B179" s="156"/>
      <c r="D179" s="138" t="s">
        <v>301</v>
      </c>
      <c r="E179" s="157" t="s">
        <v>1</v>
      </c>
      <c r="F179" s="158" t="s">
        <v>305</v>
      </c>
      <c r="H179" s="159">
        <v>307.68299999999999</v>
      </c>
      <c r="I179" s="160"/>
      <c r="L179" s="156"/>
      <c r="N179" s="219">
        <f>N176+N178</f>
        <v>277.524</v>
      </c>
      <c r="O179" s="220"/>
      <c r="Q179" s="232"/>
      <c r="BH179" s="161"/>
      <c r="BO179" s="162"/>
      <c r="CO179" s="157" t="s">
        <v>301</v>
      </c>
      <c r="CP179" s="157" t="s">
        <v>83</v>
      </c>
      <c r="CQ179" s="13" t="s">
        <v>95</v>
      </c>
      <c r="CR179" s="13" t="s">
        <v>32</v>
      </c>
      <c r="CS179" s="13" t="s">
        <v>81</v>
      </c>
      <c r="CT179" s="157" t="s">
        <v>282</v>
      </c>
    </row>
    <row r="180" spans="2:112" s="13" customFormat="1" x14ac:dyDescent="0.2">
      <c r="B180" s="156"/>
      <c r="D180" s="138"/>
      <c r="E180" s="157"/>
      <c r="F180" s="158"/>
      <c r="H180" s="159"/>
      <c r="I180" s="160"/>
      <c r="L180" s="156"/>
      <c r="N180" s="311">
        <f>N179-H179</f>
        <v>-30.158999999999992</v>
      </c>
      <c r="O180" s="220"/>
      <c r="Q180" s="232"/>
      <c r="BH180" s="161"/>
      <c r="BO180" s="162"/>
      <c r="CO180" s="157"/>
      <c r="CP180" s="157"/>
      <c r="CT180" s="157"/>
    </row>
    <row r="181" spans="2:112" s="1" customFormat="1" ht="37.9" customHeight="1" x14ac:dyDescent="0.2">
      <c r="B181" s="124"/>
      <c r="C181" s="125" t="s">
        <v>348</v>
      </c>
      <c r="D181" s="125" t="s">
        <v>284</v>
      </c>
      <c r="E181" s="126" t="s">
        <v>978</v>
      </c>
      <c r="F181" s="127" t="s">
        <v>979</v>
      </c>
      <c r="G181" s="128" t="s">
        <v>366</v>
      </c>
      <c r="H181" s="129">
        <v>27.768999999999998</v>
      </c>
      <c r="I181" s="130">
        <v>282.06861194786097</v>
      </c>
      <c r="J181" s="131">
        <f>ROUND(I181*H181,2)</f>
        <v>7832.76</v>
      </c>
      <c r="K181" s="127" t="s">
        <v>1</v>
      </c>
      <c r="L181" s="268">
        <f>S181</f>
        <v>0</v>
      </c>
      <c r="M181" s="272">
        <f>ROUND(L181*I181,2)</f>
        <v>0</v>
      </c>
      <c r="N181" s="243"/>
      <c r="O181" s="294">
        <f>ROUND(N181*I181,2)</f>
        <v>0</v>
      </c>
      <c r="P181" s="273">
        <f>H181-L181-N181</f>
        <v>27.768999999999998</v>
      </c>
      <c r="Q181" s="287">
        <f>ROUND(P181*I181,2)</f>
        <v>7832.76</v>
      </c>
      <c r="R181" s="137"/>
      <c r="S181" s="269">
        <f>W181+Y181+AA181+AC181</f>
        <v>0</v>
      </c>
      <c r="T181" s="269">
        <f>ROUND(S181*I181,2)</f>
        <v>0</v>
      </c>
      <c r="U181" s="269">
        <f>H181-S181</f>
        <v>27.768999999999998</v>
      </c>
      <c r="V181" s="269">
        <f>ROUND(U181*I181,2)</f>
        <v>7832.76</v>
      </c>
      <c r="W181" s="269"/>
      <c r="X181" s="269"/>
      <c r="Y181" s="269"/>
      <c r="Z181" s="269"/>
      <c r="AA181" s="269"/>
      <c r="AB181" s="269"/>
      <c r="AC181" s="269"/>
      <c r="AD181" s="269"/>
      <c r="BH181" s="132" t="s">
        <v>1</v>
      </c>
      <c r="BI181" s="133" t="s">
        <v>40</v>
      </c>
      <c r="BK181" s="134">
        <f>BJ181*H181</f>
        <v>0</v>
      </c>
      <c r="BL181" s="134">
        <v>0</v>
      </c>
      <c r="BM181" s="134">
        <f>BL181*H181</f>
        <v>0</v>
      </c>
      <c r="BN181" s="134">
        <v>0</v>
      </c>
      <c r="BO181" s="135">
        <f>BN181*H181</f>
        <v>0</v>
      </c>
      <c r="CM181" s="136" t="s">
        <v>95</v>
      </c>
      <c r="CO181" s="136" t="s">
        <v>284</v>
      </c>
      <c r="CP181" s="136" t="s">
        <v>83</v>
      </c>
      <c r="CT181" s="16" t="s">
        <v>282</v>
      </c>
      <c r="CZ181" s="137">
        <f>IF(BI181="základní",J181,0)</f>
        <v>7832.76</v>
      </c>
      <c r="DA181" s="137">
        <f>IF(BI181="snížená",J181,0)</f>
        <v>0</v>
      </c>
      <c r="DB181" s="137">
        <f>IF(BI181="zákl. přenesená",J181,0)</f>
        <v>0</v>
      </c>
      <c r="DC181" s="137">
        <f>IF(BI181="sníž. přenesená",J181,0)</f>
        <v>0</v>
      </c>
      <c r="DD181" s="137">
        <f>IF(BI181="nulová",J181,0)</f>
        <v>0</v>
      </c>
      <c r="DE181" s="16" t="s">
        <v>81</v>
      </c>
      <c r="DF181" s="137">
        <f>ROUND(I181*H181,2)</f>
        <v>7832.76</v>
      </c>
      <c r="DG181" s="16" t="s">
        <v>95</v>
      </c>
      <c r="DH181" s="136" t="s">
        <v>980</v>
      </c>
    </row>
    <row r="182" spans="2:112" s="1" customFormat="1" ht="39" x14ac:dyDescent="0.2">
      <c r="B182" s="31"/>
      <c r="D182" s="138" t="s">
        <v>289</v>
      </c>
      <c r="F182" s="139" t="s">
        <v>401</v>
      </c>
      <c r="I182" s="140"/>
      <c r="L182" s="31"/>
      <c r="N182" s="213"/>
      <c r="O182" s="214"/>
      <c r="Q182" s="229"/>
      <c r="BH182" s="141"/>
      <c r="BO182" s="50"/>
      <c r="CO182" s="16" t="s">
        <v>289</v>
      </c>
      <c r="CP182" s="16" t="s">
        <v>83</v>
      </c>
    </row>
    <row r="183" spans="2:112" s="1" customFormat="1" ht="37.9" customHeight="1" x14ac:dyDescent="0.2">
      <c r="B183" s="124"/>
      <c r="C183" s="125" t="s">
        <v>327</v>
      </c>
      <c r="D183" s="125" t="s">
        <v>284</v>
      </c>
      <c r="E183" s="126" t="s">
        <v>405</v>
      </c>
      <c r="F183" s="127" t="s">
        <v>406</v>
      </c>
      <c r="G183" s="128" t="s">
        <v>366</v>
      </c>
      <c r="H183" s="129">
        <v>1538.415</v>
      </c>
      <c r="I183" s="130">
        <v>3.4208109177592001</v>
      </c>
      <c r="J183" s="131">
        <f>ROUND(I183*H183,2)</f>
        <v>5262.63</v>
      </c>
      <c r="K183" s="127" t="s">
        <v>293</v>
      </c>
      <c r="L183" s="268">
        <f>S183</f>
        <v>0</v>
      </c>
      <c r="M183" s="272">
        <f>ROUND(L183*I183,2)</f>
        <v>0</v>
      </c>
      <c r="N183" s="243">
        <f>N186</f>
        <v>-150.79500000000007</v>
      </c>
      <c r="O183" s="294">
        <f>ROUND(N183*I183,2)</f>
        <v>-515.84</v>
      </c>
      <c r="P183" s="273">
        <f>H183-L183-N183</f>
        <v>1689.21</v>
      </c>
      <c r="Q183" s="287">
        <f>ROUND(P183*I183,2)</f>
        <v>5778.47</v>
      </c>
      <c r="R183" s="137"/>
      <c r="S183" s="269">
        <f>W183+Y183+AA183+AC183</f>
        <v>0</v>
      </c>
      <c r="T183" s="269">
        <f>ROUND(S183*I183,2)</f>
        <v>0</v>
      </c>
      <c r="U183" s="269">
        <f>H183-S183</f>
        <v>1538.415</v>
      </c>
      <c r="V183" s="269">
        <f>ROUND(U183*I183,2)</f>
        <v>5262.63</v>
      </c>
      <c r="W183" s="269"/>
      <c r="X183" s="269"/>
      <c r="Y183" s="269"/>
      <c r="Z183" s="269"/>
      <c r="AA183" s="269"/>
      <c r="AB183" s="269"/>
      <c r="AC183" s="269"/>
      <c r="AD183" s="269"/>
      <c r="BH183" s="132" t="s">
        <v>1</v>
      </c>
      <c r="BI183" s="133" t="s">
        <v>40</v>
      </c>
      <c r="BK183" s="134">
        <f>BJ183*H183</f>
        <v>0</v>
      </c>
      <c r="BL183" s="134">
        <v>0</v>
      </c>
      <c r="BM183" s="134">
        <f>BL183*H183</f>
        <v>0</v>
      </c>
      <c r="BN183" s="134">
        <v>0</v>
      </c>
      <c r="BO183" s="135">
        <f>BN183*H183</f>
        <v>0</v>
      </c>
      <c r="CM183" s="136" t="s">
        <v>95</v>
      </c>
      <c r="CO183" s="136" t="s">
        <v>284</v>
      </c>
      <c r="CP183" s="136" t="s">
        <v>83</v>
      </c>
      <c r="CT183" s="16" t="s">
        <v>282</v>
      </c>
      <c r="CZ183" s="137">
        <f>IF(BI183="základní",J183,0)</f>
        <v>5262.63</v>
      </c>
      <c r="DA183" s="137">
        <f>IF(BI183="snížená",J183,0)</f>
        <v>0</v>
      </c>
      <c r="DB183" s="137">
        <f>IF(BI183="zákl. přenesená",J183,0)</f>
        <v>0</v>
      </c>
      <c r="DC183" s="137">
        <f>IF(BI183="sníž. přenesená",J183,0)</f>
        <v>0</v>
      </c>
      <c r="DD183" s="137">
        <f>IF(BI183="nulová",J183,0)</f>
        <v>0</v>
      </c>
      <c r="DE183" s="16" t="s">
        <v>81</v>
      </c>
      <c r="DF183" s="137">
        <f>ROUND(I183*H183,2)</f>
        <v>5262.63</v>
      </c>
      <c r="DG183" s="16" t="s">
        <v>95</v>
      </c>
      <c r="DH183" s="136" t="s">
        <v>407</v>
      </c>
    </row>
    <row r="184" spans="2:112" s="1" customFormat="1" ht="48.75" x14ac:dyDescent="0.2">
      <c r="B184" s="31"/>
      <c r="D184" s="138" t="s">
        <v>289</v>
      </c>
      <c r="F184" s="139" t="s">
        <v>408</v>
      </c>
      <c r="I184" s="140"/>
      <c r="L184" s="31"/>
      <c r="N184" s="213"/>
      <c r="O184" s="214"/>
      <c r="Q184" s="229"/>
      <c r="BH184" s="141"/>
      <c r="BO184" s="50"/>
      <c r="CO184" s="16" t="s">
        <v>289</v>
      </c>
      <c r="CP184" s="16" t="s">
        <v>83</v>
      </c>
    </row>
    <row r="185" spans="2:112" s="12" customFormat="1" x14ac:dyDescent="0.2">
      <c r="B185" s="149"/>
      <c r="D185" s="138" t="s">
        <v>301</v>
      </c>
      <c r="F185" s="151" t="s">
        <v>1673</v>
      </c>
      <c r="H185" s="152">
        <v>1538.415</v>
      </c>
      <c r="I185" s="153"/>
      <c r="L185" s="149"/>
      <c r="N185" s="217">
        <f>277.524*5</f>
        <v>1387.62</v>
      </c>
      <c r="O185" s="218" t="s">
        <v>3774</v>
      </c>
      <c r="Q185" s="231"/>
      <c r="BH185" s="154"/>
      <c r="BO185" s="155"/>
      <c r="CO185" s="150" t="s">
        <v>301</v>
      </c>
      <c r="CP185" s="150" t="s">
        <v>83</v>
      </c>
      <c r="CQ185" s="12" t="s">
        <v>83</v>
      </c>
      <c r="CR185" s="12" t="s">
        <v>3</v>
      </c>
      <c r="CS185" s="12" t="s">
        <v>81</v>
      </c>
      <c r="CT185" s="150" t="s">
        <v>282</v>
      </c>
    </row>
    <row r="186" spans="2:112" s="12" customFormat="1" x14ac:dyDescent="0.2">
      <c r="B186" s="149"/>
      <c r="D186" s="138"/>
      <c r="F186" s="151"/>
      <c r="H186" s="152"/>
      <c r="I186" s="153"/>
      <c r="L186" s="149"/>
      <c r="N186" s="310">
        <f>N185-H185</f>
        <v>-150.79500000000007</v>
      </c>
      <c r="O186" s="218"/>
      <c r="Q186" s="231"/>
      <c r="BH186" s="154"/>
      <c r="BO186" s="155"/>
      <c r="CO186" s="150"/>
      <c r="CP186" s="150"/>
      <c r="CT186" s="150"/>
    </row>
    <row r="187" spans="2:112" s="1" customFormat="1" ht="37.9" customHeight="1" x14ac:dyDescent="0.2">
      <c r="B187" s="124"/>
      <c r="C187" s="125" t="s">
        <v>359</v>
      </c>
      <c r="D187" s="125" t="s">
        <v>284</v>
      </c>
      <c r="E187" s="126" t="s">
        <v>982</v>
      </c>
      <c r="F187" s="127" t="s">
        <v>983</v>
      </c>
      <c r="G187" s="128" t="s">
        <v>366</v>
      </c>
      <c r="H187" s="129">
        <v>138.845</v>
      </c>
      <c r="I187" s="130">
        <v>3.4208109177592001</v>
      </c>
      <c r="J187" s="131">
        <f>ROUND(I187*H187,2)</f>
        <v>474.96</v>
      </c>
      <c r="K187" s="127" t="s">
        <v>1</v>
      </c>
      <c r="L187" s="268">
        <f>S187</f>
        <v>0</v>
      </c>
      <c r="M187" s="272">
        <f>ROUND(L187*I187,2)</f>
        <v>0</v>
      </c>
      <c r="N187" s="243"/>
      <c r="O187" s="294">
        <f>ROUND(N187*I187,2)</f>
        <v>0</v>
      </c>
      <c r="P187" s="273">
        <f>H187-L187-N187</f>
        <v>138.845</v>
      </c>
      <c r="Q187" s="287">
        <f>ROUND(P187*I187,2)</f>
        <v>474.96</v>
      </c>
      <c r="R187" s="137"/>
      <c r="S187" s="269">
        <f>W187+Y187+AA187+AC187</f>
        <v>0</v>
      </c>
      <c r="T187" s="269">
        <f>ROUND(S187*I187,2)</f>
        <v>0</v>
      </c>
      <c r="U187" s="269">
        <f>H187-S187</f>
        <v>138.845</v>
      </c>
      <c r="V187" s="269">
        <f>ROUND(U187*I187,2)</f>
        <v>474.96</v>
      </c>
      <c r="W187" s="269"/>
      <c r="X187" s="269"/>
      <c r="Y187" s="269"/>
      <c r="Z187" s="269"/>
      <c r="AA187" s="269"/>
      <c r="AB187" s="269"/>
      <c r="AC187" s="269"/>
      <c r="AD187" s="269"/>
      <c r="BH187" s="132" t="s">
        <v>1</v>
      </c>
      <c r="BI187" s="133" t="s">
        <v>40</v>
      </c>
      <c r="BK187" s="134">
        <f>BJ187*H187</f>
        <v>0</v>
      </c>
      <c r="BL187" s="134">
        <v>0</v>
      </c>
      <c r="BM187" s="134">
        <f>BL187*H187</f>
        <v>0</v>
      </c>
      <c r="BN187" s="134">
        <v>0</v>
      </c>
      <c r="BO187" s="135">
        <f>BN187*H187</f>
        <v>0</v>
      </c>
      <c r="CM187" s="136" t="s">
        <v>95</v>
      </c>
      <c r="CO187" s="136" t="s">
        <v>284</v>
      </c>
      <c r="CP187" s="136" t="s">
        <v>83</v>
      </c>
      <c r="CT187" s="16" t="s">
        <v>282</v>
      </c>
      <c r="CZ187" s="137">
        <f>IF(BI187="základní",J187,0)</f>
        <v>474.96</v>
      </c>
      <c r="DA187" s="137">
        <f>IF(BI187="snížená",J187,0)</f>
        <v>0</v>
      </c>
      <c r="DB187" s="137">
        <f>IF(BI187="zákl. přenesená",J187,0)</f>
        <v>0</v>
      </c>
      <c r="DC187" s="137">
        <f>IF(BI187="sníž. přenesená",J187,0)</f>
        <v>0</v>
      </c>
      <c r="DD187" s="137">
        <f>IF(BI187="nulová",J187,0)</f>
        <v>0</v>
      </c>
      <c r="DE187" s="16" t="s">
        <v>81</v>
      </c>
      <c r="DF187" s="137">
        <f>ROUND(I187*H187,2)</f>
        <v>474.96</v>
      </c>
      <c r="DG187" s="16" t="s">
        <v>95</v>
      </c>
      <c r="DH187" s="136" t="s">
        <v>984</v>
      </c>
    </row>
    <row r="188" spans="2:112" s="1" customFormat="1" ht="48.75" x14ac:dyDescent="0.2">
      <c r="B188" s="31"/>
      <c r="D188" s="138" t="s">
        <v>289</v>
      </c>
      <c r="F188" s="139" t="s">
        <v>408</v>
      </c>
      <c r="I188" s="140"/>
      <c r="L188" s="31"/>
      <c r="N188" s="213"/>
      <c r="O188" s="214"/>
      <c r="Q188" s="229"/>
      <c r="BH188" s="141"/>
      <c r="BO188" s="50"/>
      <c r="CO188" s="16" t="s">
        <v>289</v>
      </c>
      <c r="CP188" s="16" t="s">
        <v>83</v>
      </c>
    </row>
    <row r="189" spans="2:112" s="12" customFormat="1" x14ac:dyDescent="0.2">
      <c r="B189" s="149"/>
      <c r="D189" s="138" t="s">
        <v>301</v>
      </c>
      <c r="F189" s="151" t="s">
        <v>1674</v>
      </c>
      <c r="H189" s="152">
        <v>138.845</v>
      </c>
      <c r="I189" s="153"/>
      <c r="L189" s="149"/>
      <c r="N189" s="217"/>
      <c r="O189" s="218"/>
      <c r="Q189" s="231"/>
      <c r="BH189" s="154"/>
      <c r="BO189" s="155"/>
      <c r="CO189" s="150" t="s">
        <v>301</v>
      </c>
      <c r="CP189" s="150" t="s">
        <v>83</v>
      </c>
      <c r="CQ189" s="12" t="s">
        <v>83</v>
      </c>
      <c r="CR189" s="12" t="s">
        <v>3</v>
      </c>
      <c r="CS189" s="12" t="s">
        <v>81</v>
      </c>
      <c r="CT189" s="150" t="s">
        <v>282</v>
      </c>
    </row>
    <row r="190" spans="2:112" s="1" customFormat="1" ht="24.2" customHeight="1" x14ac:dyDescent="0.2">
      <c r="B190" s="124"/>
      <c r="C190" s="125" t="s">
        <v>363</v>
      </c>
      <c r="D190" s="125" t="s">
        <v>284</v>
      </c>
      <c r="E190" s="126" t="s">
        <v>986</v>
      </c>
      <c r="F190" s="127" t="s">
        <v>987</v>
      </c>
      <c r="G190" s="128" t="s">
        <v>366</v>
      </c>
      <c r="H190" s="129">
        <v>27.768999999999998</v>
      </c>
      <c r="I190" s="130">
        <v>43.080493951075745</v>
      </c>
      <c r="J190" s="131">
        <f>ROUND(I190*H190,2)</f>
        <v>1196.3</v>
      </c>
      <c r="K190" s="127" t="s">
        <v>293</v>
      </c>
      <c r="L190" s="268">
        <f>S190</f>
        <v>0</v>
      </c>
      <c r="M190" s="272">
        <f>ROUND(L190*I190,2)</f>
        <v>0</v>
      </c>
      <c r="N190" s="243">
        <f>N199</f>
        <v>-3.7929999999999957</v>
      </c>
      <c r="O190" s="294">
        <f>ROUND(N190*I190,2)</f>
        <v>-163.4</v>
      </c>
      <c r="P190" s="273">
        <f>H190-L190-N190</f>
        <v>31.561999999999994</v>
      </c>
      <c r="Q190" s="287">
        <f>ROUND(P190*I190,2)</f>
        <v>1359.71</v>
      </c>
      <c r="R190" s="137"/>
      <c r="S190" s="269">
        <f>W190+Y190+AA190+AC190</f>
        <v>0</v>
      </c>
      <c r="T190" s="269">
        <f>ROUND(S190*I190,2)</f>
        <v>0</v>
      </c>
      <c r="U190" s="269">
        <f>H190-S190</f>
        <v>27.768999999999998</v>
      </c>
      <c r="V190" s="269">
        <f>ROUND(U190*I190,2)</f>
        <v>1196.3</v>
      </c>
      <c r="W190" s="269"/>
      <c r="X190" s="269"/>
      <c r="Y190" s="269"/>
      <c r="Z190" s="269"/>
      <c r="AA190" s="269"/>
      <c r="AB190" s="269"/>
      <c r="AC190" s="269"/>
      <c r="AD190" s="269"/>
      <c r="BH190" s="132" t="s">
        <v>1</v>
      </c>
      <c r="BI190" s="133" t="s">
        <v>40</v>
      </c>
      <c r="BK190" s="134">
        <f>BJ190*H190</f>
        <v>0</v>
      </c>
      <c r="BL190" s="134">
        <v>0</v>
      </c>
      <c r="BM190" s="134">
        <f>BL190*H190</f>
        <v>0</v>
      </c>
      <c r="BN190" s="134">
        <v>0</v>
      </c>
      <c r="BO190" s="135">
        <f>BN190*H190</f>
        <v>0</v>
      </c>
      <c r="CM190" s="136" t="s">
        <v>95</v>
      </c>
      <c r="CO190" s="136" t="s">
        <v>284</v>
      </c>
      <c r="CP190" s="136" t="s">
        <v>83</v>
      </c>
      <c r="CT190" s="16" t="s">
        <v>282</v>
      </c>
      <c r="CZ190" s="137">
        <f>IF(BI190="základní",J190,0)</f>
        <v>1196.3</v>
      </c>
      <c r="DA190" s="137">
        <f>IF(BI190="snížená",J190,0)</f>
        <v>0</v>
      </c>
      <c r="DB190" s="137">
        <f>IF(BI190="zákl. přenesená",J190,0)</f>
        <v>0</v>
      </c>
      <c r="DC190" s="137">
        <f>IF(BI190="sníž. přenesená",J190,0)</f>
        <v>0</v>
      </c>
      <c r="DD190" s="137">
        <f>IF(BI190="nulová",J190,0)</f>
        <v>0</v>
      </c>
      <c r="DE190" s="16" t="s">
        <v>81</v>
      </c>
      <c r="DF190" s="137">
        <f>ROUND(I190*H190,2)</f>
        <v>1196.3</v>
      </c>
      <c r="DG190" s="16" t="s">
        <v>95</v>
      </c>
      <c r="DH190" s="136" t="s">
        <v>988</v>
      </c>
    </row>
    <row r="191" spans="2:112" s="1" customFormat="1" ht="29.25" x14ac:dyDescent="0.2">
      <c r="B191" s="31"/>
      <c r="D191" s="138" t="s">
        <v>289</v>
      </c>
      <c r="F191" s="139" t="s">
        <v>989</v>
      </c>
      <c r="I191" s="140"/>
      <c r="L191" s="31"/>
      <c r="N191" s="213"/>
      <c r="O191" s="214"/>
      <c r="Q191" s="229"/>
      <c r="BH191" s="141"/>
      <c r="BO191" s="50"/>
      <c r="CO191" s="16" t="s">
        <v>289</v>
      </c>
      <c r="CP191" s="16" t="s">
        <v>83</v>
      </c>
    </row>
    <row r="192" spans="2:112" s="11" customFormat="1" x14ac:dyDescent="0.2">
      <c r="B192" s="143"/>
      <c r="D192" s="138" t="s">
        <v>301</v>
      </c>
      <c r="E192" s="144" t="s">
        <v>1</v>
      </c>
      <c r="F192" s="145" t="s">
        <v>976</v>
      </c>
      <c r="H192" s="144" t="s">
        <v>1</v>
      </c>
      <c r="I192" s="146"/>
      <c r="L192" s="143"/>
      <c r="N192" s="215"/>
      <c r="O192" s="216"/>
      <c r="Q192" s="230"/>
      <c r="BH192" s="147"/>
      <c r="BO192" s="148"/>
      <c r="CO192" s="144" t="s">
        <v>301</v>
      </c>
      <c r="CP192" s="144" t="s">
        <v>83</v>
      </c>
      <c r="CQ192" s="11" t="s">
        <v>81</v>
      </c>
      <c r="CR192" s="11" t="s">
        <v>32</v>
      </c>
      <c r="CS192" s="11" t="s">
        <v>74</v>
      </c>
      <c r="CT192" s="144" t="s">
        <v>282</v>
      </c>
    </row>
    <row r="193" spans="2:112" s="12" customFormat="1" x14ac:dyDescent="0.2">
      <c r="B193" s="149"/>
      <c r="D193" s="138" t="s">
        <v>301</v>
      </c>
      <c r="E193" s="150" t="s">
        <v>1</v>
      </c>
      <c r="F193" s="151" t="s">
        <v>1672</v>
      </c>
      <c r="H193" s="152">
        <v>4.5030000000000001</v>
      </c>
      <c r="I193" s="153"/>
      <c r="L193" s="149"/>
      <c r="N193" s="217">
        <f>38.88*0.1</f>
        <v>3.8880000000000003</v>
      </c>
      <c r="O193" s="218" t="s">
        <v>3773</v>
      </c>
      <c r="Q193" s="231"/>
      <c r="BH193" s="154"/>
      <c r="BO193" s="155"/>
      <c r="CO193" s="150" t="s">
        <v>301</v>
      </c>
      <c r="CP193" s="150" t="s">
        <v>83</v>
      </c>
      <c r="CQ193" s="12" t="s">
        <v>83</v>
      </c>
      <c r="CR193" s="12" t="s">
        <v>32</v>
      </c>
      <c r="CS193" s="12" t="s">
        <v>74</v>
      </c>
      <c r="CT193" s="150" t="s">
        <v>282</v>
      </c>
    </row>
    <row r="194" spans="2:112" s="14" customFormat="1" x14ac:dyDescent="0.2">
      <c r="B194" s="163"/>
      <c r="D194" s="138" t="s">
        <v>301</v>
      </c>
      <c r="E194" s="164" t="s">
        <v>1</v>
      </c>
      <c r="F194" s="165" t="s">
        <v>373</v>
      </c>
      <c r="H194" s="166">
        <v>4.5030000000000001</v>
      </c>
      <c r="I194" s="167"/>
      <c r="L194" s="163"/>
      <c r="N194" s="221">
        <f>N193</f>
        <v>3.8880000000000003</v>
      </c>
      <c r="O194" s="222"/>
      <c r="Q194" s="233"/>
      <c r="BH194" s="168"/>
      <c r="BO194" s="169"/>
      <c r="CO194" s="164" t="s">
        <v>301</v>
      </c>
      <c r="CP194" s="164" t="s">
        <v>83</v>
      </c>
      <c r="CQ194" s="14" t="s">
        <v>90</v>
      </c>
      <c r="CR194" s="14" t="s">
        <v>32</v>
      </c>
      <c r="CS194" s="14" t="s">
        <v>74</v>
      </c>
      <c r="CT194" s="164" t="s">
        <v>282</v>
      </c>
    </row>
    <row r="195" spans="2:112" s="11" customFormat="1" x14ac:dyDescent="0.2">
      <c r="B195" s="143"/>
      <c r="D195" s="138" t="s">
        <v>301</v>
      </c>
      <c r="E195" s="144" t="s">
        <v>1</v>
      </c>
      <c r="F195" s="145" t="s">
        <v>1102</v>
      </c>
      <c r="H195" s="144" t="s">
        <v>1</v>
      </c>
      <c r="I195" s="146"/>
      <c r="L195" s="143"/>
      <c r="N195" s="215"/>
      <c r="O195" s="216"/>
      <c r="Q195" s="230"/>
      <c r="BH195" s="147"/>
      <c r="BO195" s="148"/>
      <c r="CO195" s="144" t="s">
        <v>301</v>
      </c>
      <c r="CP195" s="144" t="s">
        <v>83</v>
      </c>
      <c r="CQ195" s="11" t="s">
        <v>81</v>
      </c>
      <c r="CR195" s="11" t="s">
        <v>32</v>
      </c>
      <c r="CS195" s="11" t="s">
        <v>74</v>
      </c>
      <c r="CT195" s="144" t="s">
        <v>282</v>
      </c>
    </row>
    <row r="196" spans="2:112" s="12" customFormat="1" x14ac:dyDescent="0.2">
      <c r="B196" s="149"/>
      <c r="D196" s="138" t="s">
        <v>301</v>
      </c>
      <c r="E196" s="150" t="s">
        <v>1</v>
      </c>
      <c r="F196" s="151" t="s">
        <v>1675</v>
      </c>
      <c r="H196" s="152">
        <v>23.265999999999998</v>
      </c>
      <c r="I196" s="153"/>
      <c r="L196" s="149"/>
      <c r="N196" s="217">
        <f>129.6*1*(2.2-0.1-0.45-0.1)*0.1</f>
        <v>20.088000000000001</v>
      </c>
      <c r="O196" s="218" t="s">
        <v>3775</v>
      </c>
      <c r="Q196" s="231"/>
      <c r="BH196" s="154"/>
      <c r="BO196" s="155"/>
      <c r="CO196" s="150" t="s">
        <v>301</v>
      </c>
      <c r="CP196" s="150" t="s">
        <v>83</v>
      </c>
      <c r="CQ196" s="12" t="s">
        <v>83</v>
      </c>
      <c r="CR196" s="12" t="s">
        <v>32</v>
      </c>
      <c r="CS196" s="12" t="s">
        <v>74</v>
      </c>
      <c r="CT196" s="150" t="s">
        <v>282</v>
      </c>
    </row>
    <row r="197" spans="2:112" s="14" customFormat="1" x14ac:dyDescent="0.2">
      <c r="B197" s="163"/>
      <c r="D197" s="138" t="s">
        <v>301</v>
      </c>
      <c r="E197" s="164" t="s">
        <v>1</v>
      </c>
      <c r="F197" s="165" t="s">
        <v>373</v>
      </c>
      <c r="H197" s="166">
        <v>23.265999999999998</v>
      </c>
      <c r="I197" s="167"/>
      <c r="L197" s="163"/>
      <c r="N197" s="221">
        <f>N196</f>
        <v>20.088000000000001</v>
      </c>
      <c r="O197" s="222"/>
      <c r="Q197" s="233"/>
      <c r="BH197" s="168"/>
      <c r="BO197" s="169"/>
      <c r="CO197" s="164" t="s">
        <v>301</v>
      </c>
      <c r="CP197" s="164" t="s">
        <v>83</v>
      </c>
      <c r="CQ197" s="14" t="s">
        <v>90</v>
      </c>
      <c r="CR197" s="14" t="s">
        <v>32</v>
      </c>
      <c r="CS197" s="14" t="s">
        <v>74</v>
      </c>
      <c r="CT197" s="164" t="s">
        <v>282</v>
      </c>
    </row>
    <row r="198" spans="2:112" s="13" customFormat="1" x14ac:dyDescent="0.2">
      <c r="B198" s="156"/>
      <c r="D198" s="138" t="s">
        <v>301</v>
      </c>
      <c r="E198" s="157" t="s">
        <v>1</v>
      </c>
      <c r="F198" s="158" t="s">
        <v>305</v>
      </c>
      <c r="H198" s="159">
        <v>27.768999999999998</v>
      </c>
      <c r="I198" s="160"/>
      <c r="L198" s="156"/>
      <c r="N198" s="219">
        <f>N197+N194</f>
        <v>23.976000000000003</v>
      </c>
      <c r="O198" s="220"/>
      <c r="Q198" s="232"/>
      <c r="BH198" s="161"/>
      <c r="BO198" s="162"/>
      <c r="CO198" s="157" t="s">
        <v>301</v>
      </c>
      <c r="CP198" s="157" t="s">
        <v>83</v>
      </c>
      <c r="CQ198" s="13" t="s">
        <v>95</v>
      </c>
      <c r="CR198" s="13" t="s">
        <v>32</v>
      </c>
      <c r="CS198" s="13" t="s">
        <v>81</v>
      </c>
      <c r="CT198" s="157" t="s">
        <v>282</v>
      </c>
    </row>
    <row r="199" spans="2:112" s="13" customFormat="1" x14ac:dyDescent="0.2">
      <c r="B199" s="156"/>
      <c r="D199" s="138"/>
      <c r="E199" s="157"/>
      <c r="F199" s="158"/>
      <c r="H199" s="159"/>
      <c r="I199" s="160"/>
      <c r="L199" s="156"/>
      <c r="N199" s="311">
        <f>N198-H198</f>
        <v>-3.7929999999999957</v>
      </c>
      <c r="O199" s="220"/>
      <c r="Q199" s="232"/>
      <c r="BH199" s="161"/>
      <c r="BO199" s="162"/>
      <c r="CO199" s="157"/>
      <c r="CP199" s="157"/>
      <c r="CT199" s="157"/>
    </row>
    <row r="200" spans="2:112" s="1" customFormat="1" ht="24.2" customHeight="1" x14ac:dyDescent="0.2">
      <c r="B200" s="124"/>
      <c r="C200" s="125" t="s">
        <v>8</v>
      </c>
      <c r="D200" s="125" t="s">
        <v>284</v>
      </c>
      <c r="E200" s="126" t="s">
        <v>410</v>
      </c>
      <c r="F200" s="127" t="s">
        <v>411</v>
      </c>
      <c r="G200" s="128" t="s">
        <v>287</v>
      </c>
      <c r="H200" s="129">
        <v>165.1</v>
      </c>
      <c r="I200" s="130">
        <v>6.3644601414457247</v>
      </c>
      <c r="J200" s="131">
        <f>ROUND(I200*H200,2)</f>
        <v>1050.77</v>
      </c>
      <c r="K200" s="127" t="s">
        <v>293</v>
      </c>
      <c r="L200" s="268">
        <f>S200</f>
        <v>0</v>
      </c>
      <c r="M200" s="272">
        <f>ROUND(L200*I200,2)</f>
        <v>0</v>
      </c>
      <c r="N200" s="243">
        <f>N206</f>
        <v>-17.5</v>
      </c>
      <c r="O200" s="294">
        <f>ROUND(N200*I200,2)</f>
        <v>-111.38</v>
      </c>
      <c r="P200" s="273">
        <f>H200-L200-N200</f>
        <v>182.6</v>
      </c>
      <c r="Q200" s="287">
        <f>ROUND(P200*I200,2)</f>
        <v>1162.1500000000001</v>
      </c>
      <c r="R200" s="137"/>
      <c r="S200" s="269">
        <f>W200+Y200+AA200+AC200</f>
        <v>0</v>
      </c>
      <c r="T200" s="269">
        <f>ROUND(S200*I200,2)</f>
        <v>0</v>
      </c>
      <c r="U200" s="269">
        <f>H200-S200</f>
        <v>165.1</v>
      </c>
      <c r="V200" s="269">
        <f>ROUND(U200*I200,2)</f>
        <v>1050.77</v>
      </c>
      <c r="W200" s="269"/>
      <c r="X200" s="269"/>
      <c r="Y200" s="269"/>
      <c r="Z200" s="269"/>
      <c r="AA200" s="269"/>
      <c r="AB200" s="269"/>
      <c r="AC200" s="269"/>
      <c r="AD200" s="269"/>
      <c r="BH200" s="132" t="s">
        <v>1</v>
      </c>
      <c r="BI200" s="133" t="s">
        <v>40</v>
      </c>
      <c r="BK200" s="134">
        <f>BJ200*H200</f>
        <v>0</v>
      </c>
      <c r="BL200" s="134">
        <v>0</v>
      </c>
      <c r="BM200" s="134">
        <f>BL200*H200</f>
        <v>0</v>
      </c>
      <c r="BN200" s="134">
        <v>0</v>
      </c>
      <c r="BO200" s="135">
        <f>BN200*H200</f>
        <v>0</v>
      </c>
      <c r="CM200" s="136" t="s">
        <v>95</v>
      </c>
      <c r="CO200" s="136" t="s">
        <v>284</v>
      </c>
      <c r="CP200" s="136" t="s">
        <v>83</v>
      </c>
      <c r="CT200" s="16" t="s">
        <v>282</v>
      </c>
      <c r="CZ200" s="137">
        <f>IF(BI200="základní",J200,0)</f>
        <v>1050.77</v>
      </c>
      <c r="DA200" s="137">
        <f>IF(BI200="snížená",J200,0)</f>
        <v>0</v>
      </c>
      <c r="DB200" s="137">
        <f>IF(BI200="zákl. přenesená",J200,0)</f>
        <v>0</v>
      </c>
      <c r="DC200" s="137">
        <f>IF(BI200="sníž. přenesená",J200,0)</f>
        <v>0</v>
      </c>
      <c r="DD200" s="137">
        <f>IF(BI200="nulová",J200,0)</f>
        <v>0</v>
      </c>
      <c r="DE200" s="16" t="s">
        <v>81</v>
      </c>
      <c r="DF200" s="137">
        <f>ROUND(I200*H200,2)</f>
        <v>1050.77</v>
      </c>
      <c r="DG200" s="16" t="s">
        <v>95</v>
      </c>
      <c r="DH200" s="136" t="s">
        <v>412</v>
      </c>
    </row>
    <row r="201" spans="2:112" s="1" customFormat="1" ht="19.5" x14ac:dyDescent="0.2">
      <c r="B201" s="31"/>
      <c r="D201" s="138" t="s">
        <v>289</v>
      </c>
      <c r="F201" s="139" t="s">
        <v>413</v>
      </c>
      <c r="I201" s="140"/>
      <c r="L201" s="31"/>
      <c r="N201" s="213"/>
      <c r="O201" s="214"/>
      <c r="Q201" s="229"/>
      <c r="BH201" s="141"/>
      <c r="BO201" s="50"/>
      <c r="CO201" s="16" t="s">
        <v>289</v>
      </c>
      <c r="CP201" s="16" t="s">
        <v>83</v>
      </c>
    </row>
    <row r="202" spans="2:112" s="1" customFormat="1" ht="19.5" x14ac:dyDescent="0.2">
      <c r="B202" s="31"/>
      <c r="D202" s="138" t="s">
        <v>299</v>
      </c>
      <c r="F202" s="142" t="s">
        <v>317</v>
      </c>
      <c r="I202" s="140"/>
      <c r="L202" s="31"/>
      <c r="N202" s="213"/>
      <c r="O202" s="214"/>
      <c r="Q202" s="229"/>
      <c r="BH202" s="141"/>
      <c r="BO202" s="50"/>
      <c r="CO202" s="16" t="s">
        <v>299</v>
      </c>
      <c r="CP202" s="16" t="s">
        <v>83</v>
      </c>
    </row>
    <row r="203" spans="2:112" s="12" customFormat="1" x14ac:dyDescent="0.2">
      <c r="B203" s="149"/>
      <c r="D203" s="138" t="s">
        <v>301</v>
      </c>
      <c r="E203" s="150" t="s">
        <v>1</v>
      </c>
      <c r="F203" s="151" t="s">
        <v>1676</v>
      </c>
      <c r="H203" s="152">
        <v>150.1</v>
      </c>
      <c r="I203" s="153"/>
      <c r="L203" s="149"/>
      <c r="N203" s="217">
        <f>129.6*1</f>
        <v>129.6</v>
      </c>
      <c r="O203" s="218" t="s">
        <v>3764</v>
      </c>
      <c r="Q203" s="231"/>
      <c r="BH203" s="154"/>
      <c r="BO203" s="155"/>
      <c r="CO203" s="150" t="s">
        <v>301</v>
      </c>
      <c r="CP203" s="150" t="s">
        <v>83</v>
      </c>
      <c r="CQ203" s="12" t="s">
        <v>83</v>
      </c>
      <c r="CR203" s="12" t="s">
        <v>32</v>
      </c>
      <c r="CS203" s="12" t="s">
        <v>74</v>
      </c>
      <c r="CT203" s="150" t="s">
        <v>282</v>
      </c>
    </row>
    <row r="204" spans="2:112" s="12" customFormat="1" x14ac:dyDescent="0.2">
      <c r="B204" s="149"/>
      <c r="D204" s="138" t="s">
        <v>301</v>
      </c>
      <c r="E204" s="150" t="s">
        <v>1</v>
      </c>
      <c r="F204" s="151" t="s">
        <v>1661</v>
      </c>
      <c r="H204" s="152">
        <v>15</v>
      </c>
      <c r="I204" s="153"/>
      <c r="L204" s="149"/>
      <c r="N204" s="217">
        <f>1.5*1.5*24-1.5*1*24</f>
        <v>18</v>
      </c>
      <c r="O204" s="218" t="s">
        <v>3765</v>
      </c>
      <c r="Q204" s="231"/>
      <c r="BH204" s="154"/>
      <c r="BO204" s="155"/>
      <c r="CO204" s="150" t="s">
        <v>301</v>
      </c>
      <c r="CP204" s="150" t="s">
        <v>83</v>
      </c>
      <c r="CQ204" s="12" t="s">
        <v>83</v>
      </c>
      <c r="CR204" s="12" t="s">
        <v>32</v>
      </c>
      <c r="CS204" s="12" t="s">
        <v>74</v>
      </c>
      <c r="CT204" s="150" t="s">
        <v>282</v>
      </c>
    </row>
    <row r="205" spans="2:112" s="13" customFormat="1" x14ac:dyDescent="0.2">
      <c r="B205" s="156"/>
      <c r="D205" s="138" t="s">
        <v>301</v>
      </c>
      <c r="E205" s="157" t="s">
        <v>1</v>
      </c>
      <c r="F205" s="158" t="s">
        <v>305</v>
      </c>
      <c r="H205" s="159">
        <v>165.1</v>
      </c>
      <c r="I205" s="160"/>
      <c r="L205" s="156"/>
      <c r="N205" s="219">
        <f>N203+N204</f>
        <v>147.6</v>
      </c>
      <c r="O205" s="220"/>
      <c r="Q205" s="232"/>
      <c r="BH205" s="161"/>
      <c r="BO205" s="162"/>
      <c r="CO205" s="157" t="s">
        <v>301</v>
      </c>
      <c r="CP205" s="157" t="s">
        <v>83</v>
      </c>
      <c r="CQ205" s="13" t="s">
        <v>95</v>
      </c>
      <c r="CR205" s="13" t="s">
        <v>32</v>
      </c>
      <c r="CS205" s="13" t="s">
        <v>81</v>
      </c>
      <c r="CT205" s="157" t="s">
        <v>282</v>
      </c>
    </row>
    <row r="206" spans="2:112" s="13" customFormat="1" x14ac:dyDescent="0.2">
      <c r="B206" s="156"/>
      <c r="D206" s="138"/>
      <c r="E206" s="157"/>
      <c r="F206" s="158"/>
      <c r="H206" s="159"/>
      <c r="I206" s="160"/>
      <c r="L206" s="156"/>
      <c r="N206" s="311">
        <f>N205-H205</f>
        <v>-17.5</v>
      </c>
      <c r="O206" s="220"/>
      <c r="Q206" s="232"/>
      <c r="BH206" s="161"/>
      <c r="BO206" s="162"/>
      <c r="CO206" s="157"/>
      <c r="CP206" s="157"/>
      <c r="CT206" s="157"/>
    </row>
    <row r="207" spans="2:112" s="1" customFormat="1" ht="24.2" customHeight="1" x14ac:dyDescent="0.2">
      <c r="B207" s="124"/>
      <c r="C207" s="125" t="s">
        <v>379</v>
      </c>
      <c r="D207" s="125" t="s">
        <v>284</v>
      </c>
      <c r="E207" s="126" t="s">
        <v>416</v>
      </c>
      <c r="F207" s="127" t="s">
        <v>417</v>
      </c>
      <c r="G207" s="128" t="s">
        <v>418</v>
      </c>
      <c r="H207" s="129">
        <v>503.84500000000003</v>
      </c>
      <c r="I207" s="130">
        <v>110.6455721</v>
      </c>
      <c r="J207" s="131">
        <f>ROUND(I207*H207,2)</f>
        <v>55748.22</v>
      </c>
      <c r="K207" s="127" t="s">
        <v>293</v>
      </c>
      <c r="L207" s="268">
        <f>S207</f>
        <v>0</v>
      </c>
      <c r="M207" s="272">
        <f>ROUND(L207*I207,2)</f>
        <v>0</v>
      </c>
      <c r="N207" s="243">
        <f>N215</f>
        <v>-47.462200000000053</v>
      </c>
      <c r="O207" s="294">
        <f>ROUND(N207*I207,2)</f>
        <v>-5251.48</v>
      </c>
      <c r="P207" s="273">
        <f>H207-L207-N207</f>
        <v>551.30720000000008</v>
      </c>
      <c r="Q207" s="287">
        <f>ROUND(P207*I207,2)</f>
        <v>60999.7</v>
      </c>
      <c r="R207" s="137"/>
      <c r="S207" s="269">
        <f>W207+Y207+AA207+AC207</f>
        <v>0</v>
      </c>
      <c r="T207" s="269">
        <f>ROUND(S207*I207,2)</f>
        <v>0</v>
      </c>
      <c r="U207" s="269">
        <f>H207-S207</f>
        <v>503.84500000000003</v>
      </c>
      <c r="V207" s="269">
        <f>ROUND(U207*I207,2)</f>
        <v>55748.22</v>
      </c>
      <c r="W207" s="269"/>
      <c r="X207" s="269"/>
      <c r="Y207" s="269"/>
      <c r="Z207" s="269"/>
      <c r="AA207" s="269"/>
      <c r="AB207" s="269"/>
      <c r="AC207" s="269"/>
      <c r="AD207" s="269"/>
      <c r="BH207" s="132" t="s">
        <v>1</v>
      </c>
      <c r="BI207" s="133" t="s">
        <v>40</v>
      </c>
      <c r="BK207" s="134">
        <f>BJ207*H207</f>
        <v>0</v>
      </c>
      <c r="BL207" s="134">
        <v>0</v>
      </c>
      <c r="BM207" s="134">
        <f>BL207*H207</f>
        <v>0</v>
      </c>
      <c r="BN207" s="134">
        <v>0</v>
      </c>
      <c r="BO207" s="135">
        <f>BN207*H207</f>
        <v>0</v>
      </c>
      <c r="CM207" s="136" t="s">
        <v>95</v>
      </c>
      <c r="CO207" s="136" t="s">
        <v>284</v>
      </c>
      <c r="CP207" s="136" t="s">
        <v>83</v>
      </c>
      <c r="CT207" s="16" t="s">
        <v>282</v>
      </c>
      <c r="CZ207" s="137">
        <f>IF(BI207="základní",J207,0)</f>
        <v>55748.22</v>
      </c>
      <c r="DA207" s="137">
        <f>IF(BI207="snížená",J207,0)</f>
        <v>0</v>
      </c>
      <c r="DB207" s="137">
        <f>IF(BI207="zákl. přenesená",J207,0)</f>
        <v>0</v>
      </c>
      <c r="DC207" s="137">
        <f>IF(BI207="sníž. přenesená",J207,0)</f>
        <v>0</v>
      </c>
      <c r="DD207" s="137">
        <f>IF(BI207="nulová",J207,0)</f>
        <v>0</v>
      </c>
      <c r="DE207" s="16" t="s">
        <v>81</v>
      </c>
      <c r="DF207" s="137">
        <f>ROUND(I207*H207,2)</f>
        <v>55748.22</v>
      </c>
      <c r="DG207" s="16" t="s">
        <v>95</v>
      </c>
      <c r="DH207" s="136" t="s">
        <v>419</v>
      </c>
    </row>
    <row r="208" spans="2:112" s="1" customFormat="1" ht="29.25" x14ac:dyDescent="0.2">
      <c r="B208" s="31"/>
      <c r="D208" s="138" t="s">
        <v>289</v>
      </c>
      <c r="F208" s="139" t="s">
        <v>420</v>
      </c>
      <c r="I208" s="140"/>
      <c r="L208" s="31"/>
      <c r="N208" s="213"/>
      <c r="O208" s="214"/>
      <c r="Q208" s="229"/>
      <c r="BH208" s="141"/>
      <c r="BO208" s="50"/>
      <c r="CO208" s="16" t="s">
        <v>289</v>
      </c>
      <c r="CP208" s="16" t="s">
        <v>83</v>
      </c>
    </row>
    <row r="209" spans="2:112" s="11" customFormat="1" x14ac:dyDescent="0.2">
      <c r="B209" s="143"/>
      <c r="D209" s="138" t="s">
        <v>301</v>
      </c>
      <c r="E209" s="144" t="s">
        <v>1</v>
      </c>
      <c r="F209" s="145" t="s">
        <v>996</v>
      </c>
      <c r="H209" s="144" t="s">
        <v>1</v>
      </c>
      <c r="I209" s="146"/>
      <c r="L209" s="143"/>
      <c r="N209" s="215"/>
      <c r="O209" s="216"/>
      <c r="Q209" s="230"/>
      <c r="BH209" s="147"/>
      <c r="BO209" s="148"/>
      <c r="CO209" s="144" t="s">
        <v>301</v>
      </c>
      <c r="CP209" s="144" t="s">
        <v>83</v>
      </c>
      <c r="CQ209" s="11" t="s">
        <v>81</v>
      </c>
      <c r="CR209" s="11" t="s">
        <v>32</v>
      </c>
      <c r="CS209" s="11" t="s">
        <v>74</v>
      </c>
      <c r="CT209" s="144" t="s">
        <v>282</v>
      </c>
    </row>
    <row r="210" spans="2:112" s="12" customFormat="1" x14ac:dyDescent="0.2">
      <c r="B210" s="149"/>
      <c r="D210" s="138" t="s">
        <v>301</v>
      </c>
      <c r="E210" s="150" t="s">
        <v>1</v>
      </c>
      <c r="F210" s="151" t="s">
        <v>1677</v>
      </c>
      <c r="H210" s="152">
        <v>307.68299999999999</v>
      </c>
      <c r="I210" s="153"/>
      <c r="L210" s="149"/>
      <c r="N210" s="217">
        <v>277.524</v>
      </c>
      <c r="O210" s="218"/>
      <c r="Q210" s="231"/>
      <c r="BH210" s="154"/>
      <c r="BO210" s="155"/>
      <c r="CO210" s="150" t="s">
        <v>301</v>
      </c>
      <c r="CP210" s="150" t="s">
        <v>83</v>
      </c>
      <c r="CQ210" s="12" t="s">
        <v>83</v>
      </c>
      <c r="CR210" s="12" t="s">
        <v>32</v>
      </c>
      <c r="CS210" s="12" t="s">
        <v>74</v>
      </c>
      <c r="CT210" s="150" t="s">
        <v>282</v>
      </c>
    </row>
    <row r="211" spans="2:112" s="11" customFormat="1" x14ac:dyDescent="0.2">
      <c r="B211" s="143"/>
      <c r="D211" s="138" t="s">
        <v>301</v>
      </c>
      <c r="E211" s="144" t="s">
        <v>1</v>
      </c>
      <c r="F211" s="145" t="s">
        <v>998</v>
      </c>
      <c r="H211" s="144" t="s">
        <v>1</v>
      </c>
      <c r="I211" s="146"/>
      <c r="L211" s="143"/>
      <c r="N211" s="215"/>
      <c r="O211" s="216"/>
      <c r="Q211" s="230"/>
      <c r="BH211" s="147"/>
      <c r="BO211" s="148"/>
      <c r="CO211" s="144" t="s">
        <v>301</v>
      </c>
      <c r="CP211" s="144" t="s">
        <v>83</v>
      </c>
      <c r="CQ211" s="11" t="s">
        <v>81</v>
      </c>
      <c r="CR211" s="11" t="s">
        <v>32</v>
      </c>
      <c r="CS211" s="11" t="s">
        <v>74</v>
      </c>
      <c r="CT211" s="144" t="s">
        <v>282</v>
      </c>
    </row>
    <row r="212" spans="2:112" s="12" customFormat="1" x14ac:dyDescent="0.2">
      <c r="B212" s="149"/>
      <c r="D212" s="138" t="s">
        <v>301</v>
      </c>
      <c r="E212" s="150" t="s">
        <v>1</v>
      </c>
      <c r="F212" s="151" t="s">
        <v>1678</v>
      </c>
      <c r="H212" s="152">
        <v>-27.768999999999998</v>
      </c>
      <c r="I212" s="153"/>
      <c r="L212" s="149"/>
      <c r="N212" s="217">
        <v>-23.978000000000002</v>
      </c>
      <c r="O212" s="218"/>
      <c r="Q212" s="231"/>
      <c r="BH212" s="154"/>
      <c r="BO212" s="155"/>
      <c r="CO212" s="150" t="s">
        <v>301</v>
      </c>
      <c r="CP212" s="150" t="s">
        <v>83</v>
      </c>
      <c r="CQ212" s="12" t="s">
        <v>83</v>
      </c>
      <c r="CR212" s="12" t="s">
        <v>32</v>
      </c>
      <c r="CS212" s="12" t="s">
        <v>74</v>
      </c>
      <c r="CT212" s="150" t="s">
        <v>282</v>
      </c>
    </row>
    <row r="213" spans="2:112" s="13" customFormat="1" x14ac:dyDescent="0.2">
      <c r="B213" s="156"/>
      <c r="D213" s="138" t="s">
        <v>301</v>
      </c>
      <c r="E213" s="157" t="s">
        <v>1</v>
      </c>
      <c r="F213" s="158" t="s">
        <v>305</v>
      </c>
      <c r="H213" s="159">
        <v>279.91399999999999</v>
      </c>
      <c r="I213" s="160"/>
      <c r="L213" s="156"/>
      <c r="N213" s="219">
        <f>N210+N212</f>
        <v>253.54599999999999</v>
      </c>
      <c r="O213" s="220"/>
      <c r="Q213" s="232"/>
      <c r="BH213" s="161"/>
      <c r="BO213" s="162"/>
      <c r="CO213" s="157" t="s">
        <v>301</v>
      </c>
      <c r="CP213" s="157" t="s">
        <v>83</v>
      </c>
      <c r="CQ213" s="13" t="s">
        <v>95</v>
      </c>
      <c r="CR213" s="13" t="s">
        <v>32</v>
      </c>
      <c r="CS213" s="13" t="s">
        <v>81</v>
      </c>
      <c r="CT213" s="157" t="s">
        <v>282</v>
      </c>
    </row>
    <row r="214" spans="2:112" s="12" customFormat="1" x14ac:dyDescent="0.2">
      <c r="B214" s="149"/>
      <c r="D214" s="138" t="s">
        <v>301</v>
      </c>
      <c r="F214" s="151" t="s">
        <v>1679</v>
      </c>
      <c r="H214" s="152">
        <v>503.84500000000003</v>
      </c>
      <c r="I214" s="153"/>
      <c r="L214" s="149"/>
      <c r="N214" s="217">
        <f>N213*1.8</f>
        <v>456.38279999999997</v>
      </c>
      <c r="O214" s="218"/>
      <c r="Q214" s="231"/>
      <c r="BH214" s="154"/>
      <c r="BO214" s="155"/>
      <c r="CO214" s="150" t="s">
        <v>301</v>
      </c>
      <c r="CP214" s="150" t="s">
        <v>83</v>
      </c>
      <c r="CQ214" s="12" t="s">
        <v>83</v>
      </c>
      <c r="CR214" s="12" t="s">
        <v>3</v>
      </c>
      <c r="CS214" s="12" t="s">
        <v>81</v>
      </c>
      <c r="CT214" s="150" t="s">
        <v>282</v>
      </c>
    </row>
    <row r="215" spans="2:112" s="12" customFormat="1" x14ac:dyDescent="0.2">
      <c r="B215" s="149"/>
      <c r="D215" s="138"/>
      <c r="F215" s="151"/>
      <c r="H215" s="152"/>
      <c r="I215" s="153"/>
      <c r="L215" s="149"/>
      <c r="N215" s="310">
        <f>N214-H214</f>
        <v>-47.462200000000053</v>
      </c>
      <c r="O215" s="218"/>
      <c r="Q215" s="231"/>
      <c r="BH215" s="154"/>
      <c r="BO215" s="155"/>
      <c r="CO215" s="150"/>
      <c r="CP215" s="150"/>
      <c r="CT215" s="150"/>
    </row>
    <row r="216" spans="2:112" s="1" customFormat="1" ht="24.2" customHeight="1" x14ac:dyDescent="0.2">
      <c r="B216" s="124"/>
      <c r="C216" s="125" t="s">
        <v>386</v>
      </c>
      <c r="D216" s="125" t="s">
        <v>284</v>
      </c>
      <c r="E216" s="126" t="s">
        <v>423</v>
      </c>
      <c r="F216" s="127" t="s">
        <v>424</v>
      </c>
      <c r="G216" s="128" t="s">
        <v>366</v>
      </c>
      <c r="H216" s="129">
        <v>223.46199999999999</v>
      </c>
      <c r="I216" s="130">
        <v>140.64048227116101</v>
      </c>
      <c r="J216" s="131">
        <f>ROUND(I216*H216,2)</f>
        <v>31427.8</v>
      </c>
      <c r="K216" s="127" t="s">
        <v>293</v>
      </c>
      <c r="L216" s="268">
        <f>S216</f>
        <v>0</v>
      </c>
      <c r="M216" s="272">
        <f>ROUND(L216*I216,2)</f>
        <v>0</v>
      </c>
      <c r="N216" s="243">
        <f>N231</f>
        <v>-27.81485600000002</v>
      </c>
      <c r="O216" s="294">
        <f>ROUND(N216*I216,2)</f>
        <v>-3911.89</v>
      </c>
      <c r="P216" s="273">
        <f>H216-L216-N216</f>
        <v>251.27685600000001</v>
      </c>
      <c r="Q216" s="287">
        <f>ROUND(P216*I216,2)</f>
        <v>35339.699999999997</v>
      </c>
      <c r="R216" s="137"/>
      <c r="S216" s="269">
        <f>W216+Y216+AA216+AC216</f>
        <v>0</v>
      </c>
      <c r="T216" s="269">
        <f>ROUND(S216*I216,2)</f>
        <v>0</v>
      </c>
      <c r="U216" s="269">
        <f>H216-S216</f>
        <v>223.46199999999999</v>
      </c>
      <c r="V216" s="269">
        <f>ROUND(U216*I216,2)</f>
        <v>31427.8</v>
      </c>
      <c r="W216" s="269"/>
      <c r="X216" s="269"/>
      <c r="Y216" s="269"/>
      <c r="Z216" s="269"/>
      <c r="AA216" s="269"/>
      <c r="AB216" s="269"/>
      <c r="AC216" s="269"/>
      <c r="AD216" s="269"/>
      <c r="BH216" s="132" t="s">
        <v>1</v>
      </c>
      <c r="BI216" s="133" t="s">
        <v>40</v>
      </c>
      <c r="BK216" s="134">
        <f>BJ216*H216</f>
        <v>0</v>
      </c>
      <c r="BL216" s="134">
        <v>0</v>
      </c>
      <c r="BM216" s="134">
        <f>BL216*H216</f>
        <v>0</v>
      </c>
      <c r="BN216" s="134">
        <v>0</v>
      </c>
      <c r="BO216" s="135">
        <f>BN216*H216</f>
        <v>0</v>
      </c>
      <c r="CM216" s="136" t="s">
        <v>95</v>
      </c>
      <c r="CO216" s="136" t="s">
        <v>284</v>
      </c>
      <c r="CP216" s="136" t="s">
        <v>83</v>
      </c>
      <c r="CT216" s="16" t="s">
        <v>282</v>
      </c>
      <c r="CZ216" s="137">
        <f>IF(BI216="základní",J216,0)</f>
        <v>31427.8</v>
      </c>
      <c r="DA216" s="137">
        <f>IF(BI216="snížená",J216,0)</f>
        <v>0</v>
      </c>
      <c r="DB216" s="137">
        <f>IF(BI216="zákl. přenesená",J216,0)</f>
        <v>0</v>
      </c>
      <c r="DC216" s="137">
        <f>IF(BI216="sníž. přenesená",J216,0)</f>
        <v>0</v>
      </c>
      <c r="DD216" s="137">
        <f>IF(BI216="nulová",J216,0)</f>
        <v>0</v>
      </c>
      <c r="DE216" s="16" t="s">
        <v>81</v>
      </c>
      <c r="DF216" s="137">
        <f>ROUND(I216*H216,2)</f>
        <v>31427.8</v>
      </c>
      <c r="DG216" s="16" t="s">
        <v>95</v>
      </c>
      <c r="DH216" s="136" t="s">
        <v>425</v>
      </c>
    </row>
    <row r="217" spans="2:112" s="1" customFormat="1" ht="29.25" x14ac:dyDescent="0.2">
      <c r="B217" s="31"/>
      <c r="D217" s="138" t="s">
        <v>289</v>
      </c>
      <c r="F217" s="139" t="s">
        <v>426</v>
      </c>
      <c r="I217" s="140"/>
      <c r="L217" s="31"/>
      <c r="N217" s="213"/>
      <c r="O217" s="214"/>
      <c r="Q217" s="229"/>
      <c r="BH217" s="141"/>
      <c r="BO217" s="50"/>
      <c r="CO217" s="16" t="s">
        <v>289</v>
      </c>
      <c r="CP217" s="16" t="s">
        <v>83</v>
      </c>
    </row>
    <row r="218" spans="2:112" s="11" customFormat="1" x14ac:dyDescent="0.2">
      <c r="B218" s="143"/>
      <c r="D218" s="138" t="s">
        <v>301</v>
      </c>
      <c r="E218" s="144" t="s">
        <v>1</v>
      </c>
      <c r="F218" s="145" t="s">
        <v>427</v>
      </c>
      <c r="H218" s="144" t="s">
        <v>1</v>
      </c>
      <c r="I218" s="146"/>
      <c r="L218" s="143"/>
      <c r="N218" s="215"/>
      <c r="O218" s="216"/>
      <c r="Q218" s="230"/>
      <c r="BH218" s="147"/>
      <c r="BO218" s="148"/>
      <c r="CO218" s="144" t="s">
        <v>301</v>
      </c>
      <c r="CP218" s="144" t="s">
        <v>83</v>
      </c>
      <c r="CQ218" s="11" t="s">
        <v>81</v>
      </c>
      <c r="CR218" s="11" t="s">
        <v>32</v>
      </c>
      <c r="CS218" s="11" t="s">
        <v>74</v>
      </c>
      <c r="CT218" s="144" t="s">
        <v>282</v>
      </c>
    </row>
    <row r="219" spans="2:112" s="12" customFormat="1" x14ac:dyDescent="0.2">
      <c r="B219" s="149"/>
      <c r="D219" s="138" t="s">
        <v>301</v>
      </c>
      <c r="E219" s="150" t="s">
        <v>1</v>
      </c>
      <c r="F219" s="151" t="s">
        <v>1671</v>
      </c>
      <c r="H219" s="152">
        <v>303.18</v>
      </c>
      <c r="I219" s="153"/>
      <c r="L219" s="149"/>
      <c r="N219" s="217">
        <f>136.818+136.818</f>
        <v>273.63600000000002</v>
      </c>
      <c r="O219" s="218" t="s">
        <v>3772</v>
      </c>
      <c r="Q219" s="231"/>
      <c r="BH219" s="154"/>
      <c r="BO219" s="155"/>
      <c r="CO219" s="150" t="s">
        <v>301</v>
      </c>
      <c r="CP219" s="150" t="s">
        <v>83</v>
      </c>
      <c r="CQ219" s="12" t="s">
        <v>83</v>
      </c>
      <c r="CR219" s="12" t="s">
        <v>32</v>
      </c>
      <c r="CS219" s="12" t="s">
        <v>74</v>
      </c>
      <c r="CT219" s="150" t="s">
        <v>282</v>
      </c>
    </row>
    <row r="220" spans="2:112" s="11" customFormat="1" x14ac:dyDescent="0.2">
      <c r="B220" s="143"/>
      <c r="D220" s="138" t="s">
        <v>301</v>
      </c>
      <c r="E220" s="144" t="s">
        <v>1</v>
      </c>
      <c r="F220" s="145" t="s">
        <v>428</v>
      </c>
      <c r="H220" s="144" t="s">
        <v>1</v>
      </c>
      <c r="I220" s="146"/>
      <c r="L220" s="143"/>
      <c r="N220" s="215"/>
      <c r="O220" s="216"/>
      <c r="Q220" s="230"/>
      <c r="BH220" s="147"/>
      <c r="BO220" s="148"/>
      <c r="CO220" s="144" t="s">
        <v>301</v>
      </c>
      <c r="CP220" s="144" t="s">
        <v>83</v>
      </c>
      <c r="CQ220" s="11" t="s">
        <v>81</v>
      </c>
      <c r="CR220" s="11" t="s">
        <v>32</v>
      </c>
      <c r="CS220" s="11" t="s">
        <v>74</v>
      </c>
      <c r="CT220" s="144" t="s">
        <v>282</v>
      </c>
    </row>
    <row r="221" spans="2:112" s="12" customFormat="1" x14ac:dyDescent="0.2">
      <c r="B221" s="149"/>
      <c r="D221" s="138" t="s">
        <v>301</v>
      </c>
      <c r="E221" s="150" t="s">
        <v>1</v>
      </c>
      <c r="F221" s="151" t="s">
        <v>1680</v>
      </c>
      <c r="H221" s="152">
        <v>-67.545000000000002</v>
      </c>
      <c r="I221" s="153"/>
      <c r="L221" s="149"/>
      <c r="N221" s="217">
        <f>-N247</f>
        <v>-58.32</v>
      </c>
      <c r="O221" s="218"/>
      <c r="Q221" s="231"/>
      <c r="BH221" s="154"/>
      <c r="BO221" s="155"/>
      <c r="CO221" s="150" t="s">
        <v>301</v>
      </c>
      <c r="CP221" s="150" t="s">
        <v>83</v>
      </c>
      <c r="CQ221" s="12" t="s">
        <v>83</v>
      </c>
      <c r="CR221" s="12" t="s">
        <v>32</v>
      </c>
      <c r="CS221" s="12" t="s">
        <v>74</v>
      </c>
      <c r="CT221" s="150" t="s">
        <v>282</v>
      </c>
    </row>
    <row r="222" spans="2:112" s="11" customFormat="1" x14ac:dyDescent="0.2">
      <c r="B222" s="143"/>
      <c r="D222" s="138" t="s">
        <v>301</v>
      </c>
      <c r="E222" s="144" t="s">
        <v>1</v>
      </c>
      <c r="F222" s="145" t="s">
        <v>430</v>
      </c>
      <c r="H222" s="144" t="s">
        <v>1</v>
      </c>
      <c r="I222" s="146"/>
      <c r="L222" s="143"/>
      <c r="N222" s="215"/>
      <c r="O222" s="216"/>
      <c r="Q222" s="230"/>
      <c r="BH222" s="147"/>
      <c r="BO222" s="148"/>
      <c r="CO222" s="144" t="s">
        <v>301</v>
      </c>
      <c r="CP222" s="144" t="s">
        <v>83</v>
      </c>
      <c r="CQ222" s="11" t="s">
        <v>81</v>
      </c>
      <c r="CR222" s="11" t="s">
        <v>32</v>
      </c>
      <c r="CS222" s="11" t="s">
        <v>74</v>
      </c>
      <c r="CT222" s="144" t="s">
        <v>282</v>
      </c>
    </row>
    <row r="223" spans="2:112" s="12" customFormat="1" x14ac:dyDescent="0.2">
      <c r="B223" s="149"/>
      <c r="D223" s="138" t="s">
        <v>301</v>
      </c>
      <c r="E223" s="150" t="s">
        <v>1</v>
      </c>
      <c r="F223" s="151" t="s">
        <v>1681</v>
      </c>
      <c r="H223" s="152">
        <v>-22.51</v>
      </c>
      <c r="I223" s="153"/>
      <c r="L223" s="149"/>
      <c r="N223" s="217">
        <f>-N272-N281</f>
        <v>-20.36</v>
      </c>
      <c r="O223" s="218"/>
      <c r="Q223" s="231"/>
      <c r="BH223" s="154"/>
      <c r="BO223" s="155"/>
      <c r="CO223" s="150" t="s">
        <v>301</v>
      </c>
      <c r="CP223" s="150" t="s">
        <v>83</v>
      </c>
      <c r="CQ223" s="12" t="s">
        <v>83</v>
      </c>
      <c r="CR223" s="12" t="s">
        <v>32</v>
      </c>
      <c r="CS223" s="12" t="s">
        <v>74</v>
      </c>
      <c r="CT223" s="150" t="s">
        <v>282</v>
      </c>
    </row>
    <row r="224" spans="2:112" s="11" customFormat="1" x14ac:dyDescent="0.2">
      <c r="B224" s="143"/>
      <c r="D224" s="138" t="s">
        <v>301</v>
      </c>
      <c r="E224" s="144" t="s">
        <v>1</v>
      </c>
      <c r="F224" s="145" t="s">
        <v>432</v>
      </c>
      <c r="H224" s="144" t="s">
        <v>1</v>
      </c>
      <c r="I224" s="146"/>
      <c r="L224" s="143"/>
      <c r="N224" s="215"/>
      <c r="O224" s="216"/>
      <c r="Q224" s="230"/>
      <c r="BH224" s="147"/>
      <c r="BO224" s="148"/>
      <c r="CO224" s="144" t="s">
        <v>301</v>
      </c>
      <c r="CP224" s="144" t="s">
        <v>83</v>
      </c>
      <c r="CQ224" s="11" t="s">
        <v>81</v>
      </c>
      <c r="CR224" s="11" t="s">
        <v>32</v>
      </c>
      <c r="CS224" s="11" t="s">
        <v>74</v>
      </c>
      <c r="CT224" s="144" t="s">
        <v>282</v>
      </c>
    </row>
    <row r="225" spans="2:112" s="12" customFormat="1" x14ac:dyDescent="0.2">
      <c r="B225" s="149"/>
      <c r="D225" s="138" t="s">
        <v>301</v>
      </c>
      <c r="E225" s="150" t="s">
        <v>1</v>
      </c>
      <c r="F225" s="151" t="s">
        <v>1682</v>
      </c>
      <c r="H225" s="152">
        <v>-5.42</v>
      </c>
      <c r="I225" s="153"/>
      <c r="L225" s="149"/>
      <c r="N225" s="217">
        <f>-N290</f>
        <v>-4.9040000000000008</v>
      </c>
      <c r="O225" s="218"/>
      <c r="Q225" s="231"/>
      <c r="BH225" s="154"/>
      <c r="BO225" s="155"/>
      <c r="CO225" s="150" t="s">
        <v>301</v>
      </c>
      <c r="CP225" s="150" t="s">
        <v>83</v>
      </c>
      <c r="CQ225" s="12" t="s">
        <v>83</v>
      </c>
      <c r="CR225" s="12" t="s">
        <v>32</v>
      </c>
      <c r="CS225" s="12" t="s">
        <v>74</v>
      </c>
      <c r="CT225" s="150" t="s">
        <v>282</v>
      </c>
    </row>
    <row r="226" spans="2:112" s="12" customFormat="1" x14ac:dyDescent="0.2">
      <c r="B226" s="149"/>
      <c r="D226" s="138" t="s">
        <v>301</v>
      </c>
      <c r="E226" s="150" t="s">
        <v>1</v>
      </c>
      <c r="F226" s="151" t="s">
        <v>1683</v>
      </c>
      <c r="H226" s="152">
        <v>-9.1389999999999993</v>
      </c>
      <c r="I226" s="153"/>
      <c r="L226" s="149"/>
      <c r="N226" s="217">
        <f>-3.14*0.21*0.21*2.2*20</f>
        <v>-6.0928559999999994</v>
      </c>
      <c r="O226" s="218" t="s">
        <v>3648</v>
      </c>
      <c r="Q226" s="231"/>
      <c r="BH226" s="154"/>
      <c r="BO226" s="155"/>
      <c r="CO226" s="150" t="s">
        <v>301</v>
      </c>
      <c r="CP226" s="150" t="s">
        <v>83</v>
      </c>
      <c r="CQ226" s="12" t="s">
        <v>83</v>
      </c>
      <c r="CR226" s="12" t="s">
        <v>32</v>
      </c>
      <c r="CS226" s="12" t="s">
        <v>74</v>
      </c>
      <c r="CT226" s="150" t="s">
        <v>282</v>
      </c>
    </row>
    <row r="227" spans="2:112" s="12" customFormat="1" x14ac:dyDescent="0.2">
      <c r="B227" s="149"/>
      <c r="D227" s="138" t="s">
        <v>301</v>
      </c>
      <c r="E227" s="150" t="s">
        <v>1</v>
      </c>
      <c r="F227" s="151" t="s">
        <v>1684</v>
      </c>
      <c r="H227" s="152">
        <v>-34.54</v>
      </c>
      <c r="I227" s="153"/>
      <c r="L227" s="149"/>
      <c r="N227" s="217">
        <f>-3.14*0.5*0.5*2.2*24</f>
        <v>-41.448000000000008</v>
      </c>
      <c r="O227" s="218" t="s">
        <v>3782</v>
      </c>
      <c r="Q227" s="231"/>
      <c r="BH227" s="154"/>
      <c r="BO227" s="155"/>
      <c r="CO227" s="150" t="s">
        <v>301</v>
      </c>
      <c r="CP227" s="150" t="s">
        <v>83</v>
      </c>
      <c r="CQ227" s="12" t="s">
        <v>83</v>
      </c>
      <c r="CR227" s="12" t="s">
        <v>32</v>
      </c>
      <c r="CS227" s="12" t="s">
        <v>74</v>
      </c>
      <c r="CT227" s="150" t="s">
        <v>282</v>
      </c>
    </row>
    <row r="228" spans="2:112" s="11" customFormat="1" x14ac:dyDescent="0.2">
      <c r="B228" s="143"/>
      <c r="D228" s="138" t="s">
        <v>301</v>
      </c>
      <c r="E228" s="144" t="s">
        <v>1</v>
      </c>
      <c r="F228" s="145" t="s">
        <v>436</v>
      </c>
      <c r="H228" s="144" t="s">
        <v>1</v>
      </c>
      <c r="I228" s="146"/>
      <c r="L228" s="143"/>
      <c r="N228" s="215"/>
      <c r="O228" s="216"/>
      <c r="Q228" s="230"/>
      <c r="BH228" s="147"/>
      <c r="BO228" s="148"/>
      <c r="CO228" s="144" t="s">
        <v>301</v>
      </c>
      <c r="CP228" s="144" t="s">
        <v>83</v>
      </c>
      <c r="CQ228" s="11" t="s">
        <v>81</v>
      </c>
      <c r="CR228" s="11" t="s">
        <v>32</v>
      </c>
      <c r="CS228" s="11" t="s">
        <v>74</v>
      </c>
      <c r="CT228" s="144" t="s">
        <v>282</v>
      </c>
    </row>
    <row r="229" spans="2:112" s="12" customFormat="1" x14ac:dyDescent="0.2">
      <c r="B229" s="149"/>
      <c r="D229" s="138" t="s">
        <v>301</v>
      </c>
      <c r="E229" s="150" t="s">
        <v>1</v>
      </c>
      <c r="F229" s="151" t="s">
        <v>1685</v>
      </c>
      <c r="H229" s="152">
        <v>59.436</v>
      </c>
      <c r="I229" s="153"/>
      <c r="L229" s="149"/>
      <c r="N229" s="217">
        <f>132.84*(0.45-0.05)</f>
        <v>53.136000000000003</v>
      </c>
      <c r="O229" s="218" t="s">
        <v>3783</v>
      </c>
      <c r="Q229" s="231"/>
      <c r="BH229" s="154"/>
      <c r="BO229" s="155"/>
      <c r="CO229" s="150" t="s">
        <v>301</v>
      </c>
      <c r="CP229" s="150" t="s">
        <v>83</v>
      </c>
      <c r="CQ229" s="12" t="s">
        <v>83</v>
      </c>
      <c r="CR229" s="12" t="s">
        <v>32</v>
      </c>
      <c r="CS229" s="12" t="s">
        <v>74</v>
      </c>
      <c r="CT229" s="150" t="s">
        <v>282</v>
      </c>
    </row>
    <row r="230" spans="2:112" s="13" customFormat="1" x14ac:dyDescent="0.2">
      <c r="B230" s="156"/>
      <c r="D230" s="138" t="s">
        <v>301</v>
      </c>
      <c r="E230" s="157" t="s">
        <v>1</v>
      </c>
      <c r="F230" s="158" t="s">
        <v>305</v>
      </c>
      <c r="H230" s="159">
        <v>223.46200000000002</v>
      </c>
      <c r="I230" s="160"/>
      <c r="L230" s="156"/>
      <c r="N230" s="219">
        <f>N219+N221+N223+N225+N226+N227+N229</f>
        <v>195.647144</v>
      </c>
      <c r="O230" s="220"/>
      <c r="Q230" s="232"/>
      <c r="BH230" s="161"/>
      <c r="BO230" s="162"/>
      <c r="CO230" s="157" t="s">
        <v>301</v>
      </c>
      <c r="CP230" s="157" t="s">
        <v>83</v>
      </c>
      <c r="CQ230" s="13" t="s">
        <v>95</v>
      </c>
      <c r="CR230" s="13" t="s">
        <v>32</v>
      </c>
      <c r="CS230" s="13" t="s">
        <v>81</v>
      </c>
      <c r="CT230" s="157" t="s">
        <v>282</v>
      </c>
    </row>
    <row r="231" spans="2:112" s="13" customFormat="1" x14ac:dyDescent="0.2">
      <c r="B231" s="156"/>
      <c r="D231" s="138"/>
      <c r="E231" s="157"/>
      <c r="F231" s="158"/>
      <c r="H231" s="159"/>
      <c r="I231" s="160"/>
      <c r="L231" s="156"/>
      <c r="N231" s="311">
        <f>N230-H230</f>
        <v>-27.81485600000002</v>
      </c>
      <c r="O231" s="220"/>
      <c r="Q231" s="232"/>
      <c r="BH231" s="161"/>
      <c r="BO231" s="162"/>
      <c r="CO231" s="157"/>
      <c r="CP231" s="157"/>
      <c r="CT231" s="157"/>
    </row>
    <row r="232" spans="2:112" s="1" customFormat="1" ht="14.45" customHeight="1" x14ac:dyDescent="0.2">
      <c r="B232" s="124"/>
      <c r="C232" s="170" t="s">
        <v>392</v>
      </c>
      <c r="D232" s="170" t="s">
        <v>439</v>
      </c>
      <c r="E232" s="171" t="s">
        <v>440</v>
      </c>
      <c r="F232" s="172" t="s">
        <v>441</v>
      </c>
      <c r="G232" s="173" t="s">
        <v>418</v>
      </c>
      <c r="H232" s="174">
        <v>400.392</v>
      </c>
      <c r="I232" s="175">
        <v>390.0974172</v>
      </c>
      <c r="J232" s="176">
        <f>ROUND(I232*H232,2)</f>
        <v>156191.89000000001</v>
      </c>
      <c r="K232" s="172" t="s">
        <v>293</v>
      </c>
      <c r="L232" s="268">
        <f>S232</f>
        <v>0</v>
      </c>
      <c r="M232" s="272">
        <f>ROUND(L232*I232,2)</f>
        <v>0</v>
      </c>
      <c r="N232" s="243">
        <f>N243</f>
        <v>-49.274000000000001</v>
      </c>
      <c r="O232" s="294">
        <f>ROUND(N232*I232,2)</f>
        <v>-19221.66</v>
      </c>
      <c r="P232" s="273">
        <f>H232-L232-N232</f>
        <v>449.666</v>
      </c>
      <c r="Q232" s="287">
        <f>ROUND(P232*I232,2)</f>
        <v>175413.55</v>
      </c>
      <c r="R232" s="137"/>
      <c r="S232" s="269">
        <f>W232+Y232+AA232+AC232</f>
        <v>0</v>
      </c>
      <c r="T232" s="269">
        <f>ROUND(S232*I232,2)</f>
        <v>0</v>
      </c>
      <c r="U232" s="269">
        <f>H232-S232</f>
        <v>400.392</v>
      </c>
      <c r="V232" s="269">
        <f>ROUND(U232*I232,2)</f>
        <v>156191.89000000001</v>
      </c>
      <c r="W232" s="290"/>
      <c r="X232" s="290"/>
      <c r="Y232" s="290"/>
      <c r="Z232" s="290"/>
      <c r="AA232" s="290"/>
      <c r="AB232" s="290"/>
      <c r="AC232" s="290"/>
      <c r="AD232" s="290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77" t="s">
        <v>1</v>
      </c>
      <c r="BI232" s="178" t="s">
        <v>40</v>
      </c>
      <c r="BK232" s="134">
        <f>BJ232*H232</f>
        <v>0</v>
      </c>
      <c r="BL232" s="134">
        <v>1</v>
      </c>
      <c r="BM232" s="134">
        <f>BL232*H232</f>
        <v>400.392</v>
      </c>
      <c r="BN232" s="134">
        <v>0</v>
      </c>
      <c r="BO232" s="135">
        <f>BN232*H232</f>
        <v>0</v>
      </c>
      <c r="CM232" s="136" t="s">
        <v>328</v>
      </c>
      <c r="CO232" s="136" t="s">
        <v>439</v>
      </c>
      <c r="CP232" s="136" t="s">
        <v>83</v>
      </c>
      <c r="CT232" s="16" t="s">
        <v>282</v>
      </c>
      <c r="CZ232" s="137">
        <f>IF(BI232="základní",J232,0)</f>
        <v>156191.89000000001</v>
      </c>
      <c r="DA232" s="137">
        <f>IF(BI232="snížená",J232,0)</f>
        <v>0</v>
      </c>
      <c r="DB232" s="137">
        <f>IF(BI232="zákl. přenesená",J232,0)</f>
        <v>0</v>
      </c>
      <c r="DC232" s="137">
        <f>IF(BI232="sníž. přenesená",J232,0)</f>
        <v>0</v>
      </c>
      <c r="DD232" s="137">
        <f>IF(BI232="nulová",J232,0)</f>
        <v>0</v>
      </c>
      <c r="DE232" s="16" t="s">
        <v>81</v>
      </c>
      <c r="DF232" s="137">
        <f>ROUND(I232*H232,2)</f>
        <v>156191.89000000001</v>
      </c>
      <c r="DG232" s="16" t="s">
        <v>95</v>
      </c>
      <c r="DH232" s="136" t="s">
        <v>442</v>
      </c>
    </row>
    <row r="233" spans="2:112" s="1" customFormat="1" x14ac:dyDescent="0.2">
      <c r="B233" s="31"/>
      <c r="D233" s="138" t="s">
        <v>289</v>
      </c>
      <c r="F233" s="139" t="s">
        <v>441</v>
      </c>
      <c r="I233" s="140"/>
      <c r="L233" s="31"/>
      <c r="N233" s="213"/>
      <c r="O233" s="214"/>
      <c r="Q233" s="229"/>
      <c r="BH233" s="141"/>
      <c r="BO233" s="50"/>
      <c r="CO233" s="16" t="s">
        <v>289</v>
      </c>
      <c r="CP233" s="16" t="s">
        <v>83</v>
      </c>
    </row>
    <row r="234" spans="2:112" s="1" customFormat="1" ht="19.5" x14ac:dyDescent="0.2">
      <c r="B234" s="31"/>
      <c r="D234" s="138" t="s">
        <v>299</v>
      </c>
      <c r="F234" s="142" t="s">
        <v>443</v>
      </c>
      <c r="I234" s="140"/>
      <c r="L234" s="31"/>
      <c r="N234" s="213"/>
      <c r="O234" s="214"/>
      <c r="Q234" s="229"/>
      <c r="BH234" s="141"/>
      <c r="BO234" s="50"/>
      <c r="CO234" s="16" t="s">
        <v>299</v>
      </c>
      <c r="CP234" s="16" t="s">
        <v>83</v>
      </c>
    </row>
    <row r="235" spans="2:112" s="11" customFormat="1" x14ac:dyDescent="0.2">
      <c r="B235" s="143"/>
      <c r="D235" s="138" t="s">
        <v>301</v>
      </c>
      <c r="E235" s="144" t="s">
        <v>1</v>
      </c>
      <c r="F235" s="145" t="s">
        <v>1006</v>
      </c>
      <c r="H235" s="144" t="s">
        <v>1</v>
      </c>
      <c r="I235" s="146"/>
      <c r="L235" s="143"/>
      <c r="N235" s="215"/>
      <c r="O235" s="216"/>
      <c r="Q235" s="230"/>
      <c r="BH235" s="147"/>
      <c r="BO235" s="148"/>
      <c r="CO235" s="144" t="s">
        <v>301</v>
      </c>
      <c r="CP235" s="144" t="s">
        <v>83</v>
      </c>
      <c r="CQ235" s="11" t="s">
        <v>81</v>
      </c>
      <c r="CR235" s="11" t="s">
        <v>32</v>
      </c>
      <c r="CS235" s="11" t="s">
        <v>74</v>
      </c>
      <c r="CT235" s="144" t="s">
        <v>282</v>
      </c>
    </row>
    <row r="236" spans="2:112" s="12" customFormat="1" x14ac:dyDescent="0.2">
      <c r="B236" s="149"/>
      <c r="D236" s="138" t="s">
        <v>301</v>
      </c>
      <c r="E236" s="150" t="s">
        <v>1</v>
      </c>
      <c r="F236" s="151" t="s">
        <v>1686</v>
      </c>
      <c r="H236" s="152">
        <v>223.46199999999999</v>
      </c>
      <c r="I236" s="153"/>
      <c r="L236" s="149"/>
      <c r="N236" s="217">
        <v>195.64699999999999</v>
      </c>
      <c r="O236" s="218"/>
      <c r="Q236" s="231"/>
      <c r="BH236" s="154"/>
      <c r="BO236" s="155"/>
      <c r="CO236" s="150" t="s">
        <v>301</v>
      </c>
      <c r="CP236" s="150" t="s">
        <v>83</v>
      </c>
      <c r="CQ236" s="12" t="s">
        <v>83</v>
      </c>
      <c r="CR236" s="12" t="s">
        <v>32</v>
      </c>
      <c r="CS236" s="12" t="s">
        <v>74</v>
      </c>
      <c r="CT236" s="150" t="s">
        <v>282</v>
      </c>
    </row>
    <row r="237" spans="2:112" s="14" customFormat="1" x14ac:dyDescent="0.2">
      <c r="B237" s="163"/>
      <c r="D237" s="138" t="s">
        <v>301</v>
      </c>
      <c r="E237" s="164" t="s">
        <v>1</v>
      </c>
      <c r="F237" s="165" t="s">
        <v>373</v>
      </c>
      <c r="H237" s="166">
        <v>223.46199999999999</v>
      </c>
      <c r="I237" s="167"/>
      <c r="L237" s="163"/>
      <c r="N237" s="221">
        <f>N236</f>
        <v>195.64699999999999</v>
      </c>
      <c r="O237" s="222"/>
      <c r="Q237" s="233"/>
      <c r="BH237" s="168"/>
      <c r="BO237" s="169"/>
      <c r="CO237" s="164" t="s">
        <v>301</v>
      </c>
      <c r="CP237" s="164" t="s">
        <v>83</v>
      </c>
      <c r="CQ237" s="14" t="s">
        <v>90</v>
      </c>
      <c r="CR237" s="14" t="s">
        <v>32</v>
      </c>
      <c r="CS237" s="14" t="s">
        <v>74</v>
      </c>
      <c r="CT237" s="164" t="s">
        <v>282</v>
      </c>
    </row>
    <row r="238" spans="2:112" s="11" customFormat="1" x14ac:dyDescent="0.2">
      <c r="B238" s="143"/>
      <c r="D238" s="138" t="s">
        <v>301</v>
      </c>
      <c r="E238" s="144" t="s">
        <v>1</v>
      </c>
      <c r="F238" s="145" t="s">
        <v>1102</v>
      </c>
      <c r="H238" s="144" t="s">
        <v>1</v>
      </c>
      <c r="I238" s="146"/>
      <c r="L238" s="143"/>
      <c r="N238" s="215"/>
      <c r="O238" s="216"/>
      <c r="Q238" s="230"/>
      <c r="BH238" s="147"/>
      <c r="BO238" s="148"/>
      <c r="CO238" s="144" t="s">
        <v>301</v>
      </c>
      <c r="CP238" s="144" t="s">
        <v>83</v>
      </c>
      <c r="CQ238" s="11" t="s">
        <v>81</v>
      </c>
      <c r="CR238" s="11" t="s">
        <v>32</v>
      </c>
      <c r="CS238" s="11" t="s">
        <v>74</v>
      </c>
      <c r="CT238" s="144" t="s">
        <v>282</v>
      </c>
    </row>
    <row r="239" spans="2:112" s="12" customFormat="1" x14ac:dyDescent="0.2">
      <c r="B239" s="149"/>
      <c r="D239" s="138" t="s">
        <v>301</v>
      </c>
      <c r="E239" s="150" t="s">
        <v>1</v>
      </c>
      <c r="F239" s="151" t="s">
        <v>1675</v>
      </c>
      <c r="H239" s="152">
        <v>23.265999999999998</v>
      </c>
      <c r="I239" s="153"/>
      <c r="L239" s="149"/>
      <c r="N239" s="217">
        <f>129.6*1*(2.2-0.1-0.45-0.1)*0.1</f>
        <v>20.088000000000001</v>
      </c>
      <c r="O239" s="218" t="s">
        <v>3775</v>
      </c>
      <c r="Q239" s="231"/>
      <c r="BH239" s="154"/>
      <c r="BO239" s="155"/>
      <c r="CO239" s="150" t="s">
        <v>301</v>
      </c>
      <c r="CP239" s="150" t="s">
        <v>83</v>
      </c>
      <c r="CQ239" s="12" t="s">
        <v>83</v>
      </c>
      <c r="CR239" s="12" t="s">
        <v>32</v>
      </c>
      <c r="CS239" s="12" t="s">
        <v>74</v>
      </c>
      <c r="CT239" s="150" t="s">
        <v>282</v>
      </c>
    </row>
    <row r="240" spans="2:112" s="14" customFormat="1" x14ac:dyDescent="0.2">
      <c r="B240" s="163"/>
      <c r="D240" s="138" t="s">
        <v>301</v>
      </c>
      <c r="E240" s="164" t="s">
        <v>1</v>
      </c>
      <c r="F240" s="165" t="s">
        <v>373</v>
      </c>
      <c r="H240" s="166">
        <v>23.265999999999998</v>
      </c>
      <c r="I240" s="167"/>
      <c r="L240" s="163"/>
      <c r="N240" s="221">
        <f>N239</f>
        <v>20.088000000000001</v>
      </c>
      <c r="O240" s="222"/>
      <c r="Q240" s="233"/>
      <c r="BH240" s="168"/>
      <c r="BO240" s="169"/>
      <c r="CO240" s="164" t="s">
        <v>301</v>
      </c>
      <c r="CP240" s="164" t="s">
        <v>83</v>
      </c>
      <c r="CQ240" s="14" t="s">
        <v>90</v>
      </c>
      <c r="CR240" s="14" t="s">
        <v>32</v>
      </c>
      <c r="CS240" s="14" t="s">
        <v>74</v>
      </c>
      <c r="CT240" s="164" t="s">
        <v>282</v>
      </c>
    </row>
    <row r="241" spans="2:112" s="12" customFormat="1" x14ac:dyDescent="0.2">
      <c r="B241" s="149"/>
      <c r="D241" s="138" t="s">
        <v>301</v>
      </c>
      <c r="E241" s="150" t="s">
        <v>1</v>
      </c>
      <c r="F241" s="151" t="s">
        <v>1687</v>
      </c>
      <c r="H241" s="152">
        <v>200.196</v>
      </c>
      <c r="I241" s="153"/>
      <c r="L241" s="149"/>
      <c r="N241" s="217">
        <f>N237-N240</f>
        <v>175.559</v>
      </c>
      <c r="O241" s="218"/>
      <c r="Q241" s="231"/>
      <c r="BH241" s="154"/>
      <c r="BO241" s="155"/>
      <c r="CO241" s="150" t="s">
        <v>301</v>
      </c>
      <c r="CP241" s="150" t="s">
        <v>83</v>
      </c>
      <c r="CQ241" s="12" t="s">
        <v>83</v>
      </c>
      <c r="CR241" s="12" t="s">
        <v>32</v>
      </c>
      <c r="CS241" s="12" t="s">
        <v>81</v>
      </c>
      <c r="CT241" s="150" t="s">
        <v>282</v>
      </c>
    </row>
    <row r="242" spans="2:112" s="12" customFormat="1" x14ac:dyDescent="0.2">
      <c r="B242" s="149"/>
      <c r="D242" s="138" t="s">
        <v>301</v>
      </c>
      <c r="F242" s="151" t="s">
        <v>1688</v>
      </c>
      <c r="H242" s="152">
        <v>400.392</v>
      </c>
      <c r="I242" s="153"/>
      <c r="L242" s="149"/>
      <c r="N242" s="217">
        <f>N241*2</f>
        <v>351.11799999999999</v>
      </c>
      <c r="O242" s="218"/>
      <c r="Q242" s="231"/>
      <c r="BH242" s="154"/>
      <c r="BO242" s="155"/>
      <c r="CO242" s="150" t="s">
        <v>301</v>
      </c>
      <c r="CP242" s="150" t="s">
        <v>83</v>
      </c>
      <c r="CQ242" s="12" t="s">
        <v>83</v>
      </c>
      <c r="CR242" s="12" t="s">
        <v>3</v>
      </c>
      <c r="CS242" s="12" t="s">
        <v>81</v>
      </c>
      <c r="CT242" s="150" t="s">
        <v>282</v>
      </c>
    </row>
    <row r="243" spans="2:112" s="12" customFormat="1" x14ac:dyDescent="0.2">
      <c r="B243" s="149"/>
      <c r="D243" s="138"/>
      <c r="F243" s="151"/>
      <c r="H243" s="152"/>
      <c r="I243" s="153"/>
      <c r="L243" s="149"/>
      <c r="N243" s="310">
        <f>N242-H242</f>
        <v>-49.274000000000001</v>
      </c>
      <c r="O243" s="218"/>
      <c r="Q243" s="231"/>
      <c r="BH243" s="154"/>
      <c r="BO243" s="155"/>
      <c r="CO243" s="150"/>
      <c r="CP243" s="150"/>
      <c r="CT243" s="150"/>
    </row>
    <row r="244" spans="2:112" s="1" customFormat="1" ht="24.2" customHeight="1" x14ac:dyDescent="0.2">
      <c r="B244" s="124"/>
      <c r="C244" s="125" t="s">
        <v>397</v>
      </c>
      <c r="D244" s="125" t="s">
        <v>284</v>
      </c>
      <c r="E244" s="126" t="s">
        <v>446</v>
      </c>
      <c r="F244" s="127" t="s">
        <v>447</v>
      </c>
      <c r="G244" s="128" t="s">
        <v>366</v>
      </c>
      <c r="H244" s="129">
        <v>67.545000000000002</v>
      </c>
      <c r="I244" s="130">
        <v>510.38291484661499</v>
      </c>
      <c r="J244" s="131">
        <f>ROUND(I244*H244,2)</f>
        <v>34473.81</v>
      </c>
      <c r="K244" s="127" t="s">
        <v>293</v>
      </c>
      <c r="L244" s="268">
        <f>S244</f>
        <v>0</v>
      </c>
      <c r="M244" s="272">
        <f>ROUND(L244*I244,2)</f>
        <v>0</v>
      </c>
      <c r="N244" s="243">
        <f>N248</f>
        <v>-9.2250000000000014</v>
      </c>
      <c r="O244" s="294">
        <f>ROUND(N244*I244,2)</f>
        <v>-4708.28</v>
      </c>
      <c r="P244" s="273">
        <f>H244-L244-N244</f>
        <v>76.77000000000001</v>
      </c>
      <c r="Q244" s="287">
        <f>ROUND(P244*I244,2)</f>
        <v>39182.1</v>
      </c>
      <c r="R244" s="137"/>
      <c r="S244" s="269">
        <f>W244+Y244+AA244+AC244</f>
        <v>0</v>
      </c>
      <c r="T244" s="269">
        <f>ROUND(S244*I244,2)</f>
        <v>0</v>
      </c>
      <c r="U244" s="269">
        <f>H244-S244</f>
        <v>67.545000000000002</v>
      </c>
      <c r="V244" s="269">
        <f>ROUND(U244*I244,2)</f>
        <v>34473.81</v>
      </c>
      <c r="W244" s="269"/>
      <c r="X244" s="269"/>
      <c r="Y244" s="269"/>
      <c r="Z244" s="269"/>
      <c r="AA244" s="269"/>
      <c r="AB244" s="269"/>
      <c r="AC244" s="269"/>
      <c r="AD244" s="269"/>
      <c r="BH244" s="132" t="s">
        <v>1</v>
      </c>
      <c r="BI244" s="133" t="s">
        <v>40</v>
      </c>
      <c r="BK244" s="134">
        <f>BJ244*H244</f>
        <v>0</v>
      </c>
      <c r="BL244" s="134">
        <v>0</v>
      </c>
      <c r="BM244" s="134">
        <f>BL244*H244</f>
        <v>0</v>
      </c>
      <c r="BN244" s="134">
        <v>0</v>
      </c>
      <c r="BO244" s="135">
        <f>BN244*H244</f>
        <v>0</v>
      </c>
      <c r="CM244" s="136" t="s">
        <v>95</v>
      </c>
      <c r="CO244" s="136" t="s">
        <v>284</v>
      </c>
      <c r="CP244" s="136" t="s">
        <v>83</v>
      </c>
      <c r="CT244" s="16" t="s">
        <v>282</v>
      </c>
      <c r="CZ244" s="137">
        <f>IF(BI244="základní",J244,0)</f>
        <v>34473.81</v>
      </c>
      <c r="DA244" s="137">
        <f>IF(BI244="snížená",J244,0)</f>
        <v>0</v>
      </c>
      <c r="DB244" s="137">
        <f>IF(BI244="zákl. přenesená",J244,0)</f>
        <v>0</v>
      </c>
      <c r="DC244" s="137">
        <f>IF(BI244="sníž. přenesená",J244,0)</f>
        <v>0</v>
      </c>
      <c r="DD244" s="137">
        <f>IF(BI244="nulová",J244,0)</f>
        <v>0</v>
      </c>
      <c r="DE244" s="16" t="s">
        <v>81</v>
      </c>
      <c r="DF244" s="137">
        <f>ROUND(I244*H244,2)</f>
        <v>34473.81</v>
      </c>
      <c r="DG244" s="16" t="s">
        <v>95</v>
      </c>
      <c r="DH244" s="136" t="s">
        <v>448</v>
      </c>
    </row>
    <row r="245" spans="2:112" s="1" customFormat="1" ht="39" x14ac:dyDescent="0.2">
      <c r="B245" s="31"/>
      <c r="D245" s="138" t="s">
        <v>289</v>
      </c>
      <c r="F245" s="139" t="s">
        <v>449</v>
      </c>
      <c r="I245" s="140"/>
      <c r="L245" s="31"/>
      <c r="N245" s="213"/>
      <c r="O245" s="214"/>
      <c r="Q245" s="229"/>
      <c r="BH245" s="141"/>
      <c r="BO245" s="50"/>
      <c r="CO245" s="16" t="s">
        <v>289</v>
      </c>
      <c r="CP245" s="16" t="s">
        <v>83</v>
      </c>
    </row>
    <row r="246" spans="2:112" s="1" customFormat="1" ht="29.25" x14ac:dyDescent="0.2">
      <c r="B246" s="31"/>
      <c r="D246" s="138" t="s">
        <v>299</v>
      </c>
      <c r="F246" s="142" t="s">
        <v>1659</v>
      </c>
      <c r="I246" s="140"/>
      <c r="L246" s="31"/>
      <c r="N246" s="213"/>
      <c r="O246" s="214"/>
      <c r="Q246" s="229"/>
      <c r="BH246" s="141"/>
      <c r="BO246" s="50"/>
      <c r="CO246" s="16" t="s">
        <v>299</v>
      </c>
      <c r="CP246" s="16" t="s">
        <v>83</v>
      </c>
    </row>
    <row r="247" spans="2:112" s="12" customFormat="1" x14ac:dyDescent="0.2">
      <c r="B247" s="149"/>
      <c r="D247" s="138" t="s">
        <v>301</v>
      </c>
      <c r="E247" s="150" t="s">
        <v>1</v>
      </c>
      <c r="F247" s="151" t="s">
        <v>1689</v>
      </c>
      <c r="H247" s="152">
        <v>67.545000000000002</v>
      </c>
      <c r="I247" s="153"/>
      <c r="L247" s="149"/>
      <c r="N247" s="217">
        <f>129.6*1*0.45</f>
        <v>58.32</v>
      </c>
      <c r="O247" s="218" t="s">
        <v>3776</v>
      </c>
      <c r="Q247" s="231"/>
      <c r="BH247" s="154"/>
      <c r="BO247" s="155"/>
      <c r="CO247" s="150" t="s">
        <v>301</v>
      </c>
      <c r="CP247" s="150" t="s">
        <v>83</v>
      </c>
      <c r="CQ247" s="12" t="s">
        <v>83</v>
      </c>
      <c r="CR247" s="12" t="s">
        <v>32</v>
      </c>
      <c r="CS247" s="12" t="s">
        <v>81</v>
      </c>
      <c r="CT247" s="150" t="s">
        <v>282</v>
      </c>
    </row>
    <row r="248" spans="2:112" s="12" customFormat="1" x14ac:dyDescent="0.2">
      <c r="B248" s="149"/>
      <c r="D248" s="138"/>
      <c r="E248" s="150"/>
      <c r="F248" s="151"/>
      <c r="H248" s="152"/>
      <c r="I248" s="153"/>
      <c r="L248" s="149"/>
      <c r="N248" s="310">
        <f>N247-H247</f>
        <v>-9.2250000000000014</v>
      </c>
      <c r="O248" s="218"/>
      <c r="Q248" s="231"/>
      <c r="BH248" s="154"/>
      <c r="BO248" s="155"/>
      <c r="CO248" s="150"/>
      <c r="CP248" s="150"/>
      <c r="CT248" s="150"/>
    </row>
    <row r="249" spans="2:112" s="1" customFormat="1" ht="14.45" customHeight="1" x14ac:dyDescent="0.2">
      <c r="B249" s="124"/>
      <c r="C249" s="170" t="s">
        <v>404</v>
      </c>
      <c r="D249" s="170" t="s">
        <v>439</v>
      </c>
      <c r="E249" s="171" t="s">
        <v>452</v>
      </c>
      <c r="F249" s="172" t="s">
        <v>453</v>
      </c>
      <c r="G249" s="173" t="s">
        <v>418</v>
      </c>
      <c r="H249" s="174">
        <v>135.09</v>
      </c>
      <c r="I249" s="175">
        <v>380.62816190000001</v>
      </c>
      <c r="J249" s="176">
        <f>ROUND(I249*H249,2)</f>
        <v>51419.06</v>
      </c>
      <c r="K249" s="172" t="s">
        <v>293</v>
      </c>
      <c r="L249" s="268">
        <f>S249</f>
        <v>0</v>
      </c>
      <c r="M249" s="272">
        <f>ROUND(L249*I249,2)</f>
        <v>0</v>
      </c>
      <c r="N249" s="243">
        <f>N251</f>
        <v>-18.45</v>
      </c>
      <c r="O249" s="294">
        <f>ROUND(N249*I249,2)</f>
        <v>-7022.59</v>
      </c>
      <c r="P249" s="273">
        <f>H249-L249-N249</f>
        <v>153.54</v>
      </c>
      <c r="Q249" s="287">
        <f>ROUND(P249*I249,2)</f>
        <v>58441.65</v>
      </c>
      <c r="R249" s="137"/>
      <c r="S249" s="269">
        <f>W249+Y249+AA249+AC249</f>
        <v>0</v>
      </c>
      <c r="T249" s="269">
        <f>ROUND(S249*I249,2)</f>
        <v>0</v>
      </c>
      <c r="U249" s="269">
        <f>H249-S249</f>
        <v>135.09</v>
      </c>
      <c r="V249" s="269">
        <f>ROUND(U249*I249,2)</f>
        <v>51419.06</v>
      </c>
      <c r="W249" s="290"/>
      <c r="X249" s="290"/>
      <c r="Y249" s="290"/>
      <c r="Z249" s="290"/>
      <c r="AA249" s="290"/>
      <c r="AB249" s="290"/>
      <c r="AC249" s="290"/>
      <c r="AD249" s="290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77" t="s">
        <v>1</v>
      </c>
      <c r="BI249" s="178" t="s">
        <v>40</v>
      </c>
      <c r="BK249" s="134">
        <f>BJ249*H249</f>
        <v>0</v>
      </c>
      <c r="BL249" s="134">
        <v>1</v>
      </c>
      <c r="BM249" s="134">
        <f>BL249*H249</f>
        <v>135.09</v>
      </c>
      <c r="BN249" s="134">
        <v>0</v>
      </c>
      <c r="BO249" s="135">
        <f>BN249*H249</f>
        <v>0</v>
      </c>
      <c r="CM249" s="136" t="s">
        <v>328</v>
      </c>
      <c r="CO249" s="136" t="s">
        <v>439</v>
      </c>
      <c r="CP249" s="136" t="s">
        <v>83</v>
      </c>
      <c r="CT249" s="16" t="s">
        <v>282</v>
      </c>
      <c r="CZ249" s="137">
        <f>IF(BI249="základní",J249,0)</f>
        <v>51419.06</v>
      </c>
      <c r="DA249" s="137">
        <f>IF(BI249="snížená",J249,0)</f>
        <v>0</v>
      </c>
      <c r="DB249" s="137">
        <f>IF(BI249="zákl. přenesená",J249,0)</f>
        <v>0</v>
      </c>
      <c r="DC249" s="137">
        <f>IF(BI249="sníž. přenesená",J249,0)</f>
        <v>0</v>
      </c>
      <c r="DD249" s="137">
        <f>IF(BI249="nulová",J249,0)</f>
        <v>0</v>
      </c>
      <c r="DE249" s="16" t="s">
        <v>81</v>
      </c>
      <c r="DF249" s="137">
        <f>ROUND(I249*H249,2)</f>
        <v>51419.06</v>
      </c>
      <c r="DG249" s="16" t="s">
        <v>95</v>
      </c>
      <c r="DH249" s="136" t="s">
        <v>454</v>
      </c>
    </row>
    <row r="250" spans="2:112" s="1" customFormat="1" x14ac:dyDescent="0.2">
      <c r="B250" s="31"/>
      <c r="D250" s="138" t="s">
        <v>289</v>
      </c>
      <c r="F250" s="139" t="s">
        <v>453</v>
      </c>
      <c r="I250" s="140"/>
      <c r="L250" s="31"/>
      <c r="N250" s="213"/>
      <c r="O250" s="214"/>
      <c r="Q250" s="229"/>
      <c r="BH250" s="141"/>
      <c r="BO250" s="50"/>
      <c r="CO250" s="16" t="s">
        <v>289</v>
      </c>
      <c r="CP250" s="16" t="s">
        <v>83</v>
      </c>
    </row>
    <row r="251" spans="2:112" s="12" customFormat="1" x14ac:dyDescent="0.2">
      <c r="B251" s="149"/>
      <c r="D251" s="138" t="s">
        <v>301</v>
      </c>
      <c r="F251" s="151" t="s">
        <v>1690</v>
      </c>
      <c r="H251" s="152">
        <v>135.09</v>
      </c>
      <c r="I251" s="153"/>
      <c r="L251" s="149"/>
      <c r="N251" s="217">
        <f>-9.225*2</f>
        <v>-18.45</v>
      </c>
      <c r="O251" s="218" t="s">
        <v>3777</v>
      </c>
      <c r="Q251" s="231"/>
      <c r="BH251" s="154"/>
      <c r="BO251" s="155"/>
      <c r="CO251" s="150" t="s">
        <v>301</v>
      </c>
      <c r="CP251" s="150" t="s">
        <v>83</v>
      </c>
      <c r="CQ251" s="12" t="s">
        <v>83</v>
      </c>
      <c r="CR251" s="12" t="s">
        <v>3</v>
      </c>
      <c r="CS251" s="12" t="s">
        <v>81</v>
      </c>
      <c r="CT251" s="150" t="s">
        <v>282</v>
      </c>
    </row>
    <row r="252" spans="2:112" s="1" customFormat="1" ht="24.2" customHeight="1" x14ac:dyDescent="0.2">
      <c r="B252" s="124"/>
      <c r="C252" s="125" t="s">
        <v>7</v>
      </c>
      <c r="D252" s="125" t="s">
        <v>284</v>
      </c>
      <c r="E252" s="126" t="s">
        <v>1012</v>
      </c>
      <c r="F252" s="127" t="s">
        <v>1013</v>
      </c>
      <c r="G252" s="128" t="s">
        <v>287</v>
      </c>
      <c r="H252" s="129">
        <v>45.03</v>
      </c>
      <c r="I252" s="130">
        <v>64.410667599999996</v>
      </c>
      <c r="J252" s="131">
        <f>ROUND(I252*H252,2)</f>
        <v>2900.41</v>
      </c>
      <c r="K252" s="127" t="s">
        <v>1</v>
      </c>
      <c r="L252" s="268">
        <f>S252</f>
        <v>0</v>
      </c>
      <c r="M252" s="272">
        <f>ROUND(L252*I252,2)</f>
        <v>0</v>
      </c>
      <c r="N252" s="243">
        <f>N254</f>
        <v>-6.1500000000000057</v>
      </c>
      <c r="O252" s="294">
        <f>ROUND(N252*I252,2)</f>
        <v>-396.13</v>
      </c>
      <c r="P252" s="273">
        <f>H252-L252-N252</f>
        <v>51.180000000000007</v>
      </c>
      <c r="Q252" s="287">
        <f>ROUND(P252*I252,2)</f>
        <v>3296.54</v>
      </c>
      <c r="R252" s="137"/>
      <c r="S252" s="269">
        <f>W252+Y252+AA252+AC252</f>
        <v>0</v>
      </c>
      <c r="T252" s="269">
        <f>ROUND(S252*I252,2)</f>
        <v>0</v>
      </c>
      <c r="U252" s="269">
        <f>H252-S252</f>
        <v>45.03</v>
      </c>
      <c r="V252" s="269">
        <f>ROUND(U252*I252,2)</f>
        <v>2900.41</v>
      </c>
      <c r="W252" s="269"/>
      <c r="X252" s="269"/>
      <c r="Y252" s="269"/>
      <c r="Z252" s="269"/>
      <c r="AA252" s="269"/>
      <c r="AB252" s="269"/>
      <c r="AC252" s="269"/>
      <c r="AD252" s="269"/>
      <c r="BH252" s="132" t="s">
        <v>1</v>
      </c>
      <c r="BI252" s="133" t="s">
        <v>40</v>
      </c>
      <c r="BK252" s="134">
        <f>BJ252*H252</f>
        <v>0</v>
      </c>
      <c r="BL252" s="134">
        <v>0</v>
      </c>
      <c r="BM252" s="134">
        <f>BL252*H252</f>
        <v>0</v>
      </c>
      <c r="BN252" s="134">
        <v>0</v>
      </c>
      <c r="BO252" s="135">
        <f>BN252*H252</f>
        <v>0</v>
      </c>
      <c r="CM252" s="136" t="s">
        <v>95</v>
      </c>
      <c r="CO252" s="136" t="s">
        <v>284</v>
      </c>
      <c r="CP252" s="136" t="s">
        <v>83</v>
      </c>
      <c r="CT252" s="16" t="s">
        <v>282</v>
      </c>
      <c r="CZ252" s="137">
        <f>IF(BI252="základní",J252,0)</f>
        <v>2900.41</v>
      </c>
      <c r="DA252" s="137">
        <f>IF(BI252="snížená",J252,0)</f>
        <v>0</v>
      </c>
      <c r="DB252" s="137">
        <f>IF(BI252="zákl. přenesená",J252,0)</f>
        <v>0</v>
      </c>
      <c r="DC252" s="137">
        <f>IF(BI252="sníž. přenesená",J252,0)</f>
        <v>0</v>
      </c>
      <c r="DD252" s="137">
        <f>IF(BI252="nulová",J252,0)</f>
        <v>0</v>
      </c>
      <c r="DE252" s="16" t="s">
        <v>81</v>
      </c>
      <c r="DF252" s="137">
        <f>ROUND(I252*H252,2)</f>
        <v>2900.41</v>
      </c>
      <c r="DG252" s="16" t="s">
        <v>95</v>
      </c>
      <c r="DH252" s="136" t="s">
        <v>1014</v>
      </c>
    </row>
    <row r="253" spans="2:112" s="1" customFormat="1" x14ac:dyDescent="0.2">
      <c r="B253" s="31"/>
      <c r="D253" s="138" t="s">
        <v>289</v>
      </c>
      <c r="F253" s="139" t="s">
        <v>1013</v>
      </c>
      <c r="I253" s="140"/>
      <c r="L253" s="31"/>
      <c r="N253" s="213"/>
      <c r="O253" s="214"/>
      <c r="Q253" s="229"/>
      <c r="BH253" s="141"/>
      <c r="BO253" s="50"/>
      <c r="CO253" s="16" t="s">
        <v>289</v>
      </c>
      <c r="CP253" s="16" t="s">
        <v>83</v>
      </c>
    </row>
    <row r="254" spans="2:112" s="1" customFormat="1" ht="24.2" customHeight="1" x14ac:dyDescent="0.2">
      <c r="B254" s="124"/>
      <c r="C254" s="125" t="s">
        <v>415</v>
      </c>
      <c r="D254" s="125" t="s">
        <v>284</v>
      </c>
      <c r="E254" s="126" t="s">
        <v>1015</v>
      </c>
      <c r="F254" s="127" t="s">
        <v>1016</v>
      </c>
      <c r="G254" s="128" t="s">
        <v>287</v>
      </c>
      <c r="H254" s="129">
        <v>45.03</v>
      </c>
      <c r="I254" s="130">
        <v>48.300657632010001</v>
      </c>
      <c r="J254" s="131">
        <f>ROUND(I254*H254,2)</f>
        <v>2174.98</v>
      </c>
      <c r="K254" s="127" t="s">
        <v>293</v>
      </c>
      <c r="L254" s="268">
        <f>S254</f>
        <v>0</v>
      </c>
      <c r="M254" s="272">
        <f>ROUND(L254*I254,2)</f>
        <v>0</v>
      </c>
      <c r="N254" s="243">
        <f>N259</f>
        <v>-6.1500000000000057</v>
      </c>
      <c r="O254" s="294">
        <f>ROUND(N254*I254,2)</f>
        <v>-297.05</v>
      </c>
      <c r="P254" s="273">
        <f>H254-L254-N254</f>
        <v>51.180000000000007</v>
      </c>
      <c r="Q254" s="287">
        <f>ROUND(P254*I254,2)</f>
        <v>2472.0300000000002</v>
      </c>
      <c r="R254" s="137"/>
      <c r="S254" s="269">
        <f>W254+Y254+AA254+AC254</f>
        <v>0</v>
      </c>
      <c r="T254" s="269">
        <f>ROUND(S254*I254,2)</f>
        <v>0</v>
      </c>
      <c r="U254" s="269">
        <f>H254-S254</f>
        <v>45.03</v>
      </c>
      <c r="V254" s="269">
        <f>ROUND(U254*I254,2)</f>
        <v>2174.98</v>
      </c>
      <c r="W254" s="269"/>
      <c r="X254" s="269"/>
      <c r="Y254" s="269"/>
      <c r="Z254" s="269"/>
      <c r="AA254" s="269"/>
      <c r="AB254" s="269"/>
      <c r="AC254" s="269"/>
      <c r="AD254" s="269"/>
      <c r="BH254" s="132" t="s">
        <v>1</v>
      </c>
      <c r="BI254" s="133" t="s">
        <v>40</v>
      </c>
      <c r="BK254" s="134">
        <f>BJ254*H254</f>
        <v>0</v>
      </c>
      <c r="BL254" s="134">
        <v>0</v>
      </c>
      <c r="BM254" s="134">
        <f>BL254*H254</f>
        <v>0</v>
      </c>
      <c r="BN254" s="134">
        <v>0</v>
      </c>
      <c r="BO254" s="135">
        <f>BN254*H254</f>
        <v>0</v>
      </c>
      <c r="CM254" s="136" t="s">
        <v>95</v>
      </c>
      <c r="CO254" s="136" t="s">
        <v>284</v>
      </c>
      <c r="CP254" s="136" t="s">
        <v>83</v>
      </c>
      <c r="CT254" s="16" t="s">
        <v>282</v>
      </c>
      <c r="CZ254" s="137">
        <f>IF(BI254="základní",J254,0)</f>
        <v>2174.98</v>
      </c>
      <c r="DA254" s="137">
        <f>IF(BI254="snížená",J254,0)</f>
        <v>0</v>
      </c>
      <c r="DB254" s="137">
        <f>IF(BI254="zákl. přenesená",J254,0)</f>
        <v>0</v>
      </c>
      <c r="DC254" s="137">
        <f>IF(BI254="sníž. přenesená",J254,0)</f>
        <v>0</v>
      </c>
      <c r="DD254" s="137">
        <f>IF(BI254="nulová",J254,0)</f>
        <v>0</v>
      </c>
      <c r="DE254" s="16" t="s">
        <v>81</v>
      </c>
      <c r="DF254" s="137">
        <f>ROUND(I254*H254,2)</f>
        <v>2174.98</v>
      </c>
      <c r="DG254" s="16" t="s">
        <v>95</v>
      </c>
      <c r="DH254" s="136" t="s">
        <v>1017</v>
      </c>
    </row>
    <row r="255" spans="2:112" s="1" customFormat="1" ht="29.25" x14ac:dyDescent="0.2">
      <c r="B255" s="31"/>
      <c r="D255" s="138" t="s">
        <v>289</v>
      </c>
      <c r="F255" s="139" t="s">
        <v>1018</v>
      </c>
      <c r="I255" s="140"/>
      <c r="L255" s="31"/>
      <c r="N255" s="213"/>
      <c r="O255" s="214"/>
      <c r="Q255" s="229"/>
      <c r="BH255" s="141"/>
      <c r="BO255" s="50"/>
      <c r="CO255" s="16" t="s">
        <v>289</v>
      </c>
      <c r="CP255" s="16" t="s">
        <v>83</v>
      </c>
    </row>
    <row r="256" spans="2:112" s="1" customFormat="1" ht="29.25" x14ac:dyDescent="0.2">
      <c r="B256" s="31"/>
      <c r="D256" s="138" t="s">
        <v>299</v>
      </c>
      <c r="F256" s="142" t="s">
        <v>1659</v>
      </c>
      <c r="I256" s="140"/>
      <c r="L256" s="31"/>
      <c r="N256" s="213"/>
      <c r="O256" s="214"/>
      <c r="Q256" s="229"/>
      <c r="BH256" s="141"/>
      <c r="BO256" s="50"/>
      <c r="CO256" s="16" t="s">
        <v>299</v>
      </c>
      <c r="CP256" s="16" t="s">
        <v>83</v>
      </c>
    </row>
    <row r="257" spans="2:112" s="11" customFormat="1" x14ac:dyDescent="0.2">
      <c r="B257" s="143"/>
      <c r="D257" s="138" t="s">
        <v>301</v>
      </c>
      <c r="E257" s="144" t="s">
        <v>1</v>
      </c>
      <c r="F257" s="145" t="s">
        <v>1088</v>
      </c>
      <c r="H257" s="144" t="s">
        <v>1</v>
      </c>
      <c r="I257" s="146"/>
      <c r="L257" s="143"/>
      <c r="N257" s="215"/>
      <c r="O257" s="216"/>
      <c r="Q257" s="230"/>
      <c r="BH257" s="147"/>
      <c r="BO257" s="148"/>
      <c r="CO257" s="144" t="s">
        <v>301</v>
      </c>
      <c r="CP257" s="144" t="s">
        <v>83</v>
      </c>
      <c r="CQ257" s="11" t="s">
        <v>81</v>
      </c>
      <c r="CR257" s="11" t="s">
        <v>32</v>
      </c>
      <c r="CS257" s="11" t="s">
        <v>74</v>
      </c>
      <c r="CT257" s="144" t="s">
        <v>282</v>
      </c>
    </row>
    <row r="258" spans="2:112" s="12" customFormat="1" x14ac:dyDescent="0.2">
      <c r="B258" s="149"/>
      <c r="D258" s="138" t="s">
        <v>301</v>
      </c>
      <c r="E258" s="150" t="s">
        <v>1</v>
      </c>
      <c r="F258" s="151" t="s">
        <v>1663</v>
      </c>
      <c r="H258" s="152">
        <v>45.03</v>
      </c>
      <c r="I258" s="153"/>
      <c r="L258" s="149"/>
      <c r="N258" s="217">
        <f>129.6*3*0.1</f>
        <v>38.879999999999995</v>
      </c>
      <c r="O258" s="218" t="s">
        <v>3766</v>
      </c>
      <c r="Q258" s="231"/>
      <c r="BH258" s="154"/>
      <c r="BO258" s="155"/>
      <c r="CO258" s="150" t="s">
        <v>301</v>
      </c>
      <c r="CP258" s="150" t="s">
        <v>83</v>
      </c>
      <c r="CQ258" s="12" t="s">
        <v>83</v>
      </c>
      <c r="CR258" s="12" t="s">
        <v>32</v>
      </c>
      <c r="CS258" s="12" t="s">
        <v>81</v>
      </c>
      <c r="CT258" s="150" t="s">
        <v>282</v>
      </c>
    </row>
    <row r="259" spans="2:112" s="12" customFormat="1" x14ac:dyDescent="0.2">
      <c r="B259" s="149"/>
      <c r="D259" s="138"/>
      <c r="E259" s="150"/>
      <c r="F259" s="151"/>
      <c r="H259" s="152"/>
      <c r="I259" s="153"/>
      <c r="L259" s="149"/>
      <c r="N259" s="310">
        <f>N258-H258</f>
        <v>-6.1500000000000057</v>
      </c>
      <c r="O259" s="218"/>
      <c r="Q259" s="231"/>
      <c r="BH259" s="154"/>
      <c r="BO259" s="155"/>
      <c r="CO259" s="150"/>
      <c r="CP259" s="150"/>
      <c r="CT259" s="150"/>
    </row>
    <row r="260" spans="2:112" s="1" customFormat="1" ht="24.2" customHeight="1" x14ac:dyDescent="0.2">
      <c r="B260" s="124"/>
      <c r="C260" s="125" t="s">
        <v>422</v>
      </c>
      <c r="D260" s="125" t="s">
        <v>284</v>
      </c>
      <c r="E260" s="126" t="s">
        <v>457</v>
      </c>
      <c r="F260" s="127" t="s">
        <v>458</v>
      </c>
      <c r="G260" s="128" t="s">
        <v>418</v>
      </c>
      <c r="H260" s="129">
        <v>535.48199999999997</v>
      </c>
      <c r="I260" s="130">
        <v>61.737071122597108</v>
      </c>
      <c r="J260" s="131">
        <f>ROUND(I260*H260,2)</f>
        <v>33059.089999999997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N262</f>
        <v>-67.724000000000004</v>
      </c>
      <c r="O260" s="294">
        <f>ROUND(N260*I260,2)</f>
        <v>-4181.08</v>
      </c>
      <c r="P260" s="273">
        <f>H260-L260-N260</f>
        <v>603.20600000000002</v>
      </c>
      <c r="Q260" s="287">
        <f>ROUND(P260*I260,2)</f>
        <v>37240.17</v>
      </c>
      <c r="R260" s="137"/>
      <c r="S260" s="269">
        <f>W260+Y260+AA260+AC260</f>
        <v>0</v>
      </c>
      <c r="T260" s="269">
        <f>ROUND(S260*I260,2)</f>
        <v>0</v>
      </c>
      <c r="U260" s="269">
        <f>H260-S260</f>
        <v>535.48199999999997</v>
      </c>
      <c r="V260" s="269">
        <f>ROUND(U260*I260,2)</f>
        <v>33059.089999999997</v>
      </c>
      <c r="W260" s="269"/>
      <c r="X260" s="269"/>
      <c r="Y260" s="269"/>
      <c r="Z260" s="269"/>
      <c r="AA260" s="269"/>
      <c r="AB260" s="269"/>
      <c r="AC260" s="269"/>
      <c r="AD260" s="269"/>
      <c r="BH260" s="132" t="s">
        <v>1</v>
      </c>
      <c r="BI260" s="133" t="s">
        <v>40</v>
      </c>
      <c r="BK260" s="134">
        <f>BJ260*H260</f>
        <v>0</v>
      </c>
      <c r="BL260" s="134">
        <v>0</v>
      </c>
      <c r="BM260" s="134">
        <f>BL260*H260</f>
        <v>0</v>
      </c>
      <c r="BN260" s="134">
        <v>0</v>
      </c>
      <c r="BO260" s="135">
        <f>BN260*H260</f>
        <v>0</v>
      </c>
      <c r="CM260" s="136" t="s">
        <v>95</v>
      </c>
      <c r="CO260" s="136" t="s">
        <v>284</v>
      </c>
      <c r="CP260" s="136" t="s">
        <v>83</v>
      </c>
      <c r="CT260" s="16" t="s">
        <v>282</v>
      </c>
      <c r="CZ260" s="137">
        <f>IF(BI260="základní",J260,0)</f>
        <v>33059.089999999997</v>
      </c>
      <c r="DA260" s="137">
        <f>IF(BI260="snížená",J260,0)</f>
        <v>0</v>
      </c>
      <c r="DB260" s="137">
        <f>IF(BI260="zákl. přenesená",J260,0)</f>
        <v>0</v>
      </c>
      <c r="DC260" s="137">
        <f>IF(BI260="sníž. přenesená",J260,0)</f>
        <v>0</v>
      </c>
      <c r="DD260" s="137">
        <f>IF(BI260="nulová",J260,0)</f>
        <v>0</v>
      </c>
      <c r="DE260" s="16" t="s">
        <v>81</v>
      </c>
      <c r="DF260" s="137">
        <f>ROUND(I260*H260,2)</f>
        <v>33059.089999999997</v>
      </c>
      <c r="DG260" s="16" t="s">
        <v>95</v>
      </c>
      <c r="DH260" s="136" t="s">
        <v>459</v>
      </c>
    </row>
    <row r="261" spans="2:112" s="1" customFormat="1" ht="29.25" x14ac:dyDescent="0.2">
      <c r="B261" s="31"/>
      <c r="D261" s="138" t="s">
        <v>289</v>
      </c>
      <c r="F261" s="139" t="s">
        <v>460</v>
      </c>
      <c r="I261" s="140"/>
      <c r="L261" s="31"/>
      <c r="N261" s="213"/>
      <c r="O261" s="214"/>
      <c r="Q261" s="229"/>
      <c r="BH261" s="141"/>
      <c r="BO261" s="50"/>
      <c r="CO261" s="16" t="s">
        <v>289</v>
      </c>
      <c r="CP261" s="16" t="s">
        <v>83</v>
      </c>
    </row>
    <row r="262" spans="2:112" s="12" customFormat="1" x14ac:dyDescent="0.2">
      <c r="B262" s="149"/>
      <c r="D262" s="138" t="s">
        <v>301</v>
      </c>
      <c r="E262" s="150" t="s">
        <v>1</v>
      </c>
      <c r="F262" s="151" t="s">
        <v>1691</v>
      </c>
      <c r="H262" s="152">
        <v>535.48199999999997</v>
      </c>
      <c r="I262" s="153"/>
      <c r="L262" s="149"/>
      <c r="N262" s="217">
        <f>-49.274-18.45</f>
        <v>-67.724000000000004</v>
      </c>
      <c r="O262" s="218" t="s">
        <v>3784</v>
      </c>
      <c r="Q262" s="231"/>
      <c r="BH262" s="154"/>
      <c r="BO262" s="155"/>
      <c r="CO262" s="150" t="s">
        <v>301</v>
      </c>
      <c r="CP262" s="150" t="s">
        <v>83</v>
      </c>
      <c r="CQ262" s="12" t="s">
        <v>83</v>
      </c>
      <c r="CR262" s="12" t="s">
        <v>32</v>
      </c>
      <c r="CS262" s="12" t="s">
        <v>81</v>
      </c>
      <c r="CT262" s="150" t="s">
        <v>282</v>
      </c>
    </row>
    <row r="263" spans="2:112" s="10" customFormat="1" ht="22.9" customHeight="1" x14ac:dyDescent="0.2">
      <c r="B263" s="112"/>
      <c r="D263" s="113" t="s">
        <v>73</v>
      </c>
      <c r="E263" s="122" t="s">
        <v>83</v>
      </c>
      <c r="F263" s="122" t="s">
        <v>462</v>
      </c>
      <c r="I263" s="115"/>
      <c r="J263" s="123">
        <f>DF263</f>
        <v>39636.65</v>
      </c>
      <c r="L263" s="112"/>
      <c r="M263" s="270">
        <f>SUM(M264)</f>
        <v>0</v>
      </c>
      <c r="N263" s="301"/>
      <c r="O263" s="302">
        <f t="shared" ref="O263:V263" si="3">SUM(O264)</f>
        <v>-5413.4</v>
      </c>
      <c r="P263" s="270"/>
      <c r="Q263" s="288">
        <f t="shared" si="3"/>
        <v>45050.05</v>
      </c>
      <c r="R263" s="270"/>
      <c r="S263" s="270"/>
      <c r="T263" s="270">
        <f t="shared" si="3"/>
        <v>0</v>
      </c>
      <c r="U263" s="270"/>
      <c r="V263" s="270">
        <f t="shared" si="3"/>
        <v>39636.65</v>
      </c>
      <c r="BH263" s="117"/>
      <c r="BK263" s="118">
        <f>SUM(BK264:BK267)</f>
        <v>0</v>
      </c>
      <c r="BM263" s="118">
        <f>SUM(BM264:BM267)</f>
        <v>30.723969</v>
      </c>
      <c r="BO263" s="119">
        <f>SUM(BO264:BO267)</f>
        <v>0</v>
      </c>
      <c r="CM263" s="113" t="s">
        <v>81</v>
      </c>
      <c r="CO263" s="120" t="s">
        <v>73</v>
      </c>
      <c r="CP263" s="120" t="s">
        <v>81</v>
      </c>
      <c r="CT263" s="113" t="s">
        <v>282</v>
      </c>
      <c r="DF263" s="121">
        <f>SUM(DF264:DF267)</f>
        <v>39636.65</v>
      </c>
    </row>
    <row r="264" spans="2:112" s="1" customFormat="1" ht="37.9" customHeight="1" x14ac:dyDescent="0.2">
      <c r="B264" s="124"/>
      <c r="C264" s="125" t="s">
        <v>438</v>
      </c>
      <c r="D264" s="125" t="s">
        <v>284</v>
      </c>
      <c r="E264" s="126" t="s">
        <v>464</v>
      </c>
      <c r="F264" s="127" t="s">
        <v>465</v>
      </c>
      <c r="G264" s="128" t="s">
        <v>344</v>
      </c>
      <c r="H264" s="129">
        <v>150.1</v>
      </c>
      <c r="I264" s="130">
        <v>264.06831423630393</v>
      </c>
      <c r="J264" s="131">
        <f>ROUND(I264*H264,2)</f>
        <v>39636.65</v>
      </c>
      <c r="K264" s="127" t="s">
        <v>293</v>
      </c>
      <c r="L264" s="268">
        <f>S264</f>
        <v>0</v>
      </c>
      <c r="M264" s="272">
        <f>ROUND(L264*I264,2)</f>
        <v>0</v>
      </c>
      <c r="N264" s="243">
        <f>N267</f>
        <v>-20.5</v>
      </c>
      <c r="O264" s="294">
        <f>ROUND(N264*I264,2)</f>
        <v>-5413.4</v>
      </c>
      <c r="P264" s="273">
        <f>H264-L264-N264</f>
        <v>170.6</v>
      </c>
      <c r="Q264" s="287">
        <f>ROUND(P264*I264,2)</f>
        <v>45050.05</v>
      </c>
      <c r="R264" s="137"/>
      <c r="S264" s="269">
        <f>W264+Y264+AA264+AC264</f>
        <v>0</v>
      </c>
      <c r="T264" s="269">
        <f>ROUND(S264*I264,2)</f>
        <v>0</v>
      </c>
      <c r="U264" s="269">
        <f>H264-S264</f>
        <v>150.1</v>
      </c>
      <c r="V264" s="269">
        <f>ROUND(U264*I264,2)</f>
        <v>39636.65</v>
      </c>
      <c r="W264" s="269"/>
      <c r="X264" s="269"/>
      <c r="Y264" s="269"/>
      <c r="Z264" s="269"/>
      <c r="AA264" s="269"/>
      <c r="AB264" s="269"/>
      <c r="AC264" s="269"/>
      <c r="AD264" s="269"/>
      <c r="BH264" s="132" t="s">
        <v>1</v>
      </c>
      <c r="BI264" s="133" t="s">
        <v>40</v>
      </c>
      <c r="BK264" s="134">
        <f>BJ264*H264</f>
        <v>0</v>
      </c>
      <c r="BL264" s="134">
        <v>0.20469000000000001</v>
      </c>
      <c r="BM264" s="134">
        <f>BL264*H264</f>
        <v>30.723969</v>
      </c>
      <c r="BN264" s="134">
        <v>0</v>
      </c>
      <c r="BO264" s="135">
        <f>BN264*H264</f>
        <v>0</v>
      </c>
      <c r="CM264" s="136" t="s">
        <v>95</v>
      </c>
      <c r="CO264" s="136" t="s">
        <v>284</v>
      </c>
      <c r="CP264" s="136" t="s">
        <v>83</v>
      </c>
      <c r="CT264" s="16" t="s">
        <v>282</v>
      </c>
      <c r="CZ264" s="137">
        <f>IF(BI264="základní",J264,0)</f>
        <v>39636.65</v>
      </c>
      <c r="DA264" s="137">
        <f>IF(BI264="snížená",J264,0)</f>
        <v>0</v>
      </c>
      <c r="DB264" s="137">
        <f>IF(BI264="zákl. přenesená",J264,0)</f>
        <v>0</v>
      </c>
      <c r="DC264" s="137">
        <f>IF(BI264="sníž. přenesená",J264,0)</f>
        <v>0</v>
      </c>
      <c r="DD264" s="137">
        <f>IF(BI264="nulová",J264,0)</f>
        <v>0</v>
      </c>
      <c r="DE264" s="16" t="s">
        <v>81</v>
      </c>
      <c r="DF264" s="137">
        <f>ROUND(I264*H264,2)</f>
        <v>39636.65</v>
      </c>
      <c r="DG264" s="16" t="s">
        <v>95</v>
      </c>
      <c r="DH264" s="136" t="s">
        <v>466</v>
      </c>
    </row>
    <row r="265" spans="2:112" s="1" customFormat="1" ht="39" x14ac:dyDescent="0.2">
      <c r="B265" s="31"/>
      <c r="D265" s="138" t="s">
        <v>289</v>
      </c>
      <c r="F265" s="139" t="s">
        <v>467</v>
      </c>
      <c r="I265" s="140"/>
      <c r="L265" s="31"/>
      <c r="N265" s="213"/>
      <c r="O265" s="214"/>
      <c r="Q265" s="229"/>
      <c r="BH265" s="141"/>
      <c r="BO265" s="50"/>
      <c r="CO265" s="16" t="s">
        <v>289</v>
      </c>
      <c r="CP265" s="16" t="s">
        <v>83</v>
      </c>
    </row>
    <row r="266" spans="2:112" s="1" customFormat="1" ht="29.25" x14ac:dyDescent="0.2">
      <c r="B266" s="31"/>
      <c r="D266" s="138" t="s">
        <v>299</v>
      </c>
      <c r="F266" s="142" t="s">
        <v>1659</v>
      </c>
      <c r="I266" s="140"/>
      <c r="L266" s="31"/>
      <c r="N266" s="213"/>
      <c r="O266" s="214"/>
      <c r="Q266" s="229"/>
      <c r="BH266" s="141"/>
      <c r="BO266" s="50"/>
      <c r="CO266" s="16" t="s">
        <v>299</v>
      </c>
      <c r="CP266" s="16" t="s">
        <v>83</v>
      </c>
    </row>
    <row r="267" spans="2:112" s="12" customFormat="1" x14ac:dyDescent="0.2">
      <c r="B267" s="149"/>
      <c r="D267" s="138" t="s">
        <v>301</v>
      </c>
      <c r="E267" s="150" t="s">
        <v>1</v>
      </c>
      <c r="F267" s="151" t="s">
        <v>1692</v>
      </c>
      <c r="H267" s="152">
        <v>150.1</v>
      </c>
      <c r="I267" s="153"/>
      <c r="L267" s="149"/>
      <c r="N267" s="217">
        <f>129.6-150.1</f>
        <v>-20.5</v>
      </c>
      <c r="O267" s="218" t="s">
        <v>3778</v>
      </c>
      <c r="Q267" s="231"/>
      <c r="BH267" s="154"/>
      <c r="BO267" s="155"/>
      <c r="CO267" s="150" t="s">
        <v>301</v>
      </c>
      <c r="CP267" s="150" t="s">
        <v>83</v>
      </c>
      <c r="CQ267" s="12" t="s">
        <v>83</v>
      </c>
      <c r="CR267" s="12" t="s">
        <v>32</v>
      </c>
      <c r="CS267" s="12" t="s">
        <v>81</v>
      </c>
      <c r="CT267" s="150" t="s">
        <v>282</v>
      </c>
    </row>
    <row r="268" spans="2:112" s="10" customFormat="1" ht="22.9" customHeight="1" x14ac:dyDescent="0.2">
      <c r="B268" s="112"/>
      <c r="D268" s="113" t="s">
        <v>73</v>
      </c>
      <c r="E268" s="122" t="s">
        <v>95</v>
      </c>
      <c r="F268" s="122" t="s">
        <v>469</v>
      </c>
      <c r="I268" s="115"/>
      <c r="J268" s="123">
        <f>DF268</f>
        <v>42707.130000000005</v>
      </c>
      <c r="L268" s="112"/>
      <c r="M268" s="270">
        <f>SUM(M269:M283)</f>
        <v>0</v>
      </c>
      <c r="N268" s="301"/>
      <c r="O268" s="302">
        <f t="shared" ref="O268:V268" si="4">SUM(O269:O283)</f>
        <v>-4074.22</v>
      </c>
      <c r="P268" s="270"/>
      <c r="Q268" s="288">
        <f t="shared" si="4"/>
        <v>46781.35</v>
      </c>
      <c r="R268" s="270"/>
      <c r="S268" s="270"/>
      <c r="T268" s="270">
        <f t="shared" si="4"/>
        <v>0</v>
      </c>
      <c r="U268" s="270"/>
      <c r="V268" s="270">
        <f t="shared" si="4"/>
        <v>42707.130000000005</v>
      </c>
      <c r="BH268" s="117"/>
      <c r="BK268" s="118">
        <f>SUM(BK269:BK290)</f>
        <v>0</v>
      </c>
      <c r="BM268" s="118">
        <f>SUM(BM269:BM290)</f>
        <v>0</v>
      </c>
      <c r="BO268" s="119">
        <f>SUM(BO269:BO290)</f>
        <v>0</v>
      </c>
      <c r="CM268" s="113" t="s">
        <v>81</v>
      </c>
      <c r="CO268" s="120" t="s">
        <v>73</v>
      </c>
      <c r="CP268" s="120" t="s">
        <v>81</v>
      </c>
      <c r="CT268" s="113" t="s">
        <v>282</v>
      </c>
      <c r="DF268" s="121">
        <f>SUM(DF269:DF290)</f>
        <v>42707.130000000005</v>
      </c>
    </row>
    <row r="269" spans="2:112" s="1" customFormat="1" ht="14.45" customHeight="1" x14ac:dyDescent="0.2">
      <c r="B269" s="124"/>
      <c r="C269" s="125" t="s">
        <v>445</v>
      </c>
      <c r="D269" s="125" t="s">
        <v>284</v>
      </c>
      <c r="E269" s="126" t="s">
        <v>471</v>
      </c>
      <c r="F269" s="127" t="s">
        <v>472</v>
      </c>
      <c r="G269" s="128" t="s">
        <v>366</v>
      </c>
      <c r="H269" s="129">
        <v>15.01</v>
      </c>
      <c r="I269" s="130">
        <v>1200.17173250368</v>
      </c>
      <c r="J269" s="131">
        <f>ROUND(I269*H269,2)</f>
        <v>18014.580000000002</v>
      </c>
      <c r="K269" s="127" t="s">
        <v>293</v>
      </c>
      <c r="L269" s="268">
        <f>S269</f>
        <v>0</v>
      </c>
      <c r="M269" s="272">
        <f>ROUND(L269*I269,2)</f>
        <v>0</v>
      </c>
      <c r="N269" s="243">
        <f>N273</f>
        <v>-2.0499999999999989</v>
      </c>
      <c r="O269" s="294">
        <f>ROUND(N269*I269,2)</f>
        <v>-2460.35</v>
      </c>
      <c r="P269" s="273">
        <f>H269-L269-N269</f>
        <v>17.059999999999999</v>
      </c>
      <c r="Q269" s="287">
        <f>ROUND(P269*I269,2)</f>
        <v>20474.93</v>
      </c>
      <c r="R269" s="137"/>
      <c r="S269" s="269">
        <f>W269+Y269+AA269+AC269</f>
        <v>0</v>
      </c>
      <c r="T269" s="269">
        <f>ROUND(S269*I269,2)</f>
        <v>0</v>
      </c>
      <c r="U269" s="269">
        <f>H269-S269</f>
        <v>15.01</v>
      </c>
      <c r="V269" s="269">
        <f>ROUND(U269*I269,2)</f>
        <v>18014.580000000002</v>
      </c>
      <c r="W269" s="269"/>
      <c r="X269" s="269"/>
      <c r="Y269" s="269"/>
      <c r="Z269" s="269"/>
      <c r="AA269" s="269"/>
      <c r="AB269" s="269"/>
      <c r="AC269" s="269"/>
      <c r="AD269" s="269"/>
      <c r="BH269" s="132" t="s">
        <v>1</v>
      </c>
      <c r="BI269" s="133" t="s">
        <v>40</v>
      </c>
      <c r="BK269" s="134">
        <f>BJ269*H269</f>
        <v>0</v>
      </c>
      <c r="BL269" s="134">
        <v>0</v>
      </c>
      <c r="BM269" s="134">
        <f>BL269*H269</f>
        <v>0</v>
      </c>
      <c r="BN269" s="134">
        <v>0</v>
      </c>
      <c r="BO269" s="135">
        <f>BN269*H269</f>
        <v>0</v>
      </c>
      <c r="CM269" s="136" t="s">
        <v>95</v>
      </c>
      <c r="CO269" s="136" t="s">
        <v>284</v>
      </c>
      <c r="CP269" s="136" t="s">
        <v>83</v>
      </c>
      <c r="CT269" s="16" t="s">
        <v>282</v>
      </c>
      <c r="CZ269" s="137">
        <f>IF(BI269="základní",J269,0)</f>
        <v>18014.580000000002</v>
      </c>
      <c r="DA269" s="137">
        <f>IF(BI269="snížená",J269,0)</f>
        <v>0</v>
      </c>
      <c r="DB269" s="137">
        <f>IF(BI269="zákl. přenesená",J269,0)</f>
        <v>0</v>
      </c>
      <c r="DC269" s="137">
        <f>IF(BI269="sníž. přenesená",J269,0)</f>
        <v>0</v>
      </c>
      <c r="DD269" s="137">
        <f>IF(BI269="nulová",J269,0)</f>
        <v>0</v>
      </c>
      <c r="DE269" s="16" t="s">
        <v>81</v>
      </c>
      <c r="DF269" s="137">
        <f>ROUND(I269*H269,2)</f>
        <v>18014.580000000002</v>
      </c>
      <c r="DG269" s="16" t="s">
        <v>95</v>
      </c>
      <c r="DH269" s="136" t="s">
        <v>473</v>
      </c>
    </row>
    <row r="270" spans="2:112" s="1" customFormat="1" ht="19.5" x14ac:dyDescent="0.2">
      <c r="B270" s="31"/>
      <c r="D270" s="138" t="s">
        <v>289</v>
      </c>
      <c r="F270" s="139" t="s">
        <v>474</v>
      </c>
      <c r="I270" s="140"/>
      <c r="L270" s="31"/>
      <c r="N270" s="213"/>
      <c r="O270" s="214"/>
      <c r="Q270" s="229"/>
      <c r="BH270" s="141"/>
      <c r="BO270" s="50"/>
      <c r="CO270" s="16" t="s">
        <v>289</v>
      </c>
      <c r="CP270" s="16" t="s">
        <v>83</v>
      </c>
    </row>
    <row r="271" spans="2:112" s="1" customFormat="1" ht="29.25" x14ac:dyDescent="0.2">
      <c r="B271" s="31"/>
      <c r="D271" s="138" t="s">
        <v>299</v>
      </c>
      <c r="F271" s="142" t="s">
        <v>1659</v>
      </c>
      <c r="I271" s="140"/>
      <c r="L271" s="31"/>
      <c r="N271" s="213"/>
      <c r="O271" s="214"/>
      <c r="Q271" s="229"/>
      <c r="BH271" s="141"/>
      <c r="BO271" s="50"/>
      <c r="CO271" s="16" t="s">
        <v>299</v>
      </c>
      <c r="CP271" s="16" t="s">
        <v>83</v>
      </c>
    </row>
    <row r="272" spans="2:112" s="12" customFormat="1" x14ac:dyDescent="0.2">
      <c r="B272" s="149"/>
      <c r="D272" s="138" t="s">
        <v>301</v>
      </c>
      <c r="E272" s="150" t="s">
        <v>1</v>
      </c>
      <c r="F272" s="151" t="s">
        <v>1693</v>
      </c>
      <c r="H272" s="152">
        <v>15.01</v>
      </c>
      <c r="I272" s="153"/>
      <c r="L272" s="149"/>
      <c r="N272" s="217">
        <f>129.6*1*0.1</f>
        <v>12.96</v>
      </c>
      <c r="O272" s="218" t="s">
        <v>3779</v>
      </c>
      <c r="Q272" s="231"/>
      <c r="BH272" s="154"/>
      <c r="BO272" s="155"/>
      <c r="CO272" s="150" t="s">
        <v>301</v>
      </c>
      <c r="CP272" s="150" t="s">
        <v>83</v>
      </c>
      <c r="CQ272" s="12" t="s">
        <v>83</v>
      </c>
      <c r="CR272" s="12" t="s">
        <v>32</v>
      </c>
      <c r="CS272" s="12" t="s">
        <v>81</v>
      </c>
      <c r="CT272" s="150" t="s">
        <v>282</v>
      </c>
    </row>
    <row r="273" spans="2:112" s="12" customFormat="1" x14ac:dyDescent="0.2">
      <c r="B273" s="149"/>
      <c r="D273" s="138"/>
      <c r="E273" s="150"/>
      <c r="F273" s="151"/>
      <c r="H273" s="152"/>
      <c r="I273" s="153"/>
      <c r="L273" s="149"/>
      <c r="N273" s="310">
        <f>N272-H272</f>
        <v>-2.0499999999999989</v>
      </c>
      <c r="O273" s="218"/>
      <c r="Q273" s="231"/>
      <c r="BH273" s="154"/>
      <c r="BO273" s="155"/>
      <c r="CO273" s="150"/>
      <c r="CP273" s="150"/>
      <c r="CT273" s="150"/>
    </row>
    <row r="274" spans="2:112" s="1" customFormat="1" ht="14.45" customHeight="1" x14ac:dyDescent="0.2">
      <c r="B274" s="124"/>
      <c r="C274" s="125" t="s">
        <v>451</v>
      </c>
      <c r="D274" s="125" t="s">
        <v>284</v>
      </c>
      <c r="E274" s="126" t="s">
        <v>477</v>
      </c>
      <c r="F274" s="127" t="s">
        <v>478</v>
      </c>
      <c r="G274" s="128" t="s">
        <v>366</v>
      </c>
      <c r="H274" s="129">
        <v>7.5</v>
      </c>
      <c r="I274" s="130">
        <v>1200.17173250368</v>
      </c>
      <c r="J274" s="131">
        <f>ROUND(I274*H274,2)</f>
        <v>9001.2900000000009</v>
      </c>
      <c r="K274" s="127" t="s">
        <v>1</v>
      </c>
      <c r="L274" s="268">
        <f>S274</f>
        <v>0</v>
      </c>
      <c r="M274" s="272">
        <f>ROUND(L274*I274,2)</f>
        <v>0</v>
      </c>
      <c r="N274" s="243">
        <f>N282</f>
        <v>-9.9999999999999645E-2</v>
      </c>
      <c r="O274" s="294">
        <f>ROUND(N274*I274,2)</f>
        <v>-120.02</v>
      </c>
      <c r="P274" s="273">
        <f>H274-L274-N274</f>
        <v>7.6</v>
      </c>
      <c r="Q274" s="287">
        <f>ROUND(P274*I274,2)</f>
        <v>9121.31</v>
      </c>
      <c r="R274" s="137"/>
      <c r="S274" s="269">
        <f>W274+Y274+AA274+AC274</f>
        <v>0</v>
      </c>
      <c r="T274" s="269">
        <f>ROUND(S274*I274,2)</f>
        <v>0</v>
      </c>
      <c r="U274" s="269">
        <f>H274-S274</f>
        <v>7.5</v>
      </c>
      <c r="V274" s="269">
        <f>ROUND(U274*I274,2)</f>
        <v>9001.2900000000009</v>
      </c>
      <c r="W274" s="269"/>
      <c r="X274" s="269"/>
      <c r="Y274" s="269"/>
      <c r="Z274" s="269"/>
      <c r="AA274" s="269"/>
      <c r="AB274" s="269"/>
      <c r="AC274" s="269"/>
      <c r="AD274" s="269"/>
      <c r="BH274" s="132" t="s">
        <v>1</v>
      </c>
      <c r="BI274" s="133" t="s">
        <v>40</v>
      </c>
      <c r="BK274" s="134">
        <f>BJ274*H274</f>
        <v>0</v>
      </c>
      <c r="BL274" s="134">
        <v>0</v>
      </c>
      <c r="BM274" s="134">
        <f>BL274*H274</f>
        <v>0</v>
      </c>
      <c r="BN274" s="134">
        <v>0</v>
      </c>
      <c r="BO274" s="135">
        <f>BN274*H274</f>
        <v>0</v>
      </c>
      <c r="CM274" s="136" t="s">
        <v>95</v>
      </c>
      <c r="CO274" s="136" t="s">
        <v>284</v>
      </c>
      <c r="CP274" s="136" t="s">
        <v>83</v>
      </c>
      <c r="CT274" s="16" t="s">
        <v>282</v>
      </c>
      <c r="CZ274" s="137">
        <f>IF(BI274="základní",J274,0)</f>
        <v>9001.2900000000009</v>
      </c>
      <c r="DA274" s="137">
        <f>IF(BI274="snížená",J274,0)</f>
        <v>0</v>
      </c>
      <c r="DB274" s="137">
        <f>IF(BI274="zákl. přenesená",J274,0)</f>
        <v>0</v>
      </c>
      <c r="DC274" s="137">
        <f>IF(BI274="sníž. přenesená",J274,0)</f>
        <v>0</v>
      </c>
      <c r="DD274" s="137">
        <f>IF(BI274="nulová",J274,0)</f>
        <v>0</v>
      </c>
      <c r="DE274" s="16" t="s">
        <v>81</v>
      </c>
      <c r="DF274" s="137">
        <f>ROUND(I274*H274,2)</f>
        <v>9001.2900000000009</v>
      </c>
      <c r="DG274" s="16" t="s">
        <v>95</v>
      </c>
      <c r="DH274" s="136" t="s">
        <v>479</v>
      </c>
    </row>
    <row r="275" spans="2:112" s="1" customFormat="1" ht="19.5" x14ac:dyDescent="0.2">
      <c r="B275" s="31"/>
      <c r="D275" s="138" t="s">
        <v>289</v>
      </c>
      <c r="F275" s="139" t="s">
        <v>474</v>
      </c>
      <c r="I275" s="140"/>
      <c r="L275" s="31"/>
      <c r="N275" s="213"/>
      <c r="O275" s="214"/>
      <c r="Q275" s="229"/>
      <c r="BH275" s="141"/>
      <c r="BO275" s="50"/>
      <c r="CO275" s="16" t="s">
        <v>289</v>
      </c>
      <c r="CP275" s="16" t="s">
        <v>83</v>
      </c>
    </row>
    <row r="276" spans="2:112" s="1" customFormat="1" ht="29.25" x14ac:dyDescent="0.2">
      <c r="B276" s="31"/>
      <c r="D276" s="138" t="s">
        <v>299</v>
      </c>
      <c r="F276" s="142" t="s">
        <v>1659</v>
      </c>
      <c r="I276" s="140"/>
      <c r="L276" s="31"/>
      <c r="N276" s="213"/>
      <c r="O276" s="214"/>
      <c r="Q276" s="229"/>
      <c r="BH276" s="141"/>
      <c r="BO276" s="50"/>
      <c r="CO276" s="16" t="s">
        <v>299</v>
      </c>
      <c r="CP276" s="16" t="s">
        <v>83</v>
      </c>
    </row>
    <row r="277" spans="2:112" s="11" customFormat="1" x14ac:dyDescent="0.2">
      <c r="B277" s="143"/>
      <c r="D277" s="138" t="s">
        <v>301</v>
      </c>
      <c r="E277" s="144" t="s">
        <v>1</v>
      </c>
      <c r="F277" s="145" t="s">
        <v>1122</v>
      </c>
      <c r="H277" s="144" t="s">
        <v>1</v>
      </c>
      <c r="I277" s="146"/>
      <c r="L277" s="143"/>
      <c r="N277" s="215"/>
      <c r="O277" s="216"/>
      <c r="Q277" s="230"/>
      <c r="BH277" s="147"/>
      <c r="BO277" s="148"/>
      <c r="CO277" s="144" t="s">
        <v>301</v>
      </c>
      <c r="CP277" s="144" t="s">
        <v>83</v>
      </c>
      <c r="CQ277" s="11" t="s">
        <v>81</v>
      </c>
      <c r="CR277" s="11" t="s">
        <v>32</v>
      </c>
      <c r="CS277" s="11" t="s">
        <v>74</v>
      </c>
      <c r="CT277" s="144" t="s">
        <v>282</v>
      </c>
    </row>
    <row r="278" spans="2:112" s="12" customFormat="1" x14ac:dyDescent="0.2">
      <c r="B278" s="149"/>
      <c r="D278" s="138" t="s">
        <v>301</v>
      </c>
      <c r="E278" s="150" t="s">
        <v>1</v>
      </c>
      <c r="F278" s="151" t="s">
        <v>1694</v>
      </c>
      <c r="H278" s="152">
        <v>3</v>
      </c>
      <c r="I278" s="153"/>
      <c r="L278" s="149"/>
      <c r="N278" s="217">
        <f>1*1*0.1*20</f>
        <v>2</v>
      </c>
      <c r="O278" s="218" t="s">
        <v>1123</v>
      </c>
      <c r="Q278" s="231"/>
      <c r="BH278" s="154"/>
      <c r="BO278" s="155"/>
      <c r="CO278" s="150" t="s">
        <v>301</v>
      </c>
      <c r="CP278" s="150" t="s">
        <v>83</v>
      </c>
      <c r="CQ278" s="12" t="s">
        <v>83</v>
      </c>
      <c r="CR278" s="12" t="s">
        <v>32</v>
      </c>
      <c r="CS278" s="12" t="s">
        <v>74</v>
      </c>
      <c r="CT278" s="150" t="s">
        <v>282</v>
      </c>
    </row>
    <row r="279" spans="2:112" s="11" customFormat="1" x14ac:dyDescent="0.2">
      <c r="B279" s="143"/>
      <c r="D279" s="138" t="s">
        <v>301</v>
      </c>
      <c r="E279" s="144" t="s">
        <v>1</v>
      </c>
      <c r="F279" s="145" t="s">
        <v>916</v>
      </c>
      <c r="H279" s="144" t="s">
        <v>1</v>
      </c>
      <c r="I279" s="146"/>
      <c r="L279" s="143"/>
      <c r="N279" s="215"/>
      <c r="O279" s="216"/>
      <c r="Q279" s="230"/>
      <c r="BH279" s="147"/>
      <c r="BO279" s="148"/>
      <c r="CO279" s="144" t="s">
        <v>301</v>
      </c>
      <c r="CP279" s="144" t="s">
        <v>83</v>
      </c>
      <c r="CQ279" s="11" t="s">
        <v>81</v>
      </c>
      <c r="CR279" s="11" t="s">
        <v>32</v>
      </c>
      <c r="CS279" s="11" t="s">
        <v>74</v>
      </c>
      <c r="CT279" s="144" t="s">
        <v>282</v>
      </c>
    </row>
    <row r="280" spans="2:112" s="12" customFormat="1" x14ac:dyDescent="0.2">
      <c r="B280" s="149"/>
      <c r="D280" s="138" t="s">
        <v>301</v>
      </c>
      <c r="E280" s="150" t="s">
        <v>1</v>
      </c>
      <c r="F280" s="151" t="s">
        <v>1695</v>
      </c>
      <c r="H280" s="152">
        <v>4.5</v>
      </c>
      <c r="I280" s="153"/>
      <c r="L280" s="149"/>
      <c r="N280" s="217">
        <f>1.5*1.5*0.1*24</f>
        <v>5.4</v>
      </c>
      <c r="O280" s="218" t="s">
        <v>3780</v>
      </c>
      <c r="Q280" s="231"/>
      <c r="BH280" s="154"/>
      <c r="BO280" s="155"/>
      <c r="CO280" s="150" t="s">
        <v>301</v>
      </c>
      <c r="CP280" s="150" t="s">
        <v>83</v>
      </c>
      <c r="CQ280" s="12" t="s">
        <v>83</v>
      </c>
      <c r="CR280" s="12" t="s">
        <v>32</v>
      </c>
      <c r="CS280" s="12" t="s">
        <v>74</v>
      </c>
      <c r="CT280" s="150" t="s">
        <v>282</v>
      </c>
    </row>
    <row r="281" spans="2:112" s="13" customFormat="1" x14ac:dyDescent="0.2">
      <c r="B281" s="156"/>
      <c r="D281" s="138" t="s">
        <v>301</v>
      </c>
      <c r="E281" s="157" t="s">
        <v>1</v>
      </c>
      <c r="F281" s="158" t="s">
        <v>305</v>
      </c>
      <c r="H281" s="159">
        <v>7.5</v>
      </c>
      <c r="I281" s="160"/>
      <c r="L281" s="156"/>
      <c r="N281" s="219">
        <f>N278+N280</f>
        <v>7.4</v>
      </c>
      <c r="O281" s="220"/>
      <c r="Q281" s="232"/>
      <c r="BH281" s="161"/>
      <c r="BO281" s="162"/>
      <c r="CO281" s="157" t="s">
        <v>301</v>
      </c>
      <c r="CP281" s="157" t="s">
        <v>83</v>
      </c>
      <c r="CQ281" s="13" t="s">
        <v>95</v>
      </c>
      <c r="CR281" s="13" t="s">
        <v>32</v>
      </c>
      <c r="CS281" s="13" t="s">
        <v>81</v>
      </c>
      <c r="CT281" s="157" t="s">
        <v>282</v>
      </c>
    </row>
    <row r="282" spans="2:112" s="13" customFormat="1" x14ac:dyDescent="0.2">
      <c r="B282" s="156"/>
      <c r="D282" s="138"/>
      <c r="E282" s="157"/>
      <c r="F282" s="158"/>
      <c r="H282" s="159"/>
      <c r="I282" s="160"/>
      <c r="L282" s="156"/>
      <c r="N282" s="311">
        <f>N281-H281</f>
        <v>-9.9999999999999645E-2</v>
      </c>
      <c r="O282" s="220"/>
      <c r="Q282" s="232"/>
      <c r="BH282" s="161"/>
      <c r="BO282" s="162"/>
      <c r="CO282" s="157"/>
      <c r="CP282" s="157"/>
      <c r="CT282" s="157"/>
    </row>
    <row r="283" spans="2:112" s="1" customFormat="1" ht="24.2" customHeight="1" x14ac:dyDescent="0.2">
      <c r="B283" s="124"/>
      <c r="C283" s="125" t="s">
        <v>456</v>
      </c>
      <c r="D283" s="125" t="s">
        <v>284</v>
      </c>
      <c r="E283" s="126" t="s">
        <v>515</v>
      </c>
      <c r="F283" s="127" t="s">
        <v>516</v>
      </c>
      <c r="G283" s="128" t="s">
        <v>366</v>
      </c>
      <c r="H283" s="129">
        <v>5.42</v>
      </c>
      <c r="I283" s="130">
        <v>2895.0660868876225</v>
      </c>
      <c r="J283" s="131">
        <f>ROUND(I283*H283,2)</f>
        <v>15691.26</v>
      </c>
      <c r="K283" s="127" t="s">
        <v>293</v>
      </c>
      <c r="L283" s="268">
        <f>S283</f>
        <v>0</v>
      </c>
      <c r="M283" s="272">
        <f>ROUND(L283*I283,2)</f>
        <v>0</v>
      </c>
      <c r="N283" s="243">
        <f>N291</f>
        <v>-0.51599999999999913</v>
      </c>
      <c r="O283" s="294">
        <f>ROUND(N283*I283,2)</f>
        <v>-1493.85</v>
      </c>
      <c r="P283" s="273">
        <f>H283-L283-N283</f>
        <v>5.9359999999999991</v>
      </c>
      <c r="Q283" s="287">
        <f>ROUND(P283*I283,2)</f>
        <v>17185.11</v>
      </c>
      <c r="R283" s="137"/>
      <c r="S283" s="269">
        <f>W283+Y283+AA283+AC283</f>
        <v>0</v>
      </c>
      <c r="T283" s="269">
        <f>ROUND(S283*I283,2)</f>
        <v>0</v>
      </c>
      <c r="U283" s="269">
        <f>H283-S283</f>
        <v>5.42</v>
      </c>
      <c r="V283" s="269">
        <f>ROUND(U283*I283,2)</f>
        <v>15691.26</v>
      </c>
      <c r="W283" s="269"/>
      <c r="X283" s="269"/>
      <c r="Y283" s="269"/>
      <c r="Z283" s="269"/>
      <c r="AA283" s="269"/>
      <c r="AB283" s="269"/>
      <c r="AC283" s="269"/>
      <c r="AD283" s="269"/>
      <c r="BH283" s="132" t="s">
        <v>1</v>
      </c>
      <c r="BI283" s="133" t="s">
        <v>40</v>
      </c>
      <c r="BK283" s="134">
        <f>BJ283*H283</f>
        <v>0</v>
      </c>
      <c r="BL283" s="134">
        <v>0</v>
      </c>
      <c r="BM283" s="134">
        <f>BL283*H283</f>
        <v>0</v>
      </c>
      <c r="BN283" s="134">
        <v>0</v>
      </c>
      <c r="BO283" s="135">
        <f>BN283*H283</f>
        <v>0</v>
      </c>
      <c r="CM283" s="136" t="s">
        <v>95</v>
      </c>
      <c r="CO283" s="136" t="s">
        <v>284</v>
      </c>
      <c r="CP283" s="136" t="s">
        <v>83</v>
      </c>
      <c r="CT283" s="16" t="s">
        <v>282</v>
      </c>
      <c r="CZ283" s="137">
        <f>IF(BI283="základní",J283,0)</f>
        <v>15691.26</v>
      </c>
      <c r="DA283" s="137">
        <f>IF(BI283="snížená",J283,0)</f>
        <v>0</v>
      </c>
      <c r="DB283" s="137">
        <f>IF(BI283="zákl. přenesená",J283,0)</f>
        <v>0</v>
      </c>
      <c r="DC283" s="137">
        <f>IF(BI283="sníž. přenesená",J283,0)</f>
        <v>0</v>
      </c>
      <c r="DD283" s="137">
        <f>IF(BI283="nulová",J283,0)</f>
        <v>0</v>
      </c>
      <c r="DE283" s="16" t="s">
        <v>81</v>
      </c>
      <c r="DF283" s="137">
        <f>ROUND(I283*H283,2)</f>
        <v>15691.26</v>
      </c>
      <c r="DG283" s="16" t="s">
        <v>95</v>
      </c>
      <c r="DH283" s="136" t="s">
        <v>517</v>
      </c>
    </row>
    <row r="284" spans="2:112" s="1" customFormat="1" ht="29.25" x14ac:dyDescent="0.2">
      <c r="B284" s="31"/>
      <c r="D284" s="138" t="s">
        <v>289</v>
      </c>
      <c r="F284" s="139" t="s">
        <v>518</v>
      </c>
      <c r="I284" s="140"/>
      <c r="L284" s="31"/>
      <c r="N284" s="213"/>
      <c r="O284" s="214"/>
      <c r="Q284" s="229"/>
      <c r="BH284" s="141"/>
      <c r="BO284" s="50"/>
      <c r="CO284" s="16" t="s">
        <v>289</v>
      </c>
      <c r="CP284" s="16" t="s">
        <v>83</v>
      </c>
    </row>
    <row r="285" spans="2:112" s="1" customFormat="1" ht="29.25" x14ac:dyDescent="0.2">
      <c r="B285" s="31"/>
      <c r="D285" s="138" t="s">
        <v>299</v>
      </c>
      <c r="F285" s="142" t="s">
        <v>1659</v>
      </c>
      <c r="I285" s="140"/>
      <c r="L285" s="31"/>
      <c r="N285" s="213"/>
      <c r="O285" s="214"/>
      <c r="Q285" s="229"/>
      <c r="BH285" s="141"/>
      <c r="BO285" s="50"/>
      <c r="CO285" s="16" t="s">
        <v>299</v>
      </c>
      <c r="CP285" s="16" t="s">
        <v>83</v>
      </c>
    </row>
    <row r="286" spans="2:112" s="11" customFormat="1" x14ac:dyDescent="0.2">
      <c r="B286" s="143"/>
      <c r="D286" s="138" t="s">
        <v>301</v>
      </c>
      <c r="E286" s="144" t="s">
        <v>1</v>
      </c>
      <c r="F286" s="145" t="s">
        <v>1122</v>
      </c>
      <c r="H286" s="144" t="s">
        <v>1</v>
      </c>
      <c r="I286" s="146"/>
      <c r="L286" s="143"/>
      <c r="N286" s="215"/>
      <c r="O286" s="216"/>
      <c r="Q286" s="230"/>
      <c r="BH286" s="147"/>
      <c r="BO286" s="148"/>
      <c r="CO286" s="144" t="s">
        <v>301</v>
      </c>
      <c r="CP286" s="144" t="s">
        <v>83</v>
      </c>
      <c r="CQ286" s="11" t="s">
        <v>81</v>
      </c>
      <c r="CR286" s="11" t="s">
        <v>32</v>
      </c>
      <c r="CS286" s="11" t="s">
        <v>74</v>
      </c>
      <c r="CT286" s="144" t="s">
        <v>282</v>
      </c>
    </row>
    <row r="287" spans="2:112" s="12" customFormat="1" x14ac:dyDescent="0.2">
      <c r="B287" s="149"/>
      <c r="D287" s="138" t="s">
        <v>301</v>
      </c>
      <c r="E287" s="150" t="s">
        <v>1</v>
      </c>
      <c r="F287" s="151" t="s">
        <v>1694</v>
      </c>
      <c r="H287" s="152">
        <v>3</v>
      </c>
      <c r="I287" s="153"/>
      <c r="L287" s="149"/>
      <c r="N287" s="217">
        <f>1*1*0.1*20</f>
        <v>2</v>
      </c>
      <c r="O287" s="218" t="s">
        <v>1123</v>
      </c>
      <c r="Q287" s="231"/>
      <c r="BH287" s="154"/>
      <c r="BO287" s="155"/>
      <c r="CO287" s="150" t="s">
        <v>301</v>
      </c>
      <c r="CP287" s="150" t="s">
        <v>83</v>
      </c>
      <c r="CQ287" s="12" t="s">
        <v>83</v>
      </c>
      <c r="CR287" s="12" t="s">
        <v>32</v>
      </c>
      <c r="CS287" s="12" t="s">
        <v>74</v>
      </c>
      <c r="CT287" s="150" t="s">
        <v>282</v>
      </c>
    </row>
    <row r="288" spans="2:112" s="11" customFormat="1" x14ac:dyDescent="0.2">
      <c r="B288" s="143"/>
      <c r="D288" s="138" t="s">
        <v>301</v>
      </c>
      <c r="E288" s="144" t="s">
        <v>1</v>
      </c>
      <c r="F288" s="145" t="s">
        <v>916</v>
      </c>
      <c r="H288" s="144" t="s">
        <v>1</v>
      </c>
      <c r="I288" s="146"/>
      <c r="L288" s="143"/>
      <c r="N288" s="215"/>
      <c r="O288" s="216"/>
      <c r="Q288" s="230"/>
      <c r="BH288" s="147"/>
      <c r="BO288" s="148"/>
      <c r="CO288" s="144" t="s">
        <v>301</v>
      </c>
      <c r="CP288" s="144" t="s">
        <v>83</v>
      </c>
      <c r="CQ288" s="11" t="s">
        <v>81</v>
      </c>
      <c r="CR288" s="11" t="s">
        <v>32</v>
      </c>
      <c r="CS288" s="11" t="s">
        <v>74</v>
      </c>
      <c r="CT288" s="144" t="s">
        <v>282</v>
      </c>
    </row>
    <row r="289" spans="2:112" s="12" customFormat="1" x14ac:dyDescent="0.2">
      <c r="B289" s="149"/>
      <c r="D289" s="138" t="s">
        <v>301</v>
      </c>
      <c r="E289" s="150" t="s">
        <v>1</v>
      </c>
      <c r="F289" s="151" t="s">
        <v>1696</v>
      </c>
      <c r="H289" s="152">
        <v>2.42</v>
      </c>
      <c r="I289" s="153"/>
      <c r="L289" s="149"/>
      <c r="N289" s="217">
        <f>1.1*1.1*0.1*24</f>
        <v>2.9040000000000008</v>
      </c>
      <c r="O289" s="373" t="s">
        <v>3781</v>
      </c>
      <c r="Q289" s="231"/>
      <c r="BH289" s="154"/>
      <c r="BO289" s="155"/>
      <c r="CO289" s="150" t="s">
        <v>301</v>
      </c>
      <c r="CP289" s="150" t="s">
        <v>83</v>
      </c>
      <c r="CQ289" s="12" t="s">
        <v>83</v>
      </c>
      <c r="CR289" s="12" t="s">
        <v>32</v>
      </c>
      <c r="CS289" s="12" t="s">
        <v>74</v>
      </c>
      <c r="CT289" s="150" t="s">
        <v>282</v>
      </c>
    </row>
    <row r="290" spans="2:112" s="13" customFormat="1" x14ac:dyDescent="0.2">
      <c r="B290" s="156"/>
      <c r="D290" s="138" t="s">
        <v>301</v>
      </c>
      <c r="E290" s="157" t="s">
        <v>1</v>
      </c>
      <c r="F290" s="158" t="s">
        <v>305</v>
      </c>
      <c r="H290" s="159">
        <v>5.42</v>
      </c>
      <c r="I290" s="160"/>
      <c r="L290" s="156"/>
      <c r="N290" s="219">
        <f>N287+N289</f>
        <v>4.9040000000000008</v>
      </c>
      <c r="O290" s="220"/>
      <c r="Q290" s="232"/>
      <c r="BH290" s="161"/>
      <c r="BO290" s="162"/>
      <c r="CO290" s="157" t="s">
        <v>301</v>
      </c>
      <c r="CP290" s="157" t="s">
        <v>83</v>
      </c>
      <c r="CQ290" s="13" t="s">
        <v>95</v>
      </c>
      <c r="CR290" s="13" t="s">
        <v>32</v>
      </c>
      <c r="CS290" s="13" t="s">
        <v>81</v>
      </c>
      <c r="CT290" s="157" t="s">
        <v>282</v>
      </c>
    </row>
    <row r="291" spans="2:112" s="13" customFormat="1" x14ac:dyDescent="0.2">
      <c r="B291" s="156"/>
      <c r="D291" s="138"/>
      <c r="E291" s="157"/>
      <c r="F291" s="158"/>
      <c r="H291" s="159"/>
      <c r="I291" s="160"/>
      <c r="L291" s="156"/>
      <c r="N291" s="311">
        <f>N290-H290</f>
        <v>-0.51599999999999913</v>
      </c>
      <c r="O291" s="220"/>
      <c r="Q291" s="232"/>
      <c r="BH291" s="161"/>
      <c r="BO291" s="162"/>
      <c r="CO291" s="157"/>
      <c r="CP291" s="157"/>
      <c r="CT291" s="157"/>
    </row>
    <row r="292" spans="2:112" s="10" customFormat="1" ht="22.9" customHeight="1" x14ac:dyDescent="0.2">
      <c r="B292" s="112"/>
      <c r="D292" s="113" t="s">
        <v>73</v>
      </c>
      <c r="E292" s="122" t="s">
        <v>312</v>
      </c>
      <c r="F292" s="122" t="s">
        <v>520</v>
      </c>
      <c r="I292" s="115"/>
      <c r="J292" s="123">
        <f>DF292</f>
        <v>109172.3</v>
      </c>
      <c r="L292" s="112"/>
      <c r="M292" s="270">
        <f>SUM(M293:M299)</f>
        <v>0</v>
      </c>
      <c r="N292" s="301"/>
      <c r="O292" s="302">
        <f t="shared" ref="O292:V292" si="5">SUM(O293:O299)</f>
        <v>-11571.869999999999</v>
      </c>
      <c r="P292" s="270"/>
      <c r="Q292" s="288">
        <f t="shared" si="5"/>
        <v>120744.16</v>
      </c>
      <c r="R292" s="270"/>
      <c r="S292" s="270"/>
      <c r="T292" s="270">
        <f t="shared" si="5"/>
        <v>0</v>
      </c>
      <c r="U292" s="270"/>
      <c r="V292" s="270">
        <f t="shared" si="5"/>
        <v>109172.3</v>
      </c>
      <c r="BH292" s="117"/>
      <c r="BK292" s="118">
        <f>SUM(BK293:BK303)</f>
        <v>0</v>
      </c>
      <c r="BM292" s="118">
        <f>SUM(BM293:BM303)</f>
        <v>0</v>
      </c>
      <c r="BO292" s="119">
        <f>SUM(BO293:BO303)</f>
        <v>0</v>
      </c>
      <c r="CM292" s="113" t="s">
        <v>81</v>
      </c>
      <c r="CO292" s="120" t="s">
        <v>73</v>
      </c>
      <c r="CP292" s="120" t="s">
        <v>81</v>
      </c>
      <c r="CT292" s="113" t="s">
        <v>282</v>
      </c>
      <c r="DF292" s="121">
        <f>SUM(DF293:DF303)</f>
        <v>109172.3</v>
      </c>
    </row>
    <row r="293" spans="2:112" s="1" customFormat="1" ht="24.2" customHeight="1" x14ac:dyDescent="0.2">
      <c r="B293" s="124"/>
      <c r="C293" s="125" t="s">
        <v>463</v>
      </c>
      <c r="D293" s="125" t="s">
        <v>284</v>
      </c>
      <c r="E293" s="126" t="s">
        <v>522</v>
      </c>
      <c r="F293" s="127" t="s">
        <v>523</v>
      </c>
      <c r="G293" s="128" t="s">
        <v>287</v>
      </c>
      <c r="H293" s="129">
        <v>148.59</v>
      </c>
      <c r="I293" s="130">
        <v>130.95617506780872</v>
      </c>
      <c r="J293" s="131">
        <f>ROUND(I293*H293,2)</f>
        <v>19458.78</v>
      </c>
      <c r="K293" s="127" t="s">
        <v>293</v>
      </c>
      <c r="L293" s="268">
        <f>S293</f>
        <v>0</v>
      </c>
      <c r="M293" s="272">
        <f>ROUND(L293*I293,2)</f>
        <v>0</v>
      </c>
      <c r="N293" s="243">
        <f>N127</f>
        <v>-15.75</v>
      </c>
      <c r="O293" s="294">
        <f>ROUND(N293*I293,2)</f>
        <v>-2062.56</v>
      </c>
      <c r="P293" s="273">
        <f>H293-L293-N293</f>
        <v>164.34</v>
      </c>
      <c r="Q293" s="287">
        <f>ROUND(P293*I293,2)</f>
        <v>21521.34</v>
      </c>
      <c r="R293" s="137"/>
      <c r="S293" s="269">
        <f>W293+Y293+AA293+AC293</f>
        <v>0</v>
      </c>
      <c r="T293" s="269">
        <f>ROUND(S293*I293,2)</f>
        <v>0</v>
      </c>
      <c r="U293" s="269">
        <f>H293-S293</f>
        <v>148.59</v>
      </c>
      <c r="V293" s="269">
        <f>ROUND(U293*I293,2)</f>
        <v>19458.78</v>
      </c>
      <c r="W293" s="269"/>
      <c r="X293" s="269"/>
      <c r="Y293" s="269"/>
      <c r="Z293" s="269"/>
      <c r="AA293" s="269"/>
      <c r="AB293" s="269"/>
      <c r="AC293" s="269"/>
      <c r="AD293" s="269"/>
      <c r="BH293" s="132" t="s">
        <v>1</v>
      </c>
      <c r="BI293" s="133" t="s">
        <v>40</v>
      </c>
      <c r="BK293" s="134">
        <f>BJ293*H293</f>
        <v>0</v>
      </c>
      <c r="BL293" s="134">
        <v>0</v>
      </c>
      <c r="BM293" s="134">
        <f>BL293*H293</f>
        <v>0</v>
      </c>
      <c r="BN293" s="134">
        <v>0</v>
      </c>
      <c r="BO293" s="135">
        <f>BN293*H293</f>
        <v>0</v>
      </c>
      <c r="CM293" s="136" t="s">
        <v>95</v>
      </c>
      <c r="CO293" s="136" t="s">
        <v>284</v>
      </c>
      <c r="CP293" s="136" t="s">
        <v>83</v>
      </c>
      <c r="CT293" s="16" t="s">
        <v>282</v>
      </c>
      <c r="CZ293" s="137">
        <f>IF(BI293="základní",J293,0)</f>
        <v>19458.78</v>
      </c>
      <c r="DA293" s="137">
        <f>IF(BI293="snížená",J293,0)</f>
        <v>0</v>
      </c>
      <c r="DB293" s="137">
        <f>IF(BI293="zákl. přenesená",J293,0)</f>
        <v>0</v>
      </c>
      <c r="DC293" s="137">
        <f>IF(BI293="sníž. přenesená",J293,0)</f>
        <v>0</v>
      </c>
      <c r="DD293" s="137">
        <f>IF(BI293="nulová",J293,0)</f>
        <v>0</v>
      </c>
      <c r="DE293" s="16" t="s">
        <v>81</v>
      </c>
      <c r="DF293" s="137">
        <f>ROUND(I293*H293,2)</f>
        <v>19458.78</v>
      </c>
      <c r="DG293" s="16" t="s">
        <v>95</v>
      </c>
      <c r="DH293" s="136" t="s">
        <v>524</v>
      </c>
    </row>
    <row r="294" spans="2:112" s="1" customFormat="1" ht="19.5" x14ac:dyDescent="0.2">
      <c r="B294" s="31"/>
      <c r="D294" s="138" t="s">
        <v>289</v>
      </c>
      <c r="F294" s="139" t="s">
        <v>525</v>
      </c>
      <c r="I294" s="140"/>
      <c r="L294" s="31"/>
      <c r="N294" s="213"/>
      <c r="O294" s="214"/>
      <c r="Q294" s="229"/>
      <c r="BH294" s="141"/>
      <c r="BO294" s="50"/>
      <c r="CO294" s="16" t="s">
        <v>289</v>
      </c>
      <c r="CP294" s="16" t="s">
        <v>83</v>
      </c>
    </row>
    <row r="295" spans="2:112" s="1" customFormat="1" ht="14.45" customHeight="1" x14ac:dyDescent="0.2">
      <c r="B295" s="124"/>
      <c r="C295" s="125" t="s">
        <v>470</v>
      </c>
      <c r="D295" s="125" t="s">
        <v>284</v>
      </c>
      <c r="E295" s="126" t="s">
        <v>527</v>
      </c>
      <c r="F295" s="127" t="s">
        <v>528</v>
      </c>
      <c r="G295" s="128" t="s">
        <v>287</v>
      </c>
      <c r="H295" s="129">
        <v>148.59</v>
      </c>
      <c r="I295" s="130">
        <v>200.20823792465458</v>
      </c>
      <c r="J295" s="131">
        <f>ROUND(I295*H295,2)</f>
        <v>29748.94</v>
      </c>
      <c r="K295" s="127" t="s">
        <v>293</v>
      </c>
      <c r="L295" s="268">
        <f>S295</f>
        <v>0</v>
      </c>
      <c r="M295" s="272">
        <f>ROUND(L295*I295,2)</f>
        <v>0</v>
      </c>
      <c r="N295" s="243">
        <f>N293</f>
        <v>-15.75</v>
      </c>
      <c r="O295" s="294">
        <f>ROUND(N295*I295,2)</f>
        <v>-3153.28</v>
      </c>
      <c r="P295" s="273">
        <f>H295-L295-N295</f>
        <v>164.34</v>
      </c>
      <c r="Q295" s="287">
        <f>ROUND(P295*I295,2)</f>
        <v>32902.22</v>
      </c>
      <c r="R295" s="137"/>
      <c r="S295" s="269">
        <f>W295+Y295+AA295+AC295</f>
        <v>0</v>
      </c>
      <c r="T295" s="269">
        <f>ROUND(S295*I295,2)</f>
        <v>0</v>
      </c>
      <c r="U295" s="269">
        <f>H295-S295</f>
        <v>148.59</v>
      </c>
      <c r="V295" s="269">
        <f>ROUND(U295*I295,2)</f>
        <v>29748.94</v>
      </c>
      <c r="W295" s="269"/>
      <c r="X295" s="269"/>
      <c r="Y295" s="269"/>
      <c r="Z295" s="269"/>
      <c r="AA295" s="269"/>
      <c r="AB295" s="269"/>
      <c r="AC295" s="269"/>
      <c r="AD295" s="269"/>
      <c r="BH295" s="132" t="s">
        <v>1</v>
      </c>
      <c r="BI295" s="133" t="s">
        <v>40</v>
      </c>
      <c r="BK295" s="134">
        <f>BJ295*H295</f>
        <v>0</v>
      </c>
      <c r="BL295" s="134">
        <v>0</v>
      </c>
      <c r="BM295" s="134">
        <f>BL295*H295</f>
        <v>0</v>
      </c>
      <c r="BN295" s="134">
        <v>0</v>
      </c>
      <c r="BO295" s="135">
        <f>BN295*H295</f>
        <v>0</v>
      </c>
      <c r="CM295" s="136" t="s">
        <v>95</v>
      </c>
      <c r="CO295" s="136" t="s">
        <v>284</v>
      </c>
      <c r="CP295" s="136" t="s">
        <v>83</v>
      </c>
      <c r="CT295" s="16" t="s">
        <v>282</v>
      </c>
      <c r="CZ295" s="137">
        <f>IF(BI295="základní",J295,0)</f>
        <v>29748.94</v>
      </c>
      <c r="DA295" s="137">
        <f>IF(BI295="snížená",J295,0)</f>
        <v>0</v>
      </c>
      <c r="DB295" s="137">
        <f>IF(BI295="zákl. přenesená",J295,0)</f>
        <v>0</v>
      </c>
      <c r="DC295" s="137">
        <f>IF(BI295="sníž. přenesená",J295,0)</f>
        <v>0</v>
      </c>
      <c r="DD295" s="137">
        <f>IF(BI295="nulová",J295,0)</f>
        <v>0</v>
      </c>
      <c r="DE295" s="16" t="s">
        <v>81</v>
      </c>
      <c r="DF295" s="137">
        <f>ROUND(I295*H295,2)</f>
        <v>29748.94</v>
      </c>
      <c r="DG295" s="16" t="s">
        <v>95</v>
      </c>
      <c r="DH295" s="136" t="s">
        <v>529</v>
      </c>
    </row>
    <row r="296" spans="2:112" s="1" customFormat="1" ht="19.5" x14ac:dyDescent="0.2">
      <c r="B296" s="31"/>
      <c r="D296" s="138" t="s">
        <v>289</v>
      </c>
      <c r="F296" s="139" t="s">
        <v>530</v>
      </c>
      <c r="I296" s="140"/>
      <c r="L296" s="31"/>
      <c r="N296" s="213"/>
      <c r="O296" s="214"/>
      <c r="Q296" s="229"/>
      <c r="BH296" s="141"/>
      <c r="BO296" s="50"/>
      <c r="CO296" s="16" t="s">
        <v>289</v>
      </c>
      <c r="CP296" s="16" t="s">
        <v>83</v>
      </c>
    </row>
    <row r="297" spans="2:112" s="1" customFormat="1" ht="24.2" customHeight="1" x14ac:dyDescent="0.2">
      <c r="B297" s="124"/>
      <c r="C297" s="125" t="s">
        <v>476</v>
      </c>
      <c r="D297" s="125" t="s">
        <v>284</v>
      </c>
      <c r="E297" s="126" t="s">
        <v>532</v>
      </c>
      <c r="F297" s="127" t="s">
        <v>533</v>
      </c>
      <c r="G297" s="128" t="s">
        <v>287</v>
      </c>
      <c r="H297" s="129">
        <v>148.59</v>
      </c>
      <c r="I297" s="130">
        <v>40.878739778868102</v>
      </c>
      <c r="J297" s="131">
        <f>ROUND(I297*H297,2)</f>
        <v>6074.17</v>
      </c>
      <c r="K297" s="127" t="s">
        <v>293</v>
      </c>
      <c r="L297" s="268">
        <f>S297</f>
        <v>0</v>
      </c>
      <c r="M297" s="272">
        <f>ROUND(L297*I297,2)</f>
        <v>0</v>
      </c>
      <c r="N297" s="243">
        <f>N293</f>
        <v>-15.75</v>
      </c>
      <c r="O297" s="294">
        <f>ROUND(N297*I297,2)</f>
        <v>-643.84</v>
      </c>
      <c r="P297" s="273">
        <f>H297-L297-N297</f>
        <v>164.34</v>
      </c>
      <c r="Q297" s="287">
        <f>ROUND(P297*I297,2)</f>
        <v>6718.01</v>
      </c>
      <c r="R297" s="137"/>
      <c r="S297" s="269">
        <f>W297+Y297+AA297+AC297</f>
        <v>0</v>
      </c>
      <c r="T297" s="269">
        <f>ROUND(S297*I297,2)</f>
        <v>0</v>
      </c>
      <c r="U297" s="269">
        <f>H297-S297</f>
        <v>148.59</v>
      </c>
      <c r="V297" s="269">
        <f>ROUND(U297*I297,2)</f>
        <v>6074.17</v>
      </c>
      <c r="W297" s="269"/>
      <c r="X297" s="269"/>
      <c r="Y297" s="269"/>
      <c r="Z297" s="269"/>
      <c r="AA297" s="269"/>
      <c r="AB297" s="269"/>
      <c r="AC297" s="269"/>
      <c r="AD297" s="269"/>
      <c r="BH297" s="132" t="s">
        <v>1</v>
      </c>
      <c r="BI297" s="133" t="s">
        <v>40</v>
      </c>
      <c r="BK297" s="134">
        <f>BJ297*H297</f>
        <v>0</v>
      </c>
      <c r="BL297" s="134">
        <v>0</v>
      </c>
      <c r="BM297" s="134">
        <f>BL297*H297</f>
        <v>0</v>
      </c>
      <c r="BN297" s="134">
        <v>0</v>
      </c>
      <c r="BO297" s="135">
        <f>BN297*H297</f>
        <v>0</v>
      </c>
      <c r="CM297" s="136" t="s">
        <v>95</v>
      </c>
      <c r="CO297" s="136" t="s">
        <v>284</v>
      </c>
      <c r="CP297" s="136" t="s">
        <v>83</v>
      </c>
      <c r="CT297" s="16" t="s">
        <v>282</v>
      </c>
      <c r="CZ297" s="137">
        <f>IF(BI297="základní",J297,0)</f>
        <v>6074.17</v>
      </c>
      <c r="DA297" s="137">
        <f>IF(BI297="snížená",J297,0)</f>
        <v>0</v>
      </c>
      <c r="DB297" s="137">
        <f>IF(BI297="zákl. přenesená",J297,0)</f>
        <v>0</v>
      </c>
      <c r="DC297" s="137">
        <f>IF(BI297="sníž. přenesená",J297,0)</f>
        <v>0</v>
      </c>
      <c r="DD297" s="137">
        <f>IF(BI297="nulová",J297,0)</f>
        <v>0</v>
      </c>
      <c r="DE297" s="16" t="s">
        <v>81</v>
      </c>
      <c r="DF297" s="137">
        <f>ROUND(I297*H297,2)</f>
        <v>6074.17</v>
      </c>
      <c r="DG297" s="16" t="s">
        <v>95</v>
      </c>
      <c r="DH297" s="136" t="s">
        <v>534</v>
      </c>
    </row>
    <row r="298" spans="2:112" s="1" customFormat="1" ht="19.5" x14ac:dyDescent="0.2">
      <c r="B298" s="31"/>
      <c r="D298" s="138" t="s">
        <v>289</v>
      </c>
      <c r="F298" s="139" t="s">
        <v>535</v>
      </c>
      <c r="I298" s="140"/>
      <c r="L298" s="31"/>
      <c r="N298" s="213"/>
      <c r="O298" s="214"/>
      <c r="Q298" s="229"/>
      <c r="BH298" s="141"/>
      <c r="BO298" s="50"/>
      <c r="CO298" s="16" t="s">
        <v>289</v>
      </c>
      <c r="CP298" s="16" t="s">
        <v>83</v>
      </c>
    </row>
    <row r="299" spans="2:112" s="1" customFormat="1" ht="24.2" customHeight="1" x14ac:dyDescent="0.2">
      <c r="B299" s="124"/>
      <c r="C299" s="125" t="s">
        <v>482</v>
      </c>
      <c r="D299" s="125" t="s">
        <v>284</v>
      </c>
      <c r="E299" s="126" t="s">
        <v>537</v>
      </c>
      <c r="F299" s="127" t="s">
        <v>538</v>
      </c>
      <c r="G299" s="128" t="s">
        <v>287</v>
      </c>
      <c r="H299" s="129">
        <v>148.59</v>
      </c>
      <c r="I299" s="130">
        <v>362.67856108310502</v>
      </c>
      <c r="J299" s="131">
        <f>ROUND(I299*H299,2)</f>
        <v>53890.41</v>
      </c>
      <c r="K299" s="127" t="s">
        <v>293</v>
      </c>
      <c r="L299" s="268">
        <f>S299</f>
        <v>0</v>
      </c>
      <c r="M299" s="272">
        <f>ROUND(L299*I299,2)</f>
        <v>0</v>
      </c>
      <c r="N299" s="243">
        <f>N293</f>
        <v>-15.75</v>
      </c>
      <c r="O299" s="294">
        <f>ROUND(N299*I299,2)</f>
        <v>-5712.19</v>
      </c>
      <c r="P299" s="273">
        <f>H299-L299-N299</f>
        <v>164.34</v>
      </c>
      <c r="Q299" s="287">
        <f>ROUND(P299*I299,2)</f>
        <v>59602.59</v>
      </c>
      <c r="R299" s="137"/>
      <c r="S299" s="269">
        <f>W299+Y299+AA299+AC299</f>
        <v>0</v>
      </c>
      <c r="T299" s="269">
        <f>ROUND(S299*I299,2)</f>
        <v>0</v>
      </c>
      <c r="U299" s="269">
        <f>H299-S299</f>
        <v>148.59</v>
      </c>
      <c r="V299" s="269">
        <f>ROUND(U299*I299,2)</f>
        <v>53890.41</v>
      </c>
      <c r="W299" s="269"/>
      <c r="X299" s="269"/>
      <c r="Y299" s="269"/>
      <c r="Z299" s="269"/>
      <c r="AA299" s="269"/>
      <c r="AB299" s="269"/>
      <c r="AC299" s="269"/>
      <c r="AD299" s="269"/>
      <c r="BH299" s="132" t="s">
        <v>1</v>
      </c>
      <c r="BI299" s="133" t="s">
        <v>40</v>
      </c>
      <c r="BK299" s="134">
        <f>BJ299*H299</f>
        <v>0</v>
      </c>
      <c r="BL299" s="134">
        <v>0</v>
      </c>
      <c r="BM299" s="134">
        <f>BL299*H299</f>
        <v>0</v>
      </c>
      <c r="BN299" s="134">
        <v>0</v>
      </c>
      <c r="BO299" s="135">
        <f>BN299*H299</f>
        <v>0</v>
      </c>
      <c r="CM299" s="136" t="s">
        <v>95</v>
      </c>
      <c r="CO299" s="136" t="s">
        <v>284</v>
      </c>
      <c r="CP299" s="136" t="s">
        <v>83</v>
      </c>
      <c r="CT299" s="16" t="s">
        <v>282</v>
      </c>
      <c r="CZ299" s="137">
        <f>IF(BI299="základní",J299,0)</f>
        <v>53890.41</v>
      </c>
      <c r="DA299" s="137">
        <f>IF(BI299="snížená",J299,0)</f>
        <v>0</v>
      </c>
      <c r="DB299" s="137">
        <f>IF(BI299="zákl. přenesená",J299,0)</f>
        <v>0</v>
      </c>
      <c r="DC299" s="137">
        <f>IF(BI299="sníž. přenesená",J299,0)</f>
        <v>0</v>
      </c>
      <c r="DD299" s="137">
        <f>IF(BI299="nulová",J299,0)</f>
        <v>0</v>
      </c>
      <c r="DE299" s="16" t="s">
        <v>81</v>
      </c>
      <c r="DF299" s="137">
        <f>ROUND(I299*H299,2)</f>
        <v>53890.41</v>
      </c>
      <c r="DG299" s="16" t="s">
        <v>95</v>
      </c>
      <c r="DH299" s="136" t="s">
        <v>539</v>
      </c>
    </row>
    <row r="300" spans="2:112" s="1" customFormat="1" ht="29.25" x14ac:dyDescent="0.2">
      <c r="B300" s="31"/>
      <c r="D300" s="138" t="s">
        <v>289</v>
      </c>
      <c r="F300" s="139" t="s">
        <v>540</v>
      </c>
      <c r="I300" s="140"/>
      <c r="L300" s="31"/>
      <c r="N300" s="213"/>
      <c r="O300" s="214"/>
      <c r="Q300" s="229"/>
      <c r="BH300" s="141"/>
      <c r="BO300" s="50"/>
      <c r="CO300" s="16" t="s">
        <v>289</v>
      </c>
      <c r="CP300" s="16" t="s">
        <v>83</v>
      </c>
    </row>
    <row r="301" spans="2:112" s="1" customFormat="1" ht="29.25" x14ac:dyDescent="0.2">
      <c r="B301" s="31"/>
      <c r="D301" s="138" t="s">
        <v>299</v>
      </c>
      <c r="F301" s="142" t="s">
        <v>1659</v>
      </c>
      <c r="I301" s="140"/>
      <c r="L301" s="31"/>
      <c r="N301" s="213"/>
      <c r="O301" s="214"/>
      <c r="Q301" s="229"/>
      <c r="BH301" s="141"/>
      <c r="BO301" s="50"/>
      <c r="CO301" s="16" t="s">
        <v>299</v>
      </c>
      <c r="CP301" s="16" t="s">
        <v>83</v>
      </c>
    </row>
    <row r="302" spans="2:112" s="11" customFormat="1" ht="22.5" x14ac:dyDescent="0.2">
      <c r="B302" s="143"/>
      <c r="D302" s="138" t="s">
        <v>301</v>
      </c>
      <c r="E302" s="144" t="s">
        <v>1</v>
      </c>
      <c r="F302" s="145" t="s">
        <v>1126</v>
      </c>
      <c r="H302" s="144" t="s">
        <v>1</v>
      </c>
      <c r="I302" s="146"/>
      <c r="L302" s="143"/>
      <c r="N302" s="215"/>
      <c r="O302" s="216"/>
      <c r="Q302" s="230"/>
      <c r="BH302" s="147"/>
      <c r="BO302" s="148"/>
      <c r="CO302" s="144" t="s">
        <v>301</v>
      </c>
      <c r="CP302" s="144" t="s">
        <v>83</v>
      </c>
      <c r="CQ302" s="11" t="s">
        <v>81</v>
      </c>
      <c r="CR302" s="11" t="s">
        <v>32</v>
      </c>
      <c r="CS302" s="11" t="s">
        <v>74</v>
      </c>
      <c r="CT302" s="144" t="s">
        <v>282</v>
      </c>
    </row>
    <row r="303" spans="2:112" s="12" customFormat="1" x14ac:dyDescent="0.2">
      <c r="B303" s="149"/>
      <c r="D303" s="138" t="s">
        <v>301</v>
      </c>
      <c r="E303" s="150" t="s">
        <v>1</v>
      </c>
      <c r="F303" s="151" t="s">
        <v>1697</v>
      </c>
      <c r="H303" s="152">
        <v>148.59</v>
      </c>
      <c r="I303" s="153"/>
      <c r="L303" s="149"/>
      <c r="N303" s="217"/>
      <c r="O303" s="218"/>
      <c r="Q303" s="231"/>
      <c r="BH303" s="154"/>
      <c r="BO303" s="155"/>
      <c r="CO303" s="150" t="s">
        <v>301</v>
      </c>
      <c r="CP303" s="150" t="s">
        <v>83</v>
      </c>
      <c r="CQ303" s="12" t="s">
        <v>83</v>
      </c>
      <c r="CR303" s="12" t="s">
        <v>32</v>
      </c>
      <c r="CS303" s="12" t="s">
        <v>81</v>
      </c>
      <c r="CT303" s="150" t="s">
        <v>282</v>
      </c>
    </row>
    <row r="304" spans="2:112" s="10" customFormat="1" ht="22.9" customHeight="1" x14ac:dyDescent="0.2">
      <c r="B304" s="112"/>
      <c r="D304" s="113" t="s">
        <v>73</v>
      </c>
      <c r="E304" s="122" t="s">
        <v>328</v>
      </c>
      <c r="F304" s="122" t="s">
        <v>555</v>
      </c>
      <c r="I304" s="115"/>
      <c r="J304" s="123">
        <f>DF304</f>
        <v>835209.09000000008</v>
      </c>
      <c r="L304" s="112"/>
      <c r="M304" s="270">
        <f>SUM(M305:M355)</f>
        <v>0</v>
      </c>
      <c r="N304" s="301"/>
      <c r="O304" s="302">
        <f t="shared" ref="O304:V304" si="6">SUM(O305:O355)</f>
        <v>-45881.489999999983</v>
      </c>
      <c r="P304" s="270"/>
      <c r="Q304" s="288">
        <f t="shared" si="6"/>
        <v>881090.56000000006</v>
      </c>
      <c r="R304" s="270"/>
      <c r="S304" s="270"/>
      <c r="T304" s="270">
        <f t="shared" si="6"/>
        <v>0</v>
      </c>
      <c r="U304" s="270"/>
      <c r="V304" s="270">
        <f t="shared" si="6"/>
        <v>835209.09000000008</v>
      </c>
      <c r="BH304" s="117"/>
      <c r="BK304" s="118">
        <f>SUM(BK305:BK356)</f>
        <v>0</v>
      </c>
      <c r="BM304" s="118">
        <f>SUM(BM305:BM356)</f>
        <v>11.450272</v>
      </c>
      <c r="BO304" s="119">
        <f>SUM(BO305:BO356)</f>
        <v>0</v>
      </c>
      <c r="CM304" s="113" t="s">
        <v>81</v>
      </c>
      <c r="CO304" s="120" t="s">
        <v>73</v>
      </c>
      <c r="CP304" s="120" t="s">
        <v>81</v>
      </c>
      <c r="CT304" s="113" t="s">
        <v>282</v>
      </c>
      <c r="DF304" s="121">
        <f>SUM(DF305:DF356)</f>
        <v>835209.09000000008</v>
      </c>
    </row>
    <row r="305" spans="2:112" s="1" customFormat="1" ht="24.2" customHeight="1" x14ac:dyDescent="0.2">
      <c r="B305" s="124"/>
      <c r="C305" s="125" t="s">
        <v>489</v>
      </c>
      <c r="D305" s="125" t="s">
        <v>284</v>
      </c>
      <c r="E305" s="126" t="s">
        <v>1128</v>
      </c>
      <c r="F305" s="127" t="s">
        <v>1129</v>
      </c>
      <c r="G305" s="128" t="s">
        <v>344</v>
      </c>
      <c r="H305" s="129">
        <v>150.1</v>
      </c>
      <c r="I305" s="130">
        <v>617.16852473597498</v>
      </c>
      <c r="J305" s="131">
        <f>ROUND(I305*H305,2)</f>
        <v>92637</v>
      </c>
      <c r="K305" s="127" t="s">
        <v>293</v>
      </c>
      <c r="L305" s="268">
        <f>S305</f>
        <v>0</v>
      </c>
      <c r="M305" s="272">
        <f>ROUND(L305*I305,2)</f>
        <v>0</v>
      </c>
      <c r="N305" s="243">
        <f>N308</f>
        <v>-20.5</v>
      </c>
      <c r="O305" s="294">
        <f>ROUND(N305*I305,2)</f>
        <v>-12651.95</v>
      </c>
      <c r="P305" s="273">
        <f>H305-L305-N305</f>
        <v>170.6</v>
      </c>
      <c r="Q305" s="287">
        <f>ROUND(P305*I305,2)</f>
        <v>105288.95</v>
      </c>
      <c r="R305" s="137"/>
      <c r="S305" s="269">
        <f>W305+Y305+AA305+AC305</f>
        <v>0</v>
      </c>
      <c r="T305" s="269">
        <f>ROUND(S305*I305,2)</f>
        <v>0</v>
      </c>
      <c r="U305" s="269">
        <f>H305-S305</f>
        <v>150.1</v>
      </c>
      <c r="V305" s="269">
        <f>ROUND(U305*I305,2)</f>
        <v>92637</v>
      </c>
      <c r="W305" s="269"/>
      <c r="X305" s="269"/>
      <c r="Y305" s="269"/>
      <c r="Z305" s="269"/>
      <c r="AA305" s="269"/>
      <c r="AB305" s="269"/>
      <c r="AC305" s="269"/>
      <c r="AD305" s="269"/>
      <c r="BH305" s="132" t="s">
        <v>1</v>
      </c>
      <c r="BI305" s="133" t="s">
        <v>40</v>
      </c>
      <c r="BK305" s="134">
        <f>BJ305*H305</f>
        <v>0</v>
      </c>
      <c r="BL305" s="134">
        <v>4.2199999999999998E-3</v>
      </c>
      <c r="BM305" s="134">
        <f>BL305*H305</f>
        <v>0.63342199999999993</v>
      </c>
      <c r="BN305" s="134">
        <v>0</v>
      </c>
      <c r="BO305" s="135">
        <f>BN305*H305</f>
        <v>0</v>
      </c>
      <c r="CM305" s="136" t="s">
        <v>95</v>
      </c>
      <c r="CO305" s="136" t="s">
        <v>284</v>
      </c>
      <c r="CP305" s="136" t="s">
        <v>83</v>
      </c>
      <c r="CT305" s="16" t="s">
        <v>282</v>
      </c>
      <c r="CZ305" s="137">
        <f>IF(BI305="základní",J305,0)</f>
        <v>92637</v>
      </c>
      <c r="DA305" s="137">
        <f>IF(BI305="snížená",J305,0)</f>
        <v>0</v>
      </c>
      <c r="DB305" s="137">
        <f>IF(BI305="zákl. přenesená",J305,0)</f>
        <v>0</v>
      </c>
      <c r="DC305" s="137">
        <f>IF(BI305="sníž. přenesená",J305,0)</f>
        <v>0</v>
      </c>
      <c r="DD305" s="137">
        <f>IF(BI305="nulová",J305,0)</f>
        <v>0</v>
      </c>
      <c r="DE305" s="16" t="s">
        <v>81</v>
      </c>
      <c r="DF305" s="137">
        <f>ROUND(I305*H305,2)</f>
        <v>92637</v>
      </c>
      <c r="DG305" s="16" t="s">
        <v>95</v>
      </c>
      <c r="DH305" s="136" t="s">
        <v>1130</v>
      </c>
    </row>
    <row r="306" spans="2:112" s="1" customFormat="1" ht="29.25" x14ac:dyDescent="0.2">
      <c r="B306" s="31"/>
      <c r="D306" s="138" t="s">
        <v>289</v>
      </c>
      <c r="F306" s="139" t="s">
        <v>1131</v>
      </c>
      <c r="I306" s="140"/>
      <c r="L306" s="31"/>
      <c r="N306" s="213"/>
      <c r="O306" s="214"/>
      <c r="Q306" s="229"/>
      <c r="BH306" s="141"/>
      <c r="BO306" s="50"/>
      <c r="CO306" s="16" t="s">
        <v>289</v>
      </c>
      <c r="CP306" s="16" t="s">
        <v>83</v>
      </c>
    </row>
    <row r="307" spans="2:112" s="1" customFormat="1" ht="29.25" x14ac:dyDescent="0.2">
      <c r="B307" s="31"/>
      <c r="D307" s="138" t="s">
        <v>299</v>
      </c>
      <c r="F307" s="142" t="s">
        <v>1659</v>
      </c>
      <c r="I307" s="140"/>
      <c r="L307" s="31"/>
      <c r="N307" s="213"/>
      <c r="O307" s="214"/>
      <c r="Q307" s="229"/>
      <c r="BH307" s="141"/>
      <c r="BO307" s="50"/>
      <c r="CO307" s="16" t="s">
        <v>299</v>
      </c>
      <c r="CP307" s="16" t="s">
        <v>83</v>
      </c>
    </row>
    <row r="308" spans="2:112" s="12" customFormat="1" x14ac:dyDescent="0.2">
      <c r="B308" s="149"/>
      <c r="D308" s="138" t="s">
        <v>301</v>
      </c>
      <c r="E308" s="150" t="s">
        <v>1</v>
      </c>
      <c r="F308" s="151" t="s">
        <v>1692</v>
      </c>
      <c r="H308" s="152">
        <v>150.1</v>
      </c>
      <c r="I308" s="153"/>
      <c r="L308" s="149"/>
      <c r="N308" s="217">
        <f>129.6-150.1</f>
        <v>-20.5</v>
      </c>
      <c r="O308" s="218" t="s">
        <v>3778</v>
      </c>
      <c r="Q308" s="231"/>
      <c r="BH308" s="154"/>
      <c r="BO308" s="155"/>
      <c r="CO308" s="150" t="s">
        <v>301</v>
      </c>
      <c r="CP308" s="150" t="s">
        <v>83</v>
      </c>
      <c r="CQ308" s="12" t="s">
        <v>83</v>
      </c>
      <c r="CR308" s="12" t="s">
        <v>32</v>
      </c>
      <c r="CS308" s="12" t="s">
        <v>81</v>
      </c>
      <c r="CT308" s="150" t="s">
        <v>282</v>
      </c>
    </row>
    <row r="309" spans="2:112" s="1" customFormat="1" ht="24.2" customHeight="1" x14ac:dyDescent="0.2">
      <c r="B309" s="124"/>
      <c r="C309" s="125" t="s">
        <v>493</v>
      </c>
      <c r="D309" s="125" t="s">
        <v>284</v>
      </c>
      <c r="E309" s="126" t="s">
        <v>1132</v>
      </c>
      <c r="F309" s="127" t="s">
        <v>1133</v>
      </c>
      <c r="G309" s="128" t="s">
        <v>485</v>
      </c>
      <c r="H309" s="129">
        <v>153</v>
      </c>
      <c r="I309" s="130">
        <v>214.24530512569368</v>
      </c>
      <c r="J309" s="131">
        <f>ROUND(I309*H309,2)</f>
        <v>32779.53</v>
      </c>
      <c r="K309" s="127" t="s">
        <v>293</v>
      </c>
      <c r="L309" s="268">
        <f>S309</f>
        <v>0</v>
      </c>
      <c r="M309" s="272">
        <f>ROUND(L309*I309,2)</f>
        <v>0</v>
      </c>
      <c r="N309" s="243">
        <f>N320</f>
        <v>-18</v>
      </c>
      <c r="O309" s="294">
        <f>ROUND(N309*I309,2)</f>
        <v>-3856.42</v>
      </c>
      <c r="P309" s="273">
        <f>H309-L309-N309</f>
        <v>171</v>
      </c>
      <c r="Q309" s="287">
        <f>ROUND(P309*I309,2)</f>
        <v>36635.949999999997</v>
      </c>
      <c r="R309" s="137"/>
      <c r="S309" s="269">
        <f>W309+Y309+AA309+AC309</f>
        <v>0</v>
      </c>
      <c r="T309" s="269">
        <f>ROUND(S309*I309,2)</f>
        <v>0</v>
      </c>
      <c r="U309" s="269">
        <f>H309-S309</f>
        <v>153</v>
      </c>
      <c r="V309" s="269">
        <f>ROUND(U309*I309,2)</f>
        <v>32779.53</v>
      </c>
      <c r="W309" s="269"/>
      <c r="X309" s="269"/>
      <c r="Y309" s="269"/>
      <c r="Z309" s="269"/>
      <c r="AA309" s="269"/>
      <c r="AB309" s="269"/>
      <c r="AC309" s="269"/>
      <c r="AD309" s="269"/>
      <c r="BH309" s="132" t="s">
        <v>1</v>
      </c>
      <c r="BI309" s="133" t="s">
        <v>40</v>
      </c>
      <c r="BK309" s="134">
        <f>BJ309*H309</f>
        <v>0</v>
      </c>
      <c r="BL309" s="134">
        <v>0</v>
      </c>
      <c r="BM309" s="134">
        <f>BL309*H309</f>
        <v>0</v>
      </c>
      <c r="BN309" s="134">
        <v>0</v>
      </c>
      <c r="BO309" s="135">
        <f>BN309*H309</f>
        <v>0</v>
      </c>
      <c r="CM309" s="136" t="s">
        <v>95</v>
      </c>
      <c r="CO309" s="136" t="s">
        <v>284</v>
      </c>
      <c r="CP309" s="136" t="s">
        <v>83</v>
      </c>
      <c r="CT309" s="16" t="s">
        <v>282</v>
      </c>
      <c r="CZ309" s="137">
        <f>IF(BI309="základní",J309,0)</f>
        <v>32779.53</v>
      </c>
      <c r="DA309" s="137">
        <f>IF(BI309="snížená",J309,0)</f>
        <v>0</v>
      </c>
      <c r="DB309" s="137">
        <f>IF(BI309="zákl. přenesená",J309,0)</f>
        <v>0</v>
      </c>
      <c r="DC309" s="137">
        <f>IF(BI309="sníž. přenesená",J309,0)</f>
        <v>0</v>
      </c>
      <c r="DD309" s="137">
        <f>IF(BI309="nulová",J309,0)</f>
        <v>0</v>
      </c>
      <c r="DE309" s="16" t="s">
        <v>81</v>
      </c>
      <c r="DF309" s="137">
        <f>ROUND(I309*H309,2)</f>
        <v>32779.53</v>
      </c>
      <c r="DG309" s="16" t="s">
        <v>95</v>
      </c>
      <c r="DH309" s="136" t="s">
        <v>1134</v>
      </c>
    </row>
    <row r="310" spans="2:112" s="1" customFormat="1" ht="19.5" x14ac:dyDescent="0.2">
      <c r="B310" s="31"/>
      <c r="D310" s="138" t="s">
        <v>289</v>
      </c>
      <c r="F310" s="139" t="s">
        <v>1135</v>
      </c>
      <c r="I310" s="140"/>
      <c r="L310" s="31"/>
      <c r="N310" s="213"/>
      <c r="O310" s="214"/>
      <c r="Q310" s="229"/>
      <c r="BH310" s="141"/>
      <c r="BO310" s="50"/>
      <c r="CO310" s="16" t="s">
        <v>289</v>
      </c>
      <c r="CP310" s="16" t="s">
        <v>83</v>
      </c>
    </row>
    <row r="311" spans="2:112" s="1" customFormat="1" ht="29.25" x14ac:dyDescent="0.2">
      <c r="B311" s="31"/>
      <c r="D311" s="138" t="s">
        <v>299</v>
      </c>
      <c r="F311" s="142" t="s">
        <v>1659</v>
      </c>
      <c r="I311" s="140"/>
      <c r="L311" s="31"/>
      <c r="N311" s="213"/>
      <c r="O311" s="214"/>
      <c r="Q311" s="229"/>
      <c r="BH311" s="141"/>
      <c r="BO311" s="50"/>
      <c r="CO311" s="16" t="s">
        <v>299</v>
      </c>
      <c r="CP311" s="16" t="s">
        <v>83</v>
      </c>
    </row>
    <row r="312" spans="2:112" s="11" customFormat="1" x14ac:dyDescent="0.2">
      <c r="B312" s="143"/>
      <c r="D312" s="138" t="s">
        <v>301</v>
      </c>
      <c r="E312" s="144" t="s">
        <v>1</v>
      </c>
      <c r="F312" s="145" t="s">
        <v>1136</v>
      </c>
      <c r="H312" s="144" t="s">
        <v>1</v>
      </c>
      <c r="I312" s="146"/>
      <c r="L312" s="143"/>
      <c r="N312" s="215"/>
      <c r="O312" s="373"/>
      <c r="Q312" s="230"/>
      <c r="BH312" s="147"/>
      <c r="BO312" s="148"/>
      <c r="CO312" s="144" t="s">
        <v>301</v>
      </c>
      <c r="CP312" s="144" t="s">
        <v>83</v>
      </c>
      <c r="CQ312" s="11" t="s">
        <v>81</v>
      </c>
      <c r="CR312" s="11" t="s">
        <v>32</v>
      </c>
      <c r="CS312" s="11" t="s">
        <v>74</v>
      </c>
      <c r="CT312" s="144" t="s">
        <v>282</v>
      </c>
    </row>
    <row r="313" spans="2:112" s="12" customFormat="1" x14ac:dyDescent="0.2">
      <c r="B313" s="149"/>
      <c r="D313" s="138" t="s">
        <v>301</v>
      </c>
      <c r="E313" s="150" t="s">
        <v>1</v>
      </c>
      <c r="F313" s="151" t="s">
        <v>1698</v>
      </c>
      <c r="H313" s="152">
        <v>47</v>
      </c>
      <c r="I313" s="153"/>
      <c r="L313" s="149"/>
      <c r="N313" s="217">
        <f>39*1+2*1</f>
        <v>41</v>
      </c>
      <c r="O313" s="373" t="s">
        <v>3785</v>
      </c>
      <c r="Q313" s="231"/>
      <c r="BH313" s="154"/>
      <c r="BO313" s="155"/>
      <c r="CO313" s="150" t="s">
        <v>301</v>
      </c>
      <c r="CP313" s="150" t="s">
        <v>83</v>
      </c>
      <c r="CQ313" s="12" t="s">
        <v>83</v>
      </c>
      <c r="CR313" s="12" t="s">
        <v>32</v>
      </c>
      <c r="CS313" s="12" t="s">
        <v>74</v>
      </c>
      <c r="CT313" s="150" t="s">
        <v>282</v>
      </c>
    </row>
    <row r="314" spans="2:112" s="11" customFormat="1" x14ac:dyDescent="0.2">
      <c r="B314" s="143"/>
      <c r="D314" s="138" t="s">
        <v>301</v>
      </c>
      <c r="E314" s="144" t="s">
        <v>1</v>
      </c>
      <c r="F314" s="145" t="s">
        <v>1138</v>
      </c>
      <c r="H314" s="144" t="s">
        <v>1</v>
      </c>
      <c r="I314" s="146"/>
      <c r="L314" s="143"/>
      <c r="N314" s="215"/>
      <c r="O314" s="216"/>
      <c r="Q314" s="230"/>
      <c r="BH314" s="147"/>
      <c r="BO314" s="148"/>
      <c r="CO314" s="144" t="s">
        <v>301</v>
      </c>
      <c r="CP314" s="144" t="s">
        <v>83</v>
      </c>
      <c r="CQ314" s="11" t="s">
        <v>81</v>
      </c>
      <c r="CR314" s="11" t="s">
        <v>32</v>
      </c>
      <c r="CS314" s="11" t="s">
        <v>74</v>
      </c>
      <c r="CT314" s="144" t="s">
        <v>282</v>
      </c>
    </row>
    <row r="315" spans="2:112" s="12" customFormat="1" x14ac:dyDescent="0.2">
      <c r="B315" s="149"/>
      <c r="D315" s="138" t="s">
        <v>301</v>
      </c>
      <c r="E315" s="150" t="s">
        <v>1</v>
      </c>
      <c r="F315" s="151" t="s">
        <v>837</v>
      </c>
      <c r="H315" s="152">
        <v>6</v>
      </c>
      <c r="I315" s="153"/>
      <c r="L315" s="149"/>
      <c r="N315" s="217">
        <v>6</v>
      </c>
      <c r="O315" s="218"/>
      <c r="Q315" s="231"/>
      <c r="BH315" s="154"/>
      <c r="BO315" s="155"/>
      <c r="CO315" s="150" t="s">
        <v>301</v>
      </c>
      <c r="CP315" s="150" t="s">
        <v>83</v>
      </c>
      <c r="CQ315" s="12" t="s">
        <v>83</v>
      </c>
      <c r="CR315" s="12" t="s">
        <v>32</v>
      </c>
      <c r="CS315" s="12" t="s">
        <v>74</v>
      </c>
      <c r="CT315" s="150" t="s">
        <v>282</v>
      </c>
    </row>
    <row r="316" spans="2:112" s="14" customFormat="1" x14ac:dyDescent="0.2">
      <c r="B316" s="163"/>
      <c r="D316" s="138" t="s">
        <v>301</v>
      </c>
      <c r="E316" s="164" t="s">
        <v>1</v>
      </c>
      <c r="F316" s="165" t="s">
        <v>373</v>
      </c>
      <c r="H316" s="166">
        <v>53</v>
      </c>
      <c r="I316" s="167"/>
      <c r="L316" s="163"/>
      <c r="N316" s="221">
        <f>N313+N315</f>
        <v>47</v>
      </c>
      <c r="O316" s="222"/>
      <c r="Q316" s="233"/>
      <c r="BH316" s="168"/>
      <c r="BO316" s="169"/>
      <c r="CO316" s="164" t="s">
        <v>301</v>
      </c>
      <c r="CP316" s="164" t="s">
        <v>83</v>
      </c>
      <c r="CQ316" s="14" t="s">
        <v>90</v>
      </c>
      <c r="CR316" s="14" t="s">
        <v>32</v>
      </c>
      <c r="CS316" s="14" t="s">
        <v>74</v>
      </c>
      <c r="CT316" s="164" t="s">
        <v>282</v>
      </c>
    </row>
    <row r="317" spans="2:112" s="11" customFormat="1" x14ac:dyDescent="0.2">
      <c r="B317" s="143"/>
      <c r="D317" s="138" t="s">
        <v>301</v>
      </c>
      <c r="E317" s="144" t="s">
        <v>1</v>
      </c>
      <c r="F317" s="145" t="s">
        <v>1140</v>
      </c>
      <c r="H317" s="144" t="s">
        <v>1</v>
      </c>
      <c r="I317" s="146"/>
      <c r="L317" s="143"/>
      <c r="N317" s="215"/>
      <c r="O317" s="216"/>
      <c r="Q317" s="230"/>
      <c r="BH317" s="147"/>
      <c r="BO317" s="148"/>
      <c r="CO317" s="144" t="s">
        <v>301</v>
      </c>
      <c r="CP317" s="144" t="s">
        <v>83</v>
      </c>
      <c r="CQ317" s="11" t="s">
        <v>81</v>
      </c>
      <c r="CR317" s="11" t="s">
        <v>32</v>
      </c>
      <c r="CS317" s="11" t="s">
        <v>74</v>
      </c>
      <c r="CT317" s="144" t="s">
        <v>282</v>
      </c>
    </row>
    <row r="318" spans="2:112" s="12" customFormat="1" x14ac:dyDescent="0.2">
      <c r="B318" s="149"/>
      <c r="D318" s="138" t="s">
        <v>301</v>
      </c>
      <c r="E318" s="150" t="s">
        <v>1</v>
      </c>
      <c r="F318" s="151" t="s">
        <v>1699</v>
      </c>
      <c r="H318" s="152">
        <v>100</v>
      </c>
      <c r="I318" s="153"/>
      <c r="L318" s="149"/>
      <c r="N318" s="217">
        <f>44*2</f>
        <v>88</v>
      </c>
      <c r="O318" s="218" t="s">
        <v>3786</v>
      </c>
      <c r="Q318" s="231"/>
      <c r="BH318" s="154"/>
      <c r="BO318" s="155"/>
      <c r="CO318" s="150" t="s">
        <v>301</v>
      </c>
      <c r="CP318" s="150" t="s">
        <v>83</v>
      </c>
      <c r="CQ318" s="12" t="s">
        <v>83</v>
      </c>
      <c r="CR318" s="12" t="s">
        <v>32</v>
      </c>
      <c r="CS318" s="12" t="s">
        <v>74</v>
      </c>
      <c r="CT318" s="150" t="s">
        <v>282</v>
      </c>
    </row>
    <row r="319" spans="2:112" s="13" customFormat="1" x14ac:dyDescent="0.2">
      <c r="B319" s="156"/>
      <c r="D319" s="138" t="s">
        <v>301</v>
      </c>
      <c r="E319" s="157" t="s">
        <v>1</v>
      </c>
      <c r="F319" s="158" t="s">
        <v>305</v>
      </c>
      <c r="H319" s="159">
        <v>153</v>
      </c>
      <c r="I319" s="160"/>
      <c r="L319" s="156"/>
      <c r="N319" s="219">
        <f>N318+N316</f>
        <v>135</v>
      </c>
      <c r="O319" s="220"/>
      <c r="Q319" s="232"/>
      <c r="BH319" s="161"/>
      <c r="BO319" s="162"/>
      <c r="CO319" s="157" t="s">
        <v>301</v>
      </c>
      <c r="CP319" s="157" t="s">
        <v>83</v>
      </c>
      <c r="CQ319" s="13" t="s">
        <v>95</v>
      </c>
      <c r="CR319" s="13" t="s">
        <v>32</v>
      </c>
      <c r="CS319" s="13" t="s">
        <v>81</v>
      </c>
      <c r="CT319" s="157" t="s">
        <v>282</v>
      </c>
    </row>
    <row r="320" spans="2:112" s="13" customFormat="1" x14ac:dyDescent="0.2">
      <c r="B320" s="156"/>
      <c r="D320" s="138"/>
      <c r="E320" s="157"/>
      <c r="F320" s="158"/>
      <c r="H320" s="159"/>
      <c r="I320" s="160"/>
      <c r="L320" s="156"/>
      <c r="N320" s="311">
        <f>N319-H319</f>
        <v>-18</v>
      </c>
      <c r="O320" s="220"/>
      <c r="Q320" s="232"/>
      <c r="BH320" s="161"/>
      <c r="BO320" s="162"/>
      <c r="CO320" s="157"/>
      <c r="CP320" s="157"/>
      <c r="CT320" s="157"/>
    </row>
    <row r="321" spans="2:112" s="1" customFormat="1" ht="14.45" customHeight="1" x14ac:dyDescent="0.2">
      <c r="B321" s="124"/>
      <c r="C321" s="170" t="s">
        <v>497</v>
      </c>
      <c r="D321" s="170" t="s">
        <v>439</v>
      </c>
      <c r="E321" s="171" t="s">
        <v>1142</v>
      </c>
      <c r="F321" s="172" t="s">
        <v>1143</v>
      </c>
      <c r="G321" s="173" t="s">
        <v>485</v>
      </c>
      <c r="H321" s="174">
        <v>53</v>
      </c>
      <c r="I321" s="175">
        <v>100.40486420000001</v>
      </c>
      <c r="J321" s="176">
        <f>ROUND(I321*H321,2)</f>
        <v>5321.46</v>
      </c>
      <c r="K321" s="172" t="s">
        <v>293</v>
      </c>
      <c r="L321" s="268">
        <f>S321</f>
        <v>0</v>
      </c>
      <c r="M321" s="272">
        <f>ROUND(L321*I321,2)</f>
        <v>0</v>
      </c>
      <c r="N321" s="243">
        <v>-6</v>
      </c>
      <c r="O321" s="294">
        <f>ROUND(N321*I321,2)</f>
        <v>-602.42999999999995</v>
      </c>
      <c r="P321" s="273">
        <f>H321-L321-N321</f>
        <v>59</v>
      </c>
      <c r="Q321" s="287">
        <f>ROUND(P321*I321,2)</f>
        <v>5923.89</v>
      </c>
      <c r="R321" s="137"/>
      <c r="S321" s="269">
        <f>W321+Y321+AA321+AC321</f>
        <v>0</v>
      </c>
      <c r="T321" s="269">
        <f>ROUND(S321*I321,2)</f>
        <v>0</v>
      </c>
      <c r="U321" s="269">
        <f>H321-S321</f>
        <v>53</v>
      </c>
      <c r="V321" s="269">
        <f>ROUND(U321*I321,2)</f>
        <v>5321.46</v>
      </c>
      <c r="W321" s="290"/>
      <c r="X321" s="290"/>
      <c r="Y321" s="290"/>
      <c r="Z321" s="290"/>
      <c r="AA321" s="290"/>
      <c r="AB321" s="290"/>
      <c r="AC321" s="290"/>
      <c r="AD321" s="290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77" t="s">
        <v>1</v>
      </c>
      <c r="BI321" s="178" t="s">
        <v>40</v>
      </c>
      <c r="BK321" s="134">
        <f>BJ321*H321</f>
        <v>0</v>
      </c>
      <c r="BL321" s="134">
        <v>6.4999999999999997E-4</v>
      </c>
      <c r="BM321" s="134">
        <f>BL321*H321</f>
        <v>3.4450000000000001E-2</v>
      </c>
      <c r="BN321" s="134">
        <v>0</v>
      </c>
      <c r="BO321" s="135">
        <f>BN321*H321</f>
        <v>0</v>
      </c>
      <c r="CM321" s="136" t="s">
        <v>328</v>
      </c>
      <c r="CO321" s="136" t="s">
        <v>439</v>
      </c>
      <c r="CP321" s="136" t="s">
        <v>83</v>
      </c>
      <c r="CT321" s="16" t="s">
        <v>282</v>
      </c>
      <c r="CZ321" s="137">
        <f>IF(BI321="základní",J321,0)</f>
        <v>5321.46</v>
      </c>
      <c r="DA321" s="137">
        <f>IF(BI321="snížená",J321,0)</f>
        <v>0</v>
      </c>
      <c r="DB321" s="137">
        <f>IF(BI321="zákl. přenesená",J321,0)</f>
        <v>0</v>
      </c>
      <c r="DC321" s="137">
        <f>IF(BI321="sníž. přenesená",J321,0)</f>
        <v>0</v>
      </c>
      <c r="DD321" s="137">
        <f>IF(BI321="nulová",J321,0)</f>
        <v>0</v>
      </c>
      <c r="DE321" s="16" t="s">
        <v>81</v>
      </c>
      <c r="DF321" s="137">
        <f>ROUND(I321*H321,2)</f>
        <v>5321.46</v>
      </c>
      <c r="DG321" s="16" t="s">
        <v>95</v>
      </c>
      <c r="DH321" s="136" t="s">
        <v>1144</v>
      </c>
    </row>
    <row r="322" spans="2:112" s="1" customFormat="1" x14ac:dyDescent="0.2">
      <c r="B322" s="31"/>
      <c r="D322" s="138" t="s">
        <v>289</v>
      </c>
      <c r="F322" s="139" t="s">
        <v>1145</v>
      </c>
      <c r="I322" s="140"/>
      <c r="L322" s="31"/>
      <c r="N322" s="213"/>
      <c r="O322" s="214"/>
      <c r="Q322" s="229"/>
      <c r="BH322" s="141"/>
      <c r="BO322" s="50"/>
      <c r="CO322" s="16" t="s">
        <v>289</v>
      </c>
      <c r="CP322" s="16" t="s">
        <v>83</v>
      </c>
    </row>
    <row r="323" spans="2:112" s="1" customFormat="1" ht="14.45" customHeight="1" x14ac:dyDescent="0.2">
      <c r="B323" s="124"/>
      <c r="C323" s="170" t="s">
        <v>501</v>
      </c>
      <c r="D323" s="170" t="s">
        <v>439</v>
      </c>
      <c r="E323" s="171" t="s">
        <v>1146</v>
      </c>
      <c r="F323" s="172" t="s">
        <v>1147</v>
      </c>
      <c r="G323" s="173" t="s">
        <v>485</v>
      </c>
      <c r="H323" s="174">
        <v>100</v>
      </c>
      <c r="I323" s="175">
        <v>236.80392499999999</v>
      </c>
      <c r="J323" s="176">
        <f>ROUND(I323*H323,2)</f>
        <v>23680.39</v>
      </c>
      <c r="K323" s="172" t="s">
        <v>1</v>
      </c>
      <c r="L323" s="268">
        <f>S323</f>
        <v>0</v>
      </c>
      <c r="M323" s="272">
        <f>ROUND(L323*I323,2)</f>
        <v>0</v>
      </c>
      <c r="N323" s="243">
        <v>-12</v>
      </c>
      <c r="O323" s="294">
        <f>ROUND(N323*I323,2)</f>
        <v>-2841.65</v>
      </c>
      <c r="P323" s="273">
        <f>H323-L323-N323</f>
        <v>112</v>
      </c>
      <c r="Q323" s="287">
        <f>ROUND(P323*I323,2)</f>
        <v>26522.04</v>
      </c>
      <c r="R323" s="137"/>
      <c r="S323" s="269">
        <f>W323+Y323+AA323+AC323</f>
        <v>0</v>
      </c>
      <c r="T323" s="269">
        <f>ROUND(S323*I323,2)</f>
        <v>0</v>
      </c>
      <c r="U323" s="269">
        <f>H323-S323</f>
        <v>100</v>
      </c>
      <c r="V323" s="269">
        <f>ROUND(U323*I323,2)</f>
        <v>23680.39</v>
      </c>
      <c r="W323" s="290"/>
      <c r="X323" s="290"/>
      <c r="Y323" s="290"/>
      <c r="Z323" s="290"/>
      <c r="AA323" s="290"/>
      <c r="AB323" s="290"/>
      <c r="AC323" s="290"/>
      <c r="AD323" s="290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77" t="s">
        <v>1</v>
      </c>
      <c r="BI323" s="178" t="s">
        <v>40</v>
      </c>
      <c r="BK323" s="134">
        <f>BJ323*H323</f>
        <v>0</v>
      </c>
      <c r="BL323" s="134">
        <v>6.4999999999999997E-4</v>
      </c>
      <c r="BM323" s="134">
        <f>BL323*H323</f>
        <v>6.5000000000000002E-2</v>
      </c>
      <c r="BN323" s="134">
        <v>0</v>
      </c>
      <c r="BO323" s="135">
        <f>BN323*H323</f>
        <v>0</v>
      </c>
      <c r="CM323" s="136" t="s">
        <v>328</v>
      </c>
      <c r="CO323" s="136" t="s">
        <v>439</v>
      </c>
      <c r="CP323" s="136" t="s">
        <v>83</v>
      </c>
      <c r="CT323" s="16" t="s">
        <v>282</v>
      </c>
      <c r="CZ323" s="137">
        <f>IF(BI323="základní",J323,0)</f>
        <v>23680.39</v>
      </c>
      <c r="DA323" s="137">
        <f>IF(BI323="snížená",J323,0)</f>
        <v>0</v>
      </c>
      <c r="DB323" s="137">
        <f>IF(BI323="zákl. přenesená",J323,0)</f>
        <v>0</v>
      </c>
      <c r="DC323" s="137">
        <f>IF(BI323="sníž. přenesená",J323,0)</f>
        <v>0</v>
      </c>
      <c r="DD323" s="137">
        <f>IF(BI323="nulová",J323,0)</f>
        <v>0</v>
      </c>
      <c r="DE323" s="16" t="s">
        <v>81</v>
      </c>
      <c r="DF323" s="137">
        <f>ROUND(I323*H323,2)</f>
        <v>23680.39</v>
      </c>
      <c r="DG323" s="16" t="s">
        <v>95</v>
      </c>
      <c r="DH323" s="136" t="s">
        <v>1148</v>
      </c>
    </row>
    <row r="324" spans="2:112" s="1" customFormat="1" x14ac:dyDescent="0.2">
      <c r="B324" s="31"/>
      <c r="D324" s="138" t="s">
        <v>289</v>
      </c>
      <c r="F324" s="139" t="s">
        <v>1147</v>
      </c>
      <c r="I324" s="140"/>
      <c r="L324" s="31"/>
      <c r="N324" s="213"/>
      <c r="O324" s="214"/>
      <c r="Q324" s="229"/>
      <c r="BH324" s="141"/>
      <c r="BO324" s="50"/>
      <c r="CO324" s="16" t="s">
        <v>289</v>
      </c>
      <c r="CP324" s="16" t="s">
        <v>83</v>
      </c>
    </row>
    <row r="325" spans="2:112" s="1" customFormat="1" ht="14.45" customHeight="1" x14ac:dyDescent="0.2">
      <c r="B325" s="124"/>
      <c r="C325" s="125" t="s">
        <v>505</v>
      </c>
      <c r="D325" s="125" t="s">
        <v>284</v>
      </c>
      <c r="E325" s="126" t="s">
        <v>1149</v>
      </c>
      <c r="F325" s="127" t="s">
        <v>1150</v>
      </c>
      <c r="G325" s="128" t="s">
        <v>485</v>
      </c>
      <c r="H325" s="129">
        <v>50</v>
      </c>
      <c r="I325" s="130">
        <v>214.24530512569368</v>
      </c>
      <c r="J325" s="131">
        <f>ROUND(I325*H325,2)</f>
        <v>10712.27</v>
      </c>
      <c r="K325" s="127" t="s">
        <v>293</v>
      </c>
      <c r="L325" s="268">
        <f>S325</f>
        <v>0</v>
      </c>
      <c r="M325" s="272">
        <f>ROUND(L325*I325,2)</f>
        <v>0</v>
      </c>
      <c r="N325" s="243">
        <v>-6</v>
      </c>
      <c r="O325" s="294">
        <f>ROUND(N325*I325,2)</f>
        <v>-1285.47</v>
      </c>
      <c r="P325" s="273">
        <f>H325-L325-N325</f>
        <v>56</v>
      </c>
      <c r="Q325" s="287">
        <f>ROUND(P325*I325,2)</f>
        <v>11997.74</v>
      </c>
      <c r="R325" s="137"/>
      <c r="S325" s="269">
        <f>W325+Y325+AA325+AC325</f>
        <v>0</v>
      </c>
      <c r="T325" s="269">
        <f>ROUND(S325*I325,2)</f>
        <v>0</v>
      </c>
      <c r="U325" s="269">
        <f>H325-S325</f>
        <v>50</v>
      </c>
      <c r="V325" s="269">
        <f>ROUND(U325*I325,2)</f>
        <v>10712.27</v>
      </c>
      <c r="W325" s="269"/>
      <c r="X325" s="269"/>
      <c r="Y325" s="269"/>
      <c r="Z325" s="269"/>
      <c r="AA325" s="269"/>
      <c r="AB325" s="269"/>
      <c r="AC325" s="269"/>
      <c r="AD325" s="269"/>
      <c r="BH325" s="132" t="s">
        <v>1</v>
      </c>
      <c r="BI325" s="133" t="s">
        <v>40</v>
      </c>
      <c r="BK325" s="134">
        <f>BJ325*H325</f>
        <v>0</v>
      </c>
      <c r="BL325" s="134">
        <v>0</v>
      </c>
      <c r="BM325" s="134">
        <f>BL325*H325</f>
        <v>0</v>
      </c>
      <c r="BN325" s="134">
        <v>0</v>
      </c>
      <c r="BO325" s="135">
        <f>BN325*H325</f>
        <v>0</v>
      </c>
      <c r="CM325" s="136" t="s">
        <v>95</v>
      </c>
      <c r="CO325" s="136" t="s">
        <v>284</v>
      </c>
      <c r="CP325" s="136" t="s">
        <v>83</v>
      </c>
      <c r="CT325" s="16" t="s">
        <v>282</v>
      </c>
      <c r="CZ325" s="137">
        <f>IF(BI325="základní",J325,0)</f>
        <v>10712.27</v>
      </c>
      <c r="DA325" s="137">
        <f>IF(BI325="snížená",J325,0)</f>
        <v>0</v>
      </c>
      <c r="DB325" s="137">
        <f>IF(BI325="zákl. přenesená",J325,0)</f>
        <v>0</v>
      </c>
      <c r="DC325" s="137">
        <f>IF(BI325="sníž. přenesená",J325,0)</f>
        <v>0</v>
      </c>
      <c r="DD325" s="137">
        <f>IF(BI325="nulová",J325,0)</f>
        <v>0</v>
      </c>
      <c r="DE325" s="16" t="s">
        <v>81</v>
      </c>
      <c r="DF325" s="137">
        <f>ROUND(I325*H325,2)</f>
        <v>10712.27</v>
      </c>
      <c r="DG325" s="16" t="s">
        <v>95</v>
      </c>
      <c r="DH325" s="136" t="s">
        <v>1151</v>
      </c>
    </row>
    <row r="326" spans="2:112" s="1" customFormat="1" ht="19.5" x14ac:dyDescent="0.2">
      <c r="B326" s="31"/>
      <c r="D326" s="138" t="s">
        <v>289</v>
      </c>
      <c r="F326" s="139" t="s">
        <v>1152</v>
      </c>
      <c r="I326" s="140"/>
      <c r="L326" s="31"/>
      <c r="N326" s="213"/>
      <c r="O326" s="214"/>
      <c r="Q326" s="229"/>
      <c r="BH326" s="141"/>
      <c r="BO326" s="50"/>
      <c r="CO326" s="16" t="s">
        <v>289</v>
      </c>
      <c r="CP326" s="16" t="s">
        <v>83</v>
      </c>
    </row>
    <row r="327" spans="2:112" s="1" customFormat="1" ht="29.25" x14ac:dyDescent="0.2">
      <c r="B327" s="31"/>
      <c r="D327" s="138" t="s">
        <v>299</v>
      </c>
      <c r="F327" s="142" t="s">
        <v>1659</v>
      </c>
      <c r="I327" s="140"/>
      <c r="L327" s="31"/>
      <c r="N327" s="213"/>
      <c r="O327" s="214"/>
      <c r="Q327" s="229"/>
      <c r="BH327" s="141"/>
      <c r="BO327" s="50"/>
      <c r="CO327" s="16" t="s">
        <v>299</v>
      </c>
      <c r="CP327" s="16" t="s">
        <v>83</v>
      </c>
    </row>
    <row r="328" spans="2:112" s="11" customFormat="1" x14ac:dyDescent="0.2">
      <c r="B328" s="143"/>
      <c r="D328" s="138" t="s">
        <v>301</v>
      </c>
      <c r="E328" s="144" t="s">
        <v>1</v>
      </c>
      <c r="F328" s="145" t="s">
        <v>1153</v>
      </c>
      <c r="H328" s="144" t="s">
        <v>1</v>
      </c>
      <c r="I328" s="146"/>
      <c r="L328" s="143"/>
      <c r="N328" s="215"/>
      <c r="O328" s="216"/>
      <c r="Q328" s="230"/>
      <c r="BH328" s="147"/>
      <c r="BO328" s="148"/>
      <c r="CO328" s="144" t="s">
        <v>301</v>
      </c>
      <c r="CP328" s="144" t="s">
        <v>83</v>
      </c>
      <c r="CQ328" s="11" t="s">
        <v>81</v>
      </c>
      <c r="CR328" s="11" t="s">
        <v>32</v>
      </c>
      <c r="CS328" s="11" t="s">
        <v>74</v>
      </c>
      <c r="CT328" s="144" t="s">
        <v>282</v>
      </c>
    </row>
    <row r="329" spans="2:112" s="12" customFormat="1" x14ac:dyDescent="0.2">
      <c r="B329" s="149"/>
      <c r="D329" s="138" t="s">
        <v>301</v>
      </c>
      <c r="E329" s="150" t="s">
        <v>1</v>
      </c>
      <c r="F329" s="151" t="s">
        <v>581</v>
      </c>
      <c r="H329" s="152">
        <v>50</v>
      </c>
      <c r="I329" s="153"/>
      <c r="L329" s="149"/>
      <c r="N329" s="217"/>
      <c r="O329" s="218"/>
      <c r="Q329" s="231"/>
      <c r="BH329" s="154"/>
      <c r="BO329" s="155"/>
      <c r="CO329" s="150" t="s">
        <v>301</v>
      </c>
      <c r="CP329" s="150" t="s">
        <v>83</v>
      </c>
      <c r="CQ329" s="12" t="s">
        <v>83</v>
      </c>
      <c r="CR329" s="12" t="s">
        <v>32</v>
      </c>
      <c r="CS329" s="12" t="s">
        <v>81</v>
      </c>
      <c r="CT329" s="150" t="s">
        <v>282</v>
      </c>
    </row>
    <row r="330" spans="2:112" s="1" customFormat="1" ht="14.45" customHeight="1" x14ac:dyDescent="0.2">
      <c r="B330" s="124"/>
      <c r="C330" s="170" t="s">
        <v>510</v>
      </c>
      <c r="D330" s="170" t="s">
        <v>439</v>
      </c>
      <c r="E330" s="171" t="s">
        <v>1154</v>
      </c>
      <c r="F330" s="172" t="s">
        <v>1155</v>
      </c>
      <c r="G330" s="173" t="s">
        <v>485</v>
      </c>
      <c r="H330" s="174">
        <v>50</v>
      </c>
      <c r="I330" s="175">
        <v>59.200981249999998</v>
      </c>
      <c r="J330" s="176">
        <f>ROUND(I330*H330,2)</f>
        <v>2960.05</v>
      </c>
      <c r="K330" s="172" t="s">
        <v>293</v>
      </c>
      <c r="L330" s="268">
        <f>S330</f>
        <v>0</v>
      </c>
      <c r="M330" s="272">
        <f>ROUND(L330*I330,2)</f>
        <v>0</v>
      </c>
      <c r="N330" s="243">
        <v>-6</v>
      </c>
      <c r="O330" s="294">
        <f>ROUND(N330*I330,2)</f>
        <v>-355.21</v>
      </c>
      <c r="P330" s="273">
        <f>H330-L330-N330</f>
        <v>56</v>
      </c>
      <c r="Q330" s="287">
        <f>ROUND(P330*I330,2)</f>
        <v>3315.25</v>
      </c>
      <c r="R330" s="137"/>
      <c r="S330" s="269">
        <f>W330+Y330+AA330+AC330</f>
        <v>0</v>
      </c>
      <c r="T330" s="269">
        <f>ROUND(S330*I330,2)</f>
        <v>0</v>
      </c>
      <c r="U330" s="269">
        <f>H330-S330</f>
        <v>50</v>
      </c>
      <c r="V330" s="269">
        <f>ROUND(U330*I330,2)</f>
        <v>2960.05</v>
      </c>
      <c r="W330" s="290"/>
      <c r="X330" s="290"/>
      <c r="Y330" s="290"/>
      <c r="Z330" s="290"/>
      <c r="AA330" s="290"/>
      <c r="AB330" s="290"/>
      <c r="AC330" s="290"/>
      <c r="AD330" s="290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77" t="s">
        <v>1</v>
      </c>
      <c r="BI330" s="178" t="s">
        <v>40</v>
      </c>
      <c r="BK330" s="134">
        <f>BJ330*H330</f>
        <v>0</v>
      </c>
      <c r="BL330" s="134">
        <v>2.9E-4</v>
      </c>
      <c r="BM330" s="134">
        <f>BL330*H330</f>
        <v>1.4500000000000001E-2</v>
      </c>
      <c r="BN330" s="134">
        <v>0</v>
      </c>
      <c r="BO330" s="135">
        <f>BN330*H330</f>
        <v>0</v>
      </c>
      <c r="CM330" s="136" t="s">
        <v>328</v>
      </c>
      <c r="CO330" s="136" t="s">
        <v>439</v>
      </c>
      <c r="CP330" s="136" t="s">
        <v>83</v>
      </c>
      <c r="CT330" s="16" t="s">
        <v>282</v>
      </c>
      <c r="CZ330" s="137">
        <f>IF(BI330="základní",J330,0)</f>
        <v>2960.05</v>
      </c>
      <c r="DA330" s="137">
        <f>IF(BI330="snížená",J330,0)</f>
        <v>0</v>
      </c>
      <c r="DB330" s="137">
        <f>IF(BI330="zákl. přenesená",J330,0)</f>
        <v>0</v>
      </c>
      <c r="DC330" s="137">
        <f>IF(BI330="sníž. přenesená",J330,0)</f>
        <v>0</v>
      </c>
      <c r="DD330" s="137">
        <f>IF(BI330="nulová",J330,0)</f>
        <v>0</v>
      </c>
      <c r="DE330" s="16" t="s">
        <v>81</v>
      </c>
      <c r="DF330" s="137">
        <f>ROUND(I330*H330,2)</f>
        <v>2960.05</v>
      </c>
      <c r="DG330" s="16" t="s">
        <v>95</v>
      </c>
      <c r="DH330" s="136" t="s">
        <v>1156</v>
      </c>
    </row>
    <row r="331" spans="2:112" s="1" customFormat="1" x14ac:dyDescent="0.2">
      <c r="B331" s="31"/>
      <c r="D331" s="138" t="s">
        <v>289</v>
      </c>
      <c r="F331" s="139" t="s">
        <v>1155</v>
      </c>
      <c r="I331" s="140"/>
      <c r="L331" s="31"/>
      <c r="N331" s="213"/>
      <c r="O331" s="214"/>
      <c r="Q331" s="229"/>
      <c r="BH331" s="141"/>
      <c r="BO331" s="50"/>
      <c r="CO331" s="16" t="s">
        <v>289</v>
      </c>
      <c r="CP331" s="16" t="s">
        <v>83</v>
      </c>
    </row>
    <row r="332" spans="2:112" s="1" customFormat="1" ht="14.45" customHeight="1" x14ac:dyDescent="0.2">
      <c r="B332" s="124"/>
      <c r="C332" s="125" t="s">
        <v>514</v>
      </c>
      <c r="D332" s="125" t="s">
        <v>284</v>
      </c>
      <c r="E332" s="126" t="s">
        <v>776</v>
      </c>
      <c r="F332" s="127" t="s">
        <v>1157</v>
      </c>
      <c r="G332" s="128" t="s">
        <v>344</v>
      </c>
      <c r="H332" s="129">
        <v>150.1</v>
      </c>
      <c r="I332" s="130">
        <v>21.984104604889872</v>
      </c>
      <c r="J332" s="131">
        <f>ROUND(I332*H332,2)</f>
        <v>3299.81</v>
      </c>
      <c r="K332" s="127" t="s">
        <v>293</v>
      </c>
      <c r="L332" s="268">
        <f>S332</f>
        <v>0</v>
      </c>
      <c r="M332" s="272">
        <f>ROUND(L332*I332,2)</f>
        <v>0</v>
      </c>
      <c r="N332" s="243">
        <f>N305</f>
        <v>-20.5</v>
      </c>
      <c r="O332" s="294">
        <f>ROUND(N332*I332,2)</f>
        <v>-450.67</v>
      </c>
      <c r="P332" s="273">
        <f>H332-L332-N332</f>
        <v>170.6</v>
      </c>
      <c r="Q332" s="287">
        <f>ROUND(P332*I332,2)</f>
        <v>3750.49</v>
      </c>
      <c r="R332" s="137"/>
      <c r="S332" s="269">
        <f>W332+Y332+AA332+AC332</f>
        <v>0</v>
      </c>
      <c r="T332" s="269">
        <f>ROUND(S332*I332,2)</f>
        <v>0</v>
      </c>
      <c r="U332" s="269">
        <f>H332-S332</f>
        <v>150.1</v>
      </c>
      <c r="V332" s="269">
        <f>ROUND(U332*I332,2)</f>
        <v>3299.81</v>
      </c>
      <c r="W332" s="269"/>
      <c r="X332" s="269"/>
      <c r="Y332" s="269"/>
      <c r="Z332" s="269"/>
      <c r="AA332" s="269"/>
      <c r="AB332" s="269"/>
      <c r="AC332" s="269"/>
      <c r="AD332" s="269"/>
      <c r="BH332" s="132" t="s">
        <v>1</v>
      </c>
      <c r="BI332" s="133" t="s">
        <v>40</v>
      </c>
      <c r="BK332" s="134">
        <f>BJ332*H332</f>
        <v>0</v>
      </c>
      <c r="BL332" s="134">
        <v>0</v>
      </c>
      <c r="BM332" s="134">
        <f>BL332*H332</f>
        <v>0</v>
      </c>
      <c r="BN332" s="134">
        <v>0</v>
      </c>
      <c r="BO332" s="135">
        <f>BN332*H332</f>
        <v>0</v>
      </c>
      <c r="CM332" s="136" t="s">
        <v>95</v>
      </c>
      <c r="CO332" s="136" t="s">
        <v>284</v>
      </c>
      <c r="CP332" s="136" t="s">
        <v>83</v>
      </c>
      <c r="CT332" s="16" t="s">
        <v>282</v>
      </c>
      <c r="CZ332" s="137">
        <f>IF(BI332="základní",J332,0)</f>
        <v>3299.81</v>
      </c>
      <c r="DA332" s="137">
        <f>IF(BI332="snížená",J332,0)</f>
        <v>0</v>
      </c>
      <c r="DB332" s="137">
        <f>IF(BI332="zákl. přenesená",J332,0)</f>
        <v>0</v>
      </c>
      <c r="DC332" s="137">
        <f>IF(BI332="sníž. přenesená",J332,0)</f>
        <v>0</v>
      </c>
      <c r="DD332" s="137">
        <f>IF(BI332="nulová",J332,0)</f>
        <v>0</v>
      </c>
      <c r="DE332" s="16" t="s">
        <v>81</v>
      </c>
      <c r="DF332" s="137">
        <f>ROUND(I332*H332,2)</f>
        <v>3299.81</v>
      </c>
      <c r="DG332" s="16" t="s">
        <v>95</v>
      </c>
      <c r="DH332" s="136" t="s">
        <v>1158</v>
      </c>
    </row>
    <row r="333" spans="2:112" s="1" customFormat="1" x14ac:dyDescent="0.2">
      <c r="B333" s="31"/>
      <c r="D333" s="138" t="s">
        <v>289</v>
      </c>
      <c r="F333" s="139" t="s">
        <v>779</v>
      </c>
      <c r="I333" s="140"/>
      <c r="L333" s="31"/>
      <c r="N333" s="213"/>
      <c r="O333" s="214"/>
      <c r="Q333" s="229"/>
      <c r="BH333" s="141"/>
      <c r="BO333" s="50"/>
      <c r="CO333" s="16" t="s">
        <v>289</v>
      </c>
      <c r="CP333" s="16" t="s">
        <v>83</v>
      </c>
    </row>
    <row r="334" spans="2:112" s="1" customFormat="1" ht="19.5" x14ac:dyDescent="0.2">
      <c r="B334" s="31"/>
      <c r="D334" s="138" t="s">
        <v>299</v>
      </c>
      <c r="F334" s="142" t="s">
        <v>587</v>
      </c>
      <c r="I334" s="140"/>
      <c r="L334" s="31"/>
      <c r="N334" s="213"/>
      <c r="O334" s="214"/>
      <c r="Q334" s="229"/>
      <c r="BH334" s="141"/>
      <c r="BO334" s="50"/>
      <c r="CO334" s="16" t="s">
        <v>299</v>
      </c>
      <c r="CP334" s="16" t="s">
        <v>83</v>
      </c>
    </row>
    <row r="335" spans="2:112" s="1" customFormat="1" ht="24.2" customHeight="1" x14ac:dyDescent="0.2">
      <c r="B335" s="124"/>
      <c r="C335" s="125" t="s">
        <v>521</v>
      </c>
      <c r="D335" s="125" t="s">
        <v>284</v>
      </c>
      <c r="E335" s="126" t="s">
        <v>1159</v>
      </c>
      <c r="F335" s="127" t="s">
        <v>1160</v>
      </c>
      <c r="G335" s="128" t="s">
        <v>485</v>
      </c>
      <c r="H335" s="129">
        <v>30</v>
      </c>
      <c r="I335" s="130">
        <v>3029.9958423936168</v>
      </c>
      <c r="J335" s="131">
        <f>ROUND(I335*H335,2)</f>
        <v>90899.88</v>
      </c>
      <c r="K335" s="127" t="s">
        <v>293</v>
      </c>
      <c r="L335" s="268">
        <f>S335</f>
        <v>0</v>
      </c>
      <c r="M335" s="272">
        <f>ROUND(L335*I335,2)</f>
        <v>0</v>
      </c>
      <c r="N335" s="243">
        <v>-10</v>
      </c>
      <c r="O335" s="294">
        <f>ROUND(N335*I335,2)</f>
        <v>-30299.96</v>
      </c>
      <c r="P335" s="273">
        <f>H335-L335-N335</f>
        <v>40</v>
      </c>
      <c r="Q335" s="287">
        <f>ROUND(P335*I335,2)</f>
        <v>121199.83</v>
      </c>
      <c r="R335" s="137"/>
      <c r="S335" s="269">
        <f>W335+Y335+AA335+AC335</f>
        <v>0</v>
      </c>
      <c r="T335" s="269">
        <f>ROUND(S335*I335,2)</f>
        <v>0</v>
      </c>
      <c r="U335" s="269">
        <f>H335-S335</f>
        <v>30</v>
      </c>
      <c r="V335" s="269">
        <f>ROUND(U335*I335,2)</f>
        <v>90899.88</v>
      </c>
      <c r="W335" s="269"/>
      <c r="X335" s="269"/>
      <c r="Y335" s="269"/>
      <c r="Z335" s="269"/>
      <c r="AA335" s="269"/>
      <c r="AB335" s="269"/>
      <c r="AC335" s="269"/>
      <c r="AD335" s="269"/>
      <c r="BH335" s="132" t="s">
        <v>1</v>
      </c>
      <c r="BI335" s="133" t="s">
        <v>40</v>
      </c>
      <c r="BK335" s="134">
        <f>BJ335*H335</f>
        <v>0</v>
      </c>
      <c r="BL335" s="134">
        <v>5.8029999999999998E-2</v>
      </c>
      <c r="BM335" s="134">
        <f>BL335*H335</f>
        <v>1.7408999999999999</v>
      </c>
      <c r="BN335" s="134">
        <v>0</v>
      </c>
      <c r="BO335" s="135">
        <f>BN335*H335</f>
        <v>0</v>
      </c>
      <c r="CM335" s="136" t="s">
        <v>95</v>
      </c>
      <c r="CO335" s="136" t="s">
        <v>284</v>
      </c>
      <c r="CP335" s="136" t="s">
        <v>83</v>
      </c>
      <c r="CT335" s="16" t="s">
        <v>282</v>
      </c>
      <c r="CZ335" s="137">
        <f>IF(BI335="základní",J335,0)</f>
        <v>90899.88</v>
      </c>
      <c r="DA335" s="137">
        <f>IF(BI335="snížená",J335,0)</f>
        <v>0</v>
      </c>
      <c r="DB335" s="137">
        <f>IF(BI335="zákl. přenesená",J335,0)</f>
        <v>0</v>
      </c>
      <c r="DC335" s="137">
        <f>IF(BI335="sníž. přenesená",J335,0)</f>
        <v>0</v>
      </c>
      <c r="DD335" s="137">
        <f>IF(BI335="nulová",J335,0)</f>
        <v>0</v>
      </c>
      <c r="DE335" s="16" t="s">
        <v>81</v>
      </c>
      <c r="DF335" s="137">
        <f>ROUND(I335*H335,2)</f>
        <v>90899.88</v>
      </c>
      <c r="DG335" s="16" t="s">
        <v>95</v>
      </c>
      <c r="DH335" s="136" t="s">
        <v>1161</v>
      </c>
    </row>
    <row r="336" spans="2:112" s="1" customFormat="1" ht="29.25" x14ac:dyDescent="0.2">
      <c r="B336" s="31"/>
      <c r="D336" s="138" t="s">
        <v>289</v>
      </c>
      <c r="F336" s="139" t="s">
        <v>1162</v>
      </c>
      <c r="I336" s="140"/>
      <c r="L336" s="31"/>
      <c r="N336" s="213"/>
      <c r="O336" s="214"/>
      <c r="Q336" s="229"/>
      <c r="BH336" s="141"/>
      <c r="BO336" s="50"/>
      <c r="CO336" s="16" t="s">
        <v>289</v>
      </c>
      <c r="CP336" s="16" t="s">
        <v>83</v>
      </c>
    </row>
    <row r="337" spans="2:112" s="1" customFormat="1" ht="29.25" x14ac:dyDescent="0.2">
      <c r="B337" s="31"/>
      <c r="D337" s="138" t="s">
        <v>299</v>
      </c>
      <c r="F337" s="142" t="s">
        <v>1659</v>
      </c>
      <c r="I337" s="140"/>
      <c r="L337" s="31"/>
      <c r="N337" s="213"/>
      <c r="O337" s="214"/>
      <c r="Q337" s="229"/>
      <c r="BH337" s="141"/>
      <c r="BO337" s="50"/>
      <c r="CO337" s="16" t="s">
        <v>299</v>
      </c>
      <c r="CP337" s="16" t="s">
        <v>83</v>
      </c>
    </row>
    <row r="338" spans="2:112" s="12" customFormat="1" x14ac:dyDescent="0.2">
      <c r="B338" s="149"/>
      <c r="D338" s="138" t="s">
        <v>301</v>
      </c>
      <c r="E338" s="150" t="s">
        <v>1</v>
      </c>
      <c r="F338" s="151" t="s">
        <v>476</v>
      </c>
      <c r="H338" s="152">
        <v>30</v>
      </c>
      <c r="I338" s="153"/>
      <c r="L338" s="149"/>
      <c r="N338" s="217"/>
      <c r="O338" s="218"/>
      <c r="Q338" s="231"/>
      <c r="BH338" s="154"/>
      <c r="BO338" s="155"/>
      <c r="CO338" s="150" t="s">
        <v>301</v>
      </c>
      <c r="CP338" s="150" t="s">
        <v>83</v>
      </c>
      <c r="CQ338" s="12" t="s">
        <v>83</v>
      </c>
      <c r="CR338" s="12" t="s">
        <v>32</v>
      </c>
      <c r="CS338" s="12" t="s">
        <v>81</v>
      </c>
      <c r="CT338" s="150" t="s">
        <v>282</v>
      </c>
    </row>
    <row r="339" spans="2:112" s="1" customFormat="1" ht="24.2" customHeight="1" x14ac:dyDescent="0.2">
      <c r="B339" s="124"/>
      <c r="C339" s="125" t="s">
        <v>526</v>
      </c>
      <c r="D339" s="125" t="s">
        <v>284</v>
      </c>
      <c r="E339" s="126" t="s">
        <v>1163</v>
      </c>
      <c r="F339" s="127" t="s">
        <v>1164</v>
      </c>
      <c r="G339" s="128" t="s">
        <v>485</v>
      </c>
      <c r="H339" s="129">
        <v>30</v>
      </c>
      <c r="I339" s="130">
        <v>1731.8858985723084</v>
      </c>
      <c r="J339" s="131">
        <f>ROUND(I339*H339,2)</f>
        <v>51956.58</v>
      </c>
      <c r="K339" s="127" t="s">
        <v>293</v>
      </c>
      <c r="L339" s="268">
        <f>S339</f>
        <v>0</v>
      </c>
      <c r="M339" s="272">
        <f>ROUND(L339*I339,2)</f>
        <v>0</v>
      </c>
      <c r="N339" s="243">
        <v>-10</v>
      </c>
      <c r="O339" s="294">
        <f>ROUND(N339*I339,2)</f>
        <v>-17318.86</v>
      </c>
      <c r="P339" s="273">
        <f>H339-L339-N339</f>
        <v>40</v>
      </c>
      <c r="Q339" s="287">
        <f>ROUND(P339*I339,2)</f>
        <v>69275.44</v>
      </c>
      <c r="R339" s="137"/>
      <c r="S339" s="269">
        <f>W339+Y339+AA339+AC339</f>
        <v>0</v>
      </c>
      <c r="T339" s="269">
        <f>ROUND(S339*I339,2)</f>
        <v>0</v>
      </c>
      <c r="U339" s="269">
        <f>H339-S339</f>
        <v>30</v>
      </c>
      <c r="V339" s="269">
        <f>ROUND(U339*I339,2)</f>
        <v>51956.58</v>
      </c>
      <c r="W339" s="269"/>
      <c r="X339" s="269"/>
      <c r="Y339" s="269"/>
      <c r="Z339" s="269"/>
      <c r="AA339" s="269"/>
      <c r="AB339" s="269"/>
      <c r="AC339" s="269"/>
      <c r="AD339" s="269"/>
      <c r="BH339" s="132" t="s">
        <v>1</v>
      </c>
      <c r="BI339" s="133" t="s">
        <v>40</v>
      </c>
      <c r="BK339" s="134">
        <f>BJ339*H339</f>
        <v>0</v>
      </c>
      <c r="BL339" s="134">
        <v>1.136E-2</v>
      </c>
      <c r="BM339" s="134">
        <f>BL339*H339</f>
        <v>0.34079999999999999</v>
      </c>
      <c r="BN339" s="134">
        <v>0</v>
      </c>
      <c r="BO339" s="135">
        <f>BN339*H339</f>
        <v>0</v>
      </c>
      <c r="CM339" s="136" t="s">
        <v>95</v>
      </c>
      <c r="CO339" s="136" t="s">
        <v>284</v>
      </c>
      <c r="CP339" s="136" t="s">
        <v>83</v>
      </c>
      <c r="CT339" s="16" t="s">
        <v>282</v>
      </c>
      <c r="CZ339" s="137">
        <f>IF(BI339="základní",J339,0)</f>
        <v>51956.58</v>
      </c>
      <c r="DA339" s="137">
        <f>IF(BI339="snížená",J339,0)</f>
        <v>0</v>
      </c>
      <c r="DB339" s="137">
        <f>IF(BI339="zákl. přenesená",J339,0)</f>
        <v>0</v>
      </c>
      <c r="DC339" s="137">
        <f>IF(BI339="sníž. přenesená",J339,0)</f>
        <v>0</v>
      </c>
      <c r="DD339" s="137">
        <f>IF(BI339="nulová",J339,0)</f>
        <v>0</v>
      </c>
      <c r="DE339" s="16" t="s">
        <v>81</v>
      </c>
      <c r="DF339" s="137">
        <f>ROUND(I339*H339,2)</f>
        <v>51956.58</v>
      </c>
      <c r="DG339" s="16" t="s">
        <v>95</v>
      </c>
      <c r="DH339" s="136" t="s">
        <v>1165</v>
      </c>
    </row>
    <row r="340" spans="2:112" s="1" customFormat="1" ht="19.5" x14ac:dyDescent="0.2">
      <c r="B340" s="31"/>
      <c r="D340" s="138" t="s">
        <v>289</v>
      </c>
      <c r="F340" s="139" t="s">
        <v>1166</v>
      </c>
      <c r="I340" s="140"/>
      <c r="L340" s="31"/>
      <c r="N340" s="213"/>
      <c r="O340" s="214"/>
      <c r="Q340" s="229"/>
      <c r="BH340" s="141"/>
      <c r="BO340" s="50"/>
      <c r="CO340" s="16" t="s">
        <v>289</v>
      </c>
      <c r="CP340" s="16" t="s">
        <v>83</v>
      </c>
    </row>
    <row r="341" spans="2:112" s="1" customFormat="1" ht="24.2" customHeight="1" x14ac:dyDescent="0.2">
      <c r="B341" s="124"/>
      <c r="C341" s="125" t="s">
        <v>531</v>
      </c>
      <c r="D341" s="125" t="s">
        <v>284</v>
      </c>
      <c r="E341" s="126" t="s">
        <v>1167</v>
      </c>
      <c r="F341" s="127" t="s">
        <v>1168</v>
      </c>
      <c r="G341" s="128" t="s">
        <v>485</v>
      </c>
      <c r="H341" s="129">
        <v>30</v>
      </c>
      <c r="I341" s="130">
        <v>769.70783374577138</v>
      </c>
      <c r="J341" s="131">
        <f>ROUND(I341*H341,2)</f>
        <v>23091.24</v>
      </c>
      <c r="K341" s="127" t="s">
        <v>293</v>
      </c>
      <c r="L341" s="268">
        <f>S341</f>
        <v>0</v>
      </c>
      <c r="M341" s="272">
        <f>ROUND(L341*I341,2)</f>
        <v>0</v>
      </c>
      <c r="N341" s="243">
        <v>-10</v>
      </c>
      <c r="O341" s="294">
        <f>ROUND(N341*I341,2)</f>
        <v>-7697.08</v>
      </c>
      <c r="P341" s="273">
        <f>H341-L341-N341</f>
        <v>40</v>
      </c>
      <c r="Q341" s="287">
        <f>ROUND(P341*I341,2)</f>
        <v>30788.31</v>
      </c>
      <c r="R341" s="137"/>
      <c r="S341" s="269">
        <f>W341+Y341+AA341+AC341</f>
        <v>0</v>
      </c>
      <c r="T341" s="269">
        <f>ROUND(S341*I341,2)</f>
        <v>0</v>
      </c>
      <c r="U341" s="269">
        <f>H341-S341</f>
        <v>30</v>
      </c>
      <c r="V341" s="269">
        <f>ROUND(U341*I341,2)</f>
        <v>23091.24</v>
      </c>
      <c r="W341" s="269"/>
      <c r="X341" s="269"/>
      <c r="Y341" s="269"/>
      <c r="Z341" s="269"/>
      <c r="AA341" s="269"/>
      <c r="AB341" s="269"/>
      <c r="AC341" s="269"/>
      <c r="AD341" s="269"/>
      <c r="BH341" s="132" t="s">
        <v>1</v>
      </c>
      <c r="BI341" s="133" t="s">
        <v>40</v>
      </c>
      <c r="BK341" s="134">
        <f>BJ341*H341</f>
        <v>0</v>
      </c>
      <c r="BL341" s="134">
        <v>6.2199999999999998E-3</v>
      </c>
      <c r="BM341" s="134">
        <f>BL341*H341</f>
        <v>0.18659999999999999</v>
      </c>
      <c r="BN341" s="134">
        <v>0</v>
      </c>
      <c r="BO341" s="135">
        <f>BN341*H341</f>
        <v>0</v>
      </c>
      <c r="CM341" s="136" t="s">
        <v>95</v>
      </c>
      <c r="CO341" s="136" t="s">
        <v>284</v>
      </c>
      <c r="CP341" s="136" t="s">
        <v>83</v>
      </c>
      <c r="CT341" s="16" t="s">
        <v>282</v>
      </c>
      <c r="CZ341" s="137">
        <f>IF(BI341="základní",J341,0)</f>
        <v>23091.24</v>
      </c>
      <c r="DA341" s="137">
        <f>IF(BI341="snížená",J341,0)</f>
        <v>0</v>
      </c>
      <c r="DB341" s="137">
        <f>IF(BI341="zákl. přenesená",J341,0)</f>
        <v>0</v>
      </c>
      <c r="DC341" s="137">
        <f>IF(BI341="sníž. přenesená",J341,0)</f>
        <v>0</v>
      </c>
      <c r="DD341" s="137">
        <f>IF(BI341="nulová",J341,0)</f>
        <v>0</v>
      </c>
      <c r="DE341" s="16" t="s">
        <v>81</v>
      </c>
      <c r="DF341" s="137">
        <f>ROUND(I341*H341,2)</f>
        <v>23091.24</v>
      </c>
      <c r="DG341" s="16" t="s">
        <v>95</v>
      </c>
      <c r="DH341" s="136" t="s">
        <v>1169</v>
      </c>
    </row>
    <row r="342" spans="2:112" s="1" customFormat="1" ht="29.25" x14ac:dyDescent="0.2">
      <c r="B342" s="31"/>
      <c r="D342" s="138" t="s">
        <v>289</v>
      </c>
      <c r="F342" s="139" t="s">
        <v>1170</v>
      </c>
      <c r="I342" s="140"/>
      <c r="L342" s="31"/>
      <c r="N342" s="213"/>
      <c r="O342" s="214"/>
      <c r="Q342" s="229"/>
      <c r="BH342" s="141"/>
      <c r="BO342" s="50"/>
      <c r="CO342" s="16" t="s">
        <v>289</v>
      </c>
      <c r="CP342" s="16" t="s">
        <v>83</v>
      </c>
    </row>
    <row r="343" spans="2:112" s="1" customFormat="1" ht="24.2" customHeight="1" x14ac:dyDescent="0.2">
      <c r="B343" s="124"/>
      <c r="C343" s="125" t="s">
        <v>536</v>
      </c>
      <c r="D343" s="125" t="s">
        <v>284</v>
      </c>
      <c r="E343" s="126" t="s">
        <v>1171</v>
      </c>
      <c r="F343" s="127" t="s">
        <v>1172</v>
      </c>
      <c r="G343" s="128" t="s">
        <v>485</v>
      </c>
      <c r="H343" s="129">
        <v>30</v>
      </c>
      <c r="I343" s="130">
        <v>809.35201412271431</v>
      </c>
      <c r="J343" s="131">
        <f>ROUND(I343*H343,2)</f>
        <v>24280.560000000001</v>
      </c>
      <c r="K343" s="127" t="s">
        <v>293</v>
      </c>
      <c r="L343" s="268">
        <f>S343</f>
        <v>0</v>
      </c>
      <c r="M343" s="272">
        <f>ROUND(L343*I343,2)</f>
        <v>0</v>
      </c>
      <c r="N343" s="243">
        <v>-10</v>
      </c>
      <c r="O343" s="294">
        <f>ROUND(N343*I343,2)</f>
        <v>-8093.52</v>
      </c>
      <c r="P343" s="273">
        <f>H343-L343-N343</f>
        <v>40</v>
      </c>
      <c r="Q343" s="287">
        <f>ROUND(P343*I343,2)</f>
        <v>32374.080000000002</v>
      </c>
      <c r="R343" s="137"/>
      <c r="S343" s="269">
        <f>W343+Y343+AA343+AC343</f>
        <v>0</v>
      </c>
      <c r="T343" s="269">
        <f>ROUND(S343*I343,2)</f>
        <v>0</v>
      </c>
      <c r="U343" s="269">
        <f>H343-S343</f>
        <v>30</v>
      </c>
      <c r="V343" s="269">
        <f>ROUND(U343*I343,2)</f>
        <v>24280.560000000001</v>
      </c>
      <c r="W343" s="269"/>
      <c r="X343" s="269"/>
      <c r="Y343" s="269"/>
      <c r="Z343" s="269"/>
      <c r="AA343" s="269"/>
      <c r="AB343" s="269"/>
      <c r="AC343" s="269"/>
      <c r="AD343" s="269"/>
      <c r="BH343" s="132" t="s">
        <v>1</v>
      </c>
      <c r="BI343" s="133" t="s">
        <v>40</v>
      </c>
      <c r="BK343" s="134">
        <f>BJ343*H343</f>
        <v>0</v>
      </c>
      <c r="BL343" s="134">
        <v>0</v>
      </c>
      <c r="BM343" s="134">
        <f>BL343*H343</f>
        <v>0</v>
      </c>
      <c r="BN343" s="134">
        <v>0</v>
      </c>
      <c r="BO343" s="135">
        <f>BN343*H343</f>
        <v>0</v>
      </c>
      <c r="CM343" s="136" t="s">
        <v>95</v>
      </c>
      <c r="CO343" s="136" t="s">
        <v>284</v>
      </c>
      <c r="CP343" s="136" t="s">
        <v>83</v>
      </c>
      <c r="CT343" s="16" t="s">
        <v>282</v>
      </c>
      <c r="CZ343" s="137">
        <f>IF(BI343="základní",J343,0)</f>
        <v>24280.560000000001</v>
      </c>
      <c r="DA343" s="137">
        <f>IF(BI343="snížená",J343,0)</f>
        <v>0</v>
      </c>
      <c r="DB343" s="137">
        <f>IF(BI343="zákl. přenesená",J343,0)</f>
        <v>0</v>
      </c>
      <c r="DC343" s="137">
        <f>IF(BI343="sníž. přenesená",J343,0)</f>
        <v>0</v>
      </c>
      <c r="DD343" s="137">
        <f>IF(BI343="nulová",J343,0)</f>
        <v>0</v>
      </c>
      <c r="DE343" s="16" t="s">
        <v>81</v>
      </c>
      <c r="DF343" s="137">
        <f>ROUND(I343*H343,2)</f>
        <v>24280.560000000001</v>
      </c>
      <c r="DG343" s="16" t="s">
        <v>95</v>
      </c>
      <c r="DH343" s="136" t="s">
        <v>1173</v>
      </c>
    </row>
    <row r="344" spans="2:112" s="1" customFormat="1" ht="29.25" x14ac:dyDescent="0.2">
      <c r="B344" s="31"/>
      <c r="D344" s="138" t="s">
        <v>289</v>
      </c>
      <c r="F344" s="139" t="s">
        <v>1174</v>
      </c>
      <c r="I344" s="140"/>
      <c r="L344" s="31"/>
      <c r="N344" s="213"/>
      <c r="O344" s="214"/>
      <c r="Q344" s="229"/>
      <c r="BH344" s="141"/>
      <c r="BO344" s="50"/>
      <c r="CO344" s="16" t="s">
        <v>289</v>
      </c>
      <c r="CP344" s="16" t="s">
        <v>83</v>
      </c>
    </row>
    <row r="345" spans="2:112" s="1" customFormat="1" ht="24.2" customHeight="1" x14ac:dyDescent="0.2">
      <c r="B345" s="124"/>
      <c r="C345" s="125" t="s">
        <v>543</v>
      </c>
      <c r="D345" s="125" t="s">
        <v>284</v>
      </c>
      <c r="E345" s="126" t="s">
        <v>1175</v>
      </c>
      <c r="F345" s="127" t="s">
        <v>1176</v>
      </c>
      <c r="G345" s="128" t="s">
        <v>485</v>
      </c>
      <c r="H345" s="129">
        <v>30</v>
      </c>
      <c r="I345" s="130">
        <v>3446.6463092111458</v>
      </c>
      <c r="J345" s="131">
        <f>ROUND(I345*H345,2)</f>
        <v>103399.39</v>
      </c>
      <c r="K345" s="127" t="s">
        <v>293</v>
      </c>
      <c r="L345" s="268">
        <f>S345</f>
        <v>0</v>
      </c>
      <c r="M345" s="272">
        <f>ROUND(L345*I345,2)</f>
        <v>0</v>
      </c>
      <c r="N345" s="243">
        <v>-10</v>
      </c>
      <c r="O345" s="294">
        <f>ROUND(N345*I345,2)</f>
        <v>-34466.46</v>
      </c>
      <c r="P345" s="273">
        <f>H345-L345-N345</f>
        <v>40</v>
      </c>
      <c r="Q345" s="287">
        <f>ROUND(P345*I345,2)</f>
        <v>137865.85</v>
      </c>
      <c r="R345" s="137"/>
      <c r="S345" s="269">
        <f>W345+Y345+AA345+AC345</f>
        <v>0</v>
      </c>
      <c r="T345" s="269">
        <f>ROUND(S345*I345,2)</f>
        <v>0</v>
      </c>
      <c r="U345" s="269">
        <f>H345-S345</f>
        <v>30</v>
      </c>
      <c r="V345" s="269">
        <f>ROUND(U345*I345,2)</f>
        <v>103399.39</v>
      </c>
      <c r="W345" s="269"/>
      <c r="X345" s="269"/>
      <c r="Y345" s="269"/>
      <c r="Z345" s="269"/>
      <c r="AA345" s="269"/>
      <c r="AB345" s="269"/>
      <c r="AC345" s="269"/>
      <c r="AD345" s="269"/>
      <c r="BH345" s="132" t="s">
        <v>1</v>
      </c>
      <c r="BI345" s="133" t="s">
        <v>40</v>
      </c>
      <c r="BK345" s="134">
        <f>BJ345*H345</f>
        <v>0</v>
      </c>
      <c r="BL345" s="134">
        <v>5.4539999999999998E-2</v>
      </c>
      <c r="BM345" s="134">
        <f>BL345*H345</f>
        <v>1.6361999999999999</v>
      </c>
      <c r="BN345" s="134">
        <v>0</v>
      </c>
      <c r="BO345" s="135">
        <f>BN345*H345</f>
        <v>0</v>
      </c>
      <c r="CM345" s="136" t="s">
        <v>95</v>
      </c>
      <c r="CO345" s="136" t="s">
        <v>284</v>
      </c>
      <c r="CP345" s="136" t="s">
        <v>83</v>
      </c>
      <c r="CT345" s="16" t="s">
        <v>282</v>
      </c>
      <c r="CZ345" s="137">
        <f>IF(BI345="základní",J345,0)</f>
        <v>103399.39</v>
      </c>
      <c r="DA345" s="137">
        <f>IF(BI345="snížená",J345,0)</f>
        <v>0</v>
      </c>
      <c r="DB345" s="137">
        <f>IF(BI345="zákl. přenesená",J345,0)</f>
        <v>0</v>
      </c>
      <c r="DC345" s="137">
        <f>IF(BI345="sníž. přenesená",J345,0)</f>
        <v>0</v>
      </c>
      <c r="DD345" s="137">
        <f>IF(BI345="nulová",J345,0)</f>
        <v>0</v>
      </c>
      <c r="DE345" s="16" t="s">
        <v>81</v>
      </c>
      <c r="DF345" s="137">
        <f>ROUND(I345*H345,2)</f>
        <v>103399.39</v>
      </c>
      <c r="DG345" s="16" t="s">
        <v>95</v>
      </c>
      <c r="DH345" s="136" t="s">
        <v>1177</v>
      </c>
    </row>
    <row r="346" spans="2:112" s="1" customFormat="1" ht="29.25" x14ac:dyDescent="0.2">
      <c r="B346" s="31"/>
      <c r="D346" s="138" t="s">
        <v>289</v>
      </c>
      <c r="F346" s="139" t="s">
        <v>1178</v>
      </c>
      <c r="I346" s="140"/>
      <c r="L346" s="31"/>
      <c r="N346" s="213"/>
      <c r="O346" s="214"/>
      <c r="Q346" s="229"/>
      <c r="BH346" s="141"/>
      <c r="BO346" s="50"/>
      <c r="CO346" s="16" t="s">
        <v>289</v>
      </c>
      <c r="CP346" s="16" t="s">
        <v>83</v>
      </c>
    </row>
    <row r="347" spans="2:112" s="1" customFormat="1" ht="24.2" customHeight="1" x14ac:dyDescent="0.2">
      <c r="B347" s="124"/>
      <c r="C347" s="125" t="s">
        <v>548</v>
      </c>
      <c r="D347" s="125" t="s">
        <v>284</v>
      </c>
      <c r="E347" s="126" t="s">
        <v>1179</v>
      </c>
      <c r="F347" s="127" t="s">
        <v>1180</v>
      </c>
      <c r="G347" s="128" t="s">
        <v>485</v>
      </c>
      <c r="H347" s="129">
        <v>20</v>
      </c>
      <c r="I347" s="130">
        <v>4973.6339388584802</v>
      </c>
      <c r="J347" s="131">
        <f>ROUND(I347*H347,2)</f>
        <v>99472.68</v>
      </c>
      <c r="K347" s="127" t="s">
        <v>293</v>
      </c>
      <c r="L347" s="268">
        <f>S347</f>
        <v>0</v>
      </c>
      <c r="M347" s="272">
        <f>ROUND(L347*I347,2)</f>
        <v>0</v>
      </c>
      <c r="N347" s="243">
        <v>4</v>
      </c>
      <c r="O347" s="294">
        <f>ROUND(N347*I347,2)</f>
        <v>19894.54</v>
      </c>
      <c r="P347" s="273">
        <f>H347-L347-N347</f>
        <v>16</v>
      </c>
      <c r="Q347" s="287">
        <f>ROUND(P347*I347,2)</f>
        <v>79578.14</v>
      </c>
      <c r="R347" s="137"/>
      <c r="S347" s="269">
        <f>W347+Y347+AA347+AC347</f>
        <v>0</v>
      </c>
      <c r="T347" s="269">
        <f>ROUND(S347*I347,2)</f>
        <v>0</v>
      </c>
      <c r="U347" s="269">
        <f>H347-S347</f>
        <v>20</v>
      </c>
      <c r="V347" s="269">
        <f>ROUND(U347*I347,2)</f>
        <v>99472.68</v>
      </c>
      <c r="W347" s="269"/>
      <c r="X347" s="269"/>
      <c r="Y347" s="269"/>
      <c r="Z347" s="269"/>
      <c r="AA347" s="269"/>
      <c r="AB347" s="269"/>
      <c r="AC347" s="269"/>
      <c r="AD347" s="269"/>
      <c r="BH347" s="132" t="s">
        <v>1</v>
      </c>
      <c r="BI347" s="133" t="s">
        <v>40</v>
      </c>
      <c r="BK347" s="134">
        <f>BJ347*H347</f>
        <v>0</v>
      </c>
      <c r="BL347" s="134">
        <v>0.1056</v>
      </c>
      <c r="BM347" s="134">
        <f>BL347*H347</f>
        <v>2.1120000000000001</v>
      </c>
      <c r="BN347" s="134">
        <v>0</v>
      </c>
      <c r="BO347" s="135">
        <f>BN347*H347</f>
        <v>0</v>
      </c>
      <c r="CM347" s="136" t="s">
        <v>95</v>
      </c>
      <c r="CO347" s="136" t="s">
        <v>284</v>
      </c>
      <c r="CP347" s="136" t="s">
        <v>83</v>
      </c>
      <c r="CT347" s="16" t="s">
        <v>282</v>
      </c>
      <c r="CZ347" s="137">
        <f>IF(BI347="základní",J347,0)</f>
        <v>99472.68</v>
      </c>
      <c r="DA347" s="137">
        <f>IF(BI347="snížená",J347,0)</f>
        <v>0</v>
      </c>
      <c r="DB347" s="137">
        <f>IF(BI347="zákl. přenesená",J347,0)</f>
        <v>0</v>
      </c>
      <c r="DC347" s="137">
        <f>IF(BI347="sníž. přenesená",J347,0)</f>
        <v>0</v>
      </c>
      <c r="DD347" s="137">
        <f>IF(BI347="nulová",J347,0)</f>
        <v>0</v>
      </c>
      <c r="DE347" s="16" t="s">
        <v>81</v>
      </c>
      <c r="DF347" s="137">
        <f>ROUND(I347*H347,2)</f>
        <v>99472.68</v>
      </c>
      <c r="DG347" s="16" t="s">
        <v>95</v>
      </c>
      <c r="DH347" s="136" t="s">
        <v>1181</v>
      </c>
    </row>
    <row r="348" spans="2:112" s="1" customFormat="1" ht="29.25" x14ac:dyDescent="0.2">
      <c r="B348" s="31"/>
      <c r="D348" s="138" t="s">
        <v>289</v>
      </c>
      <c r="F348" s="139" t="s">
        <v>1182</v>
      </c>
      <c r="I348" s="140"/>
      <c r="L348" s="31"/>
      <c r="N348" s="213"/>
      <c r="O348" s="214"/>
      <c r="Q348" s="229"/>
      <c r="BH348" s="141"/>
      <c r="BO348" s="50"/>
      <c r="CO348" s="16" t="s">
        <v>289</v>
      </c>
      <c r="CP348" s="16" t="s">
        <v>83</v>
      </c>
    </row>
    <row r="349" spans="2:112" s="1" customFormat="1" ht="29.25" x14ac:dyDescent="0.2">
      <c r="B349" s="31"/>
      <c r="D349" s="138" t="s">
        <v>299</v>
      </c>
      <c r="F349" s="142" t="s">
        <v>1659</v>
      </c>
      <c r="I349" s="140"/>
      <c r="L349" s="31"/>
      <c r="N349" s="213"/>
      <c r="O349" s="214"/>
      <c r="Q349" s="229"/>
      <c r="BH349" s="141"/>
      <c r="BO349" s="50"/>
      <c r="CO349" s="16" t="s">
        <v>299</v>
      </c>
      <c r="CP349" s="16" t="s">
        <v>83</v>
      </c>
    </row>
    <row r="350" spans="2:112" s="12" customFormat="1" x14ac:dyDescent="0.2">
      <c r="B350" s="149"/>
      <c r="D350" s="138" t="s">
        <v>301</v>
      </c>
      <c r="E350" s="150" t="s">
        <v>1</v>
      </c>
      <c r="F350" s="151" t="s">
        <v>404</v>
      </c>
      <c r="H350" s="152">
        <v>20</v>
      </c>
      <c r="I350" s="153"/>
      <c r="L350" s="149"/>
      <c r="N350" s="217"/>
      <c r="O350" s="218"/>
      <c r="Q350" s="231"/>
      <c r="BH350" s="154"/>
      <c r="BO350" s="155"/>
      <c r="CO350" s="150" t="s">
        <v>301</v>
      </c>
      <c r="CP350" s="150" t="s">
        <v>83</v>
      </c>
      <c r="CQ350" s="12" t="s">
        <v>83</v>
      </c>
      <c r="CR350" s="12" t="s">
        <v>32</v>
      </c>
      <c r="CS350" s="12" t="s">
        <v>81</v>
      </c>
      <c r="CT350" s="150" t="s">
        <v>282</v>
      </c>
    </row>
    <row r="351" spans="2:112" s="1" customFormat="1" ht="24.2" customHeight="1" x14ac:dyDescent="0.2">
      <c r="B351" s="124"/>
      <c r="C351" s="125" t="s">
        <v>556</v>
      </c>
      <c r="D351" s="125" t="s">
        <v>284</v>
      </c>
      <c r="E351" s="126" t="s">
        <v>932</v>
      </c>
      <c r="F351" s="127" t="s">
        <v>933</v>
      </c>
      <c r="G351" s="128" t="s">
        <v>485</v>
      </c>
      <c r="H351" s="129">
        <v>20</v>
      </c>
      <c r="I351" s="130">
        <v>3593.8097854433977</v>
      </c>
      <c r="J351" s="131">
        <f>ROUND(I351*H351,2)</f>
        <v>71876.2</v>
      </c>
      <c r="K351" s="127" t="s">
        <v>293</v>
      </c>
      <c r="L351" s="268">
        <f>S351</f>
        <v>0</v>
      </c>
      <c r="M351" s="272">
        <f>ROUND(L351*I351,2)</f>
        <v>0</v>
      </c>
      <c r="N351" s="243">
        <v>4</v>
      </c>
      <c r="O351" s="294">
        <f>ROUND(N351*I351,2)</f>
        <v>14375.24</v>
      </c>
      <c r="P351" s="273">
        <f>H351-L351-N351</f>
        <v>16</v>
      </c>
      <c r="Q351" s="287">
        <f>ROUND(P351*I351,2)</f>
        <v>57500.959999999999</v>
      </c>
      <c r="R351" s="137"/>
      <c r="S351" s="269">
        <f>W351+Y351+AA351+AC351</f>
        <v>0</v>
      </c>
      <c r="T351" s="269">
        <f>ROUND(S351*I351,2)</f>
        <v>0</v>
      </c>
      <c r="U351" s="269">
        <f>H351-S351</f>
        <v>20</v>
      </c>
      <c r="V351" s="269">
        <f>ROUND(U351*I351,2)</f>
        <v>71876.2</v>
      </c>
      <c r="W351" s="269"/>
      <c r="X351" s="269"/>
      <c r="Y351" s="269"/>
      <c r="Z351" s="269"/>
      <c r="AA351" s="269"/>
      <c r="AB351" s="269"/>
      <c r="AC351" s="269"/>
      <c r="AD351" s="269"/>
      <c r="BH351" s="132" t="s">
        <v>1</v>
      </c>
      <c r="BI351" s="133" t="s">
        <v>40</v>
      </c>
      <c r="BK351" s="134">
        <f>BJ351*H351</f>
        <v>0</v>
      </c>
      <c r="BL351" s="134">
        <v>2.4240000000000001E-2</v>
      </c>
      <c r="BM351" s="134">
        <f>BL351*H351</f>
        <v>0.48480000000000001</v>
      </c>
      <c r="BN351" s="134">
        <v>0</v>
      </c>
      <c r="BO351" s="135">
        <f>BN351*H351</f>
        <v>0</v>
      </c>
      <c r="CM351" s="136" t="s">
        <v>95</v>
      </c>
      <c r="CO351" s="136" t="s">
        <v>284</v>
      </c>
      <c r="CP351" s="136" t="s">
        <v>83</v>
      </c>
      <c r="CT351" s="16" t="s">
        <v>282</v>
      </c>
      <c r="CZ351" s="137">
        <f>IF(BI351="základní",J351,0)</f>
        <v>71876.2</v>
      </c>
      <c r="DA351" s="137">
        <f>IF(BI351="snížená",J351,0)</f>
        <v>0</v>
      </c>
      <c r="DB351" s="137">
        <f>IF(BI351="zákl. přenesená",J351,0)</f>
        <v>0</v>
      </c>
      <c r="DC351" s="137">
        <f>IF(BI351="sníž. přenesená",J351,0)</f>
        <v>0</v>
      </c>
      <c r="DD351" s="137">
        <f>IF(BI351="nulová",J351,0)</f>
        <v>0</v>
      </c>
      <c r="DE351" s="16" t="s">
        <v>81</v>
      </c>
      <c r="DF351" s="137">
        <f>ROUND(I351*H351,2)</f>
        <v>71876.2</v>
      </c>
      <c r="DG351" s="16" t="s">
        <v>95</v>
      </c>
      <c r="DH351" s="136" t="s">
        <v>1033</v>
      </c>
    </row>
    <row r="352" spans="2:112" s="1" customFormat="1" ht="19.5" x14ac:dyDescent="0.2">
      <c r="B352" s="31"/>
      <c r="D352" s="138" t="s">
        <v>289</v>
      </c>
      <c r="F352" s="139" t="s">
        <v>935</v>
      </c>
      <c r="I352" s="140"/>
      <c r="L352" s="31"/>
      <c r="N352" s="213"/>
      <c r="O352" s="214"/>
      <c r="Q352" s="229"/>
      <c r="BH352" s="141"/>
      <c r="BO352" s="50"/>
      <c r="CO352" s="16" t="s">
        <v>289</v>
      </c>
      <c r="CP352" s="16" t="s">
        <v>83</v>
      </c>
    </row>
    <row r="353" spans="2:112" s="1" customFormat="1" ht="24.2" customHeight="1" x14ac:dyDescent="0.2">
      <c r="B353" s="124"/>
      <c r="C353" s="125" t="s">
        <v>562</v>
      </c>
      <c r="D353" s="125" t="s">
        <v>284</v>
      </c>
      <c r="E353" s="126" t="s">
        <v>936</v>
      </c>
      <c r="F353" s="127" t="s">
        <v>937</v>
      </c>
      <c r="G353" s="128" t="s">
        <v>485</v>
      </c>
      <c r="H353" s="129">
        <v>20</v>
      </c>
      <c r="I353" s="130">
        <v>1078.0568828114554</v>
      </c>
      <c r="J353" s="131">
        <f>ROUND(I353*H353,2)</f>
        <v>21561.14</v>
      </c>
      <c r="K353" s="127" t="s">
        <v>293</v>
      </c>
      <c r="L353" s="268">
        <f>S353</f>
        <v>0</v>
      </c>
      <c r="M353" s="272">
        <f>ROUND(L353*I353,2)</f>
        <v>0</v>
      </c>
      <c r="N353" s="243">
        <v>4</v>
      </c>
      <c r="O353" s="294">
        <f>ROUND(N353*I353,2)</f>
        <v>4312.2299999999996</v>
      </c>
      <c r="P353" s="273">
        <f>H353-L353-N353</f>
        <v>16</v>
      </c>
      <c r="Q353" s="287">
        <f>ROUND(P353*I353,2)</f>
        <v>17248.91</v>
      </c>
      <c r="R353" s="137"/>
      <c r="S353" s="269">
        <f>W353+Y353+AA353+AC353</f>
        <v>0</v>
      </c>
      <c r="T353" s="269">
        <f>ROUND(S353*I353,2)</f>
        <v>0</v>
      </c>
      <c r="U353" s="269">
        <f>H353-S353</f>
        <v>20</v>
      </c>
      <c r="V353" s="269">
        <f>ROUND(U353*I353,2)</f>
        <v>21561.14</v>
      </c>
      <c r="W353" s="269"/>
      <c r="X353" s="269"/>
      <c r="Y353" s="269"/>
      <c r="Z353" s="269"/>
      <c r="AA353" s="269"/>
      <c r="AB353" s="269"/>
      <c r="AC353" s="269"/>
      <c r="AD353" s="269"/>
      <c r="BH353" s="132" t="s">
        <v>1</v>
      </c>
      <c r="BI353" s="133" t="s">
        <v>40</v>
      </c>
      <c r="BK353" s="134">
        <f>BJ353*H353</f>
        <v>0</v>
      </c>
      <c r="BL353" s="134">
        <v>0</v>
      </c>
      <c r="BM353" s="134">
        <f>BL353*H353</f>
        <v>0</v>
      </c>
      <c r="BN353" s="134">
        <v>0</v>
      </c>
      <c r="BO353" s="135">
        <f>BN353*H353</f>
        <v>0</v>
      </c>
      <c r="CM353" s="136" t="s">
        <v>95</v>
      </c>
      <c r="CO353" s="136" t="s">
        <v>284</v>
      </c>
      <c r="CP353" s="136" t="s">
        <v>83</v>
      </c>
      <c r="CT353" s="16" t="s">
        <v>282</v>
      </c>
      <c r="CZ353" s="137">
        <f>IF(BI353="základní",J353,0)</f>
        <v>21561.14</v>
      </c>
      <c r="DA353" s="137">
        <f>IF(BI353="snížená",J353,0)</f>
        <v>0</v>
      </c>
      <c r="DB353" s="137">
        <f>IF(BI353="zákl. přenesená",J353,0)</f>
        <v>0</v>
      </c>
      <c r="DC353" s="137">
        <f>IF(BI353="sníž. přenesená",J353,0)</f>
        <v>0</v>
      </c>
      <c r="DD353" s="137">
        <f>IF(BI353="nulová",J353,0)</f>
        <v>0</v>
      </c>
      <c r="DE353" s="16" t="s">
        <v>81</v>
      </c>
      <c r="DF353" s="137">
        <f>ROUND(I353*H353,2)</f>
        <v>21561.14</v>
      </c>
      <c r="DG353" s="16" t="s">
        <v>95</v>
      </c>
      <c r="DH353" s="136" t="s">
        <v>1038</v>
      </c>
    </row>
    <row r="354" spans="2:112" s="1" customFormat="1" ht="19.5" x14ac:dyDescent="0.2">
      <c r="B354" s="31"/>
      <c r="D354" s="138" t="s">
        <v>289</v>
      </c>
      <c r="F354" s="139" t="s">
        <v>939</v>
      </c>
      <c r="I354" s="140"/>
      <c r="L354" s="31"/>
      <c r="N354" s="213"/>
      <c r="O354" s="214"/>
      <c r="Q354" s="229"/>
      <c r="BH354" s="141"/>
      <c r="BO354" s="50"/>
      <c r="CO354" s="16" t="s">
        <v>289</v>
      </c>
      <c r="CP354" s="16" t="s">
        <v>83</v>
      </c>
    </row>
    <row r="355" spans="2:112" s="1" customFormat="1" ht="24.2" customHeight="1" x14ac:dyDescent="0.2">
      <c r="B355" s="124"/>
      <c r="C355" s="125" t="s">
        <v>568</v>
      </c>
      <c r="D355" s="125" t="s">
        <v>284</v>
      </c>
      <c r="E355" s="126" t="s">
        <v>940</v>
      </c>
      <c r="F355" s="127" t="s">
        <v>941</v>
      </c>
      <c r="G355" s="128" t="s">
        <v>485</v>
      </c>
      <c r="H355" s="129">
        <v>20</v>
      </c>
      <c r="I355" s="130">
        <v>8864.0454366400263</v>
      </c>
      <c r="J355" s="131">
        <f>ROUND(I355*H355,2)</f>
        <v>177280.91</v>
      </c>
      <c r="K355" s="127" t="s">
        <v>293</v>
      </c>
      <c r="L355" s="268">
        <f>S355</f>
        <v>0</v>
      </c>
      <c r="M355" s="272">
        <f>ROUND(L355*I355,2)</f>
        <v>0</v>
      </c>
      <c r="N355" s="243">
        <v>4</v>
      </c>
      <c r="O355" s="294">
        <f>ROUND(N355*I355,2)</f>
        <v>35456.18</v>
      </c>
      <c r="P355" s="273">
        <f>H355-L355-N355</f>
        <v>16</v>
      </c>
      <c r="Q355" s="287">
        <f>ROUND(P355*I355,2)</f>
        <v>141824.73000000001</v>
      </c>
      <c r="R355" s="137"/>
      <c r="S355" s="269">
        <f>W355+Y355+AA355+AC355</f>
        <v>0</v>
      </c>
      <c r="T355" s="269">
        <f>ROUND(S355*I355,2)</f>
        <v>0</v>
      </c>
      <c r="U355" s="269">
        <f>H355-S355</f>
        <v>20</v>
      </c>
      <c r="V355" s="269">
        <f>ROUND(U355*I355,2)</f>
        <v>177280.91</v>
      </c>
      <c r="W355" s="269"/>
      <c r="X355" s="269"/>
      <c r="Y355" s="269"/>
      <c r="Z355" s="269"/>
      <c r="AA355" s="269"/>
      <c r="AB355" s="269"/>
      <c r="AC355" s="269"/>
      <c r="AD355" s="269"/>
      <c r="BH355" s="132" t="s">
        <v>1</v>
      </c>
      <c r="BI355" s="133" t="s">
        <v>40</v>
      </c>
      <c r="BK355" s="134">
        <f>BJ355*H355</f>
        <v>0</v>
      </c>
      <c r="BL355" s="134">
        <v>0.21007999999999999</v>
      </c>
      <c r="BM355" s="134">
        <f>BL355*H355</f>
        <v>4.2016</v>
      </c>
      <c r="BN355" s="134">
        <v>0</v>
      </c>
      <c r="BO355" s="135">
        <f>BN355*H355</f>
        <v>0</v>
      </c>
      <c r="CM355" s="136" t="s">
        <v>95</v>
      </c>
      <c r="CO355" s="136" t="s">
        <v>284</v>
      </c>
      <c r="CP355" s="136" t="s">
        <v>83</v>
      </c>
      <c r="CT355" s="16" t="s">
        <v>282</v>
      </c>
      <c r="CZ355" s="137">
        <f>IF(BI355="základní",J355,0)</f>
        <v>177280.91</v>
      </c>
      <c r="DA355" s="137">
        <f>IF(BI355="snížená",J355,0)</f>
        <v>0</v>
      </c>
      <c r="DB355" s="137">
        <f>IF(BI355="zákl. přenesená",J355,0)</f>
        <v>0</v>
      </c>
      <c r="DC355" s="137">
        <f>IF(BI355="sníž. přenesená",J355,0)</f>
        <v>0</v>
      </c>
      <c r="DD355" s="137">
        <f>IF(BI355="nulová",J355,0)</f>
        <v>0</v>
      </c>
      <c r="DE355" s="16" t="s">
        <v>81</v>
      </c>
      <c r="DF355" s="137">
        <f>ROUND(I355*H355,2)</f>
        <v>177280.91</v>
      </c>
      <c r="DG355" s="16" t="s">
        <v>95</v>
      </c>
      <c r="DH355" s="136" t="s">
        <v>1039</v>
      </c>
    </row>
    <row r="356" spans="2:112" s="1" customFormat="1" ht="29.25" x14ac:dyDescent="0.2">
      <c r="B356" s="31"/>
      <c r="D356" s="138" t="s">
        <v>289</v>
      </c>
      <c r="F356" s="139" t="s">
        <v>943</v>
      </c>
      <c r="I356" s="140"/>
      <c r="L356" s="31"/>
      <c r="N356" s="213"/>
      <c r="O356" s="214"/>
      <c r="Q356" s="229"/>
      <c r="BH356" s="141"/>
      <c r="BO356" s="50"/>
      <c r="CO356" s="16" t="s">
        <v>289</v>
      </c>
      <c r="CP356" s="16" t="s">
        <v>83</v>
      </c>
    </row>
    <row r="357" spans="2:112" s="10" customFormat="1" ht="22.9" customHeight="1" x14ac:dyDescent="0.2">
      <c r="B357" s="112"/>
      <c r="D357" s="113" t="s">
        <v>73</v>
      </c>
      <c r="E357" s="122" t="s">
        <v>335</v>
      </c>
      <c r="F357" s="122" t="s">
        <v>674</v>
      </c>
      <c r="I357" s="115"/>
      <c r="J357" s="123">
        <f>DF357</f>
        <v>34478.639999999999</v>
      </c>
      <c r="L357" s="112"/>
      <c r="M357" s="270">
        <f>SUM(M358:M366)</f>
        <v>0</v>
      </c>
      <c r="N357" s="301"/>
      <c r="O357" s="302">
        <f t="shared" ref="O357:V357" si="7">SUM(O358:O366)</f>
        <v>0</v>
      </c>
      <c r="P357" s="270"/>
      <c r="Q357" s="288">
        <f t="shared" si="7"/>
        <v>34478.639999999999</v>
      </c>
      <c r="R357" s="270"/>
      <c r="S357" s="270"/>
      <c r="T357" s="270">
        <f t="shared" si="7"/>
        <v>0</v>
      </c>
      <c r="U357" s="270"/>
      <c r="V357" s="270">
        <f t="shared" si="7"/>
        <v>34478.639999999999</v>
      </c>
      <c r="BH357" s="117"/>
      <c r="BK357" s="118">
        <f>SUM(BK358:BK369)</f>
        <v>0</v>
      </c>
      <c r="BM357" s="118">
        <f>SUM(BM358:BM369)</f>
        <v>0</v>
      </c>
      <c r="BO357" s="119">
        <f>SUM(BO358:BO369)</f>
        <v>0</v>
      </c>
      <c r="CM357" s="113" t="s">
        <v>81</v>
      </c>
      <c r="CO357" s="120" t="s">
        <v>73</v>
      </c>
      <c r="CP357" s="120" t="s">
        <v>81</v>
      </c>
      <c r="CT357" s="113" t="s">
        <v>282</v>
      </c>
      <c r="DF357" s="121">
        <f>SUM(DF358:DF369)</f>
        <v>34478.639999999999</v>
      </c>
    </row>
    <row r="358" spans="2:112" s="1" customFormat="1" ht="37.9" customHeight="1" x14ac:dyDescent="0.2">
      <c r="B358" s="124"/>
      <c r="C358" s="125" t="s">
        <v>572</v>
      </c>
      <c r="D358" s="125" t="s">
        <v>284</v>
      </c>
      <c r="E358" s="126" t="s">
        <v>1183</v>
      </c>
      <c r="F358" s="127" t="s">
        <v>1184</v>
      </c>
      <c r="G358" s="128" t="s">
        <v>315</v>
      </c>
      <c r="H358" s="129">
        <v>4</v>
      </c>
      <c r="I358" s="130">
        <v>3220.5333799999999</v>
      </c>
      <c r="J358" s="131">
        <f>ROUND(I358*H358,2)</f>
        <v>12882.13</v>
      </c>
      <c r="K358" s="127" t="s">
        <v>1</v>
      </c>
      <c r="L358" s="268">
        <f>S358</f>
        <v>0</v>
      </c>
      <c r="M358" s="272">
        <f>ROUND(L358*I358,2)</f>
        <v>0</v>
      </c>
      <c r="N358" s="243"/>
      <c r="O358" s="294">
        <f>ROUND(N358*I358,2)</f>
        <v>0</v>
      </c>
      <c r="P358" s="273">
        <f>H358-L358-N358</f>
        <v>4</v>
      </c>
      <c r="Q358" s="287">
        <f>ROUND(P358*I358,2)</f>
        <v>12882.13</v>
      </c>
      <c r="R358" s="137"/>
      <c r="S358" s="269">
        <f>W358+Y358+AA358+AC358</f>
        <v>0</v>
      </c>
      <c r="T358" s="269">
        <f>ROUND(S358*I358,2)</f>
        <v>0</v>
      </c>
      <c r="U358" s="269">
        <f>H358-S358</f>
        <v>4</v>
      </c>
      <c r="V358" s="269">
        <f>ROUND(U358*I358,2)</f>
        <v>12882.13</v>
      </c>
      <c r="W358" s="269"/>
      <c r="X358" s="269"/>
      <c r="Y358" s="269"/>
      <c r="Z358" s="269"/>
      <c r="AA358" s="269"/>
      <c r="AB358" s="269"/>
      <c r="AC358" s="269"/>
      <c r="AD358" s="269"/>
      <c r="BH358" s="132" t="s">
        <v>1</v>
      </c>
      <c r="BI358" s="133" t="s">
        <v>40</v>
      </c>
      <c r="BK358" s="134">
        <f>BJ358*H358</f>
        <v>0</v>
      </c>
      <c r="BL358" s="134">
        <v>0</v>
      </c>
      <c r="BM358" s="134">
        <f>BL358*H358</f>
        <v>0</v>
      </c>
      <c r="BN358" s="134">
        <v>0</v>
      </c>
      <c r="BO358" s="135">
        <f>BN358*H358</f>
        <v>0</v>
      </c>
      <c r="CM358" s="136" t="s">
        <v>95</v>
      </c>
      <c r="CO358" s="136" t="s">
        <v>284</v>
      </c>
      <c r="CP358" s="136" t="s">
        <v>83</v>
      </c>
      <c r="CT358" s="16" t="s">
        <v>282</v>
      </c>
      <c r="CZ358" s="137">
        <f>IF(BI358="základní",J358,0)</f>
        <v>12882.13</v>
      </c>
      <c r="DA358" s="137">
        <f>IF(BI358="snížená",J358,0)</f>
        <v>0</v>
      </c>
      <c r="DB358" s="137">
        <f>IF(BI358="zákl. přenesená",J358,0)</f>
        <v>0</v>
      </c>
      <c r="DC358" s="137">
        <f>IF(BI358="sníž. přenesená",J358,0)</f>
        <v>0</v>
      </c>
      <c r="DD358" s="137">
        <f>IF(BI358="nulová",J358,0)</f>
        <v>0</v>
      </c>
      <c r="DE358" s="16" t="s">
        <v>81</v>
      </c>
      <c r="DF358" s="137">
        <f>ROUND(I358*H358,2)</f>
        <v>12882.13</v>
      </c>
      <c r="DG358" s="16" t="s">
        <v>95</v>
      </c>
      <c r="DH358" s="136" t="s">
        <v>1185</v>
      </c>
    </row>
    <row r="359" spans="2:112" s="1" customFormat="1" ht="29.25" x14ac:dyDescent="0.2">
      <c r="B359" s="31"/>
      <c r="D359" s="138" t="s">
        <v>289</v>
      </c>
      <c r="F359" s="139" t="s">
        <v>1184</v>
      </c>
      <c r="I359" s="140"/>
      <c r="L359" s="31"/>
      <c r="N359" s="213"/>
      <c r="O359" s="214"/>
      <c r="Q359" s="229"/>
      <c r="BH359" s="141"/>
      <c r="BO359" s="50"/>
      <c r="CO359" s="16" t="s">
        <v>289</v>
      </c>
      <c r="CP359" s="16" t="s">
        <v>83</v>
      </c>
    </row>
    <row r="360" spans="2:112" s="1" customFormat="1" ht="29.25" x14ac:dyDescent="0.2">
      <c r="B360" s="31"/>
      <c r="D360" s="138" t="s">
        <v>299</v>
      </c>
      <c r="F360" s="142" t="s">
        <v>1700</v>
      </c>
      <c r="I360" s="140"/>
      <c r="L360" s="31"/>
      <c r="N360" s="213"/>
      <c r="O360" s="214"/>
      <c r="Q360" s="229"/>
      <c r="BH360" s="141"/>
      <c r="BO360" s="50"/>
      <c r="CO360" s="16" t="s">
        <v>299</v>
      </c>
      <c r="CP360" s="16" t="s">
        <v>83</v>
      </c>
    </row>
    <row r="361" spans="2:112" s="12" customFormat="1" x14ac:dyDescent="0.2">
      <c r="B361" s="149"/>
      <c r="D361" s="138" t="s">
        <v>301</v>
      </c>
      <c r="E361" s="150" t="s">
        <v>1</v>
      </c>
      <c r="F361" s="151" t="s">
        <v>95</v>
      </c>
      <c r="H361" s="152">
        <v>4</v>
      </c>
      <c r="I361" s="153"/>
      <c r="L361" s="149"/>
      <c r="N361" s="217"/>
      <c r="O361" s="218"/>
      <c r="Q361" s="231"/>
      <c r="BH361" s="154"/>
      <c r="BO361" s="155"/>
      <c r="CO361" s="150" t="s">
        <v>301</v>
      </c>
      <c r="CP361" s="150" t="s">
        <v>83</v>
      </c>
      <c r="CQ361" s="12" t="s">
        <v>83</v>
      </c>
      <c r="CR361" s="12" t="s">
        <v>32</v>
      </c>
      <c r="CS361" s="12" t="s">
        <v>81</v>
      </c>
      <c r="CT361" s="150" t="s">
        <v>282</v>
      </c>
    </row>
    <row r="362" spans="2:112" s="1" customFormat="1" ht="37.9" customHeight="1" x14ac:dyDescent="0.2">
      <c r="B362" s="124"/>
      <c r="C362" s="125" t="s">
        <v>576</v>
      </c>
      <c r="D362" s="125" t="s">
        <v>284</v>
      </c>
      <c r="E362" s="126" t="s">
        <v>1187</v>
      </c>
      <c r="F362" s="127" t="s">
        <v>1188</v>
      </c>
      <c r="G362" s="128" t="s">
        <v>315</v>
      </c>
      <c r="H362" s="129">
        <v>6</v>
      </c>
      <c r="I362" s="130">
        <v>2652.2039599999998</v>
      </c>
      <c r="J362" s="131">
        <f>ROUND(I362*H362,2)</f>
        <v>15913.22</v>
      </c>
      <c r="K362" s="127" t="s">
        <v>1</v>
      </c>
      <c r="L362" s="268">
        <f>S362</f>
        <v>0</v>
      </c>
      <c r="M362" s="272">
        <f>ROUND(L362*I362,2)</f>
        <v>0</v>
      </c>
      <c r="N362" s="243"/>
      <c r="O362" s="294">
        <f>ROUND(N362*I362,2)</f>
        <v>0</v>
      </c>
      <c r="P362" s="273">
        <f>H362-L362-N362</f>
        <v>6</v>
      </c>
      <c r="Q362" s="287">
        <f>ROUND(P362*I362,2)</f>
        <v>15913.22</v>
      </c>
      <c r="R362" s="137"/>
      <c r="S362" s="269">
        <f>W362+Y362+AA362+AC362</f>
        <v>0</v>
      </c>
      <c r="T362" s="269">
        <f>ROUND(S362*I362,2)</f>
        <v>0</v>
      </c>
      <c r="U362" s="269">
        <f>H362-S362</f>
        <v>6</v>
      </c>
      <c r="V362" s="269">
        <f>ROUND(U362*I362,2)</f>
        <v>15913.22</v>
      </c>
      <c r="W362" s="269"/>
      <c r="X362" s="269"/>
      <c r="Y362" s="269"/>
      <c r="Z362" s="269"/>
      <c r="AA362" s="269"/>
      <c r="AB362" s="269"/>
      <c r="AC362" s="269"/>
      <c r="AD362" s="269"/>
      <c r="BH362" s="132" t="s">
        <v>1</v>
      </c>
      <c r="BI362" s="133" t="s">
        <v>40</v>
      </c>
      <c r="BK362" s="134">
        <f>BJ362*H362</f>
        <v>0</v>
      </c>
      <c r="BL362" s="134">
        <v>0</v>
      </c>
      <c r="BM362" s="134">
        <f>BL362*H362</f>
        <v>0</v>
      </c>
      <c r="BN362" s="134">
        <v>0</v>
      </c>
      <c r="BO362" s="135">
        <f>BN362*H362</f>
        <v>0</v>
      </c>
      <c r="CM362" s="136" t="s">
        <v>95</v>
      </c>
      <c r="CO362" s="136" t="s">
        <v>284</v>
      </c>
      <c r="CP362" s="136" t="s">
        <v>83</v>
      </c>
      <c r="CT362" s="16" t="s">
        <v>282</v>
      </c>
      <c r="CZ362" s="137">
        <f>IF(BI362="základní",J362,0)</f>
        <v>15913.22</v>
      </c>
      <c r="DA362" s="137">
        <f>IF(BI362="snížená",J362,0)</f>
        <v>0</v>
      </c>
      <c r="DB362" s="137">
        <f>IF(BI362="zákl. přenesená",J362,0)</f>
        <v>0</v>
      </c>
      <c r="DC362" s="137">
        <f>IF(BI362="sníž. přenesená",J362,0)</f>
        <v>0</v>
      </c>
      <c r="DD362" s="137">
        <f>IF(BI362="nulová",J362,0)</f>
        <v>0</v>
      </c>
      <c r="DE362" s="16" t="s">
        <v>81</v>
      </c>
      <c r="DF362" s="137">
        <f>ROUND(I362*H362,2)</f>
        <v>15913.22</v>
      </c>
      <c r="DG362" s="16" t="s">
        <v>95</v>
      </c>
      <c r="DH362" s="136" t="s">
        <v>1189</v>
      </c>
    </row>
    <row r="363" spans="2:112" s="1" customFormat="1" ht="29.25" x14ac:dyDescent="0.2">
      <c r="B363" s="31"/>
      <c r="D363" s="138" t="s">
        <v>289</v>
      </c>
      <c r="F363" s="139" t="s">
        <v>1188</v>
      </c>
      <c r="I363" s="140"/>
      <c r="L363" s="31"/>
      <c r="N363" s="213"/>
      <c r="O363" s="214"/>
      <c r="Q363" s="229"/>
      <c r="BH363" s="141"/>
      <c r="BO363" s="50"/>
      <c r="CO363" s="16" t="s">
        <v>289</v>
      </c>
      <c r="CP363" s="16" t="s">
        <v>83</v>
      </c>
    </row>
    <row r="364" spans="2:112" s="1" customFormat="1" ht="29.25" x14ac:dyDescent="0.2">
      <c r="B364" s="31"/>
      <c r="D364" s="138" t="s">
        <v>299</v>
      </c>
      <c r="F364" s="142" t="s">
        <v>1700</v>
      </c>
      <c r="I364" s="140"/>
      <c r="L364" s="31"/>
      <c r="N364" s="213"/>
      <c r="O364" s="214"/>
      <c r="Q364" s="229"/>
      <c r="BH364" s="141"/>
      <c r="BO364" s="50"/>
      <c r="CO364" s="16" t="s">
        <v>299</v>
      </c>
      <c r="CP364" s="16" t="s">
        <v>83</v>
      </c>
    </row>
    <row r="365" spans="2:112" s="12" customFormat="1" x14ac:dyDescent="0.2">
      <c r="B365" s="149"/>
      <c r="D365" s="138" t="s">
        <v>301</v>
      </c>
      <c r="E365" s="150" t="s">
        <v>1</v>
      </c>
      <c r="F365" s="151" t="s">
        <v>318</v>
      </c>
      <c r="H365" s="152">
        <v>6</v>
      </c>
      <c r="I365" s="153"/>
      <c r="L365" s="149"/>
      <c r="N365" s="217"/>
      <c r="O365" s="218"/>
      <c r="Q365" s="231"/>
      <c r="BH365" s="154"/>
      <c r="BO365" s="155"/>
      <c r="CO365" s="150" t="s">
        <v>301</v>
      </c>
      <c r="CP365" s="150" t="s">
        <v>83</v>
      </c>
      <c r="CQ365" s="12" t="s">
        <v>83</v>
      </c>
      <c r="CR365" s="12" t="s">
        <v>32</v>
      </c>
      <c r="CS365" s="12" t="s">
        <v>81</v>
      </c>
      <c r="CT365" s="150" t="s">
        <v>282</v>
      </c>
    </row>
    <row r="366" spans="2:112" s="1" customFormat="1" ht="24.2" customHeight="1" x14ac:dyDescent="0.2">
      <c r="B366" s="124"/>
      <c r="C366" s="125" t="s">
        <v>581</v>
      </c>
      <c r="D366" s="125" t="s">
        <v>284</v>
      </c>
      <c r="E366" s="126" t="s">
        <v>1190</v>
      </c>
      <c r="F366" s="127" t="s">
        <v>1191</v>
      </c>
      <c r="G366" s="128" t="s">
        <v>344</v>
      </c>
      <c r="H366" s="129">
        <v>10</v>
      </c>
      <c r="I366" s="130">
        <v>568.32942000000003</v>
      </c>
      <c r="J366" s="131">
        <f>ROUND(I366*H366,2)</f>
        <v>5683.29</v>
      </c>
      <c r="K366" s="127" t="s">
        <v>1</v>
      </c>
      <c r="L366" s="268">
        <f>S366</f>
        <v>0</v>
      </c>
      <c r="M366" s="272">
        <f>ROUND(L366*I366,2)</f>
        <v>0</v>
      </c>
      <c r="N366" s="243"/>
      <c r="O366" s="294">
        <f>ROUND(N366*I366,2)</f>
        <v>0</v>
      </c>
      <c r="P366" s="273">
        <f>H366-L366-N366</f>
        <v>10</v>
      </c>
      <c r="Q366" s="287">
        <f>ROUND(P366*I366,2)</f>
        <v>5683.29</v>
      </c>
      <c r="R366" s="137"/>
      <c r="S366" s="269">
        <f>W366+Y366+AA366+AC366</f>
        <v>0</v>
      </c>
      <c r="T366" s="269">
        <f>ROUND(S366*I366,2)</f>
        <v>0</v>
      </c>
      <c r="U366" s="269">
        <f>H366-S366</f>
        <v>10</v>
      </c>
      <c r="V366" s="269">
        <f>ROUND(U366*I366,2)</f>
        <v>5683.29</v>
      </c>
      <c r="W366" s="269"/>
      <c r="X366" s="269"/>
      <c r="Y366" s="269"/>
      <c r="Z366" s="269"/>
      <c r="AA366" s="269"/>
      <c r="AB366" s="269"/>
      <c r="AC366" s="269"/>
      <c r="AD366" s="269"/>
      <c r="BH366" s="132" t="s">
        <v>1</v>
      </c>
      <c r="BI366" s="133" t="s">
        <v>40</v>
      </c>
      <c r="BK366" s="134">
        <f>BJ366*H366</f>
        <v>0</v>
      </c>
      <c r="BL366" s="134">
        <v>0</v>
      </c>
      <c r="BM366" s="134">
        <f>BL366*H366</f>
        <v>0</v>
      </c>
      <c r="BN366" s="134">
        <v>0</v>
      </c>
      <c r="BO366" s="135">
        <f>BN366*H366</f>
        <v>0</v>
      </c>
      <c r="CM366" s="136" t="s">
        <v>95</v>
      </c>
      <c r="CO366" s="136" t="s">
        <v>284</v>
      </c>
      <c r="CP366" s="136" t="s">
        <v>83</v>
      </c>
      <c r="CT366" s="16" t="s">
        <v>282</v>
      </c>
      <c r="CZ366" s="137">
        <f>IF(BI366="základní",J366,0)</f>
        <v>5683.29</v>
      </c>
      <c r="DA366" s="137">
        <f>IF(BI366="snížená",J366,0)</f>
        <v>0</v>
      </c>
      <c r="DB366" s="137">
        <f>IF(BI366="zákl. přenesená",J366,0)</f>
        <v>0</v>
      </c>
      <c r="DC366" s="137">
        <f>IF(BI366="sníž. přenesená",J366,0)</f>
        <v>0</v>
      </c>
      <c r="DD366" s="137">
        <f>IF(BI366="nulová",J366,0)</f>
        <v>0</v>
      </c>
      <c r="DE366" s="16" t="s">
        <v>81</v>
      </c>
      <c r="DF366" s="137">
        <f>ROUND(I366*H366,2)</f>
        <v>5683.29</v>
      </c>
      <c r="DG366" s="16" t="s">
        <v>95</v>
      </c>
      <c r="DH366" s="136" t="s">
        <v>1192</v>
      </c>
    </row>
    <row r="367" spans="2:112" s="1" customFormat="1" ht="19.5" x14ac:dyDescent="0.2">
      <c r="B367" s="31"/>
      <c r="D367" s="138" t="s">
        <v>289</v>
      </c>
      <c r="F367" s="139" t="s">
        <v>1191</v>
      </c>
      <c r="I367" s="140"/>
      <c r="L367" s="31"/>
      <c r="N367" s="213"/>
      <c r="O367" s="214"/>
      <c r="Q367" s="229"/>
      <c r="BH367" s="141"/>
      <c r="BO367" s="50"/>
      <c r="CO367" s="16" t="s">
        <v>289</v>
      </c>
      <c r="CP367" s="16" t="s">
        <v>83</v>
      </c>
    </row>
    <row r="368" spans="2:112" s="1" customFormat="1" ht="29.25" x14ac:dyDescent="0.2">
      <c r="B368" s="31"/>
      <c r="D368" s="138" t="s">
        <v>299</v>
      </c>
      <c r="F368" s="142" t="s">
        <v>1700</v>
      </c>
      <c r="I368" s="140"/>
      <c r="L368" s="31"/>
      <c r="N368" s="213"/>
      <c r="O368" s="214"/>
      <c r="Q368" s="229"/>
      <c r="BH368" s="141"/>
      <c r="BO368" s="50"/>
      <c r="CO368" s="16" t="s">
        <v>299</v>
      </c>
      <c r="CP368" s="16" t="s">
        <v>83</v>
      </c>
    </row>
    <row r="369" spans="2:112" s="12" customFormat="1" x14ac:dyDescent="0.2">
      <c r="B369" s="149"/>
      <c r="D369" s="138" t="s">
        <v>301</v>
      </c>
      <c r="E369" s="150" t="s">
        <v>1</v>
      </c>
      <c r="F369" s="151" t="s">
        <v>1701</v>
      </c>
      <c r="H369" s="152">
        <v>10</v>
      </c>
      <c r="I369" s="153"/>
      <c r="L369" s="149"/>
      <c r="N369" s="217"/>
      <c r="O369" s="218"/>
      <c r="Q369" s="231"/>
      <c r="BH369" s="154"/>
      <c r="BO369" s="155"/>
      <c r="CO369" s="150" t="s">
        <v>301</v>
      </c>
      <c r="CP369" s="150" t="s">
        <v>83</v>
      </c>
      <c r="CQ369" s="12" t="s">
        <v>83</v>
      </c>
      <c r="CR369" s="12" t="s">
        <v>32</v>
      </c>
      <c r="CS369" s="12" t="s">
        <v>81</v>
      </c>
      <c r="CT369" s="150" t="s">
        <v>282</v>
      </c>
    </row>
    <row r="370" spans="2:112" s="10" customFormat="1" ht="22.9" customHeight="1" x14ac:dyDescent="0.2">
      <c r="B370" s="112"/>
      <c r="D370" s="113" t="s">
        <v>73</v>
      </c>
      <c r="E370" s="122" t="s">
        <v>695</v>
      </c>
      <c r="F370" s="122" t="s">
        <v>696</v>
      </c>
      <c r="I370" s="115"/>
      <c r="J370" s="123">
        <f>DF370</f>
        <v>67603.34</v>
      </c>
      <c r="L370" s="112"/>
      <c r="M370" s="270">
        <f>SUM(M371:M387)</f>
        <v>0</v>
      </c>
      <c r="N370" s="301"/>
      <c r="O370" s="302">
        <f t="shared" ref="O370:V370" si="8">SUM(O371:O387)</f>
        <v>-7165.9599999999991</v>
      </c>
      <c r="P370" s="270"/>
      <c r="Q370" s="288">
        <f t="shared" si="8"/>
        <v>74769.289999999994</v>
      </c>
      <c r="R370" s="270"/>
      <c r="S370" s="270"/>
      <c r="T370" s="270">
        <f t="shared" si="8"/>
        <v>0</v>
      </c>
      <c r="U370" s="270"/>
      <c r="V370" s="270">
        <f t="shared" si="8"/>
        <v>67603.34</v>
      </c>
      <c r="BH370" s="117"/>
      <c r="BK370" s="118">
        <f>SUM(BK371:BK389)</f>
        <v>0</v>
      </c>
      <c r="BM370" s="118">
        <f>SUM(BM371:BM389)</f>
        <v>0</v>
      </c>
      <c r="BO370" s="119">
        <f>SUM(BO371:BO389)</f>
        <v>0</v>
      </c>
      <c r="CM370" s="113" t="s">
        <v>81</v>
      </c>
      <c r="CO370" s="120" t="s">
        <v>73</v>
      </c>
      <c r="CP370" s="120" t="s">
        <v>81</v>
      </c>
      <c r="CT370" s="113" t="s">
        <v>282</v>
      </c>
      <c r="DF370" s="121">
        <f>SUM(DF371:DF389)</f>
        <v>67603.34</v>
      </c>
    </row>
    <row r="371" spans="2:112" s="1" customFormat="1" ht="14.45" customHeight="1" x14ac:dyDescent="0.2">
      <c r="B371" s="124"/>
      <c r="C371" s="125" t="s">
        <v>589</v>
      </c>
      <c r="D371" s="125" t="s">
        <v>284</v>
      </c>
      <c r="E371" s="126" t="s">
        <v>698</v>
      </c>
      <c r="F371" s="127" t="s">
        <v>699</v>
      </c>
      <c r="G371" s="128" t="s">
        <v>418</v>
      </c>
      <c r="H371" s="129">
        <v>186.92599999999999</v>
      </c>
      <c r="I371" s="130">
        <v>40.477390926043419</v>
      </c>
      <c r="J371" s="131">
        <f>ROUND(I371*H371,2)</f>
        <v>7566.28</v>
      </c>
      <c r="K371" s="127" t="s">
        <v>293</v>
      </c>
      <c r="L371" s="268">
        <f>S371</f>
        <v>0</v>
      </c>
      <c r="M371" s="272">
        <f>ROUND(L371*I371,2)</f>
        <v>0</v>
      </c>
      <c r="N371" s="243">
        <f>N373</f>
        <v>-19.814156000000025</v>
      </c>
      <c r="O371" s="294">
        <f>ROUND(N371*I371,2)</f>
        <v>-802.03</v>
      </c>
      <c r="P371" s="273">
        <f>H371-L371-N371</f>
        <v>206.74015600000001</v>
      </c>
      <c r="Q371" s="287">
        <f>ROUND(P371*I371,2)</f>
        <v>8368.2999999999993</v>
      </c>
      <c r="R371" s="137"/>
      <c r="S371" s="269">
        <f>W371+Y371+AA371+AC371</f>
        <v>0</v>
      </c>
      <c r="T371" s="269">
        <f>ROUND(S371*I371,2)</f>
        <v>0</v>
      </c>
      <c r="U371" s="269">
        <f>H371-S371</f>
        <v>186.92599999999999</v>
      </c>
      <c r="V371" s="269">
        <f>ROUND(U371*I371,2)</f>
        <v>7566.28</v>
      </c>
      <c r="W371" s="269"/>
      <c r="X371" s="269"/>
      <c r="Y371" s="269"/>
      <c r="Z371" s="269"/>
      <c r="AA371" s="269"/>
      <c r="AB371" s="269"/>
      <c r="AC371" s="269"/>
      <c r="AD371" s="269"/>
      <c r="BH371" s="132" t="s">
        <v>1</v>
      </c>
      <c r="BI371" s="133" t="s">
        <v>40</v>
      </c>
      <c r="BK371" s="134">
        <f>BJ371*H371</f>
        <v>0</v>
      </c>
      <c r="BL371" s="134">
        <v>0</v>
      </c>
      <c r="BM371" s="134">
        <f>BL371*H371</f>
        <v>0</v>
      </c>
      <c r="BN371" s="134">
        <v>0</v>
      </c>
      <c r="BO371" s="135">
        <f>BN371*H371</f>
        <v>0</v>
      </c>
      <c r="CM371" s="136" t="s">
        <v>95</v>
      </c>
      <c r="CO371" s="136" t="s">
        <v>284</v>
      </c>
      <c r="CP371" s="136" t="s">
        <v>83</v>
      </c>
      <c r="CT371" s="16" t="s">
        <v>282</v>
      </c>
      <c r="CZ371" s="137">
        <f>IF(BI371="základní",J371,0)</f>
        <v>7566.28</v>
      </c>
      <c r="DA371" s="137">
        <f>IF(BI371="snížená",J371,0)</f>
        <v>0</v>
      </c>
      <c r="DB371" s="137">
        <f>IF(BI371="zákl. přenesená",J371,0)</f>
        <v>0</v>
      </c>
      <c r="DC371" s="137">
        <f>IF(BI371="sníž. přenesená",J371,0)</f>
        <v>0</v>
      </c>
      <c r="DD371" s="137">
        <f>IF(BI371="nulová",J371,0)</f>
        <v>0</v>
      </c>
      <c r="DE371" s="16" t="s">
        <v>81</v>
      </c>
      <c r="DF371" s="137">
        <f>ROUND(I371*H371,2)</f>
        <v>7566.28</v>
      </c>
      <c r="DG371" s="16" t="s">
        <v>95</v>
      </c>
      <c r="DH371" s="136" t="s">
        <v>700</v>
      </c>
    </row>
    <row r="372" spans="2:112" s="1" customFormat="1" ht="19.5" x14ac:dyDescent="0.2">
      <c r="B372" s="31"/>
      <c r="D372" s="138" t="s">
        <v>289</v>
      </c>
      <c r="F372" s="139" t="s">
        <v>701</v>
      </c>
      <c r="I372" s="140"/>
      <c r="L372" s="31"/>
      <c r="N372" s="213">
        <f>0.894*186.926</f>
        <v>167.11184399999999</v>
      </c>
      <c r="O372" s="214" t="s">
        <v>3933</v>
      </c>
      <c r="Q372" s="229"/>
      <c r="BH372" s="141"/>
      <c r="BO372" s="50"/>
      <c r="CO372" s="16" t="s">
        <v>289</v>
      </c>
      <c r="CP372" s="16" t="s">
        <v>83</v>
      </c>
    </row>
    <row r="373" spans="2:112" s="12" customFormat="1" x14ac:dyDescent="0.2">
      <c r="B373" s="149"/>
      <c r="D373" s="138" t="s">
        <v>301</v>
      </c>
      <c r="E373" s="150" t="s">
        <v>1</v>
      </c>
      <c r="F373" s="151" t="s">
        <v>1702</v>
      </c>
      <c r="H373" s="152">
        <v>172.364</v>
      </c>
      <c r="I373" s="153"/>
      <c r="L373" s="149"/>
      <c r="N373" s="310">
        <f>N372-H375</f>
        <v>-19.814156000000025</v>
      </c>
      <c r="O373" s="218"/>
      <c r="Q373" s="231"/>
      <c r="BH373" s="154"/>
      <c r="BO373" s="155"/>
      <c r="CO373" s="150" t="s">
        <v>301</v>
      </c>
      <c r="CP373" s="150" t="s">
        <v>83</v>
      </c>
      <c r="CQ373" s="12" t="s">
        <v>83</v>
      </c>
      <c r="CR373" s="12" t="s">
        <v>32</v>
      </c>
      <c r="CS373" s="12" t="s">
        <v>74</v>
      </c>
      <c r="CT373" s="150" t="s">
        <v>282</v>
      </c>
    </row>
    <row r="374" spans="2:112" s="12" customFormat="1" x14ac:dyDescent="0.2">
      <c r="B374" s="149"/>
      <c r="D374" s="138" t="s">
        <v>301</v>
      </c>
      <c r="E374" s="150" t="s">
        <v>1</v>
      </c>
      <c r="F374" s="151" t="s">
        <v>1703</v>
      </c>
      <c r="H374" s="152">
        <v>14.561999999999999</v>
      </c>
      <c r="I374" s="153"/>
      <c r="L374" s="149"/>
      <c r="N374" s="217"/>
      <c r="O374" s="218"/>
      <c r="Q374" s="231"/>
      <c r="BH374" s="154"/>
      <c r="BO374" s="155"/>
      <c r="CO374" s="150" t="s">
        <v>301</v>
      </c>
      <c r="CP374" s="150" t="s">
        <v>83</v>
      </c>
      <c r="CQ374" s="12" t="s">
        <v>83</v>
      </c>
      <c r="CR374" s="12" t="s">
        <v>32</v>
      </c>
      <c r="CS374" s="12" t="s">
        <v>74</v>
      </c>
      <c r="CT374" s="150" t="s">
        <v>282</v>
      </c>
    </row>
    <row r="375" spans="2:112" s="13" customFormat="1" x14ac:dyDescent="0.2">
      <c r="B375" s="156"/>
      <c r="D375" s="138" t="s">
        <v>301</v>
      </c>
      <c r="E375" s="157" t="s">
        <v>1</v>
      </c>
      <c r="F375" s="158" t="s">
        <v>305</v>
      </c>
      <c r="H375" s="159">
        <v>186.92600000000002</v>
      </c>
      <c r="I375" s="160"/>
      <c r="L375" s="156"/>
      <c r="N375" s="219"/>
      <c r="O375" s="220"/>
      <c r="Q375" s="232"/>
      <c r="BH375" s="161"/>
      <c r="BO375" s="162"/>
      <c r="CO375" s="157" t="s">
        <v>301</v>
      </c>
      <c r="CP375" s="157" t="s">
        <v>83</v>
      </c>
      <c r="CQ375" s="13" t="s">
        <v>95</v>
      </c>
      <c r="CR375" s="13" t="s">
        <v>32</v>
      </c>
      <c r="CS375" s="13" t="s">
        <v>81</v>
      </c>
      <c r="CT375" s="157" t="s">
        <v>282</v>
      </c>
    </row>
    <row r="376" spans="2:112" s="1" customFormat="1" ht="24.2" customHeight="1" x14ac:dyDescent="0.2">
      <c r="B376" s="124"/>
      <c r="C376" s="125" t="s">
        <v>594</v>
      </c>
      <c r="D376" s="125" t="s">
        <v>284</v>
      </c>
      <c r="E376" s="126" t="s">
        <v>705</v>
      </c>
      <c r="F376" s="127" t="s">
        <v>706</v>
      </c>
      <c r="G376" s="128" t="s">
        <v>418</v>
      </c>
      <c r="H376" s="129">
        <v>2616.9639999999999</v>
      </c>
      <c r="I376" s="130">
        <v>3.1192340975392101</v>
      </c>
      <c r="J376" s="131">
        <f>ROUND(I376*H376,2)</f>
        <v>8162.92</v>
      </c>
      <c r="K376" s="127" t="s">
        <v>293</v>
      </c>
      <c r="L376" s="268">
        <f>S376</f>
        <v>0</v>
      </c>
      <c r="M376" s="272">
        <f>ROUND(L376*I376,2)</f>
        <v>0</v>
      </c>
      <c r="N376" s="243">
        <f>N378</f>
        <v>-277.39818400000013</v>
      </c>
      <c r="O376" s="294">
        <f>ROUND(N376*I376,2)</f>
        <v>-865.27</v>
      </c>
      <c r="P376" s="273">
        <f>H376-L376-N376</f>
        <v>2894.3621840000001</v>
      </c>
      <c r="Q376" s="287">
        <f>ROUND(P376*I376,2)</f>
        <v>9028.19</v>
      </c>
      <c r="R376" s="137"/>
      <c r="S376" s="269">
        <f>W376+Y376+AA376+AC376</f>
        <v>0</v>
      </c>
      <c r="T376" s="269">
        <f>ROUND(S376*I376,2)</f>
        <v>0</v>
      </c>
      <c r="U376" s="269">
        <f>H376-S376</f>
        <v>2616.9639999999999</v>
      </c>
      <c r="V376" s="269">
        <f>ROUND(U376*I376,2)</f>
        <v>8162.92</v>
      </c>
      <c r="W376" s="269"/>
      <c r="X376" s="269"/>
      <c r="Y376" s="269"/>
      <c r="Z376" s="269"/>
      <c r="AA376" s="269"/>
      <c r="AB376" s="269"/>
      <c r="AC376" s="269"/>
      <c r="AD376" s="269"/>
      <c r="BH376" s="132" t="s">
        <v>1</v>
      </c>
      <c r="BI376" s="133" t="s">
        <v>40</v>
      </c>
      <c r="BK376" s="134">
        <f>BJ376*H376</f>
        <v>0</v>
      </c>
      <c r="BL376" s="134">
        <v>0</v>
      </c>
      <c r="BM376" s="134">
        <f>BL376*H376</f>
        <v>0</v>
      </c>
      <c r="BN376" s="134">
        <v>0</v>
      </c>
      <c r="BO376" s="135">
        <f>BN376*H376</f>
        <v>0</v>
      </c>
      <c r="CM376" s="136" t="s">
        <v>95</v>
      </c>
      <c r="CO376" s="136" t="s">
        <v>284</v>
      </c>
      <c r="CP376" s="136" t="s">
        <v>83</v>
      </c>
      <c r="CT376" s="16" t="s">
        <v>282</v>
      </c>
      <c r="CZ376" s="137">
        <f>IF(BI376="základní",J376,0)</f>
        <v>8162.92</v>
      </c>
      <c r="DA376" s="137">
        <f>IF(BI376="snížená",J376,0)</f>
        <v>0</v>
      </c>
      <c r="DB376" s="137">
        <f>IF(BI376="zákl. přenesená",J376,0)</f>
        <v>0</v>
      </c>
      <c r="DC376" s="137">
        <f>IF(BI376="sníž. přenesená",J376,0)</f>
        <v>0</v>
      </c>
      <c r="DD376" s="137">
        <f>IF(BI376="nulová",J376,0)</f>
        <v>0</v>
      </c>
      <c r="DE376" s="16" t="s">
        <v>81</v>
      </c>
      <c r="DF376" s="137">
        <f>ROUND(I376*H376,2)</f>
        <v>8162.92</v>
      </c>
      <c r="DG376" s="16" t="s">
        <v>95</v>
      </c>
      <c r="DH376" s="136" t="s">
        <v>707</v>
      </c>
    </row>
    <row r="377" spans="2:112" s="1" customFormat="1" ht="29.25" x14ac:dyDescent="0.2">
      <c r="B377" s="31"/>
      <c r="D377" s="138" t="s">
        <v>289</v>
      </c>
      <c r="F377" s="139" t="s">
        <v>708</v>
      </c>
      <c r="I377" s="140"/>
      <c r="L377" s="31"/>
      <c r="N377" s="213">
        <f>0.894*2616.964</f>
        <v>2339.5658159999998</v>
      </c>
      <c r="O377" s="214" t="s">
        <v>3934</v>
      </c>
      <c r="Q377" s="229"/>
      <c r="BH377" s="141"/>
      <c r="BO377" s="50"/>
      <c r="CO377" s="16" t="s">
        <v>289</v>
      </c>
      <c r="CP377" s="16" t="s">
        <v>83</v>
      </c>
    </row>
    <row r="378" spans="2:112" s="12" customFormat="1" x14ac:dyDescent="0.2">
      <c r="B378" s="149"/>
      <c r="D378" s="138" t="s">
        <v>301</v>
      </c>
      <c r="E378" s="150" t="s">
        <v>1</v>
      </c>
      <c r="F378" s="151" t="s">
        <v>1702</v>
      </c>
      <c r="H378" s="152">
        <v>172.364</v>
      </c>
      <c r="I378" s="153"/>
      <c r="L378" s="149"/>
      <c r="N378" s="310">
        <f>N377-H381</f>
        <v>-277.39818400000013</v>
      </c>
      <c r="O378" s="218"/>
      <c r="Q378" s="231"/>
      <c r="BH378" s="154"/>
      <c r="BO378" s="155"/>
      <c r="CO378" s="150" t="s">
        <v>301</v>
      </c>
      <c r="CP378" s="150" t="s">
        <v>83</v>
      </c>
      <c r="CQ378" s="12" t="s">
        <v>83</v>
      </c>
      <c r="CR378" s="12" t="s">
        <v>32</v>
      </c>
      <c r="CS378" s="12" t="s">
        <v>74</v>
      </c>
      <c r="CT378" s="150" t="s">
        <v>282</v>
      </c>
    </row>
    <row r="379" spans="2:112" s="12" customFormat="1" x14ac:dyDescent="0.2">
      <c r="B379" s="149"/>
      <c r="D379" s="138" t="s">
        <v>301</v>
      </c>
      <c r="E379" s="150" t="s">
        <v>1</v>
      </c>
      <c r="F379" s="151" t="s">
        <v>1703</v>
      </c>
      <c r="H379" s="152">
        <v>14.561999999999999</v>
      </c>
      <c r="I379" s="153"/>
      <c r="L379" s="149"/>
      <c r="N379" s="217"/>
      <c r="O379" s="218"/>
      <c r="Q379" s="231"/>
      <c r="BH379" s="154"/>
      <c r="BO379" s="155"/>
      <c r="CO379" s="150" t="s">
        <v>301</v>
      </c>
      <c r="CP379" s="150" t="s">
        <v>83</v>
      </c>
      <c r="CQ379" s="12" t="s">
        <v>83</v>
      </c>
      <c r="CR379" s="12" t="s">
        <v>32</v>
      </c>
      <c r="CS379" s="12" t="s">
        <v>74</v>
      </c>
      <c r="CT379" s="150" t="s">
        <v>282</v>
      </c>
    </row>
    <row r="380" spans="2:112" s="13" customFormat="1" x14ac:dyDescent="0.2">
      <c r="B380" s="156"/>
      <c r="D380" s="138" t="s">
        <v>301</v>
      </c>
      <c r="E380" s="157" t="s">
        <v>1</v>
      </c>
      <c r="F380" s="158" t="s">
        <v>305</v>
      </c>
      <c r="H380" s="159">
        <v>186.92600000000002</v>
      </c>
      <c r="I380" s="160"/>
      <c r="L380" s="156"/>
      <c r="N380" s="219"/>
      <c r="O380" s="220"/>
      <c r="Q380" s="232"/>
      <c r="BH380" s="161"/>
      <c r="BO380" s="162"/>
      <c r="CO380" s="157" t="s">
        <v>301</v>
      </c>
      <c r="CP380" s="157" t="s">
        <v>83</v>
      </c>
      <c r="CQ380" s="13" t="s">
        <v>95</v>
      </c>
      <c r="CR380" s="13" t="s">
        <v>32</v>
      </c>
      <c r="CS380" s="13" t="s">
        <v>81</v>
      </c>
      <c r="CT380" s="157" t="s">
        <v>282</v>
      </c>
    </row>
    <row r="381" spans="2:112" s="12" customFormat="1" x14ac:dyDescent="0.2">
      <c r="B381" s="149"/>
      <c r="D381" s="138" t="s">
        <v>301</v>
      </c>
      <c r="F381" s="151" t="s">
        <v>1704</v>
      </c>
      <c r="H381" s="152">
        <v>2616.9639999999999</v>
      </c>
      <c r="I381" s="153"/>
      <c r="L381" s="149"/>
      <c r="N381" s="217"/>
      <c r="O381" s="218"/>
      <c r="Q381" s="231"/>
      <c r="BH381" s="154"/>
      <c r="BO381" s="155"/>
      <c r="CO381" s="150" t="s">
        <v>301</v>
      </c>
      <c r="CP381" s="150" t="s">
        <v>83</v>
      </c>
      <c r="CQ381" s="12" t="s">
        <v>83</v>
      </c>
      <c r="CR381" s="12" t="s">
        <v>3</v>
      </c>
      <c r="CS381" s="12" t="s">
        <v>81</v>
      </c>
      <c r="CT381" s="150" t="s">
        <v>282</v>
      </c>
    </row>
    <row r="382" spans="2:112" s="1" customFormat="1" ht="24.2" customHeight="1" x14ac:dyDescent="0.2">
      <c r="B382" s="124"/>
      <c r="C382" s="125" t="s">
        <v>599</v>
      </c>
      <c r="D382" s="125" t="s">
        <v>284</v>
      </c>
      <c r="E382" s="126" t="s">
        <v>711</v>
      </c>
      <c r="F382" s="127" t="s">
        <v>712</v>
      </c>
      <c r="G382" s="128" t="s">
        <v>418</v>
      </c>
      <c r="H382" s="129">
        <v>186.92599999999999</v>
      </c>
      <c r="I382" s="130">
        <v>155.98322812074767</v>
      </c>
      <c r="J382" s="131">
        <f>ROUND(I382*H382,2)</f>
        <v>29157.32</v>
      </c>
      <c r="K382" s="127" t="s">
        <v>293</v>
      </c>
      <c r="L382" s="268">
        <f>S382</f>
        <v>0</v>
      </c>
      <c r="M382" s="272">
        <f>ROUND(L382*I382,2)</f>
        <v>0</v>
      </c>
      <c r="N382" s="243">
        <f>N371</f>
        <v>-19.814156000000025</v>
      </c>
      <c r="O382" s="294">
        <f>ROUND(N382*I382,2)</f>
        <v>-3090.68</v>
      </c>
      <c r="P382" s="273">
        <f>H382-L382-N382</f>
        <v>206.74015600000001</v>
      </c>
      <c r="Q382" s="287">
        <f>ROUND(P382*I382,2)</f>
        <v>32248</v>
      </c>
      <c r="R382" s="137"/>
      <c r="S382" s="269">
        <f>W382+Y382+AA382+AC382</f>
        <v>0</v>
      </c>
      <c r="T382" s="269">
        <f>ROUND(S382*I382,2)</f>
        <v>0</v>
      </c>
      <c r="U382" s="269">
        <f>H382-S382</f>
        <v>186.92599999999999</v>
      </c>
      <c r="V382" s="269">
        <f>ROUND(U382*I382,2)</f>
        <v>29157.32</v>
      </c>
      <c r="W382" s="269"/>
      <c r="X382" s="269"/>
      <c r="Y382" s="269"/>
      <c r="Z382" s="269"/>
      <c r="AA382" s="269"/>
      <c r="AB382" s="269"/>
      <c r="AC382" s="269"/>
      <c r="AD382" s="269"/>
      <c r="BH382" s="132" t="s">
        <v>1</v>
      </c>
      <c r="BI382" s="133" t="s">
        <v>40</v>
      </c>
      <c r="BK382" s="134">
        <f>BJ382*H382</f>
        <v>0</v>
      </c>
      <c r="BL382" s="134">
        <v>0</v>
      </c>
      <c r="BM382" s="134">
        <f>BL382*H382</f>
        <v>0</v>
      </c>
      <c r="BN382" s="134">
        <v>0</v>
      </c>
      <c r="BO382" s="135">
        <f>BN382*H382</f>
        <v>0</v>
      </c>
      <c r="CM382" s="136" t="s">
        <v>95</v>
      </c>
      <c r="CO382" s="136" t="s">
        <v>284</v>
      </c>
      <c r="CP382" s="136" t="s">
        <v>83</v>
      </c>
      <c r="CT382" s="16" t="s">
        <v>282</v>
      </c>
      <c r="CZ382" s="137">
        <f>IF(BI382="základní",J382,0)</f>
        <v>29157.32</v>
      </c>
      <c r="DA382" s="137">
        <f>IF(BI382="snížená",J382,0)</f>
        <v>0</v>
      </c>
      <c r="DB382" s="137">
        <f>IF(BI382="zákl. přenesená",J382,0)</f>
        <v>0</v>
      </c>
      <c r="DC382" s="137">
        <f>IF(BI382="sníž. přenesená",J382,0)</f>
        <v>0</v>
      </c>
      <c r="DD382" s="137">
        <f>IF(BI382="nulová",J382,0)</f>
        <v>0</v>
      </c>
      <c r="DE382" s="16" t="s">
        <v>81</v>
      </c>
      <c r="DF382" s="137">
        <f>ROUND(I382*H382,2)</f>
        <v>29157.32</v>
      </c>
      <c r="DG382" s="16" t="s">
        <v>95</v>
      </c>
      <c r="DH382" s="136" t="s">
        <v>713</v>
      </c>
    </row>
    <row r="383" spans="2:112" s="1" customFormat="1" x14ac:dyDescent="0.2">
      <c r="B383" s="31"/>
      <c r="D383" s="138" t="s">
        <v>289</v>
      </c>
      <c r="F383" s="139" t="s">
        <v>714</v>
      </c>
      <c r="I383" s="140"/>
      <c r="L383" s="31"/>
      <c r="N383" s="213"/>
      <c r="O383" s="214"/>
      <c r="Q383" s="229"/>
      <c r="BH383" s="141"/>
      <c r="BO383" s="50"/>
      <c r="CO383" s="16" t="s">
        <v>289</v>
      </c>
      <c r="CP383" s="16" t="s">
        <v>83</v>
      </c>
    </row>
    <row r="384" spans="2:112" s="1" customFormat="1" ht="37.9" customHeight="1" x14ac:dyDescent="0.2">
      <c r="B384" s="124"/>
      <c r="C384" s="125" t="s">
        <v>604</v>
      </c>
      <c r="D384" s="125" t="s">
        <v>284</v>
      </c>
      <c r="E384" s="126" t="s">
        <v>716</v>
      </c>
      <c r="F384" s="127" t="s">
        <v>420</v>
      </c>
      <c r="G384" s="128" t="s">
        <v>418</v>
      </c>
      <c r="H384" s="129">
        <v>172.364</v>
      </c>
      <c r="I384" s="130">
        <v>110.6455721</v>
      </c>
      <c r="J384" s="131">
        <f>ROUND(I384*H384,2)</f>
        <v>19071.310000000001</v>
      </c>
      <c r="K384" s="127" t="s">
        <v>293</v>
      </c>
      <c r="L384" s="268">
        <f>S384</f>
        <v>0</v>
      </c>
      <c r="M384" s="272">
        <f>ROUND(L384*I384,2)</f>
        <v>0</v>
      </c>
      <c r="N384" s="243">
        <f>N386</f>
        <v>-18.270583999999985</v>
      </c>
      <c r="O384" s="294">
        <f>ROUND(N384*I384,2)</f>
        <v>-2021.56</v>
      </c>
      <c r="P384" s="273">
        <f>H384-L384-N384</f>
        <v>190.63458399999999</v>
      </c>
      <c r="Q384" s="287">
        <f>ROUND(P384*I384,2)</f>
        <v>21092.87</v>
      </c>
      <c r="R384" s="137"/>
      <c r="S384" s="269">
        <f>W384+Y384+AA384+AC384</f>
        <v>0</v>
      </c>
      <c r="T384" s="269">
        <f>ROUND(S384*I384,2)</f>
        <v>0</v>
      </c>
      <c r="U384" s="269">
        <f>H384-S384</f>
        <v>172.364</v>
      </c>
      <c r="V384" s="269">
        <f>ROUND(U384*I384,2)</f>
        <v>19071.310000000001</v>
      </c>
      <c r="W384" s="269"/>
      <c r="X384" s="269"/>
      <c r="Y384" s="269"/>
      <c r="Z384" s="269"/>
      <c r="AA384" s="269"/>
      <c r="AB384" s="269"/>
      <c r="AC384" s="269"/>
      <c r="AD384" s="269"/>
      <c r="BH384" s="132" t="s">
        <v>1</v>
      </c>
      <c r="BI384" s="133" t="s">
        <v>40</v>
      </c>
      <c r="BK384" s="134">
        <f>BJ384*H384</f>
        <v>0</v>
      </c>
      <c r="BL384" s="134">
        <v>0</v>
      </c>
      <c r="BM384" s="134">
        <f>BL384*H384</f>
        <v>0</v>
      </c>
      <c r="BN384" s="134">
        <v>0</v>
      </c>
      <c r="BO384" s="135">
        <f>BN384*H384</f>
        <v>0</v>
      </c>
      <c r="CM384" s="136" t="s">
        <v>95</v>
      </c>
      <c r="CO384" s="136" t="s">
        <v>284</v>
      </c>
      <c r="CP384" s="136" t="s">
        <v>83</v>
      </c>
      <c r="CT384" s="16" t="s">
        <v>282</v>
      </c>
      <c r="CZ384" s="137">
        <f>IF(BI384="základní",J384,0)</f>
        <v>19071.310000000001</v>
      </c>
      <c r="DA384" s="137">
        <f>IF(BI384="snížená",J384,0)</f>
        <v>0</v>
      </c>
      <c r="DB384" s="137">
        <f>IF(BI384="zákl. přenesená",J384,0)</f>
        <v>0</v>
      </c>
      <c r="DC384" s="137">
        <f>IF(BI384="sníž. přenesená",J384,0)</f>
        <v>0</v>
      </c>
      <c r="DD384" s="137">
        <f>IF(BI384="nulová",J384,0)</f>
        <v>0</v>
      </c>
      <c r="DE384" s="16" t="s">
        <v>81</v>
      </c>
      <c r="DF384" s="137">
        <f>ROUND(I384*H384,2)</f>
        <v>19071.310000000001</v>
      </c>
      <c r="DG384" s="16" t="s">
        <v>95</v>
      </c>
      <c r="DH384" s="136" t="s">
        <v>717</v>
      </c>
    </row>
    <row r="385" spans="2:112" s="1" customFormat="1" ht="29.25" x14ac:dyDescent="0.2">
      <c r="B385" s="31"/>
      <c r="D385" s="138" t="s">
        <v>289</v>
      </c>
      <c r="F385" s="139" t="s">
        <v>420</v>
      </c>
      <c r="I385" s="140"/>
      <c r="L385" s="31"/>
      <c r="N385" s="213">
        <f>0.894*172.364</f>
        <v>154.09341600000002</v>
      </c>
      <c r="O385" s="214" t="s">
        <v>3935</v>
      </c>
      <c r="Q385" s="229"/>
      <c r="BH385" s="141"/>
      <c r="BO385" s="50"/>
      <c r="CO385" s="16" t="s">
        <v>289</v>
      </c>
      <c r="CP385" s="16" t="s">
        <v>83</v>
      </c>
    </row>
    <row r="386" spans="2:112" s="12" customFormat="1" x14ac:dyDescent="0.2">
      <c r="B386" s="149"/>
      <c r="D386" s="138" t="s">
        <v>301</v>
      </c>
      <c r="E386" s="150" t="s">
        <v>1</v>
      </c>
      <c r="F386" s="151" t="s">
        <v>1702</v>
      </c>
      <c r="H386" s="152">
        <v>172.364</v>
      </c>
      <c r="I386" s="153"/>
      <c r="L386" s="149"/>
      <c r="N386" s="310">
        <f>N385-H386</f>
        <v>-18.270583999999985</v>
      </c>
      <c r="O386" s="218"/>
      <c r="Q386" s="231"/>
      <c r="BH386" s="154"/>
      <c r="BO386" s="155"/>
      <c r="CO386" s="150" t="s">
        <v>301</v>
      </c>
      <c r="CP386" s="150" t="s">
        <v>83</v>
      </c>
      <c r="CQ386" s="12" t="s">
        <v>83</v>
      </c>
      <c r="CR386" s="12" t="s">
        <v>32</v>
      </c>
      <c r="CS386" s="12" t="s">
        <v>81</v>
      </c>
      <c r="CT386" s="150" t="s">
        <v>282</v>
      </c>
    </row>
    <row r="387" spans="2:112" s="1" customFormat="1" ht="37.9" customHeight="1" x14ac:dyDescent="0.2">
      <c r="B387" s="124"/>
      <c r="C387" s="125" t="s">
        <v>609</v>
      </c>
      <c r="D387" s="125" t="s">
        <v>284</v>
      </c>
      <c r="E387" s="126" t="s">
        <v>719</v>
      </c>
      <c r="F387" s="127" t="s">
        <v>720</v>
      </c>
      <c r="G387" s="128" t="s">
        <v>418</v>
      </c>
      <c r="H387" s="129">
        <v>14.561999999999999</v>
      </c>
      <c r="I387" s="130">
        <v>250.3439285</v>
      </c>
      <c r="J387" s="131">
        <f>ROUND(I387*H387,2)</f>
        <v>3645.51</v>
      </c>
      <c r="K387" s="127" t="s">
        <v>293</v>
      </c>
      <c r="L387" s="268">
        <f>S387</f>
        <v>0</v>
      </c>
      <c r="M387" s="272">
        <f>ROUND(L387*I387,2)</f>
        <v>0</v>
      </c>
      <c r="N387" s="243">
        <f>N389</f>
        <v>-1.5435719999999993</v>
      </c>
      <c r="O387" s="294">
        <f>ROUND(N387*I387,2)</f>
        <v>-386.42</v>
      </c>
      <c r="P387" s="273">
        <f>H387-L387-N387</f>
        <v>16.105571999999999</v>
      </c>
      <c r="Q387" s="287">
        <f>ROUND(P387*I387,2)</f>
        <v>4031.93</v>
      </c>
      <c r="R387" s="137"/>
      <c r="S387" s="269">
        <f>W387+Y387+AA387+AC387</f>
        <v>0</v>
      </c>
      <c r="T387" s="269">
        <f>ROUND(S387*I387,2)</f>
        <v>0</v>
      </c>
      <c r="U387" s="269">
        <f>H387-S387</f>
        <v>14.561999999999999</v>
      </c>
      <c r="V387" s="269">
        <f>ROUND(U387*I387,2)</f>
        <v>3645.51</v>
      </c>
      <c r="W387" s="269"/>
      <c r="X387" s="269"/>
      <c r="Y387" s="269"/>
      <c r="Z387" s="269"/>
      <c r="AA387" s="269"/>
      <c r="AB387" s="269"/>
      <c r="AC387" s="269"/>
      <c r="AD387" s="269"/>
      <c r="BH387" s="132" t="s">
        <v>1</v>
      </c>
      <c r="BI387" s="133" t="s">
        <v>40</v>
      </c>
      <c r="BK387" s="134">
        <f>BJ387*H387</f>
        <v>0</v>
      </c>
      <c r="BL387" s="134">
        <v>0</v>
      </c>
      <c r="BM387" s="134">
        <f>BL387*H387</f>
        <v>0</v>
      </c>
      <c r="BN387" s="134">
        <v>0</v>
      </c>
      <c r="BO387" s="135">
        <f>BN387*H387</f>
        <v>0</v>
      </c>
      <c r="CM387" s="136" t="s">
        <v>95</v>
      </c>
      <c r="CO387" s="136" t="s">
        <v>284</v>
      </c>
      <c r="CP387" s="136" t="s">
        <v>83</v>
      </c>
      <c r="CT387" s="16" t="s">
        <v>282</v>
      </c>
      <c r="CZ387" s="137">
        <f>IF(BI387="základní",J387,0)</f>
        <v>3645.51</v>
      </c>
      <c r="DA387" s="137">
        <f>IF(BI387="snížená",J387,0)</f>
        <v>0</v>
      </c>
      <c r="DB387" s="137">
        <f>IF(BI387="zákl. přenesená",J387,0)</f>
        <v>0</v>
      </c>
      <c r="DC387" s="137">
        <f>IF(BI387="sníž. přenesená",J387,0)</f>
        <v>0</v>
      </c>
      <c r="DD387" s="137">
        <f>IF(BI387="nulová",J387,0)</f>
        <v>0</v>
      </c>
      <c r="DE387" s="16" t="s">
        <v>81</v>
      </c>
      <c r="DF387" s="137">
        <f>ROUND(I387*H387,2)</f>
        <v>3645.51</v>
      </c>
      <c r="DG387" s="16" t="s">
        <v>95</v>
      </c>
      <c r="DH387" s="136" t="s">
        <v>721</v>
      </c>
    </row>
    <row r="388" spans="2:112" s="1" customFormat="1" ht="29.25" x14ac:dyDescent="0.2">
      <c r="B388" s="31"/>
      <c r="D388" s="138" t="s">
        <v>289</v>
      </c>
      <c r="F388" s="139" t="s">
        <v>720</v>
      </c>
      <c r="I388" s="140"/>
      <c r="L388" s="31"/>
      <c r="N388" s="213">
        <f>0.894*14.562</f>
        <v>13.018428</v>
      </c>
      <c r="O388" s="214" t="s">
        <v>3936</v>
      </c>
      <c r="Q388" s="229"/>
      <c r="BH388" s="141"/>
      <c r="BO388" s="50"/>
      <c r="CO388" s="16" t="s">
        <v>289</v>
      </c>
      <c r="CP388" s="16" t="s">
        <v>83</v>
      </c>
    </row>
    <row r="389" spans="2:112" s="12" customFormat="1" x14ac:dyDescent="0.2">
      <c r="B389" s="149"/>
      <c r="D389" s="138" t="s">
        <v>301</v>
      </c>
      <c r="E389" s="150" t="s">
        <v>1</v>
      </c>
      <c r="F389" s="151" t="s">
        <v>1703</v>
      </c>
      <c r="H389" s="152">
        <v>14.561999999999999</v>
      </c>
      <c r="I389" s="153"/>
      <c r="L389" s="149"/>
      <c r="N389" s="310">
        <f>N388-H389</f>
        <v>-1.5435719999999993</v>
      </c>
      <c r="O389" s="218"/>
      <c r="Q389" s="231"/>
      <c r="BH389" s="154"/>
      <c r="BO389" s="155"/>
      <c r="CO389" s="150" t="s">
        <v>301</v>
      </c>
      <c r="CP389" s="150" t="s">
        <v>83</v>
      </c>
      <c r="CQ389" s="12" t="s">
        <v>83</v>
      </c>
      <c r="CR389" s="12" t="s">
        <v>32</v>
      </c>
      <c r="CS389" s="12" t="s">
        <v>81</v>
      </c>
      <c r="CT389" s="150" t="s">
        <v>282</v>
      </c>
    </row>
    <row r="390" spans="2:112" s="10" customFormat="1" ht="22.9" customHeight="1" x14ac:dyDescent="0.2">
      <c r="B390" s="112"/>
      <c r="D390" s="113" t="s">
        <v>73</v>
      </c>
      <c r="E390" s="122" t="s">
        <v>722</v>
      </c>
      <c r="F390" s="122" t="s">
        <v>723</v>
      </c>
      <c r="I390" s="115"/>
      <c r="J390" s="123">
        <f>DF390</f>
        <v>38511.11</v>
      </c>
      <c r="L390" s="112"/>
      <c r="M390" s="270">
        <f>SUM(M391)</f>
        <v>0</v>
      </c>
      <c r="N390" s="301"/>
      <c r="O390" s="302">
        <f t="shared" ref="O390:V390" si="9">SUM(O391)</f>
        <v>-4082.18</v>
      </c>
      <c r="P390" s="270"/>
      <c r="Q390" s="288">
        <f t="shared" si="9"/>
        <v>42593.279999999999</v>
      </c>
      <c r="R390" s="270"/>
      <c r="S390" s="270"/>
      <c r="T390" s="270">
        <f t="shared" si="9"/>
        <v>0</v>
      </c>
      <c r="U390" s="270"/>
      <c r="V390" s="270">
        <f t="shared" si="9"/>
        <v>38511.11</v>
      </c>
      <c r="BH390" s="117"/>
      <c r="BK390" s="118">
        <f>SUM(BK391:BK394)</f>
        <v>0</v>
      </c>
      <c r="BM390" s="118">
        <f>SUM(BM391:BM394)</f>
        <v>0</v>
      </c>
      <c r="BO390" s="119">
        <f>SUM(BO391:BO394)</f>
        <v>0</v>
      </c>
      <c r="CM390" s="113" t="s">
        <v>81</v>
      </c>
      <c r="CO390" s="120" t="s">
        <v>73</v>
      </c>
      <c r="CP390" s="120" t="s">
        <v>81</v>
      </c>
      <c r="CT390" s="113" t="s">
        <v>282</v>
      </c>
      <c r="DF390" s="121">
        <f>SUM(DF391:DF394)</f>
        <v>38511.11</v>
      </c>
    </row>
    <row r="391" spans="2:112" s="1" customFormat="1" ht="24.2" customHeight="1" x14ac:dyDescent="0.2">
      <c r="B391" s="124"/>
      <c r="C391" s="125" t="s">
        <v>614</v>
      </c>
      <c r="D391" s="125" t="s">
        <v>284</v>
      </c>
      <c r="E391" s="126" t="s">
        <v>725</v>
      </c>
      <c r="F391" s="127" t="s">
        <v>726</v>
      </c>
      <c r="G391" s="128" t="s">
        <v>418</v>
      </c>
      <c r="H391" s="129">
        <v>42.564</v>
      </c>
      <c r="I391" s="130">
        <v>904.78117744148574</v>
      </c>
      <c r="J391" s="131">
        <f>ROUND(I391*H391,2)</f>
        <v>38511.11</v>
      </c>
      <c r="K391" s="127" t="s">
        <v>293</v>
      </c>
      <c r="L391" s="268">
        <f>S391</f>
        <v>0</v>
      </c>
      <c r="M391" s="272">
        <f>ROUND(L391*I391,2)</f>
        <v>0</v>
      </c>
      <c r="N391" s="243">
        <f>N393</f>
        <v>-4.5117839999999987</v>
      </c>
      <c r="O391" s="294">
        <f>ROUND(N391*I391,2)</f>
        <v>-4082.18</v>
      </c>
      <c r="P391" s="273">
        <f>H391-L391-N391</f>
        <v>47.075783999999999</v>
      </c>
      <c r="Q391" s="287">
        <f>ROUND(P391*I391,2)</f>
        <v>42593.279999999999</v>
      </c>
      <c r="R391" s="137"/>
      <c r="S391" s="269">
        <f>W391+Y391+AA391+AC391</f>
        <v>0</v>
      </c>
      <c r="T391" s="269">
        <f>ROUND(S391*I391,2)</f>
        <v>0</v>
      </c>
      <c r="U391" s="269">
        <f>H391-S391</f>
        <v>42.564</v>
      </c>
      <c r="V391" s="269">
        <f>ROUND(U391*I391,2)</f>
        <v>38511.11</v>
      </c>
      <c r="W391" s="269"/>
      <c r="X391" s="269"/>
      <c r="Y391" s="269"/>
      <c r="Z391" s="269"/>
      <c r="AA391" s="269"/>
      <c r="AB391" s="269"/>
      <c r="AC391" s="269"/>
      <c r="AD391" s="269"/>
      <c r="BH391" s="132" t="s">
        <v>1</v>
      </c>
      <c r="BI391" s="133" t="s">
        <v>40</v>
      </c>
      <c r="BK391" s="134">
        <f>BJ391*H391</f>
        <v>0</v>
      </c>
      <c r="BL391" s="134">
        <v>0</v>
      </c>
      <c r="BM391" s="134">
        <f>BL391*H391</f>
        <v>0</v>
      </c>
      <c r="BN391" s="134">
        <v>0</v>
      </c>
      <c r="BO391" s="135">
        <f>BN391*H391</f>
        <v>0</v>
      </c>
      <c r="CM391" s="136" t="s">
        <v>95</v>
      </c>
      <c r="CO391" s="136" t="s">
        <v>284</v>
      </c>
      <c r="CP391" s="136" t="s">
        <v>83</v>
      </c>
      <c r="CT391" s="16" t="s">
        <v>282</v>
      </c>
      <c r="CZ391" s="137">
        <f>IF(BI391="základní",J391,0)</f>
        <v>38511.11</v>
      </c>
      <c r="DA391" s="137">
        <f>IF(BI391="snížená",J391,0)</f>
        <v>0</v>
      </c>
      <c r="DB391" s="137">
        <f>IF(BI391="zákl. přenesená",J391,0)</f>
        <v>0</v>
      </c>
      <c r="DC391" s="137">
        <f>IF(BI391="sníž. přenesená",J391,0)</f>
        <v>0</v>
      </c>
      <c r="DD391" s="137">
        <f>IF(BI391="nulová",J391,0)</f>
        <v>0</v>
      </c>
      <c r="DE391" s="16" t="s">
        <v>81</v>
      </c>
      <c r="DF391" s="137">
        <f>ROUND(I391*H391,2)</f>
        <v>38511.11</v>
      </c>
      <c r="DG391" s="16" t="s">
        <v>95</v>
      </c>
      <c r="DH391" s="136" t="s">
        <v>1044</v>
      </c>
    </row>
    <row r="392" spans="2:112" s="1" customFormat="1" ht="29.25" x14ac:dyDescent="0.2">
      <c r="B392" s="31"/>
      <c r="D392" s="138" t="s">
        <v>289</v>
      </c>
      <c r="F392" s="139" t="s">
        <v>728</v>
      </c>
      <c r="I392" s="140"/>
      <c r="L392" s="31"/>
      <c r="N392" s="213">
        <f>0.894*42.564</f>
        <v>38.052216000000001</v>
      </c>
      <c r="O392" s="214" t="s">
        <v>3937</v>
      </c>
      <c r="Q392" s="229"/>
      <c r="BH392" s="141"/>
      <c r="BO392" s="50"/>
      <c r="CO392" s="16" t="s">
        <v>289</v>
      </c>
      <c r="CP392" s="16" t="s">
        <v>83</v>
      </c>
    </row>
    <row r="393" spans="2:112" s="11" customFormat="1" x14ac:dyDescent="0.2">
      <c r="B393" s="143"/>
      <c r="D393" s="138" t="s">
        <v>301</v>
      </c>
      <c r="E393" s="144" t="s">
        <v>1</v>
      </c>
      <c r="F393" s="145" t="s">
        <v>729</v>
      </c>
      <c r="H393" s="144" t="s">
        <v>1</v>
      </c>
      <c r="I393" s="146"/>
      <c r="L393" s="143"/>
      <c r="N393" s="319">
        <f>N392-H394</f>
        <v>-4.5117839999999987</v>
      </c>
      <c r="O393" s="216"/>
      <c r="Q393" s="230"/>
      <c r="BH393" s="147"/>
      <c r="BO393" s="148"/>
      <c r="CO393" s="144" t="s">
        <v>301</v>
      </c>
      <c r="CP393" s="144" t="s">
        <v>83</v>
      </c>
      <c r="CQ393" s="11" t="s">
        <v>81</v>
      </c>
      <c r="CR393" s="11" t="s">
        <v>32</v>
      </c>
      <c r="CS393" s="11" t="s">
        <v>74</v>
      </c>
      <c r="CT393" s="144" t="s">
        <v>282</v>
      </c>
    </row>
    <row r="394" spans="2:112" s="12" customFormat="1" x14ac:dyDescent="0.2">
      <c r="B394" s="149"/>
      <c r="D394" s="138" t="s">
        <v>301</v>
      </c>
      <c r="E394" s="150" t="s">
        <v>1</v>
      </c>
      <c r="F394" s="151" t="s">
        <v>1705</v>
      </c>
      <c r="H394" s="152">
        <v>42.564</v>
      </c>
      <c r="I394" s="153"/>
      <c r="L394" s="149"/>
      <c r="N394" s="217"/>
      <c r="O394" s="218"/>
      <c r="Q394" s="231"/>
      <c r="BH394" s="179"/>
      <c r="BI394" s="180"/>
      <c r="BJ394" s="180"/>
      <c r="BK394" s="180"/>
      <c r="BL394" s="180"/>
      <c r="BM394" s="180"/>
      <c r="BN394" s="180"/>
      <c r="BO394" s="181"/>
      <c r="CO394" s="150" t="s">
        <v>301</v>
      </c>
      <c r="CP394" s="150" t="s">
        <v>83</v>
      </c>
      <c r="CQ394" s="12" t="s">
        <v>83</v>
      </c>
      <c r="CR394" s="12" t="s">
        <v>32</v>
      </c>
      <c r="CS394" s="12" t="s">
        <v>81</v>
      </c>
      <c r="CT394" s="150" t="s">
        <v>282</v>
      </c>
    </row>
    <row r="395" spans="2:112" s="1" customFormat="1" ht="6.95" customHeight="1" thickBot="1" x14ac:dyDescent="0.25">
      <c r="B395" s="43"/>
      <c r="C395" s="44"/>
      <c r="D395" s="44"/>
      <c r="E395" s="44"/>
      <c r="F395" s="44"/>
      <c r="G395" s="44"/>
      <c r="H395" s="44"/>
      <c r="I395" s="44"/>
      <c r="J395" s="44"/>
      <c r="K395" s="44"/>
      <c r="L395" s="235"/>
      <c r="M395" s="237"/>
      <c r="N395" s="239"/>
      <c r="O395" s="240"/>
      <c r="P395" s="238"/>
      <c r="Q395" s="241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</row>
  </sheetData>
  <autoFilter ref="C122:K394"/>
  <mergeCells count="23">
    <mergeCell ref="U123:V123"/>
    <mergeCell ref="W123:X123"/>
    <mergeCell ref="Y123:Z123"/>
    <mergeCell ref="AA123:AB123"/>
    <mergeCell ref="AC123:AD123"/>
    <mergeCell ref="L122:Q122"/>
    <mergeCell ref="L123:M123"/>
    <mergeCell ref="N123:O123"/>
    <mergeCell ref="P123:Q123"/>
    <mergeCell ref="S123:T123"/>
    <mergeCell ref="G121:K121"/>
    <mergeCell ref="E118:H118"/>
    <mergeCell ref="L2:BQ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H354"/>
  <sheetViews>
    <sheetView windowProtection="1" showGridLines="0" topLeftCell="A325" zoomScale="80" zoomScaleNormal="80" workbookViewId="0">
      <selection activeCell="P325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6640625" customWidth="1"/>
    <col min="13" max="13" width="14.1640625" customWidth="1"/>
    <col min="14" max="14" width="12.6640625" customWidth="1"/>
    <col min="15" max="15" width="16.6640625" customWidth="1"/>
    <col min="16" max="16" width="12.6640625" hidden="1" customWidth="1"/>
    <col min="17" max="17" width="19.5" hidden="1" customWidth="1"/>
    <col min="18" max="59" width="12.6640625" customWidth="1"/>
    <col min="60" max="60" width="10.83203125" customWidth="1"/>
    <col min="62" max="67" width="14.1640625" customWidth="1"/>
    <col min="68" max="68" width="16.33203125" customWidth="1"/>
    <col min="69" max="69" width="12.33203125" customWidth="1"/>
    <col min="70" max="70" width="16.33203125" customWidth="1"/>
    <col min="71" max="71" width="12.33203125" customWidth="1"/>
    <col min="72" max="72" width="15" customWidth="1"/>
    <col min="73" max="73" width="11" customWidth="1"/>
    <col min="74" max="74" width="15" customWidth="1"/>
    <col min="75" max="75" width="16.33203125" customWidth="1"/>
    <col min="76" max="76" width="11" customWidth="1"/>
    <col min="77" max="77" width="15" customWidth="1"/>
    <col min="78" max="78" width="16.33203125" customWidth="1"/>
    <col min="91" max="112" width="9.33203125" hidden="1"/>
  </cols>
  <sheetData>
    <row r="1" spans="2:93" hidden="1" x14ac:dyDescent="0.2"/>
    <row r="2" spans="2:93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CO2" s="16" t="s">
        <v>147</v>
      </c>
    </row>
    <row r="3" spans="2:93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O3" s="16" t="s">
        <v>83</v>
      </c>
    </row>
    <row r="4" spans="2:93" ht="24.95" hidden="1" customHeight="1" x14ac:dyDescent="0.2">
      <c r="B4" s="19"/>
      <c r="D4" s="20" t="s">
        <v>243</v>
      </c>
      <c r="L4" s="19"/>
      <c r="BH4" s="79" t="s">
        <v>10</v>
      </c>
      <c r="CO4" s="16" t="s">
        <v>3</v>
      </c>
    </row>
    <row r="5" spans="2:93" ht="6.95" hidden="1" customHeight="1" x14ac:dyDescent="0.2">
      <c r="B5" s="19"/>
      <c r="L5" s="19"/>
    </row>
    <row r="6" spans="2:93" ht="12" hidden="1" customHeight="1" x14ac:dyDescent="0.2">
      <c r="B6" s="19"/>
      <c r="D6" s="26" t="s">
        <v>16</v>
      </c>
      <c r="L6" s="19"/>
    </row>
    <row r="7" spans="2:93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93" ht="12.75" hidden="1" x14ac:dyDescent="0.2">
      <c r="B8" s="19"/>
      <c r="D8" s="26" t="s">
        <v>244</v>
      </c>
      <c r="L8" s="19"/>
    </row>
    <row r="9" spans="2:93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93" ht="12" hidden="1" customHeight="1" x14ac:dyDescent="0.2">
      <c r="B10" s="19"/>
      <c r="D10" s="26" t="s">
        <v>246</v>
      </c>
      <c r="L10" s="19"/>
    </row>
    <row r="11" spans="2:93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93" s="1" customFormat="1" ht="12" hidden="1" customHeight="1" x14ac:dyDescent="0.2">
      <c r="B12" s="31"/>
      <c r="D12" s="26" t="s">
        <v>248</v>
      </c>
      <c r="L12" s="31"/>
    </row>
    <row r="13" spans="2:93" s="1" customFormat="1" ht="16.5" hidden="1" customHeight="1" x14ac:dyDescent="0.2">
      <c r="B13" s="31"/>
      <c r="E13" s="432" t="s">
        <v>1706</v>
      </c>
      <c r="F13" s="433"/>
      <c r="G13" s="433"/>
      <c r="H13" s="433"/>
      <c r="L13" s="31"/>
    </row>
    <row r="14" spans="2:93" s="1" customFormat="1" hidden="1" x14ac:dyDescent="0.2">
      <c r="B14" s="31"/>
      <c r="L14" s="31"/>
    </row>
    <row r="15" spans="2:93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93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ROUND(J122, 2)</f>
        <v>249156.28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ROUND((SUM(CZ122:CZ353)),  2)</f>
        <v>249156.28</v>
      </c>
      <c r="I37" s="84">
        <v>0.21</v>
      </c>
      <c r="J37" s="71">
        <f>ROUND(((SUM(CZ122:CZ353))*I37),  2)</f>
        <v>52322.82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ROUND((SUM(DA122:DA353)),  2)</f>
        <v>0</v>
      </c>
      <c r="I38" s="84">
        <v>0.15</v>
      </c>
      <c r="J38" s="71">
        <f>ROUND(((SUM(DA122:DA353))*I38),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ROUND((SUM(DB122:DB353)),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ROUND((SUM(DC122:DC353)),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ROUND((SUM(DD122:DD353)),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301479.09999999998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00002 - DSO 01.3.1b Kanalizační odbočení Stoky DA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94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94" s="1" customFormat="1" ht="10.35" hidden="1" customHeight="1" x14ac:dyDescent="0.2">
      <c r="B98" s="31"/>
      <c r="L98" s="31"/>
    </row>
    <row r="99" spans="2:94" s="1" customFormat="1" ht="22.9" hidden="1" customHeight="1" x14ac:dyDescent="0.2">
      <c r="B99" s="31"/>
      <c r="C99" s="95" t="s">
        <v>256</v>
      </c>
      <c r="J99" s="58">
        <f>J122</f>
        <v>249156.28</v>
      </c>
      <c r="L99" s="31"/>
      <c r="CP99" s="16" t="s">
        <v>257</v>
      </c>
    </row>
    <row r="100" spans="2:94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J123</f>
        <v>249156.28</v>
      </c>
      <c r="L100" s="96"/>
    </row>
    <row r="101" spans="2:94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J125</f>
        <v>131769.98000000001</v>
      </c>
      <c r="L101" s="100"/>
    </row>
    <row r="102" spans="2:94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J254</f>
        <v>6707.34</v>
      </c>
      <c r="L102" s="100"/>
    </row>
    <row r="103" spans="2:94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J259</f>
        <v>5096.0600000000004</v>
      </c>
      <c r="L103" s="100"/>
    </row>
    <row r="104" spans="2:94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J275</f>
        <v>16795.739999999998</v>
      </c>
      <c r="L104" s="100"/>
    </row>
    <row r="105" spans="2:94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J287</f>
        <v>72938.040000000008</v>
      </c>
      <c r="L105" s="100"/>
    </row>
    <row r="106" spans="2:94" s="8" customFormat="1" ht="19.899999999999999" hidden="1" customHeight="1" x14ac:dyDescent="0.2">
      <c r="B106" s="100"/>
      <c r="D106" s="101" t="s">
        <v>265</v>
      </c>
      <c r="E106" s="102"/>
      <c r="F106" s="102"/>
      <c r="G106" s="102"/>
      <c r="H106" s="102"/>
      <c r="I106" s="102"/>
      <c r="J106" s="103">
        <f>J329</f>
        <v>10400.530000000001</v>
      </c>
      <c r="L106" s="100"/>
    </row>
    <row r="107" spans="2:94" s="8" customFormat="1" ht="19.899999999999999" hidden="1" customHeight="1" x14ac:dyDescent="0.2">
      <c r="B107" s="100"/>
      <c r="D107" s="101" t="s">
        <v>266</v>
      </c>
      <c r="E107" s="102"/>
      <c r="F107" s="102"/>
      <c r="G107" s="102"/>
      <c r="H107" s="102"/>
      <c r="I107" s="102"/>
      <c r="J107" s="103">
        <f>J349</f>
        <v>5448.59</v>
      </c>
      <c r="L107" s="100"/>
    </row>
    <row r="108" spans="2:94" s="1" customFormat="1" ht="21.75" hidden="1" customHeight="1" x14ac:dyDescent="0.2">
      <c r="B108" s="31"/>
      <c r="L108" s="31"/>
    </row>
    <row r="109" spans="2:94" s="1" customFormat="1" ht="6.95" hidden="1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0" spans="2:94" hidden="1" x14ac:dyDescent="0.2"/>
    <row r="111" spans="2:94" hidden="1" x14ac:dyDescent="0.2"/>
    <row r="113" spans="2:112" s="1" customFormat="1" ht="6.9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112" s="1" customFormat="1" ht="24.95" customHeight="1" x14ac:dyDescent="0.2">
      <c r="B114" s="31"/>
      <c r="C114" s="20" t="s">
        <v>267</v>
      </c>
      <c r="L114" s="31"/>
    </row>
    <row r="115" spans="2:112" s="1" customFormat="1" ht="6.95" customHeight="1" x14ac:dyDescent="0.2">
      <c r="B115" s="31"/>
      <c r="L115" s="31"/>
    </row>
    <row r="116" spans="2:112" s="1" customFormat="1" ht="12" customHeight="1" x14ac:dyDescent="0.2">
      <c r="B116" s="31"/>
      <c r="C116" s="26"/>
      <c r="L116" s="31"/>
    </row>
    <row r="117" spans="2:112" s="1" customFormat="1" ht="16.5" customHeight="1" x14ac:dyDescent="0.2">
      <c r="B117" s="31"/>
      <c r="E117" s="432" t="str">
        <f>E13</f>
        <v>00002 - DSO 01.3.1b Kanalizační odbočení Stoky DA</v>
      </c>
      <c r="F117" s="433"/>
      <c r="G117" s="433"/>
      <c r="H117" s="433"/>
      <c r="L117" s="31"/>
    </row>
    <row r="118" spans="2:112" s="1" customFormat="1" ht="6.95" customHeight="1" x14ac:dyDescent="0.2">
      <c r="B118" s="31"/>
      <c r="L118" s="31"/>
    </row>
    <row r="119" spans="2:112" s="1" customFormat="1" ht="15.2" customHeight="1" x14ac:dyDescent="0.2">
      <c r="B119" s="31"/>
      <c r="C119" s="26"/>
      <c r="F119" s="24"/>
      <c r="I119" s="26"/>
      <c r="J119" s="29"/>
      <c r="L119" s="31"/>
    </row>
    <row r="120" spans="2:112" s="1" customFormat="1" ht="24.75" customHeight="1" x14ac:dyDescent="0.2">
      <c r="B120" s="31"/>
      <c r="G120" s="446" t="s">
        <v>3305</v>
      </c>
      <c r="H120" s="446"/>
      <c r="I120" s="446"/>
      <c r="J120" s="446"/>
      <c r="K120" s="447"/>
      <c r="L120" s="31"/>
    </row>
    <row r="121" spans="2:112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BH121" s="52" t="s">
        <v>1</v>
      </c>
      <c r="BI121" s="53" t="s">
        <v>39</v>
      </c>
      <c r="BJ121" s="53" t="s">
        <v>273</v>
      </c>
      <c r="BK121" s="53" t="s">
        <v>274</v>
      </c>
      <c r="BL121" s="53" t="s">
        <v>275</v>
      </c>
      <c r="BM121" s="53" t="s">
        <v>276</v>
      </c>
      <c r="BN121" s="53" t="s">
        <v>277</v>
      </c>
      <c r="BO121" s="54" t="s">
        <v>278</v>
      </c>
    </row>
    <row r="122" spans="2:112" s="1" customFormat="1" ht="22.9" customHeight="1" x14ac:dyDescent="0.25">
      <c r="B122" s="31"/>
      <c r="C122" s="57" t="s">
        <v>279</v>
      </c>
      <c r="G122" s="1" t="s">
        <v>3306</v>
      </c>
      <c r="J122" s="108">
        <f>DF122</f>
        <v>249156.28</v>
      </c>
      <c r="L122" s="440" t="s">
        <v>3308</v>
      </c>
      <c r="M122" s="441"/>
      <c r="N122" s="440" t="s">
        <v>3348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3324</v>
      </c>
      <c r="X122" s="444"/>
      <c r="Y122" s="444" t="s">
        <v>3325</v>
      </c>
      <c r="Z122" s="444"/>
      <c r="AA122" s="444" t="s">
        <v>3326</v>
      </c>
      <c r="AB122" s="444"/>
      <c r="AC122" s="444" t="s">
        <v>3327</v>
      </c>
      <c r="AD122" s="445"/>
      <c r="BH122" s="55"/>
      <c r="BI122" s="49"/>
      <c r="BJ122" s="49"/>
      <c r="BK122" s="109">
        <f>BK123</f>
        <v>0</v>
      </c>
      <c r="BL122" s="49"/>
      <c r="BM122" s="109">
        <f>BM123</f>
        <v>100.85085240000001</v>
      </c>
      <c r="BN122" s="49"/>
      <c r="BO122" s="110">
        <f>BO123</f>
        <v>28.757879999999997</v>
      </c>
      <c r="CO122" s="16" t="s">
        <v>73</v>
      </c>
      <c r="CP122" s="16" t="s">
        <v>257</v>
      </c>
      <c r="DF122" s="111">
        <f>DF123</f>
        <v>249156.28</v>
      </c>
    </row>
    <row r="123" spans="2:112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DF123</f>
        <v>249156.28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5" t="s">
        <v>3328</v>
      </c>
      <c r="BH123" s="117"/>
      <c r="BK123" s="118">
        <f>BK125+BK254+BK259+BK275+BK287+BK329+BK349</f>
        <v>0</v>
      </c>
      <c r="BM123" s="118">
        <f>BM125+BM254+BM259+BM275+BM287+BM329+BM349</f>
        <v>100.85085240000001</v>
      </c>
      <c r="BO123" s="119">
        <f>BO125+BO254+BO259+BO275+BO287+BO329+BO349</f>
        <v>28.757879999999997</v>
      </c>
      <c r="CM123" s="113" t="s">
        <v>81</v>
      </c>
      <c r="CO123" s="120" t="s">
        <v>73</v>
      </c>
      <c r="CP123" s="120" t="s">
        <v>74</v>
      </c>
      <c r="CT123" s="113" t="s">
        <v>282</v>
      </c>
      <c r="DF123" s="121">
        <f>DF125+DF254+DF259+DF275+DF287+DF329+DF349</f>
        <v>249156.28</v>
      </c>
    </row>
    <row r="124" spans="2:112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M125+M254+M259+M275+M287+M329+M349</f>
        <v>0</v>
      </c>
      <c r="N124" s="208"/>
      <c r="O124" s="208">
        <f t="shared" ref="O124:Q124" si="0">O125+O254+O259+O275+O287+O329+O349</f>
        <v>-74890.438000000024</v>
      </c>
      <c r="P124" s="192"/>
      <c r="Q124" s="192">
        <f t="shared" si="0"/>
        <v>324075.02</v>
      </c>
      <c r="S124" s="196"/>
      <c r="T124" s="197">
        <f>T125+T254+T259+T275+T287+T329+T349</f>
        <v>0</v>
      </c>
      <c r="U124" s="197"/>
      <c r="V124" s="197">
        <f t="shared" ref="V124:AD124" si="1">V125+V254+V259+V275+V287+V329+V349</f>
        <v>249156.28</v>
      </c>
      <c r="W124" s="197"/>
      <c r="X124" s="197">
        <f t="shared" si="1"/>
        <v>0</v>
      </c>
      <c r="Y124" s="197"/>
      <c r="Z124" s="197">
        <f t="shared" si="1"/>
        <v>0</v>
      </c>
      <c r="AA124" s="197"/>
      <c r="AB124" s="197">
        <f t="shared" si="1"/>
        <v>0</v>
      </c>
      <c r="AC124" s="197"/>
      <c r="AD124" s="197">
        <f t="shared" si="1"/>
        <v>0</v>
      </c>
      <c r="BH124" s="117"/>
      <c r="BK124" s="118"/>
      <c r="BM124" s="118"/>
      <c r="BO124" s="119"/>
      <c r="CM124" s="113"/>
      <c r="CO124" s="120"/>
      <c r="CP124" s="120"/>
      <c r="CT124" s="113"/>
      <c r="DF124" s="121"/>
    </row>
    <row r="125" spans="2:112" s="10" customFormat="1" ht="22.9" customHeight="1" x14ac:dyDescent="0.2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DF125</f>
        <v>131769.98000000001</v>
      </c>
      <c r="L125" s="112"/>
      <c r="M125" s="270">
        <f>SUM(M126:M251)</f>
        <v>0</v>
      </c>
      <c r="N125" s="299"/>
      <c r="O125" s="300">
        <f t="shared" ref="O125:V125" si="2">SUM(O126:O251)</f>
        <v>-52297.398000000001</v>
      </c>
      <c r="P125" s="270"/>
      <c r="Q125" s="286">
        <f t="shared" si="2"/>
        <v>184095.69000000003</v>
      </c>
      <c r="R125" s="270"/>
      <c r="S125" s="270"/>
      <c r="T125" s="270">
        <f t="shared" si="2"/>
        <v>0</v>
      </c>
      <c r="U125" s="270"/>
      <c r="V125" s="270">
        <f t="shared" si="2"/>
        <v>131769.98000000001</v>
      </c>
      <c r="BH125" s="117"/>
      <c r="BK125" s="118">
        <f>SUM(BK126:BK253)</f>
        <v>0</v>
      </c>
      <c r="BM125" s="118">
        <f>SUM(BM126:BM253)</f>
        <v>94.881938399999996</v>
      </c>
      <c r="BO125" s="119">
        <f>SUM(BO126:BO253)</f>
        <v>28.757879999999997</v>
      </c>
      <c r="CM125" s="113" t="s">
        <v>81</v>
      </c>
      <c r="CO125" s="120" t="s">
        <v>73</v>
      </c>
      <c r="CP125" s="120" t="s">
        <v>81</v>
      </c>
      <c r="CT125" s="113" t="s">
        <v>282</v>
      </c>
      <c r="DF125" s="121">
        <f>SUM(DF126:DF253)</f>
        <v>131769.98000000001</v>
      </c>
    </row>
    <row r="126" spans="2:112" s="1" customFormat="1" ht="24.2" customHeight="1" x14ac:dyDescent="0.2">
      <c r="B126" s="124"/>
      <c r="C126" s="125" t="s">
        <v>81</v>
      </c>
      <c r="D126" s="125" t="s">
        <v>284</v>
      </c>
      <c r="E126" s="126" t="s">
        <v>285</v>
      </c>
      <c r="F126" s="127" t="s">
        <v>286</v>
      </c>
      <c r="G126" s="128" t="s">
        <v>287</v>
      </c>
      <c r="H126" s="129">
        <v>22.86</v>
      </c>
      <c r="I126" s="130">
        <v>68.767172335543137</v>
      </c>
      <c r="J126" s="131">
        <f>ROUND(I126*H126,2)</f>
        <v>1572.02</v>
      </c>
      <c r="K126" s="127" t="s">
        <v>1</v>
      </c>
      <c r="L126" s="268">
        <f>S126</f>
        <v>0</v>
      </c>
      <c r="M126" s="272">
        <f>ROUND(L126*I126,2)</f>
        <v>0</v>
      </c>
      <c r="N126" s="243">
        <f>N128</f>
        <v>-8.8109999999999999</v>
      </c>
      <c r="O126" s="294">
        <f>ROUND(N126*I126,2)</f>
        <v>-605.91</v>
      </c>
      <c r="P126" s="273">
        <f>H126-L126-N126</f>
        <v>31.670999999999999</v>
      </c>
      <c r="Q126" s="287">
        <f>ROUND(P126*I126,2)</f>
        <v>2177.9299999999998</v>
      </c>
      <c r="R126" s="137"/>
      <c r="S126" s="269">
        <f>W126+Y126+AA126+AC126</f>
        <v>0</v>
      </c>
      <c r="T126" s="269">
        <f>ROUND(S126*I126,2)</f>
        <v>0</v>
      </c>
      <c r="U126" s="269">
        <f>H126-S126</f>
        <v>22.86</v>
      </c>
      <c r="V126" s="269">
        <f>ROUND(U126*I126,2)</f>
        <v>1572.02</v>
      </c>
      <c r="W126" s="269"/>
      <c r="X126" s="269"/>
      <c r="Y126" s="269"/>
      <c r="Z126" s="269"/>
      <c r="AA126" s="269"/>
      <c r="AB126" s="269"/>
      <c r="AC126" s="269"/>
      <c r="AD126" s="269"/>
      <c r="BH126" s="132" t="s">
        <v>1</v>
      </c>
      <c r="BI126" s="133" t="s">
        <v>40</v>
      </c>
      <c r="BK126" s="134">
        <f>BJ126*H126</f>
        <v>0</v>
      </c>
      <c r="BL126" s="134">
        <v>0</v>
      </c>
      <c r="BM126" s="134">
        <f>BL126*H126</f>
        <v>0</v>
      </c>
      <c r="BN126" s="134">
        <v>0.57999999999999996</v>
      </c>
      <c r="BO126" s="135">
        <f>BN126*H126</f>
        <v>13.258799999999999</v>
      </c>
      <c r="CM126" s="136" t="s">
        <v>95</v>
      </c>
      <c r="CO126" s="136" t="s">
        <v>284</v>
      </c>
      <c r="CP126" s="136" t="s">
        <v>83</v>
      </c>
      <c r="CT126" s="16" t="s">
        <v>282</v>
      </c>
      <c r="CZ126" s="137">
        <f>IF(BI126="základní",J126,0)</f>
        <v>1572.02</v>
      </c>
      <c r="DA126" s="137">
        <f>IF(BI126="snížená",J126,0)</f>
        <v>0</v>
      </c>
      <c r="DB126" s="137">
        <f>IF(BI126="zákl. přenesená",J126,0)</f>
        <v>0</v>
      </c>
      <c r="DC126" s="137">
        <f>IF(BI126="sníž. přenesená",J126,0)</f>
        <v>0</v>
      </c>
      <c r="DD126" s="137">
        <f>IF(BI126="nulová",J126,0)</f>
        <v>0</v>
      </c>
      <c r="DE126" s="16" t="s">
        <v>81</v>
      </c>
      <c r="DF126" s="137">
        <f>ROUND(I126*H126,2)</f>
        <v>1572.02</v>
      </c>
      <c r="DG126" s="16" t="s">
        <v>95</v>
      </c>
      <c r="DH126" s="136" t="s">
        <v>288</v>
      </c>
    </row>
    <row r="127" spans="2:112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BH127" s="141"/>
      <c r="BO127" s="50"/>
      <c r="CO127" s="16" t="s">
        <v>289</v>
      </c>
      <c r="CP127" s="16" t="s">
        <v>83</v>
      </c>
    </row>
    <row r="128" spans="2:112" s="1" customFormat="1" ht="24.2" customHeight="1" x14ac:dyDescent="0.2">
      <c r="B128" s="124"/>
      <c r="C128" s="125" t="s">
        <v>83</v>
      </c>
      <c r="D128" s="125" t="s">
        <v>284</v>
      </c>
      <c r="E128" s="126" t="s">
        <v>291</v>
      </c>
      <c r="F128" s="127" t="s">
        <v>292</v>
      </c>
      <c r="G128" s="128" t="s">
        <v>287</v>
      </c>
      <c r="H128" s="129">
        <v>22.86</v>
      </c>
      <c r="I128" s="130">
        <v>68.767172335543137</v>
      </c>
      <c r="J128" s="131">
        <f>ROUND(I128*H128,2)</f>
        <v>1572.02</v>
      </c>
      <c r="K128" s="127" t="s">
        <v>293</v>
      </c>
      <c r="L128" s="268">
        <f>S128</f>
        <v>0</v>
      </c>
      <c r="M128" s="272">
        <f>ROUND(L128*I128,2)</f>
        <v>0</v>
      </c>
      <c r="N128" s="243">
        <f>N130</f>
        <v>-8.8109999999999999</v>
      </c>
      <c r="O128" s="294">
        <f>ROUND(N128*I128,2)</f>
        <v>-605.91</v>
      </c>
      <c r="P128" s="273">
        <f>H128-L128-N128</f>
        <v>31.670999999999999</v>
      </c>
      <c r="Q128" s="287">
        <f>ROUND(P128*I128,2)</f>
        <v>2177.9299999999998</v>
      </c>
      <c r="R128" s="137"/>
      <c r="S128" s="269">
        <f>W128+Y128+AA128+AC128</f>
        <v>0</v>
      </c>
      <c r="T128" s="269">
        <f>ROUND(S128*I128,2)</f>
        <v>0</v>
      </c>
      <c r="U128" s="269">
        <f>H128-S128</f>
        <v>22.86</v>
      </c>
      <c r="V128" s="269">
        <f>ROUND(U128*I128,2)</f>
        <v>1572.02</v>
      </c>
      <c r="W128" s="269"/>
      <c r="X128" s="269"/>
      <c r="Y128" s="269"/>
      <c r="Z128" s="269"/>
      <c r="AA128" s="269"/>
      <c r="AB128" s="269"/>
      <c r="AC128" s="269"/>
      <c r="AD128" s="269"/>
      <c r="BH128" s="132" t="s">
        <v>1</v>
      </c>
      <c r="BI128" s="133" t="s">
        <v>40</v>
      </c>
      <c r="BK128" s="134">
        <f>BJ128*H128</f>
        <v>0</v>
      </c>
      <c r="BL128" s="134">
        <v>0</v>
      </c>
      <c r="BM128" s="134">
        <f>BL128*H128</f>
        <v>0</v>
      </c>
      <c r="BN128" s="134">
        <v>0.57999999999999996</v>
      </c>
      <c r="BO128" s="135">
        <f>BN128*H128</f>
        <v>13.258799999999999</v>
      </c>
      <c r="CM128" s="136" t="s">
        <v>95</v>
      </c>
      <c r="CO128" s="136" t="s">
        <v>284</v>
      </c>
      <c r="CP128" s="136" t="s">
        <v>83</v>
      </c>
      <c r="CT128" s="16" t="s">
        <v>282</v>
      </c>
      <c r="CZ128" s="137">
        <f>IF(BI128="základní",J128,0)</f>
        <v>1572.02</v>
      </c>
      <c r="DA128" s="137">
        <f>IF(BI128="snížená",J128,0)</f>
        <v>0</v>
      </c>
      <c r="DB128" s="137">
        <f>IF(BI128="zákl. přenesená",J128,0)</f>
        <v>0</v>
      </c>
      <c r="DC128" s="137">
        <f>IF(BI128="sníž. přenesená",J128,0)</f>
        <v>0</v>
      </c>
      <c r="DD128" s="137">
        <f>IF(BI128="nulová",J128,0)</f>
        <v>0</v>
      </c>
      <c r="DE128" s="16" t="s">
        <v>81</v>
      </c>
      <c r="DF128" s="137">
        <f>ROUND(I128*H128,2)</f>
        <v>1572.02</v>
      </c>
      <c r="DG128" s="16" t="s">
        <v>95</v>
      </c>
      <c r="DH128" s="136" t="s">
        <v>294</v>
      </c>
    </row>
    <row r="129" spans="2:112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BH129" s="141"/>
      <c r="BO129" s="50"/>
      <c r="CO129" s="16" t="s">
        <v>289</v>
      </c>
      <c r="CP129" s="16" t="s">
        <v>83</v>
      </c>
    </row>
    <row r="130" spans="2:112" s="1" customFormat="1" ht="24.2" customHeight="1" x14ac:dyDescent="0.2">
      <c r="B130" s="124"/>
      <c r="C130" s="125" t="s">
        <v>90</v>
      </c>
      <c r="D130" s="125" t="s">
        <v>284</v>
      </c>
      <c r="E130" s="126" t="s">
        <v>295</v>
      </c>
      <c r="F130" s="127" t="s">
        <v>732</v>
      </c>
      <c r="G130" s="128" t="s">
        <v>287</v>
      </c>
      <c r="H130" s="129">
        <v>22.86</v>
      </c>
      <c r="I130" s="130">
        <v>27.886826761540966</v>
      </c>
      <c r="J130" s="131">
        <f>ROUND(I130*H130,2)</f>
        <v>637.49</v>
      </c>
      <c r="K130" s="127" t="s">
        <v>293</v>
      </c>
      <c r="L130" s="268">
        <f>S130</f>
        <v>0</v>
      </c>
      <c r="M130" s="272">
        <f>ROUND(L130*I130,2)</f>
        <v>0</v>
      </c>
      <c r="N130" s="243">
        <f>N136</f>
        <v>-8.8109999999999999</v>
      </c>
      <c r="O130" s="294">
        <f>ROUND(N130*I130,2)</f>
        <v>-245.71</v>
      </c>
      <c r="P130" s="273">
        <f>H130-L130-N130</f>
        <v>31.670999999999999</v>
      </c>
      <c r="Q130" s="287">
        <f>ROUND(P130*I130,2)</f>
        <v>883.2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22.86</v>
      </c>
      <c r="V130" s="269">
        <f>ROUND(U130*I130,2)</f>
        <v>637.49</v>
      </c>
      <c r="W130" s="269"/>
      <c r="X130" s="269"/>
      <c r="Y130" s="269"/>
      <c r="Z130" s="269"/>
      <c r="AA130" s="269"/>
      <c r="AB130" s="269"/>
      <c r="AC130" s="269"/>
      <c r="AD130" s="269"/>
      <c r="BH130" s="132" t="s">
        <v>1</v>
      </c>
      <c r="BI130" s="133" t="s">
        <v>40</v>
      </c>
      <c r="BK130" s="134">
        <f>BJ130*H130</f>
        <v>0</v>
      </c>
      <c r="BL130" s="134">
        <v>0</v>
      </c>
      <c r="BM130" s="134">
        <f>BL130*H130</f>
        <v>0</v>
      </c>
      <c r="BN130" s="134">
        <v>9.8000000000000004E-2</v>
      </c>
      <c r="BO130" s="135">
        <f>BN130*H130</f>
        <v>2.2402799999999998</v>
      </c>
      <c r="CM130" s="136" t="s">
        <v>95</v>
      </c>
      <c r="CO130" s="136" t="s">
        <v>284</v>
      </c>
      <c r="CP130" s="136" t="s">
        <v>83</v>
      </c>
      <c r="CT130" s="16" t="s">
        <v>282</v>
      </c>
      <c r="CZ130" s="137">
        <f>IF(BI130="základní",J130,0)</f>
        <v>637.49</v>
      </c>
      <c r="DA130" s="137">
        <f>IF(BI130="snížená",J130,0)</f>
        <v>0</v>
      </c>
      <c r="DB130" s="137">
        <f>IF(BI130="zákl. přenesená",J130,0)</f>
        <v>0</v>
      </c>
      <c r="DC130" s="137">
        <f>IF(BI130="sníž. přenesená",J130,0)</f>
        <v>0</v>
      </c>
      <c r="DD130" s="137">
        <f>IF(BI130="nulová",J130,0)</f>
        <v>0</v>
      </c>
      <c r="DE130" s="16" t="s">
        <v>81</v>
      </c>
      <c r="DF130" s="137">
        <f>ROUND(I130*H130,2)</f>
        <v>637.49</v>
      </c>
      <c r="DG130" s="16" t="s">
        <v>95</v>
      </c>
      <c r="DH130" s="136" t="s">
        <v>297</v>
      </c>
    </row>
    <row r="131" spans="2:112" s="1" customFormat="1" ht="29.25" x14ac:dyDescent="0.2">
      <c r="B131" s="31"/>
      <c r="D131" s="138" t="s">
        <v>289</v>
      </c>
      <c r="F131" s="139" t="s">
        <v>298</v>
      </c>
      <c r="I131" s="140"/>
      <c r="L131" s="31"/>
      <c r="N131" s="213"/>
      <c r="O131" s="214"/>
      <c r="Q131" s="229"/>
      <c r="BH131" s="141"/>
      <c r="BO131" s="50"/>
      <c r="CO131" s="16" t="s">
        <v>289</v>
      </c>
      <c r="CP131" s="16" t="s">
        <v>83</v>
      </c>
    </row>
    <row r="132" spans="2:112" s="1" customFormat="1" ht="29.25" x14ac:dyDescent="0.2">
      <c r="B132" s="31"/>
      <c r="D132" s="138" t="s">
        <v>299</v>
      </c>
      <c r="F132" s="142" t="s">
        <v>1659</v>
      </c>
      <c r="I132" s="140"/>
      <c r="L132" s="31"/>
      <c r="N132" s="213"/>
      <c r="O132" s="214"/>
      <c r="Q132" s="229"/>
      <c r="BH132" s="141"/>
      <c r="BO132" s="50"/>
      <c r="CO132" s="16" t="s">
        <v>299</v>
      </c>
      <c r="CP132" s="16" t="s">
        <v>83</v>
      </c>
    </row>
    <row r="133" spans="2:112" s="11" customFormat="1" x14ac:dyDescent="0.2">
      <c r="B133" s="143"/>
      <c r="D133" s="138" t="s">
        <v>301</v>
      </c>
      <c r="E133" s="144" t="s">
        <v>1</v>
      </c>
      <c r="F133" s="145" t="s">
        <v>1084</v>
      </c>
      <c r="H133" s="144" t="s">
        <v>1</v>
      </c>
      <c r="I133" s="146"/>
      <c r="L133" s="143"/>
      <c r="N133" s="215"/>
      <c r="O133" s="216"/>
      <c r="Q133" s="230"/>
      <c r="BH133" s="147"/>
      <c r="BO133" s="148"/>
      <c r="CO133" s="144" t="s">
        <v>301</v>
      </c>
      <c r="CP133" s="144" t="s">
        <v>83</v>
      </c>
      <c r="CQ133" s="11" t="s">
        <v>81</v>
      </c>
      <c r="CR133" s="11" t="s">
        <v>32</v>
      </c>
      <c r="CS133" s="11" t="s">
        <v>74</v>
      </c>
      <c r="CT133" s="144" t="s">
        <v>282</v>
      </c>
    </row>
    <row r="134" spans="2:112" s="11" customFormat="1" x14ac:dyDescent="0.2">
      <c r="B134" s="143"/>
      <c r="D134" s="138" t="s">
        <v>301</v>
      </c>
      <c r="E134" s="144" t="s">
        <v>1</v>
      </c>
      <c r="F134" s="145" t="s">
        <v>302</v>
      </c>
      <c r="H134" s="144" t="s">
        <v>1</v>
      </c>
      <c r="I134" s="146"/>
      <c r="L134" s="143"/>
      <c r="N134" s="215"/>
      <c r="O134" s="216"/>
      <c r="Q134" s="230"/>
      <c r="BH134" s="147"/>
      <c r="BO134" s="148"/>
      <c r="CO134" s="144" t="s">
        <v>301</v>
      </c>
      <c r="CP134" s="144" t="s">
        <v>83</v>
      </c>
      <c r="CQ134" s="11" t="s">
        <v>81</v>
      </c>
      <c r="CR134" s="11" t="s">
        <v>32</v>
      </c>
      <c r="CS134" s="11" t="s">
        <v>74</v>
      </c>
      <c r="CT134" s="144" t="s">
        <v>282</v>
      </c>
    </row>
    <row r="135" spans="2:112" s="12" customFormat="1" x14ac:dyDescent="0.2">
      <c r="B135" s="149"/>
      <c r="D135" s="138" t="s">
        <v>301</v>
      </c>
      <c r="E135" s="150" t="s">
        <v>1</v>
      </c>
      <c r="F135" s="151" t="s">
        <v>1707</v>
      </c>
      <c r="H135" s="152">
        <v>22.86</v>
      </c>
      <c r="I135" s="153"/>
      <c r="L135" s="149"/>
      <c r="N135" s="217">
        <f>15.61*1*0.9</f>
        <v>14.048999999999999</v>
      </c>
      <c r="O135" s="218" t="s">
        <v>3787</v>
      </c>
      <c r="Q135" s="231"/>
      <c r="BH135" s="154"/>
      <c r="BO135" s="155"/>
      <c r="CO135" s="150" t="s">
        <v>301</v>
      </c>
      <c r="CP135" s="150" t="s">
        <v>83</v>
      </c>
      <c r="CQ135" s="12" t="s">
        <v>83</v>
      </c>
      <c r="CR135" s="12" t="s">
        <v>32</v>
      </c>
      <c r="CS135" s="12" t="s">
        <v>81</v>
      </c>
      <c r="CT135" s="150" t="s">
        <v>282</v>
      </c>
    </row>
    <row r="136" spans="2:112" s="12" customFormat="1" x14ac:dyDescent="0.2">
      <c r="B136" s="149"/>
      <c r="D136" s="138"/>
      <c r="E136" s="150"/>
      <c r="F136" s="151"/>
      <c r="H136" s="152"/>
      <c r="I136" s="153"/>
      <c r="L136" s="149"/>
      <c r="N136" s="310">
        <f>N135-H135</f>
        <v>-8.8109999999999999</v>
      </c>
      <c r="O136" s="218"/>
      <c r="Q136" s="231"/>
      <c r="BH136" s="154"/>
      <c r="BO136" s="155"/>
      <c r="CO136" s="150"/>
      <c r="CP136" s="150"/>
      <c r="CT136" s="150"/>
    </row>
    <row r="137" spans="2:112" s="1" customFormat="1" ht="24.2" customHeight="1" x14ac:dyDescent="0.2">
      <c r="B137" s="124"/>
      <c r="C137" s="125" t="s">
        <v>95</v>
      </c>
      <c r="D137" s="125" t="s">
        <v>284</v>
      </c>
      <c r="E137" s="126" t="s">
        <v>958</v>
      </c>
      <c r="F137" s="127" t="s">
        <v>959</v>
      </c>
      <c r="G137" s="128" t="s">
        <v>287</v>
      </c>
      <c r="H137" s="129">
        <v>7.62</v>
      </c>
      <c r="I137" s="130">
        <v>23.091823190584471</v>
      </c>
      <c r="J137" s="131">
        <f>ROUND(I137*H137,2)</f>
        <v>175.96</v>
      </c>
      <c r="K137" s="127" t="s">
        <v>293</v>
      </c>
      <c r="L137" s="268">
        <f>S137</f>
        <v>0</v>
      </c>
      <c r="M137" s="272">
        <f>ROUND(L137*I137,2)</f>
        <v>0</v>
      </c>
      <c r="N137" s="243">
        <f>N142</f>
        <v>-2.9370000000000003</v>
      </c>
      <c r="O137" s="294">
        <f>ROUND(N137*I137,2)</f>
        <v>-67.819999999999993</v>
      </c>
      <c r="P137" s="273">
        <f>H137-L137-N137</f>
        <v>10.557</v>
      </c>
      <c r="Q137" s="287">
        <f>ROUND(P137*I137,2)</f>
        <v>243.78</v>
      </c>
      <c r="R137" s="137"/>
      <c r="S137" s="269">
        <f>W137+Y137+AA137+AC137</f>
        <v>0</v>
      </c>
      <c r="T137" s="269">
        <f>ROUND(S137*I137,2)</f>
        <v>0</v>
      </c>
      <c r="U137" s="269">
        <f>H137-S137</f>
        <v>7.62</v>
      </c>
      <c r="V137" s="269">
        <f>ROUND(U137*I137,2)</f>
        <v>175.96</v>
      </c>
      <c r="W137" s="269"/>
      <c r="X137" s="269"/>
      <c r="Y137" s="269"/>
      <c r="Z137" s="269"/>
      <c r="AA137" s="269"/>
      <c r="AB137" s="269"/>
      <c r="AC137" s="269"/>
      <c r="AD137" s="269"/>
      <c r="BH137" s="132" t="s">
        <v>1</v>
      </c>
      <c r="BI137" s="133" t="s">
        <v>40</v>
      </c>
      <c r="BK137" s="134">
        <f>BJ137*H137</f>
        <v>0</v>
      </c>
      <c r="BL137" s="134">
        <v>0</v>
      </c>
      <c r="BM137" s="134">
        <f>BL137*H137</f>
        <v>0</v>
      </c>
      <c r="BN137" s="134">
        <v>0</v>
      </c>
      <c r="BO137" s="135">
        <f>BN137*H137</f>
        <v>0</v>
      </c>
      <c r="CM137" s="136" t="s">
        <v>95</v>
      </c>
      <c r="CO137" s="136" t="s">
        <v>284</v>
      </c>
      <c r="CP137" s="136" t="s">
        <v>83</v>
      </c>
      <c r="CT137" s="16" t="s">
        <v>282</v>
      </c>
      <c r="CZ137" s="137">
        <f>IF(BI137="základní",J137,0)</f>
        <v>175.96</v>
      </c>
      <c r="DA137" s="137">
        <f>IF(BI137="snížená",J137,0)</f>
        <v>0</v>
      </c>
      <c r="DB137" s="137">
        <f>IF(BI137="zákl. přenesená",J137,0)</f>
        <v>0</v>
      </c>
      <c r="DC137" s="137">
        <f>IF(BI137="sníž. přenesená",J137,0)</f>
        <v>0</v>
      </c>
      <c r="DD137" s="137">
        <f>IF(BI137="nulová",J137,0)</f>
        <v>0</v>
      </c>
      <c r="DE137" s="16" t="s">
        <v>81</v>
      </c>
      <c r="DF137" s="137">
        <f>ROUND(I137*H137,2)</f>
        <v>175.96</v>
      </c>
      <c r="DG137" s="16" t="s">
        <v>95</v>
      </c>
      <c r="DH137" s="136" t="s">
        <v>960</v>
      </c>
    </row>
    <row r="138" spans="2:112" s="1" customFormat="1" ht="19.5" x14ac:dyDescent="0.2">
      <c r="B138" s="31"/>
      <c r="D138" s="138" t="s">
        <v>289</v>
      </c>
      <c r="F138" s="139" t="s">
        <v>961</v>
      </c>
      <c r="I138" s="140"/>
      <c r="L138" s="31"/>
      <c r="N138" s="213"/>
      <c r="O138" s="214"/>
      <c r="Q138" s="229"/>
      <c r="BH138" s="141"/>
      <c r="BO138" s="50"/>
      <c r="CO138" s="16" t="s">
        <v>289</v>
      </c>
      <c r="CP138" s="16" t="s">
        <v>83</v>
      </c>
    </row>
    <row r="139" spans="2:112" s="1" customFormat="1" ht="29.25" x14ac:dyDescent="0.2">
      <c r="B139" s="31"/>
      <c r="D139" s="138" t="s">
        <v>299</v>
      </c>
      <c r="F139" s="142" t="s">
        <v>1659</v>
      </c>
      <c r="I139" s="140"/>
      <c r="L139" s="31"/>
      <c r="N139" s="213"/>
      <c r="O139" s="214"/>
      <c r="Q139" s="229"/>
      <c r="BH139" s="141"/>
      <c r="BO139" s="50"/>
      <c r="CO139" s="16" t="s">
        <v>299</v>
      </c>
      <c r="CP139" s="16" t="s">
        <v>83</v>
      </c>
    </row>
    <row r="140" spans="2:112" s="11" customFormat="1" x14ac:dyDescent="0.2">
      <c r="B140" s="143"/>
      <c r="D140" s="138" t="s">
        <v>301</v>
      </c>
      <c r="E140" s="144" t="s">
        <v>1</v>
      </c>
      <c r="F140" s="145" t="s">
        <v>1088</v>
      </c>
      <c r="H140" s="144" t="s">
        <v>1</v>
      </c>
      <c r="I140" s="146"/>
      <c r="L140" s="143"/>
      <c r="N140" s="215"/>
      <c r="O140" s="216"/>
      <c r="Q140" s="230"/>
      <c r="BH140" s="147"/>
      <c r="BO140" s="148"/>
      <c r="CO140" s="144" t="s">
        <v>301</v>
      </c>
      <c r="CP140" s="144" t="s">
        <v>83</v>
      </c>
      <c r="CQ140" s="11" t="s">
        <v>81</v>
      </c>
      <c r="CR140" s="11" t="s">
        <v>32</v>
      </c>
      <c r="CS140" s="11" t="s">
        <v>74</v>
      </c>
      <c r="CT140" s="144" t="s">
        <v>282</v>
      </c>
    </row>
    <row r="141" spans="2:112" s="12" customFormat="1" x14ac:dyDescent="0.2">
      <c r="B141" s="149"/>
      <c r="D141" s="138" t="s">
        <v>301</v>
      </c>
      <c r="E141" s="150" t="s">
        <v>1</v>
      </c>
      <c r="F141" s="151" t="s">
        <v>1708</v>
      </c>
      <c r="H141" s="152">
        <v>7.62</v>
      </c>
      <c r="I141" s="153"/>
      <c r="L141" s="149"/>
      <c r="N141" s="217">
        <f>15.61*3*0.1</f>
        <v>4.6829999999999998</v>
      </c>
      <c r="O141" s="218" t="s">
        <v>3788</v>
      </c>
      <c r="Q141" s="231"/>
      <c r="BH141" s="154"/>
      <c r="BO141" s="155"/>
      <c r="CO141" s="150" t="s">
        <v>301</v>
      </c>
      <c r="CP141" s="150" t="s">
        <v>83</v>
      </c>
      <c r="CQ141" s="12" t="s">
        <v>83</v>
      </c>
      <c r="CR141" s="12" t="s">
        <v>32</v>
      </c>
      <c r="CS141" s="12" t="s">
        <v>81</v>
      </c>
      <c r="CT141" s="150" t="s">
        <v>282</v>
      </c>
    </row>
    <row r="142" spans="2:112" s="12" customFormat="1" x14ac:dyDescent="0.2">
      <c r="B142" s="149"/>
      <c r="D142" s="138"/>
      <c r="E142" s="150"/>
      <c r="F142" s="151"/>
      <c r="H142" s="152"/>
      <c r="I142" s="153"/>
      <c r="L142" s="149"/>
      <c r="N142" s="310">
        <f>N141-H141</f>
        <v>-2.9370000000000003</v>
      </c>
      <c r="O142" s="218"/>
      <c r="Q142" s="231"/>
      <c r="BH142" s="154"/>
      <c r="BO142" s="155"/>
      <c r="CO142" s="150"/>
      <c r="CP142" s="150"/>
      <c r="CT142" s="150"/>
    </row>
    <row r="143" spans="2:112" s="1" customFormat="1" ht="24.2" customHeight="1" x14ac:dyDescent="0.2">
      <c r="B143" s="124"/>
      <c r="C143" s="125" t="s">
        <v>312</v>
      </c>
      <c r="D143" s="125" t="s">
        <v>284</v>
      </c>
      <c r="E143" s="126" t="s">
        <v>364</v>
      </c>
      <c r="F143" s="127" t="s">
        <v>365</v>
      </c>
      <c r="G143" s="128" t="s">
        <v>366</v>
      </c>
      <c r="H143" s="129">
        <v>22.67</v>
      </c>
      <c r="I143" s="130">
        <v>285.201942457955</v>
      </c>
      <c r="J143" s="131">
        <f>ROUND(I143*H143,2)</f>
        <v>6465.53</v>
      </c>
      <c r="K143" s="127" t="s">
        <v>293</v>
      </c>
      <c r="L143" s="268">
        <f>S143</f>
        <v>0</v>
      </c>
      <c r="M143" s="272">
        <f>ROUND(L143*I143,2)</f>
        <v>0</v>
      </c>
      <c r="N143" s="243">
        <f>N152</f>
        <v>-8.7380749999999985</v>
      </c>
      <c r="O143" s="294">
        <f>ROUND(N143*I143,2)</f>
        <v>-2492.12</v>
      </c>
      <c r="P143" s="273">
        <f>H143-L143-N143</f>
        <v>31.408075</v>
      </c>
      <c r="Q143" s="287">
        <f>ROUND(P143*I143,2)</f>
        <v>8957.64</v>
      </c>
      <c r="R143" s="137"/>
      <c r="S143" s="269">
        <f>W143+Y143+AA143+AC143</f>
        <v>0</v>
      </c>
      <c r="T143" s="269">
        <f>ROUND(S143*I143,2)</f>
        <v>0</v>
      </c>
      <c r="U143" s="269">
        <f>H143-S143</f>
        <v>22.67</v>
      </c>
      <c r="V143" s="269">
        <f>ROUND(U143*I143,2)</f>
        <v>6465.53</v>
      </c>
      <c r="W143" s="269"/>
      <c r="X143" s="269"/>
      <c r="Y143" s="269"/>
      <c r="Z143" s="269"/>
      <c r="AA143" s="269"/>
      <c r="AB143" s="269"/>
      <c r="AC143" s="269"/>
      <c r="AD143" s="269"/>
      <c r="BH143" s="132" t="s">
        <v>1</v>
      </c>
      <c r="BI143" s="133" t="s">
        <v>40</v>
      </c>
      <c r="BK143" s="134">
        <f>BJ143*H143</f>
        <v>0</v>
      </c>
      <c r="BL143" s="134">
        <v>0</v>
      </c>
      <c r="BM143" s="134">
        <f>BL143*H143</f>
        <v>0</v>
      </c>
      <c r="BN143" s="134">
        <v>0</v>
      </c>
      <c r="BO143" s="135">
        <f>BN143*H143</f>
        <v>0</v>
      </c>
      <c r="CM143" s="136" t="s">
        <v>95</v>
      </c>
      <c r="CO143" s="136" t="s">
        <v>284</v>
      </c>
      <c r="CP143" s="136" t="s">
        <v>83</v>
      </c>
      <c r="CT143" s="16" t="s">
        <v>282</v>
      </c>
      <c r="CZ143" s="137">
        <f>IF(BI143="základní",J143,0)</f>
        <v>6465.53</v>
      </c>
      <c r="DA143" s="137">
        <f>IF(BI143="snížená",J143,0)</f>
        <v>0</v>
      </c>
      <c r="DB143" s="137">
        <f>IF(BI143="zákl. přenesená",J143,0)</f>
        <v>0</v>
      </c>
      <c r="DC143" s="137">
        <f>IF(BI143="sníž. přenesená",J143,0)</f>
        <v>0</v>
      </c>
      <c r="DD143" s="137">
        <f>IF(BI143="nulová",J143,0)</f>
        <v>0</v>
      </c>
      <c r="DE143" s="16" t="s">
        <v>81</v>
      </c>
      <c r="DF143" s="137">
        <f>ROUND(I143*H143,2)</f>
        <v>6465.53</v>
      </c>
      <c r="DG143" s="16" t="s">
        <v>95</v>
      </c>
      <c r="DH143" s="136" t="s">
        <v>367</v>
      </c>
    </row>
    <row r="144" spans="2:112" s="1" customFormat="1" ht="39" x14ac:dyDescent="0.2">
      <c r="B144" s="31"/>
      <c r="D144" s="138" t="s">
        <v>289</v>
      </c>
      <c r="F144" s="139" t="s">
        <v>368</v>
      </c>
      <c r="I144" s="140"/>
      <c r="L144" s="31"/>
      <c r="N144" s="213"/>
      <c r="O144" s="214"/>
      <c r="Q144" s="229"/>
      <c r="BH144" s="141"/>
      <c r="BO144" s="50"/>
      <c r="CO144" s="16" t="s">
        <v>289</v>
      </c>
      <c r="CP144" s="16" t="s">
        <v>83</v>
      </c>
    </row>
    <row r="145" spans="2:112" s="1" customFormat="1" ht="39" x14ac:dyDescent="0.2">
      <c r="B145" s="31"/>
      <c r="D145" s="138" t="s">
        <v>299</v>
      </c>
      <c r="F145" s="142" t="s">
        <v>1664</v>
      </c>
      <c r="I145" s="140"/>
      <c r="L145" s="31"/>
      <c r="N145" s="213"/>
      <c r="O145" s="214"/>
      <c r="Q145" s="229"/>
      <c r="BH145" s="141"/>
      <c r="BO145" s="50"/>
      <c r="CO145" s="16" t="s">
        <v>299</v>
      </c>
      <c r="CP145" s="16" t="s">
        <v>83</v>
      </c>
    </row>
    <row r="146" spans="2:112" s="11" customFormat="1" ht="22.5" x14ac:dyDescent="0.2">
      <c r="B146" s="143"/>
      <c r="D146" s="138" t="s">
        <v>301</v>
      </c>
      <c r="E146" s="144" t="s">
        <v>1</v>
      </c>
      <c r="F146" s="145" t="s">
        <v>1091</v>
      </c>
      <c r="H146" s="144" t="s">
        <v>1</v>
      </c>
      <c r="I146" s="146"/>
      <c r="L146" s="143"/>
      <c r="N146" s="215"/>
      <c r="O146" s="216"/>
      <c r="Q146" s="230"/>
      <c r="BH146" s="147"/>
      <c r="BO146" s="148"/>
      <c r="CO146" s="144" t="s">
        <v>301</v>
      </c>
      <c r="CP146" s="144" t="s">
        <v>83</v>
      </c>
      <c r="CQ146" s="11" t="s">
        <v>81</v>
      </c>
      <c r="CR146" s="11" t="s">
        <v>32</v>
      </c>
      <c r="CS146" s="11" t="s">
        <v>74</v>
      </c>
      <c r="CT146" s="144" t="s">
        <v>282</v>
      </c>
    </row>
    <row r="147" spans="2:112" s="12" customFormat="1" x14ac:dyDescent="0.2">
      <c r="B147" s="149"/>
      <c r="D147" s="138" t="s">
        <v>301</v>
      </c>
      <c r="E147" s="150" t="s">
        <v>1</v>
      </c>
      <c r="F147" s="151" t="s">
        <v>1709</v>
      </c>
      <c r="H147" s="152">
        <v>40.005000000000003</v>
      </c>
      <c r="I147" s="153"/>
      <c r="L147" s="149"/>
      <c r="N147" s="217">
        <f>15.61*1*(2.2-0.45)*0.9</f>
        <v>24.585750000000004</v>
      </c>
      <c r="O147" s="218" t="s">
        <v>3789</v>
      </c>
      <c r="Q147" s="231"/>
      <c r="BH147" s="154"/>
      <c r="BO147" s="155"/>
      <c r="CO147" s="150" t="s">
        <v>301</v>
      </c>
      <c r="CP147" s="150" t="s">
        <v>83</v>
      </c>
      <c r="CQ147" s="12" t="s">
        <v>83</v>
      </c>
      <c r="CR147" s="12" t="s">
        <v>32</v>
      </c>
      <c r="CS147" s="12" t="s">
        <v>74</v>
      </c>
      <c r="CT147" s="150" t="s">
        <v>282</v>
      </c>
    </row>
    <row r="148" spans="2:112" s="11" customFormat="1" x14ac:dyDescent="0.2">
      <c r="B148" s="143"/>
      <c r="D148" s="138" t="s">
        <v>301</v>
      </c>
      <c r="E148" s="144" t="s">
        <v>1</v>
      </c>
      <c r="F148" s="145" t="s">
        <v>968</v>
      </c>
      <c r="H148" s="144" t="s">
        <v>1</v>
      </c>
      <c r="I148" s="146"/>
      <c r="L148" s="143"/>
      <c r="N148" s="215"/>
      <c r="O148" s="216"/>
      <c r="Q148" s="230"/>
      <c r="BH148" s="147"/>
      <c r="BO148" s="148"/>
      <c r="CO148" s="144" t="s">
        <v>301</v>
      </c>
      <c r="CP148" s="144" t="s">
        <v>83</v>
      </c>
      <c r="CQ148" s="11" t="s">
        <v>81</v>
      </c>
      <c r="CR148" s="11" t="s">
        <v>32</v>
      </c>
      <c r="CS148" s="11" t="s">
        <v>74</v>
      </c>
      <c r="CT148" s="144" t="s">
        <v>282</v>
      </c>
    </row>
    <row r="149" spans="2:112" s="12" customFormat="1" x14ac:dyDescent="0.2">
      <c r="B149" s="149"/>
      <c r="D149" s="138" t="s">
        <v>301</v>
      </c>
      <c r="E149" s="150" t="s">
        <v>1</v>
      </c>
      <c r="F149" s="151" t="s">
        <v>1710</v>
      </c>
      <c r="H149" s="152">
        <v>5.3339999999999996</v>
      </c>
      <c r="I149" s="153"/>
      <c r="L149" s="149"/>
      <c r="N149" s="217">
        <f>15.61*1*(2.2-0.1)*0.1</f>
        <v>3.2781000000000002</v>
      </c>
      <c r="O149" s="218" t="s">
        <v>3790</v>
      </c>
      <c r="Q149" s="231"/>
      <c r="BH149" s="154"/>
      <c r="BO149" s="155"/>
      <c r="CO149" s="150" t="s">
        <v>301</v>
      </c>
      <c r="CP149" s="150" t="s">
        <v>83</v>
      </c>
      <c r="CQ149" s="12" t="s">
        <v>83</v>
      </c>
      <c r="CR149" s="12" t="s">
        <v>32</v>
      </c>
      <c r="CS149" s="12" t="s">
        <v>74</v>
      </c>
      <c r="CT149" s="150" t="s">
        <v>282</v>
      </c>
    </row>
    <row r="150" spans="2:112" s="14" customFormat="1" x14ac:dyDescent="0.2">
      <c r="B150" s="163"/>
      <c r="D150" s="138" t="s">
        <v>301</v>
      </c>
      <c r="E150" s="164" t="s">
        <v>1</v>
      </c>
      <c r="F150" s="165" t="s">
        <v>373</v>
      </c>
      <c r="H150" s="166">
        <v>45.338999999999999</v>
      </c>
      <c r="I150" s="167"/>
      <c r="L150" s="163"/>
      <c r="N150" s="221">
        <f>N147+N149</f>
        <v>27.863850000000006</v>
      </c>
      <c r="O150" s="222"/>
      <c r="Q150" s="233"/>
      <c r="BH150" s="168"/>
      <c r="BO150" s="169"/>
      <c r="CO150" s="164" t="s">
        <v>301</v>
      </c>
      <c r="CP150" s="164" t="s">
        <v>83</v>
      </c>
      <c r="CQ150" s="14" t="s">
        <v>90</v>
      </c>
      <c r="CR150" s="14" t="s">
        <v>32</v>
      </c>
      <c r="CS150" s="14" t="s">
        <v>74</v>
      </c>
      <c r="CT150" s="164" t="s">
        <v>282</v>
      </c>
    </row>
    <row r="151" spans="2:112" s="12" customFormat="1" x14ac:dyDescent="0.2">
      <c r="B151" s="149"/>
      <c r="D151" s="138" t="s">
        <v>301</v>
      </c>
      <c r="E151" s="150" t="s">
        <v>1</v>
      </c>
      <c r="F151" s="151" t="s">
        <v>1711</v>
      </c>
      <c r="H151" s="152">
        <v>22.67</v>
      </c>
      <c r="I151" s="153"/>
      <c r="L151" s="149"/>
      <c r="N151" s="217">
        <f>N150*0.5</f>
        <v>13.931925000000003</v>
      </c>
      <c r="O151" s="218"/>
      <c r="Q151" s="231"/>
      <c r="BH151" s="154"/>
      <c r="BO151" s="155"/>
      <c r="CO151" s="150" t="s">
        <v>301</v>
      </c>
      <c r="CP151" s="150" t="s">
        <v>83</v>
      </c>
      <c r="CQ151" s="12" t="s">
        <v>83</v>
      </c>
      <c r="CR151" s="12" t="s">
        <v>32</v>
      </c>
      <c r="CS151" s="12" t="s">
        <v>81</v>
      </c>
      <c r="CT151" s="150" t="s">
        <v>282</v>
      </c>
    </row>
    <row r="152" spans="2:112" s="12" customFormat="1" x14ac:dyDescent="0.2">
      <c r="B152" s="149"/>
      <c r="D152" s="138"/>
      <c r="E152" s="150"/>
      <c r="F152" s="151"/>
      <c r="H152" s="152"/>
      <c r="I152" s="153"/>
      <c r="L152" s="149"/>
      <c r="N152" s="310">
        <f>N151-H151</f>
        <v>-8.7380749999999985</v>
      </c>
      <c r="O152" s="218"/>
      <c r="Q152" s="231"/>
      <c r="BH152" s="154"/>
      <c r="BO152" s="155"/>
      <c r="CO152" s="150"/>
      <c r="CP152" s="150"/>
      <c r="CT152" s="150"/>
    </row>
    <row r="153" spans="2:112" s="1" customFormat="1" ht="24.2" customHeight="1" x14ac:dyDescent="0.2">
      <c r="B153" s="124"/>
      <c r="C153" s="125" t="s">
        <v>318</v>
      </c>
      <c r="D153" s="125" t="s">
        <v>284</v>
      </c>
      <c r="E153" s="126" t="s">
        <v>375</v>
      </c>
      <c r="F153" s="127" t="s">
        <v>376</v>
      </c>
      <c r="G153" s="128" t="s">
        <v>366</v>
      </c>
      <c r="H153" s="129">
        <v>22.67</v>
      </c>
      <c r="I153" s="130">
        <v>390.55963566140201</v>
      </c>
      <c r="J153" s="131">
        <f>ROUND(I153*H153,2)</f>
        <v>8853.99</v>
      </c>
      <c r="K153" s="127" t="s">
        <v>293</v>
      </c>
      <c r="L153" s="268">
        <f>S153</f>
        <v>0</v>
      </c>
      <c r="M153" s="272">
        <f>ROUND(L153*I153,2)</f>
        <v>0</v>
      </c>
      <c r="N153" s="243">
        <f>N143</f>
        <v>-8.7380749999999985</v>
      </c>
      <c r="O153" s="294">
        <f>ROUND(N153*I153,2)</f>
        <v>-3412.74</v>
      </c>
      <c r="P153" s="273">
        <f>H153-L153-N153</f>
        <v>31.408075</v>
      </c>
      <c r="Q153" s="287">
        <f>ROUND(P153*I153,2)</f>
        <v>12266.73</v>
      </c>
      <c r="R153" s="137"/>
      <c r="S153" s="269">
        <f>W153+Y153+AA153+AC153</f>
        <v>0</v>
      </c>
      <c r="T153" s="269">
        <f>ROUND(S153*I153,2)</f>
        <v>0</v>
      </c>
      <c r="U153" s="269">
        <f>H153-S153</f>
        <v>22.67</v>
      </c>
      <c r="V153" s="269">
        <f>ROUND(U153*I153,2)</f>
        <v>8853.99</v>
      </c>
      <c r="W153" s="269"/>
      <c r="X153" s="269"/>
      <c r="Y153" s="269"/>
      <c r="Z153" s="269"/>
      <c r="AA153" s="269"/>
      <c r="AB153" s="269"/>
      <c r="AC153" s="269"/>
      <c r="AD153" s="269"/>
      <c r="BH153" s="132" t="s">
        <v>1</v>
      </c>
      <c r="BI153" s="133" t="s">
        <v>40</v>
      </c>
      <c r="BK153" s="134">
        <f>BJ153*H153</f>
        <v>0</v>
      </c>
      <c r="BL153" s="134">
        <v>0</v>
      </c>
      <c r="BM153" s="134">
        <f>BL153*H153</f>
        <v>0</v>
      </c>
      <c r="BN153" s="134">
        <v>0</v>
      </c>
      <c r="BO153" s="135">
        <f>BN153*H153</f>
        <v>0</v>
      </c>
      <c r="CM153" s="136" t="s">
        <v>95</v>
      </c>
      <c r="CO153" s="136" t="s">
        <v>284</v>
      </c>
      <c r="CP153" s="136" t="s">
        <v>83</v>
      </c>
      <c r="CT153" s="16" t="s">
        <v>282</v>
      </c>
      <c r="CZ153" s="137">
        <f>IF(BI153="základní",J153,0)</f>
        <v>8853.99</v>
      </c>
      <c r="DA153" s="137">
        <f>IF(BI153="snížená",J153,0)</f>
        <v>0</v>
      </c>
      <c r="DB153" s="137">
        <f>IF(BI153="zákl. přenesená",J153,0)</f>
        <v>0</v>
      </c>
      <c r="DC153" s="137">
        <f>IF(BI153="sníž. přenesená",J153,0)</f>
        <v>0</v>
      </c>
      <c r="DD153" s="137">
        <f>IF(BI153="nulová",J153,0)</f>
        <v>0</v>
      </c>
      <c r="DE153" s="16" t="s">
        <v>81</v>
      </c>
      <c r="DF153" s="137">
        <f>ROUND(I153*H153,2)</f>
        <v>8853.99</v>
      </c>
      <c r="DG153" s="16" t="s">
        <v>95</v>
      </c>
      <c r="DH153" s="136" t="s">
        <v>377</v>
      </c>
    </row>
    <row r="154" spans="2:112" s="1" customFormat="1" ht="39" x14ac:dyDescent="0.2">
      <c r="B154" s="31"/>
      <c r="D154" s="138" t="s">
        <v>289</v>
      </c>
      <c r="F154" s="139" t="s">
        <v>378</v>
      </c>
      <c r="I154" s="140"/>
      <c r="L154" s="31"/>
      <c r="N154" s="213"/>
      <c r="O154" s="214"/>
      <c r="Q154" s="229"/>
      <c r="BH154" s="141"/>
      <c r="BO154" s="50"/>
      <c r="CO154" s="16" t="s">
        <v>289</v>
      </c>
      <c r="CP154" s="16" t="s">
        <v>83</v>
      </c>
    </row>
    <row r="155" spans="2:112" s="1" customFormat="1" ht="39" x14ac:dyDescent="0.2">
      <c r="B155" s="31"/>
      <c r="D155" s="138" t="s">
        <v>299</v>
      </c>
      <c r="F155" s="142" t="s">
        <v>1664</v>
      </c>
      <c r="I155" s="140"/>
      <c r="L155" s="31"/>
      <c r="N155" s="213"/>
      <c r="O155" s="214"/>
      <c r="Q155" s="229"/>
      <c r="BH155" s="141"/>
      <c r="BO155" s="50"/>
      <c r="CO155" s="16" t="s">
        <v>299</v>
      </c>
      <c r="CP155" s="16" t="s">
        <v>83</v>
      </c>
    </row>
    <row r="156" spans="2:112" s="1" customFormat="1" ht="24.2" customHeight="1" x14ac:dyDescent="0.2">
      <c r="B156" s="124"/>
      <c r="C156" s="125" t="s">
        <v>323</v>
      </c>
      <c r="D156" s="125" t="s">
        <v>284</v>
      </c>
      <c r="E156" s="126" t="s">
        <v>380</v>
      </c>
      <c r="F156" s="127" t="s">
        <v>381</v>
      </c>
      <c r="G156" s="128" t="s">
        <v>366</v>
      </c>
      <c r="H156" s="129">
        <v>9.0679999999999996</v>
      </c>
      <c r="I156" s="130">
        <v>650.27058629099099</v>
      </c>
      <c r="J156" s="131">
        <f>ROUND(I156*H156,2)</f>
        <v>5896.65</v>
      </c>
      <c r="K156" s="127" t="s">
        <v>293</v>
      </c>
      <c r="L156" s="268">
        <f>S156</f>
        <v>0</v>
      </c>
      <c r="M156" s="272">
        <f>ROUND(L156*I156,2)</f>
        <v>0</v>
      </c>
      <c r="N156" s="243">
        <f>N160</f>
        <v>-3.4951999999999988</v>
      </c>
      <c r="O156" s="294">
        <f>ROUND(N156*I156,2)</f>
        <v>-2272.83</v>
      </c>
      <c r="P156" s="273">
        <f>H156-L156-N156</f>
        <v>12.563199999999998</v>
      </c>
      <c r="Q156" s="287">
        <f>ROUND(P156*I156,2)</f>
        <v>8169.48</v>
      </c>
      <c r="R156" s="137"/>
      <c r="S156" s="269">
        <f>W156+Y156+AA156+AC156</f>
        <v>0</v>
      </c>
      <c r="T156" s="269">
        <f>ROUND(S156*I156,2)</f>
        <v>0</v>
      </c>
      <c r="U156" s="269">
        <f>H156-S156</f>
        <v>9.0679999999999996</v>
      </c>
      <c r="V156" s="269">
        <f>ROUND(U156*I156,2)</f>
        <v>5896.65</v>
      </c>
      <c r="W156" s="269"/>
      <c r="X156" s="269"/>
      <c r="Y156" s="269"/>
      <c r="Z156" s="269"/>
      <c r="AA156" s="269"/>
      <c r="AB156" s="269"/>
      <c r="AC156" s="269"/>
      <c r="AD156" s="269"/>
      <c r="BH156" s="132" t="s">
        <v>1</v>
      </c>
      <c r="BI156" s="133" t="s">
        <v>40</v>
      </c>
      <c r="BK156" s="134">
        <f>BJ156*H156</f>
        <v>0</v>
      </c>
      <c r="BL156" s="134">
        <v>0</v>
      </c>
      <c r="BM156" s="134">
        <f>BL156*H156</f>
        <v>0</v>
      </c>
      <c r="BN156" s="134">
        <v>0</v>
      </c>
      <c r="BO156" s="135">
        <f>BN156*H156</f>
        <v>0</v>
      </c>
      <c r="CM156" s="136" t="s">
        <v>95</v>
      </c>
      <c r="CO156" s="136" t="s">
        <v>284</v>
      </c>
      <c r="CP156" s="136" t="s">
        <v>83</v>
      </c>
      <c r="CT156" s="16" t="s">
        <v>282</v>
      </c>
      <c r="CZ156" s="137">
        <f>IF(BI156="základní",J156,0)</f>
        <v>5896.65</v>
      </c>
      <c r="DA156" s="137">
        <f>IF(BI156="snížená",J156,0)</f>
        <v>0</v>
      </c>
      <c r="DB156" s="137">
        <f>IF(BI156="zákl. přenesená",J156,0)</f>
        <v>0</v>
      </c>
      <c r="DC156" s="137">
        <f>IF(BI156="sníž. přenesená",J156,0)</f>
        <v>0</v>
      </c>
      <c r="DD156" s="137">
        <f>IF(BI156="nulová",J156,0)</f>
        <v>0</v>
      </c>
      <c r="DE156" s="16" t="s">
        <v>81</v>
      </c>
      <c r="DF156" s="137">
        <f>ROUND(I156*H156,2)</f>
        <v>5896.65</v>
      </c>
      <c r="DG156" s="16" t="s">
        <v>95</v>
      </c>
      <c r="DH156" s="136" t="s">
        <v>382</v>
      </c>
    </row>
    <row r="157" spans="2:112" s="1" customFormat="1" ht="29.25" x14ac:dyDescent="0.2">
      <c r="B157" s="31"/>
      <c r="D157" s="138" t="s">
        <v>289</v>
      </c>
      <c r="F157" s="139" t="s">
        <v>383</v>
      </c>
      <c r="I157" s="140"/>
      <c r="L157" s="31"/>
      <c r="N157" s="213"/>
      <c r="O157" s="214"/>
      <c r="Q157" s="229"/>
      <c r="BH157" s="141"/>
      <c r="BO157" s="50"/>
      <c r="CO157" s="16" t="s">
        <v>289</v>
      </c>
      <c r="CP157" s="16" t="s">
        <v>83</v>
      </c>
    </row>
    <row r="158" spans="2:112" s="11" customFormat="1" x14ac:dyDescent="0.2">
      <c r="B158" s="143"/>
      <c r="D158" s="138" t="s">
        <v>301</v>
      </c>
      <c r="E158" s="144" t="s">
        <v>1</v>
      </c>
      <c r="F158" s="145" t="s">
        <v>384</v>
      </c>
      <c r="H158" s="144" t="s">
        <v>1</v>
      </c>
      <c r="I158" s="146"/>
      <c r="L158" s="143"/>
      <c r="N158" s="215"/>
      <c r="O158" s="216"/>
      <c r="Q158" s="230"/>
      <c r="BH158" s="147"/>
      <c r="BO158" s="148"/>
      <c r="CO158" s="144" t="s">
        <v>301</v>
      </c>
      <c r="CP158" s="144" t="s">
        <v>83</v>
      </c>
      <c r="CQ158" s="11" t="s">
        <v>81</v>
      </c>
      <c r="CR158" s="11" t="s">
        <v>32</v>
      </c>
      <c r="CS158" s="11" t="s">
        <v>74</v>
      </c>
      <c r="CT158" s="144" t="s">
        <v>282</v>
      </c>
    </row>
    <row r="159" spans="2:112" s="12" customFormat="1" x14ac:dyDescent="0.2">
      <c r="B159" s="149"/>
      <c r="D159" s="138" t="s">
        <v>301</v>
      </c>
      <c r="E159" s="150" t="s">
        <v>1</v>
      </c>
      <c r="F159" s="151" t="s">
        <v>1712</v>
      </c>
      <c r="H159" s="152">
        <v>9.0679999999999996</v>
      </c>
      <c r="I159" s="153"/>
      <c r="L159" s="149"/>
      <c r="N159" s="217">
        <f>(13.932+13.932)*0.2</f>
        <v>5.5728000000000009</v>
      </c>
      <c r="O159" s="218" t="s">
        <v>3791</v>
      </c>
      <c r="Q159" s="231"/>
      <c r="BH159" s="154"/>
      <c r="BO159" s="155"/>
      <c r="CO159" s="150" t="s">
        <v>301</v>
      </c>
      <c r="CP159" s="150" t="s">
        <v>83</v>
      </c>
      <c r="CQ159" s="12" t="s">
        <v>83</v>
      </c>
      <c r="CR159" s="12" t="s">
        <v>32</v>
      </c>
      <c r="CS159" s="12" t="s">
        <v>81</v>
      </c>
      <c r="CT159" s="150" t="s">
        <v>282</v>
      </c>
    </row>
    <row r="160" spans="2:112" s="12" customFormat="1" x14ac:dyDescent="0.2">
      <c r="B160" s="149"/>
      <c r="D160" s="138"/>
      <c r="E160" s="150"/>
      <c r="F160" s="151"/>
      <c r="H160" s="152"/>
      <c r="I160" s="153"/>
      <c r="L160" s="149"/>
      <c r="N160" s="310">
        <f>N159-H159</f>
        <v>-3.4951999999999988</v>
      </c>
      <c r="O160" s="218"/>
      <c r="Q160" s="231"/>
      <c r="BH160" s="154"/>
      <c r="BO160" s="155"/>
      <c r="CO160" s="150"/>
      <c r="CP160" s="150"/>
      <c r="CT160" s="150"/>
    </row>
    <row r="161" spans="2:112" s="1" customFormat="1" ht="14.45" customHeight="1" x14ac:dyDescent="0.2">
      <c r="B161" s="124"/>
      <c r="C161" s="125" t="s">
        <v>328</v>
      </c>
      <c r="D161" s="125" t="s">
        <v>284</v>
      </c>
      <c r="E161" s="126" t="s">
        <v>387</v>
      </c>
      <c r="F161" s="127" t="s">
        <v>388</v>
      </c>
      <c r="G161" s="128" t="s">
        <v>287</v>
      </c>
      <c r="H161" s="129">
        <v>111.76</v>
      </c>
      <c r="I161" s="130">
        <v>156.6895922457376</v>
      </c>
      <c r="J161" s="131">
        <f>ROUND(I161*H161,2)</f>
        <v>17511.63</v>
      </c>
      <c r="K161" s="127" t="s">
        <v>293</v>
      </c>
      <c r="L161" s="268">
        <f>S161</f>
        <v>0</v>
      </c>
      <c r="M161" s="272">
        <f>ROUND(L161*I161,2)</f>
        <v>0</v>
      </c>
      <c r="N161" s="243">
        <f>N165</f>
        <v>-43.076000000000008</v>
      </c>
      <c r="O161" s="294">
        <f>ROUND(N161*I161,2)</f>
        <v>-6749.56</v>
      </c>
      <c r="P161" s="273">
        <f>H161-L161-N161</f>
        <v>154.83600000000001</v>
      </c>
      <c r="Q161" s="287">
        <f>ROUND(P161*I161,2)</f>
        <v>24261.19</v>
      </c>
      <c r="R161" s="137"/>
      <c r="S161" s="269">
        <f>W161+Y161+AA161+AC161</f>
        <v>0</v>
      </c>
      <c r="T161" s="269">
        <f>ROUND(S161*I161,2)</f>
        <v>0</v>
      </c>
      <c r="U161" s="269">
        <f>H161-S161</f>
        <v>111.76</v>
      </c>
      <c r="V161" s="269">
        <f>ROUND(U161*I161,2)</f>
        <v>17511.63</v>
      </c>
      <c r="W161" s="269"/>
      <c r="X161" s="269"/>
      <c r="Y161" s="269"/>
      <c r="Z161" s="269"/>
      <c r="AA161" s="269"/>
      <c r="AB161" s="269"/>
      <c r="AC161" s="269"/>
      <c r="AD161" s="269"/>
      <c r="BH161" s="132" t="s">
        <v>1</v>
      </c>
      <c r="BI161" s="133" t="s">
        <v>40</v>
      </c>
      <c r="BK161" s="134">
        <f>BJ161*H161</f>
        <v>0</v>
      </c>
      <c r="BL161" s="134">
        <v>5.9000000000000003E-4</v>
      </c>
      <c r="BM161" s="134">
        <f>BL161*H161</f>
        <v>6.5938400000000008E-2</v>
      </c>
      <c r="BN161" s="134">
        <v>0</v>
      </c>
      <c r="BO161" s="135">
        <f>BN161*H161</f>
        <v>0</v>
      </c>
      <c r="CM161" s="136" t="s">
        <v>95</v>
      </c>
      <c r="CO161" s="136" t="s">
        <v>284</v>
      </c>
      <c r="CP161" s="136" t="s">
        <v>83</v>
      </c>
      <c r="CT161" s="16" t="s">
        <v>282</v>
      </c>
      <c r="CZ161" s="137">
        <f>IF(BI161="základní",J161,0)</f>
        <v>17511.63</v>
      </c>
      <c r="DA161" s="137">
        <f>IF(BI161="snížená",J161,0)</f>
        <v>0</v>
      </c>
      <c r="DB161" s="137">
        <f>IF(BI161="zákl. přenesená",J161,0)</f>
        <v>0</v>
      </c>
      <c r="DC161" s="137">
        <f>IF(BI161="sníž. přenesená",J161,0)</f>
        <v>0</v>
      </c>
      <c r="DD161" s="137">
        <f>IF(BI161="nulová",J161,0)</f>
        <v>0</v>
      </c>
      <c r="DE161" s="16" t="s">
        <v>81</v>
      </c>
      <c r="DF161" s="137">
        <f>ROUND(I161*H161,2)</f>
        <v>17511.63</v>
      </c>
      <c r="DG161" s="16" t="s">
        <v>95</v>
      </c>
      <c r="DH161" s="136" t="s">
        <v>389</v>
      </c>
    </row>
    <row r="162" spans="2:112" s="1" customFormat="1" ht="19.5" x14ac:dyDescent="0.2">
      <c r="B162" s="31"/>
      <c r="D162" s="138" t="s">
        <v>289</v>
      </c>
      <c r="F162" s="139" t="s">
        <v>390</v>
      </c>
      <c r="I162" s="140"/>
      <c r="L162" s="31"/>
      <c r="N162" s="213"/>
      <c r="O162" s="214"/>
      <c r="Q162" s="229"/>
      <c r="BH162" s="141"/>
      <c r="BO162" s="50"/>
      <c r="CO162" s="16" t="s">
        <v>289</v>
      </c>
      <c r="CP162" s="16" t="s">
        <v>83</v>
      </c>
    </row>
    <row r="163" spans="2:112" s="1" customFormat="1" ht="29.25" x14ac:dyDescent="0.2">
      <c r="B163" s="31"/>
      <c r="D163" s="138" t="s">
        <v>299</v>
      </c>
      <c r="F163" s="142" t="s">
        <v>1659</v>
      </c>
      <c r="I163" s="140"/>
      <c r="L163" s="31"/>
      <c r="N163" s="213"/>
      <c r="O163" s="214"/>
      <c r="Q163" s="229"/>
      <c r="BH163" s="141"/>
      <c r="BO163" s="50"/>
      <c r="CO163" s="16" t="s">
        <v>299</v>
      </c>
      <c r="CP163" s="16" t="s">
        <v>83</v>
      </c>
    </row>
    <row r="164" spans="2:112" s="12" customFormat="1" x14ac:dyDescent="0.2">
      <c r="B164" s="149"/>
      <c r="D164" s="138" t="s">
        <v>301</v>
      </c>
      <c r="E164" s="150" t="s">
        <v>1</v>
      </c>
      <c r="F164" s="151" t="s">
        <v>1713</v>
      </c>
      <c r="H164" s="152">
        <v>111.76</v>
      </c>
      <c r="I164" s="153"/>
      <c r="L164" s="149"/>
      <c r="N164" s="217">
        <f>15.61*2.2*2</f>
        <v>68.683999999999997</v>
      </c>
      <c r="O164" s="218" t="s">
        <v>3792</v>
      </c>
      <c r="Q164" s="231"/>
      <c r="BH164" s="154"/>
      <c r="BO164" s="155"/>
      <c r="CO164" s="150" t="s">
        <v>301</v>
      </c>
      <c r="CP164" s="150" t="s">
        <v>83</v>
      </c>
      <c r="CQ164" s="12" t="s">
        <v>83</v>
      </c>
      <c r="CR164" s="12" t="s">
        <v>32</v>
      </c>
      <c r="CS164" s="12" t="s">
        <v>81</v>
      </c>
      <c r="CT164" s="150" t="s">
        <v>282</v>
      </c>
    </row>
    <row r="165" spans="2:112" s="12" customFormat="1" x14ac:dyDescent="0.2">
      <c r="B165" s="149"/>
      <c r="D165" s="138"/>
      <c r="E165" s="150"/>
      <c r="F165" s="151"/>
      <c r="H165" s="152"/>
      <c r="I165" s="153"/>
      <c r="L165" s="149"/>
      <c r="N165" s="310">
        <f>N164-H164</f>
        <v>-43.076000000000008</v>
      </c>
      <c r="O165" s="218"/>
      <c r="Q165" s="231"/>
      <c r="BH165" s="154"/>
      <c r="BO165" s="155"/>
      <c r="CO165" s="150"/>
      <c r="CP165" s="150"/>
      <c r="CT165" s="150"/>
    </row>
    <row r="166" spans="2:112" s="1" customFormat="1" ht="14.45" customHeight="1" x14ac:dyDescent="0.2">
      <c r="B166" s="124"/>
      <c r="C166" s="125" t="s">
        <v>335</v>
      </c>
      <c r="D166" s="125" t="s">
        <v>284</v>
      </c>
      <c r="E166" s="126" t="s">
        <v>393</v>
      </c>
      <c r="F166" s="127" t="s">
        <v>394</v>
      </c>
      <c r="G166" s="128" t="s">
        <v>287</v>
      </c>
      <c r="H166" s="129">
        <v>111.76</v>
      </c>
      <c r="I166" s="130">
        <v>103.33666316345877</v>
      </c>
      <c r="J166" s="131">
        <f>ROUND(I166*H166,2)</f>
        <v>11548.91</v>
      </c>
      <c r="K166" s="127" t="s">
        <v>293</v>
      </c>
      <c r="L166" s="268">
        <f>S166</f>
        <v>0</v>
      </c>
      <c r="M166" s="272">
        <f>ROUND(L166*I166,2)</f>
        <v>0</v>
      </c>
      <c r="N166" s="243">
        <f>N161</f>
        <v>-43.076000000000008</v>
      </c>
      <c r="O166" s="294">
        <f>ROUND(N166*I166,2)</f>
        <v>-4451.33</v>
      </c>
      <c r="P166" s="273">
        <f>H166-L166-N166</f>
        <v>154.83600000000001</v>
      </c>
      <c r="Q166" s="287">
        <f>ROUND(P166*I166,2)</f>
        <v>16000.24</v>
      </c>
      <c r="R166" s="137"/>
      <c r="S166" s="269">
        <f>W166+Y166+AA166+AC166</f>
        <v>0</v>
      </c>
      <c r="T166" s="269">
        <f>ROUND(S166*I166,2)</f>
        <v>0</v>
      </c>
      <c r="U166" s="269">
        <f>H166-S166</f>
        <v>111.76</v>
      </c>
      <c r="V166" s="269">
        <f>ROUND(U166*I166,2)</f>
        <v>11548.91</v>
      </c>
      <c r="W166" s="269"/>
      <c r="X166" s="269"/>
      <c r="Y166" s="269"/>
      <c r="Z166" s="269"/>
      <c r="AA166" s="269"/>
      <c r="AB166" s="269"/>
      <c r="AC166" s="269"/>
      <c r="AD166" s="269"/>
      <c r="BH166" s="132" t="s">
        <v>1</v>
      </c>
      <c r="BI166" s="133" t="s">
        <v>40</v>
      </c>
      <c r="BK166" s="134">
        <f>BJ166*H166</f>
        <v>0</v>
      </c>
      <c r="BL166" s="134">
        <v>0</v>
      </c>
      <c r="BM166" s="134">
        <f>BL166*H166</f>
        <v>0</v>
      </c>
      <c r="BN166" s="134">
        <v>0</v>
      </c>
      <c r="BO166" s="135">
        <f>BN166*H166</f>
        <v>0</v>
      </c>
      <c r="CM166" s="136" t="s">
        <v>95</v>
      </c>
      <c r="CO166" s="136" t="s">
        <v>284</v>
      </c>
      <c r="CP166" s="136" t="s">
        <v>83</v>
      </c>
      <c r="CT166" s="16" t="s">
        <v>282</v>
      </c>
      <c r="CZ166" s="137">
        <f>IF(BI166="základní",J166,0)</f>
        <v>11548.91</v>
      </c>
      <c r="DA166" s="137">
        <f>IF(BI166="snížená",J166,0)</f>
        <v>0</v>
      </c>
      <c r="DB166" s="137">
        <f>IF(BI166="zákl. přenesená",J166,0)</f>
        <v>0</v>
      </c>
      <c r="DC166" s="137">
        <f>IF(BI166="sníž. přenesená",J166,0)</f>
        <v>0</v>
      </c>
      <c r="DD166" s="137">
        <f>IF(BI166="nulová",J166,0)</f>
        <v>0</v>
      </c>
      <c r="DE166" s="16" t="s">
        <v>81</v>
      </c>
      <c r="DF166" s="137">
        <f>ROUND(I166*H166,2)</f>
        <v>11548.91</v>
      </c>
      <c r="DG166" s="16" t="s">
        <v>95</v>
      </c>
      <c r="DH166" s="136" t="s">
        <v>395</v>
      </c>
    </row>
    <row r="167" spans="2:112" s="1" customFormat="1" ht="19.5" x14ac:dyDescent="0.2">
      <c r="B167" s="31"/>
      <c r="D167" s="138" t="s">
        <v>289</v>
      </c>
      <c r="F167" s="139" t="s">
        <v>396</v>
      </c>
      <c r="I167" s="140"/>
      <c r="L167" s="31"/>
      <c r="N167" s="213"/>
      <c r="O167" s="214"/>
      <c r="Q167" s="229"/>
      <c r="BH167" s="141"/>
      <c r="BO167" s="50"/>
      <c r="CO167" s="16" t="s">
        <v>289</v>
      </c>
      <c r="CP167" s="16" t="s">
        <v>83</v>
      </c>
    </row>
    <row r="168" spans="2:112" s="1" customFormat="1" ht="37.9" customHeight="1" x14ac:dyDescent="0.2">
      <c r="B168" s="124"/>
      <c r="C168" s="125" t="s">
        <v>341</v>
      </c>
      <c r="D168" s="125" t="s">
        <v>284</v>
      </c>
      <c r="E168" s="126" t="s">
        <v>398</v>
      </c>
      <c r="F168" s="127" t="s">
        <v>399</v>
      </c>
      <c r="G168" s="128" t="s">
        <v>366</v>
      </c>
      <c r="H168" s="129">
        <v>46.101999999999997</v>
      </c>
      <c r="I168" s="130">
        <v>262.06861194786097</v>
      </c>
      <c r="J168" s="131">
        <f>ROUND(I168*H168,2)</f>
        <v>12081.89</v>
      </c>
      <c r="K168" s="127" t="s">
        <v>293</v>
      </c>
      <c r="L168" s="268">
        <f>S168</f>
        <v>0</v>
      </c>
      <c r="M168" s="272">
        <f>ROUND(L168*I168,2)</f>
        <v>0</v>
      </c>
      <c r="N168" s="243">
        <f>N175</f>
        <v>-17.769700000000004</v>
      </c>
      <c r="O168" s="294">
        <f>ROUND(N168*I168,2)</f>
        <v>-4656.88</v>
      </c>
      <c r="P168" s="273">
        <f>H168-L168-N168</f>
        <v>63.871700000000004</v>
      </c>
      <c r="Q168" s="287">
        <f>ROUND(P168*I168,2)</f>
        <v>16738.77</v>
      </c>
      <c r="R168" s="137"/>
      <c r="S168" s="269">
        <f>W168+Y168+AA168+AC168</f>
        <v>0</v>
      </c>
      <c r="T168" s="269">
        <f>ROUND(S168*I168,2)</f>
        <v>0</v>
      </c>
      <c r="U168" s="269">
        <f>H168-S168</f>
        <v>46.101999999999997</v>
      </c>
      <c r="V168" s="269">
        <f>ROUND(U168*I168,2)</f>
        <v>12081.89</v>
      </c>
      <c r="W168" s="269"/>
      <c r="X168" s="269"/>
      <c r="Y168" s="269"/>
      <c r="Z168" s="269"/>
      <c r="AA168" s="269"/>
      <c r="AB168" s="269"/>
      <c r="AC168" s="269"/>
      <c r="AD168" s="269"/>
      <c r="BH168" s="132" t="s">
        <v>1</v>
      </c>
      <c r="BI168" s="133" t="s">
        <v>40</v>
      </c>
      <c r="BK168" s="134">
        <f>BJ168*H168</f>
        <v>0</v>
      </c>
      <c r="BL168" s="134">
        <v>0</v>
      </c>
      <c r="BM168" s="134">
        <f>BL168*H168</f>
        <v>0</v>
      </c>
      <c r="BN168" s="134">
        <v>0</v>
      </c>
      <c r="BO168" s="135">
        <f>BN168*H168</f>
        <v>0</v>
      </c>
      <c r="CM168" s="136" t="s">
        <v>95</v>
      </c>
      <c r="CO168" s="136" t="s">
        <v>284</v>
      </c>
      <c r="CP168" s="136" t="s">
        <v>83</v>
      </c>
      <c r="CT168" s="16" t="s">
        <v>282</v>
      </c>
      <c r="CZ168" s="137">
        <f>IF(BI168="základní",J168,0)</f>
        <v>12081.89</v>
      </c>
      <c r="DA168" s="137">
        <f>IF(BI168="snížená",J168,0)</f>
        <v>0</v>
      </c>
      <c r="DB168" s="137">
        <f>IF(BI168="zákl. přenesená",J168,0)</f>
        <v>0</v>
      </c>
      <c r="DC168" s="137">
        <f>IF(BI168="sníž. přenesená",J168,0)</f>
        <v>0</v>
      </c>
      <c r="DD168" s="137">
        <f>IF(BI168="nulová",J168,0)</f>
        <v>0</v>
      </c>
      <c r="DE168" s="16" t="s">
        <v>81</v>
      </c>
      <c r="DF168" s="137">
        <f>ROUND(I168*H168,2)</f>
        <v>12081.89</v>
      </c>
      <c r="DG168" s="16" t="s">
        <v>95</v>
      </c>
      <c r="DH168" s="136" t="s">
        <v>400</v>
      </c>
    </row>
    <row r="169" spans="2:112" s="1" customFormat="1" ht="39" x14ac:dyDescent="0.2">
      <c r="B169" s="31"/>
      <c r="D169" s="138" t="s">
        <v>289</v>
      </c>
      <c r="F169" s="139" t="s">
        <v>401</v>
      </c>
      <c r="I169" s="140"/>
      <c r="L169" s="31"/>
      <c r="N169" s="213"/>
      <c r="O169" s="214"/>
      <c r="Q169" s="229"/>
      <c r="BH169" s="141"/>
      <c r="BO169" s="50"/>
      <c r="CO169" s="16" t="s">
        <v>289</v>
      </c>
      <c r="CP169" s="16" t="s">
        <v>83</v>
      </c>
    </row>
    <row r="170" spans="2:112" s="11" customFormat="1" x14ac:dyDescent="0.2">
      <c r="B170" s="143"/>
      <c r="D170" s="138" t="s">
        <v>301</v>
      </c>
      <c r="E170" s="144" t="s">
        <v>1</v>
      </c>
      <c r="F170" s="145" t="s">
        <v>402</v>
      </c>
      <c r="H170" s="144" t="s">
        <v>1</v>
      </c>
      <c r="I170" s="146"/>
      <c r="L170" s="143"/>
      <c r="N170" s="215"/>
      <c r="O170" s="216"/>
      <c r="Q170" s="230"/>
      <c r="BH170" s="147"/>
      <c r="BO170" s="148"/>
      <c r="CO170" s="144" t="s">
        <v>301</v>
      </c>
      <c r="CP170" s="144" t="s">
        <v>83</v>
      </c>
      <c r="CQ170" s="11" t="s">
        <v>81</v>
      </c>
      <c r="CR170" s="11" t="s">
        <v>32</v>
      </c>
      <c r="CS170" s="11" t="s">
        <v>74</v>
      </c>
      <c r="CT170" s="144" t="s">
        <v>282</v>
      </c>
    </row>
    <row r="171" spans="2:112" s="12" customFormat="1" x14ac:dyDescent="0.2">
      <c r="B171" s="149"/>
      <c r="D171" s="138" t="s">
        <v>301</v>
      </c>
      <c r="E171" s="150" t="s">
        <v>1</v>
      </c>
      <c r="F171" s="151" t="s">
        <v>1714</v>
      </c>
      <c r="H171" s="152">
        <v>45.34</v>
      </c>
      <c r="I171" s="153"/>
      <c r="L171" s="149"/>
      <c r="N171" s="217">
        <f>13.932+13.932</f>
        <v>27.864000000000001</v>
      </c>
      <c r="O171" s="218" t="s">
        <v>3793</v>
      </c>
      <c r="Q171" s="231"/>
      <c r="BH171" s="154"/>
      <c r="BO171" s="155"/>
      <c r="CO171" s="150" t="s">
        <v>301</v>
      </c>
      <c r="CP171" s="150" t="s">
        <v>83</v>
      </c>
      <c r="CQ171" s="12" t="s">
        <v>83</v>
      </c>
      <c r="CR171" s="12" t="s">
        <v>32</v>
      </c>
      <c r="CS171" s="12" t="s">
        <v>74</v>
      </c>
      <c r="CT171" s="150" t="s">
        <v>282</v>
      </c>
    </row>
    <row r="172" spans="2:112" s="11" customFormat="1" x14ac:dyDescent="0.2">
      <c r="B172" s="143"/>
      <c r="D172" s="138" t="s">
        <v>301</v>
      </c>
      <c r="E172" s="144" t="s">
        <v>1</v>
      </c>
      <c r="F172" s="145" t="s">
        <v>976</v>
      </c>
      <c r="H172" s="144" t="s">
        <v>1</v>
      </c>
      <c r="I172" s="146"/>
      <c r="L172" s="143"/>
      <c r="N172" s="215"/>
      <c r="O172" s="216"/>
      <c r="Q172" s="230"/>
      <c r="BH172" s="147"/>
      <c r="BO172" s="148"/>
      <c r="CO172" s="144" t="s">
        <v>301</v>
      </c>
      <c r="CP172" s="144" t="s">
        <v>83</v>
      </c>
      <c r="CQ172" s="11" t="s">
        <v>81</v>
      </c>
      <c r="CR172" s="11" t="s">
        <v>32</v>
      </c>
      <c r="CS172" s="11" t="s">
        <v>74</v>
      </c>
      <c r="CT172" s="144" t="s">
        <v>282</v>
      </c>
    </row>
    <row r="173" spans="2:112" s="12" customFormat="1" x14ac:dyDescent="0.2">
      <c r="B173" s="149"/>
      <c r="D173" s="138" t="s">
        <v>301</v>
      </c>
      <c r="E173" s="150" t="s">
        <v>1</v>
      </c>
      <c r="F173" s="151" t="s">
        <v>1715</v>
      </c>
      <c r="H173" s="152">
        <v>0.76200000000000001</v>
      </c>
      <c r="I173" s="153"/>
      <c r="L173" s="149"/>
      <c r="N173" s="217">
        <f>4.683*0.1</f>
        <v>0.46829999999999999</v>
      </c>
      <c r="O173" s="218" t="s">
        <v>3794</v>
      </c>
      <c r="Q173" s="231"/>
      <c r="BH173" s="154"/>
      <c r="BO173" s="155"/>
      <c r="CO173" s="150" t="s">
        <v>301</v>
      </c>
      <c r="CP173" s="150" t="s">
        <v>83</v>
      </c>
      <c r="CQ173" s="12" t="s">
        <v>83</v>
      </c>
      <c r="CR173" s="12" t="s">
        <v>32</v>
      </c>
      <c r="CS173" s="12" t="s">
        <v>74</v>
      </c>
      <c r="CT173" s="150" t="s">
        <v>282</v>
      </c>
    </row>
    <row r="174" spans="2:112" s="13" customFormat="1" x14ac:dyDescent="0.2">
      <c r="B174" s="156"/>
      <c r="D174" s="138" t="s">
        <v>301</v>
      </c>
      <c r="E174" s="157" t="s">
        <v>1</v>
      </c>
      <c r="F174" s="158" t="s">
        <v>305</v>
      </c>
      <c r="H174" s="159">
        <v>46.102000000000004</v>
      </c>
      <c r="I174" s="160"/>
      <c r="L174" s="156"/>
      <c r="N174" s="219">
        <f>N171+N173</f>
        <v>28.3323</v>
      </c>
      <c r="O174" s="220"/>
      <c r="Q174" s="232"/>
      <c r="BH174" s="161"/>
      <c r="BO174" s="162"/>
      <c r="CO174" s="157" t="s">
        <v>301</v>
      </c>
      <c r="CP174" s="157" t="s">
        <v>83</v>
      </c>
      <c r="CQ174" s="13" t="s">
        <v>95</v>
      </c>
      <c r="CR174" s="13" t="s">
        <v>32</v>
      </c>
      <c r="CS174" s="13" t="s">
        <v>81</v>
      </c>
      <c r="CT174" s="157" t="s">
        <v>282</v>
      </c>
    </row>
    <row r="175" spans="2:112" s="13" customFormat="1" x14ac:dyDescent="0.2">
      <c r="B175" s="156"/>
      <c r="D175" s="138"/>
      <c r="E175" s="157"/>
      <c r="F175" s="158"/>
      <c r="H175" s="159"/>
      <c r="I175" s="160"/>
      <c r="L175" s="156"/>
      <c r="N175" s="311">
        <f>N174-H174</f>
        <v>-17.769700000000004</v>
      </c>
      <c r="O175" s="220"/>
      <c r="Q175" s="232"/>
      <c r="BH175" s="161"/>
      <c r="BO175" s="162"/>
      <c r="CO175" s="157"/>
      <c r="CP175" s="157"/>
      <c r="CT175" s="157"/>
    </row>
    <row r="176" spans="2:112" s="1" customFormat="1" ht="37.9" customHeight="1" x14ac:dyDescent="0.2">
      <c r="B176" s="124"/>
      <c r="C176" s="125" t="s">
        <v>348</v>
      </c>
      <c r="D176" s="125" t="s">
        <v>284</v>
      </c>
      <c r="E176" s="126" t="s">
        <v>978</v>
      </c>
      <c r="F176" s="127" t="s">
        <v>979</v>
      </c>
      <c r="G176" s="128" t="s">
        <v>366</v>
      </c>
      <c r="H176" s="129">
        <v>4.6989999999999998</v>
      </c>
      <c r="I176" s="130">
        <v>282.06861194786097</v>
      </c>
      <c r="J176" s="131">
        <f>ROUND(I176*H176,2)</f>
        <v>1325.44</v>
      </c>
      <c r="K176" s="127" t="s">
        <v>1</v>
      </c>
      <c r="L176" s="268">
        <f>S176</f>
        <v>0</v>
      </c>
      <c r="M176" s="272">
        <f>ROUND(L176*I176,2)</f>
        <v>0</v>
      </c>
      <c r="N176" s="243"/>
      <c r="O176" s="294">
        <f>ROUND(N176*I176,2)</f>
        <v>0</v>
      </c>
      <c r="P176" s="273">
        <f>H176-L176-N176</f>
        <v>4.6989999999999998</v>
      </c>
      <c r="Q176" s="287">
        <f>ROUND(P176*I176,2)</f>
        <v>1325.44</v>
      </c>
      <c r="R176" s="137"/>
      <c r="S176" s="269">
        <f>W176+Y176+AA176+AC176</f>
        <v>0</v>
      </c>
      <c r="T176" s="269">
        <f>ROUND(S176*I176,2)</f>
        <v>0</v>
      </c>
      <c r="U176" s="269">
        <f>H176-S176</f>
        <v>4.6989999999999998</v>
      </c>
      <c r="V176" s="269">
        <f>ROUND(U176*I176,2)</f>
        <v>1325.44</v>
      </c>
      <c r="W176" s="269"/>
      <c r="X176" s="269"/>
      <c r="Y176" s="269"/>
      <c r="Z176" s="269"/>
      <c r="AA176" s="269"/>
      <c r="AB176" s="269"/>
      <c r="AC176" s="269"/>
      <c r="AD176" s="269"/>
      <c r="BH176" s="132" t="s">
        <v>1</v>
      </c>
      <c r="BI176" s="133" t="s">
        <v>40</v>
      </c>
      <c r="BK176" s="134">
        <f>BJ176*H176</f>
        <v>0</v>
      </c>
      <c r="BL176" s="134">
        <v>0</v>
      </c>
      <c r="BM176" s="134">
        <f>BL176*H176</f>
        <v>0</v>
      </c>
      <c r="BN176" s="134">
        <v>0</v>
      </c>
      <c r="BO176" s="135">
        <f>BN176*H176</f>
        <v>0</v>
      </c>
      <c r="CM176" s="136" t="s">
        <v>95</v>
      </c>
      <c r="CO176" s="136" t="s">
        <v>284</v>
      </c>
      <c r="CP176" s="136" t="s">
        <v>83</v>
      </c>
      <c r="CT176" s="16" t="s">
        <v>282</v>
      </c>
      <c r="CZ176" s="137">
        <f>IF(BI176="základní",J176,0)</f>
        <v>1325.44</v>
      </c>
      <c r="DA176" s="137">
        <f>IF(BI176="snížená",J176,0)</f>
        <v>0</v>
      </c>
      <c r="DB176" s="137">
        <f>IF(BI176="zákl. přenesená",J176,0)</f>
        <v>0</v>
      </c>
      <c r="DC176" s="137">
        <f>IF(BI176="sníž. přenesená",J176,0)</f>
        <v>0</v>
      </c>
      <c r="DD176" s="137">
        <f>IF(BI176="nulová",J176,0)</f>
        <v>0</v>
      </c>
      <c r="DE176" s="16" t="s">
        <v>81</v>
      </c>
      <c r="DF176" s="137">
        <f>ROUND(I176*H176,2)</f>
        <v>1325.44</v>
      </c>
      <c r="DG176" s="16" t="s">
        <v>95</v>
      </c>
      <c r="DH176" s="136" t="s">
        <v>980</v>
      </c>
    </row>
    <row r="177" spans="2:112" s="1" customFormat="1" ht="39" x14ac:dyDescent="0.2">
      <c r="B177" s="31"/>
      <c r="D177" s="138" t="s">
        <v>289</v>
      </c>
      <c r="F177" s="139" t="s">
        <v>401</v>
      </c>
      <c r="I177" s="140"/>
      <c r="L177" s="31"/>
      <c r="N177" s="213"/>
      <c r="O177" s="214"/>
      <c r="Q177" s="229"/>
      <c r="BH177" s="141"/>
      <c r="BO177" s="50"/>
      <c r="CO177" s="16" t="s">
        <v>289</v>
      </c>
      <c r="CP177" s="16" t="s">
        <v>83</v>
      </c>
    </row>
    <row r="178" spans="2:112" s="1" customFormat="1" ht="37.9" customHeight="1" x14ac:dyDescent="0.2">
      <c r="B178" s="124"/>
      <c r="C178" s="125" t="s">
        <v>327</v>
      </c>
      <c r="D178" s="125" t="s">
        <v>284</v>
      </c>
      <c r="E178" s="126" t="s">
        <v>405</v>
      </c>
      <c r="F178" s="127" t="s">
        <v>406</v>
      </c>
      <c r="G178" s="128" t="s">
        <v>366</v>
      </c>
      <c r="H178" s="129">
        <v>230.51</v>
      </c>
      <c r="I178" s="130">
        <v>3.4208109177592001</v>
      </c>
      <c r="J178" s="131">
        <f>ROUND(I178*H178,2)</f>
        <v>788.53</v>
      </c>
      <c r="K178" s="127" t="s">
        <v>293</v>
      </c>
      <c r="L178" s="268">
        <f>S178</f>
        <v>0</v>
      </c>
      <c r="M178" s="272">
        <f>ROUND(L178*I178,2)</f>
        <v>0</v>
      </c>
      <c r="N178" s="243">
        <f>N181</f>
        <v>-88.85</v>
      </c>
      <c r="O178" s="294">
        <f>ROUND(N178*I178,2)</f>
        <v>-303.94</v>
      </c>
      <c r="P178" s="273">
        <f>H178-L178-N178</f>
        <v>319.36</v>
      </c>
      <c r="Q178" s="287">
        <f>ROUND(P178*I178,2)</f>
        <v>1092.47</v>
      </c>
      <c r="R178" s="137"/>
      <c r="S178" s="269">
        <f>W178+Y178+AA178+AC178</f>
        <v>0</v>
      </c>
      <c r="T178" s="269">
        <f>ROUND(S178*I178,2)</f>
        <v>0</v>
      </c>
      <c r="U178" s="269">
        <f>H178-S178</f>
        <v>230.51</v>
      </c>
      <c r="V178" s="269">
        <f>ROUND(U178*I178,2)</f>
        <v>788.53</v>
      </c>
      <c r="W178" s="269"/>
      <c r="X178" s="269"/>
      <c r="Y178" s="269"/>
      <c r="Z178" s="269"/>
      <c r="AA178" s="269"/>
      <c r="AB178" s="269"/>
      <c r="AC178" s="269"/>
      <c r="AD178" s="269"/>
      <c r="BH178" s="132" t="s">
        <v>1</v>
      </c>
      <c r="BI178" s="133" t="s">
        <v>40</v>
      </c>
      <c r="BK178" s="134">
        <f>BJ178*H178</f>
        <v>0</v>
      </c>
      <c r="BL178" s="134">
        <v>0</v>
      </c>
      <c r="BM178" s="134">
        <f>BL178*H178</f>
        <v>0</v>
      </c>
      <c r="BN178" s="134">
        <v>0</v>
      </c>
      <c r="BO178" s="135">
        <f>BN178*H178</f>
        <v>0</v>
      </c>
      <c r="CM178" s="136" t="s">
        <v>95</v>
      </c>
      <c r="CO178" s="136" t="s">
        <v>284</v>
      </c>
      <c r="CP178" s="136" t="s">
        <v>83</v>
      </c>
      <c r="CT178" s="16" t="s">
        <v>282</v>
      </c>
      <c r="CZ178" s="137">
        <f>IF(BI178="základní",J178,0)</f>
        <v>788.53</v>
      </c>
      <c r="DA178" s="137">
        <f>IF(BI178="snížená",J178,0)</f>
        <v>0</v>
      </c>
      <c r="DB178" s="137">
        <f>IF(BI178="zákl. přenesená",J178,0)</f>
        <v>0</v>
      </c>
      <c r="DC178" s="137">
        <f>IF(BI178="sníž. přenesená",J178,0)</f>
        <v>0</v>
      </c>
      <c r="DD178" s="137">
        <f>IF(BI178="nulová",J178,0)</f>
        <v>0</v>
      </c>
      <c r="DE178" s="16" t="s">
        <v>81</v>
      </c>
      <c r="DF178" s="137">
        <f>ROUND(I178*H178,2)</f>
        <v>788.53</v>
      </c>
      <c r="DG178" s="16" t="s">
        <v>95</v>
      </c>
      <c r="DH178" s="136" t="s">
        <v>407</v>
      </c>
    </row>
    <row r="179" spans="2:112" s="1" customFormat="1" ht="48.75" x14ac:dyDescent="0.2">
      <c r="B179" s="31"/>
      <c r="D179" s="138" t="s">
        <v>289</v>
      </c>
      <c r="F179" s="139" t="s">
        <v>408</v>
      </c>
      <c r="I179" s="140"/>
      <c r="L179" s="31"/>
      <c r="N179" s="213"/>
      <c r="O179" s="214"/>
      <c r="Q179" s="229"/>
      <c r="BH179" s="141"/>
      <c r="BO179" s="50"/>
      <c r="CO179" s="16" t="s">
        <v>289</v>
      </c>
      <c r="CP179" s="16" t="s">
        <v>83</v>
      </c>
    </row>
    <row r="180" spans="2:112" s="12" customFormat="1" x14ac:dyDescent="0.2">
      <c r="B180" s="149"/>
      <c r="D180" s="138" t="s">
        <v>301</v>
      </c>
      <c r="F180" s="151" t="s">
        <v>1716</v>
      </c>
      <c r="H180" s="152">
        <v>230.51</v>
      </c>
      <c r="I180" s="153"/>
      <c r="L180" s="149"/>
      <c r="N180" s="217">
        <f>28.332*5</f>
        <v>141.66</v>
      </c>
      <c r="O180" s="218" t="s">
        <v>3795</v>
      </c>
      <c r="Q180" s="231"/>
      <c r="BH180" s="154"/>
      <c r="BO180" s="155"/>
      <c r="CO180" s="150" t="s">
        <v>301</v>
      </c>
      <c r="CP180" s="150" t="s">
        <v>83</v>
      </c>
      <c r="CQ180" s="12" t="s">
        <v>83</v>
      </c>
      <c r="CR180" s="12" t="s">
        <v>3</v>
      </c>
      <c r="CS180" s="12" t="s">
        <v>81</v>
      </c>
      <c r="CT180" s="150" t="s">
        <v>282</v>
      </c>
    </row>
    <row r="181" spans="2:112" s="12" customFormat="1" x14ac:dyDescent="0.2">
      <c r="B181" s="149"/>
      <c r="D181" s="138"/>
      <c r="F181" s="151"/>
      <c r="H181" s="152"/>
      <c r="I181" s="153"/>
      <c r="L181" s="149"/>
      <c r="N181" s="310">
        <f>N180-H180</f>
        <v>-88.85</v>
      </c>
      <c r="O181" s="218"/>
      <c r="Q181" s="231"/>
      <c r="BH181" s="154"/>
      <c r="BO181" s="155"/>
      <c r="CO181" s="150"/>
      <c r="CP181" s="150"/>
      <c r="CT181" s="150"/>
    </row>
    <row r="182" spans="2:112" s="1" customFormat="1" ht="37.9" customHeight="1" x14ac:dyDescent="0.2">
      <c r="B182" s="124"/>
      <c r="C182" s="125" t="s">
        <v>359</v>
      </c>
      <c r="D182" s="125" t="s">
        <v>284</v>
      </c>
      <c r="E182" s="126" t="s">
        <v>982</v>
      </c>
      <c r="F182" s="127" t="s">
        <v>983</v>
      </c>
      <c r="G182" s="128" t="s">
        <v>366</v>
      </c>
      <c r="H182" s="129">
        <v>23.495000000000001</v>
      </c>
      <c r="I182" s="130">
        <v>3.4208109177592001</v>
      </c>
      <c r="J182" s="131">
        <f>ROUND(I182*H182,2)</f>
        <v>80.37</v>
      </c>
      <c r="K182" s="127" t="s">
        <v>1</v>
      </c>
      <c r="L182" s="268">
        <f>S182</f>
        <v>0</v>
      </c>
      <c r="M182" s="272">
        <f>ROUND(L182*I182,2)</f>
        <v>0</v>
      </c>
      <c r="N182" s="243"/>
      <c r="O182" s="294">
        <f>ROUND(N182*I182,2)</f>
        <v>0</v>
      </c>
      <c r="P182" s="273">
        <f>H182-L182-N182</f>
        <v>23.495000000000001</v>
      </c>
      <c r="Q182" s="287">
        <f>ROUND(P182*I182,2)</f>
        <v>80.37</v>
      </c>
      <c r="R182" s="137"/>
      <c r="S182" s="269">
        <f>W182+Y182+AA182+AC182</f>
        <v>0</v>
      </c>
      <c r="T182" s="269">
        <f>ROUND(S182*I182,2)</f>
        <v>0</v>
      </c>
      <c r="U182" s="269">
        <f>H182-S182</f>
        <v>23.495000000000001</v>
      </c>
      <c r="V182" s="269">
        <f>ROUND(U182*I182,2)</f>
        <v>80.37</v>
      </c>
      <c r="W182" s="269"/>
      <c r="X182" s="269"/>
      <c r="Y182" s="269"/>
      <c r="Z182" s="269"/>
      <c r="AA182" s="269"/>
      <c r="AB182" s="269"/>
      <c r="AC182" s="269"/>
      <c r="AD182" s="269"/>
      <c r="BH182" s="132" t="s">
        <v>1</v>
      </c>
      <c r="BI182" s="133" t="s">
        <v>40</v>
      </c>
      <c r="BK182" s="134">
        <f>BJ182*H182</f>
        <v>0</v>
      </c>
      <c r="BL182" s="134">
        <v>0</v>
      </c>
      <c r="BM182" s="134">
        <f>BL182*H182</f>
        <v>0</v>
      </c>
      <c r="BN182" s="134">
        <v>0</v>
      </c>
      <c r="BO182" s="135">
        <f>BN182*H182</f>
        <v>0</v>
      </c>
      <c r="CM182" s="136" t="s">
        <v>95</v>
      </c>
      <c r="CO182" s="136" t="s">
        <v>284</v>
      </c>
      <c r="CP182" s="136" t="s">
        <v>83</v>
      </c>
      <c r="CT182" s="16" t="s">
        <v>282</v>
      </c>
      <c r="CZ182" s="137">
        <f>IF(BI182="základní",J182,0)</f>
        <v>80.37</v>
      </c>
      <c r="DA182" s="137">
        <f>IF(BI182="snížená",J182,0)</f>
        <v>0</v>
      </c>
      <c r="DB182" s="137">
        <f>IF(BI182="zákl. přenesená",J182,0)</f>
        <v>0</v>
      </c>
      <c r="DC182" s="137">
        <f>IF(BI182="sníž. přenesená",J182,0)</f>
        <v>0</v>
      </c>
      <c r="DD182" s="137">
        <f>IF(BI182="nulová",J182,0)</f>
        <v>0</v>
      </c>
      <c r="DE182" s="16" t="s">
        <v>81</v>
      </c>
      <c r="DF182" s="137">
        <f>ROUND(I182*H182,2)</f>
        <v>80.37</v>
      </c>
      <c r="DG182" s="16" t="s">
        <v>95</v>
      </c>
      <c r="DH182" s="136" t="s">
        <v>984</v>
      </c>
    </row>
    <row r="183" spans="2:112" s="1" customFormat="1" ht="48.75" x14ac:dyDescent="0.2">
      <c r="B183" s="31"/>
      <c r="D183" s="138" t="s">
        <v>289</v>
      </c>
      <c r="F183" s="139" t="s">
        <v>408</v>
      </c>
      <c r="I183" s="140"/>
      <c r="L183" s="31"/>
      <c r="N183" s="213"/>
      <c r="O183" s="214"/>
      <c r="Q183" s="229"/>
      <c r="BH183" s="141"/>
      <c r="BO183" s="50"/>
      <c r="CO183" s="16" t="s">
        <v>289</v>
      </c>
      <c r="CP183" s="16" t="s">
        <v>83</v>
      </c>
    </row>
    <row r="184" spans="2:112" s="12" customFormat="1" x14ac:dyDescent="0.2">
      <c r="B184" s="149"/>
      <c r="D184" s="138" t="s">
        <v>301</v>
      </c>
      <c r="F184" s="151" t="s">
        <v>1717</v>
      </c>
      <c r="H184" s="152">
        <v>23.495000000000001</v>
      </c>
      <c r="I184" s="153"/>
      <c r="L184" s="149"/>
      <c r="N184" s="217"/>
      <c r="O184" s="218"/>
      <c r="Q184" s="231"/>
      <c r="BH184" s="154"/>
      <c r="BO184" s="155"/>
      <c r="CO184" s="150" t="s">
        <v>301</v>
      </c>
      <c r="CP184" s="150" t="s">
        <v>83</v>
      </c>
      <c r="CQ184" s="12" t="s">
        <v>83</v>
      </c>
      <c r="CR184" s="12" t="s">
        <v>3</v>
      </c>
      <c r="CS184" s="12" t="s">
        <v>81</v>
      </c>
      <c r="CT184" s="150" t="s">
        <v>282</v>
      </c>
    </row>
    <row r="185" spans="2:112" s="1" customFormat="1" ht="24.2" customHeight="1" x14ac:dyDescent="0.2">
      <c r="B185" s="124"/>
      <c r="C185" s="125" t="s">
        <v>363</v>
      </c>
      <c r="D185" s="125" t="s">
        <v>284</v>
      </c>
      <c r="E185" s="126" t="s">
        <v>986</v>
      </c>
      <c r="F185" s="127" t="s">
        <v>987</v>
      </c>
      <c r="G185" s="128" t="s">
        <v>366</v>
      </c>
      <c r="H185" s="129">
        <v>4.6989999999999998</v>
      </c>
      <c r="I185" s="130">
        <v>43.080493951075745</v>
      </c>
      <c r="J185" s="131">
        <f>ROUND(I185*H185,2)</f>
        <v>202.44</v>
      </c>
      <c r="K185" s="127" t="s">
        <v>293</v>
      </c>
      <c r="L185" s="268">
        <f>S185</f>
        <v>0</v>
      </c>
      <c r="M185" s="272">
        <f>ROUND(L185*I185,2)</f>
        <v>0</v>
      </c>
      <c r="N185" s="243">
        <f>N194</f>
        <v>-1.8111499999999996</v>
      </c>
      <c r="O185" s="294">
        <f>ROUND(N185*I185,2)</f>
        <v>-78.03</v>
      </c>
      <c r="P185" s="273">
        <f>H185-L185-N185</f>
        <v>6.5101499999999994</v>
      </c>
      <c r="Q185" s="287">
        <f>ROUND(P185*I185,2)</f>
        <v>280.45999999999998</v>
      </c>
      <c r="R185" s="137"/>
      <c r="S185" s="269">
        <f>W185+Y185+AA185+AC185</f>
        <v>0</v>
      </c>
      <c r="T185" s="269">
        <f>ROUND(S185*I185,2)</f>
        <v>0</v>
      </c>
      <c r="U185" s="269">
        <f>H185-S185</f>
        <v>4.6989999999999998</v>
      </c>
      <c r="V185" s="269">
        <f>ROUND(U185*I185,2)</f>
        <v>202.44</v>
      </c>
      <c r="W185" s="269"/>
      <c r="X185" s="269"/>
      <c r="Y185" s="269"/>
      <c r="Z185" s="269"/>
      <c r="AA185" s="269"/>
      <c r="AB185" s="269"/>
      <c r="AC185" s="269"/>
      <c r="AD185" s="269"/>
      <c r="BH185" s="132" t="s">
        <v>1</v>
      </c>
      <c r="BI185" s="133" t="s">
        <v>40</v>
      </c>
      <c r="BK185" s="134">
        <f>BJ185*H185</f>
        <v>0</v>
      </c>
      <c r="BL185" s="134">
        <v>0</v>
      </c>
      <c r="BM185" s="134">
        <f>BL185*H185</f>
        <v>0</v>
      </c>
      <c r="BN185" s="134">
        <v>0</v>
      </c>
      <c r="BO185" s="135">
        <f>BN185*H185</f>
        <v>0</v>
      </c>
      <c r="CM185" s="136" t="s">
        <v>95</v>
      </c>
      <c r="CO185" s="136" t="s">
        <v>284</v>
      </c>
      <c r="CP185" s="136" t="s">
        <v>83</v>
      </c>
      <c r="CT185" s="16" t="s">
        <v>282</v>
      </c>
      <c r="CZ185" s="137">
        <f>IF(BI185="základní",J185,0)</f>
        <v>202.44</v>
      </c>
      <c r="DA185" s="137">
        <f>IF(BI185="snížená",J185,0)</f>
        <v>0</v>
      </c>
      <c r="DB185" s="137">
        <f>IF(BI185="zákl. přenesená",J185,0)</f>
        <v>0</v>
      </c>
      <c r="DC185" s="137">
        <f>IF(BI185="sníž. přenesená",J185,0)</f>
        <v>0</v>
      </c>
      <c r="DD185" s="137">
        <f>IF(BI185="nulová",J185,0)</f>
        <v>0</v>
      </c>
      <c r="DE185" s="16" t="s">
        <v>81</v>
      </c>
      <c r="DF185" s="137">
        <f>ROUND(I185*H185,2)</f>
        <v>202.44</v>
      </c>
      <c r="DG185" s="16" t="s">
        <v>95</v>
      </c>
      <c r="DH185" s="136" t="s">
        <v>988</v>
      </c>
    </row>
    <row r="186" spans="2:112" s="1" customFormat="1" ht="29.25" x14ac:dyDescent="0.2">
      <c r="B186" s="31"/>
      <c r="D186" s="138" t="s">
        <v>289</v>
      </c>
      <c r="F186" s="139" t="s">
        <v>989</v>
      </c>
      <c r="I186" s="140"/>
      <c r="L186" s="31"/>
      <c r="N186" s="213"/>
      <c r="O186" s="214"/>
      <c r="Q186" s="229"/>
      <c r="BH186" s="141"/>
      <c r="BO186" s="50"/>
      <c r="CO186" s="16" t="s">
        <v>289</v>
      </c>
      <c r="CP186" s="16" t="s">
        <v>83</v>
      </c>
    </row>
    <row r="187" spans="2:112" s="11" customFormat="1" x14ac:dyDescent="0.2">
      <c r="B187" s="143"/>
      <c r="D187" s="138" t="s">
        <v>301</v>
      </c>
      <c r="E187" s="144" t="s">
        <v>1</v>
      </c>
      <c r="F187" s="145" t="s">
        <v>976</v>
      </c>
      <c r="H187" s="144" t="s">
        <v>1</v>
      </c>
      <c r="I187" s="146"/>
      <c r="L187" s="143"/>
      <c r="N187" s="215"/>
      <c r="O187" s="216"/>
      <c r="Q187" s="230"/>
      <c r="BH187" s="147"/>
      <c r="BO187" s="148"/>
      <c r="CO187" s="144" t="s">
        <v>301</v>
      </c>
      <c r="CP187" s="144" t="s">
        <v>83</v>
      </c>
      <c r="CQ187" s="11" t="s">
        <v>81</v>
      </c>
      <c r="CR187" s="11" t="s">
        <v>32</v>
      </c>
      <c r="CS187" s="11" t="s">
        <v>74</v>
      </c>
      <c r="CT187" s="144" t="s">
        <v>282</v>
      </c>
    </row>
    <row r="188" spans="2:112" s="12" customFormat="1" x14ac:dyDescent="0.2">
      <c r="B188" s="149"/>
      <c r="D188" s="138" t="s">
        <v>301</v>
      </c>
      <c r="E188" s="150" t="s">
        <v>1</v>
      </c>
      <c r="F188" s="151" t="s">
        <v>1715</v>
      </c>
      <c r="H188" s="152">
        <v>0.76200000000000001</v>
      </c>
      <c r="I188" s="153"/>
      <c r="L188" s="149"/>
      <c r="N188" s="217">
        <f>4.683*0.1</f>
        <v>0.46829999999999999</v>
      </c>
      <c r="O188" s="218" t="s">
        <v>3794</v>
      </c>
      <c r="Q188" s="231"/>
      <c r="BH188" s="154"/>
      <c r="BO188" s="155"/>
      <c r="CO188" s="150" t="s">
        <v>301</v>
      </c>
      <c r="CP188" s="150" t="s">
        <v>83</v>
      </c>
      <c r="CQ188" s="12" t="s">
        <v>83</v>
      </c>
      <c r="CR188" s="12" t="s">
        <v>32</v>
      </c>
      <c r="CS188" s="12" t="s">
        <v>74</v>
      </c>
      <c r="CT188" s="150" t="s">
        <v>282</v>
      </c>
    </row>
    <row r="189" spans="2:112" s="14" customFormat="1" x14ac:dyDescent="0.2">
      <c r="B189" s="163"/>
      <c r="D189" s="138" t="s">
        <v>301</v>
      </c>
      <c r="E189" s="164" t="s">
        <v>1</v>
      </c>
      <c r="F189" s="165" t="s">
        <v>373</v>
      </c>
      <c r="H189" s="166">
        <v>0.76200000000000001</v>
      </c>
      <c r="I189" s="167"/>
      <c r="L189" s="163"/>
      <c r="N189" s="221">
        <f>N188</f>
        <v>0.46829999999999999</v>
      </c>
      <c r="O189" s="222"/>
      <c r="Q189" s="233"/>
      <c r="BH189" s="168"/>
      <c r="BO189" s="169"/>
      <c r="CO189" s="164" t="s">
        <v>301</v>
      </c>
      <c r="CP189" s="164" t="s">
        <v>83</v>
      </c>
      <c r="CQ189" s="14" t="s">
        <v>90</v>
      </c>
      <c r="CR189" s="14" t="s">
        <v>32</v>
      </c>
      <c r="CS189" s="14" t="s">
        <v>74</v>
      </c>
      <c r="CT189" s="164" t="s">
        <v>282</v>
      </c>
    </row>
    <row r="190" spans="2:112" s="11" customFormat="1" x14ac:dyDescent="0.2">
      <c r="B190" s="143"/>
      <c r="D190" s="138" t="s">
        <v>301</v>
      </c>
      <c r="E190" s="144" t="s">
        <v>1</v>
      </c>
      <c r="F190" s="145" t="s">
        <v>1102</v>
      </c>
      <c r="H190" s="144" t="s">
        <v>1</v>
      </c>
      <c r="I190" s="146"/>
      <c r="L190" s="143"/>
      <c r="N190" s="215"/>
      <c r="O190" s="216"/>
      <c r="Q190" s="230"/>
      <c r="BH190" s="147"/>
      <c r="BO190" s="148"/>
      <c r="CO190" s="144" t="s">
        <v>301</v>
      </c>
      <c r="CP190" s="144" t="s">
        <v>83</v>
      </c>
      <c r="CQ190" s="11" t="s">
        <v>81</v>
      </c>
      <c r="CR190" s="11" t="s">
        <v>32</v>
      </c>
      <c r="CS190" s="11" t="s">
        <v>74</v>
      </c>
      <c r="CT190" s="144" t="s">
        <v>282</v>
      </c>
    </row>
    <row r="191" spans="2:112" s="12" customFormat="1" x14ac:dyDescent="0.2">
      <c r="B191" s="149"/>
      <c r="D191" s="138" t="s">
        <v>301</v>
      </c>
      <c r="E191" s="150" t="s">
        <v>1</v>
      </c>
      <c r="F191" s="151" t="s">
        <v>1718</v>
      </c>
      <c r="H191" s="152">
        <v>3.9369999999999998</v>
      </c>
      <c r="I191" s="153"/>
      <c r="L191" s="149"/>
      <c r="N191" s="217">
        <f>15.61*1*(2.2-0.1-0.45-0.1)*0.1</f>
        <v>2.4195500000000001</v>
      </c>
      <c r="O191" s="218" t="s">
        <v>3796</v>
      </c>
      <c r="Q191" s="231"/>
      <c r="BH191" s="154"/>
      <c r="BO191" s="155"/>
      <c r="CO191" s="150" t="s">
        <v>301</v>
      </c>
      <c r="CP191" s="150" t="s">
        <v>83</v>
      </c>
      <c r="CQ191" s="12" t="s">
        <v>83</v>
      </c>
      <c r="CR191" s="12" t="s">
        <v>32</v>
      </c>
      <c r="CS191" s="12" t="s">
        <v>74</v>
      </c>
      <c r="CT191" s="150" t="s">
        <v>282</v>
      </c>
    </row>
    <row r="192" spans="2:112" s="14" customFormat="1" x14ac:dyDescent="0.2">
      <c r="B192" s="163"/>
      <c r="D192" s="138" t="s">
        <v>301</v>
      </c>
      <c r="E192" s="164" t="s">
        <v>1</v>
      </c>
      <c r="F192" s="165" t="s">
        <v>373</v>
      </c>
      <c r="H192" s="166">
        <v>3.9369999999999998</v>
      </c>
      <c r="I192" s="167"/>
      <c r="L192" s="163"/>
      <c r="N192" s="221">
        <f>N191</f>
        <v>2.4195500000000001</v>
      </c>
      <c r="O192" s="222"/>
      <c r="Q192" s="233"/>
      <c r="BH192" s="168"/>
      <c r="BO192" s="169"/>
      <c r="CO192" s="164" t="s">
        <v>301</v>
      </c>
      <c r="CP192" s="164" t="s">
        <v>83</v>
      </c>
      <c r="CQ192" s="14" t="s">
        <v>90</v>
      </c>
      <c r="CR192" s="14" t="s">
        <v>32</v>
      </c>
      <c r="CS192" s="14" t="s">
        <v>74</v>
      </c>
      <c r="CT192" s="164" t="s">
        <v>282</v>
      </c>
    </row>
    <row r="193" spans="2:112" s="13" customFormat="1" x14ac:dyDescent="0.2">
      <c r="B193" s="156"/>
      <c r="D193" s="138" t="s">
        <v>301</v>
      </c>
      <c r="E193" s="157" t="s">
        <v>1</v>
      </c>
      <c r="F193" s="158" t="s">
        <v>305</v>
      </c>
      <c r="H193" s="159">
        <v>4.6989999999999998</v>
      </c>
      <c r="I193" s="160"/>
      <c r="L193" s="156"/>
      <c r="N193" s="219">
        <f>N189+N192</f>
        <v>2.8878500000000003</v>
      </c>
      <c r="O193" s="220"/>
      <c r="Q193" s="232"/>
      <c r="BH193" s="161"/>
      <c r="BO193" s="162"/>
      <c r="CO193" s="157" t="s">
        <v>301</v>
      </c>
      <c r="CP193" s="157" t="s">
        <v>83</v>
      </c>
      <c r="CQ193" s="13" t="s">
        <v>95</v>
      </c>
      <c r="CR193" s="13" t="s">
        <v>32</v>
      </c>
      <c r="CS193" s="13" t="s">
        <v>81</v>
      </c>
      <c r="CT193" s="157" t="s">
        <v>282</v>
      </c>
    </row>
    <row r="194" spans="2:112" s="13" customFormat="1" x14ac:dyDescent="0.2">
      <c r="B194" s="156"/>
      <c r="D194" s="138"/>
      <c r="E194" s="157"/>
      <c r="F194" s="158"/>
      <c r="H194" s="159"/>
      <c r="I194" s="160"/>
      <c r="L194" s="156"/>
      <c r="N194" s="311">
        <f>N193-H193</f>
        <v>-1.8111499999999996</v>
      </c>
      <c r="O194" s="220"/>
      <c r="Q194" s="232"/>
      <c r="BH194" s="161"/>
      <c r="BO194" s="162"/>
      <c r="CO194" s="157"/>
      <c r="CP194" s="157"/>
      <c r="CT194" s="157"/>
    </row>
    <row r="195" spans="2:112" s="1" customFormat="1" ht="24.2" customHeight="1" x14ac:dyDescent="0.2">
      <c r="B195" s="124"/>
      <c r="C195" s="125" t="s">
        <v>8</v>
      </c>
      <c r="D195" s="125" t="s">
        <v>284</v>
      </c>
      <c r="E195" s="126" t="s">
        <v>410</v>
      </c>
      <c r="F195" s="127" t="s">
        <v>411</v>
      </c>
      <c r="G195" s="128" t="s">
        <v>287</v>
      </c>
      <c r="H195" s="129">
        <v>25.4</v>
      </c>
      <c r="I195" s="130">
        <v>6.3644601414457247</v>
      </c>
      <c r="J195" s="131">
        <f>ROUND(I195*H195,2)</f>
        <v>161.66</v>
      </c>
      <c r="K195" s="127" t="s">
        <v>293</v>
      </c>
      <c r="L195" s="268">
        <f>S195</f>
        <v>0</v>
      </c>
      <c r="M195" s="272">
        <f>ROUND(L195*I195,2)</f>
        <v>0</v>
      </c>
      <c r="N195" s="243">
        <f>N199</f>
        <v>-9.7899999999999991</v>
      </c>
      <c r="O195" s="294">
        <f>ROUND(N195*I195,2)</f>
        <v>-62.31</v>
      </c>
      <c r="P195" s="273">
        <f>H195-L195-N195</f>
        <v>35.19</v>
      </c>
      <c r="Q195" s="287">
        <f>ROUND(P195*I195,2)</f>
        <v>223.97</v>
      </c>
      <c r="R195" s="137"/>
      <c r="S195" s="269">
        <f>W195+Y195+AA195+AC195</f>
        <v>0</v>
      </c>
      <c r="T195" s="269">
        <f>ROUND(S195*I195,2)</f>
        <v>0</v>
      </c>
      <c r="U195" s="269">
        <f>H195-S195</f>
        <v>25.4</v>
      </c>
      <c r="V195" s="269">
        <f>ROUND(U195*I195,2)</f>
        <v>161.66</v>
      </c>
      <c r="W195" s="269"/>
      <c r="X195" s="269"/>
      <c r="Y195" s="269"/>
      <c r="Z195" s="269"/>
      <c r="AA195" s="269"/>
      <c r="AB195" s="269"/>
      <c r="AC195" s="269"/>
      <c r="AD195" s="269"/>
      <c r="BH195" s="132" t="s">
        <v>1</v>
      </c>
      <c r="BI195" s="133" t="s">
        <v>40</v>
      </c>
      <c r="BK195" s="134">
        <f>BJ195*H195</f>
        <v>0</v>
      </c>
      <c r="BL195" s="134">
        <v>0</v>
      </c>
      <c r="BM195" s="134">
        <f>BL195*H195</f>
        <v>0</v>
      </c>
      <c r="BN195" s="134">
        <v>0</v>
      </c>
      <c r="BO195" s="135">
        <f>BN195*H195</f>
        <v>0</v>
      </c>
      <c r="CM195" s="136" t="s">
        <v>95</v>
      </c>
      <c r="CO195" s="136" t="s">
        <v>284</v>
      </c>
      <c r="CP195" s="136" t="s">
        <v>83</v>
      </c>
      <c r="CT195" s="16" t="s">
        <v>282</v>
      </c>
      <c r="CZ195" s="137">
        <f>IF(BI195="základní",J195,0)</f>
        <v>161.66</v>
      </c>
      <c r="DA195" s="137">
        <f>IF(BI195="snížená",J195,0)</f>
        <v>0</v>
      </c>
      <c r="DB195" s="137">
        <f>IF(BI195="zákl. přenesená",J195,0)</f>
        <v>0</v>
      </c>
      <c r="DC195" s="137">
        <f>IF(BI195="sníž. přenesená",J195,0)</f>
        <v>0</v>
      </c>
      <c r="DD195" s="137">
        <f>IF(BI195="nulová",J195,0)</f>
        <v>0</v>
      </c>
      <c r="DE195" s="16" t="s">
        <v>81</v>
      </c>
      <c r="DF195" s="137">
        <f>ROUND(I195*H195,2)</f>
        <v>161.66</v>
      </c>
      <c r="DG195" s="16" t="s">
        <v>95</v>
      </c>
      <c r="DH195" s="136" t="s">
        <v>412</v>
      </c>
    </row>
    <row r="196" spans="2:112" s="1" customFormat="1" ht="19.5" x14ac:dyDescent="0.2">
      <c r="B196" s="31"/>
      <c r="D196" s="138" t="s">
        <v>289</v>
      </c>
      <c r="F196" s="139" t="s">
        <v>413</v>
      </c>
      <c r="I196" s="140"/>
      <c r="L196" s="31"/>
      <c r="N196" s="213"/>
      <c r="O196" s="214"/>
      <c r="Q196" s="229"/>
      <c r="BH196" s="141"/>
      <c r="BO196" s="50"/>
      <c r="CO196" s="16" t="s">
        <v>289</v>
      </c>
      <c r="CP196" s="16" t="s">
        <v>83</v>
      </c>
    </row>
    <row r="197" spans="2:112" s="1" customFormat="1" ht="19.5" x14ac:dyDescent="0.2">
      <c r="B197" s="31"/>
      <c r="D197" s="138" t="s">
        <v>299</v>
      </c>
      <c r="F197" s="142" t="s">
        <v>317</v>
      </c>
      <c r="I197" s="140"/>
      <c r="L197" s="31"/>
      <c r="N197" s="213"/>
      <c r="O197" s="214"/>
      <c r="Q197" s="229"/>
      <c r="BH197" s="141"/>
      <c r="BO197" s="50"/>
      <c r="CO197" s="16" t="s">
        <v>299</v>
      </c>
      <c r="CP197" s="16" t="s">
        <v>83</v>
      </c>
    </row>
    <row r="198" spans="2:112" s="12" customFormat="1" x14ac:dyDescent="0.2">
      <c r="B198" s="149"/>
      <c r="D198" s="138" t="s">
        <v>301</v>
      </c>
      <c r="E198" s="150" t="s">
        <v>1</v>
      </c>
      <c r="F198" s="151" t="s">
        <v>1719</v>
      </c>
      <c r="H198" s="152">
        <v>25.4</v>
      </c>
      <c r="I198" s="153"/>
      <c r="L198" s="149"/>
      <c r="N198" s="217">
        <f>15.61*1</f>
        <v>15.61</v>
      </c>
      <c r="O198" s="218" t="s">
        <v>3797</v>
      </c>
      <c r="Q198" s="231"/>
      <c r="BH198" s="154"/>
      <c r="BO198" s="155"/>
      <c r="CO198" s="150" t="s">
        <v>301</v>
      </c>
      <c r="CP198" s="150" t="s">
        <v>83</v>
      </c>
      <c r="CQ198" s="12" t="s">
        <v>83</v>
      </c>
      <c r="CR198" s="12" t="s">
        <v>32</v>
      </c>
      <c r="CS198" s="12" t="s">
        <v>81</v>
      </c>
      <c r="CT198" s="150" t="s">
        <v>282</v>
      </c>
    </row>
    <row r="199" spans="2:112" s="12" customFormat="1" x14ac:dyDescent="0.2">
      <c r="B199" s="149"/>
      <c r="D199" s="138"/>
      <c r="E199" s="150"/>
      <c r="F199" s="151"/>
      <c r="H199" s="152"/>
      <c r="I199" s="153"/>
      <c r="L199" s="149"/>
      <c r="N199" s="310">
        <f>N198-H198</f>
        <v>-9.7899999999999991</v>
      </c>
      <c r="O199" s="218"/>
      <c r="Q199" s="231"/>
      <c r="BH199" s="154"/>
      <c r="BO199" s="155"/>
      <c r="CO199" s="150"/>
      <c r="CP199" s="150"/>
      <c r="CT199" s="150"/>
    </row>
    <row r="200" spans="2:112" s="1" customFormat="1" ht="24.2" customHeight="1" x14ac:dyDescent="0.2">
      <c r="B200" s="124"/>
      <c r="C200" s="125" t="s">
        <v>379</v>
      </c>
      <c r="D200" s="125" t="s">
        <v>284</v>
      </c>
      <c r="E200" s="126" t="s">
        <v>416</v>
      </c>
      <c r="F200" s="127" t="s">
        <v>417</v>
      </c>
      <c r="G200" s="128" t="s">
        <v>418</v>
      </c>
      <c r="H200" s="129">
        <v>74.525000000000006</v>
      </c>
      <c r="I200" s="130">
        <v>110.6455721</v>
      </c>
      <c r="J200" s="131">
        <f>ROUND(I200*H200,2)</f>
        <v>8245.86</v>
      </c>
      <c r="K200" s="127" t="s">
        <v>293</v>
      </c>
      <c r="L200" s="268">
        <f>S200</f>
        <v>0</v>
      </c>
      <c r="M200" s="272">
        <f>ROUND(L200*I200,2)</f>
        <v>0</v>
      </c>
      <c r="N200" s="243">
        <f>N208</f>
        <v>-28.7258</v>
      </c>
      <c r="O200" s="294">
        <f>ROUND(N200*I200,2)</f>
        <v>-3178.38</v>
      </c>
      <c r="P200" s="273">
        <f>H200-L200-N200</f>
        <v>103.2508</v>
      </c>
      <c r="Q200" s="287">
        <f>ROUND(P200*I200,2)</f>
        <v>11424.24</v>
      </c>
      <c r="R200" s="137"/>
      <c r="S200" s="269">
        <f>W200+Y200+AA200+AC200</f>
        <v>0</v>
      </c>
      <c r="T200" s="269">
        <f>ROUND(S200*I200,2)</f>
        <v>0</v>
      </c>
      <c r="U200" s="269">
        <f>H200-S200</f>
        <v>74.525000000000006</v>
      </c>
      <c r="V200" s="269">
        <f>ROUND(U200*I200,2)</f>
        <v>8245.86</v>
      </c>
      <c r="W200" s="269"/>
      <c r="X200" s="269"/>
      <c r="Y200" s="269"/>
      <c r="Z200" s="269"/>
      <c r="AA200" s="269"/>
      <c r="AB200" s="269"/>
      <c r="AC200" s="269"/>
      <c r="AD200" s="269"/>
      <c r="BH200" s="132" t="s">
        <v>1</v>
      </c>
      <c r="BI200" s="133" t="s">
        <v>40</v>
      </c>
      <c r="BK200" s="134">
        <f>BJ200*H200</f>
        <v>0</v>
      </c>
      <c r="BL200" s="134">
        <v>0</v>
      </c>
      <c r="BM200" s="134">
        <f>BL200*H200</f>
        <v>0</v>
      </c>
      <c r="BN200" s="134">
        <v>0</v>
      </c>
      <c r="BO200" s="135">
        <f>BN200*H200</f>
        <v>0</v>
      </c>
      <c r="CM200" s="136" t="s">
        <v>95</v>
      </c>
      <c r="CO200" s="136" t="s">
        <v>284</v>
      </c>
      <c r="CP200" s="136" t="s">
        <v>83</v>
      </c>
      <c r="CT200" s="16" t="s">
        <v>282</v>
      </c>
      <c r="CZ200" s="137">
        <f>IF(BI200="základní",J200,0)</f>
        <v>8245.86</v>
      </c>
      <c r="DA200" s="137">
        <f>IF(BI200="snížená",J200,0)</f>
        <v>0</v>
      </c>
      <c r="DB200" s="137">
        <f>IF(BI200="zákl. přenesená",J200,0)</f>
        <v>0</v>
      </c>
      <c r="DC200" s="137">
        <f>IF(BI200="sníž. přenesená",J200,0)</f>
        <v>0</v>
      </c>
      <c r="DD200" s="137">
        <f>IF(BI200="nulová",J200,0)</f>
        <v>0</v>
      </c>
      <c r="DE200" s="16" t="s">
        <v>81</v>
      </c>
      <c r="DF200" s="137">
        <f>ROUND(I200*H200,2)</f>
        <v>8245.86</v>
      </c>
      <c r="DG200" s="16" t="s">
        <v>95</v>
      </c>
      <c r="DH200" s="136" t="s">
        <v>419</v>
      </c>
    </row>
    <row r="201" spans="2:112" s="1" customFormat="1" ht="29.25" x14ac:dyDescent="0.2">
      <c r="B201" s="31"/>
      <c r="D201" s="138" t="s">
        <v>289</v>
      </c>
      <c r="F201" s="139" t="s">
        <v>420</v>
      </c>
      <c r="I201" s="140"/>
      <c r="L201" s="31"/>
      <c r="N201" s="213"/>
      <c r="O201" s="214"/>
      <c r="Q201" s="229"/>
      <c r="BH201" s="141"/>
      <c r="BO201" s="50"/>
      <c r="CO201" s="16" t="s">
        <v>289</v>
      </c>
      <c r="CP201" s="16" t="s">
        <v>83</v>
      </c>
    </row>
    <row r="202" spans="2:112" s="11" customFormat="1" x14ac:dyDescent="0.2">
      <c r="B202" s="143"/>
      <c r="D202" s="138" t="s">
        <v>301</v>
      </c>
      <c r="E202" s="144" t="s">
        <v>1</v>
      </c>
      <c r="F202" s="145" t="s">
        <v>996</v>
      </c>
      <c r="H202" s="144" t="s">
        <v>1</v>
      </c>
      <c r="I202" s="146"/>
      <c r="L202" s="143"/>
      <c r="N202" s="215"/>
      <c r="O202" s="216"/>
      <c r="Q202" s="230"/>
      <c r="BH202" s="147"/>
      <c r="BO202" s="148"/>
      <c r="CO202" s="144" t="s">
        <v>301</v>
      </c>
      <c r="CP202" s="144" t="s">
        <v>83</v>
      </c>
      <c r="CQ202" s="11" t="s">
        <v>81</v>
      </c>
      <c r="CR202" s="11" t="s">
        <v>32</v>
      </c>
      <c r="CS202" s="11" t="s">
        <v>74</v>
      </c>
      <c r="CT202" s="144" t="s">
        <v>282</v>
      </c>
    </row>
    <row r="203" spans="2:112" s="12" customFormat="1" x14ac:dyDescent="0.2">
      <c r="B203" s="149"/>
      <c r="D203" s="138" t="s">
        <v>301</v>
      </c>
      <c r="E203" s="150" t="s">
        <v>1</v>
      </c>
      <c r="F203" s="151" t="s">
        <v>1720</v>
      </c>
      <c r="H203" s="152">
        <v>46.101999999999997</v>
      </c>
      <c r="I203" s="153"/>
      <c r="L203" s="149"/>
      <c r="N203" s="217">
        <v>28.332000000000001</v>
      </c>
      <c r="O203" s="218">
        <v>28.332000000000001</v>
      </c>
      <c r="Q203" s="231"/>
      <c r="BH203" s="154"/>
      <c r="BO203" s="155"/>
      <c r="CO203" s="150" t="s">
        <v>301</v>
      </c>
      <c r="CP203" s="150" t="s">
        <v>83</v>
      </c>
      <c r="CQ203" s="12" t="s">
        <v>83</v>
      </c>
      <c r="CR203" s="12" t="s">
        <v>32</v>
      </c>
      <c r="CS203" s="12" t="s">
        <v>74</v>
      </c>
      <c r="CT203" s="150" t="s">
        <v>282</v>
      </c>
    </row>
    <row r="204" spans="2:112" s="11" customFormat="1" x14ac:dyDescent="0.2">
      <c r="B204" s="143"/>
      <c r="D204" s="138" t="s">
        <v>301</v>
      </c>
      <c r="E204" s="144" t="s">
        <v>1</v>
      </c>
      <c r="F204" s="145" t="s">
        <v>998</v>
      </c>
      <c r="H204" s="144" t="s">
        <v>1</v>
      </c>
      <c r="I204" s="146"/>
      <c r="L204" s="143"/>
      <c r="N204" s="215"/>
      <c r="O204" s="216"/>
      <c r="Q204" s="230"/>
      <c r="BH204" s="147"/>
      <c r="BO204" s="148"/>
      <c r="CO204" s="144" t="s">
        <v>301</v>
      </c>
      <c r="CP204" s="144" t="s">
        <v>83</v>
      </c>
      <c r="CQ204" s="11" t="s">
        <v>81</v>
      </c>
      <c r="CR204" s="11" t="s">
        <v>32</v>
      </c>
      <c r="CS204" s="11" t="s">
        <v>74</v>
      </c>
      <c r="CT204" s="144" t="s">
        <v>282</v>
      </c>
    </row>
    <row r="205" spans="2:112" s="12" customFormat="1" x14ac:dyDescent="0.2">
      <c r="B205" s="149"/>
      <c r="D205" s="138" t="s">
        <v>301</v>
      </c>
      <c r="E205" s="150" t="s">
        <v>1</v>
      </c>
      <c r="F205" s="151" t="s">
        <v>1721</v>
      </c>
      <c r="H205" s="152">
        <v>-4.6989999999999998</v>
      </c>
      <c r="I205" s="153"/>
      <c r="L205" s="149"/>
      <c r="N205" s="217">
        <v>-2.8879999999999999</v>
      </c>
      <c r="O205" s="218"/>
      <c r="Q205" s="231"/>
      <c r="BH205" s="154"/>
      <c r="BO205" s="155"/>
      <c r="CO205" s="150" t="s">
        <v>301</v>
      </c>
      <c r="CP205" s="150" t="s">
        <v>83</v>
      </c>
      <c r="CQ205" s="12" t="s">
        <v>83</v>
      </c>
      <c r="CR205" s="12" t="s">
        <v>32</v>
      </c>
      <c r="CS205" s="12" t="s">
        <v>74</v>
      </c>
      <c r="CT205" s="150" t="s">
        <v>282</v>
      </c>
    </row>
    <row r="206" spans="2:112" s="13" customFormat="1" x14ac:dyDescent="0.2">
      <c r="B206" s="156"/>
      <c r="D206" s="138" t="s">
        <v>301</v>
      </c>
      <c r="E206" s="157" t="s">
        <v>1</v>
      </c>
      <c r="F206" s="158" t="s">
        <v>305</v>
      </c>
      <c r="H206" s="159">
        <v>41.402999999999999</v>
      </c>
      <c r="I206" s="160"/>
      <c r="L206" s="156"/>
      <c r="N206" s="219">
        <f>N203+N205</f>
        <v>25.444000000000003</v>
      </c>
      <c r="O206" s="220"/>
      <c r="Q206" s="232"/>
      <c r="BH206" s="161"/>
      <c r="BO206" s="162"/>
      <c r="CO206" s="157" t="s">
        <v>301</v>
      </c>
      <c r="CP206" s="157" t="s">
        <v>83</v>
      </c>
      <c r="CQ206" s="13" t="s">
        <v>95</v>
      </c>
      <c r="CR206" s="13" t="s">
        <v>32</v>
      </c>
      <c r="CS206" s="13" t="s">
        <v>81</v>
      </c>
      <c r="CT206" s="157" t="s">
        <v>282</v>
      </c>
    </row>
    <row r="207" spans="2:112" s="12" customFormat="1" x14ac:dyDescent="0.2">
      <c r="B207" s="149"/>
      <c r="D207" s="138" t="s">
        <v>301</v>
      </c>
      <c r="F207" s="151" t="s">
        <v>1722</v>
      </c>
      <c r="H207" s="152">
        <v>74.525000000000006</v>
      </c>
      <c r="I207" s="153"/>
      <c r="L207" s="149"/>
      <c r="N207" s="217">
        <f>N206*1.8</f>
        <v>45.799200000000006</v>
      </c>
      <c r="O207" s="218"/>
      <c r="Q207" s="231"/>
      <c r="BH207" s="154"/>
      <c r="BO207" s="155"/>
      <c r="CO207" s="150" t="s">
        <v>301</v>
      </c>
      <c r="CP207" s="150" t="s">
        <v>83</v>
      </c>
      <c r="CQ207" s="12" t="s">
        <v>83</v>
      </c>
      <c r="CR207" s="12" t="s">
        <v>3</v>
      </c>
      <c r="CS207" s="12" t="s">
        <v>81</v>
      </c>
      <c r="CT207" s="150" t="s">
        <v>282</v>
      </c>
    </row>
    <row r="208" spans="2:112" s="12" customFormat="1" x14ac:dyDescent="0.2">
      <c r="B208" s="149"/>
      <c r="D208" s="138"/>
      <c r="F208" s="151"/>
      <c r="H208" s="152"/>
      <c r="I208" s="153"/>
      <c r="L208" s="149"/>
      <c r="N208" s="310">
        <f>N207-H207</f>
        <v>-28.7258</v>
      </c>
      <c r="O208" s="218"/>
      <c r="Q208" s="231"/>
      <c r="BH208" s="154"/>
      <c r="BO208" s="155"/>
      <c r="CO208" s="150"/>
      <c r="CP208" s="150"/>
      <c r="CT208" s="150"/>
    </row>
    <row r="209" spans="2:112" s="1" customFormat="1" ht="24.2" customHeight="1" x14ac:dyDescent="0.2">
      <c r="B209" s="124"/>
      <c r="C209" s="125" t="s">
        <v>386</v>
      </c>
      <c r="D209" s="125" t="s">
        <v>284</v>
      </c>
      <c r="E209" s="126" t="s">
        <v>423</v>
      </c>
      <c r="F209" s="127" t="s">
        <v>424</v>
      </c>
      <c r="G209" s="128" t="s">
        <v>366</v>
      </c>
      <c r="H209" s="129">
        <v>37.914999999999999</v>
      </c>
      <c r="I209" s="130">
        <v>140.64048227116101</v>
      </c>
      <c r="J209" s="131">
        <f>ROUND(I209*H209,2)</f>
        <v>5332.38</v>
      </c>
      <c r="K209" s="127" t="s">
        <v>293</v>
      </c>
      <c r="L209" s="268">
        <f>S209</f>
        <v>0</v>
      </c>
      <c r="M209" s="272">
        <f>ROUND(L209*I209,2)</f>
        <v>0</v>
      </c>
      <c r="N209" s="243">
        <f>N222</f>
        <v>-15.539900000000003</v>
      </c>
      <c r="O209" s="294">
        <f>ROUND(N209*I209,2)</f>
        <v>-2185.54</v>
      </c>
      <c r="P209" s="273">
        <f>H209-L209-N209</f>
        <v>53.454900000000002</v>
      </c>
      <c r="Q209" s="287">
        <f>ROUND(P209*I209,2)</f>
        <v>7517.92</v>
      </c>
      <c r="R209" s="137"/>
      <c r="S209" s="269">
        <f>W209+Y209+AA209+AC209</f>
        <v>0</v>
      </c>
      <c r="T209" s="269">
        <f>ROUND(S209*I209,2)</f>
        <v>0</v>
      </c>
      <c r="U209" s="269">
        <f>H209-S209</f>
        <v>37.914999999999999</v>
      </c>
      <c r="V209" s="269">
        <f>ROUND(U209*I209,2)</f>
        <v>5332.38</v>
      </c>
      <c r="W209" s="269"/>
      <c r="X209" s="269"/>
      <c r="Y209" s="269"/>
      <c r="Z209" s="269"/>
      <c r="AA209" s="269"/>
      <c r="AB209" s="269"/>
      <c r="AC209" s="269"/>
      <c r="AD209" s="269"/>
      <c r="BH209" s="132" t="s">
        <v>1</v>
      </c>
      <c r="BI209" s="133" t="s">
        <v>40</v>
      </c>
      <c r="BK209" s="134">
        <f>BJ209*H209</f>
        <v>0</v>
      </c>
      <c r="BL209" s="134">
        <v>0</v>
      </c>
      <c r="BM209" s="134">
        <f>BL209*H209</f>
        <v>0</v>
      </c>
      <c r="BN209" s="134">
        <v>0</v>
      </c>
      <c r="BO209" s="135">
        <f>BN209*H209</f>
        <v>0</v>
      </c>
      <c r="CM209" s="136" t="s">
        <v>95</v>
      </c>
      <c r="CO209" s="136" t="s">
        <v>284</v>
      </c>
      <c r="CP209" s="136" t="s">
        <v>83</v>
      </c>
      <c r="CT209" s="16" t="s">
        <v>282</v>
      </c>
      <c r="CZ209" s="137">
        <f>IF(BI209="základní",J209,0)</f>
        <v>5332.38</v>
      </c>
      <c r="DA209" s="137">
        <f>IF(BI209="snížená",J209,0)</f>
        <v>0</v>
      </c>
      <c r="DB209" s="137">
        <f>IF(BI209="zákl. přenesená",J209,0)</f>
        <v>0</v>
      </c>
      <c r="DC209" s="137">
        <f>IF(BI209="sníž. přenesená",J209,0)</f>
        <v>0</v>
      </c>
      <c r="DD209" s="137">
        <f>IF(BI209="nulová",J209,0)</f>
        <v>0</v>
      </c>
      <c r="DE209" s="16" t="s">
        <v>81</v>
      </c>
      <c r="DF209" s="137">
        <f>ROUND(I209*H209,2)</f>
        <v>5332.38</v>
      </c>
      <c r="DG209" s="16" t="s">
        <v>95</v>
      </c>
      <c r="DH209" s="136" t="s">
        <v>425</v>
      </c>
    </row>
    <row r="210" spans="2:112" s="1" customFormat="1" ht="29.25" x14ac:dyDescent="0.2">
      <c r="B210" s="31"/>
      <c r="D210" s="138" t="s">
        <v>289</v>
      </c>
      <c r="F210" s="139" t="s">
        <v>426</v>
      </c>
      <c r="I210" s="140"/>
      <c r="L210" s="31"/>
      <c r="N210" s="213"/>
      <c r="O210" s="214"/>
      <c r="Q210" s="229"/>
      <c r="BH210" s="141"/>
      <c r="BO210" s="50"/>
      <c r="CO210" s="16" t="s">
        <v>289</v>
      </c>
      <c r="CP210" s="16" t="s">
        <v>83</v>
      </c>
    </row>
    <row r="211" spans="2:112" s="11" customFormat="1" x14ac:dyDescent="0.2">
      <c r="B211" s="143"/>
      <c r="D211" s="138" t="s">
        <v>301</v>
      </c>
      <c r="E211" s="144" t="s">
        <v>1</v>
      </c>
      <c r="F211" s="145" t="s">
        <v>427</v>
      </c>
      <c r="H211" s="144" t="s">
        <v>1</v>
      </c>
      <c r="I211" s="146"/>
      <c r="L211" s="143"/>
      <c r="N211" s="215"/>
      <c r="O211" s="216"/>
      <c r="Q211" s="230"/>
      <c r="BH211" s="147"/>
      <c r="BO211" s="148"/>
      <c r="CO211" s="144" t="s">
        <v>301</v>
      </c>
      <c r="CP211" s="144" t="s">
        <v>83</v>
      </c>
      <c r="CQ211" s="11" t="s">
        <v>81</v>
      </c>
      <c r="CR211" s="11" t="s">
        <v>32</v>
      </c>
      <c r="CS211" s="11" t="s">
        <v>74</v>
      </c>
      <c r="CT211" s="144" t="s">
        <v>282</v>
      </c>
    </row>
    <row r="212" spans="2:112" s="12" customFormat="1" x14ac:dyDescent="0.2">
      <c r="B212" s="149"/>
      <c r="D212" s="138" t="s">
        <v>301</v>
      </c>
      <c r="E212" s="150" t="s">
        <v>1</v>
      </c>
      <c r="F212" s="151" t="s">
        <v>1714</v>
      </c>
      <c r="H212" s="152">
        <v>45.34</v>
      </c>
      <c r="I212" s="153"/>
      <c r="L212" s="149"/>
      <c r="N212" s="217">
        <f>13.932+13.932</f>
        <v>27.864000000000001</v>
      </c>
      <c r="O212" s="218" t="s">
        <v>3793</v>
      </c>
      <c r="Q212" s="231"/>
      <c r="BH212" s="154"/>
      <c r="BO212" s="155"/>
      <c r="CO212" s="150" t="s">
        <v>301</v>
      </c>
      <c r="CP212" s="150" t="s">
        <v>83</v>
      </c>
      <c r="CQ212" s="12" t="s">
        <v>83</v>
      </c>
      <c r="CR212" s="12" t="s">
        <v>32</v>
      </c>
      <c r="CS212" s="12" t="s">
        <v>74</v>
      </c>
      <c r="CT212" s="150" t="s">
        <v>282</v>
      </c>
    </row>
    <row r="213" spans="2:112" s="11" customFormat="1" x14ac:dyDescent="0.2">
      <c r="B213" s="143"/>
      <c r="D213" s="138" t="s">
        <v>301</v>
      </c>
      <c r="E213" s="144" t="s">
        <v>1</v>
      </c>
      <c r="F213" s="145" t="s">
        <v>428</v>
      </c>
      <c r="H213" s="144" t="s">
        <v>1</v>
      </c>
      <c r="I213" s="146"/>
      <c r="L213" s="143"/>
      <c r="N213" s="215"/>
      <c r="O213" s="216"/>
      <c r="Q213" s="230"/>
      <c r="BH213" s="147"/>
      <c r="BO213" s="148"/>
      <c r="CO213" s="144" t="s">
        <v>301</v>
      </c>
      <c r="CP213" s="144" t="s">
        <v>83</v>
      </c>
      <c r="CQ213" s="11" t="s">
        <v>81</v>
      </c>
      <c r="CR213" s="11" t="s">
        <v>32</v>
      </c>
      <c r="CS213" s="11" t="s">
        <v>74</v>
      </c>
      <c r="CT213" s="144" t="s">
        <v>282</v>
      </c>
    </row>
    <row r="214" spans="2:112" s="12" customFormat="1" x14ac:dyDescent="0.2">
      <c r="B214" s="149"/>
      <c r="D214" s="138" t="s">
        <v>301</v>
      </c>
      <c r="E214" s="150" t="s">
        <v>1</v>
      </c>
      <c r="F214" s="151" t="s">
        <v>1723</v>
      </c>
      <c r="H214" s="152">
        <v>-11.43</v>
      </c>
      <c r="I214" s="153"/>
      <c r="L214" s="149"/>
      <c r="N214" s="217">
        <f>-N238</f>
        <v>-7.0244999999999997</v>
      </c>
      <c r="O214" s="218"/>
      <c r="Q214" s="231"/>
      <c r="BH214" s="154"/>
      <c r="BO214" s="155"/>
      <c r="CO214" s="150" t="s">
        <v>301</v>
      </c>
      <c r="CP214" s="150" t="s">
        <v>83</v>
      </c>
      <c r="CQ214" s="12" t="s">
        <v>83</v>
      </c>
      <c r="CR214" s="12" t="s">
        <v>32</v>
      </c>
      <c r="CS214" s="12" t="s">
        <v>74</v>
      </c>
      <c r="CT214" s="150" t="s">
        <v>282</v>
      </c>
    </row>
    <row r="215" spans="2:112" s="11" customFormat="1" x14ac:dyDescent="0.2">
      <c r="B215" s="143"/>
      <c r="D215" s="138" t="s">
        <v>301</v>
      </c>
      <c r="E215" s="144" t="s">
        <v>1</v>
      </c>
      <c r="F215" s="145" t="s">
        <v>430</v>
      </c>
      <c r="H215" s="144" t="s">
        <v>1</v>
      </c>
      <c r="I215" s="146"/>
      <c r="L215" s="143"/>
      <c r="N215" s="215"/>
      <c r="O215" s="216"/>
      <c r="Q215" s="230"/>
      <c r="BH215" s="147"/>
      <c r="BO215" s="148"/>
      <c r="CO215" s="144" t="s">
        <v>301</v>
      </c>
      <c r="CP215" s="144" t="s">
        <v>83</v>
      </c>
      <c r="CQ215" s="11" t="s">
        <v>81</v>
      </c>
      <c r="CR215" s="11" t="s">
        <v>32</v>
      </c>
      <c r="CS215" s="11" t="s">
        <v>74</v>
      </c>
      <c r="CT215" s="144" t="s">
        <v>282</v>
      </c>
    </row>
    <row r="216" spans="2:112" s="12" customFormat="1" x14ac:dyDescent="0.2">
      <c r="B216" s="149"/>
      <c r="D216" s="138" t="s">
        <v>301</v>
      </c>
      <c r="E216" s="150" t="s">
        <v>1</v>
      </c>
      <c r="F216" s="151" t="s">
        <v>1724</v>
      </c>
      <c r="H216" s="152">
        <v>-3.04</v>
      </c>
      <c r="I216" s="153"/>
      <c r="L216" s="149"/>
      <c r="N216" s="310">
        <f>-N263-H265</f>
        <v>-2.0609999999999999</v>
      </c>
      <c r="O216" s="218"/>
      <c r="Q216" s="231"/>
      <c r="BH216" s="154"/>
      <c r="BO216" s="155"/>
      <c r="CO216" s="150" t="s">
        <v>301</v>
      </c>
      <c r="CP216" s="150" t="s">
        <v>83</v>
      </c>
      <c r="CQ216" s="12" t="s">
        <v>83</v>
      </c>
      <c r="CR216" s="12" t="s">
        <v>32</v>
      </c>
      <c r="CS216" s="12" t="s">
        <v>74</v>
      </c>
      <c r="CT216" s="150" t="s">
        <v>282</v>
      </c>
    </row>
    <row r="217" spans="2:112" s="11" customFormat="1" x14ac:dyDescent="0.2">
      <c r="B217" s="143"/>
      <c r="D217" s="138" t="s">
        <v>301</v>
      </c>
      <c r="E217" s="144" t="s">
        <v>1</v>
      </c>
      <c r="F217" s="145" t="s">
        <v>432</v>
      </c>
      <c r="H217" s="144" t="s">
        <v>1</v>
      </c>
      <c r="I217" s="146"/>
      <c r="L217" s="143"/>
      <c r="N217" s="215"/>
      <c r="O217" s="216"/>
      <c r="Q217" s="230"/>
      <c r="BH217" s="147"/>
      <c r="BO217" s="148"/>
      <c r="CO217" s="144" t="s">
        <v>301</v>
      </c>
      <c r="CP217" s="144" t="s">
        <v>83</v>
      </c>
      <c r="CQ217" s="11" t="s">
        <v>81</v>
      </c>
      <c r="CR217" s="11" t="s">
        <v>32</v>
      </c>
      <c r="CS217" s="11" t="s">
        <v>74</v>
      </c>
      <c r="CT217" s="144" t="s">
        <v>282</v>
      </c>
    </row>
    <row r="218" spans="2:112" s="12" customFormat="1" x14ac:dyDescent="0.2">
      <c r="B218" s="149"/>
      <c r="D218" s="138" t="s">
        <v>301</v>
      </c>
      <c r="E218" s="150" t="s">
        <v>1</v>
      </c>
      <c r="F218" s="151" t="s">
        <v>1725</v>
      </c>
      <c r="H218" s="152">
        <v>-0.5</v>
      </c>
      <c r="I218" s="153"/>
      <c r="L218" s="149"/>
      <c r="N218" s="310">
        <f>H218</f>
        <v>-0.5</v>
      </c>
      <c r="O218" s="218"/>
      <c r="Q218" s="231"/>
      <c r="BH218" s="154"/>
      <c r="BO218" s="155"/>
      <c r="CO218" s="150" t="s">
        <v>301</v>
      </c>
      <c r="CP218" s="150" t="s">
        <v>83</v>
      </c>
      <c r="CQ218" s="12" t="s">
        <v>83</v>
      </c>
      <c r="CR218" s="12" t="s">
        <v>32</v>
      </c>
      <c r="CS218" s="12" t="s">
        <v>74</v>
      </c>
      <c r="CT218" s="150" t="s">
        <v>282</v>
      </c>
    </row>
    <row r="219" spans="2:112" s="12" customFormat="1" x14ac:dyDescent="0.2">
      <c r="B219" s="149"/>
      <c r="D219" s="138" t="s">
        <v>301</v>
      </c>
      <c r="E219" s="150" t="s">
        <v>1</v>
      </c>
      <c r="F219" s="151" t="s">
        <v>1726</v>
      </c>
      <c r="H219" s="152">
        <v>-1.5229999999999999</v>
      </c>
      <c r="I219" s="153"/>
      <c r="L219" s="149"/>
      <c r="N219" s="310">
        <f>H219</f>
        <v>-1.5229999999999999</v>
      </c>
      <c r="O219" s="218"/>
      <c r="Q219" s="231"/>
      <c r="BH219" s="154"/>
      <c r="BO219" s="155"/>
      <c r="CO219" s="150" t="s">
        <v>301</v>
      </c>
      <c r="CP219" s="150" t="s">
        <v>83</v>
      </c>
      <c r="CQ219" s="12" t="s">
        <v>83</v>
      </c>
      <c r="CR219" s="12" t="s">
        <v>32</v>
      </c>
      <c r="CS219" s="12" t="s">
        <v>74</v>
      </c>
      <c r="CT219" s="150" t="s">
        <v>282</v>
      </c>
    </row>
    <row r="220" spans="2:112" s="12" customFormat="1" x14ac:dyDescent="0.2">
      <c r="B220" s="149"/>
      <c r="D220" s="138" t="s">
        <v>301</v>
      </c>
      <c r="E220" s="150" t="s">
        <v>1</v>
      </c>
      <c r="F220" s="151" t="s">
        <v>1727</v>
      </c>
      <c r="H220" s="152">
        <v>9.0679999999999996</v>
      </c>
      <c r="I220" s="153"/>
      <c r="L220" s="149"/>
      <c r="N220" s="217">
        <f>14.049*(0.45-0.05)</f>
        <v>5.6196000000000002</v>
      </c>
      <c r="O220" s="218" t="s">
        <v>3802</v>
      </c>
      <c r="Q220" s="231"/>
      <c r="BH220" s="154"/>
      <c r="BO220" s="155"/>
      <c r="CO220" s="150" t="s">
        <v>301</v>
      </c>
      <c r="CP220" s="150" t="s">
        <v>83</v>
      </c>
      <c r="CQ220" s="12" t="s">
        <v>83</v>
      </c>
      <c r="CR220" s="12" t="s">
        <v>32</v>
      </c>
      <c r="CS220" s="12" t="s">
        <v>74</v>
      </c>
      <c r="CT220" s="150" t="s">
        <v>282</v>
      </c>
    </row>
    <row r="221" spans="2:112" s="13" customFormat="1" x14ac:dyDescent="0.2">
      <c r="B221" s="156"/>
      <c r="D221" s="138" t="s">
        <v>301</v>
      </c>
      <c r="E221" s="157" t="s">
        <v>1</v>
      </c>
      <c r="F221" s="158" t="s">
        <v>305</v>
      </c>
      <c r="H221" s="159">
        <v>37.915000000000006</v>
      </c>
      <c r="I221" s="160"/>
      <c r="L221" s="156"/>
      <c r="N221" s="311">
        <f>N212+N214+N216+N218+N219+N220</f>
        <v>22.375100000000003</v>
      </c>
      <c r="O221" s="220"/>
      <c r="Q221" s="232"/>
      <c r="BH221" s="161"/>
      <c r="BO221" s="162"/>
      <c r="CO221" s="157" t="s">
        <v>301</v>
      </c>
      <c r="CP221" s="157" t="s">
        <v>83</v>
      </c>
      <c r="CQ221" s="13" t="s">
        <v>95</v>
      </c>
      <c r="CR221" s="13" t="s">
        <v>32</v>
      </c>
      <c r="CS221" s="13" t="s">
        <v>81</v>
      </c>
      <c r="CT221" s="157" t="s">
        <v>282</v>
      </c>
    </row>
    <row r="222" spans="2:112" s="13" customFormat="1" x14ac:dyDescent="0.2">
      <c r="B222" s="156"/>
      <c r="D222" s="138"/>
      <c r="E222" s="157"/>
      <c r="F222" s="158"/>
      <c r="H222" s="159"/>
      <c r="I222" s="160"/>
      <c r="L222" s="156"/>
      <c r="N222" s="311">
        <f>N221-H221</f>
        <v>-15.539900000000003</v>
      </c>
      <c r="O222" s="220"/>
      <c r="Q222" s="232"/>
      <c r="BH222" s="161"/>
      <c r="BO222" s="162"/>
      <c r="CO222" s="157"/>
      <c r="CP222" s="157"/>
      <c r="CT222" s="157"/>
    </row>
    <row r="223" spans="2:112" s="1" customFormat="1" ht="14.45" customHeight="1" x14ac:dyDescent="0.2">
      <c r="B223" s="124"/>
      <c r="C223" s="170" t="s">
        <v>392</v>
      </c>
      <c r="D223" s="170" t="s">
        <v>439</v>
      </c>
      <c r="E223" s="171" t="s">
        <v>440</v>
      </c>
      <c r="F223" s="172" t="s">
        <v>441</v>
      </c>
      <c r="G223" s="173" t="s">
        <v>418</v>
      </c>
      <c r="H223" s="174">
        <v>71.956000000000003</v>
      </c>
      <c r="I223" s="175">
        <v>390.0974172</v>
      </c>
      <c r="J223" s="176">
        <f>ROUND(I223*H223,2)</f>
        <v>28069.85</v>
      </c>
      <c r="K223" s="172" t="s">
        <v>293</v>
      </c>
      <c r="L223" s="268">
        <f>S223</f>
        <v>0</v>
      </c>
      <c r="M223" s="272">
        <f>ROUND(L223*I223,2)</f>
        <v>0</v>
      </c>
      <c r="N223" s="243">
        <f>N234</f>
        <v>-32.045100000000005</v>
      </c>
      <c r="O223" s="294">
        <f>ROUND(N223*I223,2)</f>
        <v>-12500.71</v>
      </c>
      <c r="P223" s="273">
        <f>H223-L223-N223</f>
        <v>104.00110000000001</v>
      </c>
      <c r="Q223" s="287">
        <f>ROUND(P223*I223,2)</f>
        <v>40570.559999999998</v>
      </c>
      <c r="R223" s="137"/>
      <c r="S223" s="269">
        <f>W223+Y223+AA223+AC223</f>
        <v>0</v>
      </c>
      <c r="T223" s="269">
        <f>ROUND(S223*I223,2)</f>
        <v>0</v>
      </c>
      <c r="U223" s="269">
        <f>H223-S223</f>
        <v>71.956000000000003</v>
      </c>
      <c r="V223" s="269">
        <f>ROUND(U223*I223,2)</f>
        <v>28069.85</v>
      </c>
      <c r="W223" s="290"/>
      <c r="X223" s="290"/>
      <c r="Y223" s="290"/>
      <c r="Z223" s="290"/>
      <c r="AA223" s="290"/>
      <c r="AB223" s="290"/>
      <c r="AC223" s="290"/>
      <c r="AD223" s="290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77" t="s">
        <v>1</v>
      </c>
      <c r="BI223" s="178" t="s">
        <v>40</v>
      </c>
      <c r="BK223" s="134">
        <f>BJ223*H223</f>
        <v>0</v>
      </c>
      <c r="BL223" s="134">
        <v>1</v>
      </c>
      <c r="BM223" s="134">
        <f>BL223*H223</f>
        <v>71.956000000000003</v>
      </c>
      <c r="BN223" s="134">
        <v>0</v>
      </c>
      <c r="BO223" s="135">
        <f>BN223*H223</f>
        <v>0</v>
      </c>
      <c r="CM223" s="136" t="s">
        <v>328</v>
      </c>
      <c r="CO223" s="136" t="s">
        <v>439</v>
      </c>
      <c r="CP223" s="136" t="s">
        <v>83</v>
      </c>
      <c r="CT223" s="16" t="s">
        <v>282</v>
      </c>
      <c r="CZ223" s="137">
        <f>IF(BI223="základní",J223,0)</f>
        <v>28069.85</v>
      </c>
      <c r="DA223" s="137">
        <f>IF(BI223="snížená",J223,0)</f>
        <v>0</v>
      </c>
      <c r="DB223" s="137">
        <f>IF(BI223="zákl. přenesená",J223,0)</f>
        <v>0</v>
      </c>
      <c r="DC223" s="137">
        <f>IF(BI223="sníž. přenesená",J223,0)</f>
        <v>0</v>
      </c>
      <c r="DD223" s="137">
        <f>IF(BI223="nulová",J223,0)</f>
        <v>0</v>
      </c>
      <c r="DE223" s="16" t="s">
        <v>81</v>
      </c>
      <c r="DF223" s="137">
        <f>ROUND(I223*H223,2)</f>
        <v>28069.85</v>
      </c>
      <c r="DG223" s="16" t="s">
        <v>95</v>
      </c>
      <c r="DH223" s="136" t="s">
        <v>442</v>
      </c>
    </row>
    <row r="224" spans="2:112" s="1" customFormat="1" x14ac:dyDescent="0.2">
      <c r="B224" s="31"/>
      <c r="D224" s="138" t="s">
        <v>289</v>
      </c>
      <c r="F224" s="139" t="s">
        <v>441</v>
      </c>
      <c r="I224" s="140"/>
      <c r="L224" s="31"/>
      <c r="N224" s="213"/>
      <c r="O224" s="214"/>
      <c r="Q224" s="229"/>
      <c r="BH224" s="141"/>
      <c r="BO224" s="50"/>
      <c r="CO224" s="16" t="s">
        <v>289</v>
      </c>
      <c r="CP224" s="16" t="s">
        <v>83</v>
      </c>
    </row>
    <row r="225" spans="2:112" s="1" customFormat="1" ht="19.5" x14ac:dyDescent="0.2">
      <c r="B225" s="31"/>
      <c r="D225" s="138" t="s">
        <v>299</v>
      </c>
      <c r="F225" s="142" t="s">
        <v>443</v>
      </c>
      <c r="I225" s="140"/>
      <c r="L225" s="31"/>
      <c r="N225" s="213"/>
      <c r="O225" s="214"/>
      <c r="Q225" s="229"/>
      <c r="BH225" s="141"/>
      <c r="BO225" s="50"/>
      <c r="CO225" s="16" t="s">
        <v>299</v>
      </c>
      <c r="CP225" s="16" t="s">
        <v>83</v>
      </c>
    </row>
    <row r="226" spans="2:112" s="11" customFormat="1" x14ac:dyDescent="0.2">
      <c r="B226" s="143"/>
      <c r="D226" s="138" t="s">
        <v>301</v>
      </c>
      <c r="E226" s="144" t="s">
        <v>1</v>
      </c>
      <c r="F226" s="145" t="s">
        <v>1006</v>
      </c>
      <c r="H226" s="144" t="s">
        <v>1</v>
      </c>
      <c r="I226" s="146"/>
      <c r="L226" s="143"/>
      <c r="N226" s="215"/>
      <c r="O226" s="216"/>
      <c r="Q226" s="230"/>
      <c r="BH226" s="147"/>
      <c r="BO226" s="148"/>
      <c r="CO226" s="144" t="s">
        <v>301</v>
      </c>
      <c r="CP226" s="144" t="s">
        <v>83</v>
      </c>
      <c r="CQ226" s="11" t="s">
        <v>81</v>
      </c>
      <c r="CR226" s="11" t="s">
        <v>32</v>
      </c>
      <c r="CS226" s="11" t="s">
        <v>74</v>
      </c>
      <c r="CT226" s="144" t="s">
        <v>282</v>
      </c>
    </row>
    <row r="227" spans="2:112" s="12" customFormat="1" x14ac:dyDescent="0.2">
      <c r="B227" s="149"/>
      <c r="D227" s="138" t="s">
        <v>301</v>
      </c>
      <c r="E227" s="150" t="s">
        <v>1</v>
      </c>
      <c r="F227" s="151" t="s">
        <v>1728</v>
      </c>
      <c r="H227" s="152">
        <v>39.914999999999999</v>
      </c>
      <c r="I227" s="153"/>
      <c r="L227" s="149"/>
      <c r="N227" s="217">
        <v>22.375</v>
      </c>
      <c r="O227" s="218"/>
      <c r="Q227" s="231"/>
      <c r="BH227" s="154"/>
      <c r="BO227" s="155"/>
      <c r="CO227" s="150" t="s">
        <v>301</v>
      </c>
      <c r="CP227" s="150" t="s">
        <v>83</v>
      </c>
      <c r="CQ227" s="12" t="s">
        <v>83</v>
      </c>
      <c r="CR227" s="12" t="s">
        <v>32</v>
      </c>
      <c r="CS227" s="12" t="s">
        <v>74</v>
      </c>
      <c r="CT227" s="150" t="s">
        <v>282</v>
      </c>
    </row>
    <row r="228" spans="2:112" s="14" customFormat="1" x14ac:dyDescent="0.2">
      <c r="B228" s="163"/>
      <c r="D228" s="138" t="s">
        <v>301</v>
      </c>
      <c r="E228" s="164" t="s">
        <v>1</v>
      </c>
      <c r="F228" s="165" t="s">
        <v>373</v>
      </c>
      <c r="H228" s="166">
        <v>39.914999999999999</v>
      </c>
      <c r="I228" s="167"/>
      <c r="L228" s="163"/>
      <c r="N228" s="221">
        <f>N227</f>
        <v>22.375</v>
      </c>
      <c r="O228" s="222"/>
      <c r="Q228" s="233"/>
      <c r="BH228" s="168"/>
      <c r="BO228" s="169"/>
      <c r="CO228" s="164" t="s">
        <v>301</v>
      </c>
      <c r="CP228" s="164" t="s">
        <v>83</v>
      </c>
      <c r="CQ228" s="14" t="s">
        <v>90</v>
      </c>
      <c r="CR228" s="14" t="s">
        <v>32</v>
      </c>
      <c r="CS228" s="14" t="s">
        <v>74</v>
      </c>
      <c r="CT228" s="164" t="s">
        <v>282</v>
      </c>
    </row>
    <row r="229" spans="2:112" s="11" customFormat="1" x14ac:dyDescent="0.2">
      <c r="B229" s="143"/>
      <c r="D229" s="138" t="s">
        <v>301</v>
      </c>
      <c r="E229" s="144" t="s">
        <v>1</v>
      </c>
      <c r="F229" s="145" t="s">
        <v>1102</v>
      </c>
      <c r="H229" s="144" t="s">
        <v>1</v>
      </c>
      <c r="I229" s="146"/>
      <c r="L229" s="143"/>
      <c r="N229" s="215"/>
      <c r="O229" s="216"/>
      <c r="Q229" s="230"/>
      <c r="BH229" s="147"/>
      <c r="BO229" s="148"/>
      <c r="CO229" s="144" t="s">
        <v>301</v>
      </c>
      <c r="CP229" s="144" t="s">
        <v>83</v>
      </c>
      <c r="CQ229" s="11" t="s">
        <v>81</v>
      </c>
      <c r="CR229" s="11" t="s">
        <v>32</v>
      </c>
      <c r="CS229" s="11" t="s">
        <v>74</v>
      </c>
      <c r="CT229" s="144" t="s">
        <v>282</v>
      </c>
    </row>
    <row r="230" spans="2:112" s="12" customFormat="1" x14ac:dyDescent="0.2">
      <c r="B230" s="149"/>
      <c r="D230" s="138" t="s">
        <v>301</v>
      </c>
      <c r="E230" s="150" t="s">
        <v>1</v>
      </c>
      <c r="F230" s="151" t="s">
        <v>1718</v>
      </c>
      <c r="H230" s="152">
        <v>3.9369999999999998</v>
      </c>
      <c r="I230" s="153"/>
      <c r="L230" s="149"/>
      <c r="N230" s="217">
        <f>15.61*1*(2.2-0.1-0.45-0.1)*0.1</f>
        <v>2.4195500000000001</v>
      </c>
      <c r="O230" s="218" t="s">
        <v>3796</v>
      </c>
      <c r="Q230" s="231"/>
      <c r="BH230" s="154"/>
      <c r="BO230" s="155"/>
      <c r="CO230" s="150" t="s">
        <v>301</v>
      </c>
      <c r="CP230" s="150" t="s">
        <v>83</v>
      </c>
      <c r="CQ230" s="12" t="s">
        <v>83</v>
      </c>
      <c r="CR230" s="12" t="s">
        <v>32</v>
      </c>
      <c r="CS230" s="12" t="s">
        <v>74</v>
      </c>
      <c r="CT230" s="150" t="s">
        <v>282</v>
      </c>
    </row>
    <row r="231" spans="2:112" s="14" customFormat="1" x14ac:dyDescent="0.2">
      <c r="B231" s="163"/>
      <c r="D231" s="138" t="s">
        <v>301</v>
      </c>
      <c r="E231" s="164" t="s">
        <v>1</v>
      </c>
      <c r="F231" s="165" t="s">
        <v>373</v>
      </c>
      <c r="H231" s="166">
        <v>3.9369999999999998</v>
      </c>
      <c r="I231" s="167"/>
      <c r="L231" s="163"/>
      <c r="N231" s="221">
        <f>N230</f>
        <v>2.4195500000000001</v>
      </c>
      <c r="O231" s="222"/>
      <c r="Q231" s="233"/>
      <c r="BH231" s="168"/>
      <c r="BO231" s="169"/>
      <c r="CO231" s="164" t="s">
        <v>301</v>
      </c>
      <c r="CP231" s="164" t="s">
        <v>83</v>
      </c>
      <c r="CQ231" s="14" t="s">
        <v>90</v>
      </c>
      <c r="CR231" s="14" t="s">
        <v>32</v>
      </c>
      <c r="CS231" s="14" t="s">
        <v>74</v>
      </c>
      <c r="CT231" s="164" t="s">
        <v>282</v>
      </c>
    </row>
    <row r="232" spans="2:112" s="12" customFormat="1" x14ac:dyDescent="0.2">
      <c r="B232" s="149"/>
      <c r="D232" s="138" t="s">
        <v>301</v>
      </c>
      <c r="E232" s="150" t="s">
        <v>1</v>
      </c>
      <c r="F232" s="151" t="s">
        <v>1729</v>
      </c>
      <c r="H232" s="152">
        <v>35.978000000000002</v>
      </c>
      <c r="I232" s="153"/>
      <c r="L232" s="149"/>
      <c r="N232" s="217">
        <f>N228-N231</f>
        <v>19.955449999999999</v>
      </c>
      <c r="O232" s="218"/>
      <c r="Q232" s="231"/>
      <c r="BH232" s="154"/>
      <c r="BO232" s="155"/>
      <c r="CO232" s="150" t="s">
        <v>301</v>
      </c>
      <c r="CP232" s="150" t="s">
        <v>83</v>
      </c>
      <c r="CQ232" s="12" t="s">
        <v>83</v>
      </c>
      <c r="CR232" s="12" t="s">
        <v>32</v>
      </c>
      <c r="CS232" s="12" t="s">
        <v>81</v>
      </c>
      <c r="CT232" s="150" t="s">
        <v>282</v>
      </c>
    </row>
    <row r="233" spans="2:112" s="12" customFormat="1" x14ac:dyDescent="0.2">
      <c r="B233" s="149"/>
      <c r="D233" s="138" t="s">
        <v>301</v>
      </c>
      <c r="F233" s="151" t="s">
        <v>1730</v>
      </c>
      <c r="H233" s="152">
        <v>71.956000000000003</v>
      </c>
      <c r="I233" s="153"/>
      <c r="L233" s="149"/>
      <c r="N233" s="217">
        <f>N232*2</f>
        <v>39.910899999999998</v>
      </c>
      <c r="O233" s="218"/>
      <c r="Q233" s="231"/>
      <c r="BH233" s="154"/>
      <c r="BO233" s="155"/>
      <c r="CO233" s="150" t="s">
        <v>301</v>
      </c>
      <c r="CP233" s="150" t="s">
        <v>83</v>
      </c>
      <c r="CQ233" s="12" t="s">
        <v>83</v>
      </c>
      <c r="CR233" s="12" t="s">
        <v>3</v>
      </c>
      <c r="CS233" s="12" t="s">
        <v>81</v>
      </c>
      <c r="CT233" s="150" t="s">
        <v>282</v>
      </c>
    </row>
    <row r="234" spans="2:112" s="12" customFormat="1" x14ac:dyDescent="0.2">
      <c r="B234" s="149"/>
      <c r="D234" s="138"/>
      <c r="F234" s="151"/>
      <c r="H234" s="152"/>
      <c r="I234" s="153"/>
      <c r="L234" s="149"/>
      <c r="N234" s="310">
        <f>N233-H233</f>
        <v>-32.045100000000005</v>
      </c>
      <c r="O234" s="218"/>
      <c r="Q234" s="231"/>
      <c r="BH234" s="154"/>
      <c r="BO234" s="155"/>
      <c r="CO234" s="150"/>
      <c r="CP234" s="150"/>
      <c r="CT234" s="150"/>
    </row>
    <row r="235" spans="2:112" s="1" customFormat="1" ht="24.2" customHeight="1" x14ac:dyDescent="0.2">
      <c r="B235" s="124"/>
      <c r="C235" s="125" t="s">
        <v>397</v>
      </c>
      <c r="D235" s="125" t="s">
        <v>284</v>
      </c>
      <c r="E235" s="126" t="s">
        <v>446</v>
      </c>
      <c r="F235" s="127" t="s">
        <v>447</v>
      </c>
      <c r="G235" s="128" t="s">
        <v>366</v>
      </c>
      <c r="H235" s="129">
        <v>11.43</v>
      </c>
      <c r="I235" s="130">
        <v>510.38291484661499</v>
      </c>
      <c r="J235" s="131">
        <f>ROUND(I235*H235,2)</f>
        <v>5833.68</v>
      </c>
      <c r="K235" s="127" t="s">
        <v>293</v>
      </c>
      <c r="L235" s="268">
        <f>S235</f>
        <v>0</v>
      </c>
      <c r="M235" s="272">
        <f>ROUND(L235*I235,2)</f>
        <v>0</v>
      </c>
      <c r="N235" s="243">
        <f>N239</f>
        <v>-4.4055</v>
      </c>
      <c r="O235" s="294">
        <f>ROUND(N235*I235,2)</f>
        <v>-2248.4899999999998</v>
      </c>
      <c r="P235" s="273">
        <f>H235-L235-N235</f>
        <v>15.8355</v>
      </c>
      <c r="Q235" s="287">
        <f>ROUND(P235*I235,2)</f>
        <v>8082.17</v>
      </c>
      <c r="R235" s="137"/>
      <c r="S235" s="269">
        <f>W235+Y235+AA235+AC235</f>
        <v>0</v>
      </c>
      <c r="T235" s="269">
        <f>ROUND(S235*I235,2)</f>
        <v>0</v>
      </c>
      <c r="U235" s="269">
        <f>H235-S235</f>
        <v>11.43</v>
      </c>
      <c r="V235" s="269">
        <f>ROUND(U235*I235,2)</f>
        <v>5833.68</v>
      </c>
      <c r="W235" s="269"/>
      <c r="X235" s="269"/>
      <c r="Y235" s="269"/>
      <c r="Z235" s="269"/>
      <c r="AA235" s="269"/>
      <c r="AB235" s="269"/>
      <c r="AC235" s="269"/>
      <c r="AD235" s="269"/>
      <c r="BH235" s="132" t="s">
        <v>1</v>
      </c>
      <c r="BI235" s="133" t="s">
        <v>40</v>
      </c>
      <c r="BK235" s="134">
        <f>BJ235*H235</f>
        <v>0</v>
      </c>
      <c r="BL235" s="134">
        <v>0</v>
      </c>
      <c r="BM235" s="134">
        <f>BL235*H235</f>
        <v>0</v>
      </c>
      <c r="BN235" s="134">
        <v>0</v>
      </c>
      <c r="BO235" s="135">
        <f>BN235*H235</f>
        <v>0</v>
      </c>
      <c r="CM235" s="136" t="s">
        <v>95</v>
      </c>
      <c r="CO235" s="136" t="s">
        <v>284</v>
      </c>
      <c r="CP235" s="136" t="s">
        <v>83</v>
      </c>
      <c r="CT235" s="16" t="s">
        <v>282</v>
      </c>
      <c r="CZ235" s="137">
        <f>IF(BI235="základní",J235,0)</f>
        <v>5833.68</v>
      </c>
      <c r="DA235" s="137">
        <f>IF(BI235="snížená",J235,0)</f>
        <v>0</v>
      </c>
      <c r="DB235" s="137">
        <f>IF(BI235="zákl. přenesená",J235,0)</f>
        <v>0</v>
      </c>
      <c r="DC235" s="137">
        <f>IF(BI235="sníž. přenesená",J235,0)</f>
        <v>0</v>
      </c>
      <c r="DD235" s="137">
        <f>IF(BI235="nulová",J235,0)</f>
        <v>0</v>
      </c>
      <c r="DE235" s="16" t="s">
        <v>81</v>
      </c>
      <c r="DF235" s="137">
        <f>ROUND(I235*H235,2)</f>
        <v>5833.68</v>
      </c>
      <c r="DG235" s="16" t="s">
        <v>95</v>
      </c>
      <c r="DH235" s="136" t="s">
        <v>448</v>
      </c>
    </row>
    <row r="236" spans="2:112" s="1" customFormat="1" ht="39" x14ac:dyDescent="0.2">
      <c r="B236" s="31"/>
      <c r="D236" s="138" t="s">
        <v>289</v>
      </c>
      <c r="F236" s="139" t="s">
        <v>449</v>
      </c>
      <c r="I236" s="140"/>
      <c r="L236" s="31"/>
      <c r="N236" s="213"/>
      <c r="O236" s="214"/>
      <c r="Q236" s="229"/>
      <c r="BH236" s="141"/>
      <c r="BO236" s="50"/>
      <c r="CO236" s="16" t="s">
        <v>289</v>
      </c>
      <c r="CP236" s="16" t="s">
        <v>83</v>
      </c>
    </row>
    <row r="237" spans="2:112" s="1" customFormat="1" ht="29.25" x14ac:dyDescent="0.2">
      <c r="B237" s="31"/>
      <c r="D237" s="138" t="s">
        <v>299</v>
      </c>
      <c r="F237" s="142" t="s">
        <v>1659</v>
      </c>
      <c r="I237" s="140"/>
      <c r="L237" s="31"/>
      <c r="N237" s="213"/>
      <c r="O237" s="214"/>
      <c r="Q237" s="229"/>
      <c r="BH237" s="141"/>
      <c r="BO237" s="50"/>
      <c r="CO237" s="16" t="s">
        <v>299</v>
      </c>
      <c r="CP237" s="16" t="s">
        <v>83</v>
      </c>
    </row>
    <row r="238" spans="2:112" s="12" customFormat="1" x14ac:dyDescent="0.2">
      <c r="B238" s="149"/>
      <c r="D238" s="138" t="s">
        <v>301</v>
      </c>
      <c r="E238" s="150" t="s">
        <v>1</v>
      </c>
      <c r="F238" s="151" t="s">
        <v>1731</v>
      </c>
      <c r="H238" s="152">
        <v>11.43</v>
      </c>
      <c r="I238" s="153"/>
      <c r="L238" s="149"/>
      <c r="N238" s="217">
        <f>15.61*1*0.45</f>
        <v>7.0244999999999997</v>
      </c>
      <c r="O238" s="218" t="s">
        <v>3798</v>
      </c>
      <c r="Q238" s="231"/>
      <c r="BH238" s="154"/>
      <c r="BO238" s="155"/>
      <c r="CO238" s="150" t="s">
        <v>301</v>
      </c>
      <c r="CP238" s="150" t="s">
        <v>83</v>
      </c>
      <c r="CQ238" s="12" t="s">
        <v>83</v>
      </c>
      <c r="CR238" s="12" t="s">
        <v>32</v>
      </c>
      <c r="CS238" s="12" t="s">
        <v>81</v>
      </c>
      <c r="CT238" s="150" t="s">
        <v>282</v>
      </c>
    </row>
    <row r="239" spans="2:112" s="12" customFormat="1" x14ac:dyDescent="0.2">
      <c r="B239" s="149"/>
      <c r="D239" s="138"/>
      <c r="E239" s="150"/>
      <c r="F239" s="151"/>
      <c r="H239" s="152"/>
      <c r="I239" s="153"/>
      <c r="L239" s="149"/>
      <c r="N239" s="310">
        <f>N238-H238</f>
        <v>-4.4055</v>
      </c>
      <c r="O239" s="218"/>
      <c r="Q239" s="231"/>
      <c r="BH239" s="154"/>
      <c r="BO239" s="155"/>
      <c r="CO239" s="150"/>
      <c r="CP239" s="150"/>
      <c r="CT239" s="150"/>
    </row>
    <row r="240" spans="2:112" s="1" customFormat="1" ht="14.45" customHeight="1" x14ac:dyDescent="0.2">
      <c r="B240" s="124"/>
      <c r="C240" s="170" t="s">
        <v>404</v>
      </c>
      <c r="D240" s="170" t="s">
        <v>439</v>
      </c>
      <c r="E240" s="171" t="s">
        <v>452</v>
      </c>
      <c r="F240" s="172" t="s">
        <v>453</v>
      </c>
      <c r="G240" s="173" t="s">
        <v>418</v>
      </c>
      <c r="H240" s="174">
        <v>22.86</v>
      </c>
      <c r="I240" s="175">
        <v>380.62816190000001</v>
      </c>
      <c r="J240" s="176">
        <f>ROUND(I240*H240,2)</f>
        <v>8701.16</v>
      </c>
      <c r="K240" s="172" t="s">
        <v>293</v>
      </c>
      <c r="L240" s="268">
        <f>S240</f>
        <v>0</v>
      </c>
      <c r="M240" s="272">
        <f>ROUND(L240*I240,2)</f>
        <v>0</v>
      </c>
      <c r="N240" s="243">
        <f>N242</f>
        <v>-8.8119999999999994</v>
      </c>
      <c r="O240" s="294">
        <f>ROUND(N240*I240,2)</f>
        <v>-3354.1</v>
      </c>
      <c r="P240" s="273">
        <f>H240-L240-N240</f>
        <v>31.671999999999997</v>
      </c>
      <c r="Q240" s="287">
        <f>ROUND(P240*I240,2)</f>
        <v>12055.26</v>
      </c>
      <c r="R240" s="137"/>
      <c r="S240" s="269">
        <f>W240+Y240+AA240+AC240</f>
        <v>0</v>
      </c>
      <c r="T240" s="269">
        <f>ROUND(S240*I240,2)</f>
        <v>0</v>
      </c>
      <c r="U240" s="269">
        <f>H240-S240</f>
        <v>22.86</v>
      </c>
      <c r="V240" s="269">
        <f>ROUND(U240*I240,2)</f>
        <v>8701.16</v>
      </c>
      <c r="W240" s="290"/>
      <c r="X240" s="290"/>
      <c r="Y240" s="290"/>
      <c r="Z240" s="290"/>
      <c r="AA240" s="290"/>
      <c r="AB240" s="290"/>
      <c r="AC240" s="290"/>
      <c r="AD240" s="290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77" t="s">
        <v>1</v>
      </c>
      <c r="BI240" s="178" t="s">
        <v>40</v>
      </c>
      <c r="BK240" s="134">
        <f>BJ240*H240</f>
        <v>0</v>
      </c>
      <c r="BL240" s="134">
        <v>1</v>
      </c>
      <c r="BM240" s="134">
        <f>BL240*H240</f>
        <v>22.86</v>
      </c>
      <c r="BN240" s="134">
        <v>0</v>
      </c>
      <c r="BO240" s="135">
        <f>BN240*H240</f>
        <v>0</v>
      </c>
      <c r="CM240" s="136" t="s">
        <v>328</v>
      </c>
      <c r="CO240" s="136" t="s">
        <v>439</v>
      </c>
      <c r="CP240" s="136" t="s">
        <v>83</v>
      </c>
      <c r="CT240" s="16" t="s">
        <v>282</v>
      </c>
      <c r="CZ240" s="137">
        <f>IF(BI240="základní",J240,0)</f>
        <v>8701.16</v>
      </c>
      <c r="DA240" s="137">
        <f>IF(BI240="snížená",J240,0)</f>
        <v>0</v>
      </c>
      <c r="DB240" s="137">
        <f>IF(BI240="zákl. přenesená",J240,0)</f>
        <v>0</v>
      </c>
      <c r="DC240" s="137">
        <f>IF(BI240="sníž. přenesená",J240,0)</f>
        <v>0</v>
      </c>
      <c r="DD240" s="137">
        <f>IF(BI240="nulová",J240,0)</f>
        <v>0</v>
      </c>
      <c r="DE240" s="16" t="s">
        <v>81</v>
      </c>
      <c r="DF240" s="137">
        <f>ROUND(I240*H240,2)</f>
        <v>8701.16</v>
      </c>
      <c r="DG240" s="16" t="s">
        <v>95</v>
      </c>
      <c r="DH240" s="136" t="s">
        <v>454</v>
      </c>
    </row>
    <row r="241" spans="2:112" s="1" customFormat="1" x14ac:dyDescent="0.2">
      <c r="B241" s="31"/>
      <c r="D241" s="138" t="s">
        <v>289</v>
      </c>
      <c r="F241" s="139" t="s">
        <v>453</v>
      </c>
      <c r="I241" s="140"/>
      <c r="L241" s="31"/>
      <c r="N241" s="213"/>
      <c r="O241" s="214"/>
      <c r="Q241" s="229"/>
      <c r="BH241" s="141"/>
      <c r="BO241" s="50"/>
      <c r="CO241" s="16" t="s">
        <v>289</v>
      </c>
      <c r="CP241" s="16" t="s">
        <v>83</v>
      </c>
    </row>
    <row r="242" spans="2:112" s="12" customFormat="1" x14ac:dyDescent="0.2">
      <c r="B242" s="149"/>
      <c r="D242" s="138" t="s">
        <v>301</v>
      </c>
      <c r="F242" s="151" t="s">
        <v>1732</v>
      </c>
      <c r="H242" s="152">
        <v>22.86</v>
      </c>
      <c r="I242" s="153"/>
      <c r="L242" s="149"/>
      <c r="N242" s="217">
        <f>-4.406*2</f>
        <v>-8.8119999999999994</v>
      </c>
      <c r="O242" s="218" t="s">
        <v>3799</v>
      </c>
      <c r="Q242" s="231"/>
      <c r="BH242" s="154"/>
      <c r="BO242" s="155"/>
      <c r="CO242" s="150" t="s">
        <v>301</v>
      </c>
      <c r="CP242" s="150" t="s">
        <v>83</v>
      </c>
      <c r="CQ242" s="12" t="s">
        <v>83</v>
      </c>
      <c r="CR242" s="12" t="s">
        <v>3</v>
      </c>
      <c r="CS242" s="12" t="s">
        <v>81</v>
      </c>
      <c r="CT242" s="150" t="s">
        <v>282</v>
      </c>
    </row>
    <row r="243" spans="2:112" s="1" customFormat="1" ht="24.2" customHeight="1" x14ac:dyDescent="0.2">
      <c r="B243" s="124"/>
      <c r="C243" s="125" t="s">
        <v>7</v>
      </c>
      <c r="D243" s="125" t="s">
        <v>284</v>
      </c>
      <c r="E243" s="126" t="s">
        <v>1012</v>
      </c>
      <c r="F243" s="127" t="s">
        <v>1013</v>
      </c>
      <c r="G243" s="128" t="s">
        <v>287</v>
      </c>
      <c r="H243" s="129">
        <v>7.62</v>
      </c>
      <c r="I243" s="130">
        <v>64.410667599999996</v>
      </c>
      <c r="J243" s="131">
        <f>ROUND(I243*H243,2)</f>
        <v>490.81</v>
      </c>
      <c r="K243" s="127" t="s">
        <v>1</v>
      </c>
      <c r="L243" s="268">
        <f>S243</f>
        <v>0</v>
      </c>
      <c r="M243" s="272">
        <f>ROUND(L243*I243,2)</f>
        <v>0</v>
      </c>
      <c r="N243" s="243">
        <f>N245</f>
        <v>-2.9370000000000003</v>
      </c>
      <c r="O243" s="294">
        <f>ROUND(N243*I243,2)</f>
        <v>-189.17</v>
      </c>
      <c r="P243" s="273">
        <f>H243-L243-N243</f>
        <v>10.557</v>
      </c>
      <c r="Q243" s="287">
        <f>ROUND(P243*I243,2)</f>
        <v>679.98</v>
      </c>
      <c r="R243" s="137"/>
      <c r="S243" s="269">
        <f>W243+Y243+AA243+AC243</f>
        <v>0</v>
      </c>
      <c r="T243" s="269">
        <f>ROUND(S243*I243,2)</f>
        <v>0</v>
      </c>
      <c r="U243" s="269">
        <f>H243-S243</f>
        <v>7.62</v>
      </c>
      <c r="V243" s="269">
        <f>ROUND(U243*I243,2)</f>
        <v>490.81</v>
      </c>
      <c r="W243" s="269"/>
      <c r="X243" s="269"/>
      <c r="Y243" s="269"/>
      <c r="Z243" s="269"/>
      <c r="AA243" s="269"/>
      <c r="AB243" s="269"/>
      <c r="AC243" s="269"/>
      <c r="AD243" s="269"/>
      <c r="BH243" s="132" t="s">
        <v>1</v>
      </c>
      <c r="BI243" s="133" t="s">
        <v>40</v>
      </c>
      <c r="BK243" s="134">
        <f>BJ243*H243</f>
        <v>0</v>
      </c>
      <c r="BL243" s="134">
        <v>0</v>
      </c>
      <c r="BM243" s="134">
        <f>BL243*H243</f>
        <v>0</v>
      </c>
      <c r="BN243" s="134">
        <v>0</v>
      </c>
      <c r="BO243" s="135">
        <f>BN243*H243</f>
        <v>0</v>
      </c>
      <c r="CM243" s="136" t="s">
        <v>95</v>
      </c>
      <c r="CO243" s="136" t="s">
        <v>284</v>
      </c>
      <c r="CP243" s="136" t="s">
        <v>83</v>
      </c>
      <c r="CT243" s="16" t="s">
        <v>282</v>
      </c>
      <c r="CZ243" s="137">
        <f>IF(BI243="základní",J243,0)</f>
        <v>490.81</v>
      </c>
      <c r="DA243" s="137">
        <f>IF(BI243="snížená",J243,0)</f>
        <v>0</v>
      </c>
      <c r="DB243" s="137">
        <f>IF(BI243="zákl. přenesená",J243,0)</f>
        <v>0</v>
      </c>
      <c r="DC243" s="137">
        <f>IF(BI243="sníž. přenesená",J243,0)</f>
        <v>0</v>
      </c>
      <c r="DD243" s="137">
        <f>IF(BI243="nulová",J243,0)</f>
        <v>0</v>
      </c>
      <c r="DE243" s="16" t="s">
        <v>81</v>
      </c>
      <c r="DF243" s="137">
        <f>ROUND(I243*H243,2)</f>
        <v>490.81</v>
      </c>
      <c r="DG243" s="16" t="s">
        <v>95</v>
      </c>
      <c r="DH243" s="136" t="s">
        <v>1014</v>
      </c>
    </row>
    <row r="244" spans="2:112" s="1" customFormat="1" x14ac:dyDescent="0.2">
      <c r="B244" s="31"/>
      <c r="D244" s="138" t="s">
        <v>289</v>
      </c>
      <c r="F244" s="139" t="s">
        <v>1013</v>
      </c>
      <c r="I244" s="140"/>
      <c r="L244" s="31"/>
      <c r="N244" s="213"/>
      <c r="O244" s="214"/>
      <c r="Q244" s="229"/>
      <c r="BH244" s="141"/>
      <c r="BO244" s="50"/>
      <c r="CO244" s="16" t="s">
        <v>289</v>
      </c>
      <c r="CP244" s="16" t="s">
        <v>83</v>
      </c>
    </row>
    <row r="245" spans="2:112" s="1" customFormat="1" ht="24.2" customHeight="1" x14ac:dyDescent="0.2">
      <c r="B245" s="124"/>
      <c r="C245" s="125" t="s">
        <v>415</v>
      </c>
      <c r="D245" s="125" t="s">
        <v>284</v>
      </c>
      <c r="E245" s="126" t="s">
        <v>1015</v>
      </c>
      <c r="F245" s="127" t="s">
        <v>1016</v>
      </c>
      <c r="G245" s="128" t="s">
        <v>287</v>
      </c>
      <c r="H245" s="129">
        <v>7.62</v>
      </c>
      <c r="I245" s="130">
        <v>48.300657632010001</v>
      </c>
      <c r="J245" s="131">
        <f>ROUND(I245*H245,2)</f>
        <v>368.05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N250</f>
        <v>-2.9370000000000003</v>
      </c>
      <c r="O245" s="294">
        <f>ROUND(N245*I245,2)</f>
        <v>-141.86000000000001</v>
      </c>
      <c r="P245" s="273">
        <f>H245-L245-N245</f>
        <v>10.557</v>
      </c>
      <c r="Q245" s="287">
        <f>ROUND(P245*I245,2)</f>
        <v>509.91</v>
      </c>
      <c r="R245" s="137"/>
      <c r="S245" s="269">
        <f>W245+Y245+AA245+AC245</f>
        <v>0</v>
      </c>
      <c r="T245" s="269">
        <f>ROUND(S245*I245,2)</f>
        <v>0</v>
      </c>
      <c r="U245" s="269">
        <f>H245-S245</f>
        <v>7.62</v>
      </c>
      <c r="V245" s="269">
        <f>ROUND(U245*I245,2)</f>
        <v>368.05</v>
      </c>
      <c r="W245" s="269"/>
      <c r="X245" s="269"/>
      <c r="Y245" s="269"/>
      <c r="Z245" s="269"/>
      <c r="AA245" s="269"/>
      <c r="AB245" s="269"/>
      <c r="AC245" s="269"/>
      <c r="AD245" s="269"/>
      <c r="BH245" s="132" t="s">
        <v>1</v>
      </c>
      <c r="BI245" s="133" t="s">
        <v>40</v>
      </c>
      <c r="BK245" s="134">
        <f>BJ245*H245</f>
        <v>0</v>
      </c>
      <c r="BL245" s="134">
        <v>0</v>
      </c>
      <c r="BM245" s="134">
        <f>BL245*H245</f>
        <v>0</v>
      </c>
      <c r="BN245" s="134">
        <v>0</v>
      </c>
      <c r="BO245" s="135">
        <f>BN245*H245</f>
        <v>0</v>
      </c>
      <c r="CM245" s="136" t="s">
        <v>95</v>
      </c>
      <c r="CO245" s="136" t="s">
        <v>284</v>
      </c>
      <c r="CP245" s="136" t="s">
        <v>83</v>
      </c>
      <c r="CT245" s="16" t="s">
        <v>282</v>
      </c>
      <c r="CZ245" s="137">
        <f>IF(BI245="základní",J245,0)</f>
        <v>368.05</v>
      </c>
      <c r="DA245" s="137">
        <f>IF(BI245="snížená",J245,0)</f>
        <v>0</v>
      </c>
      <c r="DB245" s="137">
        <f>IF(BI245="zákl. přenesená",J245,0)</f>
        <v>0</v>
      </c>
      <c r="DC245" s="137">
        <f>IF(BI245="sníž. přenesená",J245,0)</f>
        <v>0</v>
      </c>
      <c r="DD245" s="137">
        <f>IF(BI245="nulová",J245,0)</f>
        <v>0</v>
      </c>
      <c r="DE245" s="16" t="s">
        <v>81</v>
      </c>
      <c r="DF245" s="137">
        <f>ROUND(I245*H245,2)</f>
        <v>368.05</v>
      </c>
      <c r="DG245" s="16" t="s">
        <v>95</v>
      </c>
      <c r="DH245" s="136" t="s">
        <v>1017</v>
      </c>
    </row>
    <row r="246" spans="2:112" s="1" customFormat="1" ht="29.25" x14ac:dyDescent="0.2">
      <c r="B246" s="31"/>
      <c r="D246" s="138" t="s">
        <v>289</v>
      </c>
      <c r="F246" s="139" t="s">
        <v>1018</v>
      </c>
      <c r="I246" s="140"/>
      <c r="L246" s="31"/>
      <c r="N246" s="213"/>
      <c r="O246" s="214"/>
      <c r="Q246" s="229"/>
      <c r="BH246" s="141"/>
      <c r="BO246" s="50"/>
      <c r="CO246" s="16" t="s">
        <v>289</v>
      </c>
      <c r="CP246" s="16" t="s">
        <v>83</v>
      </c>
    </row>
    <row r="247" spans="2:112" s="1" customFormat="1" ht="29.25" x14ac:dyDescent="0.2">
      <c r="B247" s="31"/>
      <c r="D247" s="138" t="s">
        <v>299</v>
      </c>
      <c r="F247" s="142" t="s">
        <v>1659</v>
      </c>
      <c r="I247" s="140"/>
      <c r="L247" s="31"/>
      <c r="N247" s="213"/>
      <c r="O247" s="214"/>
      <c r="Q247" s="229"/>
      <c r="BH247" s="141"/>
      <c r="BO247" s="50"/>
      <c r="CO247" s="16" t="s">
        <v>299</v>
      </c>
      <c r="CP247" s="16" t="s">
        <v>83</v>
      </c>
    </row>
    <row r="248" spans="2:112" s="11" customFormat="1" x14ac:dyDescent="0.2">
      <c r="B248" s="143"/>
      <c r="D248" s="138" t="s">
        <v>301</v>
      </c>
      <c r="E248" s="144" t="s">
        <v>1</v>
      </c>
      <c r="F248" s="145" t="s">
        <v>1088</v>
      </c>
      <c r="H248" s="144" t="s">
        <v>1</v>
      </c>
      <c r="I248" s="146"/>
      <c r="L248" s="143"/>
      <c r="N248" s="215"/>
      <c r="O248" s="216"/>
      <c r="Q248" s="230"/>
      <c r="BH248" s="147"/>
      <c r="BO248" s="148"/>
      <c r="CO248" s="144" t="s">
        <v>301</v>
      </c>
      <c r="CP248" s="144" t="s">
        <v>83</v>
      </c>
      <c r="CQ248" s="11" t="s">
        <v>81</v>
      </c>
      <c r="CR248" s="11" t="s">
        <v>32</v>
      </c>
      <c r="CS248" s="11" t="s">
        <v>74</v>
      </c>
      <c r="CT248" s="144" t="s">
        <v>282</v>
      </c>
    </row>
    <row r="249" spans="2:112" s="12" customFormat="1" x14ac:dyDescent="0.2">
      <c r="B249" s="149"/>
      <c r="D249" s="138" t="s">
        <v>301</v>
      </c>
      <c r="E249" s="150" t="s">
        <v>1</v>
      </c>
      <c r="F249" s="151" t="s">
        <v>1708</v>
      </c>
      <c r="H249" s="152">
        <v>7.62</v>
      </c>
      <c r="I249" s="153"/>
      <c r="L249" s="149"/>
      <c r="N249" s="217">
        <f>15.61*3*0.1</f>
        <v>4.6829999999999998</v>
      </c>
      <c r="O249" s="218" t="s">
        <v>3788</v>
      </c>
      <c r="Q249" s="231"/>
      <c r="BH249" s="154"/>
      <c r="BO249" s="155"/>
      <c r="CO249" s="150" t="s">
        <v>301</v>
      </c>
      <c r="CP249" s="150" t="s">
        <v>83</v>
      </c>
      <c r="CQ249" s="12" t="s">
        <v>83</v>
      </c>
      <c r="CR249" s="12" t="s">
        <v>32</v>
      </c>
      <c r="CS249" s="12" t="s">
        <v>81</v>
      </c>
      <c r="CT249" s="150" t="s">
        <v>282</v>
      </c>
    </row>
    <row r="250" spans="2:112" s="12" customFormat="1" x14ac:dyDescent="0.2">
      <c r="B250" s="149"/>
      <c r="D250" s="138"/>
      <c r="E250" s="150"/>
      <c r="F250" s="151"/>
      <c r="H250" s="152"/>
      <c r="I250" s="153"/>
      <c r="L250" s="149"/>
      <c r="N250" s="310">
        <f>N249-H249</f>
        <v>-2.9370000000000003</v>
      </c>
      <c r="O250" s="218"/>
      <c r="Q250" s="231"/>
      <c r="BH250" s="154"/>
      <c r="BO250" s="155"/>
      <c r="CO250" s="150"/>
      <c r="CP250" s="150"/>
      <c r="CT250" s="150"/>
    </row>
    <row r="251" spans="2:112" s="1" customFormat="1" ht="24.2" customHeight="1" x14ac:dyDescent="0.2">
      <c r="B251" s="124"/>
      <c r="C251" s="125" t="s">
        <v>422</v>
      </c>
      <c r="D251" s="125" t="s">
        <v>284</v>
      </c>
      <c r="E251" s="126" t="s">
        <v>457</v>
      </c>
      <c r="F251" s="127" t="s">
        <v>458</v>
      </c>
      <c r="G251" s="128" t="s">
        <v>418</v>
      </c>
      <c r="H251" s="129">
        <v>94.816000000000003</v>
      </c>
      <c r="I251" s="130">
        <v>61.737071122597108</v>
      </c>
      <c r="J251" s="131">
        <f>ROUND(I251*H251,2)</f>
        <v>5853.66</v>
      </c>
      <c r="K251" s="127" t="s">
        <v>293</v>
      </c>
      <c r="L251" s="268">
        <f>S251</f>
        <v>0</v>
      </c>
      <c r="M251" s="272">
        <f>ROUND(L251*I251,2)</f>
        <v>0</v>
      </c>
      <c r="N251" s="243">
        <f>N253</f>
        <v>-40.856999999999999</v>
      </c>
      <c r="O251" s="294">
        <f>ROUND(N251*I251,2)</f>
        <v>-2522.39</v>
      </c>
      <c r="P251" s="273">
        <f>H251-L251-N251</f>
        <v>135.673</v>
      </c>
      <c r="Q251" s="287">
        <f>ROUND(P251*I251,2)</f>
        <v>8376.0499999999993</v>
      </c>
      <c r="R251" s="137"/>
      <c r="S251" s="269">
        <f>W251+Y251+AA251+AC251</f>
        <v>0</v>
      </c>
      <c r="T251" s="269">
        <f>ROUND(S251*I251,2)</f>
        <v>0</v>
      </c>
      <c r="U251" s="269">
        <f>H251-S251</f>
        <v>94.816000000000003</v>
      </c>
      <c r="V251" s="269">
        <f>ROUND(U251*I251,2)</f>
        <v>5853.66</v>
      </c>
      <c r="W251" s="269"/>
      <c r="X251" s="269"/>
      <c r="Y251" s="269"/>
      <c r="Z251" s="269"/>
      <c r="AA251" s="269"/>
      <c r="AB251" s="269"/>
      <c r="AC251" s="269"/>
      <c r="AD251" s="269"/>
      <c r="BH251" s="132" t="s">
        <v>1</v>
      </c>
      <c r="BI251" s="133" t="s">
        <v>40</v>
      </c>
      <c r="BK251" s="134">
        <f>BJ251*H251</f>
        <v>0</v>
      </c>
      <c r="BL251" s="134">
        <v>0</v>
      </c>
      <c r="BM251" s="134">
        <f>BL251*H251</f>
        <v>0</v>
      </c>
      <c r="BN251" s="134">
        <v>0</v>
      </c>
      <c r="BO251" s="135">
        <f>BN251*H251</f>
        <v>0</v>
      </c>
      <c r="CM251" s="136" t="s">
        <v>95</v>
      </c>
      <c r="CO251" s="136" t="s">
        <v>284</v>
      </c>
      <c r="CP251" s="136" t="s">
        <v>83</v>
      </c>
      <c r="CT251" s="16" t="s">
        <v>282</v>
      </c>
      <c r="CZ251" s="137">
        <f>IF(BI251="základní",J251,0)</f>
        <v>5853.66</v>
      </c>
      <c r="DA251" s="137">
        <f>IF(BI251="snížená",J251,0)</f>
        <v>0</v>
      </c>
      <c r="DB251" s="137">
        <f>IF(BI251="zákl. přenesená",J251,0)</f>
        <v>0</v>
      </c>
      <c r="DC251" s="137">
        <f>IF(BI251="sníž. přenesená",J251,0)</f>
        <v>0</v>
      </c>
      <c r="DD251" s="137">
        <f>IF(BI251="nulová",J251,0)</f>
        <v>0</v>
      </c>
      <c r="DE251" s="16" t="s">
        <v>81</v>
      </c>
      <c r="DF251" s="137">
        <f>ROUND(I251*H251,2)</f>
        <v>5853.66</v>
      </c>
      <c r="DG251" s="16" t="s">
        <v>95</v>
      </c>
      <c r="DH251" s="136" t="s">
        <v>459</v>
      </c>
    </row>
    <row r="252" spans="2:112" s="1" customFormat="1" ht="29.25" x14ac:dyDescent="0.2">
      <c r="B252" s="31"/>
      <c r="D252" s="138" t="s">
        <v>289</v>
      </c>
      <c r="F252" s="139" t="s">
        <v>460</v>
      </c>
      <c r="I252" s="140"/>
      <c r="L252" s="31"/>
      <c r="N252" s="213"/>
      <c r="O252" s="214"/>
      <c r="Q252" s="229"/>
      <c r="BH252" s="141"/>
      <c r="BO252" s="50"/>
      <c r="CO252" s="16" t="s">
        <v>289</v>
      </c>
      <c r="CP252" s="16" t="s">
        <v>83</v>
      </c>
    </row>
    <row r="253" spans="2:112" s="12" customFormat="1" x14ac:dyDescent="0.2">
      <c r="B253" s="149"/>
      <c r="D253" s="138" t="s">
        <v>301</v>
      </c>
      <c r="E253" s="150" t="s">
        <v>1</v>
      </c>
      <c r="F253" s="151" t="s">
        <v>1733</v>
      </c>
      <c r="H253" s="152">
        <v>94.816000000000003</v>
      </c>
      <c r="I253" s="153"/>
      <c r="L253" s="149"/>
      <c r="N253" s="217">
        <f>-32.045-8.812</f>
        <v>-40.856999999999999</v>
      </c>
      <c r="O253" s="218" t="s">
        <v>3803</v>
      </c>
      <c r="Q253" s="231"/>
      <c r="BH253" s="154"/>
      <c r="BO253" s="155"/>
      <c r="CO253" s="150" t="s">
        <v>301</v>
      </c>
      <c r="CP253" s="150" t="s">
        <v>83</v>
      </c>
      <c r="CQ253" s="12" t="s">
        <v>83</v>
      </c>
      <c r="CR253" s="12" t="s">
        <v>32</v>
      </c>
      <c r="CS253" s="12" t="s">
        <v>81</v>
      </c>
      <c r="CT253" s="150" t="s">
        <v>282</v>
      </c>
    </row>
    <row r="254" spans="2:112" s="10" customFormat="1" ht="22.9" customHeight="1" x14ac:dyDescent="0.2">
      <c r="B254" s="112"/>
      <c r="D254" s="113" t="s">
        <v>73</v>
      </c>
      <c r="E254" s="122" t="s">
        <v>83</v>
      </c>
      <c r="F254" s="122" t="s">
        <v>462</v>
      </c>
      <c r="I254" s="115"/>
      <c r="J254" s="123">
        <f>DF254</f>
        <v>6707.34</v>
      </c>
      <c r="L254" s="112"/>
      <c r="M254" s="270">
        <f>SUM(M255)</f>
        <v>0</v>
      </c>
      <c r="N254" s="301"/>
      <c r="O254" s="302">
        <f t="shared" ref="O254:V254" si="3">SUM(O255)</f>
        <v>-2585.23</v>
      </c>
      <c r="P254" s="270"/>
      <c r="Q254" s="288">
        <f t="shared" si="3"/>
        <v>9292.56</v>
      </c>
      <c r="R254" s="270"/>
      <c r="S254" s="270"/>
      <c r="T254" s="270">
        <f t="shared" si="3"/>
        <v>0</v>
      </c>
      <c r="U254" s="270"/>
      <c r="V254" s="270">
        <f t="shared" si="3"/>
        <v>6707.34</v>
      </c>
      <c r="BH254" s="117"/>
      <c r="BK254" s="118">
        <f>SUM(BK255:BK258)</f>
        <v>0</v>
      </c>
      <c r="BM254" s="118">
        <f>SUM(BM255:BM258)</f>
        <v>5.1991259999999997</v>
      </c>
      <c r="BO254" s="119">
        <f>SUM(BO255:BO258)</f>
        <v>0</v>
      </c>
      <c r="CM254" s="113" t="s">
        <v>81</v>
      </c>
      <c r="CO254" s="120" t="s">
        <v>73</v>
      </c>
      <c r="CP254" s="120" t="s">
        <v>81</v>
      </c>
      <c r="CT254" s="113" t="s">
        <v>282</v>
      </c>
      <c r="DF254" s="121">
        <f>SUM(DF255:DF258)</f>
        <v>6707.34</v>
      </c>
    </row>
    <row r="255" spans="2:112" s="1" customFormat="1" ht="37.9" customHeight="1" x14ac:dyDescent="0.2">
      <c r="B255" s="124"/>
      <c r="C255" s="125" t="s">
        <v>438</v>
      </c>
      <c r="D255" s="125" t="s">
        <v>284</v>
      </c>
      <c r="E255" s="126" t="s">
        <v>464</v>
      </c>
      <c r="F255" s="127" t="s">
        <v>465</v>
      </c>
      <c r="G255" s="128" t="s">
        <v>344</v>
      </c>
      <c r="H255" s="129">
        <v>25.4</v>
      </c>
      <c r="I255" s="130">
        <v>264.06831423630393</v>
      </c>
      <c r="J255" s="131">
        <f>ROUND(I255*H255,2)</f>
        <v>6707.34</v>
      </c>
      <c r="K255" s="127" t="s">
        <v>293</v>
      </c>
      <c r="L255" s="268">
        <f>S255</f>
        <v>0</v>
      </c>
      <c r="M255" s="272">
        <f>ROUND(L255*I255,2)</f>
        <v>0</v>
      </c>
      <c r="N255" s="243">
        <f>N258</f>
        <v>-9.7899999999999991</v>
      </c>
      <c r="O255" s="294">
        <f>ROUND(N255*I255,2)</f>
        <v>-2585.23</v>
      </c>
      <c r="P255" s="273">
        <f>H255-L255-N255</f>
        <v>35.19</v>
      </c>
      <c r="Q255" s="287">
        <f>ROUND(P255*I255,2)</f>
        <v>9292.56</v>
      </c>
      <c r="R255" s="137"/>
      <c r="S255" s="269">
        <f>W255+Y255+AA255+AC255</f>
        <v>0</v>
      </c>
      <c r="T255" s="269">
        <f>ROUND(S255*I255,2)</f>
        <v>0</v>
      </c>
      <c r="U255" s="269">
        <f>H255-S255</f>
        <v>25.4</v>
      </c>
      <c r="V255" s="269">
        <f>ROUND(U255*I255,2)</f>
        <v>6707.34</v>
      </c>
      <c r="W255" s="269"/>
      <c r="X255" s="269"/>
      <c r="Y255" s="269"/>
      <c r="Z255" s="269"/>
      <c r="AA255" s="269"/>
      <c r="AB255" s="269"/>
      <c r="AC255" s="269"/>
      <c r="AD255" s="269"/>
      <c r="BH255" s="132" t="s">
        <v>1</v>
      </c>
      <c r="BI255" s="133" t="s">
        <v>40</v>
      </c>
      <c r="BK255" s="134">
        <f>BJ255*H255</f>
        <v>0</v>
      </c>
      <c r="BL255" s="134">
        <v>0.20469000000000001</v>
      </c>
      <c r="BM255" s="134">
        <f>BL255*H255</f>
        <v>5.1991259999999997</v>
      </c>
      <c r="BN255" s="134">
        <v>0</v>
      </c>
      <c r="BO255" s="135">
        <f>BN255*H255</f>
        <v>0</v>
      </c>
      <c r="CM255" s="136" t="s">
        <v>95</v>
      </c>
      <c r="CO255" s="136" t="s">
        <v>284</v>
      </c>
      <c r="CP255" s="136" t="s">
        <v>83</v>
      </c>
      <c r="CT255" s="16" t="s">
        <v>282</v>
      </c>
      <c r="CZ255" s="137">
        <f>IF(BI255="základní",J255,0)</f>
        <v>6707.34</v>
      </c>
      <c r="DA255" s="137">
        <f>IF(BI255="snížená",J255,0)</f>
        <v>0</v>
      </c>
      <c r="DB255" s="137">
        <f>IF(BI255="zákl. přenesená",J255,0)</f>
        <v>0</v>
      </c>
      <c r="DC255" s="137">
        <f>IF(BI255="sníž. přenesená",J255,0)</f>
        <v>0</v>
      </c>
      <c r="DD255" s="137">
        <f>IF(BI255="nulová",J255,0)</f>
        <v>0</v>
      </c>
      <c r="DE255" s="16" t="s">
        <v>81</v>
      </c>
      <c r="DF255" s="137">
        <f>ROUND(I255*H255,2)</f>
        <v>6707.34</v>
      </c>
      <c r="DG255" s="16" t="s">
        <v>95</v>
      </c>
      <c r="DH255" s="136" t="s">
        <v>466</v>
      </c>
    </row>
    <row r="256" spans="2:112" s="1" customFormat="1" ht="39" x14ac:dyDescent="0.2">
      <c r="B256" s="31"/>
      <c r="D256" s="138" t="s">
        <v>289</v>
      </c>
      <c r="F256" s="139" t="s">
        <v>467</v>
      </c>
      <c r="I256" s="140"/>
      <c r="L256" s="31"/>
      <c r="N256" s="213"/>
      <c r="O256" s="214"/>
      <c r="Q256" s="229"/>
      <c r="BH256" s="141"/>
      <c r="BO256" s="50"/>
      <c r="CO256" s="16" t="s">
        <v>289</v>
      </c>
      <c r="CP256" s="16" t="s">
        <v>83</v>
      </c>
    </row>
    <row r="257" spans="2:112" s="1" customFormat="1" ht="29.25" x14ac:dyDescent="0.2">
      <c r="B257" s="31"/>
      <c r="D257" s="138" t="s">
        <v>299</v>
      </c>
      <c r="F257" s="142" t="s">
        <v>1659</v>
      </c>
      <c r="I257" s="140"/>
      <c r="L257" s="31"/>
      <c r="N257" s="213"/>
      <c r="O257" s="214"/>
      <c r="Q257" s="229"/>
      <c r="BH257" s="141"/>
      <c r="BO257" s="50"/>
      <c r="CO257" s="16" t="s">
        <v>299</v>
      </c>
      <c r="CP257" s="16" t="s">
        <v>83</v>
      </c>
    </row>
    <row r="258" spans="2:112" s="12" customFormat="1" x14ac:dyDescent="0.2">
      <c r="B258" s="149"/>
      <c r="D258" s="138" t="s">
        <v>301</v>
      </c>
      <c r="E258" s="150" t="s">
        <v>1</v>
      </c>
      <c r="F258" s="151" t="s">
        <v>1734</v>
      </c>
      <c r="H258" s="152">
        <v>25.4</v>
      </c>
      <c r="I258" s="153"/>
      <c r="L258" s="149"/>
      <c r="N258" s="217">
        <f>15.61-25.4</f>
        <v>-9.7899999999999991</v>
      </c>
      <c r="O258" s="218" t="s">
        <v>3800</v>
      </c>
      <c r="Q258" s="231"/>
      <c r="BH258" s="154"/>
      <c r="BO258" s="155"/>
      <c r="CO258" s="150" t="s">
        <v>301</v>
      </c>
      <c r="CP258" s="150" t="s">
        <v>83</v>
      </c>
      <c r="CQ258" s="12" t="s">
        <v>83</v>
      </c>
      <c r="CR258" s="12" t="s">
        <v>32</v>
      </c>
      <c r="CS258" s="12" t="s">
        <v>81</v>
      </c>
      <c r="CT258" s="150" t="s">
        <v>282</v>
      </c>
    </row>
    <row r="259" spans="2:112" s="10" customFormat="1" ht="22.9" customHeight="1" x14ac:dyDescent="0.2">
      <c r="B259" s="112"/>
      <c r="D259" s="113" t="s">
        <v>73</v>
      </c>
      <c r="E259" s="122" t="s">
        <v>95</v>
      </c>
      <c r="F259" s="122" t="s">
        <v>469</v>
      </c>
      <c r="I259" s="115"/>
      <c r="J259" s="123">
        <f>DF259</f>
        <v>5096.0600000000004</v>
      </c>
      <c r="L259" s="112"/>
      <c r="M259" s="270">
        <f>SUM(M260:M270)</f>
        <v>0</v>
      </c>
      <c r="N259" s="301"/>
      <c r="O259" s="302">
        <f t="shared" ref="O259:V259" si="4">SUM(O260:O270)</f>
        <v>-1174.97</v>
      </c>
      <c r="P259" s="270"/>
      <c r="Q259" s="288">
        <f t="shared" si="4"/>
        <v>6271.0199999999995</v>
      </c>
      <c r="R259" s="270"/>
      <c r="S259" s="270"/>
      <c r="T259" s="270">
        <f t="shared" si="4"/>
        <v>0</v>
      </c>
      <c r="U259" s="270"/>
      <c r="V259" s="270">
        <f t="shared" si="4"/>
        <v>5096.0600000000004</v>
      </c>
      <c r="BH259" s="117"/>
      <c r="BK259" s="118">
        <f>SUM(BK260:BK274)</f>
        <v>0</v>
      </c>
      <c r="BM259" s="118">
        <f>SUM(BM260:BM274)</f>
        <v>0</v>
      </c>
      <c r="BO259" s="119">
        <f>SUM(BO260:BO274)</f>
        <v>0</v>
      </c>
      <c r="CM259" s="113" t="s">
        <v>81</v>
      </c>
      <c r="CO259" s="120" t="s">
        <v>73</v>
      </c>
      <c r="CP259" s="120" t="s">
        <v>81</v>
      </c>
      <c r="CT259" s="113" t="s">
        <v>282</v>
      </c>
      <c r="DF259" s="121">
        <f>SUM(DF260:DF274)</f>
        <v>5096.0600000000004</v>
      </c>
    </row>
    <row r="260" spans="2:112" s="1" customFormat="1" ht="14.45" customHeight="1" x14ac:dyDescent="0.2">
      <c r="B260" s="124"/>
      <c r="C260" s="125" t="s">
        <v>445</v>
      </c>
      <c r="D260" s="125" t="s">
        <v>284</v>
      </c>
      <c r="E260" s="126" t="s">
        <v>471</v>
      </c>
      <c r="F260" s="127" t="s">
        <v>472</v>
      </c>
      <c r="G260" s="128" t="s">
        <v>366</v>
      </c>
      <c r="H260" s="129">
        <v>2.54</v>
      </c>
      <c r="I260" s="130">
        <v>1200.17173250368</v>
      </c>
      <c r="J260" s="131">
        <f>ROUND(I260*H260,2)</f>
        <v>3048.44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N264</f>
        <v>-0.97900000000000009</v>
      </c>
      <c r="O260" s="294">
        <f>ROUND(N260*I260,2)</f>
        <v>-1174.97</v>
      </c>
      <c r="P260" s="273">
        <f>H260-L260-N260</f>
        <v>3.5190000000000001</v>
      </c>
      <c r="Q260" s="287">
        <f>ROUND(P260*I260,2)</f>
        <v>4223.3999999999996</v>
      </c>
      <c r="R260" s="137"/>
      <c r="S260" s="269">
        <f>W260+Y260+AA260+AC260</f>
        <v>0</v>
      </c>
      <c r="T260" s="269">
        <f>ROUND(S260*I260,2)</f>
        <v>0</v>
      </c>
      <c r="U260" s="269">
        <f>H260-S260</f>
        <v>2.54</v>
      </c>
      <c r="V260" s="269">
        <f>ROUND(U260*I260,2)</f>
        <v>3048.44</v>
      </c>
      <c r="W260" s="269"/>
      <c r="X260" s="269"/>
      <c r="Y260" s="269"/>
      <c r="Z260" s="269"/>
      <c r="AA260" s="269"/>
      <c r="AB260" s="269"/>
      <c r="AC260" s="269"/>
      <c r="AD260" s="269"/>
      <c r="BH260" s="132" t="s">
        <v>1</v>
      </c>
      <c r="BI260" s="133" t="s">
        <v>40</v>
      </c>
      <c r="BK260" s="134">
        <f>BJ260*H260</f>
        <v>0</v>
      </c>
      <c r="BL260" s="134">
        <v>0</v>
      </c>
      <c r="BM260" s="134">
        <f>BL260*H260</f>
        <v>0</v>
      </c>
      <c r="BN260" s="134">
        <v>0</v>
      </c>
      <c r="BO260" s="135">
        <f>BN260*H260</f>
        <v>0</v>
      </c>
      <c r="CM260" s="136" t="s">
        <v>95</v>
      </c>
      <c r="CO260" s="136" t="s">
        <v>284</v>
      </c>
      <c r="CP260" s="136" t="s">
        <v>83</v>
      </c>
      <c r="CT260" s="16" t="s">
        <v>282</v>
      </c>
      <c r="CZ260" s="137">
        <f>IF(BI260="základní",J260,0)</f>
        <v>3048.44</v>
      </c>
      <c r="DA260" s="137">
        <f>IF(BI260="snížená",J260,0)</f>
        <v>0</v>
      </c>
      <c r="DB260" s="137">
        <f>IF(BI260="zákl. přenesená",J260,0)</f>
        <v>0</v>
      </c>
      <c r="DC260" s="137">
        <f>IF(BI260="sníž. přenesená",J260,0)</f>
        <v>0</v>
      </c>
      <c r="DD260" s="137">
        <f>IF(BI260="nulová",J260,0)</f>
        <v>0</v>
      </c>
      <c r="DE260" s="16" t="s">
        <v>81</v>
      </c>
      <c r="DF260" s="137">
        <f>ROUND(I260*H260,2)</f>
        <v>3048.44</v>
      </c>
      <c r="DG260" s="16" t="s">
        <v>95</v>
      </c>
      <c r="DH260" s="136" t="s">
        <v>473</v>
      </c>
    </row>
    <row r="261" spans="2:112" s="1" customFormat="1" ht="19.5" x14ac:dyDescent="0.2">
      <c r="B261" s="31"/>
      <c r="D261" s="138" t="s">
        <v>289</v>
      </c>
      <c r="F261" s="139" t="s">
        <v>474</v>
      </c>
      <c r="I261" s="140"/>
      <c r="L261" s="31"/>
      <c r="N261" s="213"/>
      <c r="O261" s="214"/>
      <c r="Q261" s="229"/>
      <c r="BH261" s="141"/>
      <c r="BO261" s="50"/>
      <c r="CO261" s="16" t="s">
        <v>289</v>
      </c>
      <c r="CP261" s="16" t="s">
        <v>83</v>
      </c>
    </row>
    <row r="262" spans="2:112" s="1" customFormat="1" ht="29.25" x14ac:dyDescent="0.2">
      <c r="B262" s="31"/>
      <c r="D262" s="138" t="s">
        <v>299</v>
      </c>
      <c r="F262" s="142" t="s">
        <v>1659</v>
      </c>
      <c r="I262" s="140"/>
      <c r="L262" s="31"/>
      <c r="N262" s="213"/>
      <c r="O262" s="214"/>
      <c r="Q262" s="229"/>
      <c r="BH262" s="141"/>
      <c r="BO262" s="50"/>
      <c r="CO262" s="16" t="s">
        <v>299</v>
      </c>
      <c r="CP262" s="16" t="s">
        <v>83</v>
      </c>
    </row>
    <row r="263" spans="2:112" s="12" customFormat="1" x14ac:dyDescent="0.2">
      <c r="B263" s="149"/>
      <c r="D263" s="138" t="s">
        <v>301</v>
      </c>
      <c r="E263" s="150" t="s">
        <v>1</v>
      </c>
      <c r="F263" s="151" t="s">
        <v>1735</v>
      </c>
      <c r="H263" s="152">
        <v>2.54</v>
      </c>
      <c r="I263" s="153"/>
      <c r="L263" s="149"/>
      <c r="N263" s="217">
        <f>15.61*1*0.1</f>
        <v>1.5609999999999999</v>
      </c>
      <c r="O263" s="218" t="s">
        <v>3801</v>
      </c>
      <c r="Q263" s="231"/>
      <c r="BH263" s="154"/>
      <c r="BO263" s="155"/>
      <c r="CO263" s="150" t="s">
        <v>301</v>
      </c>
      <c r="CP263" s="150" t="s">
        <v>83</v>
      </c>
      <c r="CQ263" s="12" t="s">
        <v>83</v>
      </c>
      <c r="CR263" s="12" t="s">
        <v>32</v>
      </c>
      <c r="CS263" s="12" t="s">
        <v>81</v>
      </c>
      <c r="CT263" s="150" t="s">
        <v>282</v>
      </c>
    </row>
    <row r="264" spans="2:112" s="12" customFormat="1" x14ac:dyDescent="0.2">
      <c r="B264" s="149"/>
      <c r="D264" s="138"/>
      <c r="E264" s="150"/>
      <c r="F264" s="151"/>
      <c r="H264" s="152"/>
      <c r="I264" s="153"/>
      <c r="L264" s="149"/>
      <c r="N264" s="310">
        <f>N263-H263</f>
        <v>-0.97900000000000009</v>
      </c>
      <c r="O264" s="218"/>
      <c r="Q264" s="231"/>
      <c r="BH264" s="154"/>
      <c r="BO264" s="155"/>
      <c r="CO264" s="150"/>
      <c r="CP264" s="150"/>
      <c r="CT264" s="150"/>
    </row>
    <row r="265" spans="2:112" s="1" customFormat="1" ht="14.45" customHeight="1" x14ac:dyDescent="0.2">
      <c r="B265" s="124"/>
      <c r="C265" s="125" t="s">
        <v>451</v>
      </c>
      <c r="D265" s="125" t="s">
        <v>284</v>
      </c>
      <c r="E265" s="126" t="s">
        <v>477</v>
      </c>
      <c r="F265" s="127" t="s">
        <v>478</v>
      </c>
      <c r="G265" s="128" t="s">
        <v>366</v>
      </c>
      <c r="H265" s="129">
        <v>0.5</v>
      </c>
      <c r="I265" s="130">
        <v>1200.17173250368</v>
      </c>
      <c r="J265" s="131">
        <f>ROUND(I265*H265,2)</f>
        <v>600.09</v>
      </c>
      <c r="K265" s="127" t="s">
        <v>1</v>
      </c>
      <c r="L265" s="268">
        <f>S265</f>
        <v>0</v>
      </c>
      <c r="M265" s="272">
        <f>ROUND(L265*I265,2)</f>
        <v>0</v>
      </c>
      <c r="N265" s="243"/>
      <c r="O265" s="294">
        <f>ROUND(N265*I265,2)</f>
        <v>0</v>
      </c>
      <c r="P265" s="273">
        <f>H265-L265-N265</f>
        <v>0.5</v>
      </c>
      <c r="Q265" s="287">
        <f>ROUND(P265*I265,2)</f>
        <v>600.09</v>
      </c>
      <c r="R265" s="137"/>
      <c r="S265" s="269">
        <f>W265+Y265+AA265+AC265</f>
        <v>0</v>
      </c>
      <c r="T265" s="269">
        <f>ROUND(S265*I265,2)</f>
        <v>0</v>
      </c>
      <c r="U265" s="269">
        <f>H265-S265</f>
        <v>0.5</v>
      </c>
      <c r="V265" s="269">
        <f>ROUND(U265*I265,2)</f>
        <v>600.09</v>
      </c>
      <c r="W265" s="269"/>
      <c r="X265" s="269"/>
      <c r="Y265" s="269"/>
      <c r="Z265" s="269"/>
      <c r="AA265" s="269"/>
      <c r="AB265" s="269"/>
      <c r="AC265" s="269"/>
      <c r="AD265" s="269"/>
      <c r="BH265" s="132" t="s">
        <v>1</v>
      </c>
      <c r="BI265" s="133" t="s">
        <v>40</v>
      </c>
      <c r="BK265" s="134">
        <f>BJ265*H265</f>
        <v>0</v>
      </c>
      <c r="BL265" s="134">
        <v>0</v>
      </c>
      <c r="BM265" s="134">
        <f>BL265*H265</f>
        <v>0</v>
      </c>
      <c r="BN265" s="134">
        <v>0</v>
      </c>
      <c r="BO265" s="135">
        <f>BN265*H265</f>
        <v>0</v>
      </c>
      <c r="CM265" s="136" t="s">
        <v>95</v>
      </c>
      <c r="CO265" s="136" t="s">
        <v>284</v>
      </c>
      <c r="CP265" s="136" t="s">
        <v>83</v>
      </c>
      <c r="CT265" s="16" t="s">
        <v>282</v>
      </c>
      <c r="CZ265" s="137">
        <f>IF(BI265="základní",J265,0)</f>
        <v>600.09</v>
      </c>
      <c r="DA265" s="137">
        <f>IF(BI265="snížená",J265,0)</f>
        <v>0</v>
      </c>
      <c r="DB265" s="137">
        <f>IF(BI265="zákl. přenesená",J265,0)</f>
        <v>0</v>
      </c>
      <c r="DC265" s="137">
        <f>IF(BI265="sníž. přenesená",J265,0)</f>
        <v>0</v>
      </c>
      <c r="DD265" s="137">
        <f>IF(BI265="nulová",J265,0)</f>
        <v>0</v>
      </c>
      <c r="DE265" s="16" t="s">
        <v>81</v>
      </c>
      <c r="DF265" s="137">
        <f>ROUND(I265*H265,2)</f>
        <v>600.09</v>
      </c>
      <c r="DG265" s="16" t="s">
        <v>95</v>
      </c>
      <c r="DH265" s="136" t="s">
        <v>479</v>
      </c>
    </row>
    <row r="266" spans="2:112" s="1" customFormat="1" ht="19.5" x14ac:dyDescent="0.2">
      <c r="B266" s="31"/>
      <c r="D266" s="138" t="s">
        <v>289</v>
      </c>
      <c r="F266" s="139" t="s">
        <v>474</v>
      </c>
      <c r="I266" s="140"/>
      <c r="L266" s="31"/>
      <c r="N266" s="213"/>
      <c r="O266" s="214"/>
      <c r="Q266" s="229"/>
      <c r="BH266" s="141"/>
      <c r="BO266" s="50"/>
      <c r="CO266" s="16" t="s">
        <v>289</v>
      </c>
      <c r="CP266" s="16" t="s">
        <v>83</v>
      </c>
    </row>
    <row r="267" spans="2:112" s="1" customFormat="1" ht="29.25" x14ac:dyDescent="0.2">
      <c r="B267" s="31"/>
      <c r="D267" s="138" t="s">
        <v>299</v>
      </c>
      <c r="F267" s="142" t="s">
        <v>1659</v>
      </c>
      <c r="I267" s="140"/>
      <c r="L267" s="31"/>
      <c r="N267" s="213"/>
      <c r="O267" s="214"/>
      <c r="Q267" s="229"/>
      <c r="BH267" s="141"/>
      <c r="BO267" s="50"/>
      <c r="CO267" s="16" t="s">
        <v>299</v>
      </c>
      <c r="CP267" s="16" t="s">
        <v>83</v>
      </c>
    </row>
    <row r="268" spans="2:112" s="11" customFormat="1" x14ac:dyDescent="0.2">
      <c r="B268" s="143"/>
      <c r="D268" s="138" t="s">
        <v>301</v>
      </c>
      <c r="E268" s="144" t="s">
        <v>1</v>
      </c>
      <c r="F268" s="145" t="s">
        <v>1122</v>
      </c>
      <c r="H268" s="144" t="s">
        <v>1</v>
      </c>
      <c r="I268" s="146"/>
      <c r="L268" s="143"/>
      <c r="N268" s="215"/>
      <c r="O268" s="216"/>
      <c r="Q268" s="230"/>
      <c r="BH268" s="147"/>
      <c r="BO268" s="148"/>
      <c r="CO268" s="144" t="s">
        <v>301</v>
      </c>
      <c r="CP268" s="144" t="s">
        <v>83</v>
      </c>
      <c r="CQ268" s="11" t="s">
        <v>81</v>
      </c>
      <c r="CR268" s="11" t="s">
        <v>32</v>
      </c>
      <c r="CS268" s="11" t="s">
        <v>74</v>
      </c>
      <c r="CT268" s="144" t="s">
        <v>282</v>
      </c>
    </row>
    <row r="269" spans="2:112" s="12" customFormat="1" x14ac:dyDescent="0.2">
      <c r="B269" s="149"/>
      <c r="D269" s="138" t="s">
        <v>301</v>
      </c>
      <c r="E269" s="150" t="s">
        <v>1</v>
      </c>
      <c r="F269" s="151" t="s">
        <v>1736</v>
      </c>
      <c r="H269" s="152">
        <v>0.5</v>
      </c>
      <c r="I269" s="153"/>
      <c r="L269" s="149"/>
      <c r="N269" s="217"/>
      <c r="O269" s="218"/>
      <c r="Q269" s="231"/>
      <c r="BH269" s="154"/>
      <c r="BO269" s="155"/>
      <c r="CO269" s="150" t="s">
        <v>301</v>
      </c>
      <c r="CP269" s="150" t="s">
        <v>83</v>
      </c>
      <c r="CQ269" s="12" t="s">
        <v>83</v>
      </c>
      <c r="CR269" s="12" t="s">
        <v>32</v>
      </c>
      <c r="CS269" s="12" t="s">
        <v>81</v>
      </c>
      <c r="CT269" s="150" t="s">
        <v>282</v>
      </c>
    </row>
    <row r="270" spans="2:112" s="1" customFormat="1" ht="24.2" customHeight="1" x14ac:dyDescent="0.2">
      <c r="B270" s="124"/>
      <c r="C270" s="125" t="s">
        <v>456</v>
      </c>
      <c r="D270" s="125" t="s">
        <v>284</v>
      </c>
      <c r="E270" s="126" t="s">
        <v>515</v>
      </c>
      <c r="F270" s="127" t="s">
        <v>516</v>
      </c>
      <c r="G270" s="128" t="s">
        <v>366</v>
      </c>
      <c r="H270" s="129">
        <v>0.5</v>
      </c>
      <c r="I270" s="130">
        <v>2895.0660868876225</v>
      </c>
      <c r="J270" s="131">
        <f>ROUND(I270*H270,2)</f>
        <v>1447.53</v>
      </c>
      <c r="K270" s="127" t="s">
        <v>293</v>
      </c>
      <c r="L270" s="268">
        <f>S270</f>
        <v>0</v>
      </c>
      <c r="M270" s="272">
        <f>ROUND(L270*I270,2)</f>
        <v>0</v>
      </c>
      <c r="N270" s="243"/>
      <c r="O270" s="294">
        <f>ROUND(N270*I270,2)</f>
        <v>0</v>
      </c>
      <c r="P270" s="273">
        <f>H270-L270-N270</f>
        <v>0.5</v>
      </c>
      <c r="Q270" s="287">
        <f>ROUND(P270*I270,2)</f>
        <v>1447.53</v>
      </c>
      <c r="R270" s="137"/>
      <c r="S270" s="269">
        <f>W270+Y270+AA270+AC270</f>
        <v>0</v>
      </c>
      <c r="T270" s="269">
        <f>ROUND(S270*I270,2)</f>
        <v>0</v>
      </c>
      <c r="U270" s="269">
        <f>H270-S270</f>
        <v>0.5</v>
      </c>
      <c r="V270" s="269">
        <f>ROUND(U270*I270,2)</f>
        <v>1447.53</v>
      </c>
      <c r="W270" s="269"/>
      <c r="X270" s="269"/>
      <c r="Y270" s="269"/>
      <c r="Z270" s="269"/>
      <c r="AA270" s="269"/>
      <c r="AB270" s="269"/>
      <c r="AC270" s="269"/>
      <c r="AD270" s="269"/>
      <c r="BH270" s="132" t="s">
        <v>1</v>
      </c>
      <c r="BI270" s="133" t="s">
        <v>40</v>
      </c>
      <c r="BK270" s="134">
        <f>BJ270*H270</f>
        <v>0</v>
      </c>
      <c r="BL270" s="134">
        <v>0</v>
      </c>
      <c r="BM270" s="134">
        <f>BL270*H270</f>
        <v>0</v>
      </c>
      <c r="BN270" s="134">
        <v>0</v>
      </c>
      <c r="BO270" s="135">
        <f>BN270*H270</f>
        <v>0</v>
      </c>
      <c r="CM270" s="136" t="s">
        <v>95</v>
      </c>
      <c r="CO270" s="136" t="s">
        <v>284</v>
      </c>
      <c r="CP270" s="136" t="s">
        <v>83</v>
      </c>
      <c r="CT270" s="16" t="s">
        <v>282</v>
      </c>
      <c r="CZ270" s="137">
        <f>IF(BI270="základní",J270,0)</f>
        <v>1447.53</v>
      </c>
      <c r="DA270" s="137">
        <f>IF(BI270="snížená",J270,0)</f>
        <v>0</v>
      </c>
      <c r="DB270" s="137">
        <f>IF(BI270="zákl. přenesená",J270,0)</f>
        <v>0</v>
      </c>
      <c r="DC270" s="137">
        <f>IF(BI270="sníž. přenesená",J270,0)</f>
        <v>0</v>
      </c>
      <c r="DD270" s="137">
        <f>IF(BI270="nulová",J270,0)</f>
        <v>0</v>
      </c>
      <c r="DE270" s="16" t="s">
        <v>81</v>
      </c>
      <c r="DF270" s="137">
        <f>ROUND(I270*H270,2)</f>
        <v>1447.53</v>
      </c>
      <c r="DG270" s="16" t="s">
        <v>95</v>
      </c>
      <c r="DH270" s="136" t="s">
        <v>517</v>
      </c>
    </row>
    <row r="271" spans="2:112" s="1" customFormat="1" ht="29.25" x14ac:dyDescent="0.2">
      <c r="B271" s="31"/>
      <c r="D271" s="138" t="s">
        <v>289</v>
      </c>
      <c r="F271" s="139" t="s">
        <v>518</v>
      </c>
      <c r="I271" s="140"/>
      <c r="L271" s="31"/>
      <c r="N271" s="213"/>
      <c r="O271" s="214"/>
      <c r="Q271" s="229"/>
      <c r="BH271" s="141"/>
      <c r="BO271" s="50"/>
      <c r="CO271" s="16" t="s">
        <v>289</v>
      </c>
      <c r="CP271" s="16" t="s">
        <v>83</v>
      </c>
    </row>
    <row r="272" spans="2:112" s="1" customFormat="1" ht="29.25" x14ac:dyDescent="0.2">
      <c r="B272" s="31"/>
      <c r="D272" s="138" t="s">
        <v>299</v>
      </c>
      <c r="F272" s="142" t="s">
        <v>1659</v>
      </c>
      <c r="I272" s="140"/>
      <c r="L272" s="31"/>
      <c r="N272" s="213"/>
      <c r="O272" s="214"/>
      <c r="Q272" s="229"/>
      <c r="BH272" s="141"/>
      <c r="BO272" s="50"/>
      <c r="CO272" s="16" t="s">
        <v>299</v>
      </c>
      <c r="CP272" s="16" t="s">
        <v>83</v>
      </c>
    </row>
    <row r="273" spans="2:112" s="11" customFormat="1" x14ac:dyDescent="0.2">
      <c r="B273" s="143"/>
      <c r="D273" s="138" t="s">
        <v>301</v>
      </c>
      <c r="E273" s="144" t="s">
        <v>1</v>
      </c>
      <c r="F273" s="145" t="s">
        <v>1122</v>
      </c>
      <c r="H273" s="144" t="s">
        <v>1</v>
      </c>
      <c r="I273" s="146"/>
      <c r="L273" s="143"/>
      <c r="N273" s="215"/>
      <c r="O273" s="216"/>
      <c r="Q273" s="230"/>
      <c r="BH273" s="147"/>
      <c r="BO273" s="148"/>
      <c r="CO273" s="144" t="s">
        <v>301</v>
      </c>
      <c r="CP273" s="144" t="s">
        <v>83</v>
      </c>
      <c r="CQ273" s="11" t="s">
        <v>81</v>
      </c>
      <c r="CR273" s="11" t="s">
        <v>32</v>
      </c>
      <c r="CS273" s="11" t="s">
        <v>74</v>
      </c>
      <c r="CT273" s="144" t="s">
        <v>282</v>
      </c>
    </row>
    <row r="274" spans="2:112" s="12" customFormat="1" x14ac:dyDescent="0.2">
      <c r="B274" s="149"/>
      <c r="D274" s="138" t="s">
        <v>301</v>
      </c>
      <c r="E274" s="150" t="s">
        <v>1</v>
      </c>
      <c r="F274" s="151" t="s">
        <v>1736</v>
      </c>
      <c r="H274" s="152">
        <v>0.5</v>
      </c>
      <c r="I274" s="153"/>
      <c r="L274" s="149"/>
      <c r="N274" s="217"/>
      <c r="O274" s="218"/>
      <c r="Q274" s="231"/>
      <c r="BH274" s="154"/>
      <c r="BO274" s="155"/>
      <c r="CO274" s="150" t="s">
        <v>301</v>
      </c>
      <c r="CP274" s="150" t="s">
        <v>83</v>
      </c>
      <c r="CQ274" s="12" t="s">
        <v>83</v>
      </c>
      <c r="CR274" s="12" t="s">
        <v>32</v>
      </c>
      <c r="CS274" s="12" t="s">
        <v>81</v>
      </c>
      <c r="CT274" s="150" t="s">
        <v>282</v>
      </c>
    </row>
    <row r="275" spans="2:112" s="10" customFormat="1" ht="22.9" customHeight="1" x14ac:dyDescent="0.2">
      <c r="B275" s="112"/>
      <c r="D275" s="113" t="s">
        <v>73</v>
      </c>
      <c r="E275" s="122" t="s">
        <v>312</v>
      </c>
      <c r="F275" s="122" t="s">
        <v>520</v>
      </c>
      <c r="I275" s="115"/>
      <c r="J275" s="123">
        <f>DF275</f>
        <v>16795.739999999998</v>
      </c>
      <c r="L275" s="112"/>
      <c r="M275" s="270">
        <f>SUM(M276:M282)</f>
        <v>0</v>
      </c>
      <c r="N275" s="301"/>
      <c r="O275" s="302">
        <f t="shared" ref="O275:V275" si="5">SUM(O276:O282)</f>
        <v>-6473.62</v>
      </c>
      <c r="P275" s="270"/>
      <c r="Q275" s="288">
        <f t="shared" si="5"/>
        <v>23269.370000000003</v>
      </c>
      <c r="R275" s="270"/>
      <c r="S275" s="270"/>
      <c r="T275" s="270">
        <f t="shared" si="5"/>
        <v>0</v>
      </c>
      <c r="U275" s="270"/>
      <c r="V275" s="270">
        <f t="shared" si="5"/>
        <v>16795.739999999998</v>
      </c>
      <c r="BH275" s="117"/>
      <c r="BK275" s="118">
        <f>SUM(BK276:BK286)</f>
        <v>0</v>
      </c>
      <c r="BM275" s="118">
        <f>SUM(BM276:BM286)</f>
        <v>0</v>
      </c>
      <c r="BO275" s="119">
        <f>SUM(BO276:BO286)</f>
        <v>0</v>
      </c>
      <c r="CM275" s="113" t="s">
        <v>81</v>
      </c>
      <c r="CO275" s="120" t="s">
        <v>73</v>
      </c>
      <c r="CP275" s="120" t="s">
        <v>81</v>
      </c>
      <c r="CT275" s="113" t="s">
        <v>282</v>
      </c>
      <c r="DF275" s="121">
        <f>SUM(DF276:DF286)</f>
        <v>16795.739999999998</v>
      </c>
    </row>
    <row r="276" spans="2:112" s="1" customFormat="1" ht="24.2" customHeight="1" x14ac:dyDescent="0.2">
      <c r="B276" s="124"/>
      <c r="C276" s="125" t="s">
        <v>463</v>
      </c>
      <c r="D276" s="125" t="s">
        <v>284</v>
      </c>
      <c r="E276" s="126" t="s">
        <v>522</v>
      </c>
      <c r="F276" s="127" t="s">
        <v>523</v>
      </c>
      <c r="G276" s="128" t="s">
        <v>287</v>
      </c>
      <c r="H276" s="129">
        <v>22.86</v>
      </c>
      <c r="I276" s="130">
        <v>130.95617506780872</v>
      </c>
      <c r="J276" s="131">
        <f>ROUND(I276*H276,2)</f>
        <v>2993.66</v>
      </c>
      <c r="K276" s="127" t="s">
        <v>293</v>
      </c>
      <c r="L276" s="268">
        <f>S276</f>
        <v>0</v>
      </c>
      <c r="M276" s="272">
        <f>ROUND(L276*I276,2)</f>
        <v>0</v>
      </c>
      <c r="N276" s="243">
        <f>N126</f>
        <v>-8.8109999999999999</v>
      </c>
      <c r="O276" s="294">
        <f>ROUND(N276*I276,2)</f>
        <v>-1153.8499999999999</v>
      </c>
      <c r="P276" s="273">
        <f>H276-L276-N276</f>
        <v>31.670999999999999</v>
      </c>
      <c r="Q276" s="287">
        <f>ROUND(P276*I276,2)</f>
        <v>4147.51</v>
      </c>
      <c r="R276" s="137"/>
      <c r="S276" s="269">
        <f>W276+Y276+AA276+AC276</f>
        <v>0</v>
      </c>
      <c r="T276" s="269">
        <f>ROUND(S276*I276,2)</f>
        <v>0</v>
      </c>
      <c r="U276" s="269">
        <f>H276-S276</f>
        <v>22.86</v>
      </c>
      <c r="V276" s="269">
        <f>ROUND(U276*I276,2)</f>
        <v>2993.66</v>
      </c>
      <c r="W276" s="269"/>
      <c r="X276" s="269"/>
      <c r="Y276" s="269"/>
      <c r="Z276" s="269"/>
      <c r="AA276" s="269"/>
      <c r="AB276" s="269"/>
      <c r="AC276" s="269"/>
      <c r="AD276" s="269"/>
      <c r="BH276" s="132" t="s">
        <v>1</v>
      </c>
      <c r="BI276" s="133" t="s">
        <v>40</v>
      </c>
      <c r="BK276" s="134">
        <f>BJ276*H276</f>
        <v>0</v>
      </c>
      <c r="BL276" s="134">
        <v>0</v>
      </c>
      <c r="BM276" s="134">
        <f>BL276*H276</f>
        <v>0</v>
      </c>
      <c r="BN276" s="134">
        <v>0</v>
      </c>
      <c r="BO276" s="135">
        <f>BN276*H276</f>
        <v>0</v>
      </c>
      <c r="CM276" s="136" t="s">
        <v>95</v>
      </c>
      <c r="CO276" s="136" t="s">
        <v>284</v>
      </c>
      <c r="CP276" s="136" t="s">
        <v>83</v>
      </c>
      <c r="CT276" s="16" t="s">
        <v>282</v>
      </c>
      <c r="CZ276" s="137">
        <f>IF(BI276="základní",J276,0)</f>
        <v>2993.66</v>
      </c>
      <c r="DA276" s="137">
        <f>IF(BI276="snížená",J276,0)</f>
        <v>0</v>
      </c>
      <c r="DB276" s="137">
        <f>IF(BI276="zákl. přenesená",J276,0)</f>
        <v>0</v>
      </c>
      <c r="DC276" s="137">
        <f>IF(BI276="sníž. přenesená",J276,0)</f>
        <v>0</v>
      </c>
      <c r="DD276" s="137">
        <f>IF(BI276="nulová",J276,0)</f>
        <v>0</v>
      </c>
      <c r="DE276" s="16" t="s">
        <v>81</v>
      </c>
      <c r="DF276" s="137">
        <f>ROUND(I276*H276,2)</f>
        <v>2993.66</v>
      </c>
      <c r="DG276" s="16" t="s">
        <v>95</v>
      </c>
      <c r="DH276" s="136" t="s">
        <v>524</v>
      </c>
    </row>
    <row r="277" spans="2:112" s="1" customFormat="1" ht="19.5" x14ac:dyDescent="0.2">
      <c r="B277" s="31"/>
      <c r="D277" s="138" t="s">
        <v>289</v>
      </c>
      <c r="F277" s="139" t="s">
        <v>525</v>
      </c>
      <c r="I277" s="140"/>
      <c r="L277" s="31"/>
      <c r="N277" s="213"/>
      <c r="O277" s="214"/>
      <c r="Q277" s="229"/>
      <c r="BH277" s="141"/>
      <c r="BO277" s="50"/>
      <c r="CO277" s="16" t="s">
        <v>289</v>
      </c>
      <c r="CP277" s="16" t="s">
        <v>83</v>
      </c>
    </row>
    <row r="278" spans="2:112" s="1" customFormat="1" ht="14.45" customHeight="1" x14ac:dyDescent="0.2">
      <c r="B278" s="124"/>
      <c r="C278" s="125" t="s">
        <v>470</v>
      </c>
      <c r="D278" s="125" t="s">
        <v>284</v>
      </c>
      <c r="E278" s="126" t="s">
        <v>527</v>
      </c>
      <c r="F278" s="127" t="s">
        <v>528</v>
      </c>
      <c r="G278" s="128" t="s">
        <v>287</v>
      </c>
      <c r="H278" s="129">
        <v>22.86</v>
      </c>
      <c r="I278" s="130">
        <v>200.20823792465458</v>
      </c>
      <c r="J278" s="131">
        <f>ROUND(I278*H278,2)</f>
        <v>4576.76</v>
      </c>
      <c r="K278" s="127" t="s">
        <v>293</v>
      </c>
      <c r="L278" s="268">
        <f>S278</f>
        <v>0</v>
      </c>
      <c r="M278" s="272">
        <f>ROUND(L278*I278,2)</f>
        <v>0</v>
      </c>
      <c r="N278" s="243">
        <f>N276</f>
        <v>-8.8109999999999999</v>
      </c>
      <c r="O278" s="294">
        <f>ROUND(N278*I278,2)</f>
        <v>-1764.03</v>
      </c>
      <c r="P278" s="273">
        <f>H278-L278-N278</f>
        <v>31.670999999999999</v>
      </c>
      <c r="Q278" s="287">
        <f>ROUND(P278*I278,2)</f>
        <v>6340.8</v>
      </c>
      <c r="R278" s="137"/>
      <c r="S278" s="269">
        <f>W278+Y278+AA278+AC278</f>
        <v>0</v>
      </c>
      <c r="T278" s="269">
        <f>ROUND(S278*I278,2)</f>
        <v>0</v>
      </c>
      <c r="U278" s="269">
        <f>H278-S278</f>
        <v>22.86</v>
      </c>
      <c r="V278" s="269">
        <f>ROUND(U278*I278,2)</f>
        <v>4576.76</v>
      </c>
      <c r="W278" s="269"/>
      <c r="X278" s="269"/>
      <c r="Y278" s="269"/>
      <c r="Z278" s="269"/>
      <c r="AA278" s="269"/>
      <c r="AB278" s="269"/>
      <c r="AC278" s="269"/>
      <c r="AD278" s="269"/>
      <c r="BH278" s="132" t="s">
        <v>1</v>
      </c>
      <c r="BI278" s="133" t="s">
        <v>40</v>
      </c>
      <c r="BK278" s="134">
        <f>BJ278*H278</f>
        <v>0</v>
      </c>
      <c r="BL278" s="134">
        <v>0</v>
      </c>
      <c r="BM278" s="134">
        <f>BL278*H278</f>
        <v>0</v>
      </c>
      <c r="BN278" s="134">
        <v>0</v>
      </c>
      <c r="BO278" s="135">
        <f>BN278*H278</f>
        <v>0</v>
      </c>
      <c r="CM278" s="136" t="s">
        <v>95</v>
      </c>
      <c r="CO278" s="136" t="s">
        <v>284</v>
      </c>
      <c r="CP278" s="136" t="s">
        <v>83</v>
      </c>
      <c r="CT278" s="16" t="s">
        <v>282</v>
      </c>
      <c r="CZ278" s="137">
        <f>IF(BI278="základní",J278,0)</f>
        <v>4576.76</v>
      </c>
      <c r="DA278" s="137">
        <f>IF(BI278="snížená",J278,0)</f>
        <v>0</v>
      </c>
      <c r="DB278" s="137">
        <f>IF(BI278="zákl. přenesená",J278,0)</f>
        <v>0</v>
      </c>
      <c r="DC278" s="137">
        <f>IF(BI278="sníž. přenesená",J278,0)</f>
        <v>0</v>
      </c>
      <c r="DD278" s="137">
        <f>IF(BI278="nulová",J278,0)</f>
        <v>0</v>
      </c>
      <c r="DE278" s="16" t="s">
        <v>81</v>
      </c>
      <c r="DF278" s="137">
        <f>ROUND(I278*H278,2)</f>
        <v>4576.76</v>
      </c>
      <c r="DG278" s="16" t="s">
        <v>95</v>
      </c>
      <c r="DH278" s="136" t="s">
        <v>529</v>
      </c>
    </row>
    <row r="279" spans="2:112" s="1" customFormat="1" ht="19.5" x14ac:dyDescent="0.2">
      <c r="B279" s="31"/>
      <c r="D279" s="138" t="s">
        <v>289</v>
      </c>
      <c r="F279" s="139" t="s">
        <v>530</v>
      </c>
      <c r="I279" s="140"/>
      <c r="L279" s="31"/>
      <c r="N279" s="213"/>
      <c r="O279" s="214"/>
      <c r="Q279" s="229"/>
      <c r="BH279" s="141"/>
      <c r="BO279" s="50"/>
      <c r="CO279" s="16" t="s">
        <v>289</v>
      </c>
      <c r="CP279" s="16" t="s">
        <v>83</v>
      </c>
    </row>
    <row r="280" spans="2:112" s="1" customFormat="1" ht="24.2" customHeight="1" x14ac:dyDescent="0.2">
      <c r="B280" s="124"/>
      <c r="C280" s="125" t="s">
        <v>476</v>
      </c>
      <c r="D280" s="125" t="s">
        <v>284</v>
      </c>
      <c r="E280" s="126" t="s">
        <v>532</v>
      </c>
      <c r="F280" s="127" t="s">
        <v>533</v>
      </c>
      <c r="G280" s="128" t="s">
        <v>287</v>
      </c>
      <c r="H280" s="129">
        <v>22.86</v>
      </c>
      <c r="I280" s="130">
        <v>40.878739778868102</v>
      </c>
      <c r="J280" s="131">
        <f>ROUND(I280*H280,2)</f>
        <v>934.49</v>
      </c>
      <c r="K280" s="127" t="s">
        <v>293</v>
      </c>
      <c r="L280" s="268">
        <f>S280</f>
        <v>0</v>
      </c>
      <c r="M280" s="272">
        <f>ROUND(L280*I280,2)</f>
        <v>0</v>
      </c>
      <c r="N280" s="243">
        <f>N276</f>
        <v>-8.8109999999999999</v>
      </c>
      <c r="O280" s="294">
        <f>ROUND(N280*I280,2)</f>
        <v>-360.18</v>
      </c>
      <c r="P280" s="273">
        <f>H280-L280-N280</f>
        <v>31.670999999999999</v>
      </c>
      <c r="Q280" s="287">
        <f>ROUND(P280*I280,2)</f>
        <v>1294.67</v>
      </c>
      <c r="R280" s="137"/>
      <c r="S280" s="269">
        <f>W280+Y280+AA280+AC280</f>
        <v>0</v>
      </c>
      <c r="T280" s="269">
        <f>ROUND(S280*I280,2)</f>
        <v>0</v>
      </c>
      <c r="U280" s="269">
        <f>H280-S280</f>
        <v>22.86</v>
      </c>
      <c r="V280" s="269">
        <f>ROUND(U280*I280,2)</f>
        <v>934.49</v>
      </c>
      <c r="W280" s="269"/>
      <c r="X280" s="269"/>
      <c r="Y280" s="269"/>
      <c r="Z280" s="269"/>
      <c r="AA280" s="269"/>
      <c r="AB280" s="269"/>
      <c r="AC280" s="269"/>
      <c r="AD280" s="269"/>
      <c r="BH280" s="132" t="s">
        <v>1</v>
      </c>
      <c r="BI280" s="133" t="s">
        <v>40</v>
      </c>
      <c r="BK280" s="134">
        <f>BJ280*H280</f>
        <v>0</v>
      </c>
      <c r="BL280" s="134">
        <v>0</v>
      </c>
      <c r="BM280" s="134">
        <f>BL280*H280</f>
        <v>0</v>
      </c>
      <c r="BN280" s="134">
        <v>0</v>
      </c>
      <c r="BO280" s="135">
        <f>BN280*H280</f>
        <v>0</v>
      </c>
      <c r="CM280" s="136" t="s">
        <v>95</v>
      </c>
      <c r="CO280" s="136" t="s">
        <v>284</v>
      </c>
      <c r="CP280" s="136" t="s">
        <v>83</v>
      </c>
      <c r="CT280" s="16" t="s">
        <v>282</v>
      </c>
      <c r="CZ280" s="137">
        <f>IF(BI280="základní",J280,0)</f>
        <v>934.49</v>
      </c>
      <c r="DA280" s="137">
        <f>IF(BI280="snížená",J280,0)</f>
        <v>0</v>
      </c>
      <c r="DB280" s="137">
        <f>IF(BI280="zákl. přenesená",J280,0)</f>
        <v>0</v>
      </c>
      <c r="DC280" s="137">
        <f>IF(BI280="sníž. přenesená",J280,0)</f>
        <v>0</v>
      </c>
      <c r="DD280" s="137">
        <f>IF(BI280="nulová",J280,0)</f>
        <v>0</v>
      </c>
      <c r="DE280" s="16" t="s">
        <v>81</v>
      </c>
      <c r="DF280" s="137">
        <f>ROUND(I280*H280,2)</f>
        <v>934.49</v>
      </c>
      <c r="DG280" s="16" t="s">
        <v>95</v>
      </c>
      <c r="DH280" s="136" t="s">
        <v>534</v>
      </c>
    </row>
    <row r="281" spans="2:112" s="1" customFormat="1" ht="19.5" x14ac:dyDescent="0.2">
      <c r="B281" s="31"/>
      <c r="D281" s="138" t="s">
        <v>289</v>
      </c>
      <c r="F281" s="139" t="s">
        <v>535</v>
      </c>
      <c r="I281" s="140"/>
      <c r="L281" s="31"/>
      <c r="N281" s="213"/>
      <c r="O281" s="214"/>
      <c r="Q281" s="229"/>
      <c r="BH281" s="141"/>
      <c r="BO281" s="50"/>
      <c r="CO281" s="16" t="s">
        <v>289</v>
      </c>
      <c r="CP281" s="16" t="s">
        <v>83</v>
      </c>
    </row>
    <row r="282" spans="2:112" s="1" customFormat="1" ht="24.2" customHeight="1" x14ac:dyDescent="0.2">
      <c r="B282" s="124"/>
      <c r="C282" s="125" t="s">
        <v>482</v>
      </c>
      <c r="D282" s="125" t="s">
        <v>284</v>
      </c>
      <c r="E282" s="126" t="s">
        <v>537</v>
      </c>
      <c r="F282" s="127" t="s">
        <v>538</v>
      </c>
      <c r="G282" s="128" t="s">
        <v>287</v>
      </c>
      <c r="H282" s="129">
        <v>22.86</v>
      </c>
      <c r="I282" s="130">
        <v>362.67856108310502</v>
      </c>
      <c r="J282" s="131">
        <f>ROUND(I282*H282,2)</f>
        <v>8290.83</v>
      </c>
      <c r="K282" s="127" t="s">
        <v>293</v>
      </c>
      <c r="L282" s="268">
        <f>S282</f>
        <v>0</v>
      </c>
      <c r="M282" s="272">
        <f>ROUND(L282*I282,2)</f>
        <v>0</v>
      </c>
      <c r="N282" s="243">
        <f>N276</f>
        <v>-8.8109999999999999</v>
      </c>
      <c r="O282" s="294">
        <f>ROUND(N282*I282,2)</f>
        <v>-3195.56</v>
      </c>
      <c r="P282" s="273">
        <f>H282-L282-N282</f>
        <v>31.670999999999999</v>
      </c>
      <c r="Q282" s="287">
        <f>ROUND(P282*I282,2)</f>
        <v>11486.39</v>
      </c>
      <c r="R282" s="137"/>
      <c r="S282" s="269">
        <f>W282+Y282+AA282+AC282</f>
        <v>0</v>
      </c>
      <c r="T282" s="269">
        <f>ROUND(S282*I282,2)</f>
        <v>0</v>
      </c>
      <c r="U282" s="269">
        <f>H282-S282</f>
        <v>22.86</v>
      </c>
      <c r="V282" s="269">
        <f>ROUND(U282*I282,2)</f>
        <v>8290.83</v>
      </c>
      <c r="W282" s="269"/>
      <c r="X282" s="269"/>
      <c r="Y282" s="269"/>
      <c r="Z282" s="269"/>
      <c r="AA282" s="269"/>
      <c r="AB282" s="269"/>
      <c r="AC282" s="269"/>
      <c r="AD282" s="269"/>
      <c r="BH282" s="132" t="s">
        <v>1</v>
      </c>
      <c r="BI282" s="133" t="s">
        <v>40</v>
      </c>
      <c r="BK282" s="134">
        <f>BJ282*H282</f>
        <v>0</v>
      </c>
      <c r="BL282" s="134">
        <v>0</v>
      </c>
      <c r="BM282" s="134">
        <f>BL282*H282</f>
        <v>0</v>
      </c>
      <c r="BN282" s="134">
        <v>0</v>
      </c>
      <c r="BO282" s="135">
        <f>BN282*H282</f>
        <v>0</v>
      </c>
      <c r="CM282" s="136" t="s">
        <v>95</v>
      </c>
      <c r="CO282" s="136" t="s">
        <v>284</v>
      </c>
      <c r="CP282" s="136" t="s">
        <v>83</v>
      </c>
      <c r="CT282" s="16" t="s">
        <v>282</v>
      </c>
      <c r="CZ282" s="137">
        <f>IF(BI282="základní",J282,0)</f>
        <v>8290.83</v>
      </c>
      <c r="DA282" s="137">
        <f>IF(BI282="snížená",J282,0)</f>
        <v>0</v>
      </c>
      <c r="DB282" s="137">
        <f>IF(BI282="zákl. přenesená",J282,0)</f>
        <v>0</v>
      </c>
      <c r="DC282" s="137">
        <f>IF(BI282="sníž. přenesená",J282,0)</f>
        <v>0</v>
      </c>
      <c r="DD282" s="137">
        <f>IF(BI282="nulová",J282,0)</f>
        <v>0</v>
      </c>
      <c r="DE282" s="16" t="s">
        <v>81</v>
      </c>
      <c r="DF282" s="137">
        <f>ROUND(I282*H282,2)</f>
        <v>8290.83</v>
      </c>
      <c r="DG282" s="16" t="s">
        <v>95</v>
      </c>
      <c r="DH282" s="136" t="s">
        <v>539</v>
      </c>
    </row>
    <row r="283" spans="2:112" s="1" customFormat="1" ht="29.25" x14ac:dyDescent="0.2">
      <c r="B283" s="31"/>
      <c r="D283" s="138" t="s">
        <v>289</v>
      </c>
      <c r="F283" s="139" t="s">
        <v>540</v>
      </c>
      <c r="I283" s="140"/>
      <c r="L283" s="31"/>
      <c r="N283" s="213"/>
      <c r="O283" s="214"/>
      <c r="Q283" s="229"/>
      <c r="BH283" s="141"/>
      <c r="BO283" s="50"/>
      <c r="CO283" s="16" t="s">
        <v>289</v>
      </c>
      <c r="CP283" s="16" t="s">
        <v>83</v>
      </c>
    </row>
    <row r="284" spans="2:112" s="1" customFormat="1" ht="29.25" x14ac:dyDescent="0.2">
      <c r="B284" s="31"/>
      <c r="D284" s="138" t="s">
        <v>299</v>
      </c>
      <c r="F284" s="142" t="s">
        <v>1659</v>
      </c>
      <c r="I284" s="140"/>
      <c r="L284" s="31"/>
      <c r="N284" s="213"/>
      <c r="O284" s="214"/>
      <c r="Q284" s="229"/>
      <c r="BH284" s="141"/>
      <c r="BO284" s="50"/>
      <c r="CO284" s="16" t="s">
        <v>299</v>
      </c>
      <c r="CP284" s="16" t="s">
        <v>83</v>
      </c>
    </row>
    <row r="285" spans="2:112" s="11" customFormat="1" ht="22.5" x14ac:dyDescent="0.2">
      <c r="B285" s="143"/>
      <c r="D285" s="138" t="s">
        <v>301</v>
      </c>
      <c r="E285" s="144" t="s">
        <v>1</v>
      </c>
      <c r="F285" s="145" t="s">
        <v>1126</v>
      </c>
      <c r="H285" s="144" t="s">
        <v>1</v>
      </c>
      <c r="I285" s="146"/>
      <c r="L285" s="143"/>
      <c r="N285" s="215"/>
      <c r="O285" s="216"/>
      <c r="Q285" s="230"/>
      <c r="BH285" s="147"/>
      <c r="BO285" s="148"/>
      <c r="CO285" s="144" t="s">
        <v>301</v>
      </c>
      <c r="CP285" s="144" t="s">
        <v>83</v>
      </c>
      <c r="CQ285" s="11" t="s">
        <v>81</v>
      </c>
      <c r="CR285" s="11" t="s">
        <v>32</v>
      </c>
      <c r="CS285" s="11" t="s">
        <v>74</v>
      </c>
      <c r="CT285" s="144" t="s">
        <v>282</v>
      </c>
    </row>
    <row r="286" spans="2:112" s="12" customFormat="1" x14ac:dyDescent="0.2">
      <c r="B286" s="149"/>
      <c r="D286" s="138" t="s">
        <v>301</v>
      </c>
      <c r="E286" s="150" t="s">
        <v>1</v>
      </c>
      <c r="F286" s="151" t="s">
        <v>1737</v>
      </c>
      <c r="H286" s="152">
        <v>22.86</v>
      </c>
      <c r="I286" s="153"/>
      <c r="L286" s="149"/>
      <c r="N286" s="217"/>
      <c r="O286" s="218"/>
      <c r="Q286" s="231"/>
      <c r="BH286" s="154"/>
      <c r="BO286" s="155"/>
      <c r="CO286" s="150" t="s">
        <v>301</v>
      </c>
      <c r="CP286" s="150" t="s">
        <v>83</v>
      </c>
      <c r="CQ286" s="12" t="s">
        <v>83</v>
      </c>
      <c r="CR286" s="12" t="s">
        <v>32</v>
      </c>
      <c r="CS286" s="12" t="s">
        <v>81</v>
      </c>
      <c r="CT286" s="150" t="s">
        <v>282</v>
      </c>
    </row>
    <row r="287" spans="2:112" s="10" customFormat="1" ht="22.9" customHeight="1" x14ac:dyDescent="0.2">
      <c r="B287" s="112"/>
      <c r="D287" s="113" t="s">
        <v>73</v>
      </c>
      <c r="E287" s="122" t="s">
        <v>328</v>
      </c>
      <c r="F287" s="122" t="s">
        <v>555</v>
      </c>
      <c r="I287" s="115"/>
      <c r="J287" s="123">
        <f>DF287</f>
        <v>72938.040000000008</v>
      </c>
      <c r="L287" s="112"/>
      <c r="M287" s="270">
        <f>SUM(M288:M327)</f>
        <v>0</v>
      </c>
      <c r="N287" s="301"/>
      <c r="O287" s="302">
        <f t="shared" ref="O287:V287" si="6">SUM(O288:O327)</f>
        <v>-6257.3</v>
      </c>
      <c r="P287" s="270"/>
      <c r="Q287" s="288">
        <f t="shared" si="6"/>
        <v>79195.340000000011</v>
      </c>
      <c r="R287" s="270"/>
      <c r="S287" s="270"/>
      <c r="T287" s="270">
        <f t="shared" si="6"/>
        <v>0</v>
      </c>
      <c r="U287" s="270"/>
      <c r="V287" s="270">
        <f t="shared" si="6"/>
        <v>72938.040000000008</v>
      </c>
      <c r="BH287" s="117"/>
      <c r="BK287" s="118">
        <f>SUM(BK288:BK328)</f>
        <v>0</v>
      </c>
      <c r="BM287" s="118">
        <f>SUM(BM288:BM328)</f>
        <v>0.76978800000000003</v>
      </c>
      <c r="BO287" s="119">
        <f>SUM(BO288:BO328)</f>
        <v>0</v>
      </c>
      <c r="CM287" s="113" t="s">
        <v>81</v>
      </c>
      <c r="CO287" s="120" t="s">
        <v>73</v>
      </c>
      <c r="CP287" s="120" t="s">
        <v>81</v>
      </c>
      <c r="CT287" s="113" t="s">
        <v>282</v>
      </c>
      <c r="DF287" s="121">
        <f>SUM(DF288:DF328)</f>
        <v>72938.040000000008</v>
      </c>
    </row>
    <row r="288" spans="2:112" s="1" customFormat="1" ht="24.2" customHeight="1" x14ac:dyDescent="0.2">
      <c r="B288" s="124"/>
      <c r="C288" s="125" t="s">
        <v>489</v>
      </c>
      <c r="D288" s="125" t="s">
        <v>284</v>
      </c>
      <c r="E288" s="126" t="s">
        <v>1128</v>
      </c>
      <c r="F288" s="127" t="s">
        <v>1129</v>
      </c>
      <c r="G288" s="128" t="s">
        <v>344</v>
      </c>
      <c r="H288" s="129">
        <v>25.4</v>
      </c>
      <c r="I288" s="130">
        <v>617.16852473597498</v>
      </c>
      <c r="J288" s="131">
        <f>ROUND(I288*H288,2)</f>
        <v>15676.08</v>
      </c>
      <c r="K288" s="127" t="s">
        <v>293</v>
      </c>
      <c r="L288" s="268">
        <f>S288</f>
        <v>0</v>
      </c>
      <c r="M288" s="272">
        <f>ROUND(L288*I288,2)</f>
        <v>0</v>
      </c>
      <c r="N288" s="243">
        <f>N291</f>
        <v>-9.7899999999999991</v>
      </c>
      <c r="O288" s="294">
        <f>ROUND(N288*I288,2)</f>
        <v>-6042.08</v>
      </c>
      <c r="P288" s="273">
        <f>H288-L288-N288</f>
        <v>35.19</v>
      </c>
      <c r="Q288" s="287">
        <f>ROUND(P288*I288,2)</f>
        <v>21718.16</v>
      </c>
      <c r="R288" s="137"/>
      <c r="S288" s="269">
        <f>W288+Y288+AA288+AC288</f>
        <v>0</v>
      </c>
      <c r="T288" s="269">
        <f>ROUND(S288*I288,2)</f>
        <v>0</v>
      </c>
      <c r="U288" s="269">
        <f>H288-S288</f>
        <v>25.4</v>
      </c>
      <c r="V288" s="269">
        <f>ROUND(U288*I288,2)</f>
        <v>15676.08</v>
      </c>
      <c r="W288" s="269"/>
      <c r="X288" s="269"/>
      <c r="Y288" s="269"/>
      <c r="Z288" s="269"/>
      <c r="AA288" s="269"/>
      <c r="AB288" s="269"/>
      <c r="AC288" s="269"/>
      <c r="AD288" s="269"/>
      <c r="BH288" s="132" t="s">
        <v>1</v>
      </c>
      <c r="BI288" s="133" t="s">
        <v>40</v>
      </c>
      <c r="BK288" s="134">
        <f>BJ288*H288</f>
        <v>0</v>
      </c>
      <c r="BL288" s="134">
        <v>4.2199999999999998E-3</v>
      </c>
      <c r="BM288" s="134">
        <f>BL288*H288</f>
        <v>0.10718799999999999</v>
      </c>
      <c r="BN288" s="134">
        <v>0</v>
      </c>
      <c r="BO288" s="135">
        <f>BN288*H288</f>
        <v>0</v>
      </c>
      <c r="CM288" s="136" t="s">
        <v>95</v>
      </c>
      <c r="CO288" s="136" t="s">
        <v>284</v>
      </c>
      <c r="CP288" s="136" t="s">
        <v>83</v>
      </c>
      <c r="CT288" s="16" t="s">
        <v>282</v>
      </c>
      <c r="CZ288" s="137">
        <f>IF(BI288="základní",J288,0)</f>
        <v>15676.08</v>
      </c>
      <c r="DA288" s="137">
        <f>IF(BI288="snížená",J288,0)</f>
        <v>0</v>
      </c>
      <c r="DB288" s="137">
        <f>IF(BI288="zákl. přenesená",J288,0)</f>
        <v>0</v>
      </c>
      <c r="DC288" s="137">
        <f>IF(BI288="sníž. přenesená",J288,0)</f>
        <v>0</v>
      </c>
      <c r="DD288" s="137">
        <f>IF(BI288="nulová",J288,0)</f>
        <v>0</v>
      </c>
      <c r="DE288" s="16" t="s">
        <v>81</v>
      </c>
      <c r="DF288" s="137">
        <f>ROUND(I288*H288,2)</f>
        <v>15676.08</v>
      </c>
      <c r="DG288" s="16" t="s">
        <v>95</v>
      </c>
      <c r="DH288" s="136" t="s">
        <v>1130</v>
      </c>
    </row>
    <row r="289" spans="2:112" s="1" customFormat="1" ht="29.25" x14ac:dyDescent="0.2">
      <c r="B289" s="31"/>
      <c r="D289" s="138" t="s">
        <v>289</v>
      </c>
      <c r="F289" s="139" t="s">
        <v>1131</v>
      </c>
      <c r="I289" s="140"/>
      <c r="L289" s="31"/>
      <c r="N289" s="213"/>
      <c r="O289" s="214"/>
      <c r="Q289" s="229"/>
      <c r="BH289" s="141"/>
      <c r="BO289" s="50"/>
      <c r="CO289" s="16" t="s">
        <v>289</v>
      </c>
      <c r="CP289" s="16" t="s">
        <v>83</v>
      </c>
    </row>
    <row r="290" spans="2:112" s="1" customFormat="1" ht="29.25" x14ac:dyDescent="0.2">
      <c r="B290" s="31"/>
      <c r="D290" s="138" t="s">
        <v>299</v>
      </c>
      <c r="F290" s="142" t="s">
        <v>1659</v>
      </c>
      <c r="I290" s="140"/>
      <c r="L290" s="31"/>
      <c r="N290" s="213"/>
      <c r="O290" s="214"/>
      <c r="Q290" s="229"/>
      <c r="BH290" s="141"/>
      <c r="BO290" s="50"/>
      <c r="CO290" s="16" t="s">
        <v>299</v>
      </c>
      <c r="CP290" s="16" t="s">
        <v>83</v>
      </c>
    </row>
    <row r="291" spans="2:112" s="12" customFormat="1" x14ac:dyDescent="0.2">
      <c r="B291" s="149"/>
      <c r="D291" s="138" t="s">
        <v>301</v>
      </c>
      <c r="E291" s="150" t="s">
        <v>1</v>
      </c>
      <c r="F291" s="151" t="s">
        <v>1734</v>
      </c>
      <c r="H291" s="152">
        <v>25.4</v>
      </c>
      <c r="I291" s="153"/>
      <c r="L291" s="149"/>
      <c r="N291" s="217">
        <f>15.61-25.4</f>
        <v>-9.7899999999999991</v>
      </c>
      <c r="O291" s="218" t="s">
        <v>3800</v>
      </c>
      <c r="Q291" s="231"/>
      <c r="BH291" s="154"/>
      <c r="BO291" s="155"/>
      <c r="CO291" s="150" t="s">
        <v>301</v>
      </c>
      <c r="CP291" s="150" t="s">
        <v>83</v>
      </c>
      <c r="CQ291" s="12" t="s">
        <v>83</v>
      </c>
      <c r="CR291" s="12" t="s">
        <v>32</v>
      </c>
      <c r="CS291" s="12" t="s">
        <v>81</v>
      </c>
      <c r="CT291" s="150" t="s">
        <v>282</v>
      </c>
    </row>
    <row r="292" spans="2:112" s="1" customFormat="1" ht="24.2" customHeight="1" x14ac:dyDescent="0.2">
      <c r="B292" s="124"/>
      <c r="C292" s="125" t="s">
        <v>493</v>
      </c>
      <c r="D292" s="125" t="s">
        <v>284</v>
      </c>
      <c r="E292" s="126" t="s">
        <v>1132</v>
      </c>
      <c r="F292" s="127" t="s">
        <v>1133</v>
      </c>
      <c r="G292" s="128" t="s">
        <v>485</v>
      </c>
      <c r="H292" s="129">
        <v>16</v>
      </c>
      <c r="I292" s="130">
        <v>214.24530512569368</v>
      </c>
      <c r="J292" s="131">
        <f>ROUND(I292*H292,2)</f>
        <v>3427.92</v>
      </c>
      <c r="K292" s="127" t="s">
        <v>293</v>
      </c>
      <c r="L292" s="268">
        <f>S292</f>
        <v>0</v>
      </c>
      <c r="M292" s="272">
        <f>ROUND(L292*I292,2)</f>
        <v>0</v>
      </c>
      <c r="N292" s="243"/>
      <c r="O292" s="294">
        <f>ROUND(N292*I292,2)</f>
        <v>0</v>
      </c>
      <c r="P292" s="273">
        <f>H292-L292-N292</f>
        <v>16</v>
      </c>
      <c r="Q292" s="287">
        <f>ROUND(P292*I292,2)</f>
        <v>3427.92</v>
      </c>
      <c r="R292" s="137"/>
      <c r="S292" s="269">
        <f>W292+Y292+AA292+AC292</f>
        <v>0</v>
      </c>
      <c r="T292" s="269">
        <f>ROUND(S292*I292,2)</f>
        <v>0</v>
      </c>
      <c r="U292" s="269">
        <f>H292-S292</f>
        <v>16</v>
      </c>
      <c r="V292" s="269">
        <f>ROUND(U292*I292,2)</f>
        <v>3427.92</v>
      </c>
      <c r="W292" s="269"/>
      <c r="X292" s="269"/>
      <c r="Y292" s="269"/>
      <c r="Z292" s="269"/>
      <c r="AA292" s="269"/>
      <c r="AB292" s="269"/>
      <c r="AC292" s="269"/>
      <c r="AD292" s="269"/>
      <c r="BH292" s="132" t="s">
        <v>1</v>
      </c>
      <c r="BI292" s="133" t="s">
        <v>40</v>
      </c>
      <c r="BK292" s="134">
        <f>BJ292*H292</f>
        <v>0</v>
      </c>
      <c r="BL292" s="134">
        <v>0</v>
      </c>
      <c r="BM292" s="134">
        <f>BL292*H292</f>
        <v>0</v>
      </c>
      <c r="BN292" s="134">
        <v>0</v>
      </c>
      <c r="BO292" s="135">
        <f>BN292*H292</f>
        <v>0</v>
      </c>
      <c r="CM292" s="136" t="s">
        <v>95</v>
      </c>
      <c r="CO292" s="136" t="s">
        <v>284</v>
      </c>
      <c r="CP292" s="136" t="s">
        <v>83</v>
      </c>
      <c r="CT292" s="16" t="s">
        <v>282</v>
      </c>
      <c r="CZ292" s="137">
        <f>IF(BI292="základní",J292,0)</f>
        <v>3427.92</v>
      </c>
      <c r="DA292" s="137">
        <f>IF(BI292="snížená",J292,0)</f>
        <v>0</v>
      </c>
      <c r="DB292" s="137">
        <f>IF(BI292="zákl. přenesená",J292,0)</f>
        <v>0</v>
      </c>
      <c r="DC292" s="137">
        <f>IF(BI292="sníž. přenesená",J292,0)</f>
        <v>0</v>
      </c>
      <c r="DD292" s="137">
        <f>IF(BI292="nulová",J292,0)</f>
        <v>0</v>
      </c>
      <c r="DE292" s="16" t="s">
        <v>81</v>
      </c>
      <c r="DF292" s="137">
        <f>ROUND(I292*H292,2)</f>
        <v>3427.92</v>
      </c>
      <c r="DG292" s="16" t="s">
        <v>95</v>
      </c>
      <c r="DH292" s="136" t="s">
        <v>1134</v>
      </c>
    </row>
    <row r="293" spans="2:112" s="1" customFormat="1" ht="19.5" x14ac:dyDescent="0.2">
      <c r="B293" s="31"/>
      <c r="D293" s="138" t="s">
        <v>289</v>
      </c>
      <c r="F293" s="139" t="s">
        <v>1135</v>
      </c>
      <c r="I293" s="140"/>
      <c r="L293" s="31"/>
      <c r="N293" s="213"/>
      <c r="O293" s="214"/>
      <c r="Q293" s="229"/>
      <c r="BH293" s="141"/>
      <c r="BO293" s="50"/>
      <c r="CO293" s="16" t="s">
        <v>289</v>
      </c>
      <c r="CP293" s="16" t="s">
        <v>83</v>
      </c>
    </row>
    <row r="294" spans="2:112" s="1" customFormat="1" ht="29.25" x14ac:dyDescent="0.2">
      <c r="B294" s="31"/>
      <c r="D294" s="138" t="s">
        <v>299</v>
      </c>
      <c r="F294" s="142" t="s">
        <v>1659</v>
      </c>
      <c r="I294" s="140"/>
      <c r="L294" s="31"/>
      <c r="N294" s="213"/>
      <c r="O294" s="214"/>
      <c r="Q294" s="229"/>
      <c r="BH294" s="141"/>
      <c r="BO294" s="50"/>
      <c r="CO294" s="16" t="s">
        <v>299</v>
      </c>
      <c r="CP294" s="16" t="s">
        <v>83</v>
      </c>
    </row>
    <row r="295" spans="2:112" s="11" customFormat="1" x14ac:dyDescent="0.2">
      <c r="B295" s="143"/>
      <c r="D295" s="138" t="s">
        <v>301</v>
      </c>
      <c r="E295" s="144" t="s">
        <v>1</v>
      </c>
      <c r="F295" s="145" t="s">
        <v>1136</v>
      </c>
      <c r="H295" s="144" t="s">
        <v>1</v>
      </c>
      <c r="I295" s="146"/>
      <c r="L295" s="143"/>
      <c r="N295" s="215"/>
      <c r="O295" s="216"/>
      <c r="Q295" s="230"/>
      <c r="BH295" s="147"/>
      <c r="BO295" s="148"/>
      <c r="CO295" s="144" t="s">
        <v>301</v>
      </c>
      <c r="CP295" s="144" t="s">
        <v>83</v>
      </c>
      <c r="CQ295" s="11" t="s">
        <v>81</v>
      </c>
      <c r="CR295" s="11" t="s">
        <v>32</v>
      </c>
      <c r="CS295" s="11" t="s">
        <v>74</v>
      </c>
      <c r="CT295" s="144" t="s">
        <v>282</v>
      </c>
    </row>
    <row r="296" spans="2:112" s="12" customFormat="1" x14ac:dyDescent="0.2">
      <c r="B296" s="149"/>
      <c r="D296" s="138" t="s">
        <v>301</v>
      </c>
      <c r="E296" s="150" t="s">
        <v>1</v>
      </c>
      <c r="F296" s="151" t="s">
        <v>1229</v>
      </c>
      <c r="H296" s="152">
        <v>4</v>
      </c>
      <c r="I296" s="153"/>
      <c r="L296" s="149"/>
      <c r="N296" s="217"/>
      <c r="O296" s="218"/>
      <c r="Q296" s="231"/>
      <c r="BH296" s="154"/>
      <c r="BO296" s="155"/>
      <c r="CO296" s="150" t="s">
        <v>301</v>
      </c>
      <c r="CP296" s="150" t="s">
        <v>83</v>
      </c>
      <c r="CQ296" s="12" t="s">
        <v>83</v>
      </c>
      <c r="CR296" s="12" t="s">
        <v>32</v>
      </c>
      <c r="CS296" s="12" t="s">
        <v>74</v>
      </c>
      <c r="CT296" s="150" t="s">
        <v>282</v>
      </c>
    </row>
    <row r="297" spans="2:112" s="11" customFormat="1" x14ac:dyDescent="0.2">
      <c r="B297" s="143"/>
      <c r="D297" s="138" t="s">
        <v>301</v>
      </c>
      <c r="E297" s="144" t="s">
        <v>1</v>
      </c>
      <c r="F297" s="145" t="s">
        <v>1138</v>
      </c>
      <c r="H297" s="144" t="s">
        <v>1</v>
      </c>
      <c r="I297" s="146"/>
      <c r="L297" s="143"/>
      <c r="N297" s="215"/>
      <c r="O297" s="216"/>
      <c r="Q297" s="230"/>
      <c r="BH297" s="147"/>
      <c r="BO297" s="148"/>
      <c r="CO297" s="144" t="s">
        <v>301</v>
      </c>
      <c r="CP297" s="144" t="s">
        <v>83</v>
      </c>
      <c r="CQ297" s="11" t="s">
        <v>81</v>
      </c>
      <c r="CR297" s="11" t="s">
        <v>32</v>
      </c>
      <c r="CS297" s="11" t="s">
        <v>74</v>
      </c>
      <c r="CT297" s="144" t="s">
        <v>282</v>
      </c>
    </row>
    <row r="298" spans="2:112" s="12" customFormat="1" x14ac:dyDescent="0.2">
      <c r="B298" s="149"/>
      <c r="D298" s="138" t="s">
        <v>301</v>
      </c>
      <c r="E298" s="150" t="s">
        <v>1</v>
      </c>
      <c r="F298" s="151" t="s">
        <v>1738</v>
      </c>
      <c r="H298" s="152">
        <v>2</v>
      </c>
      <c r="I298" s="153"/>
      <c r="L298" s="149"/>
      <c r="N298" s="217"/>
      <c r="O298" s="218"/>
      <c r="Q298" s="231"/>
      <c r="BH298" s="154"/>
      <c r="BO298" s="155"/>
      <c r="CO298" s="150" t="s">
        <v>301</v>
      </c>
      <c r="CP298" s="150" t="s">
        <v>83</v>
      </c>
      <c r="CQ298" s="12" t="s">
        <v>83</v>
      </c>
      <c r="CR298" s="12" t="s">
        <v>32</v>
      </c>
      <c r="CS298" s="12" t="s">
        <v>74</v>
      </c>
      <c r="CT298" s="150" t="s">
        <v>282</v>
      </c>
    </row>
    <row r="299" spans="2:112" s="14" customFormat="1" x14ac:dyDescent="0.2">
      <c r="B299" s="163"/>
      <c r="D299" s="138" t="s">
        <v>301</v>
      </c>
      <c r="E299" s="164" t="s">
        <v>1</v>
      </c>
      <c r="F299" s="165" t="s">
        <v>373</v>
      </c>
      <c r="H299" s="166">
        <v>6</v>
      </c>
      <c r="I299" s="167"/>
      <c r="L299" s="163"/>
      <c r="N299" s="221"/>
      <c r="O299" s="222"/>
      <c r="Q299" s="233"/>
      <c r="BH299" s="168"/>
      <c r="BO299" s="169"/>
      <c r="CO299" s="164" t="s">
        <v>301</v>
      </c>
      <c r="CP299" s="164" t="s">
        <v>83</v>
      </c>
      <c r="CQ299" s="14" t="s">
        <v>90</v>
      </c>
      <c r="CR299" s="14" t="s">
        <v>32</v>
      </c>
      <c r="CS299" s="14" t="s">
        <v>74</v>
      </c>
      <c r="CT299" s="164" t="s">
        <v>282</v>
      </c>
    </row>
    <row r="300" spans="2:112" s="11" customFormat="1" x14ac:dyDescent="0.2">
      <c r="B300" s="143"/>
      <c r="D300" s="138" t="s">
        <v>301</v>
      </c>
      <c r="E300" s="144" t="s">
        <v>1</v>
      </c>
      <c r="F300" s="145" t="s">
        <v>1140</v>
      </c>
      <c r="H300" s="144" t="s">
        <v>1</v>
      </c>
      <c r="I300" s="146"/>
      <c r="L300" s="143"/>
      <c r="N300" s="215"/>
      <c r="O300" s="216"/>
      <c r="Q300" s="230"/>
      <c r="BH300" s="147"/>
      <c r="BO300" s="148"/>
      <c r="CO300" s="144" t="s">
        <v>301</v>
      </c>
      <c r="CP300" s="144" t="s">
        <v>83</v>
      </c>
      <c r="CQ300" s="11" t="s">
        <v>81</v>
      </c>
      <c r="CR300" s="11" t="s">
        <v>32</v>
      </c>
      <c r="CS300" s="11" t="s">
        <v>74</v>
      </c>
      <c r="CT300" s="144" t="s">
        <v>282</v>
      </c>
    </row>
    <row r="301" spans="2:112" s="12" customFormat="1" x14ac:dyDescent="0.2">
      <c r="B301" s="149"/>
      <c r="D301" s="138" t="s">
        <v>301</v>
      </c>
      <c r="E301" s="150" t="s">
        <v>1</v>
      </c>
      <c r="F301" s="151" t="s">
        <v>1739</v>
      </c>
      <c r="H301" s="152">
        <v>10</v>
      </c>
      <c r="I301" s="153"/>
      <c r="L301" s="149"/>
      <c r="N301" s="217"/>
      <c r="O301" s="218"/>
      <c r="Q301" s="231"/>
      <c r="BH301" s="154"/>
      <c r="BO301" s="155"/>
      <c r="CO301" s="150" t="s">
        <v>301</v>
      </c>
      <c r="CP301" s="150" t="s">
        <v>83</v>
      </c>
      <c r="CQ301" s="12" t="s">
        <v>83</v>
      </c>
      <c r="CR301" s="12" t="s">
        <v>32</v>
      </c>
      <c r="CS301" s="12" t="s">
        <v>74</v>
      </c>
      <c r="CT301" s="150" t="s">
        <v>282</v>
      </c>
    </row>
    <row r="302" spans="2:112" s="13" customFormat="1" x14ac:dyDescent="0.2">
      <c r="B302" s="156"/>
      <c r="D302" s="138" t="s">
        <v>301</v>
      </c>
      <c r="E302" s="157" t="s">
        <v>1</v>
      </c>
      <c r="F302" s="158" t="s">
        <v>305</v>
      </c>
      <c r="H302" s="159">
        <v>16</v>
      </c>
      <c r="I302" s="160"/>
      <c r="L302" s="156"/>
      <c r="N302" s="219"/>
      <c r="O302" s="220"/>
      <c r="Q302" s="232"/>
      <c r="BH302" s="161"/>
      <c r="BO302" s="162"/>
      <c r="CO302" s="157" t="s">
        <v>301</v>
      </c>
      <c r="CP302" s="157" t="s">
        <v>83</v>
      </c>
      <c r="CQ302" s="13" t="s">
        <v>95</v>
      </c>
      <c r="CR302" s="13" t="s">
        <v>32</v>
      </c>
      <c r="CS302" s="13" t="s">
        <v>81</v>
      </c>
      <c r="CT302" s="157" t="s">
        <v>282</v>
      </c>
    </row>
    <row r="303" spans="2:112" s="1" customFormat="1" ht="14.45" customHeight="1" x14ac:dyDescent="0.2">
      <c r="B303" s="124"/>
      <c r="C303" s="170" t="s">
        <v>497</v>
      </c>
      <c r="D303" s="170" t="s">
        <v>439</v>
      </c>
      <c r="E303" s="171" t="s">
        <v>1142</v>
      </c>
      <c r="F303" s="172" t="s">
        <v>1143</v>
      </c>
      <c r="G303" s="173" t="s">
        <v>485</v>
      </c>
      <c r="H303" s="174">
        <v>6</v>
      </c>
      <c r="I303" s="175">
        <v>100.40486420000001</v>
      </c>
      <c r="J303" s="176">
        <f>ROUND(I303*H303,2)</f>
        <v>602.42999999999995</v>
      </c>
      <c r="K303" s="172" t="s">
        <v>293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6</v>
      </c>
      <c r="Q303" s="287">
        <f>ROUND(P303*I303,2)</f>
        <v>602.42999999999995</v>
      </c>
      <c r="R303" s="137"/>
      <c r="S303" s="269">
        <f>W303+Y303+AA303+AC303</f>
        <v>0</v>
      </c>
      <c r="T303" s="269">
        <f>ROUND(S303*I303,2)</f>
        <v>0</v>
      </c>
      <c r="U303" s="269">
        <f>H303-S303</f>
        <v>6</v>
      </c>
      <c r="V303" s="269">
        <f>ROUND(U303*I303,2)</f>
        <v>602.42999999999995</v>
      </c>
      <c r="W303" s="290"/>
      <c r="X303" s="290"/>
      <c r="Y303" s="290"/>
      <c r="Z303" s="290"/>
      <c r="AA303" s="290"/>
      <c r="AB303" s="290"/>
      <c r="AC303" s="290"/>
      <c r="AD303" s="290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77" t="s">
        <v>1</v>
      </c>
      <c r="BI303" s="178" t="s">
        <v>40</v>
      </c>
      <c r="BK303" s="134">
        <f>BJ303*H303</f>
        <v>0</v>
      </c>
      <c r="BL303" s="134">
        <v>6.4999999999999997E-4</v>
      </c>
      <c r="BM303" s="134">
        <f>BL303*H303</f>
        <v>3.8999999999999998E-3</v>
      </c>
      <c r="BN303" s="134">
        <v>0</v>
      </c>
      <c r="BO303" s="135">
        <f>BN303*H303</f>
        <v>0</v>
      </c>
      <c r="CM303" s="136" t="s">
        <v>328</v>
      </c>
      <c r="CO303" s="136" t="s">
        <v>439</v>
      </c>
      <c r="CP303" s="136" t="s">
        <v>83</v>
      </c>
      <c r="CT303" s="16" t="s">
        <v>282</v>
      </c>
      <c r="CZ303" s="137">
        <f>IF(BI303="základní",J303,0)</f>
        <v>602.42999999999995</v>
      </c>
      <c r="DA303" s="137">
        <f>IF(BI303="snížená",J303,0)</f>
        <v>0</v>
      </c>
      <c r="DB303" s="137">
        <f>IF(BI303="zákl. přenesená",J303,0)</f>
        <v>0</v>
      </c>
      <c r="DC303" s="137">
        <f>IF(BI303="sníž. přenesená",J303,0)</f>
        <v>0</v>
      </c>
      <c r="DD303" s="137">
        <f>IF(BI303="nulová",J303,0)</f>
        <v>0</v>
      </c>
      <c r="DE303" s="16" t="s">
        <v>81</v>
      </c>
      <c r="DF303" s="137">
        <f>ROUND(I303*H303,2)</f>
        <v>602.42999999999995</v>
      </c>
      <c r="DG303" s="16" t="s">
        <v>95</v>
      </c>
      <c r="DH303" s="136" t="s">
        <v>1144</v>
      </c>
    </row>
    <row r="304" spans="2:112" s="1" customFormat="1" x14ac:dyDescent="0.2">
      <c r="B304" s="31"/>
      <c r="D304" s="138" t="s">
        <v>289</v>
      </c>
      <c r="F304" s="139" t="s">
        <v>1145</v>
      </c>
      <c r="I304" s="140"/>
      <c r="L304" s="31"/>
      <c r="N304" s="213"/>
      <c r="O304" s="214"/>
      <c r="Q304" s="229"/>
      <c r="BH304" s="141"/>
      <c r="BO304" s="50"/>
      <c r="CO304" s="16" t="s">
        <v>289</v>
      </c>
      <c r="CP304" s="16" t="s">
        <v>83</v>
      </c>
    </row>
    <row r="305" spans="2:112" s="1" customFormat="1" ht="14.45" customHeight="1" x14ac:dyDescent="0.2">
      <c r="B305" s="124"/>
      <c r="C305" s="170" t="s">
        <v>501</v>
      </c>
      <c r="D305" s="170" t="s">
        <v>439</v>
      </c>
      <c r="E305" s="171" t="s">
        <v>1146</v>
      </c>
      <c r="F305" s="172" t="s">
        <v>1147</v>
      </c>
      <c r="G305" s="173" t="s">
        <v>485</v>
      </c>
      <c r="H305" s="174">
        <v>10</v>
      </c>
      <c r="I305" s="175">
        <v>236.80392499999999</v>
      </c>
      <c r="J305" s="176">
        <f>ROUND(I305*H305,2)</f>
        <v>2368.04</v>
      </c>
      <c r="K305" s="172" t="s">
        <v>1</v>
      </c>
      <c r="L305" s="268">
        <f>S305</f>
        <v>0</v>
      </c>
      <c r="M305" s="272">
        <f>ROUND(L305*I305,2)</f>
        <v>0</v>
      </c>
      <c r="N305" s="243"/>
      <c r="O305" s="294">
        <f>ROUND(N305*I305,2)</f>
        <v>0</v>
      </c>
      <c r="P305" s="273">
        <f>H305-L305-N305</f>
        <v>10</v>
      </c>
      <c r="Q305" s="287">
        <f>ROUND(P305*I305,2)</f>
        <v>2368.04</v>
      </c>
      <c r="R305" s="137"/>
      <c r="S305" s="269">
        <f>W305+Y305+AA305+AC305</f>
        <v>0</v>
      </c>
      <c r="T305" s="269">
        <f>ROUND(S305*I305,2)</f>
        <v>0</v>
      </c>
      <c r="U305" s="269">
        <f>H305-S305</f>
        <v>10</v>
      </c>
      <c r="V305" s="269">
        <f>ROUND(U305*I305,2)</f>
        <v>2368.04</v>
      </c>
      <c r="W305" s="290"/>
      <c r="X305" s="290"/>
      <c r="Y305" s="290"/>
      <c r="Z305" s="290"/>
      <c r="AA305" s="290"/>
      <c r="AB305" s="290"/>
      <c r="AC305" s="290"/>
      <c r="AD305" s="290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77" t="s">
        <v>1</v>
      </c>
      <c r="BI305" s="178" t="s">
        <v>40</v>
      </c>
      <c r="BK305" s="134">
        <f>BJ305*H305</f>
        <v>0</v>
      </c>
      <c r="BL305" s="134">
        <v>6.4999999999999997E-4</v>
      </c>
      <c r="BM305" s="134">
        <f>BL305*H305</f>
        <v>6.4999999999999997E-3</v>
      </c>
      <c r="BN305" s="134">
        <v>0</v>
      </c>
      <c r="BO305" s="135">
        <f>BN305*H305</f>
        <v>0</v>
      </c>
      <c r="CM305" s="136" t="s">
        <v>328</v>
      </c>
      <c r="CO305" s="136" t="s">
        <v>439</v>
      </c>
      <c r="CP305" s="136" t="s">
        <v>83</v>
      </c>
      <c r="CT305" s="16" t="s">
        <v>282</v>
      </c>
      <c r="CZ305" s="137">
        <f>IF(BI305="základní",J305,0)</f>
        <v>2368.04</v>
      </c>
      <c r="DA305" s="137">
        <f>IF(BI305="snížená",J305,0)</f>
        <v>0</v>
      </c>
      <c r="DB305" s="137">
        <f>IF(BI305="zákl. přenesená",J305,0)</f>
        <v>0</v>
      </c>
      <c r="DC305" s="137">
        <f>IF(BI305="sníž. přenesená",J305,0)</f>
        <v>0</v>
      </c>
      <c r="DD305" s="137">
        <f>IF(BI305="nulová",J305,0)</f>
        <v>0</v>
      </c>
      <c r="DE305" s="16" t="s">
        <v>81</v>
      </c>
      <c r="DF305" s="137">
        <f>ROUND(I305*H305,2)</f>
        <v>2368.04</v>
      </c>
      <c r="DG305" s="16" t="s">
        <v>95</v>
      </c>
      <c r="DH305" s="136" t="s">
        <v>1148</v>
      </c>
    </row>
    <row r="306" spans="2:112" s="1" customFormat="1" x14ac:dyDescent="0.2">
      <c r="B306" s="31"/>
      <c r="D306" s="138" t="s">
        <v>289</v>
      </c>
      <c r="F306" s="139" t="s">
        <v>1147</v>
      </c>
      <c r="I306" s="140"/>
      <c r="L306" s="31"/>
      <c r="N306" s="213"/>
      <c r="O306" s="214"/>
      <c r="Q306" s="229"/>
      <c r="BH306" s="141"/>
      <c r="BO306" s="50"/>
      <c r="CO306" s="16" t="s">
        <v>289</v>
      </c>
      <c r="CP306" s="16" t="s">
        <v>83</v>
      </c>
    </row>
    <row r="307" spans="2:112" s="1" customFormat="1" ht="14.45" customHeight="1" x14ac:dyDescent="0.2">
      <c r="B307" s="124"/>
      <c r="C307" s="125" t="s">
        <v>505</v>
      </c>
      <c r="D307" s="125" t="s">
        <v>284</v>
      </c>
      <c r="E307" s="126" t="s">
        <v>1149</v>
      </c>
      <c r="F307" s="127" t="s">
        <v>1150</v>
      </c>
      <c r="G307" s="128" t="s">
        <v>485</v>
      </c>
      <c r="H307" s="129">
        <v>5</v>
      </c>
      <c r="I307" s="130">
        <v>214.24530512569368</v>
      </c>
      <c r="J307" s="131">
        <f>ROUND(I307*H307,2)</f>
        <v>1071.23</v>
      </c>
      <c r="K307" s="127" t="s">
        <v>293</v>
      </c>
      <c r="L307" s="268">
        <f>S307</f>
        <v>0</v>
      </c>
      <c r="M307" s="272">
        <f>ROUND(L307*I307,2)</f>
        <v>0</v>
      </c>
      <c r="N307" s="243"/>
      <c r="O307" s="294">
        <f>ROUND(N307*I307,2)</f>
        <v>0</v>
      </c>
      <c r="P307" s="273">
        <f>H307-L307-N307</f>
        <v>5</v>
      </c>
      <c r="Q307" s="287">
        <f>ROUND(P307*I307,2)</f>
        <v>1071.23</v>
      </c>
      <c r="R307" s="137"/>
      <c r="S307" s="269">
        <f>W307+Y307+AA307+AC307</f>
        <v>0</v>
      </c>
      <c r="T307" s="269">
        <f>ROUND(S307*I307,2)</f>
        <v>0</v>
      </c>
      <c r="U307" s="269">
        <f>H307-S307</f>
        <v>5</v>
      </c>
      <c r="V307" s="269">
        <f>ROUND(U307*I307,2)</f>
        <v>1071.23</v>
      </c>
      <c r="W307" s="269"/>
      <c r="X307" s="269"/>
      <c r="Y307" s="269"/>
      <c r="Z307" s="269"/>
      <c r="AA307" s="269"/>
      <c r="AB307" s="269"/>
      <c r="AC307" s="269"/>
      <c r="AD307" s="269"/>
      <c r="BH307" s="132" t="s">
        <v>1</v>
      </c>
      <c r="BI307" s="133" t="s">
        <v>40</v>
      </c>
      <c r="BK307" s="134">
        <f>BJ307*H307</f>
        <v>0</v>
      </c>
      <c r="BL307" s="134">
        <v>0</v>
      </c>
      <c r="BM307" s="134">
        <f>BL307*H307</f>
        <v>0</v>
      </c>
      <c r="BN307" s="134">
        <v>0</v>
      </c>
      <c r="BO307" s="135">
        <f>BN307*H307</f>
        <v>0</v>
      </c>
      <c r="CM307" s="136" t="s">
        <v>95</v>
      </c>
      <c r="CO307" s="136" t="s">
        <v>284</v>
      </c>
      <c r="CP307" s="136" t="s">
        <v>83</v>
      </c>
      <c r="CT307" s="16" t="s">
        <v>282</v>
      </c>
      <c r="CZ307" s="137">
        <f>IF(BI307="základní",J307,0)</f>
        <v>1071.23</v>
      </c>
      <c r="DA307" s="137">
        <f>IF(BI307="snížená",J307,0)</f>
        <v>0</v>
      </c>
      <c r="DB307" s="137">
        <f>IF(BI307="zákl. přenesená",J307,0)</f>
        <v>0</v>
      </c>
      <c r="DC307" s="137">
        <f>IF(BI307="sníž. přenesená",J307,0)</f>
        <v>0</v>
      </c>
      <c r="DD307" s="137">
        <f>IF(BI307="nulová",J307,0)</f>
        <v>0</v>
      </c>
      <c r="DE307" s="16" t="s">
        <v>81</v>
      </c>
      <c r="DF307" s="137">
        <f>ROUND(I307*H307,2)</f>
        <v>1071.23</v>
      </c>
      <c r="DG307" s="16" t="s">
        <v>95</v>
      </c>
      <c r="DH307" s="136" t="s">
        <v>1151</v>
      </c>
    </row>
    <row r="308" spans="2:112" s="1" customFormat="1" ht="19.5" x14ac:dyDescent="0.2">
      <c r="B308" s="31"/>
      <c r="D308" s="138" t="s">
        <v>289</v>
      </c>
      <c r="F308" s="139" t="s">
        <v>1152</v>
      </c>
      <c r="I308" s="140"/>
      <c r="L308" s="31"/>
      <c r="N308" s="213"/>
      <c r="O308" s="214"/>
      <c r="Q308" s="229"/>
      <c r="BH308" s="141"/>
      <c r="BO308" s="50"/>
      <c r="CO308" s="16" t="s">
        <v>289</v>
      </c>
      <c r="CP308" s="16" t="s">
        <v>83</v>
      </c>
    </row>
    <row r="309" spans="2:112" s="1" customFormat="1" ht="29.25" x14ac:dyDescent="0.2">
      <c r="B309" s="31"/>
      <c r="D309" s="138" t="s">
        <v>299</v>
      </c>
      <c r="F309" s="142" t="s">
        <v>1659</v>
      </c>
      <c r="I309" s="140"/>
      <c r="L309" s="31"/>
      <c r="N309" s="213"/>
      <c r="O309" s="214"/>
      <c r="Q309" s="229"/>
      <c r="BH309" s="141"/>
      <c r="BO309" s="50"/>
      <c r="CO309" s="16" t="s">
        <v>299</v>
      </c>
      <c r="CP309" s="16" t="s">
        <v>83</v>
      </c>
    </row>
    <row r="310" spans="2:112" s="11" customFormat="1" x14ac:dyDescent="0.2">
      <c r="B310" s="143"/>
      <c r="D310" s="138" t="s">
        <v>301</v>
      </c>
      <c r="E310" s="144" t="s">
        <v>1</v>
      </c>
      <c r="F310" s="145" t="s">
        <v>1153</v>
      </c>
      <c r="H310" s="144" t="s">
        <v>1</v>
      </c>
      <c r="I310" s="146"/>
      <c r="L310" s="143"/>
      <c r="N310" s="215"/>
      <c r="O310" s="216"/>
      <c r="Q310" s="230"/>
      <c r="BH310" s="147"/>
      <c r="BO310" s="148"/>
      <c r="CO310" s="144" t="s">
        <v>301</v>
      </c>
      <c r="CP310" s="144" t="s">
        <v>83</v>
      </c>
      <c r="CQ310" s="11" t="s">
        <v>81</v>
      </c>
      <c r="CR310" s="11" t="s">
        <v>32</v>
      </c>
      <c r="CS310" s="11" t="s">
        <v>74</v>
      </c>
      <c r="CT310" s="144" t="s">
        <v>282</v>
      </c>
    </row>
    <row r="311" spans="2:112" s="12" customFormat="1" x14ac:dyDescent="0.2">
      <c r="B311" s="149"/>
      <c r="D311" s="138" t="s">
        <v>301</v>
      </c>
      <c r="E311" s="150" t="s">
        <v>1</v>
      </c>
      <c r="F311" s="151" t="s">
        <v>312</v>
      </c>
      <c r="H311" s="152">
        <v>5</v>
      </c>
      <c r="I311" s="153"/>
      <c r="L311" s="149"/>
      <c r="N311" s="217"/>
      <c r="O311" s="218"/>
      <c r="Q311" s="231"/>
      <c r="BH311" s="154"/>
      <c r="BO311" s="155"/>
      <c r="CO311" s="150" t="s">
        <v>301</v>
      </c>
      <c r="CP311" s="150" t="s">
        <v>83</v>
      </c>
      <c r="CQ311" s="12" t="s">
        <v>83</v>
      </c>
      <c r="CR311" s="12" t="s">
        <v>32</v>
      </c>
      <c r="CS311" s="12" t="s">
        <v>81</v>
      </c>
      <c r="CT311" s="150" t="s">
        <v>282</v>
      </c>
    </row>
    <row r="312" spans="2:112" s="1" customFormat="1" ht="14.45" customHeight="1" x14ac:dyDescent="0.2">
      <c r="B312" s="124"/>
      <c r="C312" s="170" t="s">
        <v>510</v>
      </c>
      <c r="D312" s="170" t="s">
        <v>439</v>
      </c>
      <c r="E312" s="171" t="s">
        <v>1154</v>
      </c>
      <c r="F312" s="172" t="s">
        <v>1155</v>
      </c>
      <c r="G312" s="173" t="s">
        <v>485</v>
      </c>
      <c r="H312" s="174">
        <v>5</v>
      </c>
      <c r="I312" s="175">
        <v>59.200981249999998</v>
      </c>
      <c r="J312" s="176">
        <f>ROUND(I312*H312,2)</f>
        <v>296</v>
      </c>
      <c r="K312" s="172" t="s">
        <v>293</v>
      </c>
      <c r="L312" s="268">
        <f>S312</f>
        <v>0</v>
      </c>
      <c r="M312" s="272">
        <f>ROUND(L312*I312,2)</f>
        <v>0</v>
      </c>
      <c r="N312" s="243"/>
      <c r="O312" s="294">
        <f>ROUND(N312*I312,2)</f>
        <v>0</v>
      </c>
      <c r="P312" s="273">
        <f>H312-L312-N312</f>
        <v>5</v>
      </c>
      <c r="Q312" s="287">
        <f>ROUND(P312*I312,2)</f>
        <v>296</v>
      </c>
      <c r="R312" s="137"/>
      <c r="S312" s="269">
        <f>W312+Y312+AA312+AC312</f>
        <v>0</v>
      </c>
      <c r="T312" s="269">
        <f>ROUND(S312*I312,2)</f>
        <v>0</v>
      </c>
      <c r="U312" s="269">
        <f>H312-S312</f>
        <v>5</v>
      </c>
      <c r="V312" s="269">
        <f>ROUND(U312*I312,2)</f>
        <v>296</v>
      </c>
      <c r="W312" s="290"/>
      <c r="X312" s="290"/>
      <c r="Y312" s="290"/>
      <c r="Z312" s="290"/>
      <c r="AA312" s="290"/>
      <c r="AB312" s="290"/>
      <c r="AC312" s="290"/>
      <c r="AD312" s="290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77" t="s">
        <v>1</v>
      </c>
      <c r="BI312" s="178" t="s">
        <v>40</v>
      </c>
      <c r="BK312" s="134">
        <f>BJ312*H312</f>
        <v>0</v>
      </c>
      <c r="BL312" s="134">
        <v>2.9E-4</v>
      </c>
      <c r="BM312" s="134">
        <f>BL312*H312</f>
        <v>1.4499999999999999E-3</v>
      </c>
      <c r="BN312" s="134">
        <v>0</v>
      </c>
      <c r="BO312" s="135">
        <f>BN312*H312</f>
        <v>0</v>
      </c>
      <c r="CM312" s="136" t="s">
        <v>328</v>
      </c>
      <c r="CO312" s="136" t="s">
        <v>439</v>
      </c>
      <c r="CP312" s="136" t="s">
        <v>83</v>
      </c>
      <c r="CT312" s="16" t="s">
        <v>282</v>
      </c>
      <c r="CZ312" s="137">
        <f>IF(BI312="základní",J312,0)</f>
        <v>296</v>
      </c>
      <c r="DA312" s="137">
        <f>IF(BI312="snížená",J312,0)</f>
        <v>0</v>
      </c>
      <c r="DB312" s="137">
        <f>IF(BI312="zákl. přenesená",J312,0)</f>
        <v>0</v>
      </c>
      <c r="DC312" s="137">
        <f>IF(BI312="sníž. přenesená",J312,0)</f>
        <v>0</v>
      </c>
      <c r="DD312" s="137">
        <f>IF(BI312="nulová",J312,0)</f>
        <v>0</v>
      </c>
      <c r="DE312" s="16" t="s">
        <v>81</v>
      </c>
      <c r="DF312" s="137">
        <f>ROUND(I312*H312,2)</f>
        <v>296</v>
      </c>
      <c r="DG312" s="16" t="s">
        <v>95</v>
      </c>
      <c r="DH312" s="136" t="s">
        <v>1156</v>
      </c>
    </row>
    <row r="313" spans="2:112" s="1" customFormat="1" x14ac:dyDescent="0.2">
      <c r="B313" s="31"/>
      <c r="D313" s="138" t="s">
        <v>289</v>
      </c>
      <c r="F313" s="139" t="s">
        <v>1155</v>
      </c>
      <c r="I313" s="140"/>
      <c r="L313" s="31"/>
      <c r="N313" s="213"/>
      <c r="O313" s="214"/>
      <c r="Q313" s="229"/>
      <c r="BH313" s="141"/>
      <c r="BO313" s="50"/>
      <c r="CO313" s="16" t="s">
        <v>289</v>
      </c>
      <c r="CP313" s="16" t="s">
        <v>83</v>
      </c>
    </row>
    <row r="314" spans="2:112" s="1" customFormat="1" ht="14.45" customHeight="1" x14ac:dyDescent="0.2">
      <c r="B314" s="124"/>
      <c r="C314" s="125" t="s">
        <v>514</v>
      </c>
      <c r="D314" s="125" t="s">
        <v>284</v>
      </c>
      <c r="E314" s="126" t="s">
        <v>776</v>
      </c>
      <c r="F314" s="127" t="s">
        <v>1157</v>
      </c>
      <c r="G314" s="128" t="s">
        <v>344</v>
      </c>
      <c r="H314" s="129">
        <v>25.4</v>
      </c>
      <c r="I314" s="130">
        <v>21.984104604889872</v>
      </c>
      <c r="J314" s="131">
        <f>ROUND(I314*H314,2)</f>
        <v>558.4</v>
      </c>
      <c r="K314" s="127" t="s">
        <v>293</v>
      </c>
      <c r="L314" s="268">
        <f>S314</f>
        <v>0</v>
      </c>
      <c r="M314" s="272">
        <f>ROUND(L314*I314,2)</f>
        <v>0</v>
      </c>
      <c r="N314" s="243">
        <f>N288</f>
        <v>-9.7899999999999991</v>
      </c>
      <c r="O314" s="294">
        <f>ROUND(N314*I314,2)</f>
        <v>-215.22</v>
      </c>
      <c r="P314" s="273">
        <f>H314-L314-N314</f>
        <v>35.19</v>
      </c>
      <c r="Q314" s="287">
        <f>ROUND(P314*I314,2)</f>
        <v>773.62</v>
      </c>
      <c r="R314" s="137"/>
      <c r="S314" s="269">
        <f>W314+Y314+AA314+AC314</f>
        <v>0</v>
      </c>
      <c r="T314" s="269">
        <f>ROUND(S314*I314,2)</f>
        <v>0</v>
      </c>
      <c r="U314" s="269">
        <f>H314-S314</f>
        <v>25.4</v>
      </c>
      <c r="V314" s="269">
        <f>ROUND(U314*I314,2)</f>
        <v>558.4</v>
      </c>
      <c r="W314" s="269"/>
      <c r="X314" s="269"/>
      <c r="Y314" s="269"/>
      <c r="Z314" s="269"/>
      <c r="AA314" s="269"/>
      <c r="AB314" s="269"/>
      <c r="AC314" s="269"/>
      <c r="AD314" s="269"/>
      <c r="BH314" s="132" t="s">
        <v>1</v>
      </c>
      <c r="BI314" s="133" t="s">
        <v>40</v>
      </c>
      <c r="BK314" s="134">
        <f>BJ314*H314</f>
        <v>0</v>
      </c>
      <c r="BL314" s="134">
        <v>0</v>
      </c>
      <c r="BM314" s="134">
        <f>BL314*H314</f>
        <v>0</v>
      </c>
      <c r="BN314" s="134">
        <v>0</v>
      </c>
      <c r="BO314" s="135">
        <f>BN314*H314</f>
        <v>0</v>
      </c>
      <c r="CM314" s="136" t="s">
        <v>95</v>
      </c>
      <c r="CO314" s="136" t="s">
        <v>284</v>
      </c>
      <c r="CP314" s="136" t="s">
        <v>83</v>
      </c>
      <c r="CT314" s="16" t="s">
        <v>282</v>
      </c>
      <c r="CZ314" s="137">
        <f>IF(BI314="základní",J314,0)</f>
        <v>558.4</v>
      </c>
      <c r="DA314" s="137">
        <f>IF(BI314="snížená",J314,0)</f>
        <v>0</v>
      </c>
      <c r="DB314" s="137">
        <f>IF(BI314="zákl. přenesená",J314,0)</f>
        <v>0</v>
      </c>
      <c r="DC314" s="137">
        <f>IF(BI314="sníž. přenesená",J314,0)</f>
        <v>0</v>
      </c>
      <c r="DD314" s="137">
        <f>IF(BI314="nulová",J314,0)</f>
        <v>0</v>
      </c>
      <c r="DE314" s="16" t="s">
        <v>81</v>
      </c>
      <c r="DF314" s="137">
        <f>ROUND(I314*H314,2)</f>
        <v>558.4</v>
      </c>
      <c r="DG314" s="16" t="s">
        <v>95</v>
      </c>
      <c r="DH314" s="136" t="s">
        <v>1158</v>
      </c>
    </row>
    <row r="315" spans="2:112" s="1" customFormat="1" x14ac:dyDescent="0.2">
      <c r="B315" s="31"/>
      <c r="D315" s="138" t="s">
        <v>289</v>
      </c>
      <c r="F315" s="139" t="s">
        <v>779</v>
      </c>
      <c r="I315" s="140"/>
      <c r="L315" s="31"/>
      <c r="N315" s="213"/>
      <c r="O315" s="214"/>
      <c r="Q315" s="229"/>
      <c r="BH315" s="141"/>
      <c r="BO315" s="50"/>
      <c r="CO315" s="16" t="s">
        <v>289</v>
      </c>
      <c r="CP315" s="16" t="s">
        <v>83</v>
      </c>
    </row>
    <row r="316" spans="2:112" s="1" customFormat="1" ht="19.5" x14ac:dyDescent="0.2">
      <c r="B316" s="31"/>
      <c r="D316" s="138" t="s">
        <v>299</v>
      </c>
      <c r="F316" s="142" t="s">
        <v>587</v>
      </c>
      <c r="I316" s="140"/>
      <c r="L316" s="31"/>
      <c r="N316" s="213"/>
      <c r="O316" s="214"/>
      <c r="Q316" s="229"/>
      <c r="BH316" s="141"/>
      <c r="BO316" s="50"/>
      <c r="CO316" s="16" t="s">
        <v>299</v>
      </c>
      <c r="CP316" s="16" t="s">
        <v>83</v>
      </c>
    </row>
    <row r="317" spans="2:112" s="1" customFormat="1" ht="24.2" customHeight="1" x14ac:dyDescent="0.2">
      <c r="B317" s="124"/>
      <c r="C317" s="125" t="s">
        <v>521</v>
      </c>
      <c r="D317" s="125" t="s">
        <v>284</v>
      </c>
      <c r="E317" s="126" t="s">
        <v>1159</v>
      </c>
      <c r="F317" s="127" t="s">
        <v>1160</v>
      </c>
      <c r="G317" s="128" t="s">
        <v>485</v>
      </c>
      <c r="H317" s="129">
        <v>5</v>
      </c>
      <c r="I317" s="130">
        <v>3029.9958423936168</v>
      </c>
      <c r="J317" s="131">
        <f>ROUND(I317*H317,2)</f>
        <v>15149.98</v>
      </c>
      <c r="K317" s="127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5</v>
      </c>
      <c r="Q317" s="287">
        <f>ROUND(P317*I317,2)</f>
        <v>15149.98</v>
      </c>
      <c r="R317" s="137"/>
      <c r="S317" s="269">
        <f>W317+Y317+AA317+AC317</f>
        <v>0</v>
      </c>
      <c r="T317" s="269">
        <f>ROUND(S317*I317,2)</f>
        <v>0</v>
      </c>
      <c r="U317" s="269">
        <f>H317-S317</f>
        <v>5</v>
      </c>
      <c r="V317" s="269">
        <f>ROUND(U317*I317,2)</f>
        <v>15149.98</v>
      </c>
      <c r="W317" s="269"/>
      <c r="X317" s="269"/>
      <c r="Y317" s="269"/>
      <c r="Z317" s="269"/>
      <c r="AA317" s="269"/>
      <c r="AB317" s="269"/>
      <c r="AC317" s="269"/>
      <c r="AD317" s="269"/>
      <c r="BH317" s="132" t="s">
        <v>1</v>
      </c>
      <c r="BI317" s="133" t="s">
        <v>40</v>
      </c>
      <c r="BK317" s="134">
        <f>BJ317*H317</f>
        <v>0</v>
      </c>
      <c r="BL317" s="134">
        <v>5.8029999999999998E-2</v>
      </c>
      <c r="BM317" s="134">
        <f>BL317*H317</f>
        <v>0.29015000000000002</v>
      </c>
      <c r="BN317" s="134">
        <v>0</v>
      </c>
      <c r="BO317" s="135">
        <f>BN317*H317</f>
        <v>0</v>
      </c>
      <c r="CM317" s="136" t="s">
        <v>95</v>
      </c>
      <c r="CO317" s="136" t="s">
        <v>284</v>
      </c>
      <c r="CP317" s="136" t="s">
        <v>83</v>
      </c>
      <c r="CT317" s="16" t="s">
        <v>282</v>
      </c>
      <c r="CZ317" s="137">
        <f>IF(BI317="základní",J317,0)</f>
        <v>15149.98</v>
      </c>
      <c r="DA317" s="137">
        <f>IF(BI317="snížená",J317,0)</f>
        <v>0</v>
      </c>
      <c r="DB317" s="137">
        <f>IF(BI317="zákl. přenesená",J317,0)</f>
        <v>0</v>
      </c>
      <c r="DC317" s="137">
        <f>IF(BI317="sníž. přenesená",J317,0)</f>
        <v>0</v>
      </c>
      <c r="DD317" s="137">
        <f>IF(BI317="nulová",J317,0)</f>
        <v>0</v>
      </c>
      <c r="DE317" s="16" t="s">
        <v>81</v>
      </c>
      <c r="DF317" s="137">
        <f>ROUND(I317*H317,2)</f>
        <v>15149.98</v>
      </c>
      <c r="DG317" s="16" t="s">
        <v>95</v>
      </c>
      <c r="DH317" s="136" t="s">
        <v>1161</v>
      </c>
    </row>
    <row r="318" spans="2:112" s="1" customFormat="1" ht="29.25" x14ac:dyDescent="0.2">
      <c r="B318" s="31"/>
      <c r="D318" s="138" t="s">
        <v>289</v>
      </c>
      <c r="F318" s="139" t="s">
        <v>1162</v>
      </c>
      <c r="I318" s="140"/>
      <c r="L318" s="31"/>
      <c r="N318" s="213"/>
      <c r="O318" s="214"/>
      <c r="Q318" s="229"/>
      <c r="BH318" s="141"/>
      <c r="BO318" s="50"/>
      <c r="CO318" s="16" t="s">
        <v>289</v>
      </c>
      <c r="CP318" s="16" t="s">
        <v>83</v>
      </c>
    </row>
    <row r="319" spans="2:112" s="1" customFormat="1" ht="29.25" x14ac:dyDescent="0.2">
      <c r="B319" s="31"/>
      <c r="D319" s="138" t="s">
        <v>299</v>
      </c>
      <c r="F319" s="142" t="s">
        <v>1659</v>
      </c>
      <c r="I319" s="140"/>
      <c r="L319" s="31"/>
      <c r="N319" s="213"/>
      <c r="O319" s="214"/>
      <c r="Q319" s="229"/>
      <c r="BH319" s="141"/>
      <c r="BO319" s="50"/>
      <c r="CO319" s="16" t="s">
        <v>299</v>
      </c>
      <c r="CP319" s="16" t="s">
        <v>83</v>
      </c>
    </row>
    <row r="320" spans="2:112" s="12" customFormat="1" x14ac:dyDescent="0.2">
      <c r="B320" s="149"/>
      <c r="D320" s="138" t="s">
        <v>301</v>
      </c>
      <c r="E320" s="150" t="s">
        <v>1</v>
      </c>
      <c r="F320" s="151" t="s">
        <v>312</v>
      </c>
      <c r="H320" s="152">
        <v>5</v>
      </c>
      <c r="I320" s="153"/>
      <c r="L320" s="149"/>
      <c r="N320" s="217"/>
      <c r="O320" s="218"/>
      <c r="Q320" s="231"/>
      <c r="BH320" s="154"/>
      <c r="BO320" s="155"/>
      <c r="CO320" s="150" t="s">
        <v>301</v>
      </c>
      <c r="CP320" s="150" t="s">
        <v>83</v>
      </c>
      <c r="CQ320" s="12" t="s">
        <v>83</v>
      </c>
      <c r="CR320" s="12" t="s">
        <v>32</v>
      </c>
      <c r="CS320" s="12" t="s">
        <v>81</v>
      </c>
      <c r="CT320" s="150" t="s">
        <v>282</v>
      </c>
    </row>
    <row r="321" spans="2:112" s="1" customFormat="1" ht="24.2" customHeight="1" x14ac:dyDescent="0.2">
      <c r="B321" s="124"/>
      <c r="C321" s="125" t="s">
        <v>526</v>
      </c>
      <c r="D321" s="125" t="s">
        <v>284</v>
      </c>
      <c r="E321" s="126" t="s">
        <v>1163</v>
      </c>
      <c r="F321" s="127" t="s">
        <v>1164</v>
      </c>
      <c r="G321" s="128" t="s">
        <v>485</v>
      </c>
      <c r="H321" s="129">
        <v>5</v>
      </c>
      <c r="I321" s="130">
        <v>1731.8858985723084</v>
      </c>
      <c r="J321" s="131">
        <f>ROUND(I321*H321,2)</f>
        <v>8659.43</v>
      </c>
      <c r="K321" s="127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5</v>
      </c>
      <c r="Q321" s="287">
        <f>ROUND(P321*I321,2)</f>
        <v>8659.43</v>
      </c>
      <c r="R321" s="137"/>
      <c r="S321" s="269">
        <f>W321+Y321+AA321+AC321</f>
        <v>0</v>
      </c>
      <c r="T321" s="269">
        <f>ROUND(S321*I321,2)</f>
        <v>0</v>
      </c>
      <c r="U321" s="269">
        <f>H321-S321</f>
        <v>5</v>
      </c>
      <c r="V321" s="269">
        <f>ROUND(U321*I321,2)</f>
        <v>8659.43</v>
      </c>
      <c r="W321" s="269"/>
      <c r="X321" s="269"/>
      <c r="Y321" s="269"/>
      <c r="Z321" s="269"/>
      <c r="AA321" s="269"/>
      <c r="AB321" s="269"/>
      <c r="AC321" s="269"/>
      <c r="AD321" s="269"/>
      <c r="BH321" s="132" t="s">
        <v>1</v>
      </c>
      <c r="BI321" s="133" t="s">
        <v>40</v>
      </c>
      <c r="BK321" s="134">
        <f>BJ321*H321</f>
        <v>0</v>
      </c>
      <c r="BL321" s="134">
        <v>1.136E-2</v>
      </c>
      <c r="BM321" s="134">
        <f>BL321*H321</f>
        <v>5.6800000000000003E-2</v>
      </c>
      <c r="BN321" s="134">
        <v>0</v>
      </c>
      <c r="BO321" s="135">
        <f>BN321*H321</f>
        <v>0</v>
      </c>
      <c r="CM321" s="136" t="s">
        <v>95</v>
      </c>
      <c r="CO321" s="136" t="s">
        <v>284</v>
      </c>
      <c r="CP321" s="136" t="s">
        <v>83</v>
      </c>
      <c r="CT321" s="16" t="s">
        <v>282</v>
      </c>
      <c r="CZ321" s="137">
        <f>IF(BI321="základní",J321,0)</f>
        <v>8659.43</v>
      </c>
      <c r="DA321" s="137">
        <f>IF(BI321="snížená",J321,0)</f>
        <v>0</v>
      </c>
      <c r="DB321" s="137">
        <f>IF(BI321="zákl. přenesená",J321,0)</f>
        <v>0</v>
      </c>
      <c r="DC321" s="137">
        <f>IF(BI321="sníž. přenesená",J321,0)</f>
        <v>0</v>
      </c>
      <c r="DD321" s="137">
        <f>IF(BI321="nulová",J321,0)</f>
        <v>0</v>
      </c>
      <c r="DE321" s="16" t="s">
        <v>81</v>
      </c>
      <c r="DF321" s="137">
        <f>ROUND(I321*H321,2)</f>
        <v>8659.43</v>
      </c>
      <c r="DG321" s="16" t="s">
        <v>95</v>
      </c>
      <c r="DH321" s="136" t="s">
        <v>1165</v>
      </c>
    </row>
    <row r="322" spans="2:112" s="1" customFormat="1" ht="19.5" x14ac:dyDescent="0.2">
      <c r="B322" s="31"/>
      <c r="D322" s="138" t="s">
        <v>289</v>
      </c>
      <c r="F322" s="139" t="s">
        <v>1166</v>
      </c>
      <c r="I322" s="140"/>
      <c r="L322" s="31"/>
      <c r="N322" s="213"/>
      <c r="O322" s="214"/>
      <c r="Q322" s="229"/>
      <c r="BH322" s="141"/>
      <c r="BO322" s="50"/>
      <c r="CO322" s="16" t="s">
        <v>289</v>
      </c>
      <c r="CP322" s="16" t="s">
        <v>83</v>
      </c>
    </row>
    <row r="323" spans="2:112" s="1" customFormat="1" ht="24.2" customHeight="1" x14ac:dyDescent="0.2">
      <c r="B323" s="124"/>
      <c r="C323" s="125" t="s">
        <v>531</v>
      </c>
      <c r="D323" s="125" t="s">
        <v>284</v>
      </c>
      <c r="E323" s="126" t="s">
        <v>1167</v>
      </c>
      <c r="F323" s="127" t="s">
        <v>1168</v>
      </c>
      <c r="G323" s="128" t="s">
        <v>485</v>
      </c>
      <c r="H323" s="129">
        <v>5</v>
      </c>
      <c r="I323" s="130">
        <v>769.70783374577138</v>
      </c>
      <c r="J323" s="131">
        <f>ROUND(I323*H323,2)</f>
        <v>3848.54</v>
      </c>
      <c r="K323" s="127" t="s">
        <v>293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5</v>
      </c>
      <c r="Q323" s="287">
        <f>ROUND(P323*I323,2)</f>
        <v>3848.54</v>
      </c>
      <c r="R323" s="137"/>
      <c r="S323" s="269">
        <f>W323+Y323+AA323+AC323</f>
        <v>0</v>
      </c>
      <c r="T323" s="269">
        <f>ROUND(S323*I323,2)</f>
        <v>0</v>
      </c>
      <c r="U323" s="269">
        <f>H323-S323</f>
        <v>5</v>
      </c>
      <c r="V323" s="269">
        <f>ROUND(U323*I323,2)</f>
        <v>3848.54</v>
      </c>
      <c r="W323" s="269"/>
      <c r="X323" s="269"/>
      <c r="Y323" s="269"/>
      <c r="Z323" s="269"/>
      <c r="AA323" s="269"/>
      <c r="AB323" s="269"/>
      <c r="AC323" s="269"/>
      <c r="AD323" s="269"/>
      <c r="BH323" s="132" t="s">
        <v>1</v>
      </c>
      <c r="BI323" s="133" t="s">
        <v>40</v>
      </c>
      <c r="BK323" s="134">
        <f>BJ323*H323</f>
        <v>0</v>
      </c>
      <c r="BL323" s="134">
        <v>6.2199999999999998E-3</v>
      </c>
      <c r="BM323" s="134">
        <f>BL323*H323</f>
        <v>3.1099999999999999E-2</v>
      </c>
      <c r="BN323" s="134">
        <v>0</v>
      </c>
      <c r="BO323" s="135">
        <f>BN323*H323</f>
        <v>0</v>
      </c>
      <c r="CM323" s="136" t="s">
        <v>95</v>
      </c>
      <c r="CO323" s="136" t="s">
        <v>284</v>
      </c>
      <c r="CP323" s="136" t="s">
        <v>83</v>
      </c>
      <c r="CT323" s="16" t="s">
        <v>282</v>
      </c>
      <c r="CZ323" s="137">
        <f>IF(BI323="základní",J323,0)</f>
        <v>3848.54</v>
      </c>
      <c r="DA323" s="137">
        <f>IF(BI323="snížená",J323,0)</f>
        <v>0</v>
      </c>
      <c r="DB323" s="137">
        <f>IF(BI323="zákl. přenesená",J323,0)</f>
        <v>0</v>
      </c>
      <c r="DC323" s="137">
        <f>IF(BI323="sníž. přenesená",J323,0)</f>
        <v>0</v>
      </c>
      <c r="DD323" s="137">
        <f>IF(BI323="nulová",J323,0)</f>
        <v>0</v>
      </c>
      <c r="DE323" s="16" t="s">
        <v>81</v>
      </c>
      <c r="DF323" s="137">
        <f>ROUND(I323*H323,2)</f>
        <v>3848.54</v>
      </c>
      <c r="DG323" s="16" t="s">
        <v>95</v>
      </c>
      <c r="DH323" s="136" t="s">
        <v>1169</v>
      </c>
    </row>
    <row r="324" spans="2:112" s="1" customFormat="1" ht="29.25" x14ac:dyDescent="0.2">
      <c r="B324" s="31"/>
      <c r="D324" s="138" t="s">
        <v>289</v>
      </c>
      <c r="F324" s="139" t="s">
        <v>1170</v>
      </c>
      <c r="I324" s="140"/>
      <c r="L324" s="31"/>
      <c r="N324" s="213"/>
      <c r="O324" s="214"/>
      <c r="Q324" s="229"/>
      <c r="BH324" s="141"/>
      <c r="BO324" s="50"/>
      <c r="CO324" s="16" t="s">
        <v>289</v>
      </c>
      <c r="CP324" s="16" t="s">
        <v>83</v>
      </c>
    </row>
    <row r="325" spans="2:112" s="1" customFormat="1" ht="24.2" customHeight="1" x14ac:dyDescent="0.2">
      <c r="B325" s="124"/>
      <c r="C325" s="125" t="s">
        <v>536</v>
      </c>
      <c r="D325" s="125" t="s">
        <v>284</v>
      </c>
      <c r="E325" s="126" t="s">
        <v>1171</v>
      </c>
      <c r="F325" s="127" t="s">
        <v>1172</v>
      </c>
      <c r="G325" s="128" t="s">
        <v>485</v>
      </c>
      <c r="H325" s="129">
        <v>5</v>
      </c>
      <c r="I325" s="130">
        <v>809.35201412271431</v>
      </c>
      <c r="J325" s="131">
        <f>ROUND(I325*H325,2)</f>
        <v>4046.76</v>
      </c>
      <c r="K325" s="127" t="s">
        <v>293</v>
      </c>
      <c r="L325" s="268">
        <f>S325</f>
        <v>0</v>
      </c>
      <c r="M325" s="272">
        <f>ROUND(L325*I325,2)</f>
        <v>0</v>
      </c>
      <c r="N325" s="243"/>
      <c r="O325" s="294">
        <f>ROUND(N325*I325,2)</f>
        <v>0</v>
      </c>
      <c r="P325" s="273">
        <f>H325-L325-N325</f>
        <v>5</v>
      </c>
      <c r="Q325" s="287">
        <f>ROUND(P325*I325,2)</f>
        <v>4046.76</v>
      </c>
      <c r="R325" s="137"/>
      <c r="S325" s="269">
        <f>W325+Y325+AA325+AC325</f>
        <v>0</v>
      </c>
      <c r="T325" s="269">
        <f>ROUND(S325*I325,2)</f>
        <v>0</v>
      </c>
      <c r="U325" s="269">
        <f>H325-S325</f>
        <v>5</v>
      </c>
      <c r="V325" s="269">
        <f>ROUND(U325*I325,2)</f>
        <v>4046.76</v>
      </c>
      <c r="W325" s="269"/>
      <c r="X325" s="269"/>
      <c r="Y325" s="269"/>
      <c r="Z325" s="269"/>
      <c r="AA325" s="269"/>
      <c r="AB325" s="269"/>
      <c r="AC325" s="269"/>
      <c r="AD325" s="269"/>
      <c r="BH325" s="132" t="s">
        <v>1</v>
      </c>
      <c r="BI325" s="133" t="s">
        <v>40</v>
      </c>
      <c r="BK325" s="134">
        <f>BJ325*H325</f>
        <v>0</v>
      </c>
      <c r="BL325" s="134">
        <v>0</v>
      </c>
      <c r="BM325" s="134">
        <f>BL325*H325</f>
        <v>0</v>
      </c>
      <c r="BN325" s="134">
        <v>0</v>
      </c>
      <c r="BO325" s="135">
        <f>BN325*H325</f>
        <v>0</v>
      </c>
      <c r="CM325" s="136" t="s">
        <v>95</v>
      </c>
      <c r="CO325" s="136" t="s">
        <v>284</v>
      </c>
      <c r="CP325" s="136" t="s">
        <v>83</v>
      </c>
      <c r="CT325" s="16" t="s">
        <v>282</v>
      </c>
      <c r="CZ325" s="137">
        <f>IF(BI325="základní",J325,0)</f>
        <v>4046.76</v>
      </c>
      <c r="DA325" s="137">
        <f>IF(BI325="snížená",J325,0)</f>
        <v>0</v>
      </c>
      <c r="DB325" s="137">
        <f>IF(BI325="zákl. přenesená",J325,0)</f>
        <v>0</v>
      </c>
      <c r="DC325" s="137">
        <f>IF(BI325="sníž. přenesená",J325,0)</f>
        <v>0</v>
      </c>
      <c r="DD325" s="137">
        <f>IF(BI325="nulová",J325,0)</f>
        <v>0</v>
      </c>
      <c r="DE325" s="16" t="s">
        <v>81</v>
      </c>
      <c r="DF325" s="137">
        <f>ROUND(I325*H325,2)</f>
        <v>4046.76</v>
      </c>
      <c r="DG325" s="16" t="s">
        <v>95</v>
      </c>
      <c r="DH325" s="136" t="s">
        <v>1173</v>
      </c>
    </row>
    <row r="326" spans="2:112" s="1" customFormat="1" ht="29.25" x14ac:dyDescent="0.2">
      <c r="B326" s="31"/>
      <c r="D326" s="138" t="s">
        <v>289</v>
      </c>
      <c r="F326" s="139" t="s">
        <v>1174</v>
      </c>
      <c r="I326" s="140"/>
      <c r="L326" s="31"/>
      <c r="N326" s="213"/>
      <c r="O326" s="214"/>
      <c r="Q326" s="229"/>
      <c r="BH326" s="141"/>
      <c r="BO326" s="50"/>
      <c r="CO326" s="16" t="s">
        <v>289</v>
      </c>
      <c r="CP326" s="16" t="s">
        <v>83</v>
      </c>
    </row>
    <row r="327" spans="2:112" s="1" customFormat="1" ht="24.2" customHeight="1" x14ac:dyDescent="0.2">
      <c r="B327" s="124"/>
      <c r="C327" s="125" t="s">
        <v>543</v>
      </c>
      <c r="D327" s="125" t="s">
        <v>284</v>
      </c>
      <c r="E327" s="126" t="s">
        <v>1175</v>
      </c>
      <c r="F327" s="127" t="s">
        <v>1176</v>
      </c>
      <c r="G327" s="128" t="s">
        <v>485</v>
      </c>
      <c r="H327" s="129">
        <v>5</v>
      </c>
      <c r="I327" s="130">
        <v>3446.6463092111458</v>
      </c>
      <c r="J327" s="131">
        <f>ROUND(I327*H327,2)</f>
        <v>17233.23</v>
      </c>
      <c r="K327" s="127" t="s">
        <v>293</v>
      </c>
      <c r="L327" s="268">
        <f>S327</f>
        <v>0</v>
      </c>
      <c r="M327" s="272">
        <f>ROUND(L327*I327,2)</f>
        <v>0</v>
      </c>
      <c r="N327" s="243"/>
      <c r="O327" s="294">
        <f>ROUND(N327*I327,2)</f>
        <v>0</v>
      </c>
      <c r="P327" s="273">
        <f>H327-L327-N327</f>
        <v>5</v>
      </c>
      <c r="Q327" s="287">
        <f>ROUND(P327*I327,2)</f>
        <v>17233.23</v>
      </c>
      <c r="R327" s="137"/>
      <c r="S327" s="269">
        <f>W327+Y327+AA327+AC327</f>
        <v>0</v>
      </c>
      <c r="T327" s="269">
        <f>ROUND(S327*I327,2)</f>
        <v>0</v>
      </c>
      <c r="U327" s="269">
        <f>H327-S327</f>
        <v>5</v>
      </c>
      <c r="V327" s="269">
        <f>ROUND(U327*I327,2)</f>
        <v>17233.23</v>
      </c>
      <c r="W327" s="269"/>
      <c r="X327" s="269"/>
      <c r="Y327" s="269"/>
      <c r="Z327" s="269"/>
      <c r="AA327" s="269"/>
      <c r="AB327" s="269"/>
      <c r="AC327" s="269"/>
      <c r="AD327" s="269"/>
      <c r="BH327" s="132" t="s">
        <v>1</v>
      </c>
      <c r="BI327" s="133" t="s">
        <v>40</v>
      </c>
      <c r="BK327" s="134">
        <f>BJ327*H327</f>
        <v>0</v>
      </c>
      <c r="BL327" s="134">
        <v>5.4539999999999998E-2</v>
      </c>
      <c r="BM327" s="134">
        <f>BL327*H327</f>
        <v>0.2727</v>
      </c>
      <c r="BN327" s="134">
        <v>0</v>
      </c>
      <c r="BO327" s="135">
        <f>BN327*H327</f>
        <v>0</v>
      </c>
      <c r="CM327" s="136" t="s">
        <v>95</v>
      </c>
      <c r="CO327" s="136" t="s">
        <v>284</v>
      </c>
      <c r="CP327" s="136" t="s">
        <v>83</v>
      </c>
      <c r="CT327" s="16" t="s">
        <v>282</v>
      </c>
      <c r="CZ327" s="137">
        <f>IF(BI327="základní",J327,0)</f>
        <v>17233.23</v>
      </c>
      <c r="DA327" s="137">
        <f>IF(BI327="snížená",J327,0)</f>
        <v>0</v>
      </c>
      <c r="DB327" s="137">
        <f>IF(BI327="zákl. přenesená",J327,0)</f>
        <v>0</v>
      </c>
      <c r="DC327" s="137">
        <f>IF(BI327="sníž. přenesená",J327,0)</f>
        <v>0</v>
      </c>
      <c r="DD327" s="137">
        <f>IF(BI327="nulová",J327,0)</f>
        <v>0</v>
      </c>
      <c r="DE327" s="16" t="s">
        <v>81</v>
      </c>
      <c r="DF327" s="137">
        <f>ROUND(I327*H327,2)</f>
        <v>17233.23</v>
      </c>
      <c r="DG327" s="16" t="s">
        <v>95</v>
      </c>
      <c r="DH327" s="136" t="s">
        <v>1177</v>
      </c>
    </row>
    <row r="328" spans="2:112" s="1" customFormat="1" ht="29.25" x14ac:dyDescent="0.2">
      <c r="B328" s="31"/>
      <c r="D328" s="138" t="s">
        <v>289</v>
      </c>
      <c r="F328" s="139" t="s">
        <v>1178</v>
      </c>
      <c r="I328" s="140"/>
      <c r="L328" s="31"/>
      <c r="N328" s="213"/>
      <c r="O328" s="214"/>
      <c r="Q328" s="229"/>
      <c r="BH328" s="141"/>
      <c r="BO328" s="50"/>
      <c r="CO328" s="16" t="s">
        <v>289</v>
      </c>
      <c r="CP328" s="16" t="s">
        <v>83</v>
      </c>
    </row>
    <row r="329" spans="2:112" s="10" customFormat="1" ht="22.9" customHeight="1" x14ac:dyDescent="0.2">
      <c r="B329" s="112"/>
      <c r="D329" s="113" t="s">
        <v>73</v>
      </c>
      <c r="E329" s="122" t="s">
        <v>695</v>
      </c>
      <c r="F329" s="122" t="s">
        <v>696</v>
      </c>
      <c r="I329" s="115"/>
      <c r="J329" s="123">
        <f>DF329</f>
        <v>10400.530000000001</v>
      </c>
      <c r="L329" s="112"/>
      <c r="M329" s="270">
        <f>SUM(M330:M346)</f>
        <v>0</v>
      </c>
      <c r="N329" s="301"/>
      <c r="O329" s="302">
        <f t="shared" ref="O329:V329" si="7">SUM(O330:O346)</f>
        <v>-4004.2100000000005</v>
      </c>
      <c r="P329" s="270"/>
      <c r="Q329" s="288">
        <f t="shared" si="7"/>
        <v>14404.74</v>
      </c>
      <c r="R329" s="270"/>
      <c r="S329" s="270"/>
      <c r="T329" s="270">
        <f t="shared" si="7"/>
        <v>0</v>
      </c>
      <c r="U329" s="270"/>
      <c r="V329" s="270">
        <f t="shared" si="7"/>
        <v>10400.530000000001</v>
      </c>
      <c r="BH329" s="117"/>
      <c r="BK329" s="118">
        <f>SUM(BK330:BK348)</f>
        <v>0</v>
      </c>
      <c r="BM329" s="118">
        <f>SUM(BM330:BM348)</f>
        <v>0</v>
      </c>
      <c r="BO329" s="119">
        <f>SUM(BO330:BO348)</f>
        <v>0</v>
      </c>
      <c r="CM329" s="113" t="s">
        <v>81</v>
      </c>
      <c r="CO329" s="120" t="s">
        <v>73</v>
      </c>
      <c r="CP329" s="120" t="s">
        <v>81</v>
      </c>
      <c r="CT329" s="113" t="s">
        <v>282</v>
      </c>
      <c r="DF329" s="121">
        <f>SUM(DF330:DF348)</f>
        <v>10400.530000000001</v>
      </c>
    </row>
    <row r="330" spans="2:112" s="1" customFormat="1" ht="14.45" customHeight="1" x14ac:dyDescent="0.2">
      <c r="B330" s="124"/>
      <c r="C330" s="125" t="s">
        <v>548</v>
      </c>
      <c r="D330" s="125" t="s">
        <v>284</v>
      </c>
      <c r="E330" s="126" t="s">
        <v>698</v>
      </c>
      <c r="F330" s="127" t="s">
        <v>699</v>
      </c>
      <c r="G330" s="128" t="s">
        <v>418</v>
      </c>
      <c r="H330" s="129">
        <v>28.757999999999999</v>
      </c>
      <c r="I330" s="130">
        <v>40.477390926043419</v>
      </c>
      <c r="J330" s="131">
        <f>ROUND(I330*H330,2)</f>
        <v>1164.05</v>
      </c>
      <c r="K330" s="127" t="s">
        <v>293</v>
      </c>
      <c r="L330" s="268">
        <f>S330</f>
        <v>0</v>
      </c>
      <c r="M330" s="272">
        <f>ROUND(L330*I330,2)</f>
        <v>0</v>
      </c>
      <c r="N330" s="243">
        <f>N332</f>
        <v>-11.071830000000002</v>
      </c>
      <c r="O330" s="294">
        <f>ROUND(N330*I330,2)</f>
        <v>-448.16</v>
      </c>
      <c r="P330" s="273">
        <f>H330-L330-N330</f>
        <v>39.829830000000001</v>
      </c>
      <c r="Q330" s="287">
        <f>ROUND(P330*I330,2)</f>
        <v>1612.21</v>
      </c>
      <c r="R330" s="137"/>
      <c r="S330" s="269">
        <f>W330+Y330+AA330+AC330</f>
        <v>0</v>
      </c>
      <c r="T330" s="269">
        <f>ROUND(S330*I330,2)</f>
        <v>0</v>
      </c>
      <c r="U330" s="269">
        <f>H330-S330</f>
        <v>28.757999999999999</v>
      </c>
      <c r="V330" s="269">
        <f>ROUND(U330*I330,2)</f>
        <v>1164.05</v>
      </c>
      <c r="W330" s="269"/>
      <c r="X330" s="269"/>
      <c r="Y330" s="269"/>
      <c r="Z330" s="269"/>
      <c r="AA330" s="269"/>
      <c r="AB330" s="269"/>
      <c r="AC330" s="269"/>
      <c r="AD330" s="269"/>
      <c r="BH330" s="132" t="s">
        <v>1</v>
      </c>
      <c r="BI330" s="133" t="s">
        <v>40</v>
      </c>
      <c r="BK330" s="134">
        <f>BJ330*H330</f>
        <v>0</v>
      </c>
      <c r="BL330" s="134">
        <v>0</v>
      </c>
      <c r="BM330" s="134">
        <f>BL330*H330</f>
        <v>0</v>
      </c>
      <c r="BN330" s="134">
        <v>0</v>
      </c>
      <c r="BO330" s="135">
        <f>BN330*H330</f>
        <v>0</v>
      </c>
      <c r="CM330" s="136" t="s">
        <v>95</v>
      </c>
      <c r="CO330" s="136" t="s">
        <v>284</v>
      </c>
      <c r="CP330" s="136" t="s">
        <v>83</v>
      </c>
      <c r="CT330" s="16" t="s">
        <v>282</v>
      </c>
      <c r="CZ330" s="137">
        <f>IF(BI330="základní",J330,0)</f>
        <v>1164.05</v>
      </c>
      <c r="DA330" s="137">
        <f>IF(BI330="snížená",J330,0)</f>
        <v>0</v>
      </c>
      <c r="DB330" s="137">
        <f>IF(BI330="zákl. přenesená",J330,0)</f>
        <v>0</v>
      </c>
      <c r="DC330" s="137">
        <f>IF(BI330="sníž. přenesená",J330,0)</f>
        <v>0</v>
      </c>
      <c r="DD330" s="137">
        <f>IF(BI330="nulová",J330,0)</f>
        <v>0</v>
      </c>
      <c r="DE330" s="16" t="s">
        <v>81</v>
      </c>
      <c r="DF330" s="137">
        <f>ROUND(I330*H330,2)</f>
        <v>1164.05</v>
      </c>
      <c r="DG330" s="16" t="s">
        <v>95</v>
      </c>
      <c r="DH330" s="136" t="s">
        <v>700</v>
      </c>
    </row>
    <row r="331" spans="2:112" s="1" customFormat="1" ht="19.5" x14ac:dyDescent="0.2">
      <c r="B331" s="31"/>
      <c r="D331" s="138" t="s">
        <v>289</v>
      </c>
      <c r="F331" s="139" t="s">
        <v>701</v>
      </c>
      <c r="I331" s="140"/>
      <c r="L331" s="31"/>
      <c r="N331" s="213">
        <f>0.615*28.758</f>
        <v>17.686170000000001</v>
      </c>
      <c r="O331" s="214" t="s">
        <v>3938</v>
      </c>
      <c r="Q331" s="229"/>
      <c r="BH331" s="141"/>
      <c r="BO331" s="50"/>
      <c r="CO331" s="16" t="s">
        <v>289</v>
      </c>
      <c r="CP331" s="16" t="s">
        <v>83</v>
      </c>
    </row>
    <row r="332" spans="2:112" s="12" customFormat="1" x14ac:dyDescent="0.2">
      <c r="B332" s="149"/>
      <c r="D332" s="138" t="s">
        <v>301</v>
      </c>
      <c r="E332" s="150" t="s">
        <v>1</v>
      </c>
      <c r="F332" s="151" t="s">
        <v>1740</v>
      </c>
      <c r="H332" s="152">
        <v>26.518000000000001</v>
      </c>
      <c r="I332" s="153"/>
      <c r="L332" s="149"/>
      <c r="N332" s="310">
        <f>N331-H334</f>
        <v>-11.071830000000002</v>
      </c>
      <c r="O332" s="218"/>
      <c r="Q332" s="231"/>
      <c r="BH332" s="154"/>
      <c r="BO332" s="155"/>
      <c r="CO332" s="150" t="s">
        <v>301</v>
      </c>
      <c r="CP332" s="150" t="s">
        <v>83</v>
      </c>
      <c r="CQ332" s="12" t="s">
        <v>83</v>
      </c>
      <c r="CR332" s="12" t="s">
        <v>32</v>
      </c>
      <c r="CS332" s="12" t="s">
        <v>74</v>
      </c>
      <c r="CT332" s="150" t="s">
        <v>282</v>
      </c>
    </row>
    <row r="333" spans="2:112" s="12" customFormat="1" x14ac:dyDescent="0.2">
      <c r="B333" s="149"/>
      <c r="D333" s="138" t="s">
        <v>301</v>
      </c>
      <c r="E333" s="150" t="s">
        <v>1</v>
      </c>
      <c r="F333" s="151" t="s">
        <v>1741</v>
      </c>
      <c r="H333" s="152">
        <v>2.2400000000000002</v>
      </c>
      <c r="I333" s="153"/>
      <c r="L333" s="149"/>
      <c r="N333" s="217"/>
      <c r="O333" s="218"/>
      <c r="Q333" s="231"/>
      <c r="BH333" s="154"/>
      <c r="BO333" s="155"/>
      <c r="CO333" s="150" t="s">
        <v>301</v>
      </c>
      <c r="CP333" s="150" t="s">
        <v>83</v>
      </c>
      <c r="CQ333" s="12" t="s">
        <v>83</v>
      </c>
      <c r="CR333" s="12" t="s">
        <v>32</v>
      </c>
      <c r="CS333" s="12" t="s">
        <v>74</v>
      </c>
      <c r="CT333" s="150" t="s">
        <v>282</v>
      </c>
    </row>
    <row r="334" spans="2:112" s="13" customFormat="1" x14ac:dyDescent="0.2">
      <c r="B334" s="156"/>
      <c r="D334" s="138" t="s">
        <v>301</v>
      </c>
      <c r="E334" s="157" t="s">
        <v>1</v>
      </c>
      <c r="F334" s="158" t="s">
        <v>305</v>
      </c>
      <c r="H334" s="159">
        <v>28.758000000000003</v>
      </c>
      <c r="I334" s="160"/>
      <c r="L334" s="156"/>
      <c r="N334" s="219"/>
      <c r="O334" s="220"/>
      <c r="Q334" s="232"/>
      <c r="BH334" s="161"/>
      <c r="BO334" s="162"/>
      <c r="CO334" s="157" t="s">
        <v>301</v>
      </c>
      <c r="CP334" s="157" t="s">
        <v>83</v>
      </c>
      <c r="CQ334" s="13" t="s">
        <v>95</v>
      </c>
      <c r="CR334" s="13" t="s">
        <v>32</v>
      </c>
      <c r="CS334" s="13" t="s">
        <v>81</v>
      </c>
      <c r="CT334" s="157" t="s">
        <v>282</v>
      </c>
    </row>
    <row r="335" spans="2:112" s="1" customFormat="1" ht="24.2" customHeight="1" x14ac:dyDescent="0.2">
      <c r="B335" s="124"/>
      <c r="C335" s="125" t="s">
        <v>556</v>
      </c>
      <c r="D335" s="125" t="s">
        <v>284</v>
      </c>
      <c r="E335" s="126" t="s">
        <v>705</v>
      </c>
      <c r="F335" s="127" t="s">
        <v>706</v>
      </c>
      <c r="G335" s="128" t="s">
        <v>418</v>
      </c>
      <c r="H335" s="129">
        <v>402.61200000000002</v>
      </c>
      <c r="I335" s="130">
        <v>3.1192340975392101</v>
      </c>
      <c r="J335" s="131">
        <f>ROUND(I335*H335,2)</f>
        <v>1255.8399999999999</v>
      </c>
      <c r="K335" s="127" t="s">
        <v>293</v>
      </c>
      <c r="L335" s="268">
        <f>S335</f>
        <v>0</v>
      </c>
      <c r="M335" s="272">
        <f>ROUND(L335*I335,2)</f>
        <v>0</v>
      </c>
      <c r="N335" s="243">
        <f>N337</f>
        <v>-155.00562000000002</v>
      </c>
      <c r="O335" s="294">
        <f>ROUND(N335*I335,2)</f>
        <v>-483.5</v>
      </c>
      <c r="P335" s="273">
        <f>H335-L335-N335</f>
        <v>557.61761999999999</v>
      </c>
      <c r="Q335" s="287">
        <f>ROUND(P335*I335,2)</f>
        <v>1739.34</v>
      </c>
      <c r="R335" s="137"/>
      <c r="S335" s="269">
        <f>W335+Y335+AA335+AC335</f>
        <v>0</v>
      </c>
      <c r="T335" s="269">
        <f>ROUND(S335*I335,2)</f>
        <v>0</v>
      </c>
      <c r="U335" s="269">
        <f>H335-S335</f>
        <v>402.61200000000002</v>
      </c>
      <c r="V335" s="269">
        <f>ROUND(U335*I335,2)</f>
        <v>1255.8399999999999</v>
      </c>
      <c r="W335" s="269"/>
      <c r="X335" s="269"/>
      <c r="Y335" s="269"/>
      <c r="Z335" s="269"/>
      <c r="AA335" s="269"/>
      <c r="AB335" s="269"/>
      <c r="AC335" s="269"/>
      <c r="AD335" s="269"/>
      <c r="BH335" s="132" t="s">
        <v>1</v>
      </c>
      <c r="BI335" s="133" t="s">
        <v>40</v>
      </c>
      <c r="BK335" s="134">
        <f>BJ335*H335</f>
        <v>0</v>
      </c>
      <c r="BL335" s="134">
        <v>0</v>
      </c>
      <c r="BM335" s="134">
        <f>BL335*H335</f>
        <v>0</v>
      </c>
      <c r="BN335" s="134">
        <v>0</v>
      </c>
      <c r="BO335" s="135">
        <f>BN335*H335</f>
        <v>0</v>
      </c>
      <c r="CM335" s="136" t="s">
        <v>95</v>
      </c>
      <c r="CO335" s="136" t="s">
        <v>284</v>
      </c>
      <c r="CP335" s="136" t="s">
        <v>83</v>
      </c>
      <c r="CT335" s="16" t="s">
        <v>282</v>
      </c>
      <c r="CZ335" s="137">
        <f>IF(BI335="základní",J335,0)</f>
        <v>1255.8399999999999</v>
      </c>
      <c r="DA335" s="137">
        <f>IF(BI335="snížená",J335,0)</f>
        <v>0</v>
      </c>
      <c r="DB335" s="137">
        <f>IF(BI335="zákl. přenesená",J335,0)</f>
        <v>0</v>
      </c>
      <c r="DC335" s="137">
        <f>IF(BI335="sníž. přenesená",J335,0)</f>
        <v>0</v>
      </c>
      <c r="DD335" s="137">
        <f>IF(BI335="nulová",J335,0)</f>
        <v>0</v>
      </c>
      <c r="DE335" s="16" t="s">
        <v>81</v>
      </c>
      <c r="DF335" s="137">
        <f>ROUND(I335*H335,2)</f>
        <v>1255.8399999999999</v>
      </c>
      <c r="DG335" s="16" t="s">
        <v>95</v>
      </c>
      <c r="DH335" s="136" t="s">
        <v>707</v>
      </c>
    </row>
    <row r="336" spans="2:112" s="1" customFormat="1" ht="29.25" x14ac:dyDescent="0.2">
      <c r="B336" s="31"/>
      <c r="D336" s="138" t="s">
        <v>289</v>
      </c>
      <c r="F336" s="139" t="s">
        <v>708</v>
      </c>
      <c r="I336" s="140"/>
      <c r="L336" s="31"/>
      <c r="N336" s="213">
        <f>0.615*402.612</f>
        <v>247.60638</v>
      </c>
      <c r="O336" s="214" t="s">
        <v>3939</v>
      </c>
      <c r="Q336" s="229"/>
      <c r="BH336" s="141"/>
      <c r="BO336" s="50"/>
      <c r="CO336" s="16" t="s">
        <v>289</v>
      </c>
      <c r="CP336" s="16" t="s">
        <v>83</v>
      </c>
    </row>
    <row r="337" spans="2:112" s="12" customFormat="1" x14ac:dyDescent="0.2">
      <c r="B337" s="149"/>
      <c r="D337" s="138" t="s">
        <v>301</v>
      </c>
      <c r="E337" s="150" t="s">
        <v>1</v>
      </c>
      <c r="F337" s="151" t="s">
        <v>1740</v>
      </c>
      <c r="H337" s="152">
        <v>26.518000000000001</v>
      </c>
      <c r="I337" s="153"/>
      <c r="L337" s="149"/>
      <c r="N337" s="310">
        <f>N336-H340</f>
        <v>-155.00562000000002</v>
      </c>
      <c r="O337" s="218"/>
      <c r="Q337" s="231"/>
      <c r="BH337" s="154"/>
      <c r="BO337" s="155"/>
      <c r="CO337" s="150" t="s">
        <v>301</v>
      </c>
      <c r="CP337" s="150" t="s">
        <v>83</v>
      </c>
      <c r="CQ337" s="12" t="s">
        <v>83</v>
      </c>
      <c r="CR337" s="12" t="s">
        <v>32</v>
      </c>
      <c r="CS337" s="12" t="s">
        <v>74</v>
      </c>
      <c r="CT337" s="150" t="s">
        <v>282</v>
      </c>
    </row>
    <row r="338" spans="2:112" s="12" customFormat="1" x14ac:dyDescent="0.2">
      <c r="B338" s="149"/>
      <c r="D338" s="138" t="s">
        <v>301</v>
      </c>
      <c r="E338" s="150" t="s">
        <v>1</v>
      </c>
      <c r="F338" s="151" t="s">
        <v>1741</v>
      </c>
      <c r="H338" s="152">
        <v>2.2400000000000002</v>
      </c>
      <c r="I338" s="153"/>
      <c r="L338" s="149"/>
      <c r="N338" s="217"/>
      <c r="O338" s="218"/>
      <c r="Q338" s="231"/>
      <c r="BH338" s="154"/>
      <c r="BO338" s="155"/>
      <c r="CO338" s="150" t="s">
        <v>301</v>
      </c>
      <c r="CP338" s="150" t="s">
        <v>83</v>
      </c>
      <c r="CQ338" s="12" t="s">
        <v>83</v>
      </c>
      <c r="CR338" s="12" t="s">
        <v>32</v>
      </c>
      <c r="CS338" s="12" t="s">
        <v>74</v>
      </c>
      <c r="CT338" s="150" t="s">
        <v>282</v>
      </c>
    </row>
    <row r="339" spans="2:112" s="13" customFormat="1" x14ac:dyDescent="0.2">
      <c r="B339" s="156"/>
      <c r="D339" s="138" t="s">
        <v>301</v>
      </c>
      <c r="E339" s="157" t="s">
        <v>1</v>
      </c>
      <c r="F339" s="158" t="s">
        <v>305</v>
      </c>
      <c r="H339" s="159">
        <v>28.758000000000003</v>
      </c>
      <c r="I339" s="160"/>
      <c r="L339" s="156"/>
      <c r="N339" s="219"/>
      <c r="O339" s="220"/>
      <c r="Q339" s="232"/>
      <c r="BH339" s="161"/>
      <c r="BO339" s="162"/>
      <c r="CO339" s="157" t="s">
        <v>301</v>
      </c>
      <c r="CP339" s="157" t="s">
        <v>83</v>
      </c>
      <c r="CQ339" s="13" t="s">
        <v>95</v>
      </c>
      <c r="CR339" s="13" t="s">
        <v>32</v>
      </c>
      <c r="CS339" s="13" t="s">
        <v>81</v>
      </c>
      <c r="CT339" s="157" t="s">
        <v>282</v>
      </c>
    </row>
    <row r="340" spans="2:112" s="12" customFormat="1" x14ac:dyDescent="0.2">
      <c r="B340" s="149"/>
      <c r="D340" s="138" t="s">
        <v>301</v>
      </c>
      <c r="F340" s="151" t="s">
        <v>1742</v>
      </c>
      <c r="H340" s="152">
        <v>402.61200000000002</v>
      </c>
      <c r="I340" s="153"/>
      <c r="L340" s="149"/>
      <c r="N340" s="217"/>
      <c r="O340" s="218"/>
      <c r="Q340" s="231"/>
      <c r="BH340" s="154"/>
      <c r="BO340" s="155"/>
      <c r="CO340" s="150" t="s">
        <v>301</v>
      </c>
      <c r="CP340" s="150" t="s">
        <v>83</v>
      </c>
      <c r="CQ340" s="12" t="s">
        <v>83</v>
      </c>
      <c r="CR340" s="12" t="s">
        <v>3</v>
      </c>
      <c r="CS340" s="12" t="s">
        <v>81</v>
      </c>
      <c r="CT340" s="150" t="s">
        <v>282</v>
      </c>
    </row>
    <row r="341" spans="2:112" s="1" customFormat="1" ht="24.2" customHeight="1" x14ac:dyDescent="0.2">
      <c r="B341" s="124"/>
      <c r="C341" s="125" t="s">
        <v>562</v>
      </c>
      <c r="D341" s="125" t="s">
        <v>284</v>
      </c>
      <c r="E341" s="126" t="s">
        <v>711</v>
      </c>
      <c r="F341" s="127" t="s">
        <v>712</v>
      </c>
      <c r="G341" s="128" t="s">
        <v>418</v>
      </c>
      <c r="H341" s="129">
        <v>28.757999999999999</v>
      </c>
      <c r="I341" s="130">
        <v>155.98322812074767</v>
      </c>
      <c r="J341" s="131">
        <f>ROUND(I341*H341,2)</f>
        <v>4485.7700000000004</v>
      </c>
      <c r="K341" s="127" t="s">
        <v>293</v>
      </c>
      <c r="L341" s="268">
        <f>S341</f>
        <v>0</v>
      </c>
      <c r="M341" s="272">
        <f>ROUND(L341*I341,2)</f>
        <v>0</v>
      </c>
      <c r="N341" s="243">
        <f>N330</f>
        <v>-11.071830000000002</v>
      </c>
      <c r="O341" s="294">
        <f>ROUND(N341*I341,2)</f>
        <v>-1727.02</v>
      </c>
      <c r="P341" s="273">
        <f>H341-L341-N341</f>
        <v>39.829830000000001</v>
      </c>
      <c r="Q341" s="287">
        <f>ROUND(P341*I341,2)</f>
        <v>6212.79</v>
      </c>
      <c r="R341" s="137"/>
      <c r="S341" s="269">
        <f>W341+Y341+AA341+AC341</f>
        <v>0</v>
      </c>
      <c r="T341" s="269">
        <f>ROUND(S341*I341,2)</f>
        <v>0</v>
      </c>
      <c r="U341" s="269">
        <f>H341-S341</f>
        <v>28.757999999999999</v>
      </c>
      <c r="V341" s="269">
        <f>ROUND(U341*I341,2)</f>
        <v>4485.7700000000004</v>
      </c>
      <c r="W341" s="269"/>
      <c r="X341" s="269"/>
      <c r="Y341" s="269"/>
      <c r="Z341" s="269"/>
      <c r="AA341" s="269"/>
      <c r="AB341" s="269"/>
      <c r="AC341" s="269"/>
      <c r="AD341" s="269"/>
      <c r="BH341" s="132" t="s">
        <v>1</v>
      </c>
      <c r="BI341" s="133" t="s">
        <v>40</v>
      </c>
      <c r="BK341" s="134">
        <f>BJ341*H341</f>
        <v>0</v>
      </c>
      <c r="BL341" s="134">
        <v>0</v>
      </c>
      <c r="BM341" s="134">
        <f>BL341*H341</f>
        <v>0</v>
      </c>
      <c r="BN341" s="134">
        <v>0</v>
      </c>
      <c r="BO341" s="135">
        <f>BN341*H341</f>
        <v>0</v>
      </c>
      <c r="CM341" s="136" t="s">
        <v>95</v>
      </c>
      <c r="CO341" s="136" t="s">
        <v>284</v>
      </c>
      <c r="CP341" s="136" t="s">
        <v>83</v>
      </c>
      <c r="CT341" s="16" t="s">
        <v>282</v>
      </c>
      <c r="CZ341" s="137">
        <f>IF(BI341="základní",J341,0)</f>
        <v>4485.7700000000004</v>
      </c>
      <c r="DA341" s="137">
        <f>IF(BI341="snížená",J341,0)</f>
        <v>0</v>
      </c>
      <c r="DB341" s="137">
        <f>IF(BI341="zákl. přenesená",J341,0)</f>
        <v>0</v>
      </c>
      <c r="DC341" s="137">
        <f>IF(BI341="sníž. přenesená",J341,0)</f>
        <v>0</v>
      </c>
      <c r="DD341" s="137">
        <f>IF(BI341="nulová",J341,0)</f>
        <v>0</v>
      </c>
      <c r="DE341" s="16" t="s">
        <v>81</v>
      </c>
      <c r="DF341" s="137">
        <f>ROUND(I341*H341,2)</f>
        <v>4485.7700000000004</v>
      </c>
      <c r="DG341" s="16" t="s">
        <v>95</v>
      </c>
      <c r="DH341" s="136" t="s">
        <v>713</v>
      </c>
    </row>
    <row r="342" spans="2:112" s="1" customFormat="1" x14ac:dyDescent="0.2">
      <c r="B342" s="31"/>
      <c r="D342" s="138" t="s">
        <v>289</v>
      </c>
      <c r="F342" s="139" t="s">
        <v>714</v>
      </c>
      <c r="I342" s="140"/>
      <c r="L342" s="31"/>
      <c r="N342" s="213"/>
      <c r="O342" s="214"/>
      <c r="Q342" s="229"/>
      <c r="BH342" s="141"/>
      <c r="BO342" s="50"/>
      <c r="CO342" s="16" t="s">
        <v>289</v>
      </c>
      <c r="CP342" s="16" t="s">
        <v>83</v>
      </c>
    </row>
    <row r="343" spans="2:112" s="1" customFormat="1" ht="37.9" customHeight="1" x14ac:dyDescent="0.2">
      <c r="B343" s="124"/>
      <c r="C343" s="125" t="s">
        <v>568</v>
      </c>
      <c r="D343" s="125" t="s">
        <v>284</v>
      </c>
      <c r="E343" s="126" t="s">
        <v>716</v>
      </c>
      <c r="F343" s="127" t="s">
        <v>420</v>
      </c>
      <c r="G343" s="128" t="s">
        <v>418</v>
      </c>
      <c r="H343" s="129">
        <v>26.518000000000001</v>
      </c>
      <c r="I343" s="130">
        <v>110.6455721</v>
      </c>
      <c r="J343" s="131">
        <f>ROUND(I343*H343,2)</f>
        <v>2934.1</v>
      </c>
      <c r="K343" s="127" t="s">
        <v>293</v>
      </c>
      <c r="L343" s="268">
        <f>S343</f>
        <v>0</v>
      </c>
      <c r="M343" s="272">
        <f>ROUND(L343*I343,2)</f>
        <v>0</v>
      </c>
      <c r="N343" s="243">
        <f>N345</f>
        <v>-10.209430000000001</v>
      </c>
      <c r="O343" s="294">
        <f>ROUND(N343*I343,2)</f>
        <v>-1129.6300000000001</v>
      </c>
      <c r="P343" s="273">
        <f>H343-L343-N343</f>
        <v>36.727429999999998</v>
      </c>
      <c r="Q343" s="287">
        <f>ROUND(P343*I343,2)</f>
        <v>4063.73</v>
      </c>
      <c r="R343" s="137"/>
      <c r="S343" s="269">
        <f>W343+Y343+AA343+AC343</f>
        <v>0</v>
      </c>
      <c r="T343" s="269">
        <f>ROUND(S343*I343,2)</f>
        <v>0</v>
      </c>
      <c r="U343" s="269">
        <f>H343-S343</f>
        <v>26.518000000000001</v>
      </c>
      <c r="V343" s="269">
        <f>ROUND(U343*I343,2)</f>
        <v>2934.1</v>
      </c>
      <c r="W343" s="269"/>
      <c r="X343" s="269"/>
      <c r="Y343" s="269"/>
      <c r="Z343" s="269"/>
      <c r="AA343" s="269"/>
      <c r="AB343" s="269"/>
      <c r="AC343" s="269"/>
      <c r="AD343" s="269"/>
      <c r="BH343" s="132" t="s">
        <v>1</v>
      </c>
      <c r="BI343" s="133" t="s">
        <v>40</v>
      </c>
      <c r="BK343" s="134">
        <f>BJ343*H343</f>
        <v>0</v>
      </c>
      <c r="BL343" s="134">
        <v>0</v>
      </c>
      <c r="BM343" s="134">
        <f>BL343*H343</f>
        <v>0</v>
      </c>
      <c r="BN343" s="134">
        <v>0</v>
      </c>
      <c r="BO343" s="135">
        <f>BN343*H343</f>
        <v>0</v>
      </c>
      <c r="CM343" s="136" t="s">
        <v>95</v>
      </c>
      <c r="CO343" s="136" t="s">
        <v>284</v>
      </c>
      <c r="CP343" s="136" t="s">
        <v>83</v>
      </c>
      <c r="CT343" s="16" t="s">
        <v>282</v>
      </c>
      <c r="CZ343" s="137">
        <f>IF(BI343="základní",J343,0)</f>
        <v>2934.1</v>
      </c>
      <c r="DA343" s="137">
        <f>IF(BI343="snížená",J343,0)</f>
        <v>0</v>
      </c>
      <c r="DB343" s="137">
        <f>IF(BI343="zákl. přenesená",J343,0)</f>
        <v>0</v>
      </c>
      <c r="DC343" s="137">
        <f>IF(BI343="sníž. přenesená",J343,0)</f>
        <v>0</v>
      </c>
      <c r="DD343" s="137">
        <f>IF(BI343="nulová",J343,0)</f>
        <v>0</v>
      </c>
      <c r="DE343" s="16" t="s">
        <v>81</v>
      </c>
      <c r="DF343" s="137">
        <f>ROUND(I343*H343,2)</f>
        <v>2934.1</v>
      </c>
      <c r="DG343" s="16" t="s">
        <v>95</v>
      </c>
      <c r="DH343" s="136" t="s">
        <v>717</v>
      </c>
    </row>
    <row r="344" spans="2:112" s="1" customFormat="1" ht="29.25" x14ac:dyDescent="0.2">
      <c r="B344" s="31"/>
      <c r="D344" s="138" t="s">
        <v>289</v>
      </c>
      <c r="F344" s="139" t="s">
        <v>420</v>
      </c>
      <c r="I344" s="140"/>
      <c r="L344" s="31"/>
      <c r="N344" s="213">
        <f>0.615*26.518</f>
        <v>16.30857</v>
      </c>
      <c r="O344" s="214" t="s">
        <v>3940</v>
      </c>
      <c r="Q344" s="229"/>
      <c r="BH344" s="141"/>
      <c r="BO344" s="50"/>
      <c r="CO344" s="16" t="s">
        <v>289</v>
      </c>
      <c r="CP344" s="16" t="s">
        <v>83</v>
      </c>
    </row>
    <row r="345" spans="2:112" s="12" customFormat="1" x14ac:dyDescent="0.2">
      <c r="B345" s="149"/>
      <c r="D345" s="138" t="s">
        <v>301</v>
      </c>
      <c r="E345" s="150" t="s">
        <v>1</v>
      </c>
      <c r="F345" s="151" t="s">
        <v>1740</v>
      </c>
      <c r="H345" s="152">
        <v>26.518000000000001</v>
      </c>
      <c r="I345" s="153"/>
      <c r="L345" s="149"/>
      <c r="N345" s="310">
        <f>N344-H345</f>
        <v>-10.209430000000001</v>
      </c>
      <c r="O345" s="218"/>
      <c r="Q345" s="231"/>
      <c r="BH345" s="154"/>
      <c r="BO345" s="155"/>
      <c r="CO345" s="150" t="s">
        <v>301</v>
      </c>
      <c r="CP345" s="150" t="s">
        <v>83</v>
      </c>
      <c r="CQ345" s="12" t="s">
        <v>83</v>
      </c>
      <c r="CR345" s="12" t="s">
        <v>32</v>
      </c>
      <c r="CS345" s="12" t="s">
        <v>81</v>
      </c>
      <c r="CT345" s="150" t="s">
        <v>282</v>
      </c>
    </row>
    <row r="346" spans="2:112" s="1" customFormat="1" ht="37.9" customHeight="1" x14ac:dyDescent="0.2">
      <c r="B346" s="124"/>
      <c r="C346" s="125" t="s">
        <v>572</v>
      </c>
      <c r="D346" s="125" t="s">
        <v>284</v>
      </c>
      <c r="E346" s="126" t="s">
        <v>719</v>
      </c>
      <c r="F346" s="127" t="s">
        <v>720</v>
      </c>
      <c r="G346" s="128" t="s">
        <v>418</v>
      </c>
      <c r="H346" s="129">
        <v>2.2400000000000002</v>
      </c>
      <c r="I346" s="130">
        <v>250.3439285</v>
      </c>
      <c r="J346" s="131">
        <f>ROUND(I346*H346,2)</f>
        <v>560.77</v>
      </c>
      <c r="K346" s="127" t="s">
        <v>293</v>
      </c>
      <c r="L346" s="268">
        <f>S346</f>
        <v>0</v>
      </c>
      <c r="M346" s="272">
        <f>ROUND(L346*I346,2)</f>
        <v>0</v>
      </c>
      <c r="N346" s="243">
        <f>N348</f>
        <v>-0.86240000000000006</v>
      </c>
      <c r="O346" s="294">
        <f>ROUND(N346*I346,2)</f>
        <v>-215.9</v>
      </c>
      <c r="P346" s="273">
        <f>H346-L346-N346</f>
        <v>3.1024000000000003</v>
      </c>
      <c r="Q346" s="287">
        <f>ROUND(P346*I346,2)</f>
        <v>776.67</v>
      </c>
      <c r="R346" s="137"/>
      <c r="S346" s="269">
        <f>W346+Y346+AA346+AC346</f>
        <v>0</v>
      </c>
      <c r="T346" s="269">
        <f>ROUND(S346*I346,2)</f>
        <v>0</v>
      </c>
      <c r="U346" s="269">
        <f>H346-S346</f>
        <v>2.2400000000000002</v>
      </c>
      <c r="V346" s="269">
        <f>ROUND(U346*I346,2)</f>
        <v>560.77</v>
      </c>
      <c r="W346" s="269"/>
      <c r="X346" s="269"/>
      <c r="Y346" s="269"/>
      <c r="Z346" s="269"/>
      <c r="AA346" s="269"/>
      <c r="AB346" s="269"/>
      <c r="AC346" s="269"/>
      <c r="AD346" s="269"/>
      <c r="BH346" s="132" t="s">
        <v>1</v>
      </c>
      <c r="BI346" s="133" t="s">
        <v>40</v>
      </c>
      <c r="BK346" s="134">
        <f>BJ346*H346</f>
        <v>0</v>
      </c>
      <c r="BL346" s="134">
        <v>0</v>
      </c>
      <c r="BM346" s="134">
        <f>BL346*H346</f>
        <v>0</v>
      </c>
      <c r="BN346" s="134">
        <v>0</v>
      </c>
      <c r="BO346" s="135">
        <f>BN346*H346</f>
        <v>0</v>
      </c>
      <c r="CM346" s="136" t="s">
        <v>95</v>
      </c>
      <c r="CO346" s="136" t="s">
        <v>284</v>
      </c>
      <c r="CP346" s="136" t="s">
        <v>83</v>
      </c>
      <c r="CT346" s="16" t="s">
        <v>282</v>
      </c>
      <c r="CZ346" s="137">
        <f>IF(BI346="základní",J346,0)</f>
        <v>560.77</v>
      </c>
      <c r="DA346" s="137">
        <f>IF(BI346="snížená",J346,0)</f>
        <v>0</v>
      </c>
      <c r="DB346" s="137">
        <f>IF(BI346="zákl. přenesená",J346,0)</f>
        <v>0</v>
      </c>
      <c r="DC346" s="137">
        <f>IF(BI346="sníž. přenesená",J346,0)</f>
        <v>0</v>
      </c>
      <c r="DD346" s="137">
        <f>IF(BI346="nulová",J346,0)</f>
        <v>0</v>
      </c>
      <c r="DE346" s="16" t="s">
        <v>81</v>
      </c>
      <c r="DF346" s="137">
        <f>ROUND(I346*H346,2)</f>
        <v>560.77</v>
      </c>
      <c r="DG346" s="16" t="s">
        <v>95</v>
      </c>
      <c r="DH346" s="136" t="s">
        <v>721</v>
      </c>
    </row>
    <row r="347" spans="2:112" s="1" customFormat="1" ht="29.25" x14ac:dyDescent="0.2">
      <c r="B347" s="31"/>
      <c r="D347" s="138" t="s">
        <v>289</v>
      </c>
      <c r="F347" s="139" t="s">
        <v>720</v>
      </c>
      <c r="I347" s="140"/>
      <c r="L347" s="31"/>
      <c r="N347" s="213">
        <f>0.615*2.24</f>
        <v>1.3776000000000002</v>
      </c>
      <c r="O347" s="214" t="s">
        <v>3941</v>
      </c>
      <c r="Q347" s="229"/>
      <c r="BH347" s="141"/>
      <c r="BO347" s="50"/>
      <c r="CO347" s="16" t="s">
        <v>289</v>
      </c>
      <c r="CP347" s="16" t="s">
        <v>83</v>
      </c>
    </row>
    <row r="348" spans="2:112" s="12" customFormat="1" x14ac:dyDescent="0.2">
      <c r="B348" s="149"/>
      <c r="D348" s="138" t="s">
        <v>301</v>
      </c>
      <c r="E348" s="150" t="s">
        <v>1</v>
      </c>
      <c r="F348" s="151" t="s">
        <v>1741</v>
      </c>
      <c r="H348" s="152">
        <v>2.2400000000000002</v>
      </c>
      <c r="I348" s="153"/>
      <c r="L348" s="149"/>
      <c r="N348" s="310">
        <f>N347-H348</f>
        <v>-0.86240000000000006</v>
      </c>
      <c r="O348" s="218"/>
      <c r="Q348" s="231"/>
      <c r="BH348" s="154"/>
      <c r="BO348" s="155"/>
      <c r="CO348" s="150" t="s">
        <v>301</v>
      </c>
      <c r="CP348" s="150" t="s">
        <v>83</v>
      </c>
      <c r="CQ348" s="12" t="s">
        <v>83</v>
      </c>
      <c r="CR348" s="12" t="s">
        <v>32</v>
      </c>
      <c r="CS348" s="12" t="s">
        <v>81</v>
      </c>
      <c r="CT348" s="150" t="s">
        <v>282</v>
      </c>
    </row>
    <row r="349" spans="2:112" s="10" customFormat="1" ht="22.9" customHeight="1" x14ac:dyDescent="0.2">
      <c r="B349" s="112"/>
      <c r="D349" s="113" t="s">
        <v>73</v>
      </c>
      <c r="E349" s="122" t="s">
        <v>722</v>
      </c>
      <c r="F349" s="122" t="s">
        <v>723</v>
      </c>
      <c r="I349" s="115"/>
      <c r="J349" s="123">
        <f>DF349</f>
        <v>5448.59</v>
      </c>
      <c r="L349" s="112"/>
      <c r="M349" s="270">
        <f>SUM(M350)</f>
        <v>0</v>
      </c>
      <c r="N349" s="301"/>
      <c r="O349" s="302">
        <f t="shared" ref="O349:V349" si="8">SUM(O350)</f>
        <v>-2097.71</v>
      </c>
      <c r="P349" s="270"/>
      <c r="Q349" s="288">
        <f t="shared" si="8"/>
        <v>7546.3</v>
      </c>
      <c r="R349" s="270"/>
      <c r="S349" s="270"/>
      <c r="T349" s="270">
        <f t="shared" si="8"/>
        <v>0</v>
      </c>
      <c r="U349" s="270"/>
      <c r="V349" s="270">
        <f t="shared" si="8"/>
        <v>5448.59</v>
      </c>
      <c r="BH349" s="117"/>
      <c r="BK349" s="118">
        <f>SUM(BK350:BK353)</f>
        <v>0</v>
      </c>
      <c r="BM349" s="118">
        <f>SUM(BM350:BM353)</f>
        <v>0</v>
      </c>
      <c r="BO349" s="119">
        <f>SUM(BO350:BO353)</f>
        <v>0</v>
      </c>
      <c r="CM349" s="113" t="s">
        <v>81</v>
      </c>
      <c r="CO349" s="120" t="s">
        <v>73</v>
      </c>
      <c r="CP349" s="120" t="s">
        <v>81</v>
      </c>
      <c r="CT349" s="113" t="s">
        <v>282</v>
      </c>
      <c r="DF349" s="121">
        <f>SUM(DF350:DF353)</f>
        <v>5448.59</v>
      </c>
    </row>
    <row r="350" spans="2:112" s="1" customFormat="1" ht="24.2" customHeight="1" x14ac:dyDescent="0.2">
      <c r="B350" s="124"/>
      <c r="C350" s="125" t="s">
        <v>576</v>
      </c>
      <c r="D350" s="125" t="s">
        <v>284</v>
      </c>
      <c r="E350" s="126" t="s">
        <v>725</v>
      </c>
      <c r="F350" s="127" t="s">
        <v>726</v>
      </c>
      <c r="G350" s="128" t="s">
        <v>418</v>
      </c>
      <c r="H350" s="129">
        <v>6.0220000000000002</v>
      </c>
      <c r="I350" s="130">
        <v>904.78117744148574</v>
      </c>
      <c r="J350" s="131">
        <f>ROUND(I350*H350,2)</f>
        <v>5448.59</v>
      </c>
      <c r="K350" s="127" t="s">
        <v>293</v>
      </c>
      <c r="L350" s="268">
        <f>S350</f>
        <v>0</v>
      </c>
      <c r="M350" s="272">
        <f>ROUND(L350*I350,2)</f>
        <v>0</v>
      </c>
      <c r="N350" s="243">
        <f>N352</f>
        <v>-2.31847</v>
      </c>
      <c r="O350" s="294">
        <f>ROUND(N350*I350,2)</f>
        <v>-2097.71</v>
      </c>
      <c r="P350" s="273">
        <f>H350-L350-N350</f>
        <v>8.3404699999999998</v>
      </c>
      <c r="Q350" s="287">
        <f>ROUND(P350*I350,2)</f>
        <v>7546.3</v>
      </c>
      <c r="R350" s="137"/>
      <c r="S350" s="269">
        <f>W350+Y350+AA350+AC350</f>
        <v>0</v>
      </c>
      <c r="T350" s="269">
        <f>ROUND(S350*I350,2)</f>
        <v>0</v>
      </c>
      <c r="U350" s="269">
        <f>H350-S350</f>
        <v>6.0220000000000002</v>
      </c>
      <c r="V350" s="269">
        <f>ROUND(U350*I350,2)</f>
        <v>5448.59</v>
      </c>
      <c r="W350" s="269"/>
      <c r="X350" s="269"/>
      <c r="Y350" s="269"/>
      <c r="Z350" s="269"/>
      <c r="AA350" s="269"/>
      <c r="AB350" s="269"/>
      <c r="AC350" s="269"/>
      <c r="AD350" s="269"/>
      <c r="BH350" s="132" t="s">
        <v>1</v>
      </c>
      <c r="BI350" s="133" t="s">
        <v>40</v>
      </c>
      <c r="BK350" s="134">
        <f>BJ350*H350</f>
        <v>0</v>
      </c>
      <c r="BL350" s="134">
        <v>0</v>
      </c>
      <c r="BM350" s="134">
        <f>BL350*H350</f>
        <v>0</v>
      </c>
      <c r="BN350" s="134">
        <v>0</v>
      </c>
      <c r="BO350" s="135">
        <f>BN350*H350</f>
        <v>0</v>
      </c>
      <c r="CM350" s="136" t="s">
        <v>95</v>
      </c>
      <c r="CO350" s="136" t="s">
        <v>284</v>
      </c>
      <c r="CP350" s="136" t="s">
        <v>83</v>
      </c>
      <c r="CT350" s="16" t="s">
        <v>282</v>
      </c>
      <c r="CZ350" s="137">
        <f>IF(BI350="základní",J350,0)</f>
        <v>5448.59</v>
      </c>
      <c r="DA350" s="137">
        <f>IF(BI350="snížená",J350,0)</f>
        <v>0</v>
      </c>
      <c r="DB350" s="137">
        <f>IF(BI350="zákl. přenesená",J350,0)</f>
        <v>0</v>
      </c>
      <c r="DC350" s="137">
        <f>IF(BI350="sníž. přenesená",J350,0)</f>
        <v>0</v>
      </c>
      <c r="DD350" s="137">
        <f>IF(BI350="nulová",J350,0)</f>
        <v>0</v>
      </c>
      <c r="DE350" s="16" t="s">
        <v>81</v>
      </c>
      <c r="DF350" s="137">
        <f>ROUND(I350*H350,2)</f>
        <v>5448.59</v>
      </c>
      <c r="DG350" s="16" t="s">
        <v>95</v>
      </c>
      <c r="DH350" s="136" t="s">
        <v>1044</v>
      </c>
    </row>
    <row r="351" spans="2:112" s="1" customFormat="1" ht="29.25" x14ac:dyDescent="0.2">
      <c r="B351" s="31"/>
      <c r="D351" s="138" t="s">
        <v>289</v>
      </c>
      <c r="F351" s="139" t="s">
        <v>728</v>
      </c>
      <c r="I351" s="140"/>
      <c r="L351" s="31"/>
      <c r="N351" s="213">
        <f>0.615*6.022</f>
        <v>3.7035300000000002</v>
      </c>
      <c r="O351" s="214" t="s">
        <v>3942</v>
      </c>
      <c r="Q351" s="229"/>
      <c r="BH351" s="141"/>
      <c r="BO351" s="50"/>
      <c r="CO351" s="16" t="s">
        <v>289</v>
      </c>
      <c r="CP351" s="16" t="s">
        <v>83</v>
      </c>
    </row>
    <row r="352" spans="2:112" s="11" customFormat="1" x14ac:dyDescent="0.2">
      <c r="B352" s="143"/>
      <c r="D352" s="138" t="s">
        <v>301</v>
      </c>
      <c r="E352" s="144" t="s">
        <v>1</v>
      </c>
      <c r="F352" s="145" t="s">
        <v>729</v>
      </c>
      <c r="H352" s="144" t="s">
        <v>1</v>
      </c>
      <c r="I352" s="146"/>
      <c r="L352" s="143"/>
      <c r="N352" s="319">
        <f>N351-H353</f>
        <v>-2.31847</v>
      </c>
      <c r="O352" s="216"/>
      <c r="Q352" s="230"/>
      <c r="BH352" s="147"/>
      <c r="BO352" s="148"/>
      <c r="CO352" s="144" t="s">
        <v>301</v>
      </c>
      <c r="CP352" s="144" t="s">
        <v>83</v>
      </c>
      <c r="CQ352" s="11" t="s">
        <v>81</v>
      </c>
      <c r="CR352" s="11" t="s">
        <v>32</v>
      </c>
      <c r="CS352" s="11" t="s">
        <v>74</v>
      </c>
      <c r="CT352" s="144" t="s">
        <v>282</v>
      </c>
    </row>
    <row r="353" spans="2:98" s="12" customFormat="1" x14ac:dyDescent="0.2">
      <c r="B353" s="149"/>
      <c r="D353" s="138" t="s">
        <v>301</v>
      </c>
      <c r="E353" s="150" t="s">
        <v>1</v>
      </c>
      <c r="F353" s="151" t="s">
        <v>1743</v>
      </c>
      <c r="H353" s="152">
        <v>6.0220000000000002</v>
      </c>
      <c r="I353" s="153"/>
      <c r="L353" s="149"/>
      <c r="N353" s="217"/>
      <c r="O353" s="218"/>
      <c r="Q353" s="231"/>
      <c r="BH353" s="179"/>
      <c r="BI353" s="180"/>
      <c r="BJ353" s="180"/>
      <c r="BK353" s="180"/>
      <c r="BL353" s="180"/>
      <c r="BM353" s="180"/>
      <c r="BN353" s="180"/>
      <c r="BO353" s="181"/>
      <c r="CO353" s="150" t="s">
        <v>301</v>
      </c>
      <c r="CP353" s="150" t="s">
        <v>83</v>
      </c>
      <c r="CQ353" s="12" t="s">
        <v>83</v>
      </c>
      <c r="CR353" s="12" t="s">
        <v>32</v>
      </c>
      <c r="CS353" s="12" t="s">
        <v>81</v>
      </c>
      <c r="CT353" s="150" t="s">
        <v>282</v>
      </c>
    </row>
    <row r="354" spans="2:98" s="1" customFormat="1" ht="6.95" customHeight="1" thickBot="1" x14ac:dyDescent="0.25">
      <c r="B354" s="43"/>
      <c r="C354" s="44"/>
      <c r="D354" s="44"/>
      <c r="E354" s="44"/>
      <c r="F354" s="44"/>
      <c r="G354" s="44"/>
      <c r="H354" s="44"/>
      <c r="I354" s="44"/>
      <c r="J354" s="44"/>
      <c r="K354" s="44"/>
      <c r="L354" s="235"/>
      <c r="M354" s="237"/>
      <c r="N354" s="239"/>
      <c r="O354" s="240"/>
      <c r="P354" s="238"/>
      <c r="Q354" s="241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</row>
  </sheetData>
  <autoFilter ref="C121:K353"/>
  <mergeCells count="23">
    <mergeCell ref="U122:V122"/>
    <mergeCell ref="W122:X122"/>
    <mergeCell ref="Y122:Z122"/>
    <mergeCell ref="AA122:AB122"/>
    <mergeCell ref="AC122:AD122"/>
    <mergeCell ref="L121:Q121"/>
    <mergeCell ref="L122:M122"/>
    <mergeCell ref="N122:O122"/>
    <mergeCell ref="P122:Q122"/>
    <mergeCell ref="S122:T122"/>
    <mergeCell ref="G120:K120"/>
    <mergeCell ref="E117:H117"/>
    <mergeCell ref="L2:BQ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387"/>
  <sheetViews>
    <sheetView windowProtection="1" showGridLines="0" topLeftCell="A356" zoomScale="80" zoomScaleNormal="80" workbookViewId="0">
      <selection activeCell="P356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5" width="13.6640625" customWidth="1"/>
    <col min="16" max="17" width="13.6640625" hidden="1" customWidth="1"/>
    <col min="18" max="75" width="13.6640625" customWidth="1"/>
    <col min="76" max="76" width="10.83203125" customWidth="1"/>
    <col min="78" max="83" width="14.1640625" customWidth="1"/>
    <col min="84" max="84" width="16.33203125" customWidth="1"/>
    <col min="85" max="85" width="12.33203125" customWidth="1"/>
    <col min="86" max="86" width="16.33203125" customWidth="1"/>
    <col min="87" max="87" width="12.33203125" customWidth="1"/>
    <col min="88" max="88" width="15" customWidth="1"/>
    <col min="89" max="89" width="11" customWidth="1"/>
    <col min="90" max="90" width="15" customWidth="1"/>
    <col min="91" max="91" width="16.33203125" customWidth="1"/>
    <col min="92" max="92" width="11" customWidth="1"/>
    <col min="93" max="93" width="15" customWidth="1"/>
    <col min="94" max="94" width="16.33203125" customWidth="1"/>
    <col min="107" max="128" width="9.33203125" hidden="1"/>
  </cols>
  <sheetData>
    <row r="1" spans="2:109" hidden="1" x14ac:dyDescent="0.2"/>
    <row r="2" spans="2:109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DE2" s="16" t="s">
        <v>149</v>
      </c>
    </row>
    <row r="3" spans="2:109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E3" s="16" t="s">
        <v>83</v>
      </c>
    </row>
    <row r="4" spans="2:109" ht="24.95" hidden="1" customHeight="1" x14ac:dyDescent="0.2">
      <c r="B4" s="19"/>
      <c r="D4" s="20" t="s">
        <v>243</v>
      </c>
      <c r="L4" s="19"/>
      <c r="BX4" s="79" t="s">
        <v>10</v>
      </c>
      <c r="DE4" s="16" t="s">
        <v>3</v>
      </c>
    </row>
    <row r="5" spans="2:109" ht="6.95" hidden="1" customHeight="1" x14ac:dyDescent="0.2">
      <c r="B5" s="19"/>
      <c r="L5" s="19"/>
    </row>
    <row r="6" spans="2:109" ht="12" hidden="1" customHeight="1" x14ac:dyDescent="0.2">
      <c r="B6" s="19"/>
      <c r="D6" s="26" t="s">
        <v>16</v>
      </c>
      <c r="L6" s="19"/>
    </row>
    <row r="7" spans="2:109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09" ht="12.75" hidden="1" x14ac:dyDescent="0.2">
      <c r="B8" s="19"/>
      <c r="D8" s="26" t="s">
        <v>244</v>
      </c>
      <c r="L8" s="19"/>
    </row>
    <row r="9" spans="2:109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09" ht="12" hidden="1" customHeight="1" x14ac:dyDescent="0.2">
      <c r="B10" s="19"/>
      <c r="D10" s="26" t="s">
        <v>246</v>
      </c>
      <c r="L10" s="19"/>
    </row>
    <row r="11" spans="2:109" s="1" customFormat="1" ht="16.5" hidden="1" customHeight="1" x14ac:dyDescent="0.2">
      <c r="B11" s="31"/>
      <c r="E11" s="401" t="s">
        <v>247</v>
      </c>
      <c r="F11" s="433"/>
      <c r="G11" s="433"/>
      <c r="H11" s="433"/>
      <c r="L11" s="31"/>
    </row>
    <row r="12" spans="2:109" s="1" customFormat="1" ht="12" hidden="1" customHeight="1" x14ac:dyDescent="0.2">
      <c r="B12" s="31"/>
      <c r="D12" s="26" t="s">
        <v>248</v>
      </c>
      <c r="L12" s="31"/>
    </row>
    <row r="13" spans="2:109" s="1" customFormat="1" ht="16.5" hidden="1" customHeight="1" x14ac:dyDescent="0.2">
      <c r="B13" s="31"/>
      <c r="E13" s="432" t="s">
        <v>1744</v>
      </c>
      <c r="F13" s="433"/>
      <c r="G13" s="433"/>
      <c r="H13" s="433"/>
      <c r="L13" s="31"/>
    </row>
    <row r="14" spans="2:109" s="1" customFormat="1" hidden="1" x14ac:dyDescent="0.2">
      <c r="B14" s="31"/>
      <c r="L14" s="31"/>
    </row>
    <row r="15" spans="2:109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09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ROUND(J122, 2)</f>
        <v>441345.7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ROUND((SUM(DP122:DP386)),  2)</f>
        <v>441345.7</v>
      </c>
      <c r="I37" s="84">
        <v>0.21</v>
      </c>
      <c r="J37" s="71">
        <f>ROUND(((SUM(DP122:DP386))*I37),  2)</f>
        <v>92682.6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ROUND((SUM(DQ122:DQ386)),  2)</f>
        <v>0</v>
      </c>
      <c r="I38" s="84">
        <v>0.15</v>
      </c>
      <c r="J38" s="71">
        <f>ROUND(((SUM(DQ122:DQ386))*I38),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ROUND((SUM(DR122:DR386)),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ROUND((SUM(DS122:DS386)),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ROUND((SUM(DT122:DT386)),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534028.30000000005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247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248</v>
      </c>
      <c r="L89" s="31"/>
    </row>
    <row r="90" spans="2:12" s="1" customFormat="1" ht="16.5" hidden="1" customHeight="1" x14ac:dyDescent="0.2">
      <c r="B90" s="31"/>
      <c r="E90" s="432" t="str">
        <f>E13</f>
        <v>00007 - DSO 01.3.1g Kanalizační odbočení Stoky D3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0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0" s="1" customFormat="1" ht="10.35" hidden="1" customHeight="1" x14ac:dyDescent="0.2">
      <c r="B98" s="31"/>
      <c r="L98" s="31"/>
    </row>
    <row r="99" spans="2:110" s="1" customFormat="1" ht="22.9" hidden="1" customHeight="1" x14ac:dyDescent="0.2">
      <c r="B99" s="31"/>
      <c r="C99" s="95" t="s">
        <v>256</v>
      </c>
      <c r="J99" s="58">
        <f>J122</f>
        <v>441345.69999999995</v>
      </c>
      <c r="L99" s="31"/>
      <c r="DF99" s="16" t="s">
        <v>257</v>
      </c>
    </row>
    <row r="100" spans="2:110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J123</f>
        <v>441345.69999999995</v>
      </c>
      <c r="L100" s="96"/>
    </row>
    <row r="101" spans="2:110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J125</f>
        <v>168356.87999999998</v>
      </c>
      <c r="L101" s="100"/>
    </row>
    <row r="102" spans="2:110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J262</f>
        <v>8344.56</v>
      </c>
      <c r="L102" s="100"/>
    </row>
    <row r="103" spans="2:110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J267</f>
        <v>9959.6200000000008</v>
      </c>
      <c r="L103" s="100"/>
    </row>
    <row r="104" spans="2:110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J291</f>
        <v>22879.229999999996</v>
      </c>
      <c r="L104" s="100"/>
    </row>
    <row r="105" spans="2:110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J303</f>
        <v>201696.24</v>
      </c>
      <c r="L105" s="100"/>
    </row>
    <row r="106" spans="2:110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J353</f>
        <v>7577.73</v>
      </c>
      <c r="L106" s="100"/>
    </row>
    <row r="107" spans="2:110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J362</f>
        <v>14167.64</v>
      </c>
      <c r="L107" s="100"/>
    </row>
    <row r="108" spans="2:110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J382</f>
        <v>8363.7999999999993</v>
      </c>
      <c r="L108" s="100"/>
    </row>
    <row r="109" spans="2:110" s="1" customFormat="1" ht="21.75" hidden="1" customHeight="1" x14ac:dyDescent="0.2">
      <c r="B109" s="31"/>
      <c r="L109" s="31"/>
    </row>
    <row r="110" spans="2:110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10" hidden="1" x14ac:dyDescent="0.2"/>
    <row r="112" spans="2:110" hidden="1" x14ac:dyDescent="0.2"/>
    <row r="114" spans="2:128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8" s="1" customFormat="1" ht="24.95" customHeight="1" x14ac:dyDescent="0.2">
      <c r="B115" s="31"/>
      <c r="C115" s="20" t="s">
        <v>267</v>
      </c>
      <c r="L115" s="31"/>
    </row>
    <row r="116" spans="2:128" s="1" customFormat="1" ht="6.95" customHeight="1" x14ac:dyDescent="0.2">
      <c r="B116" s="31"/>
      <c r="L116" s="31"/>
    </row>
    <row r="117" spans="2:128" s="1" customFormat="1" ht="16.5" customHeight="1" x14ac:dyDescent="0.2">
      <c r="B117" s="31"/>
      <c r="E117" s="432" t="str">
        <f>E13</f>
        <v>00007 - DSO 01.3.1g Kanalizační odbočení Stoky D3</v>
      </c>
      <c r="F117" s="433"/>
      <c r="G117" s="433"/>
      <c r="H117" s="433"/>
      <c r="L117" s="31"/>
    </row>
    <row r="118" spans="2:128" s="1" customFormat="1" ht="6.95" customHeight="1" x14ac:dyDescent="0.2">
      <c r="B118" s="31"/>
      <c r="L118" s="31"/>
    </row>
    <row r="119" spans="2:128" s="1" customFormat="1" ht="15.2" customHeight="1" x14ac:dyDescent="0.2">
      <c r="B119" s="31"/>
      <c r="C119" s="26"/>
      <c r="F119" s="24"/>
      <c r="I119" s="26"/>
      <c r="J119" s="29"/>
      <c r="L119" s="31"/>
    </row>
    <row r="120" spans="2:128" s="1" customFormat="1" ht="25.5" customHeight="1" x14ac:dyDescent="0.2">
      <c r="B120" s="31"/>
      <c r="G120" s="446" t="s">
        <v>3305</v>
      </c>
      <c r="H120" s="446"/>
      <c r="I120" s="446"/>
      <c r="J120" s="446"/>
      <c r="K120" s="447"/>
      <c r="L120" s="31"/>
    </row>
    <row r="121" spans="2:128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BX121" s="52" t="s">
        <v>1</v>
      </c>
      <c r="BY121" s="53" t="s">
        <v>39</v>
      </c>
      <c r="BZ121" s="53" t="s">
        <v>273</v>
      </c>
      <c r="CA121" s="53" t="s">
        <v>274</v>
      </c>
      <c r="CB121" s="53" t="s">
        <v>275</v>
      </c>
      <c r="CC121" s="53" t="s">
        <v>276</v>
      </c>
      <c r="CD121" s="53" t="s">
        <v>277</v>
      </c>
      <c r="CE121" s="54" t="s">
        <v>278</v>
      </c>
    </row>
    <row r="122" spans="2:128" s="1" customFormat="1" ht="22.9" customHeight="1" x14ac:dyDescent="0.25">
      <c r="B122" s="31"/>
      <c r="C122" s="57" t="s">
        <v>279</v>
      </c>
      <c r="G122" s="1" t="s">
        <v>3306</v>
      </c>
      <c r="J122" s="108">
        <f>DV122</f>
        <v>441345.69999999995</v>
      </c>
      <c r="L122" s="440" t="s">
        <v>3308</v>
      </c>
      <c r="M122" s="441"/>
      <c r="N122" s="440" t="s">
        <v>3377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3324</v>
      </c>
      <c r="X122" s="444"/>
      <c r="Y122" s="444" t="s">
        <v>3325</v>
      </c>
      <c r="Z122" s="444"/>
      <c r="AA122" s="444" t="s">
        <v>3326</v>
      </c>
      <c r="AB122" s="444"/>
      <c r="AC122" s="444" t="s">
        <v>3327</v>
      </c>
      <c r="AD122" s="445"/>
      <c r="BX122" s="55"/>
      <c r="BY122" s="49"/>
      <c r="BZ122" s="49"/>
      <c r="CA122" s="109">
        <f>CA123</f>
        <v>0</v>
      </c>
      <c r="CB122" s="49"/>
      <c r="CC122" s="109">
        <f>CC123</f>
        <v>119.28373959999999</v>
      </c>
      <c r="CD122" s="49"/>
      <c r="CE122" s="110">
        <f>CE123</f>
        <v>39.174120000000002</v>
      </c>
      <c r="DE122" s="16" t="s">
        <v>73</v>
      </c>
      <c r="DF122" s="16" t="s">
        <v>257</v>
      </c>
      <c r="DV122" s="111">
        <f>DV123</f>
        <v>441345.69999999995</v>
      </c>
    </row>
    <row r="123" spans="2:128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DV123</f>
        <v>441345.69999999995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5" t="s">
        <v>3328</v>
      </c>
      <c r="BX123" s="117"/>
      <c r="CA123" s="118">
        <f>CA125+CA262+CA267+CA291+CA303+CA353+CA362+CA382</f>
        <v>0</v>
      </c>
      <c r="CC123" s="118">
        <f>CC125+CC262+CC267+CC291+CC303+CC353+CC362+CC382</f>
        <v>119.28373959999999</v>
      </c>
      <c r="CE123" s="119">
        <f>CE125+CE262+CE267+CE291+CE303+CE353+CE362+CE382</f>
        <v>39.174120000000002</v>
      </c>
      <c r="DC123" s="113" t="s">
        <v>81</v>
      </c>
      <c r="DE123" s="120" t="s">
        <v>73</v>
      </c>
      <c r="DF123" s="120" t="s">
        <v>74</v>
      </c>
      <c r="DJ123" s="113" t="s">
        <v>282</v>
      </c>
      <c r="DV123" s="121">
        <f>DV125+DV262+DV267+DV291+DV303+DV353+DV362+DV382</f>
        <v>441345.69999999995</v>
      </c>
    </row>
    <row r="124" spans="2:128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M125+M262+M267+M291+M303+M353+M362+M382</f>
        <v>0</v>
      </c>
      <c r="N124" s="208"/>
      <c r="O124" s="208">
        <f t="shared" ref="O124:Q124" si="0">O125+O262+O267+O291+O303+O353+O362+O382</f>
        <v>51734.93</v>
      </c>
      <c r="P124" s="192"/>
      <c r="Q124" s="192">
        <f t="shared" si="0"/>
        <v>389610.74999999994</v>
      </c>
      <c r="S124" s="196"/>
      <c r="T124" s="197">
        <f>T125+T262+T267+T291+T303+T353+T362+T382</f>
        <v>0</v>
      </c>
      <c r="U124" s="197"/>
      <c r="V124" s="197">
        <f t="shared" ref="V124:AD124" si="1">V125+V262+V267+V291+V303+V353+V362+V382</f>
        <v>441345.69999999995</v>
      </c>
      <c r="W124" s="197"/>
      <c r="X124" s="197">
        <f t="shared" si="1"/>
        <v>0</v>
      </c>
      <c r="Y124" s="197"/>
      <c r="Z124" s="197">
        <f t="shared" si="1"/>
        <v>0</v>
      </c>
      <c r="AA124" s="197"/>
      <c r="AB124" s="197">
        <f t="shared" si="1"/>
        <v>0</v>
      </c>
      <c r="AC124" s="197"/>
      <c r="AD124" s="197">
        <f t="shared" si="1"/>
        <v>0</v>
      </c>
      <c r="BX124" s="117"/>
      <c r="CA124" s="118"/>
      <c r="CC124" s="118"/>
      <c r="CE124" s="119"/>
      <c r="DC124" s="113"/>
      <c r="DE124" s="120"/>
      <c r="DF124" s="120"/>
      <c r="DJ124" s="113"/>
      <c r="DV124" s="121"/>
    </row>
    <row r="125" spans="2:128" s="10" customFormat="1" ht="22.9" customHeight="1" x14ac:dyDescent="0.2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DV125</f>
        <v>168356.87999999998</v>
      </c>
      <c r="L125" s="112"/>
      <c r="M125" s="270">
        <f>SUM(M126:M259)</f>
        <v>0</v>
      </c>
      <c r="N125" s="299"/>
      <c r="O125" s="300">
        <f t="shared" ref="O125:V125" si="2">SUM(O126:O259)</f>
        <v>23501.230000000003</v>
      </c>
      <c r="P125" s="270"/>
      <c r="Q125" s="286">
        <f t="shared" si="2"/>
        <v>144855.63999999998</v>
      </c>
      <c r="R125" s="270"/>
      <c r="S125" s="270"/>
      <c r="T125" s="270">
        <f t="shared" si="2"/>
        <v>0</v>
      </c>
      <c r="U125" s="270"/>
      <c r="V125" s="270">
        <f t="shared" si="2"/>
        <v>168356.87999999998</v>
      </c>
      <c r="BX125" s="117"/>
      <c r="CA125" s="118">
        <f>SUM(CA126:CA261)</f>
        <v>0</v>
      </c>
      <c r="CC125" s="118">
        <f>SUM(CC126:CC261)</f>
        <v>110.12203359999999</v>
      </c>
      <c r="CE125" s="119">
        <f>SUM(CE126:CE261)</f>
        <v>39.174120000000002</v>
      </c>
      <c r="DC125" s="113" t="s">
        <v>81</v>
      </c>
      <c r="DE125" s="120" t="s">
        <v>73</v>
      </c>
      <c r="DF125" s="120" t="s">
        <v>81</v>
      </c>
      <c r="DJ125" s="113" t="s">
        <v>282</v>
      </c>
      <c r="DV125" s="121">
        <f>SUM(DV126:DV261)</f>
        <v>168356.87999999998</v>
      </c>
    </row>
    <row r="126" spans="2:128" s="1" customFormat="1" ht="24.2" customHeight="1" x14ac:dyDescent="0.2">
      <c r="B126" s="124"/>
      <c r="C126" s="125" t="s">
        <v>81</v>
      </c>
      <c r="D126" s="125" t="s">
        <v>284</v>
      </c>
      <c r="E126" s="126" t="s">
        <v>285</v>
      </c>
      <c r="F126" s="127" t="s">
        <v>286</v>
      </c>
      <c r="G126" s="128" t="s">
        <v>287</v>
      </c>
      <c r="H126" s="129">
        <v>31.14</v>
      </c>
      <c r="I126" s="130">
        <v>68.767172335543137</v>
      </c>
      <c r="J126" s="131">
        <f>ROUND(I126*H126,2)</f>
        <v>2141.41</v>
      </c>
      <c r="K126" s="127" t="s">
        <v>1</v>
      </c>
      <c r="L126" s="268">
        <f>S126</f>
        <v>0</v>
      </c>
      <c r="M126" s="272">
        <f>ROUND(L126*I126,2)</f>
        <v>0</v>
      </c>
      <c r="N126" s="243">
        <f>N128</f>
        <v>4.5900000000000034</v>
      </c>
      <c r="O126" s="294">
        <f>ROUND(N126*I126,2)</f>
        <v>315.64</v>
      </c>
      <c r="P126" s="273">
        <f>H126-L126-N126</f>
        <v>26.549999999999997</v>
      </c>
      <c r="Q126" s="287">
        <f>ROUND(P126*I126,2)</f>
        <v>1825.77</v>
      </c>
      <c r="R126" s="137"/>
      <c r="S126" s="269">
        <f>W126+Y126+AA126+AC126</f>
        <v>0</v>
      </c>
      <c r="T126" s="269">
        <f>ROUND(S126*I126,2)</f>
        <v>0</v>
      </c>
      <c r="U126" s="269">
        <f>H126-S126</f>
        <v>31.14</v>
      </c>
      <c r="V126" s="269">
        <f>ROUND(U126*I126,2)</f>
        <v>2141.41</v>
      </c>
      <c r="W126" s="269"/>
      <c r="X126" s="269"/>
      <c r="Y126" s="269"/>
      <c r="Z126" s="269"/>
      <c r="AA126" s="269"/>
      <c r="AB126" s="269"/>
      <c r="AC126" s="269"/>
      <c r="AD126" s="269"/>
      <c r="BX126" s="132" t="s">
        <v>1</v>
      </c>
      <c r="BY126" s="133" t="s">
        <v>40</v>
      </c>
      <c r="CA126" s="134">
        <f>BZ126*H126</f>
        <v>0</v>
      </c>
      <c r="CB126" s="134">
        <v>0</v>
      </c>
      <c r="CC126" s="134">
        <f>CB126*H126</f>
        <v>0</v>
      </c>
      <c r="CD126" s="134">
        <v>0.57999999999999996</v>
      </c>
      <c r="CE126" s="135">
        <f>CD126*H126</f>
        <v>18.061199999999999</v>
      </c>
      <c r="DC126" s="136" t="s">
        <v>95</v>
      </c>
      <c r="DE126" s="136" t="s">
        <v>284</v>
      </c>
      <c r="DF126" s="136" t="s">
        <v>83</v>
      </c>
      <c r="DJ126" s="16" t="s">
        <v>282</v>
      </c>
      <c r="DP126" s="137">
        <f>IF(BY126="základní",J126,0)</f>
        <v>2141.41</v>
      </c>
      <c r="DQ126" s="137">
        <f>IF(BY126="snížená",J126,0)</f>
        <v>0</v>
      </c>
      <c r="DR126" s="137">
        <f>IF(BY126="zákl. přenesená",J126,0)</f>
        <v>0</v>
      </c>
      <c r="DS126" s="137">
        <f>IF(BY126="sníž. přenesená",J126,0)</f>
        <v>0</v>
      </c>
      <c r="DT126" s="137">
        <f>IF(BY126="nulová",J126,0)</f>
        <v>0</v>
      </c>
      <c r="DU126" s="16" t="s">
        <v>81</v>
      </c>
      <c r="DV126" s="137">
        <f>ROUND(I126*H126,2)</f>
        <v>2141.41</v>
      </c>
      <c r="DW126" s="16" t="s">
        <v>95</v>
      </c>
      <c r="DX126" s="136" t="s">
        <v>288</v>
      </c>
    </row>
    <row r="127" spans="2:128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BX127" s="141"/>
      <c r="CE127" s="50"/>
      <c r="DE127" s="16" t="s">
        <v>289</v>
      </c>
      <c r="DF127" s="16" t="s">
        <v>83</v>
      </c>
    </row>
    <row r="128" spans="2:128" s="1" customFormat="1" ht="24.2" customHeight="1" x14ac:dyDescent="0.2">
      <c r="B128" s="124"/>
      <c r="C128" s="125" t="s">
        <v>83</v>
      </c>
      <c r="D128" s="125" t="s">
        <v>284</v>
      </c>
      <c r="E128" s="126" t="s">
        <v>291</v>
      </c>
      <c r="F128" s="127" t="s">
        <v>292</v>
      </c>
      <c r="G128" s="128" t="s">
        <v>287</v>
      </c>
      <c r="H128" s="129">
        <v>31.14</v>
      </c>
      <c r="I128" s="130">
        <v>68.767172335543137</v>
      </c>
      <c r="J128" s="131">
        <f>ROUND(I128*H128,2)</f>
        <v>2141.41</v>
      </c>
      <c r="K128" s="127" t="s">
        <v>293</v>
      </c>
      <c r="L128" s="268">
        <f>S128</f>
        <v>0</v>
      </c>
      <c r="M128" s="272">
        <f>ROUND(L128*I128,2)</f>
        <v>0</v>
      </c>
      <c r="N128" s="243">
        <f>N130</f>
        <v>4.5900000000000034</v>
      </c>
      <c r="O128" s="294">
        <f>ROUND(N128*I128,2)</f>
        <v>315.64</v>
      </c>
      <c r="P128" s="273">
        <f>H128-L128-N128</f>
        <v>26.549999999999997</v>
      </c>
      <c r="Q128" s="287">
        <f>ROUND(P128*I128,2)</f>
        <v>1825.77</v>
      </c>
      <c r="R128" s="137"/>
      <c r="S128" s="269">
        <f>W128+Y128+AA128+AC128</f>
        <v>0</v>
      </c>
      <c r="T128" s="269">
        <f>ROUND(S128*I128,2)</f>
        <v>0</v>
      </c>
      <c r="U128" s="269">
        <f>H128-S128</f>
        <v>31.14</v>
      </c>
      <c r="V128" s="269">
        <f>ROUND(U128*I128,2)</f>
        <v>2141.41</v>
      </c>
      <c r="W128" s="269"/>
      <c r="X128" s="269"/>
      <c r="Y128" s="269"/>
      <c r="Z128" s="269"/>
      <c r="AA128" s="269"/>
      <c r="AB128" s="269"/>
      <c r="AC128" s="269"/>
      <c r="AD128" s="269"/>
      <c r="BX128" s="132" t="s">
        <v>1</v>
      </c>
      <c r="BY128" s="133" t="s">
        <v>40</v>
      </c>
      <c r="CA128" s="134">
        <f>BZ128*H128</f>
        <v>0</v>
      </c>
      <c r="CB128" s="134">
        <v>0</v>
      </c>
      <c r="CC128" s="134">
        <f>CB128*H128</f>
        <v>0</v>
      </c>
      <c r="CD128" s="134">
        <v>0.57999999999999996</v>
      </c>
      <c r="CE128" s="135">
        <f>CD128*H128</f>
        <v>18.061199999999999</v>
      </c>
      <c r="DC128" s="136" t="s">
        <v>95</v>
      </c>
      <c r="DE128" s="136" t="s">
        <v>284</v>
      </c>
      <c r="DF128" s="136" t="s">
        <v>83</v>
      </c>
      <c r="DJ128" s="16" t="s">
        <v>282</v>
      </c>
      <c r="DP128" s="137">
        <f>IF(BY128="základní",J128,0)</f>
        <v>2141.41</v>
      </c>
      <c r="DQ128" s="137">
        <f>IF(BY128="snížená",J128,0)</f>
        <v>0</v>
      </c>
      <c r="DR128" s="137">
        <f>IF(BY128="zákl. přenesená",J128,0)</f>
        <v>0</v>
      </c>
      <c r="DS128" s="137">
        <f>IF(BY128="sníž. přenesená",J128,0)</f>
        <v>0</v>
      </c>
      <c r="DT128" s="137">
        <f>IF(BY128="nulová",J128,0)</f>
        <v>0</v>
      </c>
      <c r="DU128" s="16" t="s">
        <v>81</v>
      </c>
      <c r="DV128" s="137">
        <f>ROUND(I128*H128,2)</f>
        <v>2141.41</v>
      </c>
      <c r="DW128" s="16" t="s">
        <v>95</v>
      </c>
      <c r="DX128" s="136" t="s">
        <v>294</v>
      </c>
    </row>
    <row r="129" spans="2:128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BX129" s="141"/>
      <c r="CE129" s="50"/>
      <c r="DE129" s="16" t="s">
        <v>289</v>
      </c>
      <c r="DF129" s="16" t="s">
        <v>83</v>
      </c>
    </row>
    <row r="130" spans="2:128" s="1" customFormat="1" ht="24.2" customHeight="1" x14ac:dyDescent="0.2">
      <c r="B130" s="124"/>
      <c r="C130" s="125" t="s">
        <v>90</v>
      </c>
      <c r="D130" s="125" t="s">
        <v>284</v>
      </c>
      <c r="E130" s="126" t="s">
        <v>295</v>
      </c>
      <c r="F130" s="127" t="s">
        <v>732</v>
      </c>
      <c r="G130" s="128" t="s">
        <v>287</v>
      </c>
      <c r="H130" s="129">
        <v>31.14</v>
      </c>
      <c r="I130" s="130">
        <v>27.886826761540966</v>
      </c>
      <c r="J130" s="131">
        <f>ROUND(I130*H130,2)</f>
        <v>868.4</v>
      </c>
      <c r="K130" s="127" t="s">
        <v>293</v>
      </c>
      <c r="L130" s="268">
        <f>S130</f>
        <v>0</v>
      </c>
      <c r="M130" s="272">
        <f>ROUND(L130*I130,2)</f>
        <v>0</v>
      </c>
      <c r="N130" s="243">
        <f>N139</f>
        <v>4.5900000000000034</v>
      </c>
      <c r="O130" s="294">
        <f>ROUND(N130*I130,2)</f>
        <v>128</v>
      </c>
      <c r="P130" s="273">
        <f>H130-L130-N130</f>
        <v>26.549999999999997</v>
      </c>
      <c r="Q130" s="287">
        <f>ROUND(P130*I130,2)</f>
        <v>740.4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31.14</v>
      </c>
      <c r="V130" s="269">
        <f>ROUND(U130*I130,2)</f>
        <v>868.4</v>
      </c>
      <c r="W130" s="269"/>
      <c r="X130" s="269"/>
      <c r="Y130" s="269"/>
      <c r="Z130" s="269"/>
      <c r="AA130" s="269"/>
      <c r="AB130" s="269"/>
      <c r="AC130" s="269"/>
      <c r="AD130" s="269"/>
      <c r="BX130" s="132" t="s">
        <v>1</v>
      </c>
      <c r="BY130" s="133" t="s">
        <v>40</v>
      </c>
      <c r="CA130" s="134">
        <f>BZ130*H130</f>
        <v>0</v>
      </c>
      <c r="CB130" s="134">
        <v>0</v>
      </c>
      <c r="CC130" s="134">
        <f>CB130*H130</f>
        <v>0</v>
      </c>
      <c r="CD130" s="134">
        <v>9.8000000000000004E-2</v>
      </c>
      <c r="CE130" s="135">
        <f>CD130*H130</f>
        <v>3.05172</v>
      </c>
      <c r="DC130" s="136" t="s">
        <v>95</v>
      </c>
      <c r="DE130" s="136" t="s">
        <v>284</v>
      </c>
      <c r="DF130" s="136" t="s">
        <v>83</v>
      </c>
      <c r="DJ130" s="16" t="s">
        <v>282</v>
      </c>
      <c r="DP130" s="137">
        <f>IF(BY130="základní",J130,0)</f>
        <v>868.4</v>
      </c>
      <c r="DQ130" s="137">
        <f>IF(BY130="snížená",J130,0)</f>
        <v>0</v>
      </c>
      <c r="DR130" s="137">
        <f>IF(BY130="zákl. přenesená",J130,0)</f>
        <v>0</v>
      </c>
      <c r="DS130" s="137">
        <f>IF(BY130="sníž. přenesená",J130,0)</f>
        <v>0</v>
      </c>
      <c r="DT130" s="137">
        <f>IF(BY130="nulová",J130,0)</f>
        <v>0</v>
      </c>
      <c r="DU130" s="16" t="s">
        <v>81</v>
      </c>
      <c r="DV130" s="137">
        <f>ROUND(I130*H130,2)</f>
        <v>868.4</v>
      </c>
      <c r="DW130" s="16" t="s">
        <v>95</v>
      </c>
      <c r="DX130" s="136" t="s">
        <v>297</v>
      </c>
    </row>
    <row r="131" spans="2:128" s="1" customFormat="1" ht="29.25" x14ac:dyDescent="0.2">
      <c r="B131" s="31"/>
      <c r="D131" s="138" t="s">
        <v>289</v>
      </c>
      <c r="F131" s="139" t="s">
        <v>298</v>
      </c>
      <c r="I131" s="140"/>
      <c r="L131" s="31"/>
      <c r="N131" s="213"/>
      <c r="O131" s="214"/>
      <c r="Q131" s="229"/>
      <c r="BX131" s="141"/>
      <c r="CE131" s="50"/>
      <c r="DE131" s="16" t="s">
        <v>289</v>
      </c>
      <c r="DF131" s="16" t="s">
        <v>83</v>
      </c>
    </row>
    <row r="132" spans="2:128" s="1" customFormat="1" ht="29.25" x14ac:dyDescent="0.2">
      <c r="B132" s="31"/>
      <c r="D132" s="138" t="s">
        <v>299</v>
      </c>
      <c r="F132" s="142" t="s">
        <v>1659</v>
      </c>
      <c r="I132" s="140"/>
      <c r="L132" s="31"/>
      <c r="N132" s="213"/>
      <c r="O132" s="214"/>
      <c r="Q132" s="229"/>
      <c r="BX132" s="141"/>
      <c r="CE132" s="50"/>
      <c r="DE132" s="16" t="s">
        <v>299</v>
      </c>
      <c r="DF132" s="16" t="s">
        <v>83</v>
      </c>
    </row>
    <row r="133" spans="2:128" s="11" customFormat="1" x14ac:dyDescent="0.2">
      <c r="B133" s="143"/>
      <c r="D133" s="138" t="s">
        <v>301</v>
      </c>
      <c r="E133" s="144" t="s">
        <v>1</v>
      </c>
      <c r="F133" s="145" t="s">
        <v>1084</v>
      </c>
      <c r="H133" s="144" t="s">
        <v>1</v>
      </c>
      <c r="I133" s="146"/>
      <c r="L133" s="143"/>
      <c r="N133" s="215"/>
      <c r="O133" s="216"/>
      <c r="Q133" s="230"/>
      <c r="BX133" s="147"/>
      <c r="CE133" s="148"/>
      <c r="DE133" s="144" t="s">
        <v>301</v>
      </c>
      <c r="DF133" s="144" t="s">
        <v>83</v>
      </c>
      <c r="DG133" s="11" t="s">
        <v>81</v>
      </c>
      <c r="DH133" s="11" t="s">
        <v>32</v>
      </c>
      <c r="DI133" s="11" t="s">
        <v>74</v>
      </c>
      <c r="DJ133" s="144" t="s">
        <v>282</v>
      </c>
    </row>
    <row r="134" spans="2:128" s="11" customFormat="1" x14ac:dyDescent="0.2">
      <c r="B134" s="143"/>
      <c r="D134" s="138" t="s">
        <v>301</v>
      </c>
      <c r="E134" s="144" t="s">
        <v>1</v>
      </c>
      <c r="F134" s="145" t="s">
        <v>302</v>
      </c>
      <c r="H134" s="144" t="s">
        <v>1</v>
      </c>
      <c r="I134" s="146"/>
      <c r="L134" s="143"/>
      <c r="N134" s="215"/>
      <c r="O134" s="216"/>
      <c r="Q134" s="230"/>
      <c r="BX134" s="147"/>
      <c r="CE134" s="148"/>
      <c r="DE134" s="144" t="s">
        <v>301</v>
      </c>
      <c r="DF134" s="144" t="s">
        <v>83</v>
      </c>
      <c r="DG134" s="11" t="s">
        <v>81</v>
      </c>
      <c r="DH134" s="11" t="s">
        <v>32</v>
      </c>
      <c r="DI134" s="11" t="s">
        <v>74</v>
      </c>
      <c r="DJ134" s="144" t="s">
        <v>282</v>
      </c>
    </row>
    <row r="135" spans="2:128" s="12" customFormat="1" x14ac:dyDescent="0.2">
      <c r="B135" s="149"/>
      <c r="D135" s="138" t="s">
        <v>301</v>
      </c>
      <c r="E135" s="150" t="s">
        <v>1</v>
      </c>
      <c r="F135" s="151" t="s">
        <v>1745</v>
      </c>
      <c r="H135" s="152">
        <v>31.6</v>
      </c>
      <c r="I135" s="153"/>
      <c r="L135" s="149"/>
      <c r="N135" s="217">
        <f>35.2*1</f>
        <v>35.200000000000003</v>
      </c>
      <c r="O135" s="218" t="s">
        <v>3804</v>
      </c>
      <c r="Q135" s="231"/>
      <c r="BX135" s="154"/>
      <c r="CE135" s="155"/>
      <c r="DE135" s="150" t="s">
        <v>301</v>
      </c>
      <c r="DF135" s="150" t="s">
        <v>83</v>
      </c>
      <c r="DG135" s="12" t="s">
        <v>83</v>
      </c>
      <c r="DH135" s="12" t="s">
        <v>32</v>
      </c>
      <c r="DI135" s="12" t="s">
        <v>74</v>
      </c>
      <c r="DJ135" s="150" t="s">
        <v>282</v>
      </c>
    </row>
    <row r="136" spans="2:128" s="12" customFormat="1" x14ac:dyDescent="0.2">
      <c r="B136" s="149"/>
      <c r="D136" s="138" t="s">
        <v>301</v>
      </c>
      <c r="E136" s="150" t="s">
        <v>1</v>
      </c>
      <c r="F136" s="151" t="s">
        <v>1746</v>
      </c>
      <c r="H136" s="152">
        <v>3</v>
      </c>
      <c r="I136" s="153"/>
      <c r="L136" s="149"/>
      <c r="N136" s="217">
        <f>1.5*1.5*6-1.5*1*6</f>
        <v>4.5</v>
      </c>
      <c r="O136" s="218" t="s">
        <v>3805</v>
      </c>
      <c r="Q136" s="231"/>
      <c r="BX136" s="154"/>
      <c r="CE136" s="155"/>
      <c r="DE136" s="150" t="s">
        <v>301</v>
      </c>
      <c r="DF136" s="150" t="s">
        <v>83</v>
      </c>
      <c r="DG136" s="12" t="s">
        <v>83</v>
      </c>
      <c r="DH136" s="12" t="s">
        <v>32</v>
      </c>
      <c r="DI136" s="12" t="s">
        <v>74</v>
      </c>
      <c r="DJ136" s="150" t="s">
        <v>282</v>
      </c>
    </row>
    <row r="137" spans="2:128" s="14" customFormat="1" x14ac:dyDescent="0.2">
      <c r="B137" s="163"/>
      <c r="D137" s="138" t="s">
        <v>301</v>
      </c>
      <c r="E137" s="164" t="s">
        <v>1</v>
      </c>
      <c r="F137" s="165" t="s">
        <v>373</v>
      </c>
      <c r="H137" s="166">
        <v>34.6</v>
      </c>
      <c r="I137" s="167"/>
      <c r="L137" s="163"/>
      <c r="N137" s="221">
        <f>N135+N136</f>
        <v>39.700000000000003</v>
      </c>
      <c r="O137" s="222"/>
      <c r="Q137" s="233"/>
      <c r="BX137" s="168"/>
      <c r="CE137" s="169"/>
      <c r="DE137" s="164" t="s">
        <v>301</v>
      </c>
      <c r="DF137" s="164" t="s">
        <v>83</v>
      </c>
      <c r="DG137" s="14" t="s">
        <v>90</v>
      </c>
      <c r="DH137" s="14" t="s">
        <v>32</v>
      </c>
      <c r="DI137" s="14" t="s">
        <v>74</v>
      </c>
      <c r="DJ137" s="164" t="s">
        <v>282</v>
      </c>
    </row>
    <row r="138" spans="2:128" s="12" customFormat="1" x14ac:dyDescent="0.2">
      <c r="B138" s="149"/>
      <c r="D138" s="138" t="s">
        <v>301</v>
      </c>
      <c r="E138" s="150" t="s">
        <v>1</v>
      </c>
      <c r="F138" s="151" t="s">
        <v>1747</v>
      </c>
      <c r="H138" s="152">
        <v>31.14</v>
      </c>
      <c r="I138" s="153"/>
      <c r="L138" s="149"/>
      <c r="N138" s="217">
        <f>N137*0.9</f>
        <v>35.730000000000004</v>
      </c>
      <c r="O138" s="218"/>
      <c r="Q138" s="231"/>
      <c r="BX138" s="154"/>
      <c r="CE138" s="155"/>
      <c r="DE138" s="150" t="s">
        <v>301</v>
      </c>
      <c r="DF138" s="150" t="s">
        <v>83</v>
      </c>
      <c r="DG138" s="12" t="s">
        <v>83</v>
      </c>
      <c r="DH138" s="12" t="s">
        <v>32</v>
      </c>
      <c r="DI138" s="12" t="s">
        <v>81</v>
      </c>
      <c r="DJ138" s="150" t="s">
        <v>282</v>
      </c>
    </row>
    <row r="139" spans="2:128" s="12" customFormat="1" x14ac:dyDescent="0.2">
      <c r="B139" s="149"/>
      <c r="D139" s="138"/>
      <c r="E139" s="150"/>
      <c r="F139" s="151"/>
      <c r="H139" s="152"/>
      <c r="I139" s="153"/>
      <c r="L139" s="149"/>
      <c r="N139" s="310">
        <f>N138-H138</f>
        <v>4.5900000000000034</v>
      </c>
      <c r="O139" s="218"/>
      <c r="Q139" s="231"/>
      <c r="BX139" s="154"/>
      <c r="CE139" s="155"/>
      <c r="DE139" s="150"/>
      <c r="DF139" s="150"/>
      <c r="DJ139" s="150"/>
    </row>
    <row r="140" spans="2:128" s="1" customFormat="1" ht="24.2" customHeight="1" x14ac:dyDescent="0.2">
      <c r="B140" s="124"/>
      <c r="C140" s="125" t="s">
        <v>95</v>
      </c>
      <c r="D140" s="125" t="s">
        <v>284</v>
      </c>
      <c r="E140" s="126" t="s">
        <v>958</v>
      </c>
      <c r="F140" s="127" t="s">
        <v>959</v>
      </c>
      <c r="G140" s="128" t="s">
        <v>287</v>
      </c>
      <c r="H140" s="129">
        <v>9.48</v>
      </c>
      <c r="I140" s="130">
        <v>23.091823190584471</v>
      </c>
      <c r="J140" s="131">
        <f>ROUND(I140*H140,2)</f>
        <v>218.91</v>
      </c>
      <c r="K140" s="127" t="s">
        <v>293</v>
      </c>
      <c r="L140" s="268">
        <f>S140</f>
        <v>0</v>
      </c>
      <c r="M140" s="272">
        <f>ROUND(L140*I140,2)</f>
        <v>0</v>
      </c>
      <c r="N140" s="243">
        <f>N145</f>
        <v>1.0800000000000018</v>
      </c>
      <c r="O140" s="294">
        <f>ROUND(N140*I140,2)</f>
        <v>24.94</v>
      </c>
      <c r="P140" s="273">
        <f>H140-L140-N140</f>
        <v>8.3999999999999986</v>
      </c>
      <c r="Q140" s="287">
        <f>ROUND(P140*I140,2)</f>
        <v>193.97</v>
      </c>
      <c r="R140" s="137"/>
      <c r="S140" s="269">
        <f>W140+Y140+AA140+AC140</f>
        <v>0</v>
      </c>
      <c r="T140" s="269">
        <f>ROUND(S140*I140,2)</f>
        <v>0</v>
      </c>
      <c r="U140" s="269">
        <f>H140-S140</f>
        <v>9.48</v>
      </c>
      <c r="V140" s="269">
        <f>ROUND(U140*I140,2)</f>
        <v>218.91</v>
      </c>
      <c r="W140" s="269"/>
      <c r="X140" s="269"/>
      <c r="Y140" s="269"/>
      <c r="Z140" s="269"/>
      <c r="AA140" s="269"/>
      <c r="AB140" s="269"/>
      <c r="AC140" s="269"/>
      <c r="AD140" s="269"/>
      <c r="BX140" s="132" t="s">
        <v>1</v>
      </c>
      <c r="BY140" s="133" t="s">
        <v>40</v>
      </c>
      <c r="CA140" s="134">
        <f>BZ140*H140</f>
        <v>0</v>
      </c>
      <c r="CB140" s="134">
        <v>0</v>
      </c>
      <c r="CC140" s="134">
        <f>CB140*H140</f>
        <v>0</v>
      </c>
      <c r="CD140" s="134">
        <v>0</v>
      </c>
      <c r="CE140" s="135">
        <f>CD140*H140</f>
        <v>0</v>
      </c>
      <c r="DC140" s="136" t="s">
        <v>95</v>
      </c>
      <c r="DE140" s="136" t="s">
        <v>284</v>
      </c>
      <c r="DF140" s="136" t="s">
        <v>83</v>
      </c>
      <c r="DJ140" s="16" t="s">
        <v>282</v>
      </c>
      <c r="DP140" s="137">
        <f>IF(BY140="základní",J140,0)</f>
        <v>218.91</v>
      </c>
      <c r="DQ140" s="137">
        <f>IF(BY140="snížená",J140,0)</f>
        <v>0</v>
      </c>
      <c r="DR140" s="137">
        <f>IF(BY140="zákl. přenesená",J140,0)</f>
        <v>0</v>
      </c>
      <c r="DS140" s="137">
        <f>IF(BY140="sníž. přenesená",J140,0)</f>
        <v>0</v>
      </c>
      <c r="DT140" s="137">
        <f>IF(BY140="nulová",J140,0)</f>
        <v>0</v>
      </c>
      <c r="DU140" s="16" t="s">
        <v>81</v>
      </c>
      <c r="DV140" s="137">
        <f>ROUND(I140*H140,2)</f>
        <v>218.91</v>
      </c>
      <c r="DW140" s="16" t="s">
        <v>95</v>
      </c>
      <c r="DX140" s="136" t="s">
        <v>960</v>
      </c>
    </row>
    <row r="141" spans="2:128" s="1" customFormat="1" ht="19.5" x14ac:dyDescent="0.2">
      <c r="B141" s="31"/>
      <c r="D141" s="138" t="s">
        <v>289</v>
      </c>
      <c r="F141" s="139" t="s">
        <v>961</v>
      </c>
      <c r="I141" s="140"/>
      <c r="L141" s="31"/>
      <c r="N141" s="213"/>
      <c r="O141" s="214"/>
      <c r="Q141" s="229"/>
      <c r="BX141" s="141"/>
      <c r="CE141" s="50"/>
      <c r="DE141" s="16" t="s">
        <v>289</v>
      </c>
      <c r="DF141" s="16" t="s">
        <v>83</v>
      </c>
    </row>
    <row r="142" spans="2:128" s="1" customFormat="1" ht="29.25" x14ac:dyDescent="0.2">
      <c r="B142" s="31"/>
      <c r="D142" s="138" t="s">
        <v>299</v>
      </c>
      <c r="F142" s="142" t="s">
        <v>1659</v>
      </c>
      <c r="I142" s="140"/>
      <c r="L142" s="31"/>
      <c r="N142" s="213"/>
      <c r="O142" s="214"/>
      <c r="Q142" s="229"/>
      <c r="BX142" s="141"/>
      <c r="CE142" s="50"/>
      <c r="DE142" s="16" t="s">
        <v>299</v>
      </c>
      <c r="DF142" s="16" t="s">
        <v>83</v>
      </c>
    </row>
    <row r="143" spans="2:128" s="11" customFormat="1" x14ac:dyDescent="0.2">
      <c r="B143" s="143"/>
      <c r="D143" s="138" t="s">
        <v>301</v>
      </c>
      <c r="E143" s="144" t="s">
        <v>1</v>
      </c>
      <c r="F143" s="145" t="s">
        <v>1088</v>
      </c>
      <c r="H143" s="144" t="s">
        <v>1</v>
      </c>
      <c r="I143" s="146"/>
      <c r="L143" s="143"/>
      <c r="N143" s="215"/>
      <c r="O143" s="216"/>
      <c r="Q143" s="230"/>
      <c r="BX143" s="147"/>
      <c r="CE143" s="148"/>
      <c r="DE143" s="144" t="s">
        <v>301</v>
      </c>
      <c r="DF143" s="144" t="s">
        <v>83</v>
      </c>
      <c r="DG143" s="11" t="s">
        <v>81</v>
      </c>
      <c r="DH143" s="11" t="s">
        <v>32</v>
      </c>
      <c r="DI143" s="11" t="s">
        <v>74</v>
      </c>
      <c r="DJ143" s="144" t="s">
        <v>282</v>
      </c>
    </row>
    <row r="144" spans="2:128" s="12" customFormat="1" x14ac:dyDescent="0.2">
      <c r="B144" s="149"/>
      <c r="D144" s="138" t="s">
        <v>301</v>
      </c>
      <c r="E144" s="150" t="s">
        <v>1</v>
      </c>
      <c r="F144" s="151" t="s">
        <v>1748</v>
      </c>
      <c r="H144" s="152">
        <v>9.48</v>
      </c>
      <c r="I144" s="153"/>
      <c r="L144" s="149"/>
      <c r="N144" s="217">
        <f>35.2*3*0.1</f>
        <v>10.560000000000002</v>
      </c>
      <c r="O144" s="218" t="s">
        <v>3806</v>
      </c>
      <c r="Q144" s="231"/>
      <c r="BX144" s="154"/>
      <c r="CE144" s="155"/>
      <c r="DE144" s="150" t="s">
        <v>301</v>
      </c>
      <c r="DF144" s="150" t="s">
        <v>83</v>
      </c>
      <c r="DG144" s="12" t="s">
        <v>83</v>
      </c>
      <c r="DH144" s="12" t="s">
        <v>32</v>
      </c>
      <c r="DI144" s="12" t="s">
        <v>81</v>
      </c>
      <c r="DJ144" s="150" t="s">
        <v>282</v>
      </c>
    </row>
    <row r="145" spans="2:128" s="12" customFormat="1" x14ac:dyDescent="0.2">
      <c r="B145" s="149"/>
      <c r="D145" s="138"/>
      <c r="E145" s="150"/>
      <c r="F145" s="151"/>
      <c r="H145" s="152"/>
      <c r="I145" s="153"/>
      <c r="L145" s="149"/>
      <c r="N145" s="310">
        <f>N144-H144</f>
        <v>1.0800000000000018</v>
      </c>
      <c r="O145" s="218"/>
      <c r="Q145" s="231"/>
      <c r="BX145" s="154"/>
      <c r="CE145" s="155"/>
      <c r="DE145" s="150"/>
      <c r="DF145" s="150"/>
      <c r="DJ145" s="150"/>
    </row>
    <row r="146" spans="2:128" s="1" customFormat="1" ht="24.2" customHeight="1" x14ac:dyDescent="0.2">
      <c r="B146" s="124"/>
      <c r="C146" s="125" t="s">
        <v>312</v>
      </c>
      <c r="D146" s="125" t="s">
        <v>284</v>
      </c>
      <c r="E146" s="126" t="s">
        <v>364</v>
      </c>
      <c r="F146" s="127" t="s">
        <v>365</v>
      </c>
      <c r="G146" s="128" t="s">
        <v>366</v>
      </c>
      <c r="H146" s="129">
        <v>31.728000000000002</v>
      </c>
      <c r="I146" s="130">
        <v>285.201942457955</v>
      </c>
      <c r="J146" s="131">
        <f>ROUND(I146*H146,2)</f>
        <v>9048.89</v>
      </c>
      <c r="K146" s="127" t="s">
        <v>293</v>
      </c>
      <c r="L146" s="268">
        <f>S146</f>
        <v>0</v>
      </c>
      <c r="M146" s="272">
        <f>ROUND(L146*I146,2)</f>
        <v>0</v>
      </c>
      <c r="N146" s="243">
        <f>N156</f>
        <v>4.9755000000000038</v>
      </c>
      <c r="O146" s="294">
        <f>ROUND(N146*I146,2)</f>
        <v>1419.02</v>
      </c>
      <c r="P146" s="273">
        <f>H146-L146-N146</f>
        <v>26.752499999999998</v>
      </c>
      <c r="Q146" s="287">
        <f>ROUND(P146*I146,2)</f>
        <v>7629.86</v>
      </c>
      <c r="R146" s="137"/>
      <c r="S146" s="269">
        <f>W146+Y146+AA146+AC146</f>
        <v>0</v>
      </c>
      <c r="T146" s="269">
        <f>ROUND(S146*I146,2)</f>
        <v>0</v>
      </c>
      <c r="U146" s="269">
        <f>H146-S146</f>
        <v>31.728000000000002</v>
      </c>
      <c r="V146" s="269">
        <f>ROUND(U146*I146,2)</f>
        <v>9048.89</v>
      </c>
      <c r="W146" s="269"/>
      <c r="X146" s="269"/>
      <c r="Y146" s="269"/>
      <c r="Z146" s="269"/>
      <c r="AA146" s="269"/>
      <c r="AB146" s="269"/>
      <c r="AC146" s="269"/>
      <c r="AD146" s="269"/>
      <c r="BX146" s="132" t="s">
        <v>1</v>
      </c>
      <c r="BY146" s="133" t="s">
        <v>40</v>
      </c>
      <c r="CA146" s="134">
        <f>BZ146*H146</f>
        <v>0</v>
      </c>
      <c r="CB146" s="134">
        <v>0</v>
      </c>
      <c r="CC146" s="134">
        <f>CB146*H146</f>
        <v>0</v>
      </c>
      <c r="CD146" s="134">
        <v>0</v>
      </c>
      <c r="CE146" s="135">
        <f>CD146*H146</f>
        <v>0</v>
      </c>
      <c r="DC146" s="136" t="s">
        <v>95</v>
      </c>
      <c r="DE146" s="136" t="s">
        <v>284</v>
      </c>
      <c r="DF146" s="136" t="s">
        <v>83</v>
      </c>
      <c r="DJ146" s="16" t="s">
        <v>282</v>
      </c>
      <c r="DP146" s="137">
        <f>IF(BY146="základní",J146,0)</f>
        <v>9048.89</v>
      </c>
      <c r="DQ146" s="137">
        <f>IF(BY146="snížená",J146,0)</f>
        <v>0</v>
      </c>
      <c r="DR146" s="137">
        <f>IF(BY146="zákl. přenesená",J146,0)</f>
        <v>0</v>
      </c>
      <c r="DS146" s="137">
        <f>IF(BY146="sníž. přenesená",J146,0)</f>
        <v>0</v>
      </c>
      <c r="DT146" s="137">
        <f>IF(BY146="nulová",J146,0)</f>
        <v>0</v>
      </c>
      <c r="DU146" s="16" t="s">
        <v>81</v>
      </c>
      <c r="DV146" s="137">
        <f>ROUND(I146*H146,2)</f>
        <v>9048.89</v>
      </c>
      <c r="DW146" s="16" t="s">
        <v>95</v>
      </c>
      <c r="DX146" s="136" t="s">
        <v>367</v>
      </c>
    </row>
    <row r="147" spans="2:128" s="1" customFormat="1" ht="39" x14ac:dyDescent="0.2">
      <c r="B147" s="31"/>
      <c r="D147" s="138" t="s">
        <v>289</v>
      </c>
      <c r="F147" s="139" t="s">
        <v>368</v>
      </c>
      <c r="I147" s="140"/>
      <c r="L147" s="31"/>
      <c r="N147" s="213"/>
      <c r="O147" s="214"/>
      <c r="Q147" s="229"/>
      <c r="BX147" s="141"/>
      <c r="CE147" s="50"/>
      <c r="DE147" s="16" t="s">
        <v>289</v>
      </c>
      <c r="DF147" s="16" t="s">
        <v>83</v>
      </c>
    </row>
    <row r="148" spans="2:128" s="1" customFormat="1" ht="39" x14ac:dyDescent="0.2">
      <c r="B148" s="31"/>
      <c r="D148" s="138" t="s">
        <v>299</v>
      </c>
      <c r="F148" s="142" t="s">
        <v>1664</v>
      </c>
      <c r="I148" s="140"/>
      <c r="L148" s="31"/>
      <c r="N148" s="213"/>
      <c r="O148" s="214"/>
      <c r="Q148" s="229"/>
      <c r="BX148" s="141"/>
      <c r="CE148" s="50"/>
      <c r="DE148" s="16" t="s">
        <v>299</v>
      </c>
      <c r="DF148" s="16" t="s">
        <v>83</v>
      </c>
    </row>
    <row r="149" spans="2:128" s="11" customFormat="1" ht="22.5" x14ac:dyDescent="0.2">
      <c r="B149" s="143"/>
      <c r="D149" s="138" t="s">
        <v>301</v>
      </c>
      <c r="E149" s="144" t="s">
        <v>1</v>
      </c>
      <c r="F149" s="145" t="s">
        <v>1091</v>
      </c>
      <c r="H149" s="144" t="s">
        <v>1</v>
      </c>
      <c r="I149" s="146"/>
      <c r="L149" s="143"/>
      <c r="N149" s="215"/>
      <c r="O149" s="216"/>
      <c r="Q149" s="230"/>
      <c r="BX149" s="147"/>
      <c r="CE149" s="148"/>
      <c r="DE149" s="144" t="s">
        <v>301</v>
      </c>
      <c r="DF149" s="144" t="s">
        <v>83</v>
      </c>
      <c r="DG149" s="11" t="s">
        <v>81</v>
      </c>
      <c r="DH149" s="11" t="s">
        <v>32</v>
      </c>
      <c r="DI149" s="11" t="s">
        <v>74</v>
      </c>
      <c r="DJ149" s="144" t="s">
        <v>282</v>
      </c>
    </row>
    <row r="150" spans="2:128" s="12" customFormat="1" x14ac:dyDescent="0.2">
      <c r="B150" s="149"/>
      <c r="D150" s="138" t="s">
        <v>301</v>
      </c>
      <c r="E150" s="150" t="s">
        <v>1</v>
      </c>
      <c r="F150" s="151" t="s">
        <v>1749</v>
      </c>
      <c r="H150" s="152">
        <v>49.77</v>
      </c>
      <c r="I150" s="153"/>
      <c r="L150" s="149"/>
      <c r="N150" s="217">
        <f>35.2*1*(2.2-0.45)*0.9</f>
        <v>55.440000000000012</v>
      </c>
      <c r="O150" s="218" t="s">
        <v>3807</v>
      </c>
      <c r="Q150" s="231"/>
      <c r="BX150" s="154"/>
      <c r="CE150" s="155"/>
      <c r="DE150" s="150" t="s">
        <v>301</v>
      </c>
      <c r="DF150" s="150" t="s">
        <v>83</v>
      </c>
      <c r="DG150" s="12" t="s">
        <v>83</v>
      </c>
      <c r="DH150" s="12" t="s">
        <v>32</v>
      </c>
      <c r="DI150" s="12" t="s">
        <v>74</v>
      </c>
      <c r="DJ150" s="150" t="s">
        <v>282</v>
      </c>
    </row>
    <row r="151" spans="2:128" s="12" customFormat="1" ht="22.5" x14ac:dyDescent="0.2">
      <c r="B151" s="149"/>
      <c r="D151" s="138" t="s">
        <v>301</v>
      </c>
      <c r="E151" s="150" t="s">
        <v>1</v>
      </c>
      <c r="F151" s="151" t="s">
        <v>1750</v>
      </c>
      <c r="H151" s="152">
        <v>7.05</v>
      </c>
      <c r="I151" s="153"/>
      <c r="L151" s="149"/>
      <c r="N151" s="217">
        <f>1.5*1.5*(2.4-0.45)*6-1.5*1*(2.2-0.45)*6</f>
        <v>10.574999999999999</v>
      </c>
      <c r="O151" s="218" t="s">
        <v>3808</v>
      </c>
      <c r="Q151" s="231"/>
      <c r="BX151" s="154"/>
      <c r="CE151" s="155"/>
      <c r="DE151" s="150" t="s">
        <v>301</v>
      </c>
      <c r="DF151" s="150" t="s">
        <v>83</v>
      </c>
      <c r="DG151" s="12" t="s">
        <v>83</v>
      </c>
      <c r="DH151" s="12" t="s">
        <v>32</v>
      </c>
      <c r="DI151" s="12" t="s">
        <v>74</v>
      </c>
      <c r="DJ151" s="150" t="s">
        <v>282</v>
      </c>
    </row>
    <row r="152" spans="2:128" s="11" customFormat="1" x14ac:dyDescent="0.2">
      <c r="B152" s="143"/>
      <c r="D152" s="138" t="s">
        <v>301</v>
      </c>
      <c r="E152" s="144" t="s">
        <v>1</v>
      </c>
      <c r="F152" s="145" t="s">
        <v>968</v>
      </c>
      <c r="H152" s="144" t="s">
        <v>1</v>
      </c>
      <c r="I152" s="146"/>
      <c r="L152" s="143"/>
      <c r="N152" s="215"/>
      <c r="O152" s="216"/>
      <c r="Q152" s="230"/>
      <c r="BX152" s="147"/>
      <c r="CE152" s="148"/>
      <c r="DE152" s="144" t="s">
        <v>301</v>
      </c>
      <c r="DF152" s="144" t="s">
        <v>83</v>
      </c>
      <c r="DG152" s="11" t="s">
        <v>81</v>
      </c>
      <c r="DH152" s="11" t="s">
        <v>32</v>
      </c>
      <c r="DI152" s="11" t="s">
        <v>74</v>
      </c>
      <c r="DJ152" s="144" t="s">
        <v>282</v>
      </c>
    </row>
    <row r="153" spans="2:128" s="12" customFormat="1" x14ac:dyDescent="0.2">
      <c r="B153" s="149"/>
      <c r="D153" s="138" t="s">
        <v>301</v>
      </c>
      <c r="E153" s="150" t="s">
        <v>1</v>
      </c>
      <c r="F153" s="151" t="s">
        <v>1751</v>
      </c>
      <c r="H153" s="152">
        <v>6.6360000000000001</v>
      </c>
      <c r="I153" s="153"/>
      <c r="L153" s="149"/>
      <c r="N153" s="217">
        <f>35.2*1*(2.2-0.1)*0.1</f>
        <v>7.3920000000000021</v>
      </c>
      <c r="O153" s="218" t="s">
        <v>3809</v>
      </c>
      <c r="Q153" s="231"/>
      <c r="BX153" s="154"/>
      <c r="CE153" s="155"/>
      <c r="DE153" s="150" t="s">
        <v>301</v>
      </c>
      <c r="DF153" s="150" t="s">
        <v>83</v>
      </c>
      <c r="DG153" s="12" t="s">
        <v>83</v>
      </c>
      <c r="DH153" s="12" t="s">
        <v>32</v>
      </c>
      <c r="DI153" s="12" t="s">
        <v>74</v>
      </c>
      <c r="DJ153" s="150" t="s">
        <v>282</v>
      </c>
    </row>
    <row r="154" spans="2:128" s="14" customFormat="1" x14ac:dyDescent="0.2">
      <c r="B154" s="163"/>
      <c r="D154" s="138" t="s">
        <v>301</v>
      </c>
      <c r="E154" s="164" t="s">
        <v>1</v>
      </c>
      <c r="F154" s="165" t="s">
        <v>373</v>
      </c>
      <c r="H154" s="166">
        <v>63.456000000000003</v>
      </c>
      <c r="I154" s="167"/>
      <c r="L154" s="163"/>
      <c r="N154" s="221">
        <f>N150+N151+N153</f>
        <v>73.407000000000011</v>
      </c>
      <c r="O154" s="222"/>
      <c r="Q154" s="233"/>
      <c r="BX154" s="168"/>
      <c r="CE154" s="169"/>
      <c r="DE154" s="164" t="s">
        <v>301</v>
      </c>
      <c r="DF154" s="164" t="s">
        <v>83</v>
      </c>
      <c r="DG154" s="14" t="s">
        <v>90</v>
      </c>
      <c r="DH154" s="14" t="s">
        <v>32</v>
      </c>
      <c r="DI154" s="14" t="s">
        <v>74</v>
      </c>
      <c r="DJ154" s="164" t="s">
        <v>282</v>
      </c>
    </row>
    <row r="155" spans="2:128" s="12" customFormat="1" x14ac:dyDescent="0.2">
      <c r="B155" s="149"/>
      <c r="D155" s="138" t="s">
        <v>301</v>
      </c>
      <c r="E155" s="150" t="s">
        <v>1</v>
      </c>
      <c r="F155" s="151" t="s">
        <v>1752</v>
      </c>
      <c r="H155" s="152">
        <v>31.728000000000002</v>
      </c>
      <c r="I155" s="153"/>
      <c r="L155" s="149"/>
      <c r="N155" s="217">
        <f>N154*0.5</f>
        <v>36.703500000000005</v>
      </c>
      <c r="O155" s="218"/>
      <c r="Q155" s="231"/>
      <c r="BX155" s="154"/>
      <c r="CE155" s="155"/>
      <c r="DE155" s="150" t="s">
        <v>301</v>
      </c>
      <c r="DF155" s="150" t="s">
        <v>83</v>
      </c>
      <c r="DG155" s="12" t="s">
        <v>83</v>
      </c>
      <c r="DH155" s="12" t="s">
        <v>32</v>
      </c>
      <c r="DI155" s="12" t="s">
        <v>81</v>
      </c>
      <c r="DJ155" s="150" t="s">
        <v>282</v>
      </c>
    </row>
    <row r="156" spans="2:128" s="12" customFormat="1" x14ac:dyDescent="0.2">
      <c r="B156" s="149"/>
      <c r="D156" s="138"/>
      <c r="E156" s="150"/>
      <c r="F156" s="151"/>
      <c r="H156" s="152"/>
      <c r="I156" s="153"/>
      <c r="L156" s="149"/>
      <c r="N156" s="310">
        <f>N155-H155</f>
        <v>4.9755000000000038</v>
      </c>
      <c r="O156" s="218"/>
      <c r="Q156" s="231"/>
      <c r="BX156" s="154"/>
      <c r="CE156" s="155"/>
      <c r="DE156" s="150"/>
      <c r="DF156" s="150"/>
      <c r="DJ156" s="150"/>
    </row>
    <row r="157" spans="2:128" s="1" customFormat="1" ht="24.2" customHeight="1" x14ac:dyDescent="0.2">
      <c r="B157" s="124"/>
      <c r="C157" s="125" t="s">
        <v>318</v>
      </c>
      <c r="D157" s="125" t="s">
        <v>284</v>
      </c>
      <c r="E157" s="126" t="s">
        <v>375</v>
      </c>
      <c r="F157" s="127" t="s">
        <v>376</v>
      </c>
      <c r="G157" s="128" t="s">
        <v>366</v>
      </c>
      <c r="H157" s="129">
        <v>31.728000000000002</v>
      </c>
      <c r="I157" s="130">
        <v>390.55963566140201</v>
      </c>
      <c r="J157" s="131">
        <f>ROUND(I157*H157,2)</f>
        <v>12391.68</v>
      </c>
      <c r="K157" s="127" t="s">
        <v>293</v>
      </c>
      <c r="L157" s="268">
        <f>S157</f>
        <v>0</v>
      </c>
      <c r="M157" s="272">
        <f>ROUND(L157*I157,2)</f>
        <v>0</v>
      </c>
      <c r="N157" s="243">
        <f>N146</f>
        <v>4.9755000000000038</v>
      </c>
      <c r="O157" s="294">
        <f>ROUND(N157*I157,2)</f>
        <v>1943.23</v>
      </c>
      <c r="P157" s="273">
        <f>H157-L157-N157</f>
        <v>26.752499999999998</v>
      </c>
      <c r="Q157" s="287">
        <f>ROUND(P157*I157,2)</f>
        <v>10448.450000000001</v>
      </c>
      <c r="R157" s="137"/>
      <c r="S157" s="269">
        <f>W157+Y157+AA157+AC157</f>
        <v>0</v>
      </c>
      <c r="T157" s="269">
        <f>ROUND(S157*I157,2)</f>
        <v>0</v>
      </c>
      <c r="U157" s="269">
        <f>H157-S157</f>
        <v>31.728000000000002</v>
      </c>
      <c r="V157" s="269">
        <f>ROUND(U157*I157,2)</f>
        <v>12391.68</v>
      </c>
      <c r="W157" s="269"/>
      <c r="X157" s="269"/>
      <c r="Y157" s="269"/>
      <c r="Z157" s="269"/>
      <c r="AA157" s="269"/>
      <c r="AB157" s="269"/>
      <c r="AC157" s="269"/>
      <c r="AD157" s="269"/>
      <c r="BX157" s="132" t="s">
        <v>1</v>
      </c>
      <c r="BY157" s="133" t="s">
        <v>40</v>
      </c>
      <c r="CA157" s="134">
        <f>BZ157*H157</f>
        <v>0</v>
      </c>
      <c r="CB157" s="134">
        <v>0</v>
      </c>
      <c r="CC157" s="134">
        <f>CB157*H157</f>
        <v>0</v>
      </c>
      <c r="CD157" s="134">
        <v>0</v>
      </c>
      <c r="CE157" s="135">
        <f>CD157*H157</f>
        <v>0</v>
      </c>
      <c r="DC157" s="136" t="s">
        <v>95</v>
      </c>
      <c r="DE157" s="136" t="s">
        <v>284</v>
      </c>
      <c r="DF157" s="136" t="s">
        <v>83</v>
      </c>
      <c r="DJ157" s="16" t="s">
        <v>282</v>
      </c>
      <c r="DP157" s="137">
        <f>IF(BY157="základní",J157,0)</f>
        <v>12391.68</v>
      </c>
      <c r="DQ157" s="137">
        <f>IF(BY157="snížená",J157,0)</f>
        <v>0</v>
      </c>
      <c r="DR157" s="137">
        <f>IF(BY157="zákl. přenesená",J157,0)</f>
        <v>0</v>
      </c>
      <c r="DS157" s="137">
        <f>IF(BY157="sníž. přenesená",J157,0)</f>
        <v>0</v>
      </c>
      <c r="DT157" s="137">
        <f>IF(BY157="nulová",J157,0)</f>
        <v>0</v>
      </c>
      <c r="DU157" s="16" t="s">
        <v>81</v>
      </c>
      <c r="DV157" s="137">
        <f>ROUND(I157*H157,2)</f>
        <v>12391.68</v>
      </c>
      <c r="DW157" s="16" t="s">
        <v>95</v>
      </c>
      <c r="DX157" s="136" t="s">
        <v>377</v>
      </c>
    </row>
    <row r="158" spans="2:128" s="1" customFormat="1" ht="39" x14ac:dyDescent="0.2">
      <c r="B158" s="31"/>
      <c r="D158" s="138" t="s">
        <v>289</v>
      </c>
      <c r="F158" s="139" t="s">
        <v>378</v>
      </c>
      <c r="I158" s="140"/>
      <c r="L158" s="31"/>
      <c r="N158" s="213"/>
      <c r="O158" s="214"/>
      <c r="Q158" s="229"/>
      <c r="BX158" s="141"/>
      <c r="CE158" s="50"/>
      <c r="DE158" s="16" t="s">
        <v>289</v>
      </c>
      <c r="DF158" s="16" t="s">
        <v>83</v>
      </c>
    </row>
    <row r="159" spans="2:128" s="1" customFormat="1" ht="39" x14ac:dyDescent="0.2">
      <c r="B159" s="31"/>
      <c r="D159" s="138" t="s">
        <v>299</v>
      </c>
      <c r="F159" s="142" t="s">
        <v>1664</v>
      </c>
      <c r="I159" s="140"/>
      <c r="L159" s="31"/>
      <c r="N159" s="213"/>
      <c r="O159" s="214"/>
      <c r="Q159" s="229"/>
      <c r="BX159" s="141"/>
      <c r="CE159" s="50"/>
      <c r="DE159" s="16" t="s">
        <v>299</v>
      </c>
      <c r="DF159" s="16" t="s">
        <v>83</v>
      </c>
    </row>
    <row r="160" spans="2:128" s="1" customFormat="1" ht="24.2" customHeight="1" x14ac:dyDescent="0.2">
      <c r="B160" s="124"/>
      <c r="C160" s="125" t="s">
        <v>323</v>
      </c>
      <c r="D160" s="125" t="s">
        <v>284</v>
      </c>
      <c r="E160" s="126" t="s">
        <v>380</v>
      </c>
      <c r="F160" s="127" t="s">
        <v>381</v>
      </c>
      <c r="G160" s="128" t="s">
        <v>366</v>
      </c>
      <c r="H160" s="129">
        <v>12.691000000000001</v>
      </c>
      <c r="I160" s="130">
        <v>650.27058629099099</v>
      </c>
      <c r="J160" s="131">
        <f>ROUND(I160*H160,2)</f>
        <v>8252.58</v>
      </c>
      <c r="K160" s="127" t="s">
        <v>293</v>
      </c>
      <c r="L160" s="268">
        <f>S160</f>
        <v>0</v>
      </c>
      <c r="M160" s="272">
        <f>ROUND(L160*I160,2)</f>
        <v>0</v>
      </c>
      <c r="N160" s="243">
        <f>N164</f>
        <v>1.9906000000000006</v>
      </c>
      <c r="O160" s="294">
        <f>ROUND(N160*I160,2)</f>
        <v>1294.43</v>
      </c>
      <c r="P160" s="273">
        <f>H160-L160-N160</f>
        <v>10.7004</v>
      </c>
      <c r="Q160" s="287">
        <f>ROUND(P160*I160,2)</f>
        <v>6958.16</v>
      </c>
      <c r="R160" s="137"/>
      <c r="S160" s="269">
        <f>W160+Y160+AA160+AC160</f>
        <v>0</v>
      </c>
      <c r="T160" s="269">
        <f>ROUND(S160*I160,2)</f>
        <v>0</v>
      </c>
      <c r="U160" s="269">
        <f>H160-S160</f>
        <v>12.691000000000001</v>
      </c>
      <c r="V160" s="269">
        <f>ROUND(U160*I160,2)</f>
        <v>8252.58</v>
      </c>
      <c r="W160" s="269"/>
      <c r="X160" s="269"/>
      <c r="Y160" s="269"/>
      <c r="Z160" s="269"/>
      <c r="AA160" s="269"/>
      <c r="AB160" s="269"/>
      <c r="AC160" s="269"/>
      <c r="AD160" s="269"/>
      <c r="BX160" s="132" t="s">
        <v>1</v>
      </c>
      <c r="BY160" s="133" t="s">
        <v>40</v>
      </c>
      <c r="CA160" s="134">
        <f>BZ160*H160</f>
        <v>0</v>
      </c>
      <c r="CB160" s="134">
        <v>0</v>
      </c>
      <c r="CC160" s="134">
        <f>CB160*H160</f>
        <v>0</v>
      </c>
      <c r="CD160" s="134">
        <v>0</v>
      </c>
      <c r="CE160" s="135">
        <f>CD160*H160</f>
        <v>0</v>
      </c>
      <c r="DC160" s="136" t="s">
        <v>95</v>
      </c>
      <c r="DE160" s="136" t="s">
        <v>284</v>
      </c>
      <c r="DF160" s="136" t="s">
        <v>83</v>
      </c>
      <c r="DJ160" s="16" t="s">
        <v>282</v>
      </c>
      <c r="DP160" s="137">
        <f>IF(BY160="základní",J160,0)</f>
        <v>8252.58</v>
      </c>
      <c r="DQ160" s="137">
        <f>IF(BY160="snížená",J160,0)</f>
        <v>0</v>
      </c>
      <c r="DR160" s="137">
        <f>IF(BY160="zákl. přenesená",J160,0)</f>
        <v>0</v>
      </c>
      <c r="DS160" s="137">
        <f>IF(BY160="sníž. přenesená",J160,0)</f>
        <v>0</v>
      </c>
      <c r="DT160" s="137">
        <f>IF(BY160="nulová",J160,0)</f>
        <v>0</v>
      </c>
      <c r="DU160" s="16" t="s">
        <v>81</v>
      </c>
      <c r="DV160" s="137">
        <f>ROUND(I160*H160,2)</f>
        <v>8252.58</v>
      </c>
      <c r="DW160" s="16" t="s">
        <v>95</v>
      </c>
      <c r="DX160" s="136" t="s">
        <v>382</v>
      </c>
    </row>
    <row r="161" spans="2:128" s="1" customFormat="1" ht="29.25" x14ac:dyDescent="0.2">
      <c r="B161" s="31"/>
      <c r="D161" s="138" t="s">
        <v>289</v>
      </c>
      <c r="F161" s="139" t="s">
        <v>383</v>
      </c>
      <c r="I161" s="140"/>
      <c r="L161" s="31"/>
      <c r="N161" s="213"/>
      <c r="O161" s="214"/>
      <c r="Q161" s="229"/>
      <c r="BX161" s="141"/>
      <c r="CE161" s="50"/>
      <c r="DE161" s="16" t="s">
        <v>289</v>
      </c>
      <c r="DF161" s="16" t="s">
        <v>83</v>
      </c>
    </row>
    <row r="162" spans="2:128" s="11" customFormat="1" x14ac:dyDescent="0.2">
      <c r="B162" s="143"/>
      <c r="D162" s="138" t="s">
        <v>301</v>
      </c>
      <c r="E162" s="144" t="s">
        <v>1</v>
      </c>
      <c r="F162" s="145" t="s">
        <v>384</v>
      </c>
      <c r="H162" s="144" t="s">
        <v>1</v>
      </c>
      <c r="I162" s="146"/>
      <c r="L162" s="143"/>
      <c r="N162" s="215"/>
      <c r="O162" s="216"/>
      <c r="Q162" s="230"/>
      <c r="BX162" s="147"/>
      <c r="CE162" s="148"/>
      <c r="DE162" s="144" t="s">
        <v>301</v>
      </c>
      <c r="DF162" s="144" t="s">
        <v>83</v>
      </c>
      <c r="DG162" s="11" t="s">
        <v>81</v>
      </c>
      <c r="DH162" s="11" t="s">
        <v>32</v>
      </c>
      <c r="DI162" s="11" t="s">
        <v>74</v>
      </c>
      <c r="DJ162" s="144" t="s">
        <v>282</v>
      </c>
    </row>
    <row r="163" spans="2:128" s="12" customFormat="1" x14ac:dyDescent="0.2">
      <c r="B163" s="149"/>
      <c r="D163" s="138" t="s">
        <v>301</v>
      </c>
      <c r="E163" s="150" t="s">
        <v>1</v>
      </c>
      <c r="F163" s="151" t="s">
        <v>1753</v>
      </c>
      <c r="H163" s="152">
        <v>12.691000000000001</v>
      </c>
      <c r="I163" s="153"/>
      <c r="L163" s="149"/>
      <c r="N163" s="217">
        <f>(36.704+36.704)*0.2</f>
        <v>14.681600000000001</v>
      </c>
      <c r="O163" s="218" t="s">
        <v>3810</v>
      </c>
      <c r="Q163" s="231"/>
      <c r="BX163" s="154"/>
      <c r="CE163" s="155"/>
      <c r="DE163" s="150" t="s">
        <v>301</v>
      </c>
      <c r="DF163" s="150" t="s">
        <v>83</v>
      </c>
      <c r="DG163" s="12" t="s">
        <v>83</v>
      </c>
      <c r="DH163" s="12" t="s">
        <v>32</v>
      </c>
      <c r="DI163" s="12" t="s">
        <v>81</v>
      </c>
      <c r="DJ163" s="150" t="s">
        <v>282</v>
      </c>
    </row>
    <row r="164" spans="2:128" s="12" customFormat="1" x14ac:dyDescent="0.2">
      <c r="B164" s="149"/>
      <c r="D164" s="138"/>
      <c r="E164" s="150"/>
      <c r="F164" s="151"/>
      <c r="H164" s="152"/>
      <c r="I164" s="153"/>
      <c r="L164" s="149"/>
      <c r="N164" s="310">
        <f>N163-H163</f>
        <v>1.9906000000000006</v>
      </c>
      <c r="O164" s="218"/>
      <c r="Q164" s="231"/>
      <c r="BX164" s="154"/>
      <c r="CE164" s="155"/>
      <c r="DE164" s="150"/>
      <c r="DF164" s="150"/>
      <c r="DJ164" s="150"/>
    </row>
    <row r="165" spans="2:128" s="1" customFormat="1" ht="14.45" customHeight="1" x14ac:dyDescent="0.2">
      <c r="B165" s="124"/>
      <c r="C165" s="125" t="s">
        <v>328</v>
      </c>
      <c r="D165" s="125" t="s">
        <v>284</v>
      </c>
      <c r="E165" s="126" t="s">
        <v>387</v>
      </c>
      <c r="F165" s="127" t="s">
        <v>388</v>
      </c>
      <c r="G165" s="128" t="s">
        <v>287</v>
      </c>
      <c r="H165" s="129">
        <v>139.04</v>
      </c>
      <c r="I165" s="130">
        <v>156.6895922457376</v>
      </c>
      <c r="J165" s="131">
        <f>ROUND(I165*H165,2)</f>
        <v>21786.12</v>
      </c>
      <c r="K165" s="127" t="s">
        <v>293</v>
      </c>
      <c r="L165" s="268">
        <f>S165</f>
        <v>0</v>
      </c>
      <c r="M165" s="272">
        <f>ROUND(L165*I165,2)</f>
        <v>0</v>
      </c>
      <c r="N165" s="243">
        <f>N169</f>
        <v>15.840000000000032</v>
      </c>
      <c r="O165" s="294">
        <f>ROUND(N165*I165,2)</f>
        <v>2481.96</v>
      </c>
      <c r="P165" s="273">
        <f>H165-L165-N165</f>
        <v>123.19999999999996</v>
      </c>
      <c r="Q165" s="287">
        <f>ROUND(P165*I165,2)</f>
        <v>19304.16</v>
      </c>
      <c r="R165" s="137"/>
      <c r="S165" s="269">
        <f>W165+Y165+AA165+AC165</f>
        <v>0</v>
      </c>
      <c r="T165" s="269">
        <f>ROUND(S165*I165,2)</f>
        <v>0</v>
      </c>
      <c r="U165" s="269">
        <f>H165-S165</f>
        <v>139.04</v>
      </c>
      <c r="V165" s="269">
        <f>ROUND(U165*I165,2)</f>
        <v>21786.12</v>
      </c>
      <c r="W165" s="269"/>
      <c r="X165" s="269"/>
      <c r="Y165" s="269"/>
      <c r="Z165" s="269"/>
      <c r="AA165" s="269"/>
      <c r="AB165" s="269"/>
      <c r="AC165" s="269"/>
      <c r="AD165" s="269"/>
      <c r="BX165" s="132" t="s">
        <v>1</v>
      </c>
      <c r="BY165" s="133" t="s">
        <v>40</v>
      </c>
      <c r="CA165" s="134">
        <f>BZ165*H165</f>
        <v>0</v>
      </c>
      <c r="CB165" s="134">
        <v>5.9000000000000003E-4</v>
      </c>
      <c r="CC165" s="134">
        <f>CB165*H165</f>
        <v>8.2033599999999998E-2</v>
      </c>
      <c r="CD165" s="134">
        <v>0</v>
      </c>
      <c r="CE165" s="135">
        <f>CD165*H165</f>
        <v>0</v>
      </c>
      <c r="DC165" s="136" t="s">
        <v>95</v>
      </c>
      <c r="DE165" s="136" t="s">
        <v>284</v>
      </c>
      <c r="DF165" s="136" t="s">
        <v>83</v>
      </c>
      <c r="DJ165" s="16" t="s">
        <v>282</v>
      </c>
      <c r="DP165" s="137">
        <f>IF(BY165="základní",J165,0)</f>
        <v>21786.12</v>
      </c>
      <c r="DQ165" s="137">
        <f>IF(BY165="snížená",J165,0)</f>
        <v>0</v>
      </c>
      <c r="DR165" s="137">
        <f>IF(BY165="zákl. přenesená",J165,0)</f>
        <v>0</v>
      </c>
      <c r="DS165" s="137">
        <f>IF(BY165="sníž. přenesená",J165,0)</f>
        <v>0</v>
      </c>
      <c r="DT165" s="137">
        <f>IF(BY165="nulová",J165,0)</f>
        <v>0</v>
      </c>
      <c r="DU165" s="16" t="s">
        <v>81</v>
      </c>
      <c r="DV165" s="137">
        <f>ROUND(I165*H165,2)</f>
        <v>21786.12</v>
      </c>
      <c r="DW165" s="16" t="s">
        <v>95</v>
      </c>
      <c r="DX165" s="136" t="s">
        <v>389</v>
      </c>
    </row>
    <row r="166" spans="2:128" s="1" customFormat="1" ht="19.5" x14ac:dyDescent="0.2">
      <c r="B166" s="31"/>
      <c r="D166" s="138" t="s">
        <v>289</v>
      </c>
      <c r="F166" s="139" t="s">
        <v>390</v>
      </c>
      <c r="I166" s="140"/>
      <c r="L166" s="31"/>
      <c r="N166" s="213"/>
      <c r="O166" s="214"/>
      <c r="Q166" s="229"/>
      <c r="BX166" s="141"/>
      <c r="CE166" s="50"/>
      <c r="DE166" s="16" t="s">
        <v>289</v>
      </c>
      <c r="DF166" s="16" t="s">
        <v>83</v>
      </c>
    </row>
    <row r="167" spans="2:128" s="1" customFormat="1" ht="29.25" x14ac:dyDescent="0.2">
      <c r="B167" s="31"/>
      <c r="D167" s="138" t="s">
        <v>299</v>
      </c>
      <c r="F167" s="142" t="s">
        <v>1659</v>
      </c>
      <c r="I167" s="140"/>
      <c r="L167" s="31"/>
      <c r="N167" s="213"/>
      <c r="O167" s="214"/>
      <c r="Q167" s="229"/>
      <c r="BX167" s="141"/>
      <c r="CE167" s="50"/>
      <c r="DE167" s="16" t="s">
        <v>299</v>
      </c>
      <c r="DF167" s="16" t="s">
        <v>83</v>
      </c>
    </row>
    <row r="168" spans="2:128" s="12" customFormat="1" x14ac:dyDescent="0.2">
      <c r="B168" s="149"/>
      <c r="D168" s="138" t="s">
        <v>301</v>
      </c>
      <c r="E168" s="150" t="s">
        <v>1</v>
      </c>
      <c r="F168" s="151" t="s">
        <v>1754</v>
      </c>
      <c r="H168" s="152">
        <v>139.04</v>
      </c>
      <c r="I168" s="153"/>
      <c r="L168" s="149"/>
      <c r="N168" s="217">
        <f>35.2*2.2*2</f>
        <v>154.88000000000002</v>
      </c>
      <c r="O168" s="218" t="s">
        <v>3811</v>
      </c>
      <c r="Q168" s="231"/>
      <c r="BX168" s="154"/>
      <c r="CE168" s="155"/>
      <c r="DE168" s="150" t="s">
        <v>301</v>
      </c>
      <c r="DF168" s="150" t="s">
        <v>83</v>
      </c>
      <c r="DG168" s="12" t="s">
        <v>83</v>
      </c>
      <c r="DH168" s="12" t="s">
        <v>32</v>
      </c>
      <c r="DI168" s="12" t="s">
        <v>81</v>
      </c>
      <c r="DJ168" s="150" t="s">
        <v>282</v>
      </c>
    </row>
    <row r="169" spans="2:128" s="12" customFormat="1" x14ac:dyDescent="0.2">
      <c r="B169" s="149"/>
      <c r="D169" s="138"/>
      <c r="E169" s="150"/>
      <c r="F169" s="151"/>
      <c r="H169" s="152"/>
      <c r="I169" s="153"/>
      <c r="L169" s="149"/>
      <c r="N169" s="310">
        <f>N168-H168</f>
        <v>15.840000000000032</v>
      </c>
      <c r="O169" s="218"/>
      <c r="Q169" s="231"/>
      <c r="BX169" s="154"/>
      <c r="CE169" s="155"/>
      <c r="DE169" s="150"/>
      <c r="DF169" s="150"/>
      <c r="DJ169" s="150"/>
    </row>
    <row r="170" spans="2:128" s="1" customFormat="1" ht="14.45" customHeight="1" x14ac:dyDescent="0.2">
      <c r="B170" s="124"/>
      <c r="C170" s="125" t="s">
        <v>335</v>
      </c>
      <c r="D170" s="125" t="s">
        <v>284</v>
      </c>
      <c r="E170" s="126" t="s">
        <v>393</v>
      </c>
      <c r="F170" s="127" t="s">
        <v>394</v>
      </c>
      <c r="G170" s="128" t="s">
        <v>287</v>
      </c>
      <c r="H170" s="129">
        <v>139.04</v>
      </c>
      <c r="I170" s="130">
        <v>103.33666316345877</v>
      </c>
      <c r="J170" s="131">
        <f>ROUND(I170*H170,2)</f>
        <v>14367.93</v>
      </c>
      <c r="K170" s="127" t="s">
        <v>293</v>
      </c>
      <c r="L170" s="268">
        <f>S170</f>
        <v>0</v>
      </c>
      <c r="M170" s="272">
        <f>ROUND(L170*I170,2)</f>
        <v>0</v>
      </c>
      <c r="N170" s="243">
        <f>N165</f>
        <v>15.840000000000032</v>
      </c>
      <c r="O170" s="294">
        <f>ROUND(N170*I170,2)</f>
        <v>1636.85</v>
      </c>
      <c r="P170" s="273">
        <f>H170-L170-N170</f>
        <v>123.19999999999996</v>
      </c>
      <c r="Q170" s="287">
        <f>ROUND(P170*I170,2)</f>
        <v>12731.08</v>
      </c>
      <c r="R170" s="137"/>
      <c r="S170" s="269">
        <f>W170+Y170+AA170+AC170</f>
        <v>0</v>
      </c>
      <c r="T170" s="269">
        <f>ROUND(S170*I170,2)</f>
        <v>0</v>
      </c>
      <c r="U170" s="269">
        <f>H170-S170</f>
        <v>139.04</v>
      </c>
      <c r="V170" s="269">
        <f>ROUND(U170*I170,2)</f>
        <v>14367.93</v>
      </c>
      <c r="W170" s="269"/>
      <c r="X170" s="269"/>
      <c r="Y170" s="269"/>
      <c r="Z170" s="269"/>
      <c r="AA170" s="269"/>
      <c r="AB170" s="269"/>
      <c r="AC170" s="269"/>
      <c r="AD170" s="269"/>
      <c r="BX170" s="132" t="s">
        <v>1</v>
      </c>
      <c r="BY170" s="133" t="s">
        <v>40</v>
      </c>
      <c r="CA170" s="134">
        <f>BZ170*H170</f>
        <v>0</v>
      </c>
      <c r="CB170" s="134">
        <v>0</v>
      </c>
      <c r="CC170" s="134">
        <f>CB170*H170</f>
        <v>0</v>
      </c>
      <c r="CD170" s="134">
        <v>0</v>
      </c>
      <c r="CE170" s="135">
        <f>CD170*H170</f>
        <v>0</v>
      </c>
      <c r="DC170" s="136" t="s">
        <v>95</v>
      </c>
      <c r="DE170" s="136" t="s">
        <v>284</v>
      </c>
      <c r="DF170" s="136" t="s">
        <v>83</v>
      </c>
      <c r="DJ170" s="16" t="s">
        <v>282</v>
      </c>
      <c r="DP170" s="137">
        <f>IF(BY170="základní",J170,0)</f>
        <v>14367.93</v>
      </c>
      <c r="DQ170" s="137">
        <f>IF(BY170="snížená",J170,0)</f>
        <v>0</v>
      </c>
      <c r="DR170" s="137">
        <f>IF(BY170="zákl. přenesená",J170,0)</f>
        <v>0</v>
      </c>
      <c r="DS170" s="137">
        <f>IF(BY170="sníž. přenesená",J170,0)</f>
        <v>0</v>
      </c>
      <c r="DT170" s="137">
        <f>IF(BY170="nulová",J170,0)</f>
        <v>0</v>
      </c>
      <c r="DU170" s="16" t="s">
        <v>81</v>
      </c>
      <c r="DV170" s="137">
        <f>ROUND(I170*H170,2)</f>
        <v>14367.93</v>
      </c>
      <c r="DW170" s="16" t="s">
        <v>95</v>
      </c>
      <c r="DX170" s="136" t="s">
        <v>395</v>
      </c>
    </row>
    <row r="171" spans="2:128" s="1" customFormat="1" ht="19.5" x14ac:dyDescent="0.2">
      <c r="B171" s="31"/>
      <c r="D171" s="138" t="s">
        <v>289</v>
      </c>
      <c r="F171" s="139" t="s">
        <v>396</v>
      </c>
      <c r="I171" s="140"/>
      <c r="L171" s="31"/>
      <c r="N171" s="213"/>
      <c r="O171" s="214"/>
      <c r="Q171" s="229"/>
      <c r="BX171" s="141"/>
      <c r="CE171" s="50"/>
      <c r="DE171" s="16" t="s">
        <v>289</v>
      </c>
      <c r="DF171" s="16" t="s">
        <v>83</v>
      </c>
    </row>
    <row r="172" spans="2:128" s="1" customFormat="1" ht="37.9" customHeight="1" x14ac:dyDescent="0.2">
      <c r="B172" s="124"/>
      <c r="C172" s="125" t="s">
        <v>341</v>
      </c>
      <c r="D172" s="125" t="s">
        <v>284</v>
      </c>
      <c r="E172" s="126" t="s">
        <v>398</v>
      </c>
      <c r="F172" s="127" t="s">
        <v>399</v>
      </c>
      <c r="G172" s="128" t="s">
        <v>366</v>
      </c>
      <c r="H172" s="129">
        <v>64.44</v>
      </c>
      <c r="I172" s="130">
        <v>282.06861194786097</v>
      </c>
      <c r="J172" s="131">
        <f>ROUND(I172*H172,2)</f>
        <v>18176.5</v>
      </c>
      <c r="K172" s="127" t="s">
        <v>293</v>
      </c>
      <c r="L172" s="268">
        <f>S172</f>
        <v>0</v>
      </c>
      <c r="M172" s="272">
        <f>ROUND(L172*I172,2)</f>
        <v>0</v>
      </c>
      <c r="N172" s="243">
        <f>N179</f>
        <v>10.024000000000001</v>
      </c>
      <c r="O172" s="294">
        <f>ROUND(N172*I172,2)</f>
        <v>2827.46</v>
      </c>
      <c r="P172" s="273">
        <f>H172-L172-N172</f>
        <v>54.415999999999997</v>
      </c>
      <c r="Q172" s="287">
        <f>ROUND(P172*I172,2)</f>
        <v>15349.05</v>
      </c>
      <c r="R172" s="137"/>
      <c r="S172" s="269">
        <f>W172+Y172+AA172+AC172</f>
        <v>0</v>
      </c>
      <c r="T172" s="269">
        <f>ROUND(S172*I172,2)</f>
        <v>0</v>
      </c>
      <c r="U172" s="269">
        <f>H172-S172</f>
        <v>64.44</v>
      </c>
      <c r="V172" s="269">
        <f>ROUND(U172*I172,2)</f>
        <v>18176.5</v>
      </c>
      <c r="W172" s="269"/>
      <c r="X172" s="269"/>
      <c r="Y172" s="269"/>
      <c r="Z172" s="269"/>
      <c r="AA172" s="269"/>
      <c r="AB172" s="269"/>
      <c r="AC172" s="269"/>
      <c r="AD172" s="269"/>
      <c r="BX172" s="132" t="s">
        <v>1</v>
      </c>
      <c r="BY172" s="133" t="s">
        <v>40</v>
      </c>
      <c r="CA172" s="134">
        <f>BZ172*H172</f>
        <v>0</v>
      </c>
      <c r="CB172" s="134">
        <v>0</v>
      </c>
      <c r="CC172" s="134">
        <f>CB172*H172</f>
        <v>0</v>
      </c>
      <c r="CD172" s="134">
        <v>0</v>
      </c>
      <c r="CE172" s="135">
        <f>CD172*H172</f>
        <v>0</v>
      </c>
      <c r="DC172" s="136" t="s">
        <v>95</v>
      </c>
      <c r="DE172" s="136" t="s">
        <v>284</v>
      </c>
      <c r="DF172" s="136" t="s">
        <v>83</v>
      </c>
      <c r="DJ172" s="16" t="s">
        <v>282</v>
      </c>
      <c r="DP172" s="137">
        <f>IF(BY172="základní",J172,0)</f>
        <v>18176.5</v>
      </c>
      <c r="DQ172" s="137">
        <f>IF(BY172="snížená",J172,0)</f>
        <v>0</v>
      </c>
      <c r="DR172" s="137">
        <f>IF(BY172="zákl. přenesená",J172,0)</f>
        <v>0</v>
      </c>
      <c r="DS172" s="137">
        <f>IF(BY172="sníž. přenesená",J172,0)</f>
        <v>0</v>
      </c>
      <c r="DT172" s="137">
        <f>IF(BY172="nulová",J172,0)</f>
        <v>0</v>
      </c>
      <c r="DU172" s="16" t="s">
        <v>81</v>
      </c>
      <c r="DV172" s="137">
        <f>ROUND(I172*H172,2)</f>
        <v>18176.5</v>
      </c>
      <c r="DW172" s="16" t="s">
        <v>95</v>
      </c>
      <c r="DX172" s="136" t="s">
        <v>400</v>
      </c>
    </row>
    <row r="173" spans="2:128" s="1" customFormat="1" ht="39" x14ac:dyDescent="0.2">
      <c r="B173" s="31"/>
      <c r="D173" s="138" t="s">
        <v>289</v>
      </c>
      <c r="F173" s="139" t="s">
        <v>401</v>
      </c>
      <c r="I173" s="140"/>
      <c r="L173" s="31"/>
      <c r="N173" s="213"/>
      <c r="O173" s="214"/>
      <c r="Q173" s="229"/>
      <c r="BX173" s="141"/>
      <c r="CE173" s="50"/>
      <c r="DE173" s="16" t="s">
        <v>289</v>
      </c>
      <c r="DF173" s="16" t="s">
        <v>83</v>
      </c>
    </row>
    <row r="174" spans="2:128" s="11" customFormat="1" x14ac:dyDescent="0.2">
      <c r="B174" s="143"/>
      <c r="D174" s="138" t="s">
        <v>301</v>
      </c>
      <c r="E174" s="144" t="s">
        <v>1</v>
      </c>
      <c r="F174" s="145" t="s">
        <v>402</v>
      </c>
      <c r="H174" s="144" t="s">
        <v>1</v>
      </c>
      <c r="I174" s="146"/>
      <c r="L174" s="143"/>
      <c r="N174" s="215"/>
      <c r="O174" s="216"/>
      <c r="Q174" s="230"/>
      <c r="BX174" s="147"/>
      <c r="CE174" s="148"/>
      <c r="DE174" s="144" t="s">
        <v>301</v>
      </c>
      <c r="DF174" s="144" t="s">
        <v>83</v>
      </c>
      <c r="DG174" s="11" t="s">
        <v>81</v>
      </c>
      <c r="DH174" s="11" t="s">
        <v>32</v>
      </c>
      <c r="DI174" s="11" t="s">
        <v>74</v>
      </c>
      <c r="DJ174" s="144" t="s">
        <v>282</v>
      </c>
    </row>
    <row r="175" spans="2:128" s="12" customFormat="1" x14ac:dyDescent="0.2">
      <c r="B175" s="149"/>
      <c r="D175" s="138" t="s">
        <v>301</v>
      </c>
      <c r="E175" s="150" t="s">
        <v>1</v>
      </c>
      <c r="F175" s="151" t="s">
        <v>1755</v>
      </c>
      <c r="H175" s="152">
        <v>63.456000000000003</v>
      </c>
      <c r="I175" s="153"/>
      <c r="L175" s="149"/>
      <c r="N175" s="217">
        <f>36.704+36.704</f>
        <v>73.408000000000001</v>
      </c>
      <c r="O175" s="218" t="s">
        <v>3812</v>
      </c>
      <c r="Q175" s="231"/>
      <c r="BX175" s="154"/>
      <c r="CE175" s="155"/>
      <c r="DE175" s="150" t="s">
        <v>301</v>
      </c>
      <c r="DF175" s="150" t="s">
        <v>83</v>
      </c>
      <c r="DG175" s="12" t="s">
        <v>83</v>
      </c>
      <c r="DH175" s="12" t="s">
        <v>32</v>
      </c>
      <c r="DI175" s="12" t="s">
        <v>74</v>
      </c>
      <c r="DJ175" s="150" t="s">
        <v>282</v>
      </c>
    </row>
    <row r="176" spans="2:128" s="11" customFormat="1" x14ac:dyDescent="0.2">
      <c r="B176" s="143"/>
      <c r="D176" s="138" t="s">
        <v>301</v>
      </c>
      <c r="E176" s="144" t="s">
        <v>1</v>
      </c>
      <c r="F176" s="145" t="s">
        <v>976</v>
      </c>
      <c r="H176" s="144" t="s">
        <v>1</v>
      </c>
      <c r="I176" s="146"/>
      <c r="L176" s="143"/>
      <c r="N176" s="215"/>
      <c r="O176" s="216"/>
      <c r="Q176" s="230"/>
      <c r="BX176" s="147"/>
      <c r="CE176" s="148"/>
      <c r="DE176" s="144" t="s">
        <v>301</v>
      </c>
      <c r="DF176" s="144" t="s">
        <v>83</v>
      </c>
      <c r="DG176" s="11" t="s">
        <v>81</v>
      </c>
      <c r="DH176" s="11" t="s">
        <v>32</v>
      </c>
      <c r="DI176" s="11" t="s">
        <v>74</v>
      </c>
      <c r="DJ176" s="144" t="s">
        <v>282</v>
      </c>
    </row>
    <row r="177" spans="2:128" s="12" customFormat="1" x14ac:dyDescent="0.2">
      <c r="B177" s="149"/>
      <c r="D177" s="138" t="s">
        <v>301</v>
      </c>
      <c r="E177" s="150" t="s">
        <v>1</v>
      </c>
      <c r="F177" s="151" t="s">
        <v>1756</v>
      </c>
      <c r="H177" s="152">
        <v>0.98399999999999999</v>
      </c>
      <c r="I177" s="153"/>
      <c r="L177" s="149"/>
      <c r="N177" s="217">
        <f>10.56*0.1</f>
        <v>1.056</v>
      </c>
      <c r="O177" s="218" t="s">
        <v>3813</v>
      </c>
      <c r="Q177" s="231"/>
      <c r="BX177" s="154"/>
      <c r="CE177" s="155"/>
      <c r="DE177" s="150" t="s">
        <v>301</v>
      </c>
      <c r="DF177" s="150" t="s">
        <v>83</v>
      </c>
      <c r="DG177" s="12" t="s">
        <v>83</v>
      </c>
      <c r="DH177" s="12" t="s">
        <v>32</v>
      </c>
      <c r="DI177" s="12" t="s">
        <v>74</v>
      </c>
      <c r="DJ177" s="150" t="s">
        <v>282</v>
      </c>
    </row>
    <row r="178" spans="2:128" s="13" customFormat="1" x14ac:dyDescent="0.2">
      <c r="B178" s="156"/>
      <c r="D178" s="138" t="s">
        <v>301</v>
      </c>
      <c r="E178" s="157" t="s">
        <v>1</v>
      </c>
      <c r="F178" s="158" t="s">
        <v>305</v>
      </c>
      <c r="H178" s="159">
        <v>64.44</v>
      </c>
      <c r="I178" s="160"/>
      <c r="L178" s="156"/>
      <c r="N178" s="219">
        <f>N175+N177</f>
        <v>74.463999999999999</v>
      </c>
      <c r="O178" s="220"/>
      <c r="Q178" s="232"/>
      <c r="BX178" s="161"/>
      <c r="CE178" s="162"/>
      <c r="DE178" s="157" t="s">
        <v>301</v>
      </c>
      <c r="DF178" s="157" t="s">
        <v>83</v>
      </c>
      <c r="DG178" s="13" t="s">
        <v>95</v>
      </c>
      <c r="DH178" s="13" t="s">
        <v>32</v>
      </c>
      <c r="DI178" s="13" t="s">
        <v>81</v>
      </c>
      <c r="DJ178" s="157" t="s">
        <v>282</v>
      </c>
    </row>
    <row r="179" spans="2:128" s="13" customFormat="1" x14ac:dyDescent="0.2">
      <c r="B179" s="156"/>
      <c r="D179" s="138"/>
      <c r="E179" s="157"/>
      <c r="F179" s="158"/>
      <c r="H179" s="159"/>
      <c r="I179" s="160"/>
      <c r="L179" s="156"/>
      <c r="N179" s="311">
        <f>N178-H178</f>
        <v>10.024000000000001</v>
      </c>
      <c r="O179" s="220"/>
      <c r="Q179" s="232"/>
      <c r="BX179" s="161"/>
      <c r="CE179" s="162"/>
      <c r="DE179" s="157"/>
      <c r="DF179" s="157"/>
      <c r="DJ179" s="157"/>
    </row>
    <row r="180" spans="2:128" s="1" customFormat="1" ht="37.9" customHeight="1" x14ac:dyDescent="0.2">
      <c r="B180" s="124"/>
      <c r="C180" s="125" t="s">
        <v>348</v>
      </c>
      <c r="D180" s="125" t="s">
        <v>284</v>
      </c>
      <c r="E180" s="126" t="s">
        <v>978</v>
      </c>
      <c r="F180" s="127" t="s">
        <v>979</v>
      </c>
      <c r="G180" s="128" t="s">
        <v>366</v>
      </c>
      <c r="H180" s="129">
        <v>4.8979999999999997</v>
      </c>
      <c r="I180" s="130">
        <v>262.06861194786097</v>
      </c>
      <c r="J180" s="131">
        <f>ROUND(I180*H180,2)</f>
        <v>1283.6099999999999</v>
      </c>
      <c r="K180" s="127" t="s">
        <v>1</v>
      </c>
      <c r="L180" s="268">
        <f>S180</f>
        <v>0</v>
      </c>
      <c r="M180" s="272">
        <f>ROUND(L180*I180,2)</f>
        <v>0</v>
      </c>
      <c r="N180" s="243">
        <f>N190</f>
        <v>0.55800000000000161</v>
      </c>
      <c r="O180" s="294">
        <f>ROUND(N180*I180,2)</f>
        <v>146.22999999999999</v>
      </c>
      <c r="P180" s="273">
        <f>H180-L180-N180</f>
        <v>4.3399999999999981</v>
      </c>
      <c r="Q180" s="287">
        <f>ROUND(P180*I180,2)</f>
        <v>1137.3800000000001</v>
      </c>
      <c r="R180" s="137"/>
      <c r="S180" s="269">
        <f>W180+Y180+AA180+AC180</f>
        <v>0</v>
      </c>
      <c r="T180" s="269">
        <f>ROUND(S180*I180,2)</f>
        <v>0</v>
      </c>
      <c r="U180" s="269">
        <f>H180-S180</f>
        <v>4.8979999999999997</v>
      </c>
      <c r="V180" s="269">
        <f>ROUND(U180*I180,2)</f>
        <v>1283.6099999999999</v>
      </c>
      <c r="W180" s="269"/>
      <c r="X180" s="269"/>
      <c r="Y180" s="269"/>
      <c r="Z180" s="269"/>
      <c r="AA180" s="269"/>
      <c r="AB180" s="269"/>
      <c r="AC180" s="269"/>
      <c r="AD180" s="269"/>
      <c r="BX180" s="132" t="s">
        <v>1</v>
      </c>
      <c r="BY180" s="133" t="s">
        <v>40</v>
      </c>
      <c r="CA180" s="134">
        <f>BZ180*H180</f>
        <v>0</v>
      </c>
      <c r="CB180" s="134">
        <v>0</v>
      </c>
      <c r="CC180" s="134">
        <f>CB180*H180</f>
        <v>0</v>
      </c>
      <c r="CD180" s="134">
        <v>0</v>
      </c>
      <c r="CE180" s="135">
        <f>CD180*H180</f>
        <v>0</v>
      </c>
      <c r="DC180" s="136" t="s">
        <v>95</v>
      </c>
      <c r="DE180" s="136" t="s">
        <v>284</v>
      </c>
      <c r="DF180" s="136" t="s">
        <v>83</v>
      </c>
      <c r="DJ180" s="16" t="s">
        <v>282</v>
      </c>
      <c r="DP180" s="137">
        <f>IF(BY180="základní",J180,0)</f>
        <v>1283.6099999999999</v>
      </c>
      <c r="DQ180" s="137">
        <f>IF(BY180="snížená",J180,0)</f>
        <v>0</v>
      </c>
      <c r="DR180" s="137">
        <f>IF(BY180="zákl. přenesená",J180,0)</f>
        <v>0</v>
      </c>
      <c r="DS180" s="137">
        <f>IF(BY180="sníž. přenesená",J180,0)</f>
        <v>0</v>
      </c>
      <c r="DT180" s="137">
        <f>IF(BY180="nulová",J180,0)</f>
        <v>0</v>
      </c>
      <c r="DU180" s="16" t="s">
        <v>81</v>
      </c>
      <c r="DV180" s="137">
        <f>ROUND(I180*H180,2)</f>
        <v>1283.6099999999999</v>
      </c>
      <c r="DW180" s="16" t="s">
        <v>95</v>
      </c>
      <c r="DX180" s="136" t="s">
        <v>980</v>
      </c>
    </row>
    <row r="181" spans="2:128" s="1" customFormat="1" ht="39" x14ac:dyDescent="0.2">
      <c r="B181" s="31"/>
      <c r="D181" s="138" t="s">
        <v>289</v>
      </c>
      <c r="F181" s="139" t="s">
        <v>401</v>
      </c>
      <c r="I181" s="140"/>
      <c r="L181" s="31"/>
      <c r="N181" s="213"/>
      <c r="O181" s="214"/>
      <c r="Q181" s="229"/>
      <c r="BX181" s="141"/>
      <c r="CE181" s="50"/>
      <c r="DE181" s="16" t="s">
        <v>289</v>
      </c>
      <c r="DF181" s="16" t="s">
        <v>83</v>
      </c>
    </row>
    <row r="182" spans="2:128" s="1" customFormat="1" ht="37.9" customHeight="1" x14ac:dyDescent="0.2">
      <c r="B182" s="124"/>
      <c r="C182" s="125" t="s">
        <v>327</v>
      </c>
      <c r="D182" s="125" t="s">
        <v>284</v>
      </c>
      <c r="E182" s="126" t="s">
        <v>405</v>
      </c>
      <c r="F182" s="127" t="s">
        <v>406</v>
      </c>
      <c r="G182" s="128" t="s">
        <v>366</v>
      </c>
      <c r="H182" s="129">
        <v>322.2</v>
      </c>
      <c r="I182" s="130">
        <v>3.4208109177592001</v>
      </c>
      <c r="J182" s="131">
        <f>ROUND(I182*H182,2)</f>
        <v>1102.19</v>
      </c>
      <c r="K182" s="127" t="s">
        <v>293</v>
      </c>
      <c r="L182" s="268">
        <f>S182</f>
        <v>0</v>
      </c>
      <c r="M182" s="272">
        <f>ROUND(L182*I182,2)</f>
        <v>0</v>
      </c>
      <c r="N182" s="243">
        <f>N185</f>
        <v>50.120000000000005</v>
      </c>
      <c r="O182" s="294">
        <f>ROUND(N182*I182,2)</f>
        <v>171.45</v>
      </c>
      <c r="P182" s="273">
        <f>H182-L182-N182</f>
        <v>272.08</v>
      </c>
      <c r="Q182" s="287">
        <f>ROUND(P182*I182,2)</f>
        <v>930.73</v>
      </c>
      <c r="R182" s="137"/>
      <c r="S182" s="269">
        <f>W182+Y182+AA182+AC182</f>
        <v>0</v>
      </c>
      <c r="T182" s="269">
        <f>ROUND(S182*I182,2)</f>
        <v>0</v>
      </c>
      <c r="U182" s="269">
        <f>H182-S182</f>
        <v>322.2</v>
      </c>
      <c r="V182" s="269">
        <f>ROUND(U182*I182,2)</f>
        <v>1102.19</v>
      </c>
      <c r="W182" s="269"/>
      <c r="X182" s="269"/>
      <c r="Y182" s="269"/>
      <c r="Z182" s="269"/>
      <c r="AA182" s="269"/>
      <c r="AB182" s="269"/>
      <c r="AC182" s="269"/>
      <c r="AD182" s="269"/>
      <c r="BX182" s="132" t="s">
        <v>1</v>
      </c>
      <c r="BY182" s="133" t="s">
        <v>40</v>
      </c>
      <c r="CA182" s="134">
        <f>BZ182*H182</f>
        <v>0</v>
      </c>
      <c r="CB182" s="134">
        <v>0</v>
      </c>
      <c r="CC182" s="134">
        <f>CB182*H182</f>
        <v>0</v>
      </c>
      <c r="CD182" s="134">
        <v>0</v>
      </c>
      <c r="CE182" s="135">
        <f>CD182*H182</f>
        <v>0</v>
      </c>
      <c r="DC182" s="136" t="s">
        <v>95</v>
      </c>
      <c r="DE182" s="136" t="s">
        <v>284</v>
      </c>
      <c r="DF182" s="136" t="s">
        <v>83</v>
      </c>
      <c r="DJ182" s="16" t="s">
        <v>282</v>
      </c>
      <c r="DP182" s="137">
        <f>IF(BY182="základní",J182,0)</f>
        <v>1102.19</v>
      </c>
      <c r="DQ182" s="137">
        <f>IF(BY182="snížená",J182,0)</f>
        <v>0</v>
      </c>
      <c r="DR182" s="137">
        <f>IF(BY182="zákl. přenesená",J182,0)</f>
        <v>0</v>
      </c>
      <c r="DS182" s="137">
        <f>IF(BY182="sníž. přenesená",J182,0)</f>
        <v>0</v>
      </c>
      <c r="DT182" s="137">
        <f>IF(BY182="nulová",J182,0)</f>
        <v>0</v>
      </c>
      <c r="DU182" s="16" t="s">
        <v>81</v>
      </c>
      <c r="DV182" s="137">
        <f>ROUND(I182*H182,2)</f>
        <v>1102.19</v>
      </c>
      <c r="DW182" s="16" t="s">
        <v>95</v>
      </c>
      <c r="DX182" s="136" t="s">
        <v>407</v>
      </c>
    </row>
    <row r="183" spans="2:128" s="1" customFormat="1" ht="48.75" x14ac:dyDescent="0.2">
      <c r="B183" s="31"/>
      <c r="D183" s="138" t="s">
        <v>289</v>
      </c>
      <c r="F183" s="139" t="s">
        <v>408</v>
      </c>
      <c r="I183" s="140"/>
      <c r="L183" s="31"/>
      <c r="N183" s="213"/>
      <c r="O183" s="214"/>
      <c r="Q183" s="229"/>
      <c r="BX183" s="141"/>
      <c r="CE183" s="50"/>
      <c r="DE183" s="16" t="s">
        <v>289</v>
      </c>
      <c r="DF183" s="16" t="s">
        <v>83</v>
      </c>
    </row>
    <row r="184" spans="2:128" s="12" customFormat="1" x14ac:dyDescent="0.2">
      <c r="B184" s="149"/>
      <c r="D184" s="138" t="s">
        <v>301</v>
      </c>
      <c r="F184" s="151" t="s">
        <v>1757</v>
      </c>
      <c r="H184" s="152">
        <v>322.2</v>
      </c>
      <c r="I184" s="153"/>
      <c r="L184" s="149"/>
      <c r="N184" s="217">
        <f>74.464*5</f>
        <v>372.32</v>
      </c>
      <c r="O184" s="218" t="s">
        <v>3814</v>
      </c>
      <c r="Q184" s="231"/>
      <c r="BX184" s="154"/>
      <c r="CE184" s="155"/>
      <c r="DE184" s="150" t="s">
        <v>301</v>
      </c>
      <c r="DF184" s="150" t="s">
        <v>83</v>
      </c>
      <c r="DG184" s="12" t="s">
        <v>83</v>
      </c>
      <c r="DH184" s="12" t="s">
        <v>3</v>
      </c>
      <c r="DI184" s="12" t="s">
        <v>81</v>
      </c>
      <c r="DJ184" s="150" t="s">
        <v>282</v>
      </c>
    </row>
    <row r="185" spans="2:128" s="12" customFormat="1" x14ac:dyDescent="0.2">
      <c r="B185" s="149"/>
      <c r="D185" s="138"/>
      <c r="F185" s="151"/>
      <c r="H185" s="152"/>
      <c r="I185" s="153"/>
      <c r="L185" s="149"/>
      <c r="N185" s="310">
        <f>N184-H184</f>
        <v>50.120000000000005</v>
      </c>
      <c r="O185" s="218"/>
      <c r="Q185" s="231"/>
      <c r="BX185" s="154"/>
      <c r="CE185" s="155"/>
      <c r="DE185" s="150"/>
      <c r="DF185" s="150"/>
      <c r="DJ185" s="150"/>
    </row>
    <row r="186" spans="2:128" s="1" customFormat="1" ht="37.9" customHeight="1" x14ac:dyDescent="0.2">
      <c r="B186" s="124"/>
      <c r="C186" s="125" t="s">
        <v>359</v>
      </c>
      <c r="D186" s="125" t="s">
        <v>284</v>
      </c>
      <c r="E186" s="126" t="s">
        <v>982</v>
      </c>
      <c r="F186" s="127" t="s">
        <v>983</v>
      </c>
      <c r="G186" s="128" t="s">
        <v>366</v>
      </c>
      <c r="H186" s="129">
        <v>24.49</v>
      </c>
      <c r="I186" s="130">
        <v>3.4208109177592001</v>
      </c>
      <c r="J186" s="131">
        <f>ROUND(I186*H186,2)</f>
        <v>83.78</v>
      </c>
      <c r="K186" s="127" t="s">
        <v>1</v>
      </c>
      <c r="L186" s="268">
        <f>S186</f>
        <v>0</v>
      </c>
      <c r="M186" s="272">
        <f>ROUND(L186*I186,2)</f>
        <v>0</v>
      </c>
      <c r="N186" s="243">
        <f>N189</f>
        <v>2.7900000000000027</v>
      </c>
      <c r="O186" s="294">
        <f>ROUND(N186*I186,2)</f>
        <v>9.5399999999999991</v>
      </c>
      <c r="P186" s="273">
        <f>H186-L186-N186</f>
        <v>21.699999999999996</v>
      </c>
      <c r="Q186" s="287">
        <f>ROUND(P186*I186,2)</f>
        <v>74.23</v>
      </c>
      <c r="R186" s="137"/>
      <c r="S186" s="269">
        <f>W186+Y186+AA186+AC186</f>
        <v>0</v>
      </c>
      <c r="T186" s="269">
        <f>ROUND(S186*I186,2)</f>
        <v>0</v>
      </c>
      <c r="U186" s="269">
        <f>H186-S186</f>
        <v>24.49</v>
      </c>
      <c r="V186" s="269">
        <f>ROUND(U186*I186,2)</f>
        <v>83.78</v>
      </c>
      <c r="W186" s="269"/>
      <c r="X186" s="269"/>
      <c r="Y186" s="269"/>
      <c r="Z186" s="269"/>
      <c r="AA186" s="269"/>
      <c r="AB186" s="269"/>
      <c r="AC186" s="269"/>
      <c r="AD186" s="269"/>
      <c r="BX186" s="132" t="s">
        <v>1</v>
      </c>
      <c r="BY186" s="133" t="s">
        <v>40</v>
      </c>
      <c r="CA186" s="134">
        <f>BZ186*H186</f>
        <v>0</v>
      </c>
      <c r="CB186" s="134">
        <v>0</v>
      </c>
      <c r="CC186" s="134">
        <f>CB186*H186</f>
        <v>0</v>
      </c>
      <c r="CD186" s="134">
        <v>0</v>
      </c>
      <c r="CE186" s="135">
        <f>CD186*H186</f>
        <v>0</v>
      </c>
      <c r="DC186" s="136" t="s">
        <v>95</v>
      </c>
      <c r="DE186" s="136" t="s">
        <v>284</v>
      </c>
      <c r="DF186" s="136" t="s">
        <v>83</v>
      </c>
      <c r="DJ186" s="16" t="s">
        <v>282</v>
      </c>
      <c r="DP186" s="137">
        <f>IF(BY186="základní",J186,0)</f>
        <v>83.78</v>
      </c>
      <c r="DQ186" s="137">
        <f>IF(BY186="snížená",J186,0)</f>
        <v>0</v>
      </c>
      <c r="DR186" s="137">
        <f>IF(BY186="zákl. přenesená",J186,0)</f>
        <v>0</v>
      </c>
      <c r="DS186" s="137">
        <f>IF(BY186="sníž. přenesená",J186,0)</f>
        <v>0</v>
      </c>
      <c r="DT186" s="137">
        <f>IF(BY186="nulová",J186,0)</f>
        <v>0</v>
      </c>
      <c r="DU186" s="16" t="s">
        <v>81</v>
      </c>
      <c r="DV186" s="137">
        <f>ROUND(I186*H186,2)</f>
        <v>83.78</v>
      </c>
      <c r="DW186" s="16" t="s">
        <v>95</v>
      </c>
      <c r="DX186" s="136" t="s">
        <v>984</v>
      </c>
    </row>
    <row r="187" spans="2:128" s="1" customFormat="1" ht="48.75" x14ac:dyDescent="0.2">
      <c r="B187" s="31"/>
      <c r="D187" s="138" t="s">
        <v>289</v>
      </c>
      <c r="F187" s="139" t="s">
        <v>408</v>
      </c>
      <c r="I187" s="140"/>
      <c r="L187" s="31"/>
      <c r="N187" s="213"/>
      <c r="O187" s="214"/>
      <c r="Q187" s="229"/>
      <c r="BX187" s="141"/>
      <c r="CE187" s="50"/>
      <c r="DE187" s="16" t="s">
        <v>289</v>
      </c>
      <c r="DF187" s="16" t="s">
        <v>83</v>
      </c>
    </row>
    <row r="188" spans="2:128" s="12" customFormat="1" x14ac:dyDescent="0.2">
      <c r="B188" s="149"/>
      <c r="D188" s="138" t="s">
        <v>301</v>
      </c>
      <c r="F188" s="151" t="s">
        <v>1758</v>
      </c>
      <c r="H188" s="152">
        <v>24.49</v>
      </c>
      <c r="I188" s="153"/>
      <c r="L188" s="149"/>
      <c r="N188" s="217">
        <f>5.456*5</f>
        <v>27.28</v>
      </c>
      <c r="O188" s="218" t="s">
        <v>3816</v>
      </c>
      <c r="Q188" s="231"/>
      <c r="BX188" s="154"/>
      <c r="CE188" s="155"/>
      <c r="DE188" s="150" t="s">
        <v>301</v>
      </c>
      <c r="DF188" s="150" t="s">
        <v>83</v>
      </c>
      <c r="DG188" s="12" t="s">
        <v>83</v>
      </c>
      <c r="DH188" s="12" t="s">
        <v>3</v>
      </c>
      <c r="DI188" s="12" t="s">
        <v>81</v>
      </c>
      <c r="DJ188" s="150" t="s">
        <v>282</v>
      </c>
    </row>
    <row r="189" spans="2:128" s="12" customFormat="1" x14ac:dyDescent="0.2">
      <c r="B189" s="149"/>
      <c r="D189" s="138"/>
      <c r="F189" s="151"/>
      <c r="H189" s="152"/>
      <c r="I189" s="153"/>
      <c r="L189" s="149"/>
      <c r="N189" s="310">
        <f>N188-H188</f>
        <v>2.7900000000000027</v>
      </c>
      <c r="O189" s="218"/>
      <c r="Q189" s="231"/>
      <c r="BX189" s="154"/>
      <c r="CE189" s="155"/>
      <c r="DE189" s="150"/>
      <c r="DF189" s="150"/>
      <c r="DJ189" s="150"/>
    </row>
    <row r="190" spans="2:128" s="1" customFormat="1" ht="24.2" customHeight="1" x14ac:dyDescent="0.2">
      <c r="B190" s="124"/>
      <c r="C190" s="125" t="s">
        <v>363</v>
      </c>
      <c r="D190" s="125" t="s">
        <v>284</v>
      </c>
      <c r="E190" s="126" t="s">
        <v>986</v>
      </c>
      <c r="F190" s="127" t="s">
        <v>987</v>
      </c>
      <c r="G190" s="128" t="s">
        <v>366</v>
      </c>
      <c r="H190" s="129">
        <v>4.8979999999999997</v>
      </c>
      <c r="I190" s="130">
        <v>43.080493951075745</v>
      </c>
      <c r="J190" s="131">
        <f>ROUND(I190*H190,2)</f>
        <v>211.01</v>
      </c>
      <c r="K190" s="127" t="s">
        <v>293</v>
      </c>
      <c r="L190" s="268">
        <f>S190</f>
        <v>0</v>
      </c>
      <c r="M190" s="272">
        <f>ROUND(L190*I190,2)</f>
        <v>0</v>
      </c>
      <c r="N190" s="243">
        <f>N198</f>
        <v>0.55800000000000161</v>
      </c>
      <c r="O190" s="294">
        <f>ROUND(N190*I190,2)</f>
        <v>24.04</v>
      </c>
      <c r="P190" s="273">
        <f>H190-L190-N190</f>
        <v>4.3399999999999981</v>
      </c>
      <c r="Q190" s="287">
        <f>ROUND(P190*I190,2)</f>
        <v>186.97</v>
      </c>
      <c r="R190" s="137"/>
      <c r="S190" s="269">
        <f>W190+Y190+AA190+AC190</f>
        <v>0</v>
      </c>
      <c r="T190" s="269">
        <f>ROUND(S190*I190,2)</f>
        <v>0</v>
      </c>
      <c r="U190" s="269">
        <f>H190-S190</f>
        <v>4.8979999999999997</v>
      </c>
      <c r="V190" s="269">
        <f>ROUND(U190*I190,2)</f>
        <v>211.01</v>
      </c>
      <c r="W190" s="269"/>
      <c r="X190" s="269"/>
      <c r="Y190" s="269"/>
      <c r="Z190" s="269"/>
      <c r="AA190" s="269"/>
      <c r="AB190" s="269"/>
      <c r="AC190" s="269"/>
      <c r="AD190" s="269"/>
      <c r="BX190" s="132" t="s">
        <v>1</v>
      </c>
      <c r="BY190" s="133" t="s">
        <v>40</v>
      </c>
      <c r="CA190" s="134">
        <f>BZ190*H190</f>
        <v>0</v>
      </c>
      <c r="CB190" s="134">
        <v>0</v>
      </c>
      <c r="CC190" s="134">
        <f>CB190*H190</f>
        <v>0</v>
      </c>
      <c r="CD190" s="134">
        <v>0</v>
      </c>
      <c r="CE190" s="135">
        <f>CD190*H190</f>
        <v>0</v>
      </c>
      <c r="DC190" s="136" t="s">
        <v>95</v>
      </c>
      <c r="DE190" s="136" t="s">
        <v>284</v>
      </c>
      <c r="DF190" s="136" t="s">
        <v>83</v>
      </c>
      <c r="DJ190" s="16" t="s">
        <v>282</v>
      </c>
      <c r="DP190" s="137">
        <f>IF(BY190="základní",J190,0)</f>
        <v>211.01</v>
      </c>
      <c r="DQ190" s="137">
        <f>IF(BY190="snížená",J190,0)</f>
        <v>0</v>
      </c>
      <c r="DR190" s="137">
        <f>IF(BY190="zákl. přenesená",J190,0)</f>
        <v>0</v>
      </c>
      <c r="DS190" s="137">
        <f>IF(BY190="sníž. přenesená",J190,0)</f>
        <v>0</v>
      </c>
      <c r="DT190" s="137">
        <f>IF(BY190="nulová",J190,0)</f>
        <v>0</v>
      </c>
      <c r="DU190" s="16" t="s">
        <v>81</v>
      </c>
      <c r="DV190" s="137">
        <f>ROUND(I190*H190,2)</f>
        <v>211.01</v>
      </c>
      <c r="DW190" s="16" t="s">
        <v>95</v>
      </c>
      <c r="DX190" s="136" t="s">
        <v>988</v>
      </c>
    </row>
    <row r="191" spans="2:128" s="1" customFormat="1" ht="29.25" x14ac:dyDescent="0.2">
      <c r="B191" s="31"/>
      <c r="D191" s="138" t="s">
        <v>289</v>
      </c>
      <c r="F191" s="139" t="s">
        <v>989</v>
      </c>
      <c r="I191" s="140"/>
      <c r="L191" s="31"/>
      <c r="N191" s="213"/>
      <c r="O191" s="214"/>
      <c r="Q191" s="229"/>
      <c r="BX191" s="141"/>
      <c r="CE191" s="50"/>
      <c r="DE191" s="16" t="s">
        <v>289</v>
      </c>
      <c r="DF191" s="16" t="s">
        <v>83</v>
      </c>
    </row>
    <row r="192" spans="2:128" s="11" customFormat="1" x14ac:dyDescent="0.2">
      <c r="B192" s="143"/>
      <c r="D192" s="138" t="s">
        <v>301</v>
      </c>
      <c r="E192" s="144" t="s">
        <v>1</v>
      </c>
      <c r="F192" s="145" t="s">
        <v>976</v>
      </c>
      <c r="H192" s="144" t="s">
        <v>1</v>
      </c>
      <c r="I192" s="146"/>
      <c r="L192" s="143"/>
      <c r="N192" s="215"/>
      <c r="O192" s="216"/>
      <c r="Q192" s="230"/>
      <c r="BX192" s="147"/>
      <c r="CE192" s="148"/>
      <c r="DE192" s="144" t="s">
        <v>301</v>
      </c>
      <c r="DF192" s="144" t="s">
        <v>83</v>
      </c>
      <c r="DG192" s="11" t="s">
        <v>81</v>
      </c>
      <c r="DH192" s="11" t="s">
        <v>32</v>
      </c>
      <c r="DI192" s="11" t="s">
        <v>74</v>
      </c>
      <c r="DJ192" s="144" t="s">
        <v>282</v>
      </c>
    </row>
    <row r="193" spans="2:128" s="11" customFormat="1" x14ac:dyDescent="0.2">
      <c r="B193" s="143"/>
      <c r="D193" s="138" t="s">
        <v>301</v>
      </c>
      <c r="E193" s="144" t="s">
        <v>1</v>
      </c>
      <c r="F193" s="145" t="s">
        <v>1759</v>
      </c>
      <c r="H193" s="144" t="s">
        <v>1</v>
      </c>
      <c r="I193" s="146"/>
      <c r="L193" s="143"/>
      <c r="N193" s="215"/>
      <c r="O193" s="216"/>
      <c r="Q193" s="230"/>
      <c r="BX193" s="147"/>
      <c r="CE193" s="148"/>
      <c r="DE193" s="144" t="s">
        <v>301</v>
      </c>
      <c r="DF193" s="144" t="s">
        <v>83</v>
      </c>
      <c r="DG193" s="11" t="s">
        <v>81</v>
      </c>
      <c r="DH193" s="11" t="s">
        <v>32</v>
      </c>
      <c r="DI193" s="11" t="s">
        <v>74</v>
      </c>
      <c r="DJ193" s="144" t="s">
        <v>282</v>
      </c>
    </row>
    <row r="194" spans="2:128" s="14" customFormat="1" x14ac:dyDescent="0.2">
      <c r="B194" s="163"/>
      <c r="D194" s="138" t="s">
        <v>301</v>
      </c>
      <c r="E194" s="164" t="s">
        <v>1</v>
      </c>
      <c r="F194" s="165" t="s">
        <v>373</v>
      </c>
      <c r="H194" s="166">
        <v>0</v>
      </c>
      <c r="I194" s="167"/>
      <c r="L194" s="163"/>
      <c r="N194" s="221">
        <v>0</v>
      </c>
      <c r="O194" s="222"/>
      <c r="Q194" s="233"/>
      <c r="BX194" s="168"/>
      <c r="CE194" s="169"/>
      <c r="DE194" s="164" t="s">
        <v>301</v>
      </c>
      <c r="DF194" s="164" t="s">
        <v>83</v>
      </c>
      <c r="DG194" s="14" t="s">
        <v>90</v>
      </c>
      <c r="DH194" s="14" t="s">
        <v>32</v>
      </c>
      <c r="DI194" s="14" t="s">
        <v>74</v>
      </c>
      <c r="DJ194" s="164" t="s">
        <v>282</v>
      </c>
    </row>
    <row r="195" spans="2:128" s="11" customFormat="1" x14ac:dyDescent="0.2">
      <c r="B195" s="143"/>
      <c r="D195" s="138" t="s">
        <v>301</v>
      </c>
      <c r="E195" s="144" t="s">
        <v>1</v>
      </c>
      <c r="F195" s="145" t="s">
        <v>1102</v>
      </c>
      <c r="H195" s="144" t="s">
        <v>1</v>
      </c>
      <c r="I195" s="146"/>
      <c r="L195" s="143"/>
      <c r="N195" s="215"/>
      <c r="O195" s="216"/>
      <c r="Q195" s="230"/>
      <c r="BX195" s="147"/>
      <c r="CE195" s="148"/>
      <c r="DE195" s="144" t="s">
        <v>301</v>
      </c>
      <c r="DF195" s="144" t="s">
        <v>83</v>
      </c>
      <c r="DG195" s="11" t="s">
        <v>81</v>
      </c>
      <c r="DH195" s="11" t="s">
        <v>32</v>
      </c>
      <c r="DI195" s="11" t="s">
        <v>74</v>
      </c>
      <c r="DJ195" s="144" t="s">
        <v>282</v>
      </c>
    </row>
    <row r="196" spans="2:128" s="12" customFormat="1" x14ac:dyDescent="0.2">
      <c r="B196" s="149"/>
      <c r="D196" s="138" t="s">
        <v>301</v>
      </c>
      <c r="E196" s="150" t="s">
        <v>1</v>
      </c>
      <c r="F196" s="151" t="s">
        <v>1760</v>
      </c>
      <c r="H196" s="152">
        <v>4.8979999999999997</v>
      </c>
      <c r="I196" s="153"/>
      <c r="L196" s="149"/>
      <c r="N196" s="217">
        <f>35.2*1*(2.2-0.1-0.45-0.1)*0.1</f>
        <v>5.4560000000000013</v>
      </c>
      <c r="O196" s="218" t="s">
        <v>3815</v>
      </c>
      <c r="Q196" s="231"/>
      <c r="BX196" s="154"/>
      <c r="CE196" s="155"/>
      <c r="DE196" s="150" t="s">
        <v>301</v>
      </c>
      <c r="DF196" s="150" t="s">
        <v>83</v>
      </c>
      <c r="DG196" s="12" t="s">
        <v>83</v>
      </c>
      <c r="DH196" s="12" t="s">
        <v>32</v>
      </c>
      <c r="DI196" s="12" t="s">
        <v>74</v>
      </c>
      <c r="DJ196" s="150" t="s">
        <v>282</v>
      </c>
    </row>
    <row r="197" spans="2:128" s="14" customFormat="1" x14ac:dyDescent="0.2">
      <c r="B197" s="163"/>
      <c r="D197" s="138" t="s">
        <v>301</v>
      </c>
      <c r="E197" s="164" t="s">
        <v>1</v>
      </c>
      <c r="F197" s="165" t="s">
        <v>373</v>
      </c>
      <c r="H197" s="166">
        <v>4.8979999999999997</v>
      </c>
      <c r="I197" s="167"/>
      <c r="L197" s="163"/>
      <c r="N197" s="221">
        <f>N193+N196</f>
        <v>5.4560000000000013</v>
      </c>
      <c r="O197" s="222"/>
      <c r="Q197" s="233"/>
      <c r="BX197" s="168"/>
      <c r="CE197" s="169"/>
      <c r="DE197" s="164" t="s">
        <v>301</v>
      </c>
      <c r="DF197" s="164" t="s">
        <v>83</v>
      </c>
      <c r="DG197" s="14" t="s">
        <v>90</v>
      </c>
      <c r="DH197" s="14" t="s">
        <v>32</v>
      </c>
      <c r="DI197" s="14" t="s">
        <v>74</v>
      </c>
      <c r="DJ197" s="164" t="s">
        <v>282</v>
      </c>
    </row>
    <row r="198" spans="2:128" s="13" customFormat="1" x14ac:dyDescent="0.2">
      <c r="B198" s="156"/>
      <c r="D198" s="138" t="s">
        <v>301</v>
      </c>
      <c r="E198" s="157" t="s">
        <v>1</v>
      </c>
      <c r="F198" s="158" t="s">
        <v>305</v>
      </c>
      <c r="H198" s="159">
        <v>4.8979999999999997</v>
      </c>
      <c r="I198" s="160"/>
      <c r="L198" s="156"/>
      <c r="N198" s="311">
        <f>N197-H198</f>
        <v>0.55800000000000161</v>
      </c>
      <c r="O198" s="220"/>
      <c r="Q198" s="232"/>
      <c r="BX198" s="161"/>
      <c r="CE198" s="162"/>
      <c r="DE198" s="157" t="s">
        <v>301</v>
      </c>
      <c r="DF198" s="157" t="s">
        <v>83</v>
      </c>
      <c r="DG198" s="13" t="s">
        <v>95</v>
      </c>
      <c r="DH198" s="13" t="s">
        <v>32</v>
      </c>
      <c r="DI198" s="13" t="s">
        <v>81</v>
      </c>
      <c r="DJ198" s="157" t="s">
        <v>282</v>
      </c>
    </row>
    <row r="199" spans="2:128" s="1" customFormat="1" ht="24.2" customHeight="1" x14ac:dyDescent="0.2">
      <c r="B199" s="124"/>
      <c r="C199" s="125" t="s">
        <v>8</v>
      </c>
      <c r="D199" s="125" t="s">
        <v>284</v>
      </c>
      <c r="E199" s="126" t="s">
        <v>410</v>
      </c>
      <c r="F199" s="127" t="s">
        <v>411</v>
      </c>
      <c r="G199" s="128" t="s">
        <v>287</v>
      </c>
      <c r="H199" s="129">
        <v>34.6</v>
      </c>
      <c r="I199" s="130">
        <v>6.3644601414457247</v>
      </c>
      <c r="J199" s="131">
        <f>ROUND(I199*H199,2)</f>
        <v>220.21</v>
      </c>
      <c r="K199" s="127" t="s">
        <v>293</v>
      </c>
      <c r="L199" s="268">
        <f>S199</f>
        <v>0</v>
      </c>
      <c r="M199" s="272">
        <f>ROUND(L199*I199,2)</f>
        <v>0</v>
      </c>
      <c r="N199" s="243">
        <f>N205</f>
        <v>5.1000000000000014</v>
      </c>
      <c r="O199" s="294">
        <f>ROUND(N199*I199,2)</f>
        <v>32.46</v>
      </c>
      <c r="P199" s="273">
        <f>H199-L199-N199</f>
        <v>29.5</v>
      </c>
      <c r="Q199" s="287">
        <f>ROUND(P199*I199,2)</f>
        <v>187.75</v>
      </c>
      <c r="R199" s="137"/>
      <c r="S199" s="269">
        <f>W199+Y199+AA199+AC199</f>
        <v>0</v>
      </c>
      <c r="T199" s="269">
        <f>ROUND(S199*I199,2)</f>
        <v>0</v>
      </c>
      <c r="U199" s="269">
        <f>H199-S199</f>
        <v>34.6</v>
      </c>
      <c r="V199" s="269">
        <f>ROUND(U199*I199,2)</f>
        <v>220.21</v>
      </c>
      <c r="W199" s="269"/>
      <c r="X199" s="269"/>
      <c r="Y199" s="269"/>
      <c r="Z199" s="269"/>
      <c r="AA199" s="269"/>
      <c r="AB199" s="269"/>
      <c r="AC199" s="269"/>
      <c r="AD199" s="269"/>
      <c r="BX199" s="132" t="s">
        <v>1</v>
      </c>
      <c r="BY199" s="133" t="s">
        <v>40</v>
      </c>
      <c r="CA199" s="134">
        <f>BZ199*H199</f>
        <v>0</v>
      </c>
      <c r="CB199" s="134">
        <v>0</v>
      </c>
      <c r="CC199" s="134">
        <f>CB199*H199</f>
        <v>0</v>
      </c>
      <c r="CD199" s="134">
        <v>0</v>
      </c>
      <c r="CE199" s="135">
        <f>CD199*H199</f>
        <v>0</v>
      </c>
      <c r="DC199" s="136" t="s">
        <v>95</v>
      </c>
      <c r="DE199" s="136" t="s">
        <v>284</v>
      </c>
      <c r="DF199" s="136" t="s">
        <v>83</v>
      </c>
      <c r="DJ199" s="16" t="s">
        <v>282</v>
      </c>
      <c r="DP199" s="137">
        <f>IF(BY199="základní",J199,0)</f>
        <v>220.21</v>
      </c>
      <c r="DQ199" s="137">
        <f>IF(BY199="snížená",J199,0)</f>
        <v>0</v>
      </c>
      <c r="DR199" s="137">
        <f>IF(BY199="zákl. přenesená",J199,0)</f>
        <v>0</v>
      </c>
      <c r="DS199" s="137">
        <f>IF(BY199="sníž. přenesená",J199,0)</f>
        <v>0</v>
      </c>
      <c r="DT199" s="137">
        <f>IF(BY199="nulová",J199,0)</f>
        <v>0</v>
      </c>
      <c r="DU199" s="16" t="s">
        <v>81</v>
      </c>
      <c r="DV199" s="137">
        <f>ROUND(I199*H199,2)</f>
        <v>220.21</v>
      </c>
      <c r="DW199" s="16" t="s">
        <v>95</v>
      </c>
      <c r="DX199" s="136" t="s">
        <v>412</v>
      </c>
    </row>
    <row r="200" spans="2:128" s="1" customFormat="1" ht="19.5" x14ac:dyDescent="0.2">
      <c r="B200" s="31"/>
      <c r="D200" s="138" t="s">
        <v>289</v>
      </c>
      <c r="F200" s="139" t="s">
        <v>413</v>
      </c>
      <c r="I200" s="140"/>
      <c r="L200" s="31"/>
      <c r="N200" s="213"/>
      <c r="O200" s="214"/>
      <c r="Q200" s="229"/>
      <c r="BX200" s="141"/>
      <c r="CE200" s="50"/>
      <c r="DE200" s="16" t="s">
        <v>289</v>
      </c>
      <c r="DF200" s="16" t="s">
        <v>83</v>
      </c>
    </row>
    <row r="201" spans="2:128" s="1" customFormat="1" ht="19.5" x14ac:dyDescent="0.2">
      <c r="B201" s="31"/>
      <c r="D201" s="138" t="s">
        <v>299</v>
      </c>
      <c r="F201" s="142" t="s">
        <v>317</v>
      </c>
      <c r="I201" s="140"/>
      <c r="L201" s="31"/>
      <c r="N201" s="213"/>
      <c r="O201" s="214"/>
      <c r="Q201" s="229"/>
      <c r="BX201" s="141"/>
      <c r="CE201" s="50"/>
      <c r="DE201" s="16" t="s">
        <v>299</v>
      </c>
      <c r="DF201" s="16" t="s">
        <v>83</v>
      </c>
    </row>
    <row r="202" spans="2:128" s="12" customFormat="1" x14ac:dyDescent="0.2">
      <c r="B202" s="149"/>
      <c r="D202" s="138" t="s">
        <v>301</v>
      </c>
      <c r="E202" s="150" t="s">
        <v>1</v>
      </c>
      <c r="F202" s="151" t="s">
        <v>1761</v>
      </c>
      <c r="H202" s="152">
        <v>31.6</v>
      </c>
      <c r="I202" s="153"/>
      <c r="L202" s="149"/>
      <c r="N202" s="217">
        <f>35.2*1</f>
        <v>35.200000000000003</v>
      </c>
      <c r="O202" s="218" t="s">
        <v>3804</v>
      </c>
      <c r="Q202" s="231"/>
      <c r="BX202" s="154"/>
      <c r="CE202" s="155"/>
      <c r="DE202" s="150" t="s">
        <v>301</v>
      </c>
      <c r="DF202" s="150" t="s">
        <v>83</v>
      </c>
      <c r="DG202" s="12" t="s">
        <v>83</v>
      </c>
      <c r="DH202" s="12" t="s">
        <v>32</v>
      </c>
      <c r="DI202" s="12" t="s">
        <v>74</v>
      </c>
      <c r="DJ202" s="150" t="s">
        <v>282</v>
      </c>
    </row>
    <row r="203" spans="2:128" s="12" customFormat="1" x14ac:dyDescent="0.2">
      <c r="B203" s="149"/>
      <c r="D203" s="138" t="s">
        <v>301</v>
      </c>
      <c r="E203" s="150" t="s">
        <v>1</v>
      </c>
      <c r="F203" s="151" t="s">
        <v>1746</v>
      </c>
      <c r="H203" s="152">
        <v>3</v>
      </c>
      <c r="I203" s="153"/>
      <c r="L203" s="149"/>
      <c r="N203" s="217">
        <f>1.5*1.5*6-1.5*1*6</f>
        <v>4.5</v>
      </c>
      <c r="O203" s="218" t="s">
        <v>3805</v>
      </c>
      <c r="Q203" s="231"/>
      <c r="BX203" s="154"/>
      <c r="CE203" s="155"/>
      <c r="DE203" s="150" t="s">
        <v>301</v>
      </c>
      <c r="DF203" s="150" t="s">
        <v>83</v>
      </c>
      <c r="DG203" s="12" t="s">
        <v>83</v>
      </c>
      <c r="DH203" s="12" t="s">
        <v>32</v>
      </c>
      <c r="DI203" s="12" t="s">
        <v>74</v>
      </c>
      <c r="DJ203" s="150" t="s">
        <v>282</v>
      </c>
    </row>
    <row r="204" spans="2:128" s="13" customFormat="1" x14ac:dyDescent="0.2">
      <c r="B204" s="156"/>
      <c r="D204" s="138" t="s">
        <v>301</v>
      </c>
      <c r="E204" s="157" t="s">
        <v>1</v>
      </c>
      <c r="F204" s="158" t="s">
        <v>305</v>
      </c>
      <c r="H204" s="159">
        <v>34.6</v>
      </c>
      <c r="I204" s="160"/>
      <c r="L204" s="156"/>
      <c r="N204" s="219">
        <f>N202+N203</f>
        <v>39.700000000000003</v>
      </c>
      <c r="O204" s="220"/>
      <c r="Q204" s="232"/>
      <c r="BX204" s="161"/>
      <c r="CE204" s="162"/>
      <c r="DE204" s="157" t="s">
        <v>301</v>
      </c>
      <c r="DF204" s="157" t="s">
        <v>83</v>
      </c>
      <c r="DG204" s="13" t="s">
        <v>95</v>
      </c>
      <c r="DH204" s="13" t="s">
        <v>32</v>
      </c>
      <c r="DI204" s="13" t="s">
        <v>81</v>
      </c>
      <c r="DJ204" s="157" t="s">
        <v>282</v>
      </c>
    </row>
    <row r="205" spans="2:128" s="13" customFormat="1" x14ac:dyDescent="0.2">
      <c r="B205" s="156"/>
      <c r="D205" s="138"/>
      <c r="E205" s="157"/>
      <c r="F205" s="158"/>
      <c r="H205" s="159"/>
      <c r="I205" s="160"/>
      <c r="L205" s="156"/>
      <c r="N205" s="311">
        <f>N204-H204</f>
        <v>5.1000000000000014</v>
      </c>
      <c r="O205" s="220"/>
      <c r="Q205" s="232"/>
      <c r="BX205" s="161"/>
      <c r="CE205" s="162"/>
      <c r="DE205" s="157"/>
      <c r="DF205" s="157"/>
      <c r="DJ205" s="157"/>
    </row>
    <row r="206" spans="2:128" s="1" customFormat="1" ht="24.2" customHeight="1" x14ac:dyDescent="0.2">
      <c r="B206" s="124"/>
      <c r="C206" s="125" t="s">
        <v>379</v>
      </c>
      <c r="D206" s="125" t="s">
        <v>284</v>
      </c>
      <c r="E206" s="126" t="s">
        <v>416</v>
      </c>
      <c r="F206" s="127" t="s">
        <v>417</v>
      </c>
      <c r="G206" s="128" t="s">
        <v>418</v>
      </c>
      <c r="H206" s="129">
        <v>107.176</v>
      </c>
      <c r="I206" s="130">
        <v>110.6455721</v>
      </c>
      <c r="J206" s="131">
        <f>ROUND(I206*H206,2)</f>
        <v>11858.55</v>
      </c>
      <c r="K206" s="127" t="s">
        <v>293</v>
      </c>
      <c r="L206" s="268">
        <f>S206</f>
        <v>0</v>
      </c>
      <c r="M206" s="272">
        <f>ROUND(L206*I206,2)</f>
        <v>0</v>
      </c>
      <c r="N206" s="243">
        <f>N214</f>
        <v>17.038399999999996</v>
      </c>
      <c r="O206" s="294">
        <f>ROUND(N206*I206,2)</f>
        <v>1885.22</v>
      </c>
      <c r="P206" s="273">
        <f>H206-L206-N206</f>
        <v>90.137600000000006</v>
      </c>
      <c r="Q206" s="287">
        <f>ROUND(P206*I206,2)</f>
        <v>9973.33</v>
      </c>
      <c r="R206" s="137"/>
      <c r="S206" s="269">
        <f>W206+Y206+AA206+AC206</f>
        <v>0</v>
      </c>
      <c r="T206" s="269">
        <f>ROUND(S206*I206,2)</f>
        <v>0</v>
      </c>
      <c r="U206" s="269">
        <f>H206-S206</f>
        <v>107.176</v>
      </c>
      <c r="V206" s="269">
        <f>ROUND(U206*I206,2)</f>
        <v>11858.55</v>
      </c>
      <c r="W206" s="269"/>
      <c r="X206" s="269"/>
      <c r="Y206" s="269"/>
      <c r="Z206" s="269"/>
      <c r="AA206" s="269"/>
      <c r="AB206" s="269"/>
      <c r="AC206" s="269"/>
      <c r="AD206" s="269"/>
      <c r="BX206" s="132" t="s">
        <v>1</v>
      </c>
      <c r="BY206" s="133" t="s">
        <v>40</v>
      </c>
      <c r="CA206" s="134">
        <f>BZ206*H206</f>
        <v>0</v>
      </c>
      <c r="CB206" s="134">
        <v>0</v>
      </c>
      <c r="CC206" s="134">
        <f>CB206*H206</f>
        <v>0</v>
      </c>
      <c r="CD206" s="134">
        <v>0</v>
      </c>
      <c r="CE206" s="135">
        <f>CD206*H206</f>
        <v>0</v>
      </c>
      <c r="DC206" s="136" t="s">
        <v>95</v>
      </c>
      <c r="DE206" s="136" t="s">
        <v>284</v>
      </c>
      <c r="DF206" s="136" t="s">
        <v>83</v>
      </c>
      <c r="DJ206" s="16" t="s">
        <v>282</v>
      </c>
      <c r="DP206" s="137">
        <f>IF(BY206="základní",J206,0)</f>
        <v>11858.55</v>
      </c>
      <c r="DQ206" s="137">
        <f>IF(BY206="snížená",J206,0)</f>
        <v>0</v>
      </c>
      <c r="DR206" s="137">
        <f>IF(BY206="zákl. přenesená",J206,0)</f>
        <v>0</v>
      </c>
      <c r="DS206" s="137">
        <f>IF(BY206="sníž. přenesená",J206,0)</f>
        <v>0</v>
      </c>
      <c r="DT206" s="137">
        <f>IF(BY206="nulová",J206,0)</f>
        <v>0</v>
      </c>
      <c r="DU206" s="16" t="s">
        <v>81</v>
      </c>
      <c r="DV206" s="137">
        <f>ROUND(I206*H206,2)</f>
        <v>11858.55</v>
      </c>
      <c r="DW206" s="16" t="s">
        <v>95</v>
      </c>
      <c r="DX206" s="136" t="s">
        <v>419</v>
      </c>
    </row>
    <row r="207" spans="2:128" s="1" customFormat="1" ht="29.25" x14ac:dyDescent="0.2">
      <c r="B207" s="31"/>
      <c r="D207" s="138" t="s">
        <v>289</v>
      </c>
      <c r="F207" s="139" t="s">
        <v>420</v>
      </c>
      <c r="I207" s="140"/>
      <c r="L207" s="31"/>
      <c r="N207" s="213"/>
      <c r="O207" s="214"/>
      <c r="Q207" s="229"/>
      <c r="BX207" s="141"/>
      <c r="CE207" s="50"/>
      <c r="DE207" s="16" t="s">
        <v>289</v>
      </c>
      <c r="DF207" s="16" t="s">
        <v>83</v>
      </c>
    </row>
    <row r="208" spans="2:128" s="11" customFormat="1" x14ac:dyDescent="0.2">
      <c r="B208" s="143"/>
      <c r="D208" s="138" t="s">
        <v>301</v>
      </c>
      <c r="E208" s="144" t="s">
        <v>1</v>
      </c>
      <c r="F208" s="145" t="s">
        <v>996</v>
      </c>
      <c r="H208" s="144" t="s">
        <v>1</v>
      </c>
      <c r="I208" s="146"/>
      <c r="L208" s="143"/>
      <c r="N208" s="215"/>
      <c r="O208" s="216"/>
      <c r="Q208" s="230"/>
      <c r="BX208" s="147"/>
      <c r="CE208" s="148"/>
      <c r="DE208" s="144" t="s">
        <v>301</v>
      </c>
      <c r="DF208" s="144" t="s">
        <v>83</v>
      </c>
      <c r="DG208" s="11" t="s">
        <v>81</v>
      </c>
      <c r="DH208" s="11" t="s">
        <v>32</v>
      </c>
      <c r="DI208" s="11" t="s">
        <v>74</v>
      </c>
      <c r="DJ208" s="144" t="s">
        <v>282</v>
      </c>
    </row>
    <row r="209" spans="2:128" s="12" customFormat="1" x14ac:dyDescent="0.2">
      <c r="B209" s="149"/>
      <c r="D209" s="138" t="s">
        <v>301</v>
      </c>
      <c r="E209" s="150" t="s">
        <v>1</v>
      </c>
      <c r="F209" s="151" t="s">
        <v>1762</v>
      </c>
      <c r="H209" s="152">
        <v>64.44</v>
      </c>
      <c r="I209" s="153"/>
      <c r="L209" s="149"/>
      <c r="N209" s="217">
        <v>74.463999999999999</v>
      </c>
      <c r="O209" s="218"/>
      <c r="Q209" s="231"/>
      <c r="BX209" s="154"/>
      <c r="CE209" s="155"/>
      <c r="DE209" s="150" t="s">
        <v>301</v>
      </c>
      <c r="DF209" s="150" t="s">
        <v>83</v>
      </c>
      <c r="DG209" s="12" t="s">
        <v>83</v>
      </c>
      <c r="DH209" s="12" t="s">
        <v>32</v>
      </c>
      <c r="DI209" s="12" t="s">
        <v>74</v>
      </c>
      <c r="DJ209" s="150" t="s">
        <v>282</v>
      </c>
    </row>
    <row r="210" spans="2:128" s="11" customFormat="1" x14ac:dyDescent="0.2">
      <c r="B210" s="143"/>
      <c r="D210" s="138" t="s">
        <v>301</v>
      </c>
      <c r="E210" s="144" t="s">
        <v>1</v>
      </c>
      <c r="F210" s="145" t="s">
        <v>998</v>
      </c>
      <c r="H210" s="144" t="s">
        <v>1</v>
      </c>
      <c r="I210" s="146"/>
      <c r="L210" s="143"/>
      <c r="N210" s="215"/>
      <c r="O210" s="216"/>
      <c r="Q210" s="230"/>
      <c r="BX210" s="147"/>
      <c r="CE210" s="148"/>
      <c r="DE210" s="144" t="s">
        <v>301</v>
      </c>
      <c r="DF210" s="144" t="s">
        <v>83</v>
      </c>
      <c r="DG210" s="11" t="s">
        <v>81</v>
      </c>
      <c r="DH210" s="11" t="s">
        <v>32</v>
      </c>
      <c r="DI210" s="11" t="s">
        <v>74</v>
      </c>
      <c r="DJ210" s="144" t="s">
        <v>282</v>
      </c>
    </row>
    <row r="211" spans="2:128" s="12" customFormat="1" x14ac:dyDescent="0.2">
      <c r="B211" s="149"/>
      <c r="D211" s="138" t="s">
        <v>301</v>
      </c>
      <c r="E211" s="150" t="s">
        <v>1</v>
      </c>
      <c r="F211" s="151" t="s">
        <v>1763</v>
      </c>
      <c r="H211" s="152">
        <v>-4.8979999999999997</v>
      </c>
      <c r="I211" s="153"/>
      <c r="L211" s="149"/>
      <c r="N211" s="217">
        <f>-N197</f>
        <v>-5.4560000000000013</v>
      </c>
      <c r="O211" s="218"/>
      <c r="Q211" s="231"/>
      <c r="BX211" s="154"/>
      <c r="CE211" s="155"/>
      <c r="DE211" s="150" t="s">
        <v>301</v>
      </c>
      <c r="DF211" s="150" t="s">
        <v>83</v>
      </c>
      <c r="DG211" s="12" t="s">
        <v>83</v>
      </c>
      <c r="DH211" s="12" t="s">
        <v>32</v>
      </c>
      <c r="DI211" s="12" t="s">
        <v>74</v>
      </c>
      <c r="DJ211" s="150" t="s">
        <v>282</v>
      </c>
    </row>
    <row r="212" spans="2:128" s="13" customFormat="1" x14ac:dyDescent="0.2">
      <c r="B212" s="156"/>
      <c r="D212" s="138" t="s">
        <v>301</v>
      </c>
      <c r="E212" s="157" t="s">
        <v>1</v>
      </c>
      <c r="F212" s="158" t="s">
        <v>305</v>
      </c>
      <c r="H212" s="159">
        <v>59.542000000000002</v>
      </c>
      <c r="I212" s="160"/>
      <c r="L212" s="156"/>
      <c r="N212" s="219">
        <f>N209+N211</f>
        <v>69.007999999999996</v>
      </c>
      <c r="O212" s="220"/>
      <c r="Q212" s="232"/>
      <c r="BX212" s="161"/>
      <c r="CE212" s="162"/>
      <c r="DE212" s="157" t="s">
        <v>301</v>
      </c>
      <c r="DF212" s="157" t="s">
        <v>83</v>
      </c>
      <c r="DG212" s="13" t="s">
        <v>95</v>
      </c>
      <c r="DH212" s="13" t="s">
        <v>32</v>
      </c>
      <c r="DI212" s="13" t="s">
        <v>81</v>
      </c>
      <c r="DJ212" s="157" t="s">
        <v>282</v>
      </c>
    </row>
    <row r="213" spans="2:128" s="12" customFormat="1" x14ac:dyDescent="0.2">
      <c r="B213" s="149"/>
      <c r="D213" s="138" t="s">
        <v>301</v>
      </c>
      <c r="F213" s="151" t="s">
        <v>1764</v>
      </c>
      <c r="H213" s="152">
        <v>107.176</v>
      </c>
      <c r="I213" s="153"/>
      <c r="L213" s="149"/>
      <c r="N213" s="217">
        <f>N212*1.8</f>
        <v>124.2144</v>
      </c>
      <c r="O213" s="218"/>
      <c r="Q213" s="231"/>
      <c r="BX213" s="154"/>
      <c r="CE213" s="155"/>
      <c r="DE213" s="150" t="s">
        <v>301</v>
      </c>
      <c r="DF213" s="150" t="s">
        <v>83</v>
      </c>
      <c r="DG213" s="12" t="s">
        <v>83</v>
      </c>
      <c r="DH213" s="12" t="s">
        <v>3</v>
      </c>
      <c r="DI213" s="12" t="s">
        <v>81</v>
      </c>
      <c r="DJ213" s="150" t="s">
        <v>282</v>
      </c>
    </row>
    <row r="214" spans="2:128" s="12" customFormat="1" x14ac:dyDescent="0.2">
      <c r="B214" s="149"/>
      <c r="D214" s="138"/>
      <c r="F214" s="151"/>
      <c r="H214" s="152"/>
      <c r="I214" s="153"/>
      <c r="L214" s="149"/>
      <c r="N214" s="310">
        <f>N213-H213</f>
        <v>17.038399999999996</v>
      </c>
      <c r="O214" s="218"/>
      <c r="Q214" s="231"/>
      <c r="BX214" s="154"/>
      <c r="CE214" s="155"/>
      <c r="DE214" s="150"/>
      <c r="DF214" s="150"/>
      <c r="DJ214" s="150"/>
    </row>
    <row r="215" spans="2:128" s="1" customFormat="1" ht="24.2" customHeight="1" x14ac:dyDescent="0.2">
      <c r="B215" s="124"/>
      <c r="C215" s="125" t="s">
        <v>386</v>
      </c>
      <c r="D215" s="125" t="s">
        <v>284</v>
      </c>
      <c r="E215" s="126" t="s">
        <v>423</v>
      </c>
      <c r="F215" s="127" t="s">
        <v>424</v>
      </c>
      <c r="G215" s="128" t="s">
        <v>366</v>
      </c>
      <c r="H215" s="129">
        <v>45.698</v>
      </c>
      <c r="I215" s="130">
        <v>140.64048227116101</v>
      </c>
      <c r="J215" s="131">
        <f>ROUND(I215*H215,2)</f>
        <v>6426.99</v>
      </c>
      <c r="K215" s="127" t="s">
        <v>293</v>
      </c>
      <c r="L215" s="268">
        <f>S215</f>
        <v>0</v>
      </c>
      <c r="M215" s="272">
        <f>ROUND(L215*I215,2)</f>
        <v>0</v>
      </c>
      <c r="N215" s="243">
        <f>N230</f>
        <v>6.6715003999999851</v>
      </c>
      <c r="O215" s="294">
        <f>ROUND(N215*I215,2)</f>
        <v>938.28</v>
      </c>
      <c r="P215" s="273">
        <f>H215-L215-N215</f>
        <v>39.026499600000015</v>
      </c>
      <c r="Q215" s="287">
        <f>ROUND(P215*I215,2)</f>
        <v>5488.71</v>
      </c>
      <c r="R215" s="137"/>
      <c r="S215" s="269">
        <f>W215+Y215+AA215+AC215</f>
        <v>0</v>
      </c>
      <c r="T215" s="269">
        <f>ROUND(S215*I215,2)</f>
        <v>0</v>
      </c>
      <c r="U215" s="269">
        <f>H215-S215</f>
        <v>45.698</v>
      </c>
      <c r="V215" s="269">
        <f>ROUND(U215*I215,2)</f>
        <v>6426.99</v>
      </c>
      <c r="W215" s="269"/>
      <c r="X215" s="269"/>
      <c r="Y215" s="269"/>
      <c r="Z215" s="269"/>
      <c r="AA215" s="269"/>
      <c r="AB215" s="269"/>
      <c r="AC215" s="269"/>
      <c r="AD215" s="269"/>
      <c r="BX215" s="132" t="s">
        <v>1</v>
      </c>
      <c r="BY215" s="133" t="s">
        <v>40</v>
      </c>
      <c r="CA215" s="134">
        <f>BZ215*H215</f>
        <v>0</v>
      </c>
      <c r="CB215" s="134">
        <v>0</v>
      </c>
      <c r="CC215" s="134">
        <f>CB215*H215</f>
        <v>0</v>
      </c>
      <c r="CD215" s="134">
        <v>0</v>
      </c>
      <c r="CE215" s="135">
        <f>CD215*H215</f>
        <v>0</v>
      </c>
      <c r="DC215" s="136" t="s">
        <v>95</v>
      </c>
      <c r="DE215" s="136" t="s">
        <v>284</v>
      </c>
      <c r="DF215" s="136" t="s">
        <v>83</v>
      </c>
      <c r="DJ215" s="16" t="s">
        <v>282</v>
      </c>
      <c r="DP215" s="137">
        <f>IF(BY215="základní",J215,0)</f>
        <v>6426.99</v>
      </c>
      <c r="DQ215" s="137">
        <f>IF(BY215="snížená",J215,0)</f>
        <v>0</v>
      </c>
      <c r="DR215" s="137">
        <f>IF(BY215="zákl. přenesená",J215,0)</f>
        <v>0</v>
      </c>
      <c r="DS215" s="137">
        <f>IF(BY215="sníž. přenesená",J215,0)</f>
        <v>0</v>
      </c>
      <c r="DT215" s="137">
        <f>IF(BY215="nulová",J215,0)</f>
        <v>0</v>
      </c>
      <c r="DU215" s="16" t="s">
        <v>81</v>
      </c>
      <c r="DV215" s="137">
        <f>ROUND(I215*H215,2)</f>
        <v>6426.99</v>
      </c>
      <c r="DW215" s="16" t="s">
        <v>95</v>
      </c>
      <c r="DX215" s="136" t="s">
        <v>425</v>
      </c>
    </row>
    <row r="216" spans="2:128" s="1" customFormat="1" ht="29.25" x14ac:dyDescent="0.2">
      <c r="B216" s="31"/>
      <c r="D216" s="138" t="s">
        <v>289</v>
      </c>
      <c r="F216" s="139" t="s">
        <v>426</v>
      </c>
      <c r="I216" s="140"/>
      <c r="L216" s="31"/>
      <c r="N216" s="213"/>
      <c r="O216" s="214"/>
      <c r="Q216" s="229"/>
      <c r="BX216" s="141"/>
      <c r="CE216" s="50"/>
      <c r="DE216" s="16" t="s">
        <v>289</v>
      </c>
      <c r="DF216" s="16" t="s">
        <v>83</v>
      </c>
    </row>
    <row r="217" spans="2:128" s="11" customFormat="1" x14ac:dyDescent="0.2">
      <c r="B217" s="143"/>
      <c r="D217" s="138" t="s">
        <v>301</v>
      </c>
      <c r="E217" s="144" t="s">
        <v>1</v>
      </c>
      <c r="F217" s="145" t="s">
        <v>427</v>
      </c>
      <c r="H217" s="144" t="s">
        <v>1</v>
      </c>
      <c r="I217" s="146"/>
      <c r="L217" s="143"/>
      <c r="N217" s="215"/>
      <c r="O217" s="216"/>
      <c r="Q217" s="230"/>
      <c r="BX217" s="147"/>
      <c r="CE217" s="148"/>
      <c r="DE217" s="144" t="s">
        <v>301</v>
      </c>
      <c r="DF217" s="144" t="s">
        <v>83</v>
      </c>
      <c r="DG217" s="11" t="s">
        <v>81</v>
      </c>
      <c r="DH217" s="11" t="s">
        <v>32</v>
      </c>
      <c r="DI217" s="11" t="s">
        <v>74</v>
      </c>
      <c r="DJ217" s="144" t="s">
        <v>282</v>
      </c>
    </row>
    <row r="218" spans="2:128" s="12" customFormat="1" x14ac:dyDescent="0.2">
      <c r="B218" s="149"/>
      <c r="D218" s="138" t="s">
        <v>301</v>
      </c>
      <c r="E218" s="150" t="s">
        <v>1</v>
      </c>
      <c r="F218" s="151" t="s">
        <v>1755</v>
      </c>
      <c r="H218" s="152">
        <v>63.456000000000003</v>
      </c>
      <c r="I218" s="153"/>
      <c r="L218" s="149"/>
      <c r="N218" s="217">
        <f>36.704+36.704</f>
        <v>73.408000000000001</v>
      </c>
      <c r="O218" s="218" t="s">
        <v>3812</v>
      </c>
      <c r="Q218" s="231"/>
      <c r="BX218" s="154"/>
      <c r="CE218" s="155"/>
      <c r="DE218" s="150" t="s">
        <v>301</v>
      </c>
      <c r="DF218" s="150" t="s">
        <v>83</v>
      </c>
      <c r="DG218" s="12" t="s">
        <v>83</v>
      </c>
      <c r="DH218" s="12" t="s">
        <v>32</v>
      </c>
      <c r="DI218" s="12" t="s">
        <v>74</v>
      </c>
      <c r="DJ218" s="150" t="s">
        <v>282</v>
      </c>
    </row>
    <row r="219" spans="2:128" s="11" customFormat="1" x14ac:dyDescent="0.2">
      <c r="B219" s="143"/>
      <c r="D219" s="138" t="s">
        <v>301</v>
      </c>
      <c r="E219" s="144" t="s">
        <v>1</v>
      </c>
      <c r="F219" s="145" t="s">
        <v>428</v>
      </c>
      <c r="H219" s="144" t="s">
        <v>1</v>
      </c>
      <c r="I219" s="146"/>
      <c r="L219" s="143"/>
      <c r="N219" s="215"/>
      <c r="O219" s="216"/>
      <c r="Q219" s="230"/>
      <c r="BX219" s="147"/>
      <c r="CE219" s="148"/>
      <c r="DE219" s="144" t="s">
        <v>301</v>
      </c>
      <c r="DF219" s="144" t="s">
        <v>83</v>
      </c>
      <c r="DG219" s="11" t="s">
        <v>81</v>
      </c>
      <c r="DH219" s="11" t="s">
        <v>32</v>
      </c>
      <c r="DI219" s="11" t="s">
        <v>74</v>
      </c>
      <c r="DJ219" s="144" t="s">
        <v>282</v>
      </c>
    </row>
    <row r="220" spans="2:128" s="12" customFormat="1" x14ac:dyDescent="0.2">
      <c r="B220" s="149"/>
      <c r="D220" s="138" t="s">
        <v>301</v>
      </c>
      <c r="E220" s="150" t="s">
        <v>1</v>
      </c>
      <c r="F220" s="151" t="s">
        <v>1765</v>
      </c>
      <c r="H220" s="152">
        <v>-14.22</v>
      </c>
      <c r="I220" s="153"/>
      <c r="L220" s="149"/>
      <c r="N220" s="217">
        <f>-N246</f>
        <v>-15.840000000000002</v>
      </c>
      <c r="O220" s="218"/>
      <c r="Q220" s="231"/>
      <c r="BX220" s="154"/>
      <c r="CE220" s="155"/>
      <c r="DE220" s="150" t="s">
        <v>301</v>
      </c>
      <c r="DF220" s="150" t="s">
        <v>83</v>
      </c>
      <c r="DG220" s="12" t="s">
        <v>83</v>
      </c>
      <c r="DH220" s="12" t="s">
        <v>32</v>
      </c>
      <c r="DI220" s="12" t="s">
        <v>74</v>
      </c>
      <c r="DJ220" s="150" t="s">
        <v>282</v>
      </c>
    </row>
    <row r="221" spans="2:128" s="11" customFormat="1" x14ac:dyDescent="0.2">
      <c r="B221" s="143"/>
      <c r="D221" s="138" t="s">
        <v>301</v>
      </c>
      <c r="E221" s="144" t="s">
        <v>1</v>
      </c>
      <c r="F221" s="145" t="s">
        <v>430</v>
      </c>
      <c r="H221" s="144" t="s">
        <v>1</v>
      </c>
      <c r="I221" s="146"/>
      <c r="L221" s="143"/>
      <c r="N221" s="215"/>
      <c r="O221" s="216"/>
      <c r="Q221" s="230"/>
      <c r="BX221" s="147"/>
      <c r="CE221" s="148"/>
      <c r="DE221" s="144" t="s">
        <v>301</v>
      </c>
      <c r="DF221" s="144" t="s">
        <v>83</v>
      </c>
      <c r="DG221" s="11" t="s">
        <v>81</v>
      </c>
      <c r="DH221" s="11" t="s">
        <v>32</v>
      </c>
      <c r="DI221" s="11" t="s">
        <v>74</v>
      </c>
      <c r="DJ221" s="144" t="s">
        <v>282</v>
      </c>
    </row>
    <row r="222" spans="2:128" s="12" customFormat="1" x14ac:dyDescent="0.2">
      <c r="B222" s="149"/>
      <c r="D222" s="138" t="s">
        <v>301</v>
      </c>
      <c r="E222" s="150" t="s">
        <v>1</v>
      </c>
      <c r="F222" s="151" t="s">
        <v>1766</v>
      </c>
      <c r="H222" s="152">
        <v>-4.96</v>
      </c>
      <c r="I222" s="153"/>
      <c r="L222" s="149"/>
      <c r="N222" s="217">
        <f>-N271-N280</f>
        <v>-5.57</v>
      </c>
      <c r="O222" s="218"/>
      <c r="Q222" s="231"/>
      <c r="BX222" s="154"/>
      <c r="CE222" s="155"/>
      <c r="DE222" s="150" t="s">
        <v>301</v>
      </c>
      <c r="DF222" s="150" t="s">
        <v>83</v>
      </c>
      <c r="DG222" s="12" t="s">
        <v>83</v>
      </c>
      <c r="DH222" s="12" t="s">
        <v>32</v>
      </c>
      <c r="DI222" s="12" t="s">
        <v>74</v>
      </c>
      <c r="DJ222" s="150" t="s">
        <v>282</v>
      </c>
    </row>
    <row r="223" spans="2:128" s="11" customFormat="1" x14ac:dyDescent="0.2">
      <c r="B223" s="143"/>
      <c r="D223" s="138" t="s">
        <v>301</v>
      </c>
      <c r="E223" s="144" t="s">
        <v>1</v>
      </c>
      <c r="F223" s="145" t="s">
        <v>432</v>
      </c>
      <c r="H223" s="144" t="s">
        <v>1</v>
      </c>
      <c r="I223" s="146"/>
      <c r="L223" s="143"/>
      <c r="N223" s="215"/>
      <c r="O223" s="216"/>
      <c r="Q223" s="230"/>
      <c r="BX223" s="147"/>
      <c r="CE223" s="148"/>
      <c r="DE223" s="144" t="s">
        <v>301</v>
      </c>
      <c r="DF223" s="144" t="s">
        <v>83</v>
      </c>
      <c r="DG223" s="11" t="s">
        <v>81</v>
      </c>
      <c r="DH223" s="11" t="s">
        <v>32</v>
      </c>
      <c r="DI223" s="11" t="s">
        <v>74</v>
      </c>
      <c r="DJ223" s="144" t="s">
        <v>282</v>
      </c>
    </row>
    <row r="224" spans="2:128" s="12" customFormat="1" x14ac:dyDescent="0.2">
      <c r="B224" s="149"/>
      <c r="D224" s="138" t="s">
        <v>301</v>
      </c>
      <c r="E224" s="150" t="s">
        <v>1</v>
      </c>
      <c r="F224" s="151" t="s">
        <v>1767</v>
      </c>
      <c r="H224" s="152">
        <v>-1.3839999999999999</v>
      </c>
      <c r="I224" s="153"/>
      <c r="L224" s="149"/>
      <c r="N224" s="217">
        <f>-N289</f>
        <v>-1.4260000000000002</v>
      </c>
      <c r="O224" s="218"/>
      <c r="Q224" s="231"/>
      <c r="BX224" s="154"/>
      <c r="CE224" s="155"/>
      <c r="DE224" s="150" t="s">
        <v>301</v>
      </c>
      <c r="DF224" s="150" t="s">
        <v>83</v>
      </c>
      <c r="DG224" s="12" t="s">
        <v>83</v>
      </c>
      <c r="DH224" s="12" t="s">
        <v>32</v>
      </c>
      <c r="DI224" s="12" t="s">
        <v>74</v>
      </c>
      <c r="DJ224" s="150" t="s">
        <v>282</v>
      </c>
    </row>
    <row r="225" spans="2:128" s="12" customFormat="1" x14ac:dyDescent="0.2">
      <c r="B225" s="149"/>
      <c r="D225" s="138" t="s">
        <v>301</v>
      </c>
      <c r="E225" s="150" t="s">
        <v>1</v>
      </c>
      <c r="F225" s="151" t="s">
        <v>1768</v>
      </c>
      <c r="H225" s="152">
        <v>-2.742</v>
      </c>
      <c r="I225" s="153"/>
      <c r="L225" s="149"/>
      <c r="N225" s="217">
        <f>-3.14*0.21*0.21*2.2*7</f>
        <v>-2.1324996000000001</v>
      </c>
      <c r="O225" s="218" t="s">
        <v>3823</v>
      </c>
      <c r="Q225" s="231"/>
      <c r="BX225" s="154"/>
      <c r="CE225" s="155"/>
      <c r="DE225" s="150" t="s">
        <v>301</v>
      </c>
      <c r="DF225" s="150" t="s">
        <v>83</v>
      </c>
      <c r="DG225" s="12" t="s">
        <v>83</v>
      </c>
      <c r="DH225" s="12" t="s">
        <v>32</v>
      </c>
      <c r="DI225" s="12" t="s">
        <v>74</v>
      </c>
      <c r="DJ225" s="150" t="s">
        <v>282</v>
      </c>
    </row>
    <row r="226" spans="2:128" s="12" customFormat="1" x14ac:dyDescent="0.2">
      <c r="B226" s="149"/>
      <c r="D226" s="138" t="s">
        <v>301</v>
      </c>
      <c r="E226" s="150" t="s">
        <v>1</v>
      </c>
      <c r="F226" s="151" t="s">
        <v>1769</v>
      </c>
      <c r="H226" s="152">
        <v>-6.9080000000000004</v>
      </c>
      <c r="I226" s="153"/>
      <c r="L226" s="149"/>
      <c r="N226" s="217">
        <f>-3.14*0.5*0.5*2.2*6</f>
        <v>-10.362000000000002</v>
      </c>
      <c r="O226" s="218" t="s">
        <v>3824</v>
      </c>
      <c r="Q226" s="231"/>
      <c r="BX226" s="154"/>
      <c r="CE226" s="155"/>
      <c r="DE226" s="150" t="s">
        <v>301</v>
      </c>
      <c r="DF226" s="150" t="s">
        <v>83</v>
      </c>
      <c r="DG226" s="12" t="s">
        <v>83</v>
      </c>
      <c r="DH226" s="12" t="s">
        <v>32</v>
      </c>
      <c r="DI226" s="12" t="s">
        <v>74</v>
      </c>
      <c r="DJ226" s="150" t="s">
        <v>282</v>
      </c>
    </row>
    <row r="227" spans="2:128" s="11" customFormat="1" x14ac:dyDescent="0.2">
      <c r="B227" s="143"/>
      <c r="D227" s="138" t="s">
        <v>301</v>
      </c>
      <c r="E227" s="144" t="s">
        <v>1</v>
      </c>
      <c r="F227" s="145" t="s">
        <v>436</v>
      </c>
      <c r="H227" s="144" t="s">
        <v>1</v>
      </c>
      <c r="I227" s="146"/>
      <c r="L227" s="143"/>
      <c r="N227" s="215"/>
      <c r="O227" s="216"/>
      <c r="Q227" s="230"/>
      <c r="BX227" s="147"/>
      <c r="CE227" s="148"/>
      <c r="DE227" s="144" t="s">
        <v>301</v>
      </c>
      <c r="DF227" s="144" t="s">
        <v>83</v>
      </c>
      <c r="DG227" s="11" t="s">
        <v>81</v>
      </c>
      <c r="DH227" s="11" t="s">
        <v>32</v>
      </c>
      <c r="DI227" s="11" t="s">
        <v>74</v>
      </c>
      <c r="DJ227" s="144" t="s">
        <v>282</v>
      </c>
    </row>
    <row r="228" spans="2:128" s="12" customFormat="1" x14ac:dyDescent="0.2">
      <c r="B228" s="149"/>
      <c r="D228" s="138" t="s">
        <v>301</v>
      </c>
      <c r="E228" s="150" t="s">
        <v>1</v>
      </c>
      <c r="F228" s="151" t="s">
        <v>1770</v>
      </c>
      <c r="H228" s="152">
        <v>12.456</v>
      </c>
      <c r="I228" s="153"/>
      <c r="L228" s="149"/>
      <c r="N228" s="217">
        <f>35.73*(0.45-0.05)</f>
        <v>14.292</v>
      </c>
      <c r="O228" s="218" t="s">
        <v>3825</v>
      </c>
      <c r="Q228" s="231"/>
      <c r="BX228" s="154"/>
      <c r="CE228" s="155"/>
      <c r="DE228" s="150" t="s">
        <v>301</v>
      </c>
      <c r="DF228" s="150" t="s">
        <v>83</v>
      </c>
      <c r="DG228" s="12" t="s">
        <v>83</v>
      </c>
      <c r="DH228" s="12" t="s">
        <v>32</v>
      </c>
      <c r="DI228" s="12" t="s">
        <v>74</v>
      </c>
      <c r="DJ228" s="150" t="s">
        <v>282</v>
      </c>
    </row>
    <row r="229" spans="2:128" s="13" customFormat="1" x14ac:dyDescent="0.2">
      <c r="B229" s="156"/>
      <c r="D229" s="138" t="s">
        <v>301</v>
      </c>
      <c r="E229" s="157" t="s">
        <v>1</v>
      </c>
      <c r="F229" s="158" t="s">
        <v>305</v>
      </c>
      <c r="H229" s="159">
        <v>45.698000000000008</v>
      </c>
      <c r="I229" s="160"/>
      <c r="L229" s="156"/>
      <c r="N229" s="219">
        <f>N218+N220+N222+N224+N225+N226+N228</f>
        <v>52.369500399999993</v>
      </c>
      <c r="O229" s="220"/>
      <c r="Q229" s="232"/>
      <c r="BX229" s="161"/>
      <c r="CE229" s="162"/>
      <c r="DE229" s="157" t="s">
        <v>301</v>
      </c>
      <c r="DF229" s="157" t="s">
        <v>83</v>
      </c>
      <c r="DG229" s="13" t="s">
        <v>95</v>
      </c>
      <c r="DH229" s="13" t="s">
        <v>32</v>
      </c>
      <c r="DI229" s="13" t="s">
        <v>81</v>
      </c>
      <c r="DJ229" s="157" t="s">
        <v>282</v>
      </c>
    </row>
    <row r="230" spans="2:128" s="13" customFormat="1" x14ac:dyDescent="0.2">
      <c r="B230" s="156"/>
      <c r="D230" s="138"/>
      <c r="E230" s="157"/>
      <c r="F230" s="158"/>
      <c r="H230" s="159"/>
      <c r="I230" s="160"/>
      <c r="L230" s="156"/>
      <c r="N230" s="311">
        <f>N229-H229</f>
        <v>6.6715003999999851</v>
      </c>
      <c r="O230" s="220"/>
      <c r="Q230" s="232"/>
      <c r="BX230" s="161"/>
      <c r="CE230" s="162"/>
      <c r="DE230" s="157"/>
      <c r="DF230" s="157"/>
      <c r="DJ230" s="157"/>
    </row>
    <row r="231" spans="2:128" s="1" customFormat="1" ht="14.45" customHeight="1" x14ac:dyDescent="0.2">
      <c r="B231" s="124"/>
      <c r="C231" s="170" t="s">
        <v>392</v>
      </c>
      <c r="D231" s="170" t="s">
        <v>439</v>
      </c>
      <c r="E231" s="171" t="s">
        <v>440</v>
      </c>
      <c r="F231" s="172" t="s">
        <v>441</v>
      </c>
      <c r="G231" s="173" t="s">
        <v>418</v>
      </c>
      <c r="H231" s="174">
        <v>81.599999999999994</v>
      </c>
      <c r="I231" s="175">
        <v>390.0974172</v>
      </c>
      <c r="J231" s="176">
        <f>ROUND(I231*H231,2)</f>
        <v>31831.95</v>
      </c>
      <c r="K231" s="172" t="s">
        <v>293</v>
      </c>
      <c r="L231" s="268">
        <f>S231</f>
        <v>0</v>
      </c>
      <c r="M231" s="272">
        <f>ROUND(L231*I231,2)</f>
        <v>0</v>
      </c>
      <c r="N231" s="243">
        <f>N242</f>
        <v>12.227999999999994</v>
      </c>
      <c r="O231" s="294">
        <f>ROUND(N231*I231,2)</f>
        <v>4770.1099999999997</v>
      </c>
      <c r="P231" s="273">
        <f>H231-L231-N231</f>
        <v>69.372</v>
      </c>
      <c r="Q231" s="287">
        <f>ROUND(P231*I231,2)</f>
        <v>27061.84</v>
      </c>
      <c r="R231" s="137"/>
      <c r="S231" s="269">
        <f>W231+Y231+AA231+AC231</f>
        <v>0</v>
      </c>
      <c r="T231" s="269">
        <f>ROUND(S231*I231,2)</f>
        <v>0</v>
      </c>
      <c r="U231" s="269">
        <f>H231-S231</f>
        <v>81.599999999999994</v>
      </c>
      <c r="V231" s="269">
        <f>ROUND(U231*I231,2)</f>
        <v>31831.95</v>
      </c>
      <c r="W231" s="290"/>
      <c r="X231" s="290"/>
      <c r="Y231" s="290"/>
      <c r="Z231" s="290"/>
      <c r="AA231" s="290"/>
      <c r="AB231" s="290"/>
      <c r="AC231" s="290"/>
      <c r="AD231" s="290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77" t="s">
        <v>1</v>
      </c>
      <c r="BY231" s="178" t="s">
        <v>40</v>
      </c>
      <c r="CA231" s="134">
        <f>BZ231*H231</f>
        <v>0</v>
      </c>
      <c r="CB231" s="134">
        <v>1</v>
      </c>
      <c r="CC231" s="134">
        <f>CB231*H231</f>
        <v>81.599999999999994</v>
      </c>
      <c r="CD231" s="134">
        <v>0</v>
      </c>
      <c r="CE231" s="135">
        <f>CD231*H231</f>
        <v>0</v>
      </c>
      <c r="DC231" s="136" t="s">
        <v>328</v>
      </c>
      <c r="DE231" s="136" t="s">
        <v>439</v>
      </c>
      <c r="DF231" s="136" t="s">
        <v>83</v>
      </c>
      <c r="DJ231" s="16" t="s">
        <v>282</v>
      </c>
      <c r="DP231" s="137">
        <f>IF(BY231="základní",J231,0)</f>
        <v>31831.95</v>
      </c>
      <c r="DQ231" s="137">
        <f>IF(BY231="snížená",J231,0)</f>
        <v>0</v>
      </c>
      <c r="DR231" s="137">
        <f>IF(BY231="zákl. přenesená",J231,0)</f>
        <v>0</v>
      </c>
      <c r="DS231" s="137">
        <f>IF(BY231="sníž. přenesená",J231,0)</f>
        <v>0</v>
      </c>
      <c r="DT231" s="137">
        <f>IF(BY231="nulová",J231,0)</f>
        <v>0</v>
      </c>
      <c r="DU231" s="16" t="s">
        <v>81</v>
      </c>
      <c r="DV231" s="137">
        <f>ROUND(I231*H231,2)</f>
        <v>31831.95</v>
      </c>
      <c r="DW231" s="16" t="s">
        <v>95</v>
      </c>
      <c r="DX231" s="136" t="s">
        <v>442</v>
      </c>
    </row>
    <row r="232" spans="2:128" s="1" customFormat="1" x14ac:dyDescent="0.2">
      <c r="B232" s="31"/>
      <c r="D232" s="138" t="s">
        <v>289</v>
      </c>
      <c r="F232" s="139" t="s">
        <v>441</v>
      </c>
      <c r="I232" s="140"/>
      <c r="L232" s="31"/>
      <c r="N232" s="213"/>
      <c r="O232" s="214"/>
      <c r="Q232" s="229"/>
      <c r="BX232" s="141"/>
      <c r="CE232" s="50"/>
      <c r="DE232" s="16" t="s">
        <v>289</v>
      </c>
      <c r="DF232" s="16" t="s">
        <v>83</v>
      </c>
    </row>
    <row r="233" spans="2:128" s="1" customFormat="1" ht="19.5" x14ac:dyDescent="0.2">
      <c r="B233" s="31"/>
      <c r="D233" s="138" t="s">
        <v>299</v>
      </c>
      <c r="F233" s="142" t="s">
        <v>443</v>
      </c>
      <c r="I233" s="140"/>
      <c r="L233" s="31"/>
      <c r="N233" s="213"/>
      <c r="O233" s="214"/>
      <c r="Q233" s="229"/>
      <c r="BX233" s="141"/>
      <c r="CE233" s="50"/>
      <c r="DE233" s="16" t="s">
        <v>299</v>
      </c>
      <c r="DF233" s="16" t="s">
        <v>83</v>
      </c>
    </row>
    <row r="234" spans="2:128" s="11" customFormat="1" x14ac:dyDescent="0.2">
      <c r="B234" s="143"/>
      <c r="D234" s="138" t="s">
        <v>301</v>
      </c>
      <c r="E234" s="144" t="s">
        <v>1</v>
      </c>
      <c r="F234" s="145" t="s">
        <v>1006</v>
      </c>
      <c r="H234" s="144" t="s">
        <v>1</v>
      </c>
      <c r="I234" s="146"/>
      <c r="L234" s="143"/>
      <c r="N234" s="215"/>
      <c r="O234" s="216"/>
      <c r="Q234" s="230"/>
      <c r="BX234" s="147"/>
      <c r="CE234" s="148"/>
      <c r="DE234" s="144" t="s">
        <v>301</v>
      </c>
      <c r="DF234" s="144" t="s">
        <v>83</v>
      </c>
      <c r="DG234" s="11" t="s">
        <v>81</v>
      </c>
      <c r="DH234" s="11" t="s">
        <v>32</v>
      </c>
      <c r="DI234" s="11" t="s">
        <v>74</v>
      </c>
      <c r="DJ234" s="144" t="s">
        <v>282</v>
      </c>
    </row>
    <row r="235" spans="2:128" s="12" customFormat="1" x14ac:dyDescent="0.2">
      <c r="B235" s="149"/>
      <c r="D235" s="138" t="s">
        <v>301</v>
      </c>
      <c r="E235" s="150" t="s">
        <v>1</v>
      </c>
      <c r="F235" s="151" t="s">
        <v>1771</v>
      </c>
      <c r="H235" s="152">
        <v>45.698</v>
      </c>
      <c r="I235" s="153"/>
      <c r="L235" s="149"/>
      <c r="N235" s="217">
        <v>52.37</v>
      </c>
      <c r="O235" s="218"/>
      <c r="Q235" s="231"/>
      <c r="BX235" s="154"/>
      <c r="CE235" s="155"/>
      <c r="DE235" s="150" t="s">
        <v>301</v>
      </c>
      <c r="DF235" s="150" t="s">
        <v>83</v>
      </c>
      <c r="DG235" s="12" t="s">
        <v>83</v>
      </c>
      <c r="DH235" s="12" t="s">
        <v>32</v>
      </c>
      <c r="DI235" s="12" t="s">
        <v>74</v>
      </c>
      <c r="DJ235" s="150" t="s">
        <v>282</v>
      </c>
    </row>
    <row r="236" spans="2:128" s="14" customFormat="1" x14ac:dyDescent="0.2">
      <c r="B236" s="163"/>
      <c r="D236" s="138" t="s">
        <v>301</v>
      </c>
      <c r="E236" s="164" t="s">
        <v>1</v>
      </c>
      <c r="F236" s="165" t="s">
        <v>373</v>
      </c>
      <c r="H236" s="166">
        <v>45.698</v>
      </c>
      <c r="I236" s="167"/>
      <c r="L236" s="163"/>
      <c r="N236" s="221">
        <f>N235</f>
        <v>52.37</v>
      </c>
      <c r="O236" s="222"/>
      <c r="Q236" s="233"/>
      <c r="BX236" s="168"/>
      <c r="CE236" s="169"/>
      <c r="DE236" s="164" t="s">
        <v>301</v>
      </c>
      <c r="DF236" s="164" t="s">
        <v>83</v>
      </c>
      <c r="DG236" s="14" t="s">
        <v>90</v>
      </c>
      <c r="DH236" s="14" t="s">
        <v>32</v>
      </c>
      <c r="DI236" s="14" t="s">
        <v>74</v>
      </c>
      <c r="DJ236" s="164" t="s">
        <v>282</v>
      </c>
    </row>
    <row r="237" spans="2:128" s="11" customFormat="1" x14ac:dyDescent="0.2">
      <c r="B237" s="143"/>
      <c r="D237" s="138" t="s">
        <v>301</v>
      </c>
      <c r="E237" s="144" t="s">
        <v>1</v>
      </c>
      <c r="F237" s="145" t="s">
        <v>1102</v>
      </c>
      <c r="H237" s="144" t="s">
        <v>1</v>
      </c>
      <c r="I237" s="146"/>
      <c r="L237" s="143"/>
      <c r="N237" s="215"/>
      <c r="O237" s="216"/>
      <c r="Q237" s="230"/>
      <c r="BX237" s="147"/>
      <c r="CE237" s="148"/>
      <c r="DE237" s="144" t="s">
        <v>301</v>
      </c>
      <c r="DF237" s="144" t="s">
        <v>83</v>
      </c>
      <c r="DG237" s="11" t="s">
        <v>81</v>
      </c>
      <c r="DH237" s="11" t="s">
        <v>32</v>
      </c>
      <c r="DI237" s="11" t="s">
        <v>74</v>
      </c>
      <c r="DJ237" s="144" t="s">
        <v>282</v>
      </c>
    </row>
    <row r="238" spans="2:128" s="12" customFormat="1" x14ac:dyDescent="0.2">
      <c r="B238" s="149"/>
      <c r="D238" s="138" t="s">
        <v>301</v>
      </c>
      <c r="E238" s="150" t="s">
        <v>1</v>
      </c>
      <c r="F238" s="151" t="s">
        <v>1760</v>
      </c>
      <c r="H238" s="152">
        <v>4.8979999999999997</v>
      </c>
      <c r="I238" s="153"/>
      <c r="L238" s="149"/>
      <c r="N238" s="217">
        <f>35.2*1*(2.2-0.1-0.45-0.1)*0.1</f>
        <v>5.4560000000000013</v>
      </c>
      <c r="O238" s="218" t="s">
        <v>3815</v>
      </c>
      <c r="Q238" s="231"/>
      <c r="BX238" s="154"/>
      <c r="CE238" s="155"/>
      <c r="DE238" s="150" t="s">
        <v>301</v>
      </c>
      <c r="DF238" s="150" t="s">
        <v>83</v>
      </c>
      <c r="DG238" s="12" t="s">
        <v>83</v>
      </c>
      <c r="DH238" s="12" t="s">
        <v>32</v>
      </c>
      <c r="DI238" s="12" t="s">
        <v>74</v>
      </c>
      <c r="DJ238" s="150" t="s">
        <v>282</v>
      </c>
    </row>
    <row r="239" spans="2:128" s="14" customFormat="1" x14ac:dyDescent="0.2">
      <c r="B239" s="163"/>
      <c r="D239" s="138" t="s">
        <v>301</v>
      </c>
      <c r="E239" s="164" t="s">
        <v>1</v>
      </c>
      <c r="F239" s="165" t="s">
        <v>373</v>
      </c>
      <c r="H239" s="166">
        <v>4.8979999999999997</v>
      </c>
      <c r="I239" s="167"/>
      <c r="L239" s="163"/>
      <c r="N239" s="221">
        <f>N238</f>
        <v>5.4560000000000013</v>
      </c>
      <c r="O239" s="222"/>
      <c r="Q239" s="233"/>
      <c r="BX239" s="168"/>
      <c r="CE239" s="169"/>
      <c r="DE239" s="164" t="s">
        <v>301</v>
      </c>
      <c r="DF239" s="164" t="s">
        <v>83</v>
      </c>
      <c r="DG239" s="14" t="s">
        <v>90</v>
      </c>
      <c r="DH239" s="14" t="s">
        <v>32</v>
      </c>
      <c r="DI239" s="14" t="s">
        <v>74</v>
      </c>
      <c r="DJ239" s="164" t="s">
        <v>282</v>
      </c>
    </row>
    <row r="240" spans="2:128" s="12" customFormat="1" x14ac:dyDescent="0.2">
      <c r="B240" s="149"/>
      <c r="D240" s="138" t="s">
        <v>301</v>
      </c>
      <c r="E240" s="150" t="s">
        <v>1</v>
      </c>
      <c r="F240" s="151" t="s">
        <v>1772</v>
      </c>
      <c r="H240" s="152">
        <v>40.799999999999997</v>
      </c>
      <c r="I240" s="153"/>
      <c r="L240" s="149"/>
      <c r="N240" s="217">
        <f>N236-N239</f>
        <v>46.913999999999994</v>
      </c>
      <c r="O240" s="218"/>
      <c r="Q240" s="231"/>
      <c r="BX240" s="154"/>
      <c r="CE240" s="155"/>
      <c r="DE240" s="150" t="s">
        <v>301</v>
      </c>
      <c r="DF240" s="150" t="s">
        <v>83</v>
      </c>
      <c r="DG240" s="12" t="s">
        <v>83</v>
      </c>
      <c r="DH240" s="12" t="s">
        <v>32</v>
      </c>
      <c r="DI240" s="12" t="s">
        <v>81</v>
      </c>
      <c r="DJ240" s="150" t="s">
        <v>282</v>
      </c>
    </row>
    <row r="241" spans="2:128" s="12" customFormat="1" x14ac:dyDescent="0.2">
      <c r="B241" s="149"/>
      <c r="D241" s="138" t="s">
        <v>301</v>
      </c>
      <c r="F241" s="151" t="s">
        <v>1773</v>
      </c>
      <c r="H241" s="152">
        <v>81.599999999999994</v>
      </c>
      <c r="I241" s="153"/>
      <c r="L241" s="149"/>
      <c r="N241" s="217">
        <f>N240*2</f>
        <v>93.827999999999989</v>
      </c>
      <c r="O241" s="218"/>
      <c r="Q241" s="231"/>
      <c r="BX241" s="154"/>
      <c r="CE241" s="155"/>
      <c r="DE241" s="150" t="s">
        <v>301</v>
      </c>
      <c r="DF241" s="150" t="s">
        <v>83</v>
      </c>
      <c r="DG241" s="12" t="s">
        <v>83</v>
      </c>
      <c r="DH241" s="12" t="s">
        <v>3</v>
      </c>
      <c r="DI241" s="12" t="s">
        <v>81</v>
      </c>
      <c r="DJ241" s="150" t="s">
        <v>282</v>
      </c>
    </row>
    <row r="242" spans="2:128" s="12" customFormat="1" x14ac:dyDescent="0.2">
      <c r="B242" s="149"/>
      <c r="D242" s="138"/>
      <c r="F242" s="151"/>
      <c r="H242" s="152"/>
      <c r="I242" s="153"/>
      <c r="L242" s="149"/>
      <c r="N242" s="310">
        <f>N241-H241</f>
        <v>12.227999999999994</v>
      </c>
      <c r="O242" s="218"/>
      <c r="Q242" s="231"/>
      <c r="BX242" s="154"/>
      <c r="CE242" s="155"/>
      <c r="DE242" s="150"/>
      <c r="DF242" s="150"/>
      <c r="DJ242" s="150"/>
    </row>
    <row r="243" spans="2:128" s="1" customFormat="1" ht="24.2" customHeight="1" x14ac:dyDescent="0.2">
      <c r="B243" s="124"/>
      <c r="C243" s="125" t="s">
        <v>397</v>
      </c>
      <c r="D243" s="125" t="s">
        <v>284</v>
      </c>
      <c r="E243" s="126" t="s">
        <v>446</v>
      </c>
      <c r="F243" s="127" t="s">
        <v>447</v>
      </c>
      <c r="G243" s="128" t="s">
        <v>366</v>
      </c>
      <c r="H243" s="129">
        <v>14.22</v>
      </c>
      <c r="I243" s="130">
        <v>510.38291484661499</v>
      </c>
      <c r="J243" s="131">
        <f>ROUND(I243*H243,2)</f>
        <v>7257.65</v>
      </c>
      <c r="K243" s="127" t="s">
        <v>293</v>
      </c>
      <c r="L243" s="268">
        <f>S243</f>
        <v>0</v>
      </c>
      <c r="M243" s="272">
        <f>ROUND(L243*I243,2)</f>
        <v>0</v>
      </c>
      <c r="N243" s="243">
        <f>N247</f>
        <v>1.620000000000001</v>
      </c>
      <c r="O243" s="294">
        <f>ROUND(N243*I243,2)</f>
        <v>826.82</v>
      </c>
      <c r="P243" s="273">
        <f>H243-L243-N243</f>
        <v>12.6</v>
      </c>
      <c r="Q243" s="287">
        <f>ROUND(P243*I243,2)</f>
        <v>6430.82</v>
      </c>
      <c r="R243" s="137"/>
      <c r="S243" s="269">
        <f>W243+Y243+AA243+AC243</f>
        <v>0</v>
      </c>
      <c r="T243" s="269">
        <f>ROUND(S243*I243,2)</f>
        <v>0</v>
      </c>
      <c r="U243" s="269">
        <f>H243-S243</f>
        <v>14.22</v>
      </c>
      <c r="V243" s="269">
        <f>ROUND(U243*I243,2)</f>
        <v>7257.65</v>
      </c>
      <c r="W243" s="269"/>
      <c r="X243" s="269"/>
      <c r="Y243" s="269"/>
      <c r="Z243" s="269"/>
      <c r="AA243" s="269"/>
      <c r="AB243" s="269"/>
      <c r="AC243" s="269"/>
      <c r="AD243" s="269"/>
      <c r="BX243" s="132" t="s">
        <v>1</v>
      </c>
      <c r="BY243" s="133" t="s">
        <v>40</v>
      </c>
      <c r="CA243" s="134">
        <f>BZ243*H243</f>
        <v>0</v>
      </c>
      <c r="CB243" s="134">
        <v>0</v>
      </c>
      <c r="CC243" s="134">
        <f>CB243*H243</f>
        <v>0</v>
      </c>
      <c r="CD243" s="134">
        <v>0</v>
      </c>
      <c r="CE243" s="135">
        <f>CD243*H243</f>
        <v>0</v>
      </c>
      <c r="DC243" s="136" t="s">
        <v>95</v>
      </c>
      <c r="DE243" s="136" t="s">
        <v>284</v>
      </c>
      <c r="DF243" s="136" t="s">
        <v>83</v>
      </c>
      <c r="DJ243" s="16" t="s">
        <v>282</v>
      </c>
      <c r="DP243" s="137">
        <f>IF(BY243="základní",J243,0)</f>
        <v>7257.65</v>
      </c>
      <c r="DQ243" s="137">
        <f>IF(BY243="snížená",J243,0)</f>
        <v>0</v>
      </c>
      <c r="DR243" s="137">
        <f>IF(BY243="zákl. přenesená",J243,0)</f>
        <v>0</v>
      </c>
      <c r="DS243" s="137">
        <f>IF(BY243="sníž. přenesená",J243,0)</f>
        <v>0</v>
      </c>
      <c r="DT243" s="137">
        <f>IF(BY243="nulová",J243,0)</f>
        <v>0</v>
      </c>
      <c r="DU243" s="16" t="s">
        <v>81</v>
      </c>
      <c r="DV243" s="137">
        <f>ROUND(I243*H243,2)</f>
        <v>7257.65</v>
      </c>
      <c r="DW243" s="16" t="s">
        <v>95</v>
      </c>
      <c r="DX243" s="136" t="s">
        <v>448</v>
      </c>
    </row>
    <row r="244" spans="2:128" s="1" customFormat="1" ht="39" x14ac:dyDescent="0.2">
      <c r="B244" s="31"/>
      <c r="D244" s="138" t="s">
        <v>289</v>
      </c>
      <c r="F244" s="139" t="s">
        <v>449</v>
      </c>
      <c r="I244" s="140"/>
      <c r="L244" s="31"/>
      <c r="N244" s="213"/>
      <c r="O244" s="214"/>
      <c r="Q244" s="229"/>
      <c r="BX244" s="141"/>
      <c r="CE244" s="50"/>
      <c r="DE244" s="16" t="s">
        <v>289</v>
      </c>
      <c r="DF244" s="16" t="s">
        <v>83</v>
      </c>
    </row>
    <row r="245" spans="2:128" s="1" customFormat="1" ht="29.25" x14ac:dyDescent="0.2">
      <c r="B245" s="31"/>
      <c r="D245" s="138" t="s">
        <v>299</v>
      </c>
      <c r="F245" s="142" t="s">
        <v>1659</v>
      </c>
      <c r="I245" s="140"/>
      <c r="L245" s="31"/>
      <c r="N245" s="213"/>
      <c r="O245" s="214"/>
      <c r="Q245" s="229"/>
      <c r="BX245" s="141"/>
      <c r="CE245" s="50"/>
      <c r="DE245" s="16" t="s">
        <v>299</v>
      </c>
      <c r="DF245" s="16" t="s">
        <v>83</v>
      </c>
    </row>
    <row r="246" spans="2:128" s="12" customFormat="1" x14ac:dyDescent="0.2">
      <c r="B246" s="149"/>
      <c r="D246" s="138" t="s">
        <v>301</v>
      </c>
      <c r="E246" s="150" t="s">
        <v>1</v>
      </c>
      <c r="F246" s="151" t="s">
        <v>1774</v>
      </c>
      <c r="H246" s="152">
        <v>14.22</v>
      </c>
      <c r="I246" s="153"/>
      <c r="L246" s="149"/>
      <c r="N246" s="217">
        <f>35.2*1*0.45</f>
        <v>15.840000000000002</v>
      </c>
      <c r="O246" s="218" t="s">
        <v>3817</v>
      </c>
      <c r="Q246" s="231"/>
      <c r="BX246" s="154"/>
      <c r="CE246" s="155"/>
      <c r="DE246" s="150" t="s">
        <v>301</v>
      </c>
      <c r="DF246" s="150" t="s">
        <v>83</v>
      </c>
      <c r="DG246" s="12" t="s">
        <v>83</v>
      </c>
      <c r="DH246" s="12" t="s">
        <v>32</v>
      </c>
      <c r="DI246" s="12" t="s">
        <v>81</v>
      </c>
      <c r="DJ246" s="150" t="s">
        <v>282</v>
      </c>
    </row>
    <row r="247" spans="2:128" s="12" customFormat="1" x14ac:dyDescent="0.2">
      <c r="B247" s="149"/>
      <c r="D247" s="138"/>
      <c r="E247" s="150"/>
      <c r="F247" s="151"/>
      <c r="H247" s="152"/>
      <c r="I247" s="153"/>
      <c r="L247" s="149"/>
      <c r="N247" s="310">
        <f>N246-H246</f>
        <v>1.620000000000001</v>
      </c>
      <c r="O247" s="218"/>
      <c r="Q247" s="231"/>
      <c r="BX247" s="154"/>
      <c r="CE247" s="155"/>
      <c r="DE247" s="150"/>
      <c r="DF247" s="150"/>
      <c r="DJ247" s="150"/>
    </row>
    <row r="248" spans="2:128" s="1" customFormat="1" ht="14.45" customHeight="1" x14ac:dyDescent="0.2">
      <c r="B248" s="124"/>
      <c r="C248" s="170" t="s">
        <v>404</v>
      </c>
      <c r="D248" s="170" t="s">
        <v>439</v>
      </c>
      <c r="E248" s="171" t="s">
        <v>452</v>
      </c>
      <c r="F248" s="172" t="s">
        <v>453</v>
      </c>
      <c r="G248" s="173" t="s">
        <v>418</v>
      </c>
      <c r="H248" s="174">
        <v>28.44</v>
      </c>
      <c r="I248" s="175">
        <v>380.62816190000001</v>
      </c>
      <c r="J248" s="176">
        <f>ROUND(I248*H248,2)</f>
        <v>10825.06</v>
      </c>
      <c r="K248" s="172" t="s">
        <v>293</v>
      </c>
      <c r="L248" s="268">
        <f>S248</f>
        <v>0</v>
      </c>
      <c r="M248" s="272">
        <f>ROUND(L248*I248,2)</f>
        <v>0</v>
      </c>
      <c r="N248" s="243">
        <f>N250</f>
        <v>3.24</v>
      </c>
      <c r="O248" s="294">
        <f>ROUND(N248*I248,2)</f>
        <v>1233.24</v>
      </c>
      <c r="P248" s="273">
        <f>H248-L248-N248</f>
        <v>25.200000000000003</v>
      </c>
      <c r="Q248" s="287">
        <f>ROUND(P248*I248,2)</f>
        <v>9591.83</v>
      </c>
      <c r="R248" s="137"/>
      <c r="S248" s="269">
        <f>W248+Y248+AA248+AC248</f>
        <v>0</v>
      </c>
      <c r="T248" s="269">
        <f>ROUND(S248*I248,2)</f>
        <v>0</v>
      </c>
      <c r="U248" s="269">
        <f>H248-S248</f>
        <v>28.44</v>
      </c>
      <c r="V248" s="269">
        <f>ROUND(U248*I248,2)</f>
        <v>10825.06</v>
      </c>
      <c r="W248" s="290"/>
      <c r="X248" s="290"/>
      <c r="Y248" s="290"/>
      <c r="Z248" s="290"/>
      <c r="AA248" s="290"/>
      <c r="AB248" s="290"/>
      <c r="AC248" s="290"/>
      <c r="AD248" s="290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77" t="s">
        <v>1</v>
      </c>
      <c r="BY248" s="178" t="s">
        <v>40</v>
      </c>
      <c r="CA248" s="134">
        <f>BZ248*H248</f>
        <v>0</v>
      </c>
      <c r="CB248" s="134">
        <v>1</v>
      </c>
      <c r="CC248" s="134">
        <f>CB248*H248</f>
        <v>28.44</v>
      </c>
      <c r="CD248" s="134">
        <v>0</v>
      </c>
      <c r="CE248" s="135">
        <f>CD248*H248</f>
        <v>0</v>
      </c>
      <c r="DC248" s="136" t="s">
        <v>328</v>
      </c>
      <c r="DE248" s="136" t="s">
        <v>439</v>
      </c>
      <c r="DF248" s="136" t="s">
        <v>83</v>
      </c>
      <c r="DJ248" s="16" t="s">
        <v>282</v>
      </c>
      <c r="DP248" s="137">
        <f>IF(BY248="základní",J248,0)</f>
        <v>10825.06</v>
      </c>
      <c r="DQ248" s="137">
        <f>IF(BY248="snížená",J248,0)</f>
        <v>0</v>
      </c>
      <c r="DR248" s="137">
        <f>IF(BY248="zákl. přenesená",J248,0)</f>
        <v>0</v>
      </c>
      <c r="DS248" s="137">
        <f>IF(BY248="sníž. přenesená",J248,0)</f>
        <v>0</v>
      </c>
      <c r="DT248" s="137">
        <f>IF(BY248="nulová",J248,0)</f>
        <v>0</v>
      </c>
      <c r="DU248" s="16" t="s">
        <v>81</v>
      </c>
      <c r="DV248" s="137">
        <f>ROUND(I248*H248,2)</f>
        <v>10825.06</v>
      </c>
      <c r="DW248" s="16" t="s">
        <v>95</v>
      </c>
      <c r="DX248" s="136" t="s">
        <v>454</v>
      </c>
    </row>
    <row r="249" spans="2:128" s="1" customFormat="1" x14ac:dyDescent="0.2">
      <c r="B249" s="31"/>
      <c r="D249" s="138" t="s">
        <v>289</v>
      </c>
      <c r="F249" s="139" t="s">
        <v>453</v>
      </c>
      <c r="I249" s="140"/>
      <c r="L249" s="31"/>
      <c r="N249" s="213"/>
      <c r="O249" s="214"/>
      <c r="Q249" s="229"/>
      <c r="BX249" s="141"/>
      <c r="CE249" s="50"/>
      <c r="DE249" s="16" t="s">
        <v>289</v>
      </c>
      <c r="DF249" s="16" t="s">
        <v>83</v>
      </c>
    </row>
    <row r="250" spans="2:128" s="12" customFormat="1" x14ac:dyDescent="0.2">
      <c r="B250" s="149"/>
      <c r="D250" s="138" t="s">
        <v>301</v>
      </c>
      <c r="F250" s="151" t="s">
        <v>1775</v>
      </c>
      <c r="H250" s="152">
        <v>28.44</v>
      </c>
      <c r="I250" s="153"/>
      <c r="L250" s="149"/>
      <c r="N250" s="217">
        <f>1.62*2</f>
        <v>3.24</v>
      </c>
      <c r="O250" s="218" t="s">
        <v>3818</v>
      </c>
      <c r="Q250" s="231"/>
      <c r="BX250" s="154"/>
      <c r="CE250" s="155"/>
      <c r="DE250" s="150" t="s">
        <v>301</v>
      </c>
      <c r="DF250" s="150" t="s">
        <v>83</v>
      </c>
      <c r="DG250" s="12" t="s">
        <v>83</v>
      </c>
      <c r="DH250" s="12" t="s">
        <v>3</v>
      </c>
      <c r="DI250" s="12" t="s">
        <v>81</v>
      </c>
      <c r="DJ250" s="150" t="s">
        <v>282</v>
      </c>
    </row>
    <row r="251" spans="2:128" s="1" customFormat="1" ht="24.2" customHeight="1" x14ac:dyDescent="0.2">
      <c r="B251" s="124"/>
      <c r="C251" s="125" t="s">
        <v>7</v>
      </c>
      <c r="D251" s="125" t="s">
        <v>284</v>
      </c>
      <c r="E251" s="126" t="s">
        <v>1012</v>
      </c>
      <c r="F251" s="127" t="s">
        <v>1013</v>
      </c>
      <c r="G251" s="128" t="s">
        <v>287</v>
      </c>
      <c r="H251" s="129">
        <v>9.48</v>
      </c>
      <c r="I251" s="130">
        <v>64.410667599999996</v>
      </c>
      <c r="J251" s="131">
        <f>ROUND(I251*H251,2)</f>
        <v>610.61</v>
      </c>
      <c r="K251" s="127" t="s">
        <v>1</v>
      </c>
      <c r="L251" s="268">
        <f>S251</f>
        <v>0</v>
      </c>
      <c r="M251" s="272">
        <f>ROUND(L251*I251,2)</f>
        <v>0</v>
      </c>
      <c r="N251" s="243">
        <f>N253</f>
        <v>1.0800000000000018</v>
      </c>
      <c r="O251" s="294">
        <f>ROUND(N251*I251,2)</f>
        <v>69.56</v>
      </c>
      <c r="P251" s="273">
        <f>H251-L251-N251</f>
        <v>8.3999999999999986</v>
      </c>
      <c r="Q251" s="287">
        <f>ROUND(P251*I251,2)</f>
        <v>541.04999999999995</v>
      </c>
      <c r="R251" s="137"/>
      <c r="S251" s="269">
        <f>W251+Y251+AA251+AC251</f>
        <v>0</v>
      </c>
      <c r="T251" s="269">
        <f>ROUND(S251*I251,2)</f>
        <v>0</v>
      </c>
      <c r="U251" s="269">
        <f>H251-S251</f>
        <v>9.48</v>
      </c>
      <c r="V251" s="269">
        <f>ROUND(U251*I251,2)</f>
        <v>610.61</v>
      </c>
      <c r="W251" s="269"/>
      <c r="X251" s="269"/>
      <c r="Y251" s="269"/>
      <c r="Z251" s="269"/>
      <c r="AA251" s="269"/>
      <c r="AB251" s="269"/>
      <c r="AC251" s="269"/>
      <c r="AD251" s="269"/>
      <c r="BX251" s="132" t="s">
        <v>1</v>
      </c>
      <c r="BY251" s="133" t="s">
        <v>40</v>
      </c>
      <c r="CA251" s="134">
        <f>BZ251*H251</f>
        <v>0</v>
      </c>
      <c r="CB251" s="134">
        <v>0</v>
      </c>
      <c r="CC251" s="134">
        <f>CB251*H251</f>
        <v>0</v>
      </c>
      <c r="CD251" s="134">
        <v>0</v>
      </c>
      <c r="CE251" s="135">
        <f>CD251*H251</f>
        <v>0</v>
      </c>
      <c r="DC251" s="136" t="s">
        <v>95</v>
      </c>
      <c r="DE251" s="136" t="s">
        <v>284</v>
      </c>
      <c r="DF251" s="136" t="s">
        <v>83</v>
      </c>
      <c r="DJ251" s="16" t="s">
        <v>282</v>
      </c>
      <c r="DP251" s="137">
        <f>IF(BY251="základní",J251,0)</f>
        <v>610.61</v>
      </c>
      <c r="DQ251" s="137">
        <f>IF(BY251="snížená",J251,0)</f>
        <v>0</v>
      </c>
      <c r="DR251" s="137">
        <f>IF(BY251="zákl. přenesená",J251,0)</f>
        <v>0</v>
      </c>
      <c r="DS251" s="137">
        <f>IF(BY251="sníž. přenesená",J251,0)</f>
        <v>0</v>
      </c>
      <c r="DT251" s="137">
        <f>IF(BY251="nulová",J251,0)</f>
        <v>0</v>
      </c>
      <c r="DU251" s="16" t="s">
        <v>81</v>
      </c>
      <c r="DV251" s="137">
        <f>ROUND(I251*H251,2)</f>
        <v>610.61</v>
      </c>
      <c r="DW251" s="16" t="s">
        <v>95</v>
      </c>
      <c r="DX251" s="136" t="s">
        <v>1014</v>
      </c>
    </row>
    <row r="252" spans="2:128" s="1" customFormat="1" x14ac:dyDescent="0.2">
      <c r="B252" s="31"/>
      <c r="D252" s="138" t="s">
        <v>289</v>
      </c>
      <c r="F252" s="139" t="s">
        <v>1013</v>
      </c>
      <c r="I252" s="140"/>
      <c r="L252" s="31"/>
      <c r="N252" s="213"/>
      <c r="O252" s="214"/>
      <c r="Q252" s="229"/>
      <c r="BX252" s="141"/>
      <c r="CE252" s="50"/>
      <c r="DE252" s="16" t="s">
        <v>289</v>
      </c>
      <c r="DF252" s="16" t="s">
        <v>83</v>
      </c>
    </row>
    <row r="253" spans="2:128" s="1" customFormat="1" ht="24.2" customHeight="1" x14ac:dyDescent="0.2">
      <c r="B253" s="124"/>
      <c r="C253" s="125" t="s">
        <v>415</v>
      </c>
      <c r="D253" s="125" t="s">
        <v>284</v>
      </c>
      <c r="E253" s="126" t="s">
        <v>1015</v>
      </c>
      <c r="F253" s="127" t="s">
        <v>1016</v>
      </c>
      <c r="G253" s="128" t="s">
        <v>287</v>
      </c>
      <c r="H253" s="129">
        <v>9.48</v>
      </c>
      <c r="I253" s="130">
        <v>48.300657632010001</v>
      </c>
      <c r="J253" s="131">
        <f>ROUND(I253*H253,2)</f>
        <v>457.89</v>
      </c>
      <c r="K253" s="127" t="s">
        <v>293</v>
      </c>
      <c r="L253" s="268">
        <f>S253</f>
        <v>0</v>
      </c>
      <c r="M253" s="272">
        <f>ROUND(L253*I253,2)</f>
        <v>0</v>
      </c>
      <c r="N253" s="243">
        <f>N258</f>
        <v>1.0800000000000018</v>
      </c>
      <c r="O253" s="294">
        <f>ROUND(N253*I253,2)</f>
        <v>52.16</v>
      </c>
      <c r="P253" s="273">
        <f>H253-L253-N253</f>
        <v>8.3999999999999986</v>
      </c>
      <c r="Q253" s="287">
        <f>ROUND(P253*I253,2)</f>
        <v>405.73</v>
      </c>
      <c r="R253" s="137"/>
      <c r="S253" s="269">
        <f>W253+Y253+AA253+AC253</f>
        <v>0</v>
      </c>
      <c r="T253" s="269">
        <f>ROUND(S253*I253,2)</f>
        <v>0</v>
      </c>
      <c r="U253" s="269">
        <f>H253-S253</f>
        <v>9.48</v>
      </c>
      <c r="V253" s="269">
        <f>ROUND(U253*I253,2)</f>
        <v>457.89</v>
      </c>
      <c r="W253" s="269"/>
      <c r="X253" s="269"/>
      <c r="Y253" s="269"/>
      <c r="Z253" s="269"/>
      <c r="AA253" s="269"/>
      <c r="AB253" s="269"/>
      <c r="AC253" s="269"/>
      <c r="AD253" s="269"/>
      <c r="BX253" s="132" t="s">
        <v>1</v>
      </c>
      <c r="BY253" s="133" t="s">
        <v>40</v>
      </c>
      <c r="CA253" s="134">
        <f>BZ253*H253</f>
        <v>0</v>
      </c>
      <c r="CB253" s="134">
        <v>0</v>
      </c>
      <c r="CC253" s="134">
        <f>CB253*H253</f>
        <v>0</v>
      </c>
      <c r="CD253" s="134">
        <v>0</v>
      </c>
      <c r="CE253" s="135">
        <f>CD253*H253</f>
        <v>0</v>
      </c>
      <c r="DC253" s="136" t="s">
        <v>95</v>
      </c>
      <c r="DE253" s="136" t="s">
        <v>284</v>
      </c>
      <c r="DF253" s="136" t="s">
        <v>83</v>
      </c>
      <c r="DJ253" s="16" t="s">
        <v>282</v>
      </c>
      <c r="DP253" s="137">
        <f>IF(BY253="základní",J253,0)</f>
        <v>457.89</v>
      </c>
      <c r="DQ253" s="137">
        <f>IF(BY253="snížená",J253,0)</f>
        <v>0</v>
      </c>
      <c r="DR253" s="137">
        <f>IF(BY253="zákl. přenesená",J253,0)</f>
        <v>0</v>
      </c>
      <c r="DS253" s="137">
        <f>IF(BY253="sníž. přenesená",J253,0)</f>
        <v>0</v>
      </c>
      <c r="DT253" s="137">
        <f>IF(BY253="nulová",J253,0)</f>
        <v>0</v>
      </c>
      <c r="DU253" s="16" t="s">
        <v>81</v>
      </c>
      <c r="DV253" s="137">
        <f>ROUND(I253*H253,2)</f>
        <v>457.89</v>
      </c>
      <c r="DW253" s="16" t="s">
        <v>95</v>
      </c>
      <c r="DX253" s="136" t="s">
        <v>1017</v>
      </c>
    </row>
    <row r="254" spans="2:128" s="1" customFormat="1" ht="29.25" x14ac:dyDescent="0.2">
      <c r="B254" s="31"/>
      <c r="D254" s="138" t="s">
        <v>289</v>
      </c>
      <c r="F254" s="139" t="s">
        <v>1018</v>
      </c>
      <c r="I254" s="140"/>
      <c r="L254" s="31"/>
      <c r="N254" s="213"/>
      <c r="O254" s="214"/>
      <c r="Q254" s="229"/>
      <c r="BX254" s="141"/>
      <c r="CE254" s="50"/>
      <c r="DE254" s="16" t="s">
        <v>289</v>
      </c>
      <c r="DF254" s="16" t="s">
        <v>83</v>
      </c>
    </row>
    <row r="255" spans="2:128" s="1" customFormat="1" ht="29.25" x14ac:dyDescent="0.2">
      <c r="B255" s="31"/>
      <c r="D255" s="138" t="s">
        <v>299</v>
      </c>
      <c r="F255" s="142" t="s">
        <v>1659</v>
      </c>
      <c r="I255" s="140"/>
      <c r="L255" s="31"/>
      <c r="N255" s="213"/>
      <c r="O255" s="214"/>
      <c r="Q255" s="229"/>
      <c r="BX255" s="141"/>
      <c r="CE255" s="50"/>
      <c r="DE255" s="16" t="s">
        <v>299</v>
      </c>
      <c r="DF255" s="16" t="s">
        <v>83</v>
      </c>
    </row>
    <row r="256" spans="2:128" s="11" customFormat="1" x14ac:dyDescent="0.2">
      <c r="B256" s="143"/>
      <c r="D256" s="138" t="s">
        <v>301</v>
      </c>
      <c r="E256" s="144" t="s">
        <v>1</v>
      </c>
      <c r="F256" s="145" t="s">
        <v>1088</v>
      </c>
      <c r="H256" s="144" t="s">
        <v>1</v>
      </c>
      <c r="I256" s="146"/>
      <c r="L256" s="143"/>
      <c r="N256" s="215"/>
      <c r="O256" s="216"/>
      <c r="Q256" s="230"/>
      <c r="BX256" s="147"/>
      <c r="CE256" s="148"/>
      <c r="DE256" s="144" t="s">
        <v>301</v>
      </c>
      <c r="DF256" s="144" t="s">
        <v>83</v>
      </c>
      <c r="DG256" s="11" t="s">
        <v>81</v>
      </c>
      <c r="DH256" s="11" t="s">
        <v>32</v>
      </c>
      <c r="DI256" s="11" t="s">
        <v>74</v>
      </c>
      <c r="DJ256" s="144" t="s">
        <v>282</v>
      </c>
    </row>
    <row r="257" spans="2:128" s="12" customFormat="1" x14ac:dyDescent="0.2">
      <c r="B257" s="149"/>
      <c r="D257" s="138" t="s">
        <v>301</v>
      </c>
      <c r="E257" s="150" t="s">
        <v>1</v>
      </c>
      <c r="F257" s="151" t="s">
        <v>1748</v>
      </c>
      <c r="H257" s="152">
        <v>9.48</v>
      </c>
      <c r="I257" s="153"/>
      <c r="L257" s="149"/>
      <c r="N257" s="217">
        <f>35.2*3*0.1</f>
        <v>10.560000000000002</v>
      </c>
      <c r="O257" s="218" t="s">
        <v>3806</v>
      </c>
      <c r="Q257" s="231"/>
      <c r="BX257" s="154"/>
      <c r="CE257" s="155"/>
      <c r="DE257" s="150" t="s">
        <v>301</v>
      </c>
      <c r="DF257" s="150" t="s">
        <v>83</v>
      </c>
      <c r="DG257" s="12" t="s">
        <v>83</v>
      </c>
      <c r="DH257" s="12" t="s">
        <v>32</v>
      </c>
      <c r="DI257" s="12" t="s">
        <v>81</v>
      </c>
      <c r="DJ257" s="150" t="s">
        <v>282</v>
      </c>
    </row>
    <row r="258" spans="2:128" s="12" customFormat="1" x14ac:dyDescent="0.2">
      <c r="B258" s="149"/>
      <c r="D258" s="138"/>
      <c r="E258" s="150"/>
      <c r="F258" s="151"/>
      <c r="H258" s="152"/>
      <c r="I258" s="153"/>
      <c r="L258" s="149"/>
      <c r="N258" s="310">
        <f>N257-H257</f>
        <v>1.0800000000000018</v>
      </c>
      <c r="O258" s="218"/>
      <c r="Q258" s="231"/>
      <c r="BX258" s="154"/>
      <c r="CE258" s="155"/>
      <c r="DE258" s="150"/>
      <c r="DF258" s="150"/>
      <c r="DJ258" s="150"/>
    </row>
    <row r="259" spans="2:128" s="1" customFormat="1" ht="24.2" customHeight="1" x14ac:dyDescent="0.2">
      <c r="B259" s="124"/>
      <c r="C259" s="125" t="s">
        <v>422</v>
      </c>
      <c r="D259" s="125" t="s">
        <v>284</v>
      </c>
      <c r="E259" s="126" t="s">
        <v>457</v>
      </c>
      <c r="F259" s="127" t="s">
        <v>458</v>
      </c>
      <c r="G259" s="128" t="s">
        <v>418</v>
      </c>
      <c r="H259" s="129">
        <v>110.04</v>
      </c>
      <c r="I259" s="130">
        <v>61.737071122597108</v>
      </c>
      <c r="J259" s="131">
        <f>ROUND(I259*H259,2)</f>
        <v>6793.55</v>
      </c>
      <c r="K259" s="127" t="s">
        <v>293</v>
      </c>
      <c r="L259" s="268">
        <f>S259</f>
        <v>0</v>
      </c>
      <c r="M259" s="272">
        <f>ROUND(L259*I259,2)</f>
        <v>0</v>
      </c>
      <c r="N259" s="243">
        <f>N261</f>
        <v>15.468</v>
      </c>
      <c r="O259" s="294">
        <f>ROUND(N259*I259,2)</f>
        <v>954.95</v>
      </c>
      <c r="P259" s="273">
        <f>H259-L259-N259</f>
        <v>94.572000000000003</v>
      </c>
      <c r="Q259" s="287">
        <f>ROUND(P259*I259,2)</f>
        <v>5838.6</v>
      </c>
      <c r="R259" s="137"/>
      <c r="S259" s="269">
        <f>W259+Y259+AA259+AC259</f>
        <v>0</v>
      </c>
      <c r="T259" s="269">
        <f>ROUND(S259*I259,2)</f>
        <v>0</v>
      </c>
      <c r="U259" s="269">
        <f>H259-S259</f>
        <v>110.04</v>
      </c>
      <c r="V259" s="269">
        <f>ROUND(U259*I259,2)</f>
        <v>6793.55</v>
      </c>
      <c r="W259" s="269"/>
      <c r="X259" s="269"/>
      <c r="Y259" s="269"/>
      <c r="Z259" s="269"/>
      <c r="AA259" s="269"/>
      <c r="AB259" s="269"/>
      <c r="AC259" s="269"/>
      <c r="AD259" s="269"/>
      <c r="BX259" s="132" t="s">
        <v>1</v>
      </c>
      <c r="BY259" s="133" t="s">
        <v>40</v>
      </c>
      <c r="CA259" s="134">
        <f>BZ259*H259</f>
        <v>0</v>
      </c>
      <c r="CB259" s="134">
        <v>0</v>
      </c>
      <c r="CC259" s="134">
        <f>CB259*H259</f>
        <v>0</v>
      </c>
      <c r="CD259" s="134">
        <v>0</v>
      </c>
      <c r="CE259" s="135">
        <f>CD259*H259</f>
        <v>0</v>
      </c>
      <c r="DC259" s="136" t="s">
        <v>95</v>
      </c>
      <c r="DE259" s="136" t="s">
        <v>284</v>
      </c>
      <c r="DF259" s="136" t="s">
        <v>83</v>
      </c>
      <c r="DJ259" s="16" t="s">
        <v>282</v>
      </c>
      <c r="DP259" s="137">
        <f>IF(BY259="základní",J259,0)</f>
        <v>6793.55</v>
      </c>
      <c r="DQ259" s="137">
        <f>IF(BY259="snížená",J259,0)</f>
        <v>0</v>
      </c>
      <c r="DR259" s="137">
        <f>IF(BY259="zákl. přenesená",J259,0)</f>
        <v>0</v>
      </c>
      <c r="DS259" s="137">
        <f>IF(BY259="sníž. přenesená",J259,0)</f>
        <v>0</v>
      </c>
      <c r="DT259" s="137">
        <f>IF(BY259="nulová",J259,0)</f>
        <v>0</v>
      </c>
      <c r="DU259" s="16" t="s">
        <v>81</v>
      </c>
      <c r="DV259" s="137">
        <f>ROUND(I259*H259,2)</f>
        <v>6793.55</v>
      </c>
      <c r="DW259" s="16" t="s">
        <v>95</v>
      </c>
      <c r="DX259" s="136" t="s">
        <v>459</v>
      </c>
    </row>
    <row r="260" spans="2:128" s="1" customFormat="1" ht="29.25" x14ac:dyDescent="0.2">
      <c r="B260" s="31"/>
      <c r="D260" s="138" t="s">
        <v>289</v>
      </c>
      <c r="F260" s="139" t="s">
        <v>460</v>
      </c>
      <c r="I260" s="140"/>
      <c r="L260" s="31"/>
      <c r="N260" s="213"/>
      <c r="O260" s="214"/>
      <c r="Q260" s="229"/>
      <c r="BX260" s="141"/>
      <c r="CE260" s="50"/>
      <c r="DE260" s="16" t="s">
        <v>289</v>
      </c>
      <c r="DF260" s="16" t="s">
        <v>83</v>
      </c>
    </row>
    <row r="261" spans="2:128" s="12" customFormat="1" x14ac:dyDescent="0.2">
      <c r="B261" s="149"/>
      <c r="D261" s="138" t="s">
        <v>301</v>
      </c>
      <c r="E261" s="150" t="s">
        <v>1</v>
      </c>
      <c r="F261" s="151" t="s">
        <v>1776</v>
      </c>
      <c r="H261" s="152">
        <v>110.04</v>
      </c>
      <c r="I261" s="153"/>
      <c r="L261" s="149"/>
      <c r="N261" s="217">
        <f>12.228+3.24</f>
        <v>15.468</v>
      </c>
      <c r="O261" s="218" t="s">
        <v>3826</v>
      </c>
      <c r="Q261" s="231"/>
      <c r="BX261" s="154"/>
      <c r="CE261" s="155"/>
      <c r="DE261" s="150" t="s">
        <v>301</v>
      </c>
      <c r="DF261" s="150" t="s">
        <v>83</v>
      </c>
      <c r="DG261" s="12" t="s">
        <v>83</v>
      </c>
      <c r="DH261" s="12" t="s">
        <v>32</v>
      </c>
      <c r="DI261" s="12" t="s">
        <v>81</v>
      </c>
      <c r="DJ261" s="150" t="s">
        <v>282</v>
      </c>
    </row>
    <row r="262" spans="2:128" s="10" customFormat="1" ht="22.9" customHeight="1" x14ac:dyDescent="0.2">
      <c r="B262" s="112"/>
      <c r="D262" s="113" t="s">
        <v>73</v>
      </c>
      <c r="E262" s="122" t="s">
        <v>83</v>
      </c>
      <c r="F262" s="122" t="s">
        <v>462</v>
      </c>
      <c r="I262" s="115"/>
      <c r="J262" s="123">
        <f>DV262</f>
        <v>8344.56</v>
      </c>
      <c r="L262" s="112"/>
      <c r="M262" s="270">
        <f>M263</f>
        <v>0</v>
      </c>
      <c r="N262" s="301"/>
      <c r="O262" s="302">
        <f t="shared" ref="O262:V262" si="3">O263</f>
        <v>950.65</v>
      </c>
      <c r="P262" s="270"/>
      <c r="Q262" s="288">
        <f t="shared" si="3"/>
        <v>7393.91</v>
      </c>
      <c r="R262" s="270"/>
      <c r="S262" s="270"/>
      <c r="T262" s="270">
        <f t="shared" si="3"/>
        <v>0</v>
      </c>
      <c r="U262" s="270"/>
      <c r="V262" s="270">
        <f t="shared" si="3"/>
        <v>8344.56</v>
      </c>
      <c r="BX262" s="117"/>
      <c r="CA262" s="118">
        <f>SUM(CA263:CA266)</f>
        <v>0</v>
      </c>
      <c r="CC262" s="118">
        <f>SUM(CC263:CC266)</f>
        <v>6.468204000000001</v>
      </c>
      <c r="CE262" s="119">
        <f>SUM(CE263:CE266)</f>
        <v>0</v>
      </c>
      <c r="DC262" s="113" t="s">
        <v>81</v>
      </c>
      <c r="DE262" s="120" t="s">
        <v>73</v>
      </c>
      <c r="DF262" s="120" t="s">
        <v>81</v>
      </c>
      <c r="DJ262" s="113" t="s">
        <v>282</v>
      </c>
      <c r="DV262" s="121">
        <f>SUM(DV263:DV266)</f>
        <v>8344.56</v>
      </c>
    </row>
    <row r="263" spans="2:128" s="1" customFormat="1" ht="37.9" customHeight="1" x14ac:dyDescent="0.2">
      <c r="B263" s="124"/>
      <c r="C263" s="125" t="s">
        <v>438</v>
      </c>
      <c r="D263" s="125" t="s">
        <v>284</v>
      </c>
      <c r="E263" s="126" t="s">
        <v>464</v>
      </c>
      <c r="F263" s="127" t="s">
        <v>465</v>
      </c>
      <c r="G263" s="128" t="s">
        <v>344</v>
      </c>
      <c r="H263" s="129">
        <v>31.6</v>
      </c>
      <c r="I263" s="130">
        <v>264.06831423630393</v>
      </c>
      <c r="J263" s="131">
        <f>ROUND(I263*H263,2)</f>
        <v>8344.56</v>
      </c>
      <c r="K263" s="127" t="s">
        <v>293</v>
      </c>
      <c r="L263" s="268">
        <f>S263</f>
        <v>0</v>
      </c>
      <c r="M263" s="272">
        <f>ROUND(L263*I263,2)</f>
        <v>0</v>
      </c>
      <c r="N263" s="243">
        <f>N266</f>
        <v>3.6000000000000014</v>
      </c>
      <c r="O263" s="294">
        <f>ROUND(N263*I263,2)</f>
        <v>950.65</v>
      </c>
      <c r="P263" s="273">
        <f>H263-L263-N263</f>
        <v>28</v>
      </c>
      <c r="Q263" s="287">
        <f>ROUND(P263*I263,2)</f>
        <v>7393.91</v>
      </c>
      <c r="R263" s="137"/>
      <c r="S263" s="269">
        <f>W263+Y263+AA263+AC263</f>
        <v>0</v>
      </c>
      <c r="T263" s="269">
        <f>ROUND(S263*I263,2)</f>
        <v>0</v>
      </c>
      <c r="U263" s="269">
        <f>H263-S263</f>
        <v>31.6</v>
      </c>
      <c r="V263" s="269">
        <f>ROUND(U263*I263,2)</f>
        <v>8344.56</v>
      </c>
      <c r="W263" s="269"/>
      <c r="X263" s="269"/>
      <c r="Y263" s="269"/>
      <c r="Z263" s="269"/>
      <c r="AA263" s="269"/>
      <c r="AB263" s="269"/>
      <c r="AC263" s="269"/>
      <c r="AD263" s="269"/>
      <c r="BX263" s="132" t="s">
        <v>1</v>
      </c>
      <c r="BY263" s="133" t="s">
        <v>40</v>
      </c>
      <c r="CA263" s="134">
        <f>BZ263*H263</f>
        <v>0</v>
      </c>
      <c r="CB263" s="134">
        <v>0.20469000000000001</v>
      </c>
      <c r="CC263" s="134">
        <f>CB263*H263</f>
        <v>6.468204000000001</v>
      </c>
      <c r="CD263" s="134">
        <v>0</v>
      </c>
      <c r="CE263" s="135">
        <f>CD263*H263</f>
        <v>0</v>
      </c>
      <c r="DC263" s="136" t="s">
        <v>95</v>
      </c>
      <c r="DE263" s="136" t="s">
        <v>284</v>
      </c>
      <c r="DF263" s="136" t="s">
        <v>83</v>
      </c>
      <c r="DJ263" s="16" t="s">
        <v>282</v>
      </c>
      <c r="DP263" s="137">
        <f>IF(BY263="základní",J263,0)</f>
        <v>8344.56</v>
      </c>
      <c r="DQ263" s="137">
        <f>IF(BY263="snížená",J263,0)</f>
        <v>0</v>
      </c>
      <c r="DR263" s="137">
        <f>IF(BY263="zákl. přenesená",J263,0)</f>
        <v>0</v>
      </c>
      <c r="DS263" s="137">
        <f>IF(BY263="sníž. přenesená",J263,0)</f>
        <v>0</v>
      </c>
      <c r="DT263" s="137">
        <f>IF(BY263="nulová",J263,0)</f>
        <v>0</v>
      </c>
      <c r="DU263" s="16" t="s">
        <v>81</v>
      </c>
      <c r="DV263" s="137">
        <f>ROUND(I263*H263,2)</f>
        <v>8344.56</v>
      </c>
      <c r="DW263" s="16" t="s">
        <v>95</v>
      </c>
      <c r="DX263" s="136" t="s">
        <v>466</v>
      </c>
    </row>
    <row r="264" spans="2:128" s="1" customFormat="1" ht="39" x14ac:dyDescent="0.2">
      <c r="B264" s="31"/>
      <c r="D264" s="138" t="s">
        <v>289</v>
      </c>
      <c r="F264" s="139" t="s">
        <v>467</v>
      </c>
      <c r="I264" s="140"/>
      <c r="L264" s="31"/>
      <c r="N264" s="213"/>
      <c r="O264" s="214"/>
      <c r="Q264" s="229"/>
      <c r="BX264" s="141"/>
      <c r="CE264" s="50"/>
      <c r="DE264" s="16" t="s">
        <v>289</v>
      </c>
      <c r="DF264" s="16" t="s">
        <v>83</v>
      </c>
    </row>
    <row r="265" spans="2:128" s="1" customFormat="1" ht="29.25" x14ac:dyDescent="0.2">
      <c r="B265" s="31"/>
      <c r="D265" s="138" t="s">
        <v>299</v>
      </c>
      <c r="F265" s="142" t="s">
        <v>1659</v>
      </c>
      <c r="I265" s="140"/>
      <c r="L265" s="31"/>
      <c r="N265" s="213"/>
      <c r="O265" s="214"/>
      <c r="Q265" s="229"/>
      <c r="BX265" s="141"/>
      <c r="CE265" s="50"/>
      <c r="DE265" s="16" t="s">
        <v>299</v>
      </c>
      <c r="DF265" s="16" t="s">
        <v>83</v>
      </c>
    </row>
    <row r="266" spans="2:128" s="12" customFormat="1" x14ac:dyDescent="0.2">
      <c r="B266" s="149"/>
      <c r="D266" s="138" t="s">
        <v>301</v>
      </c>
      <c r="E266" s="150" t="s">
        <v>1</v>
      </c>
      <c r="F266" s="151" t="s">
        <v>1777</v>
      </c>
      <c r="H266" s="152">
        <v>31.6</v>
      </c>
      <c r="I266" s="153"/>
      <c r="L266" s="149"/>
      <c r="N266" s="217">
        <f>35.2-31.6</f>
        <v>3.6000000000000014</v>
      </c>
      <c r="O266" s="218" t="s">
        <v>3819</v>
      </c>
      <c r="Q266" s="231"/>
      <c r="BX266" s="154"/>
      <c r="CE266" s="155"/>
      <c r="DE266" s="150" t="s">
        <v>301</v>
      </c>
      <c r="DF266" s="150" t="s">
        <v>83</v>
      </c>
      <c r="DG266" s="12" t="s">
        <v>83</v>
      </c>
      <c r="DH266" s="12" t="s">
        <v>32</v>
      </c>
      <c r="DI266" s="12" t="s">
        <v>81</v>
      </c>
      <c r="DJ266" s="150" t="s">
        <v>282</v>
      </c>
    </row>
    <row r="267" spans="2:128" s="10" customFormat="1" ht="22.9" customHeight="1" x14ac:dyDescent="0.2">
      <c r="B267" s="112"/>
      <c r="D267" s="113" t="s">
        <v>73</v>
      </c>
      <c r="E267" s="122" t="s">
        <v>95</v>
      </c>
      <c r="F267" s="122" t="s">
        <v>469</v>
      </c>
      <c r="I267" s="115"/>
      <c r="J267" s="123">
        <f>DV267</f>
        <v>9959.6200000000008</v>
      </c>
      <c r="L267" s="112"/>
      <c r="M267" s="270">
        <f>SUM(M268:M282)</f>
        <v>0</v>
      </c>
      <c r="N267" s="301"/>
      <c r="O267" s="302">
        <f t="shared" ref="O267:V267" si="4">SUM(O268:O282)</f>
        <v>853.69</v>
      </c>
      <c r="P267" s="270"/>
      <c r="Q267" s="288">
        <f t="shared" si="4"/>
        <v>9105.93</v>
      </c>
      <c r="R267" s="270"/>
      <c r="S267" s="270"/>
      <c r="T267" s="270">
        <f t="shared" si="4"/>
        <v>0</v>
      </c>
      <c r="U267" s="270"/>
      <c r="V267" s="270">
        <f t="shared" si="4"/>
        <v>9959.6200000000008</v>
      </c>
      <c r="BX267" s="117"/>
      <c r="CA267" s="118">
        <f>SUM(CA268:CA289)</f>
        <v>0</v>
      </c>
      <c r="CC267" s="118">
        <f>SUM(CC268:CC289)</f>
        <v>0</v>
      </c>
      <c r="CE267" s="119">
        <f>SUM(CE268:CE289)</f>
        <v>0</v>
      </c>
      <c r="DC267" s="113" t="s">
        <v>81</v>
      </c>
      <c r="DE267" s="120" t="s">
        <v>73</v>
      </c>
      <c r="DF267" s="120" t="s">
        <v>81</v>
      </c>
      <c r="DJ267" s="113" t="s">
        <v>282</v>
      </c>
      <c r="DV267" s="121">
        <f>SUM(DV268:DV289)</f>
        <v>9959.6200000000008</v>
      </c>
    </row>
    <row r="268" spans="2:128" s="1" customFormat="1" ht="14.45" customHeight="1" x14ac:dyDescent="0.2">
      <c r="B268" s="124"/>
      <c r="C268" s="125" t="s">
        <v>445</v>
      </c>
      <c r="D268" s="125" t="s">
        <v>284</v>
      </c>
      <c r="E268" s="126" t="s">
        <v>471</v>
      </c>
      <c r="F268" s="127" t="s">
        <v>472</v>
      </c>
      <c r="G268" s="128" t="s">
        <v>366</v>
      </c>
      <c r="H268" s="129">
        <v>3.16</v>
      </c>
      <c r="I268" s="130">
        <v>1200.17173250368</v>
      </c>
      <c r="J268" s="131">
        <f>ROUND(I268*H268,2)</f>
        <v>3792.54</v>
      </c>
      <c r="K268" s="127" t="s">
        <v>293</v>
      </c>
      <c r="L268" s="268">
        <f>S268</f>
        <v>0</v>
      </c>
      <c r="M268" s="272">
        <f>ROUND(L268*I268,2)</f>
        <v>0</v>
      </c>
      <c r="N268" s="243">
        <f>N272</f>
        <v>0.36000000000000032</v>
      </c>
      <c r="O268" s="294">
        <f>ROUND(N268*I268,2)</f>
        <v>432.06</v>
      </c>
      <c r="P268" s="273">
        <f>H268-L268-N268</f>
        <v>2.8</v>
      </c>
      <c r="Q268" s="287">
        <f>ROUND(P268*I268,2)</f>
        <v>3360.48</v>
      </c>
      <c r="R268" s="137"/>
      <c r="S268" s="269">
        <f>W268+Y268+AA268+AC268</f>
        <v>0</v>
      </c>
      <c r="T268" s="269">
        <f>ROUND(S268*I268,2)</f>
        <v>0</v>
      </c>
      <c r="U268" s="269">
        <f>H268-S268</f>
        <v>3.16</v>
      </c>
      <c r="V268" s="269">
        <f>ROUND(U268*I268,2)</f>
        <v>3792.54</v>
      </c>
      <c r="W268" s="269"/>
      <c r="X268" s="269"/>
      <c r="Y268" s="269"/>
      <c r="Z268" s="269"/>
      <c r="AA268" s="269"/>
      <c r="AB268" s="269"/>
      <c r="AC268" s="269"/>
      <c r="AD268" s="269"/>
      <c r="BX268" s="132" t="s">
        <v>1</v>
      </c>
      <c r="BY268" s="133" t="s">
        <v>40</v>
      </c>
      <c r="CA268" s="134">
        <f>BZ268*H268</f>
        <v>0</v>
      </c>
      <c r="CB268" s="134">
        <v>0</v>
      </c>
      <c r="CC268" s="134">
        <f>CB268*H268</f>
        <v>0</v>
      </c>
      <c r="CD268" s="134">
        <v>0</v>
      </c>
      <c r="CE268" s="135">
        <f>CD268*H268</f>
        <v>0</v>
      </c>
      <c r="DC268" s="136" t="s">
        <v>95</v>
      </c>
      <c r="DE268" s="136" t="s">
        <v>284</v>
      </c>
      <c r="DF268" s="136" t="s">
        <v>83</v>
      </c>
      <c r="DJ268" s="16" t="s">
        <v>282</v>
      </c>
      <c r="DP268" s="137">
        <f>IF(BY268="základní",J268,0)</f>
        <v>3792.54</v>
      </c>
      <c r="DQ268" s="137">
        <f>IF(BY268="snížená",J268,0)</f>
        <v>0</v>
      </c>
      <c r="DR268" s="137">
        <f>IF(BY268="zákl. přenesená",J268,0)</f>
        <v>0</v>
      </c>
      <c r="DS268" s="137">
        <f>IF(BY268="sníž. přenesená",J268,0)</f>
        <v>0</v>
      </c>
      <c r="DT268" s="137">
        <f>IF(BY268="nulová",J268,0)</f>
        <v>0</v>
      </c>
      <c r="DU268" s="16" t="s">
        <v>81</v>
      </c>
      <c r="DV268" s="137">
        <f>ROUND(I268*H268,2)</f>
        <v>3792.54</v>
      </c>
      <c r="DW268" s="16" t="s">
        <v>95</v>
      </c>
      <c r="DX268" s="136" t="s">
        <v>473</v>
      </c>
    </row>
    <row r="269" spans="2:128" s="1" customFormat="1" ht="19.5" x14ac:dyDescent="0.2">
      <c r="B269" s="31"/>
      <c r="D269" s="138" t="s">
        <v>289</v>
      </c>
      <c r="F269" s="139" t="s">
        <v>474</v>
      </c>
      <c r="I269" s="140"/>
      <c r="L269" s="31"/>
      <c r="N269" s="213"/>
      <c r="O269" s="214"/>
      <c r="Q269" s="229"/>
      <c r="BX269" s="141"/>
      <c r="CE269" s="50"/>
      <c r="DE269" s="16" t="s">
        <v>289</v>
      </c>
      <c r="DF269" s="16" t="s">
        <v>83</v>
      </c>
    </row>
    <row r="270" spans="2:128" s="1" customFormat="1" ht="29.25" x14ac:dyDescent="0.2">
      <c r="B270" s="31"/>
      <c r="D270" s="138" t="s">
        <v>299</v>
      </c>
      <c r="F270" s="142" t="s">
        <v>1659</v>
      </c>
      <c r="I270" s="140"/>
      <c r="L270" s="31"/>
      <c r="N270" s="213"/>
      <c r="O270" s="214"/>
      <c r="Q270" s="229"/>
      <c r="BX270" s="141"/>
      <c r="CE270" s="50"/>
      <c r="DE270" s="16" t="s">
        <v>299</v>
      </c>
      <c r="DF270" s="16" t="s">
        <v>83</v>
      </c>
    </row>
    <row r="271" spans="2:128" s="12" customFormat="1" x14ac:dyDescent="0.2">
      <c r="B271" s="149"/>
      <c r="D271" s="138" t="s">
        <v>301</v>
      </c>
      <c r="E271" s="150" t="s">
        <v>1</v>
      </c>
      <c r="F271" s="151" t="s">
        <v>1778</v>
      </c>
      <c r="H271" s="152">
        <v>3.16</v>
      </c>
      <c r="I271" s="153"/>
      <c r="L271" s="149"/>
      <c r="N271" s="217">
        <f>35.2*1*0.1</f>
        <v>3.5200000000000005</v>
      </c>
      <c r="O271" s="218" t="s">
        <v>3820</v>
      </c>
      <c r="Q271" s="231"/>
      <c r="BX271" s="154"/>
      <c r="CE271" s="155"/>
      <c r="DE271" s="150" t="s">
        <v>301</v>
      </c>
      <c r="DF271" s="150" t="s">
        <v>83</v>
      </c>
      <c r="DG271" s="12" t="s">
        <v>83</v>
      </c>
      <c r="DH271" s="12" t="s">
        <v>32</v>
      </c>
      <c r="DI271" s="12" t="s">
        <v>81</v>
      </c>
      <c r="DJ271" s="150" t="s">
        <v>282</v>
      </c>
    </row>
    <row r="272" spans="2:128" s="12" customFormat="1" x14ac:dyDescent="0.2">
      <c r="B272" s="149"/>
      <c r="D272" s="138"/>
      <c r="E272" s="150"/>
      <c r="F272" s="151"/>
      <c r="H272" s="152"/>
      <c r="I272" s="153"/>
      <c r="L272" s="149"/>
      <c r="N272" s="310">
        <f>N271-H271</f>
        <v>0.36000000000000032</v>
      </c>
      <c r="O272" s="218"/>
      <c r="Q272" s="231"/>
      <c r="BX272" s="154"/>
      <c r="CE272" s="155"/>
      <c r="DE272" s="150"/>
      <c r="DF272" s="150"/>
      <c r="DJ272" s="150"/>
    </row>
    <row r="273" spans="2:128" s="1" customFormat="1" ht="14.45" customHeight="1" x14ac:dyDescent="0.2">
      <c r="B273" s="124"/>
      <c r="C273" s="125" t="s">
        <v>451</v>
      </c>
      <c r="D273" s="125" t="s">
        <v>284</v>
      </c>
      <c r="E273" s="126" t="s">
        <v>477</v>
      </c>
      <c r="F273" s="127" t="s">
        <v>478</v>
      </c>
      <c r="G273" s="128" t="s">
        <v>366</v>
      </c>
      <c r="H273" s="129">
        <v>1.8</v>
      </c>
      <c r="I273" s="130">
        <v>1200.17173250368</v>
      </c>
      <c r="J273" s="131">
        <f>ROUND(I273*H273,2)</f>
        <v>2160.31</v>
      </c>
      <c r="K273" s="127" t="s">
        <v>1</v>
      </c>
      <c r="L273" s="268">
        <f>S273</f>
        <v>0</v>
      </c>
      <c r="M273" s="272">
        <f>ROUND(L273*I273,2)</f>
        <v>0</v>
      </c>
      <c r="N273" s="243">
        <f>N281</f>
        <v>0.25000000000000022</v>
      </c>
      <c r="O273" s="294">
        <f>ROUND(N273*I273,2)</f>
        <v>300.04000000000002</v>
      </c>
      <c r="P273" s="273">
        <f>H273-L273-N273</f>
        <v>1.5499999999999998</v>
      </c>
      <c r="Q273" s="287">
        <f>ROUND(P273*I273,2)</f>
        <v>1860.27</v>
      </c>
      <c r="R273" s="137"/>
      <c r="S273" s="269">
        <f>W273+Y273+AA273+AC273</f>
        <v>0</v>
      </c>
      <c r="T273" s="269">
        <f>ROUND(S273*I273,2)</f>
        <v>0</v>
      </c>
      <c r="U273" s="269">
        <f>H273-S273</f>
        <v>1.8</v>
      </c>
      <c r="V273" s="269">
        <f>ROUND(U273*I273,2)</f>
        <v>2160.31</v>
      </c>
      <c r="W273" s="269"/>
      <c r="X273" s="269"/>
      <c r="Y273" s="269"/>
      <c r="Z273" s="269"/>
      <c r="AA273" s="269"/>
      <c r="AB273" s="269"/>
      <c r="AC273" s="269"/>
      <c r="AD273" s="269"/>
      <c r="BX273" s="132" t="s">
        <v>1</v>
      </c>
      <c r="BY273" s="133" t="s">
        <v>40</v>
      </c>
      <c r="CA273" s="134">
        <f>BZ273*H273</f>
        <v>0</v>
      </c>
      <c r="CB273" s="134">
        <v>0</v>
      </c>
      <c r="CC273" s="134">
        <f>CB273*H273</f>
        <v>0</v>
      </c>
      <c r="CD273" s="134">
        <v>0</v>
      </c>
      <c r="CE273" s="135">
        <f>CD273*H273</f>
        <v>0</v>
      </c>
      <c r="DC273" s="136" t="s">
        <v>95</v>
      </c>
      <c r="DE273" s="136" t="s">
        <v>284</v>
      </c>
      <c r="DF273" s="136" t="s">
        <v>83</v>
      </c>
      <c r="DJ273" s="16" t="s">
        <v>282</v>
      </c>
      <c r="DP273" s="137">
        <f>IF(BY273="základní",J273,0)</f>
        <v>2160.31</v>
      </c>
      <c r="DQ273" s="137">
        <f>IF(BY273="snížená",J273,0)</f>
        <v>0</v>
      </c>
      <c r="DR273" s="137">
        <f>IF(BY273="zákl. přenesená",J273,0)</f>
        <v>0</v>
      </c>
      <c r="DS273" s="137">
        <f>IF(BY273="sníž. přenesená",J273,0)</f>
        <v>0</v>
      </c>
      <c r="DT273" s="137">
        <f>IF(BY273="nulová",J273,0)</f>
        <v>0</v>
      </c>
      <c r="DU273" s="16" t="s">
        <v>81</v>
      </c>
      <c r="DV273" s="137">
        <f>ROUND(I273*H273,2)</f>
        <v>2160.31</v>
      </c>
      <c r="DW273" s="16" t="s">
        <v>95</v>
      </c>
      <c r="DX273" s="136" t="s">
        <v>479</v>
      </c>
    </row>
    <row r="274" spans="2:128" s="1" customFormat="1" ht="19.5" x14ac:dyDescent="0.2">
      <c r="B274" s="31"/>
      <c r="D274" s="138" t="s">
        <v>289</v>
      </c>
      <c r="F274" s="139" t="s">
        <v>474</v>
      </c>
      <c r="I274" s="140"/>
      <c r="L274" s="31"/>
      <c r="N274" s="213"/>
      <c r="O274" s="214"/>
      <c r="Q274" s="229"/>
      <c r="BX274" s="141"/>
      <c r="CE274" s="50"/>
      <c r="DE274" s="16" t="s">
        <v>289</v>
      </c>
      <c r="DF274" s="16" t="s">
        <v>83</v>
      </c>
    </row>
    <row r="275" spans="2:128" s="1" customFormat="1" ht="29.25" x14ac:dyDescent="0.2">
      <c r="B275" s="31"/>
      <c r="D275" s="138" t="s">
        <v>299</v>
      </c>
      <c r="F275" s="142" t="s">
        <v>1659</v>
      </c>
      <c r="I275" s="140"/>
      <c r="L275" s="31"/>
      <c r="N275" s="213"/>
      <c r="O275" s="214"/>
      <c r="Q275" s="229"/>
      <c r="BX275" s="141"/>
      <c r="CE275" s="50"/>
      <c r="DE275" s="16" t="s">
        <v>299</v>
      </c>
      <c r="DF275" s="16" t="s">
        <v>83</v>
      </c>
    </row>
    <row r="276" spans="2:128" s="11" customFormat="1" x14ac:dyDescent="0.2">
      <c r="B276" s="143"/>
      <c r="D276" s="138" t="s">
        <v>301</v>
      </c>
      <c r="E276" s="144" t="s">
        <v>1</v>
      </c>
      <c r="F276" s="145" t="s">
        <v>1122</v>
      </c>
      <c r="H276" s="144" t="s">
        <v>1</v>
      </c>
      <c r="I276" s="146"/>
      <c r="L276" s="143"/>
      <c r="N276" s="215"/>
      <c r="O276" s="216"/>
      <c r="Q276" s="230"/>
      <c r="BX276" s="147"/>
      <c r="CE276" s="148"/>
      <c r="DE276" s="144" t="s">
        <v>301</v>
      </c>
      <c r="DF276" s="144" t="s">
        <v>83</v>
      </c>
      <c r="DG276" s="11" t="s">
        <v>81</v>
      </c>
      <c r="DH276" s="11" t="s">
        <v>32</v>
      </c>
      <c r="DI276" s="11" t="s">
        <v>74</v>
      </c>
      <c r="DJ276" s="144" t="s">
        <v>282</v>
      </c>
    </row>
    <row r="277" spans="2:128" s="12" customFormat="1" x14ac:dyDescent="0.2">
      <c r="B277" s="149"/>
      <c r="D277" s="138" t="s">
        <v>301</v>
      </c>
      <c r="E277" s="150" t="s">
        <v>1</v>
      </c>
      <c r="F277" s="151" t="s">
        <v>1779</v>
      </c>
      <c r="H277" s="152">
        <v>0.9</v>
      </c>
      <c r="I277" s="153"/>
      <c r="L277" s="149"/>
      <c r="N277" s="217">
        <f>1*1*0.1*7</f>
        <v>0.70000000000000007</v>
      </c>
      <c r="O277" s="218" t="s">
        <v>1227</v>
      </c>
      <c r="Q277" s="231"/>
      <c r="BX277" s="154"/>
      <c r="CE277" s="155"/>
      <c r="DE277" s="150" t="s">
        <v>301</v>
      </c>
      <c r="DF277" s="150" t="s">
        <v>83</v>
      </c>
      <c r="DG277" s="12" t="s">
        <v>83</v>
      </c>
      <c r="DH277" s="12" t="s">
        <v>32</v>
      </c>
      <c r="DI277" s="12" t="s">
        <v>74</v>
      </c>
      <c r="DJ277" s="150" t="s">
        <v>282</v>
      </c>
    </row>
    <row r="278" spans="2:128" s="11" customFormat="1" x14ac:dyDescent="0.2">
      <c r="B278" s="143"/>
      <c r="D278" s="138" t="s">
        <v>301</v>
      </c>
      <c r="E278" s="144" t="s">
        <v>1</v>
      </c>
      <c r="F278" s="145" t="s">
        <v>916</v>
      </c>
      <c r="H278" s="144" t="s">
        <v>1</v>
      </c>
      <c r="I278" s="146"/>
      <c r="L278" s="143"/>
      <c r="N278" s="215"/>
      <c r="O278" s="216"/>
      <c r="Q278" s="230"/>
      <c r="BX278" s="147"/>
      <c r="CE278" s="148"/>
      <c r="DE278" s="144" t="s">
        <v>301</v>
      </c>
      <c r="DF278" s="144" t="s">
        <v>83</v>
      </c>
      <c r="DG278" s="11" t="s">
        <v>81</v>
      </c>
      <c r="DH278" s="11" t="s">
        <v>32</v>
      </c>
      <c r="DI278" s="11" t="s">
        <v>74</v>
      </c>
      <c r="DJ278" s="144" t="s">
        <v>282</v>
      </c>
    </row>
    <row r="279" spans="2:128" s="12" customFormat="1" x14ac:dyDescent="0.2">
      <c r="B279" s="149"/>
      <c r="D279" s="138" t="s">
        <v>301</v>
      </c>
      <c r="E279" s="150" t="s">
        <v>1</v>
      </c>
      <c r="F279" s="151" t="s">
        <v>1643</v>
      </c>
      <c r="H279" s="152">
        <v>0.9</v>
      </c>
      <c r="I279" s="153"/>
      <c r="L279" s="149"/>
      <c r="N279" s="217">
        <f>1.5*1.5*0.1*6</f>
        <v>1.35</v>
      </c>
      <c r="O279" s="218" t="s">
        <v>3821</v>
      </c>
      <c r="Q279" s="231"/>
      <c r="BX279" s="154"/>
      <c r="CE279" s="155"/>
      <c r="DE279" s="150" t="s">
        <v>301</v>
      </c>
      <c r="DF279" s="150" t="s">
        <v>83</v>
      </c>
      <c r="DG279" s="12" t="s">
        <v>83</v>
      </c>
      <c r="DH279" s="12" t="s">
        <v>32</v>
      </c>
      <c r="DI279" s="12" t="s">
        <v>74</v>
      </c>
      <c r="DJ279" s="150" t="s">
        <v>282</v>
      </c>
    </row>
    <row r="280" spans="2:128" s="13" customFormat="1" x14ac:dyDescent="0.2">
      <c r="B280" s="156"/>
      <c r="D280" s="138" t="s">
        <v>301</v>
      </c>
      <c r="E280" s="157" t="s">
        <v>1</v>
      </c>
      <c r="F280" s="158" t="s">
        <v>305</v>
      </c>
      <c r="H280" s="159">
        <v>1.8</v>
      </c>
      <c r="I280" s="160"/>
      <c r="L280" s="156"/>
      <c r="N280" s="219">
        <f>N277+N279</f>
        <v>2.0500000000000003</v>
      </c>
      <c r="O280" s="220"/>
      <c r="Q280" s="232"/>
      <c r="BX280" s="161"/>
      <c r="CE280" s="162"/>
      <c r="DE280" s="157" t="s">
        <v>301</v>
      </c>
      <c r="DF280" s="157" t="s">
        <v>83</v>
      </c>
      <c r="DG280" s="13" t="s">
        <v>95</v>
      </c>
      <c r="DH280" s="13" t="s">
        <v>32</v>
      </c>
      <c r="DI280" s="13" t="s">
        <v>81</v>
      </c>
      <c r="DJ280" s="157" t="s">
        <v>282</v>
      </c>
    </row>
    <row r="281" spans="2:128" s="13" customFormat="1" x14ac:dyDescent="0.2">
      <c r="B281" s="156"/>
      <c r="D281" s="138"/>
      <c r="E281" s="157"/>
      <c r="F281" s="158"/>
      <c r="H281" s="159"/>
      <c r="I281" s="160"/>
      <c r="L281" s="156"/>
      <c r="N281" s="311">
        <f>N280-H280</f>
        <v>0.25000000000000022</v>
      </c>
      <c r="O281" s="220"/>
      <c r="Q281" s="232"/>
      <c r="BX281" s="161"/>
      <c r="CE281" s="162"/>
      <c r="DE281" s="157"/>
      <c r="DF281" s="157"/>
      <c r="DJ281" s="157"/>
    </row>
    <row r="282" spans="2:128" s="1" customFormat="1" ht="24.2" customHeight="1" x14ac:dyDescent="0.2">
      <c r="B282" s="124"/>
      <c r="C282" s="125" t="s">
        <v>456</v>
      </c>
      <c r="D282" s="125" t="s">
        <v>284</v>
      </c>
      <c r="E282" s="126" t="s">
        <v>515</v>
      </c>
      <c r="F282" s="127" t="s">
        <v>516</v>
      </c>
      <c r="G282" s="128" t="s">
        <v>366</v>
      </c>
      <c r="H282" s="129">
        <v>1.3839999999999999</v>
      </c>
      <c r="I282" s="130">
        <v>2895.0660868876225</v>
      </c>
      <c r="J282" s="131">
        <f>ROUND(I282*H282,2)</f>
        <v>4006.77</v>
      </c>
      <c r="K282" s="127" t="s">
        <v>293</v>
      </c>
      <c r="L282" s="268">
        <f>S282</f>
        <v>0</v>
      </c>
      <c r="M282" s="272">
        <f>ROUND(L282*I282,2)</f>
        <v>0</v>
      </c>
      <c r="N282" s="243">
        <f>N290</f>
        <v>4.2000000000000259E-2</v>
      </c>
      <c r="O282" s="294">
        <f>ROUND(N282*I282,2)</f>
        <v>121.59</v>
      </c>
      <c r="P282" s="273">
        <f>H282-L282-N282</f>
        <v>1.3419999999999996</v>
      </c>
      <c r="Q282" s="287">
        <f>ROUND(P282*I282,2)</f>
        <v>3885.18</v>
      </c>
      <c r="R282" s="137"/>
      <c r="S282" s="269">
        <f>W282+Y282+AA282+AC282</f>
        <v>0</v>
      </c>
      <c r="T282" s="269">
        <f>ROUND(S282*I282,2)</f>
        <v>0</v>
      </c>
      <c r="U282" s="269">
        <f>H282-S282</f>
        <v>1.3839999999999999</v>
      </c>
      <c r="V282" s="269">
        <f>ROUND(U282*I282,2)</f>
        <v>4006.77</v>
      </c>
      <c r="W282" s="269"/>
      <c r="X282" s="269"/>
      <c r="Y282" s="269"/>
      <c r="Z282" s="269"/>
      <c r="AA282" s="269"/>
      <c r="AB282" s="269"/>
      <c r="AC282" s="269"/>
      <c r="AD282" s="269"/>
      <c r="BX282" s="132" t="s">
        <v>1</v>
      </c>
      <c r="BY282" s="133" t="s">
        <v>40</v>
      </c>
      <c r="CA282" s="134">
        <f>BZ282*H282</f>
        <v>0</v>
      </c>
      <c r="CB282" s="134">
        <v>0</v>
      </c>
      <c r="CC282" s="134">
        <f>CB282*H282</f>
        <v>0</v>
      </c>
      <c r="CD282" s="134">
        <v>0</v>
      </c>
      <c r="CE282" s="135">
        <f>CD282*H282</f>
        <v>0</v>
      </c>
      <c r="DC282" s="136" t="s">
        <v>95</v>
      </c>
      <c r="DE282" s="136" t="s">
        <v>284</v>
      </c>
      <c r="DF282" s="136" t="s">
        <v>83</v>
      </c>
      <c r="DJ282" s="16" t="s">
        <v>282</v>
      </c>
      <c r="DP282" s="137">
        <f>IF(BY282="základní",J282,0)</f>
        <v>4006.77</v>
      </c>
      <c r="DQ282" s="137">
        <f>IF(BY282="snížená",J282,0)</f>
        <v>0</v>
      </c>
      <c r="DR282" s="137">
        <f>IF(BY282="zákl. přenesená",J282,0)</f>
        <v>0</v>
      </c>
      <c r="DS282" s="137">
        <f>IF(BY282="sníž. přenesená",J282,0)</f>
        <v>0</v>
      </c>
      <c r="DT282" s="137">
        <f>IF(BY282="nulová",J282,0)</f>
        <v>0</v>
      </c>
      <c r="DU282" s="16" t="s">
        <v>81</v>
      </c>
      <c r="DV282" s="137">
        <f>ROUND(I282*H282,2)</f>
        <v>4006.77</v>
      </c>
      <c r="DW282" s="16" t="s">
        <v>95</v>
      </c>
      <c r="DX282" s="136" t="s">
        <v>517</v>
      </c>
    </row>
    <row r="283" spans="2:128" s="1" customFormat="1" ht="29.25" x14ac:dyDescent="0.2">
      <c r="B283" s="31"/>
      <c r="D283" s="138" t="s">
        <v>289</v>
      </c>
      <c r="F283" s="139" t="s">
        <v>518</v>
      </c>
      <c r="I283" s="140"/>
      <c r="L283" s="31"/>
      <c r="N283" s="213"/>
      <c r="O283" s="214"/>
      <c r="Q283" s="229"/>
      <c r="BX283" s="141"/>
      <c r="CE283" s="50"/>
      <c r="DE283" s="16" t="s">
        <v>289</v>
      </c>
      <c r="DF283" s="16" t="s">
        <v>83</v>
      </c>
    </row>
    <row r="284" spans="2:128" s="1" customFormat="1" ht="29.25" x14ac:dyDescent="0.2">
      <c r="B284" s="31"/>
      <c r="D284" s="138" t="s">
        <v>299</v>
      </c>
      <c r="F284" s="142" t="s">
        <v>1659</v>
      </c>
      <c r="I284" s="140"/>
      <c r="L284" s="31"/>
      <c r="N284" s="213"/>
      <c r="O284" s="214"/>
      <c r="Q284" s="229"/>
      <c r="BX284" s="141"/>
      <c r="CE284" s="50"/>
      <c r="DE284" s="16" t="s">
        <v>299</v>
      </c>
      <c r="DF284" s="16" t="s">
        <v>83</v>
      </c>
    </row>
    <row r="285" spans="2:128" s="11" customFormat="1" x14ac:dyDescent="0.2">
      <c r="B285" s="143"/>
      <c r="D285" s="138" t="s">
        <v>301</v>
      </c>
      <c r="E285" s="144" t="s">
        <v>1</v>
      </c>
      <c r="F285" s="145" t="s">
        <v>1122</v>
      </c>
      <c r="H285" s="144" t="s">
        <v>1</v>
      </c>
      <c r="I285" s="146"/>
      <c r="L285" s="143"/>
      <c r="N285" s="215"/>
      <c r="O285" s="216"/>
      <c r="Q285" s="230"/>
      <c r="BX285" s="147"/>
      <c r="CE285" s="148"/>
      <c r="DE285" s="144" t="s">
        <v>301</v>
      </c>
      <c r="DF285" s="144" t="s">
        <v>83</v>
      </c>
      <c r="DG285" s="11" t="s">
        <v>81</v>
      </c>
      <c r="DH285" s="11" t="s">
        <v>32</v>
      </c>
      <c r="DI285" s="11" t="s">
        <v>74</v>
      </c>
      <c r="DJ285" s="144" t="s">
        <v>282</v>
      </c>
    </row>
    <row r="286" spans="2:128" s="12" customFormat="1" x14ac:dyDescent="0.2">
      <c r="B286" s="149"/>
      <c r="D286" s="138" t="s">
        <v>301</v>
      </c>
      <c r="E286" s="150" t="s">
        <v>1</v>
      </c>
      <c r="F286" s="151" t="s">
        <v>1779</v>
      </c>
      <c r="H286" s="152">
        <v>0.9</v>
      </c>
      <c r="I286" s="153"/>
      <c r="L286" s="149"/>
      <c r="N286" s="217">
        <f>1*1*0.1*7</f>
        <v>0.70000000000000007</v>
      </c>
      <c r="O286" s="218" t="s">
        <v>1227</v>
      </c>
      <c r="Q286" s="231"/>
      <c r="BX286" s="154"/>
      <c r="CE286" s="155"/>
      <c r="DE286" s="150" t="s">
        <v>301</v>
      </c>
      <c r="DF286" s="150" t="s">
        <v>83</v>
      </c>
      <c r="DG286" s="12" t="s">
        <v>83</v>
      </c>
      <c r="DH286" s="12" t="s">
        <v>32</v>
      </c>
      <c r="DI286" s="12" t="s">
        <v>74</v>
      </c>
      <c r="DJ286" s="150" t="s">
        <v>282</v>
      </c>
    </row>
    <row r="287" spans="2:128" s="11" customFormat="1" x14ac:dyDescent="0.2">
      <c r="B287" s="143"/>
      <c r="D287" s="138" t="s">
        <v>301</v>
      </c>
      <c r="E287" s="144" t="s">
        <v>1</v>
      </c>
      <c r="F287" s="145" t="s">
        <v>916</v>
      </c>
      <c r="H287" s="144" t="s">
        <v>1</v>
      </c>
      <c r="I287" s="146"/>
      <c r="L287" s="143"/>
      <c r="N287" s="215"/>
      <c r="O287" s="216"/>
      <c r="Q287" s="230"/>
      <c r="BX287" s="147"/>
      <c r="CE287" s="148"/>
      <c r="DE287" s="144" t="s">
        <v>301</v>
      </c>
      <c r="DF287" s="144" t="s">
        <v>83</v>
      </c>
      <c r="DG287" s="11" t="s">
        <v>81</v>
      </c>
      <c r="DH287" s="11" t="s">
        <v>32</v>
      </c>
      <c r="DI287" s="11" t="s">
        <v>74</v>
      </c>
      <c r="DJ287" s="144" t="s">
        <v>282</v>
      </c>
    </row>
    <row r="288" spans="2:128" s="12" customFormat="1" x14ac:dyDescent="0.2">
      <c r="B288" s="149"/>
      <c r="D288" s="138" t="s">
        <v>301</v>
      </c>
      <c r="E288" s="150" t="s">
        <v>1</v>
      </c>
      <c r="F288" s="151" t="s">
        <v>1780</v>
      </c>
      <c r="H288" s="152">
        <v>0.48399999999999999</v>
      </c>
      <c r="I288" s="153"/>
      <c r="L288" s="149"/>
      <c r="N288" s="217">
        <f>1.1*1.1*0.1*6</f>
        <v>0.7260000000000002</v>
      </c>
      <c r="O288" s="218" t="s">
        <v>3822</v>
      </c>
      <c r="Q288" s="231"/>
      <c r="BX288" s="154"/>
      <c r="CE288" s="155"/>
      <c r="DE288" s="150" t="s">
        <v>301</v>
      </c>
      <c r="DF288" s="150" t="s">
        <v>83</v>
      </c>
      <c r="DG288" s="12" t="s">
        <v>83</v>
      </c>
      <c r="DH288" s="12" t="s">
        <v>32</v>
      </c>
      <c r="DI288" s="12" t="s">
        <v>74</v>
      </c>
      <c r="DJ288" s="150" t="s">
        <v>282</v>
      </c>
    </row>
    <row r="289" spans="2:128" s="13" customFormat="1" x14ac:dyDescent="0.2">
      <c r="B289" s="156"/>
      <c r="D289" s="138" t="s">
        <v>301</v>
      </c>
      <c r="E289" s="157" t="s">
        <v>1</v>
      </c>
      <c r="F289" s="158" t="s">
        <v>305</v>
      </c>
      <c r="H289" s="159">
        <v>1.3839999999999999</v>
      </c>
      <c r="I289" s="160"/>
      <c r="L289" s="156"/>
      <c r="N289" s="219">
        <f>N286+N288</f>
        <v>1.4260000000000002</v>
      </c>
      <c r="O289" s="220"/>
      <c r="Q289" s="232"/>
      <c r="BX289" s="161"/>
      <c r="CE289" s="162"/>
      <c r="DE289" s="157" t="s">
        <v>301</v>
      </c>
      <c r="DF289" s="157" t="s">
        <v>83</v>
      </c>
      <c r="DG289" s="13" t="s">
        <v>95</v>
      </c>
      <c r="DH289" s="13" t="s">
        <v>32</v>
      </c>
      <c r="DI289" s="13" t="s">
        <v>81</v>
      </c>
      <c r="DJ289" s="157" t="s">
        <v>282</v>
      </c>
    </row>
    <row r="290" spans="2:128" s="13" customFormat="1" x14ac:dyDescent="0.2">
      <c r="B290" s="156"/>
      <c r="D290" s="138"/>
      <c r="E290" s="157"/>
      <c r="F290" s="158"/>
      <c r="H290" s="159"/>
      <c r="I290" s="160"/>
      <c r="L290" s="156"/>
      <c r="N290" s="311">
        <f>N289-H289</f>
        <v>4.2000000000000259E-2</v>
      </c>
      <c r="O290" s="220"/>
      <c r="Q290" s="232"/>
      <c r="BX290" s="161"/>
      <c r="CE290" s="162"/>
      <c r="DE290" s="157"/>
      <c r="DF290" s="157"/>
      <c r="DJ290" s="157"/>
    </row>
    <row r="291" spans="2:128" s="10" customFormat="1" ht="22.9" customHeight="1" x14ac:dyDescent="0.2">
      <c r="B291" s="112"/>
      <c r="D291" s="113" t="s">
        <v>73</v>
      </c>
      <c r="E291" s="122" t="s">
        <v>312</v>
      </c>
      <c r="F291" s="122" t="s">
        <v>520</v>
      </c>
      <c r="I291" s="115"/>
      <c r="J291" s="123">
        <f>DV291</f>
        <v>22879.229999999996</v>
      </c>
      <c r="L291" s="112"/>
      <c r="M291" s="270">
        <f>SUM(M292:M298)</f>
        <v>0</v>
      </c>
      <c r="N291" s="301"/>
      <c r="O291" s="302">
        <f t="shared" ref="O291:V291" si="5">SUM(O292:O298)</f>
        <v>3372.3700000000003</v>
      </c>
      <c r="P291" s="270"/>
      <c r="Q291" s="288">
        <f t="shared" si="5"/>
        <v>19506.870000000003</v>
      </c>
      <c r="R291" s="270"/>
      <c r="S291" s="270"/>
      <c r="T291" s="270">
        <f t="shared" si="5"/>
        <v>0</v>
      </c>
      <c r="U291" s="270"/>
      <c r="V291" s="270">
        <f t="shared" si="5"/>
        <v>22879.229999999996</v>
      </c>
      <c r="BX291" s="117"/>
      <c r="CA291" s="118">
        <f>SUM(CA292:CA302)</f>
        <v>0</v>
      </c>
      <c r="CC291" s="118">
        <f>SUM(CC292:CC302)</f>
        <v>0</v>
      </c>
      <c r="CE291" s="119">
        <f>SUM(CE292:CE302)</f>
        <v>0</v>
      </c>
      <c r="DC291" s="113" t="s">
        <v>81</v>
      </c>
      <c r="DE291" s="120" t="s">
        <v>73</v>
      </c>
      <c r="DF291" s="120" t="s">
        <v>81</v>
      </c>
      <c r="DJ291" s="113" t="s">
        <v>282</v>
      </c>
      <c r="DV291" s="121">
        <f>SUM(DV292:DV302)</f>
        <v>22879.229999999996</v>
      </c>
    </row>
    <row r="292" spans="2:128" s="1" customFormat="1" ht="24.2" customHeight="1" x14ac:dyDescent="0.2">
      <c r="B292" s="124"/>
      <c r="C292" s="125" t="s">
        <v>463</v>
      </c>
      <c r="D292" s="125" t="s">
        <v>284</v>
      </c>
      <c r="E292" s="126" t="s">
        <v>522</v>
      </c>
      <c r="F292" s="127" t="s">
        <v>523</v>
      </c>
      <c r="G292" s="128" t="s">
        <v>287</v>
      </c>
      <c r="H292" s="129">
        <v>31.14</v>
      </c>
      <c r="I292" s="130">
        <v>130.95617506780872</v>
      </c>
      <c r="J292" s="131">
        <f>ROUND(I292*H292,2)</f>
        <v>4077.98</v>
      </c>
      <c r="K292" s="127" t="s">
        <v>293</v>
      </c>
      <c r="L292" s="268">
        <f>S292</f>
        <v>0</v>
      </c>
      <c r="M292" s="272">
        <f>ROUND(L292*I292,2)</f>
        <v>0</v>
      </c>
      <c r="N292" s="243">
        <f>N126</f>
        <v>4.5900000000000034</v>
      </c>
      <c r="O292" s="294">
        <f>ROUND(N292*I292,2)</f>
        <v>601.09</v>
      </c>
      <c r="P292" s="273">
        <f>H292-L292-N292</f>
        <v>26.549999999999997</v>
      </c>
      <c r="Q292" s="287">
        <f>ROUND(P292*I292,2)</f>
        <v>3476.89</v>
      </c>
      <c r="R292" s="137"/>
      <c r="S292" s="269">
        <f>W292+Y292+AA292+AC292</f>
        <v>0</v>
      </c>
      <c r="T292" s="269">
        <f>ROUND(S292*I292,2)</f>
        <v>0</v>
      </c>
      <c r="U292" s="269">
        <f>H292-S292</f>
        <v>31.14</v>
      </c>
      <c r="V292" s="269">
        <f>ROUND(U292*I292,2)</f>
        <v>4077.98</v>
      </c>
      <c r="W292" s="269"/>
      <c r="X292" s="269"/>
      <c r="Y292" s="269"/>
      <c r="Z292" s="269"/>
      <c r="AA292" s="269"/>
      <c r="AB292" s="269"/>
      <c r="AC292" s="269"/>
      <c r="AD292" s="269"/>
      <c r="BX292" s="132" t="s">
        <v>1</v>
      </c>
      <c r="BY292" s="133" t="s">
        <v>40</v>
      </c>
      <c r="CA292" s="134">
        <f>BZ292*H292</f>
        <v>0</v>
      </c>
      <c r="CB292" s="134">
        <v>0</v>
      </c>
      <c r="CC292" s="134">
        <f>CB292*H292</f>
        <v>0</v>
      </c>
      <c r="CD292" s="134">
        <v>0</v>
      </c>
      <c r="CE292" s="135">
        <f>CD292*H292</f>
        <v>0</v>
      </c>
      <c r="DC292" s="136" t="s">
        <v>95</v>
      </c>
      <c r="DE292" s="136" t="s">
        <v>284</v>
      </c>
      <c r="DF292" s="136" t="s">
        <v>83</v>
      </c>
      <c r="DJ292" s="16" t="s">
        <v>282</v>
      </c>
      <c r="DP292" s="137">
        <f>IF(BY292="základní",J292,0)</f>
        <v>4077.98</v>
      </c>
      <c r="DQ292" s="137">
        <f>IF(BY292="snížená",J292,0)</f>
        <v>0</v>
      </c>
      <c r="DR292" s="137">
        <f>IF(BY292="zákl. přenesená",J292,0)</f>
        <v>0</v>
      </c>
      <c r="DS292" s="137">
        <f>IF(BY292="sníž. přenesená",J292,0)</f>
        <v>0</v>
      </c>
      <c r="DT292" s="137">
        <f>IF(BY292="nulová",J292,0)</f>
        <v>0</v>
      </c>
      <c r="DU292" s="16" t="s">
        <v>81</v>
      </c>
      <c r="DV292" s="137">
        <f>ROUND(I292*H292,2)</f>
        <v>4077.98</v>
      </c>
      <c r="DW292" s="16" t="s">
        <v>95</v>
      </c>
      <c r="DX292" s="136" t="s">
        <v>524</v>
      </c>
    </row>
    <row r="293" spans="2:128" s="1" customFormat="1" ht="19.5" x14ac:dyDescent="0.2">
      <c r="B293" s="31"/>
      <c r="D293" s="138" t="s">
        <v>289</v>
      </c>
      <c r="F293" s="139" t="s">
        <v>525</v>
      </c>
      <c r="I293" s="140"/>
      <c r="L293" s="31"/>
      <c r="N293" s="213"/>
      <c r="O293" s="214"/>
      <c r="Q293" s="229"/>
      <c r="BX293" s="141"/>
      <c r="CE293" s="50"/>
      <c r="DE293" s="16" t="s">
        <v>289</v>
      </c>
      <c r="DF293" s="16" t="s">
        <v>83</v>
      </c>
    </row>
    <row r="294" spans="2:128" s="1" customFormat="1" ht="14.45" customHeight="1" x14ac:dyDescent="0.2">
      <c r="B294" s="124"/>
      <c r="C294" s="125" t="s">
        <v>470</v>
      </c>
      <c r="D294" s="125" t="s">
        <v>284</v>
      </c>
      <c r="E294" s="126" t="s">
        <v>527</v>
      </c>
      <c r="F294" s="127" t="s">
        <v>528</v>
      </c>
      <c r="G294" s="128" t="s">
        <v>287</v>
      </c>
      <c r="H294" s="129">
        <v>31.14</v>
      </c>
      <c r="I294" s="130">
        <v>200.20823792465458</v>
      </c>
      <c r="J294" s="131">
        <f>ROUND(I294*H294,2)</f>
        <v>6234.48</v>
      </c>
      <c r="K294" s="127" t="s">
        <v>293</v>
      </c>
      <c r="L294" s="268">
        <f>S294</f>
        <v>0</v>
      </c>
      <c r="M294" s="272">
        <f>ROUND(L294*I294,2)</f>
        <v>0</v>
      </c>
      <c r="N294" s="243">
        <f>N292</f>
        <v>4.5900000000000034</v>
      </c>
      <c r="O294" s="294">
        <f>ROUND(N294*I294,2)</f>
        <v>918.96</v>
      </c>
      <c r="P294" s="273">
        <f>H294-L294-N294</f>
        <v>26.549999999999997</v>
      </c>
      <c r="Q294" s="287">
        <f>ROUND(P294*I294,2)</f>
        <v>5315.53</v>
      </c>
      <c r="R294" s="137"/>
      <c r="S294" s="269">
        <f>W294+Y294+AA294+AC294</f>
        <v>0</v>
      </c>
      <c r="T294" s="269">
        <f>ROUND(S294*I294,2)</f>
        <v>0</v>
      </c>
      <c r="U294" s="269">
        <f>H294-S294</f>
        <v>31.14</v>
      </c>
      <c r="V294" s="269">
        <f>ROUND(U294*I294,2)</f>
        <v>6234.48</v>
      </c>
      <c r="W294" s="269"/>
      <c r="X294" s="269"/>
      <c r="Y294" s="269"/>
      <c r="Z294" s="269"/>
      <c r="AA294" s="269"/>
      <c r="AB294" s="269"/>
      <c r="AC294" s="269"/>
      <c r="AD294" s="269"/>
      <c r="BX294" s="132" t="s">
        <v>1</v>
      </c>
      <c r="BY294" s="133" t="s">
        <v>40</v>
      </c>
      <c r="CA294" s="134">
        <f>BZ294*H294</f>
        <v>0</v>
      </c>
      <c r="CB294" s="134">
        <v>0</v>
      </c>
      <c r="CC294" s="134">
        <f>CB294*H294</f>
        <v>0</v>
      </c>
      <c r="CD294" s="134">
        <v>0</v>
      </c>
      <c r="CE294" s="135">
        <f>CD294*H294</f>
        <v>0</v>
      </c>
      <c r="DC294" s="136" t="s">
        <v>95</v>
      </c>
      <c r="DE294" s="136" t="s">
        <v>284</v>
      </c>
      <c r="DF294" s="136" t="s">
        <v>83</v>
      </c>
      <c r="DJ294" s="16" t="s">
        <v>282</v>
      </c>
      <c r="DP294" s="137">
        <f>IF(BY294="základní",J294,0)</f>
        <v>6234.48</v>
      </c>
      <c r="DQ294" s="137">
        <f>IF(BY294="snížená",J294,0)</f>
        <v>0</v>
      </c>
      <c r="DR294" s="137">
        <f>IF(BY294="zákl. přenesená",J294,0)</f>
        <v>0</v>
      </c>
      <c r="DS294" s="137">
        <f>IF(BY294="sníž. přenesená",J294,0)</f>
        <v>0</v>
      </c>
      <c r="DT294" s="137">
        <f>IF(BY294="nulová",J294,0)</f>
        <v>0</v>
      </c>
      <c r="DU294" s="16" t="s">
        <v>81</v>
      </c>
      <c r="DV294" s="137">
        <f>ROUND(I294*H294,2)</f>
        <v>6234.48</v>
      </c>
      <c r="DW294" s="16" t="s">
        <v>95</v>
      </c>
      <c r="DX294" s="136" t="s">
        <v>529</v>
      </c>
    </row>
    <row r="295" spans="2:128" s="1" customFormat="1" ht="19.5" x14ac:dyDescent="0.2">
      <c r="B295" s="31"/>
      <c r="D295" s="138" t="s">
        <v>289</v>
      </c>
      <c r="F295" s="139" t="s">
        <v>530</v>
      </c>
      <c r="I295" s="140"/>
      <c r="L295" s="31"/>
      <c r="N295" s="213"/>
      <c r="O295" s="214"/>
      <c r="Q295" s="229"/>
      <c r="BX295" s="141"/>
      <c r="CE295" s="50"/>
      <c r="DE295" s="16" t="s">
        <v>289</v>
      </c>
      <c r="DF295" s="16" t="s">
        <v>83</v>
      </c>
    </row>
    <row r="296" spans="2:128" s="1" customFormat="1" ht="24.2" customHeight="1" x14ac:dyDescent="0.2">
      <c r="B296" s="124"/>
      <c r="C296" s="125" t="s">
        <v>476</v>
      </c>
      <c r="D296" s="125" t="s">
        <v>284</v>
      </c>
      <c r="E296" s="126" t="s">
        <v>532</v>
      </c>
      <c r="F296" s="127" t="s">
        <v>533</v>
      </c>
      <c r="G296" s="128" t="s">
        <v>287</v>
      </c>
      <c r="H296" s="129">
        <v>31.14</v>
      </c>
      <c r="I296" s="130">
        <v>40.878739778868102</v>
      </c>
      <c r="J296" s="131">
        <f>ROUND(I296*H296,2)</f>
        <v>1272.96</v>
      </c>
      <c r="K296" s="127" t="s">
        <v>293</v>
      </c>
      <c r="L296" s="268">
        <f>S296</f>
        <v>0</v>
      </c>
      <c r="M296" s="272">
        <f>ROUND(L296*I296,2)</f>
        <v>0</v>
      </c>
      <c r="N296" s="243">
        <f>N292</f>
        <v>4.5900000000000034</v>
      </c>
      <c r="O296" s="294">
        <f>ROUND(N296*I296,2)</f>
        <v>187.63</v>
      </c>
      <c r="P296" s="273">
        <f>H296-L296-N296</f>
        <v>26.549999999999997</v>
      </c>
      <c r="Q296" s="287">
        <f>ROUND(P296*I296,2)</f>
        <v>1085.33</v>
      </c>
      <c r="R296" s="137"/>
      <c r="S296" s="269">
        <f>W296+Y296+AA296+AC296</f>
        <v>0</v>
      </c>
      <c r="T296" s="269">
        <f>ROUND(S296*I296,2)</f>
        <v>0</v>
      </c>
      <c r="U296" s="269">
        <f>H296-S296</f>
        <v>31.14</v>
      </c>
      <c r="V296" s="269">
        <f>ROUND(U296*I296,2)</f>
        <v>1272.96</v>
      </c>
      <c r="W296" s="269"/>
      <c r="X296" s="269"/>
      <c r="Y296" s="269"/>
      <c r="Z296" s="269"/>
      <c r="AA296" s="269"/>
      <c r="AB296" s="269"/>
      <c r="AC296" s="269"/>
      <c r="AD296" s="269"/>
      <c r="BX296" s="132" t="s">
        <v>1</v>
      </c>
      <c r="BY296" s="133" t="s">
        <v>40</v>
      </c>
      <c r="CA296" s="134">
        <f>BZ296*H296</f>
        <v>0</v>
      </c>
      <c r="CB296" s="134">
        <v>0</v>
      </c>
      <c r="CC296" s="134">
        <f>CB296*H296</f>
        <v>0</v>
      </c>
      <c r="CD296" s="134">
        <v>0</v>
      </c>
      <c r="CE296" s="135">
        <f>CD296*H296</f>
        <v>0</v>
      </c>
      <c r="DC296" s="136" t="s">
        <v>95</v>
      </c>
      <c r="DE296" s="136" t="s">
        <v>284</v>
      </c>
      <c r="DF296" s="136" t="s">
        <v>83</v>
      </c>
      <c r="DJ296" s="16" t="s">
        <v>282</v>
      </c>
      <c r="DP296" s="137">
        <f>IF(BY296="základní",J296,0)</f>
        <v>1272.96</v>
      </c>
      <c r="DQ296" s="137">
        <f>IF(BY296="snížená",J296,0)</f>
        <v>0</v>
      </c>
      <c r="DR296" s="137">
        <f>IF(BY296="zákl. přenesená",J296,0)</f>
        <v>0</v>
      </c>
      <c r="DS296" s="137">
        <f>IF(BY296="sníž. přenesená",J296,0)</f>
        <v>0</v>
      </c>
      <c r="DT296" s="137">
        <f>IF(BY296="nulová",J296,0)</f>
        <v>0</v>
      </c>
      <c r="DU296" s="16" t="s">
        <v>81</v>
      </c>
      <c r="DV296" s="137">
        <f>ROUND(I296*H296,2)</f>
        <v>1272.96</v>
      </c>
      <c r="DW296" s="16" t="s">
        <v>95</v>
      </c>
      <c r="DX296" s="136" t="s">
        <v>534</v>
      </c>
    </row>
    <row r="297" spans="2:128" s="1" customFormat="1" ht="19.5" x14ac:dyDescent="0.2">
      <c r="B297" s="31"/>
      <c r="D297" s="138" t="s">
        <v>289</v>
      </c>
      <c r="F297" s="139" t="s">
        <v>535</v>
      </c>
      <c r="I297" s="140"/>
      <c r="L297" s="31"/>
      <c r="N297" s="213"/>
      <c r="O297" s="214"/>
      <c r="Q297" s="229"/>
      <c r="BX297" s="141"/>
      <c r="CE297" s="50"/>
      <c r="DE297" s="16" t="s">
        <v>289</v>
      </c>
      <c r="DF297" s="16" t="s">
        <v>83</v>
      </c>
    </row>
    <row r="298" spans="2:128" s="1" customFormat="1" ht="24.2" customHeight="1" x14ac:dyDescent="0.2">
      <c r="B298" s="124"/>
      <c r="C298" s="125" t="s">
        <v>482</v>
      </c>
      <c r="D298" s="125" t="s">
        <v>284</v>
      </c>
      <c r="E298" s="126" t="s">
        <v>537</v>
      </c>
      <c r="F298" s="127" t="s">
        <v>538</v>
      </c>
      <c r="G298" s="128" t="s">
        <v>287</v>
      </c>
      <c r="H298" s="129">
        <v>31.14</v>
      </c>
      <c r="I298" s="130">
        <v>362.67856108310502</v>
      </c>
      <c r="J298" s="131">
        <f>ROUND(I298*H298,2)</f>
        <v>11293.81</v>
      </c>
      <c r="K298" s="127" t="s">
        <v>293</v>
      </c>
      <c r="L298" s="268">
        <f>S298</f>
        <v>0</v>
      </c>
      <c r="M298" s="272">
        <f>ROUND(L298*I298,2)</f>
        <v>0</v>
      </c>
      <c r="N298" s="243">
        <f>N292</f>
        <v>4.5900000000000034</v>
      </c>
      <c r="O298" s="294">
        <f>ROUND(N298*I298,2)</f>
        <v>1664.69</v>
      </c>
      <c r="P298" s="273">
        <f>H298-L298-N298</f>
        <v>26.549999999999997</v>
      </c>
      <c r="Q298" s="287">
        <f>ROUND(P298*I298,2)</f>
        <v>9629.1200000000008</v>
      </c>
      <c r="R298" s="137"/>
      <c r="S298" s="269">
        <f>W298+Y298+AA298+AC298</f>
        <v>0</v>
      </c>
      <c r="T298" s="269">
        <f>ROUND(S298*I298,2)</f>
        <v>0</v>
      </c>
      <c r="U298" s="269">
        <f>H298-S298</f>
        <v>31.14</v>
      </c>
      <c r="V298" s="269">
        <f>ROUND(U298*I298,2)</f>
        <v>11293.81</v>
      </c>
      <c r="W298" s="269"/>
      <c r="X298" s="269"/>
      <c r="Y298" s="269"/>
      <c r="Z298" s="269"/>
      <c r="AA298" s="269"/>
      <c r="AB298" s="269"/>
      <c r="AC298" s="269"/>
      <c r="AD298" s="269"/>
      <c r="BX298" s="132" t="s">
        <v>1</v>
      </c>
      <c r="BY298" s="133" t="s">
        <v>40</v>
      </c>
      <c r="CA298" s="134">
        <f>BZ298*H298</f>
        <v>0</v>
      </c>
      <c r="CB298" s="134">
        <v>0</v>
      </c>
      <c r="CC298" s="134">
        <f>CB298*H298</f>
        <v>0</v>
      </c>
      <c r="CD298" s="134">
        <v>0</v>
      </c>
      <c r="CE298" s="135">
        <f>CD298*H298</f>
        <v>0</v>
      </c>
      <c r="DC298" s="136" t="s">
        <v>95</v>
      </c>
      <c r="DE298" s="136" t="s">
        <v>284</v>
      </c>
      <c r="DF298" s="136" t="s">
        <v>83</v>
      </c>
      <c r="DJ298" s="16" t="s">
        <v>282</v>
      </c>
      <c r="DP298" s="137">
        <f>IF(BY298="základní",J298,0)</f>
        <v>11293.81</v>
      </c>
      <c r="DQ298" s="137">
        <f>IF(BY298="snížená",J298,0)</f>
        <v>0</v>
      </c>
      <c r="DR298" s="137">
        <f>IF(BY298="zákl. přenesená",J298,0)</f>
        <v>0</v>
      </c>
      <c r="DS298" s="137">
        <f>IF(BY298="sníž. přenesená",J298,0)</f>
        <v>0</v>
      </c>
      <c r="DT298" s="137">
        <f>IF(BY298="nulová",J298,0)</f>
        <v>0</v>
      </c>
      <c r="DU298" s="16" t="s">
        <v>81</v>
      </c>
      <c r="DV298" s="137">
        <f>ROUND(I298*H298,2)</f>
        <v>11293.81</v>
      </c>
      <c r="DW298" s="16" t="s">
        <v>95</v>
      </c>
      <c r="DX298" s="136" t="s">
        <v>539</v>
      </c>
    </row>
    <row r="299" spans="2:128" s="1" customFormat="1" ht="29.25" x14ac:dyDescent="0.2">
      <c r="B299" s="31"/>
      <c r="D299" s="138" t="s">
        <v>289</v>
      </c>
      <c r="F299" s="139" t="s">
        <v>540</v>
      </c>
      <c r="I299" s="140"/>
      <c r="L299" s="31"/>
      <c r="N299" s="213"/>
      <c r="O299" s="214"/>
      <c r="Q299" s="229"/>
      <c r="BX299" s="141"/>
      <c r="CE299" s="50"/>
      <c r="DE299" s="16" t="s">
        <v>289</v>
      </c>
      <c r="DF299" s="16" t="s">
        <v>83</v>
      </c>
    </row>
    <row r="300" spans="2:128" s="1" customFormat="1" ht="29.25" x14ac:dyDescent="0.2">
      <c r="B300" s="31"/>
      <c r="D300" s="138" t="s">
        <v>299</v>
      </c>
      <c r="F300" s="142" t="s">
        <v>1659</v>
      </c>
      <c r="I300" s="140"/>
      <c r="L300" s="31"/>
      <c r="N300" s="213"/>
      <c r="O300" s="214"/>
      <c r="Q300" s="229"/>
      <c r="BX300" s="141"/>
      <c r="CE300" s="50"/>
      <c r="DE300" s="16" t="s">
        <v>299</v>
      </c>
      <c r="DF300" s="16" t="s">
        <v>83</v>
      </c>
    </row>
    <row r="301" spans="2:128" s="11" customFormat="1" ht="22.5" x14ac:dyDescent="0.2">
      <c r="B301" s="143"/>
      <c r="D301" s="138" t="s">
        <v>301</v>
      </c>
      <c r="E301" s="144" t="s">
        <v>1</v>
      </c>
      <c r="F301" s="145" t="s">
        <v>1126</v>
      </c>
      <c r="H301" s="144" t="s">
        <v>1</v>
      </c>
      <c r="I301" s="146"/>
      <c r="L301" s="143"/>
      <c r="N301" s="215"/>
      <c r="O301" s="216"/>
      <c r="Q301" s="230"/>
      <c r="BX301" s="147"/>
      <c r="CE301" s="148"/>
      <c r="DE301" s="144" t="s">
        <v>301</v>
      </c>
      <c r="DF301" s="144" t="s">
        <v>83</v>
      </c>
      <c r="DG301" s="11" t="s">
        <v>81</v>
      </c>
      <c r="DH301" s="11" t="s">
        <v>32</v>
      </c>
      <c r="DI301" s="11" t="s">
        <v>74</v>
      </c>
      <c r="DJ301" s="144" t="s">
        <v>282</v>
      </c>
    </row>
    <row r="302" spans="2:128" s="12" customFormat="1" x14ac:dyDescent="0.2">
      <c r="B302" s="149"/>
      <c r="D302" s="138" t="s">
        <v>301</v>
      </c>
      <c r="E302" s="150" t="s">
        <v>1</v>
      </c>
      <c r="F302" s="151" t="s">
        <v>1781</v>
      </c>
      <c r="H302" s="152">
        <v>31.14</v>
      </c>
      <c r="I302" s="153"/>
      <c r="L302" s="149"/>
      <c r="N302" s="217"/>
      <c r="O302" s="218"/>
      <c r="Q302" s="231"/>
      <c r="BX302" s="154"/>
      <c r="CE302" s="155"/>
      <c r="DE302" s="150" t="s">
        <v>301</v>
      </c>
      <c r="DF302" s="150" t="s">
        <v>83</v>
      </c>
      <c r="DG302" s="12" t="s">
        <v>83</v>
      </c>
      <c r="DH302" s="12" t="s">
        <v>32</v>
      </c>
      <c r="DI302" s="12" t="s">
        <v>81</v>
      </c>
      <c r="DJ302" s="150" t="s">
        <v>282</v>
      </c>
    </row>
    <row r="303" spans="2:128" s="10" customFormat="1" ht="22.9" customHeight="1" x14ac:dyDescent="0.2">
      <c r="B303" s="112"/>
      <c r="D303" s="113" t="s">
        <v>73</v>
      </c>
      <c r="E303" s="122" t="s">
        <v>328</v>
      </c>
      <c r="F303" s="122" t="s">
        <v>555</v>
      </c>
      <c r="I303" s="115"/>
      <c r="J303" s="123">
        <f>DV303</f>
        <v>201696.24</v>
      </c>
      <c r="L303" s="112"/>
      <c r="M303" s="270">
        <f>SUM(M304:M351)</f>
        <v>0</v>
      </c>
      <c r="N303" s="301"/>
      <c r="O303" s="302">
        <f t="shared" ref="O303:V303" si="6">SUM(O304:O351)</f>
        <v>19744.87</v>
      </c>
      <c r="P303" s="270"/>
      <c r="Q303" s="288">
        <f t="shared" si="6"/>
        <v>181951.34999999998</v>
      </c>
      <c r="R303" s="270"/>
      <c r="S303" s="270"/>
      <c r="T303" s="270">
        <f t="shared" si="6"/>
        <v>0</v>
      </c>
      <c r="U303" s="270"/>
      <c r="V303" s="270">
        <f t="shared" si="6"/>
        <v>201696.24</v>
      </c>
      <c r="BX303" s="117"/>
      <c r="CA303" s="118">
        <f>SUM(CA304:CA352)</f>
        <v>0</v>
      </c>
      <c r="CC303" s="118">
        <f>SUM(CC304:CC352)</f>
        <v>2.6935020000000001</v>
      </c>
      <c r="CE303" s="119">
        <f>SUM(CE304:CE352)</f>
        <v>0</v>
      </c>
      <c r="DC303" s="113" t="s">
        <v>81</v>
      </c>
      <c r="DE303" s="120" t="s">
        <v>73</v>
      </c>
      <c r="DF303" s="120" t="s">
        <v>81</v>
      </c>
      <c r="DJ303" s="113" t="s">
        <v>282</v>
      </c>
      <c r="DV303" s="121">
        <f>SUM(DV304:DV352)</f>
        <v>201696.24</v>
      </c>
    </row>
    <row r="304" spans="2:128" s="1" customFormat="1" ht="24.2" customHeight="1" x14ac:dyDescent="0.2">
      <c r="B304" s="124"/>
      <c r="C304" s="125" t="s">
        <v>489</v>
      </c>
      <c r="D304" s="125" t="s">
        <v>284</v>
      </c>
      <c r="E304" s="126" t="s">
        <v>1128</v>
      </c>
      <c r="F304" s="127" t="s">
        <v>1129</v>
      </c>
      <c r="G304" s="128" t="s">
        <v>344</v>
      </c>
      <c r="H304" s="129">
        <v>31.6</v>
      </c>
      <c r="I304" s="130">
        <v>617.16852473597498</v>
      </c>
      <c r="J304" s="131">
        <f>ROUND(I304*H304,2)</f>
        <v>19502.53</v>
      </c>
      <c r="K304" s="127" t="s">
        <v>293</v>
      </c>
      <c r="L304" s="268">
        <f>S304</f>
        <v>0</v>
      </c>
      <c r="M304" s="272">
        <f>ROUND(L304*I304,2)</f>
        <v>0</v>
      </c>
      <c r="N304" s="243">
        <f>N307</f>
        <v>3.6000000000000014</v>
      </c>
      <c r="O304" s="294">
        <f>ROUND(N304*I304,2)</f>
        <v>2221.81</v>
      </c>
      <c r="P304" s="273">
        <f>H304-L304-N304</f>
        <v>28</v>
      </c>
      <c r="Q304" s="287">
        <f>ROUND(P304*I304,2)</f>
        <v>17280.72</v>
      </c>
      <c r="R304" s="137"/>
      <c r="S304" s="269">
        <f>W304+Y304+AA304+AC304</f>
        <v>0</v>
      </c>
      <c r="T304" s="269">
        <f>ROUND(S304*I304,2)</f>
        <v>0</v>
      </c>
      <c r="U304" s="269">
        <f>H304-S304</f>
        <v>31.6</v>
      </c>
      <c r="V304" s="269">
        <f>ROUND(U304*I304,2)</f>
        <v>19502.53</v>
      </c>
      <c r="W304" s="269"/>
      <c r="X304" s="269"/>
      <c r="Y304" s="269"/>
      <c r="Z304" s="269"/>
      <c r="AA304" s="269"/>
      <c r="AB304" s="269"/>
      <c r="AC304" s="269"/>
      <c r="AD304" s="269"/>
      <c r="BX304" s="132" t="s">
        <v>1</v>
      </c>
      <c r="BY304" s="133" t="s">
        <v>40</v>
      </c>
      <c r="CA304" s="134">
        <f>BZ304*H304</f>
        <v>0</v>
      </c>
      <c r="CB304" s="134">
        <v>4.2199999999999998E-3</v>
      </c>
      <c r="CC304" s="134">
        <f>CB304*H304</f>
        <v>0.133352</v>
      </c>
      <c r="CD304" s="134">
        <v>0</v>
      </c>
      <c r="CE304" s="135">
        <f>CD304*H304</f>
        <v>0</v>
      </c>
      <c r="DC304" s="136" t="s">
        <v>95</v>
      </c>
      <c r="DE304" s="136" t="s">
        <v>284</v>
      </c>
      <c r="DF304" s="136" t="s">
        <v>83</v>
      </c>
      <c r="DJ304" s="16" t="s">
        <v>282</v>
      </c>
      <c r="DP304" s="137">
        <f>IF(BY304="základní",J304,0)</f>
        <v>19502.53</v>
      </c>
      <c r="DQ304" s="137">
        <f>IF(BY304="snížená",J304,0)</f>
        <v>0</v>
      </c>
      <c r="DR304" s="137">
        <f>IF(BY304="zákl. přenesená",J304,0)</f>
        <v>0</v>
      </c>
      <c r="DS304" s="137">
        <f>IF(BY304="sníž. přenesená",J304,0)</f>
        <v>0</v>
      </c>
      <c r="DT304" s="137">
        <f>IF(BY304="nulová",J304,0)</f>
        <v>0</v>
      </c>
      <c r="DU304" s="16" t="s">
        <v>81</v>
      </c>
      <c r="DV304" s="137">
        <f>ROUND(I304*H304,2)</f>
        <v>19502.53</v>
      </c>
      <c r="DW304" s="16" t="s">
        <v>95</v>
      </c>
      <c r="DX304" s="136" t="s">
        <v>1130</v>
      </c>
    </row>
    <row r="305" spans="2:128" s="1" customFormat="1" ht="29.25" x14ac:dyDescent="0.2">
      <c r="B305" s="31"/>
      <c r="D305" s="138" t="s">
        <v>289</v>
      </c>
      <c r="F305" s="139" t="s">
        <v>1131</v>
      </c>
      <c r="I305" s="140"/>
      <c r="L305" s="31"/>
      <c r="N305" s="213"/>
      <c r="O305" s="214"/>
      <c r="Q305" s="229"/>
      <c r="BX305" s="141"/>
      <c r="CE305" s="50"/>
      <c r="DE305" s="16" t="s">
        <v>289</v>
      </c>
      <c r="DF305" s="16" t="s">
        <v>83</v>
      </c>
    </row>
    <row r="306" spans="2:128" s="1" customFormat="1" ht="29.25" x14ac:dyDescent="0.2">
      <c r="B306" s="31"/>
      <c r="D306" s="138" t="s">
        <v>299</v>
      </c>
      <c r="F306" s="142" t="s">
        <v>1659</v>
      </c>
      <c r="I306" s="140"/>
      <c r="L306" s="31"/>
      <c r="N306" s="213"/>
      <c r="O306" s="214"/>
      <c r="Q306" s="229"/>
      <c r="BX306" s="141"/>
      <c r="CE306" s="50"/>
      <c r="DE306" s="16" t="s">
        <v>299</v>
      </c>
      <c r="DF306" s="16" t="s">
        <v>83</v>
      </c>
    </row>
    <row r="307" spans="2:128" s="12" customFormat="1" x14ac:dyDescent="0.2">
      <c r="B307" s="149"/>
      <c r="D307" s="138" t="s">
        <v>301</v>
      </c>
      <c r="E307" s="150" t="s">
        <v>1</v>
      </c>
      <c r="F307" s="151" t="s">
        <v>1777</v>
      </c>
      <c r="H307" s="152">
        <v>31.6</v>
      </c>
      <c r="I307" s="153"/>
      <c r="L307" s="149"/>
      <c r="N307" s="217">
        <f>35.2-31.6</f>
        <v>3.6000000000000014</v>
      </c>
      <c r="O307" s="218" t="s">
        <v>3819</v>
      </c>
      <c r="Q307" s="231"/>
      <c r="BX307" s="154"/>
      <c r="CE307" s="155"/>
      <c r="DE307" s="150" t="s">
        <v>301</v>
      </c>
      <c r="DF307" s="150" t="s">
        <v>83</v>
      </c>
      <c r="DG307" s="12" t="s">
        <v>83</v>
      </c>
      <c r="DH307" s="12" t="s">
        <v>32</v>
      </c>
      <c r="DI307" s="12" t="s">
        <v>81</v>
      </c>
      <c r="DJ307" s="150" t="s">
        <v>282</v>
      </c>
    </row>
    <row r="308" spans="2:128" s="1" customFormat="1" ht="24.2" customHeight="1" x14ac:dyDescent="0.2">
      <c r="B308" s="124"/>
      <c r="C308" s="125" t="s">
        <v>493</v>
      </c>
      <c r="D308" s="125" t="s">
        <v>284</v>
      </c>
      <c r="E308" s="126" t="s">
        <v>1132</v>
      </c>
      <c r="F308" s="127" t="s">
        <v>1133</v>
      </c>
      <c r="G308" s="128" t="s">
        <v>485</v>
      </c>
      <c r="H308" s="129">
        <v>39</v>
      </c>
      <c r="I308" s="130">
        <v>214.24530512569368</v>
      </c>
      <c r="J308" s="131">
        <f>ROUND(I308*H308,2)</f>
        <v>8355.57</v>
      </c>
      <c r="K308" s="127" t="s">
        <v>293</v>
      </c>
      <c r="L308" s="268">
        <f>S308</f>
        <v>0</v>
      </c>
      <c r="M308" s="272">
        <f>ROUND(L308*I308,2)</f>
        <v>0</v>
      </c>
      <c r="N308" s="243"/>
      <c r="O308" s="294">
        <f>ROUND(N308*I308,2)</f>
        <v>0</v>
      </c>
      <c r="P308" s="273">
        <f>H308-L308-N308</f>
        <v>39</v>
      </c>
      <c r="Q308" s="287">
        <f>ROUND(P308*I308,2)</f>
        <v>8355.57</v>
      </c>
      <c r="R308" s="137"/>
      <c r="S308" s="269">
        <f>W308+Y308+AA308+AC308</f>
        <v>0</v>
      </c>
      <c r="T308" s="269">
        <f>ROUND(S308*I308,2)</f>
        <v>0</v>
      </c>
      <c r="U308" s="269">
        <f>H308-S308</f>
        <v>39</v>
      </c>
      <c r="V308" s="269">
        <f>ROUND(U308*I308,2)</f>
        <v>8355.57</v>
      </c>
      <c r="W308" s="269"/>
      <c r="X308" s="269"/>
      <c r="Y308" s="269"/>
      <c r="Z308" s="269"/>
      <c r="AA308" s="269"/>
      <c r="AB308" s="269"/>
      <c r="AC308" s="269"/>
      <c r="AD308" s="269"/>
      <c r="BX308" s="132" t="s">
        <v>1</v>
      </c>
      <c r="BY308" s="133" t="s">
        <v>40</v>
      </c>
      <c r="CA308" s="134">
        <f>BZ308*H308</f>
        <v>0</v>
      </c>
      <c r="CB308" s="134">
        <v>0</v>
      </c>
      <c r="CC308" s="134">
        <f>CB308*H308</f>
        <v>0</v>
      </c>
      <c r="CD308" s="134">
        <v>0</v>
      </c>
      <c r="CE308" s="135">
        <f>CD308*H308</f>
        <v>0</v>
      </c>
      <c r="DC308" s="136" t="s">
        <v>95</v>
      </c>
      <c r="DE308" s="136" t="s">
        <v>284</v>
      </c>
      <c r="DF308" s="136" t="s">
        <v>83</v>
      </c>
      <c r="DJ308" s="16" t="s">
        <v>282</v>
      </c>
      <c r="DP308" s="137">
        <f>IF(BY308="základní",J308,0)</f>
        <v>8355.57</v>
      </c>
      <c r="DQ308" s="137">
        <f>IF(BY308="snížená",J308,0)</f>
        <v>0</v>
      </c>
      <c r="DR308" s="137">
        <f>IF(BY308="zákl. přenesená",J308,0)</f>
        <v>0</v>
      </c>
      <c r="DS308" s="137">
        <f>IF(BY308="sníž. přenesená",J308,0)</f>
        <v>0</v>
      </c>
      <c r="DT308" s="137">
        <f>IF(BY308="nulová",J308,0)</f>
        <v>0</v>
      </c>
      <c r="DU308" s="16" t="s">
        <v>81</v>
      </c>
      <c r="DV308" s="137">
        <f>ROUND(I308*H308,2)</f>
        <v>8355.57</v>
      </c>
      <c r="DW308" s="16" t="s">
        <v>95</v>
      </c>
      <c r="DX308" s="136" t="s">
        <v>1134</v>
      </c>
    </row>
    <row r="309" spans="2:128" s="1" customFormat="1" ht="19.5" x14ac:dyDescent="0.2">
      <c r="B309" s="31"/>
      <c r="D309" s="138" t="s">
        <v>289</v>
      </c>
      <c r="F309" s="139" t="s">
        <v>1135</v>
      </c>
      <c r="I309" s="140"/>
      <c r="L309" s="31"/>
      <c r="N309" s="213"/>
      <c r="O309" s="214"/>
      <c r="Q309" s="229"/>
      <c r="BX309" s="141"/>
      <c r="CE309" s="50"/>
      <c r="DE309" s="16" t="s">
        <v>289</v>
      </c>
      <c r="DF309" s="16" t="s">
        <v>83</v>
      </c>
    </row>
    <row r="310" spans="2:128" s="1" customFormat="1" ht="29.25" x14ac:dyDescent="0.2">
      <c r="B310" s="31"/>
      <c r="D310" s="138" t="s">
        <v>299</v>
      </c>
      <c r="F310" s="142" t="s">
        <v>1659</v>
      </c>
      <c r="I310" s="140"/>
      <c r="L310" s="31"/>
      <c r="N310" s="213"/>
      <c r="O310" s="214"/>
      <c r="Q310" s="229"/>
      <c r="BX310" s="141"/>
      <c r="CE310" s="50"/>
      <c r="DE310" s="16" t="s">
        <v>299</v>
      </c>
      <c r="DF310" s="16" t="s">
        <v>83</v>
      </c>
    </row>
    <row r="311" spans="2:128" s="11" customFormat="1" x14ac:dyDescent="0.2">
      <c r="B311" s="143"/>
      <c r="D311" s="138" t="s">
        <v>301</v>
      </c>
      <c r="E311" s="144" t="s">
        <v>1</v>
      </c>
      <c r="F311" s="145" t="s">
        <v>1136</v>
      </c>
      <c r="H311" s="144" t="s">
        <v>1</v>
      </c>
      <c r="I311" s="146"/>
      <c r="L311" s="143"/>
      <c r="N311" s="215"/>
      <c r="O311" s="216"/>
      <c r="Q311" s="230"/>
      <c r="BX311" s="147"/>
      <c r="CE311" s="148"/>
      <c r="DE311" s="144" t="s">
        <v>301</v>
      </c>
      <c r="DF311" s="144" t="s">
        <v>83</v>
      </c>
      <c r="DG311" s="11" t="s">
        <v>81</v>
      </c>
      <c r="DH311" s="11" t="s">
        <v>32</v>
      </c>
      <c r="DI311" s="11" t="s">
        <v>74</v>
      </c>
      <c r="DJ311" s="144" t="s">
        <v>282</v>
      </c>
    </row>
    <row r="312" spans="2:128" s="12" customFormat="1" x14ac:dyDescent="0.2">
      <c r="B312" s="149"/>
      <c r="D312" s="138" t="s">
        <v>301</v>
      </c>
      <c r="E312" s="150" t="s">
        <v>1</v>
      </c>
      <c r="F312" s="151" t="s">
        <v>1782</v>
      </c>
      <c r="H312" s="152">
        <v>13</v>
      </c>
      <c r="I312" s="153"/>
      <c r="L312" s="149"/>
      <c r="N312" s="217"/>
      <c r="O312" s="218"/>
      <c r="Q312" s="231"/>
      <c r="BX312" s="154"/>
      <c r="CE312" s="155"/>
      <c r="DE312" s="150" t="s">
        <v>301</v>
      </c>
      <c r="DF312" s="150" t="s">
        <v>83</v>
      </c>
      <c r="DG312" s="12" t="s">
        <v>83</v>
      </c>
      <c r="DH312" s="12" t="s">
        <v>32</v>
      </c>
      <c r="DI312" s="12" t="s">
        <v>74</v>
      </c>
      <c r="DJ312" s="150" t="s">
        <v>282</v>
      </c>
    </row>
    <row r="313" spans="2:128" s="14" customFormat="1" x14ac:dyDescent="0.2">
      <c r="B313" s="163"/>
      <c r="D313" s="138" t="s">
        <v>301</v>
      </c>
      <c r="E313" s="164" t="s">
        <v>1</v>
      </c>
      <c r="F313" s="165" t="s">
        <v>373</v>
      </c>
      <c r="H313" s="166">
        <v>13</v>
      </c>
      <c r="I313" s="167"/>
      <c r="L313" s="163"/>
      <c r="N313" s="221"/>
      <c r="O313" s="222"/>
      <c r="Q313" s="233"/>
      <c r="BX313" s="168"/>
      <c r="CE313" s="169"/>
      <c r="DE313" s="164" t="s">
        <v>301</v>
      </c>
      <c r="DF313" s="164" t="s">
        <v>83</v>
      </c>
      <c r="DG313" s="14" t="s">
        <v>90</v>
      </c>
      <c r="DH313" s="14" t="s">
        <v>32</v>
      </c>
      <c r="DI313" s="14" t="s">
        <v>74</v>
      </c>
      <c r="DJ313" s="164" t="s">
        <v>282</v>
      </c>
    </row>
    <row r="314" spans="2:128" s="11" customFormat="1" x14ac:dyDescent="0.2">
      <c r="B314" s="143"/>
      <c r="D314" s="138" t="s">
        <v>301</v>
      </c>
      <c r="E314" s="144" t="s">
        <v>1</v>
      </c>
      <c r="F314" s="145" t="s">
        <v>1140</v>
      </c>
      <c r="H314" s="144" t="s">
        <v>1</v>
      </c>
      <c r="I314" s="146"/>
      <c r="L314" s="143"/>
      <c r="N314" s="215"/>
      <c r="O314" s="216"/>
      <c r="Q314" s="230"/>
      <c r="BX314" s="147"/>
      <c r="CE314" s="148"/>
      <c r="DE314" s="144" t="s">
        <v>301</v>
      </c>
      <c r="DF314" s="144" t="s">
        <v>83</v>
      </c>
      <c r="DG314" s="11" t="s">
        <v>81</v>
      </c>
      <c r="DH314" s="11" t="s">
        <v>32</v>
      </c>
      <c r="DI314" s="11" t="s">
        <v>74</v>
      </c>
      <c r="DJ314" s="144" t="s">
        <v>282</v>
      </c>
    </row>
    <row r="315" spans="2:128" s="12" customFormat="1" x14ac:dyDescent="0.2">
      <c r="B315" s="149"/>
      <c r="D315" s="138" t="s">
        <v>301</v>
      </c>
      <c r="E315" s="150" t="s">
        <v>1</v>
      </c>
      <c r="F315" s="151" t="s">
        <v>1783</v>
      </c>
      <c r="H315" s="152">
        <v>26</v>
      </c>
      <c r="I315" s="153"/>
      <c r="L315" s="149"/>
      <c r="N315" s="217"/>
      <c r="O315" s="218"/>
      <c r="Q315" s="231"/>
      <c r="BX315" s="154"/>
      <c r="CE315" s="155"/>
      <c r="DE315" s="150" t="s">
        <v>301</v>
      </c>
      <c r="DF315" s="150" t="s">
        <v>83</v>
      </c>
      <c r="DG315" s="12" t="s">
        <v>83</v>
      </c>
      <c r="DH315" s="12" t="s">
        <v>32</v>
      </c>
      <c r="DI315" s="12" t="s">
        <v>74</v>
      </c>
      <c r="DJ315" s="150" t="s">
        <v>282</v>
      </c>
    </row>
    <row r="316" spans="2:128" s="13" customFormat="1" x14ac:dyDescent="0.2">
      <c r="B316" s="156"/>
      <c r="D316" s="138" t="s">
        <v>301</v>
      </c>
      <c r="E316" s="157" t="s">
        <v>1</v>
      </c>
      <c r="F316" s="158" t="s">
        <v>305</v>
      </c>
      <c r="H316" s="159">
        <v>39</v>
      </c>
      <c r="I316" s="160"/>
      <c r="L316" s="156"/>
      <c r="N316" s="219"/>
      <c r="O316" s="220"/>
      <c r="Q316" s="232"/>
      <c r="BX316" s="161"/>
      <c r="CE316" s="162"/>
      <c r="DE316" s="157" t="s">
        <v>301</v>
      </c>
      <c r="DF316" s="157" t="s">
        <v>83</v>
      </c>
      <c r="DG316" s="13" t="s">
        <v>95</v>
      </c>
      <c r="DH316" s="13" t="s">
        <v>32</v>
      </c>
      <c r="DI316" s="13" t="s">
        <v>81</v>
      </c>
      <c r="DJ316" s="157" t="s">
        <v>282</v>
      </c>
    </row>
    <row r="317" spans="2:128" s="1" customFormat="1" ht="14.45" customHeight="1" x14ac:dyDescent="0.2">
      <c r="B317" s="124"/>
      <c r="C317" s="170" t="s">
        <v>497</v>
      </c>
      <c r="D317" s="170" t="s">
        <v>439</v>
      </c>
      <c r="E317" s="171" t="s">
        <v>1142</v>
      </c>
      <c r="F317" s="172" t="s">
        <v>1143</v>
      </c>
      <c r="G317" s="173" t="s">
        <v>485</v>
      </c>
      <c r="H317" s="174">
        <v>13</v>
      </c>
      <c r="I317" s="175">
        <v>100.40486420000001</v>
      </c>
      <c r="J317" s="176">
        <f>ROUND(I317*H317,2)</f>
        <v>1305.26</v>
      </c>
      <c r="K317" s="172" t="s">
        <v>293</v>
      </c>
      <c r="L317" s="268">
        <f>S317</f>
        <v>0</v>
      </c>
      <c r="M317" s="272">
        <f>ROUND(L317*I317,2)</f>
        <v>0</v>
      </c>
      <c r="N317" s="243"/>
      <c r="O317" s="294">
        <f>ROUND(N317*I317,2)</f>
        <v>0</v>
      </c>
      <c r="P317" s="273">
        <f>H317-L317-N317</f>
        <v>13</v>
      </c>
      <c r="Q317" s="287">
        <f>ROUND(P317*I317,2)</f>
        <v>1305.26</v>
      </c>
      <c r="R317" s="137"/>
      <c r="S317" s="269">
        <f>W317+Y317+AA317+AC317</f>
        <v>0</v>
      </c>
      <c r="T317" s="269">
        <f>ROUND(S317*I317,2)</f>
        <v>0</v>
      </c>
      <c r="U317" s="269">
        <f>H317-S317</f>
        <v>13</v>
      </c>
      <c r="V317" s="269">
        <f>ROUND(U317*I317,2)</f>
        <v>1305.26</v>
      </c>
      <c r="W317" s="290"/>
      <c r="X317" s="290"/>
      <c r="Y317" s="290"/>
      <c r="Z317" s="290"/>
      <c r="AA317" s="290"/>
      <c r="AB317" s="290"/>
      <c r="AC317" s="290"/>
      <c r="AD317" s="290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77" t="s">
        <v>1</v>
      </c>
      <c r="BY317" s="178" t="s">
        <v>40</v>
      </c>
      <c r="CA317" s="134">
        <f>BZ317*H317</f>
        <v>0</v>
      </c>
      <c r="CB317" s="134">
        <v>6.4999999999999997E-4</v>
      </c>
      <c r="CC317" s="134">
        <f>CB317*H317</f>
        <v>8.4499999999999992E-3</v>
      </c>
      <c r="CD317" s="134">
        <v>0</v>
      </c>
      <c r="CE317" s="135">
        <f>CD317*H317</f>
        <v>0</v>
      </c>
      <c r="DC317" s="136" t="s">
        <v>328</v>
      </c>
      <c r="DE317" s="136" t="s">
        <v>439</v>
      </c>
      <c r="DF317" s="136" t="s">
        <v>83</v>
      </c>
      <c r="DJ317" s="16" t="s">
        <v>282</v>
      </c>
      <c r="DP317" s="137">
        <f>IF(BY317="základní",J317,0)</f>
        <v>1305.26</v>
      </c>
      <c r="DQ317" s="137">
        <f>IF(BY317="snížená",J317,0)</f>
        <v>0</v>
      </c>
      <c r="DR317" s="137">
        <f>IF(BY317="zákl. přenesená",J317,0)</f>
        <v>0</v>
      </c>
      <c r="DS317" s="137">
        <f>IF(BY317="sníž. přenesená",J317,0)</f>
        <v>0</v>
      </c>
      <c r="DT317" s="137">
        <f>IF(BY317="nulová",J317,0)</f>
        <v>0</v>
      </c>
      <c r="DU317" s="16" t="s">
        <v>81</v>
      </c>
      <c r="DV317" s="137">
        <f>ROUND(I317*H317,2)</f>
        <v>1305.26</v>
      </c>
      <c r="DW317" s="16" t="s">
        <v>95</v>
      </c>
      <c r="DX317" s="136" t="s">
        <v>1144</v>
      </c>
    </row>
    <row r="318" spans="2:128" s="1" customFormat="1" x14ac:dyDescent="0.2">
      <c r="B318" s="31"/>
      <c r="D318" s="138" t="s">
        <v>289</v>
      </c>
      <c r="F318" s="139" t="s">
        <v>1145</v>
      </c>
      <c r="I318" s="140"/>
      <c r="L318" s="31"/>
      <c r="N318" s="213"/>
      <c r="O318" s="214"/>
      <c r="Q318" s="229"/>
      <c r="BX318" s="141"/>
      <c r="CE318" s="50"/>
      <c r="DE318" s="16" t="s">
        <v>289</v>
      </c>
      <c r="DF318" s="16" t="s">
        <v>83</v>
      </c>
    </row>
    <row r="319" spans="2:128" s="1" customFormat="1" ht="14.45" customHeight="1" x14ac:dyDescent="0.2">
      <c r="B319" s="124"/>
      <c r="C319" s="170" t="s">
        <v>501</v>
      </c>
      <c r="D319" s="170" t="s">
        <v>439</v>
      </c>
      <c r="E319" s="171" t="s">
        <v>1146</v>
      </c>
      <c r="F319" s="172" t="s">
        <v>1147</v>
      </c>
      <c r="G319" s="173" t="s">
        <v>485</v>
      </c>
      <c r="H319" s="174">
        <v>26</v>
      </c>
      <c r="I319" s="175">
        <v>236.80392499999999</v>
      </c>
      <c r="J319" s="176">
        <f>ROUND(I319*H319,2)</f>
        <v>6156.9</v>
      </c>
      <c r="K319" s="172" t="s">
        <v>1</v>
      </c>
      <c r="L319" s="268">
        <f>S319</f>
        <v>0</v>
      </c>
      <c r="M319" s="272">
        <f>ROUND(L319*I319,2)</f>
        <v>0</v>
      </c>
      <c r="N319" s="243"/>
      <c r="O319" s="294">
        <f>ROUND(N319*I319,2)</f>
        <v>0</v>
      </c>
      <c r="P319" s="273">
        <f>H319-L319-N319</f>
        <v>26</v>
      </c>
      <c r="Q319" s="287">
        <f>ROUND(P319*I319,2)</f>
        <v>6156.9</v>
      </c>
      <c r="R319" s="137"/>
      <c r="S319" s="269">
        <f>W319+Y319+AA319+AC319</f>
        <v>0</v>
      </c>
      <c r="T319" s="269">
        <f>ROUND(S319*I319,2)</f>
        <v>0</v>
      </c>
      <c r="U319" s="269">
        <f>H319-S319</f>
        <v>26</v>
      </c>
      <c r="V319" s="269">
        <f>ROUND(U319*I319,2)</f>
        <v>6156.9</v>
      </c>
      <c r="W319" s="290"/>
      <c r="X319" s="290"/>
      <c r="Y319" s="290"/>
      <c r="Z319" s="290"/>
      <c r="AA319" s="290"/>
      <c r="AB319" s="290"/>
      <c r="AC319" s="290"/>
      <c r="AD319" s="290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77" t="s">
        <v>1</v>
      </c>
      <c r="BY319" s="178" t="s">
        <v>40</v>
      </c>
      <c r="CA319" s="134">
        <f>BZ319*H319</f>
        <v>0</v>
      </c>
      <c r="CB319" s="134">
        <v>6.4999999999999997E-4</v>
      </c>
      <c r="CC319" s="134">
        <f>CB319*H319</f>
        <v>1.6899999999999998E-2</v>
      </c>
      <c r="CD319" s="134">
        <v>0</v>
      </c>
      <c r="CE319" s="135">
        <f>CD319*H319</f>
        <v>0</v>
      </c>
      <c r="DC319" s="136" t="s">
        <v>328</v>
      </c>
      <c r="DE319" s="136" t="s">
        <v>439</v>
      </c>
      <c r="DF319" s="136" t="s">
        <v>83</v>
      </c>
      <c r="DJ319" s="16" t="s">
        <v>282</v>
      </c>
      <c r="DP319" s="137">
        <f>IF(BY319="základní",J319,0)</f>
        <v>6156.9</v>
      </c>
      <c r="DQ319" s="137">
        <f>IF(BY319="snížená",J319,0)</f>
        <v>0</v>
      </c>
      <c r="DR319" s="137">
        <f>IF(BY319="zákl. přenesená",J319,0)</f>
        <v>0</v>
      </c>
      <c r="DS319" s="137">
        <f>IF(BY319="sníž. přenesená",J319,0)</f>
        <v>0</v>
      </c>
      <c r="DT319" s="137">
        <f>IF(BY319="nulová",J319,0)</f>
        <v>0</v>
      </c>
      <c r="DU319" s="16" t="s">
        <v>81</v>
      </c>
      <c r="DV319" s="137">
        <f>ROUND(I319*H319,2)</f>
        <v>6156.9</v>
      </c>
      <c r="DW319" s="16" t="s">
        <v>95</v>
      </c>
      <c r="DX319" s="136" t="s">
        <v>1148</v>
      </c>
    </row>
    <row r="320" spans="2:128" s="1" customFormat="1" x14ac:dyDescent="0.2">
      <c r="B320" s="31"/>
      <c r="D320" s="138" t="s">
        <v>289</v>
      </c>
      <c r="F320" s="139" t="s">
        <v>1147</v>
      </c>
      <c r="I320" s="140"/>
      <c r="L320" s="31"/>
      <c r="N320" s="213"/>
      <c r="O320" s="214"/>
      <c r="Q320" s="229"/>
      <c r="BX320" s="141"/>
      <c r="CE320" s="50"/>
      <c r="DE320" s="16" t="s">
        <v>289</v>
      </c>
      <c r="DF320" s="16" t="s">
        <v>83</v>
      </c>
    </row>
    <row r="321" spans="2:128" s="1" customFormat="1" ht="14.45" customHeight="1" x14ac:dyDescent="0.2">
      <c r="B321" s="124"/>
      <c r="C321" s="125" t="s">
        <v>505</v>
      </c>
      <c r="D321" s="125" t="s">
        <v>284</v>
      </c>
      <c r="E321" s="126" t="s">
        <v>1149</v>
      </c>
      <c r="F321" s="127" t="s">
        <v>1150</v>
      </c>
      <c r="G321" s="128" t="s">
        <v>485</v>
      </c>
      <c r="H321" s="129">
        <v>13</v>
      </c>
      <c r="I321" s="130">
        <v>214.24530512569368</v>
      </c>
      <c r="J321" s="131">
        <f>ROUND(I321*H321,2)</f>
        <v>2785.19</v>
      </c>
      <c r="K321" s="127" t="s">
        <v>293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13</v>
      </c>
      <c r="Q321" s="287">
        <f>ROUND(P321*I321,2)</f>
        <v>2785.19</v>
      </c>
      <c r="R321" s="137"/>
      <c r="S321" s="269">
        <f>W321+Y321+AA321+AC321</f>
        <v>0</v>
      </c>
      <c r="T321" s="269">
        <f>ROUND(S321*I321,2)</f>
        <v>0</v>
      </c>
      <c r="U321" s="269">
        <f>H321-S321</f>
        <v>13</v>
      </c>
      <c r="V321" s="269">
        <f>ROUND(U321*I321,2)</f>
        <v>2785.19</v>
      </c>
      <c r="W321" s="269"/>
      <c r="X321" s="269"/>
      <c r="Y321" s="269"/>
      <c r="Z321" s="269"/>
      <c r="AA321" s="269"/>
      <c r="AB321" s="269"/>
      <c r="AC321" s="269"/>
      <c r="AD321" s="269"/>
      <c r="BX321" s="132" t="s">
        <v>1</v>
      </c>
      <c r="BY321" s="133" t="s">
        <v>40</v>
      </c>
      <c r="CA321" s="134">
        <f>BZ321*H321</f>
        <v>0</v>
      </c>
      <c r="CB321" s="134">
        <v>0</v>
      </c>
      <c r="CC321" s="134">
        <f>CB321*H321</f>
        <v>0</v>
      </c>
      <c r="CD321" s="134">
        <v>0</v>
      </c>
      <c r="CE321" s="135">
        <f>CD321*H321</f>
        <v>0</v>
      </c>
      <c r="DC321" s="136" t="s">
        <v>95</v>
      </c>
      <c r="DE321" s="136" t="s">
        <v>284</v>
      </c>
      <c r="DF321" s="136" t="s">
        <v>83</v>
      </c>
      <c r="DJ321" s="16" t="s">
        <v>282</v>
      </c>
      <c r="DP321" s="137">
        <f>IF(BY321="základní",J321,0)</f>
        <v>2785.19</v>
      </c>
      <c r="DQ321" s="137">
        <f>IF(BY321="snížená",J321,0)</f>
        <v>0</v>
      </c>
      <c r="DR321" s="137">
        <f>IF(BY321="zákl. přenesená",J321,0)</f>
        <v>0</v>
      </c>
      <c r="DS321" s="137">
        <f>IF(BY321="sníž. přenesená",J321,0)</f>
        <v>0</v>
      </c>
      <c r="DT321" s="137">
        <f>IF(BY321="nulová",J321,0)</f>
        <v>0</v>
      </c>
      <c r="DU321" s="16" t="s">
        <v>81</v>
      </c>
      <c r="DV321" s="137">
        <f>ROUND(I321*H321,2)</f>
        <v>2785.19</v>
      </c>
      <c r="DW321" s="16" t="s">
        <v>95</v>
      </c>
      <c r="DX321" s="136" t="s">
        <v>1151</v>
      </c>
    </row>
    <row r="322" spans="2:128" s="1" customFormat="1" ht="19.5" x14ac:dyDescent="0.2">
      <c r="B322" s="31"/>
      <c r="D322" s="138" t="s">
        <v>289</v>
      </c>
      <c r="F322" s="139" t="s">
        <v>1152</v>
      </c>
      <c r="I322" s="140"/>
      <c r="L322" s="31"/>
      <c r="N322" s="213"/>
      <c r="O322" s="214"/>
      <c r="Q322" s="229"/>
      <c r="BX322" s="141"/>
      <c r="CE322" s="50"/>
      <c r="DE322" s="16" t="s">
        <v>289</v>
      </c>
      <c r="DF322" s="16" t="s">
        <v>83</v>
      </c>
    </row>
    <row r="323" spans="2:128" s="1" customFormat="1" ht="29.25" x14ac:dyDescent="0.2">
      <c r="B323" s="31"/>
      <c r="D323" s="138" t="s">
        <v>299</v>
      </c>
      <c r="F323" s="142" t="s">
        <v>1659</v>
      </c>
      <c r="I323" s="140"/>
      <c r="L323" s="31"/>
      <c r="N323" s="213"/>
      <c r="O323" s="214"/>
      <c r="Q323" s="229"/>
      <c r="BX323" s="141"/>
      <c r="CE323" s="50"/>
      <c r="DE323" s="16" t="s">
        <v>299</v>
      </c>
      <c r="DF323" s="16" t="s">
        <v>83</v>
      </c>
    </row>
    <row r="324" spans="2:128" s="11" customFormat="1" x14ac:dyDescent="0.2">
      <c r="B324" s="143"/>
      <c r="D324" s="138" t="s">
        <v>301</v>
      </c>
      <c r="E324" s="144" t="s">
        <v>1</v>
      </c>
      <c r="F324" s="145" t="s">
        <v>1153</v>
      </c>
      <c r="H324" s="144" t="s">
        <v>1</v>
      </c>
      <c r="I324" s="146"/>
      <c r="L324" s="143"/>
      <c r="N324" s="215"/>
      <c r="O324" s="216"/>
      <c r="Q324" s="230"/>
      <c r="BX324" s="147"/>
      <c r="CE324" s="148"/>
      <c r="DE324" s="144" t="s">
        <v>301</v>
      </c>
      <c r="DF324" s="144" t="s">
        <v>83</v>
      </c>
      <c r="DG324" s="11" t="s">
        <v>81</v>
      </c>
      <c r="DH324" s="11" t="s">
        <v>32</v>
      </c>
      <c r="DI324" s="11" t="s">
        <v>74</v>
      </c>
      <c r="DJ324" s="144" t="s">
        <v>282</v>
      </c>
    </row>
    <row r="325" spans="2:128" s="12" customFormat="1" x14ac:dyDescent="0.2">
      <c r="B325" s="149"/>
      <c r="D325" s="138" t="s">
        <v>301</v>
      </c>
      <c r="E325" s="150" t="s">
        <v>1</v>
      </c>
      <c r="F325" s="151" t="s">
        <v>359</v>
      </c>
      <c r="H325" s="152">
        <v>13</v>
      </c>
      <c r="I325" s="153"/>
      <c r="L325" s="149"/>
      <c r="N325" s="217"/>
      <c r="O325" s="218"/>
      <c r="Q325" s="231"/>
      <c r="BX325" s="154"/>
      <c r="CE325" s="155"/>
      <c r="DE325" s="150" t="s">
        <v>301</v>
      </c>
      <c r="DF325" s="150" t="s">
        <v>83</v>
      </c>
      <c r="DG325" s="12" t="s">
        <v>83</v>
      </c>
      <c r="DH325" s="12" t="s">
        <v>32</v>
      </c>
      <c r="DI325" s="12" t="s">
        <v>81</v>
      </c>
      <c r="DJ325" s="150" t="s">
        <v>282</v>
      </c>
    </row>
    <row r="326" spans="2:128" s="1" customFormat="1" ht="14.45" customHeight="1" x14ac:dyDescent="0.2">
      <c r="B326" s="124"/>
      <c r="C326" s="170" t="s">
        <v>510</v>
      </c>
      <c r="D326" s="170" t="s">
        <v>439</v>
      </c>
      <c r="E326" s="171" t="s">
        <v>1154</v>
      </c>
      <c r="F326" s="172" t="s">
        <v>1155</v>
      </c>
      <c r="G326" s="173" t="s">
        <v>485</v>
      </c>
      <c r="H326" s="174">
        <v>13</v>
      </c>
      <c r="I326" s="175">
        <v>59.200981249999998</v>
      </c>
      <c r="J326" s="176">
        <f>ROUND(I326*H326,2)</f>
        <v>769.61</v>
      </c>
      <c r="K326" s="172" t="s">
        <v>293</v>
      </c>
      <c r="L326" s="268">
        <f>S326</f>
        <v>0</v>
      </c>
      <c r="M326" s="272">
        <f>ROUND(L326*I326,2)</f>
        <v>0</v>
      </c>
      <c r="N326" s="243"/>
      <c r="O326" s="294">
        <f>ROUND(N326*I326,2)</f>
        <v>0</v>
      </c>
      <c r="P326" s="273">
        <f>H326-L326-N326</f>
        <v>13</v>
      </c>
      <c r="Q326" s="287">
        <f>ROUND(P326*I326,2)</f>
        <v>769.61</v>
      </c>
      <c r="R326" s="137"/>
      <c r="S326" s="269">
        <f>W326+Y326+AA326+AC326</f>
        <v>0</v>
      </c>
      <c r="T326" s="269">
        <f>ROUND(S326*I326,2)</f>
        <v>0</v>
      </c>
      <c r="U326" s="269">
        <f>H326-S326</f>
        <v>13</v>
      </c>
      <c r="V326" s="269">
        <f>ROUND(U326*I326,2)</f>
        <v>769.61</v>
      </c>
      <c r="W326" s="290"/>
      <c r="X326" s="290"/>
      <c r="Y326" s="290"/>
      <c r="Z326" s="290"/>
      <c r="AA326" s="290"/>
      <c r="AB326" s="290"/>
      <c r="AC326" s="290"/>
      <c r="AD326" s="290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77" t="s">
        <v>1</v>
      </c>
      <c r="BY326" s="178" t="s">
        <v>40</v>
      </c>
      <c r="CA326" s="134">
        <f>BZ326*H326</f>
        <v>0</v>
      </c>
      <c r="CB326" s="134">
        <v>2.9E-4</v>
      </c>
      <c r="CC326" s="134">
        <f>CB326*H326</f>
        <v>3.7699999999999999E-3</v>
      </c>
      <c r="CD326" s="134">
        <v>0</v>
      </c>
      <c r="CE326" s="135">
        <f>CD326*H326</f>
        <v>0</v>
      </c>
      <c r="DC326" s="136" t="s">
        <v>328</v>
      </c>
      <c r="DE326" s="136" t="s">
        <v>439</v>
      </c>
      <c r="DF326" s="136" t="s">
        <v>83</v>
      </c>
      <c r="DJ326" s="16" t="s">
        <v>282</v>
      </c>
      <c r="DP326" s="137">
        <f>IF(BY326="základní",J326,0)</f>
        <v>769.61</v>
      </c>
      <c r="DQ326" s="137">
        <f>IF(BY326="snížená",J326,0)</f>
        <v>0</v>
      </c>
      <c r="DR326" s="137">
        <f>IF(BY326="zákl. přenesená",J326,0)</f>
        <v>0</v>
      </c>
      <c r="DS326" s="137">
        <f>IF(BY326="sníž. přenesená",J326,0)</f>
        <v>0</v>
      </c>
      <c r="DT326" s="137">
        <f>IF(BY326="nulová",J326,0)</f>
        <v>0</v>
      </c>
      <c r="DU326" s="16" t="s">
        <v>81</v>
      </c>
      <c r="DV326" s="137">
        <f>ROUND(I326*H326,2)</f>
        <v>769.61</v>
      </c>
      <c r="DW326" s="16" t="s">
        <v>95</v>
      </c>
      <c r="DX326" s="136" t="s">
        <v>1156</v>
      </c>
    </row>
    <row r="327" spans="2:128" s="1" customFormat="1" x14ac:dyDescent="0.2">
      <c r="B327" s="31"/>
      <c r="D327" s="138" t="s">
        <v>289</v>
      </c>
      <c r="F327" s="139" t="s">
        <v>1155</v>
      </c>
      <c r="I327" s="140"/>
      <c r="L327" s="31"/>
      <c r="N327" s="213"/>
      <c r="O327" s="214"/>
      <c r="Q327" s="229"/>
      <c r="BX327" s="141"/>
      <c r="CE327" s="50"/>
      <c r="DE327" s="16" t="s">
        <v>289</v>
      </c>
      <c r="DF327" s="16" t="s">
        <v>83</v>
      </c>
    </row>
    <row r="328" spans="2:128" s="1" customFormat="1" ht="14.45" customHeight="1" x14ac:dyDescent="0.2">
      <c r="B328" s="124"/>
      <c r="C328" s="125" t="s">
        <v>514</v>
      </c>
      <c r="D328" s="125" t="s">
        <v>284</v>
      </c>
      <c r="E328" s="126" t="s">
        <v>776</v>
      </c>
      <c r="F328" s="127" t="s">
        <v>1157</v>
      </c>
      <c r="G328" s="128" t="s">
        <v>344</v>
      </c>
      <c r="H328" s="129">
        <v>31.6</v>
      </c>
      <c r="I328" s="130">
        <v>21.984104604889872</v>
      </c>
      <c r="J328" s="131">
        <f>ROUND(I328*H328,2)</f>
        <v>694.7</v>
      </c>
      <c r="K328" s="127" t="s">
        <v>293</v>
      </c>
      <c r="L328" s="268">
        <f>S328</f>
        <v>0</v>
      </c>
      <c r="M328" s="272">
        <f>ROUND(L328*I328,2)</f>
        <v>0</v>
      </c>
      <c r="N328" s="243">
        <f>N304</f>
        <v>3.6000000000000014</v>
      </c>
      <c r="O328" s="294">
        <f>ROUND(N328*I328,2)</f>
        <v>79.14</v>
      </c>
      <c r="P328" s="273">
        <f>H328-L328-N328</f>
        <v>28</v>
      </c>
      <c r="Q328" s="287">
        <f>ROUND(P328*I328,2)</f>
        <v>615.54999999999995</v>
      </c>
      <c r="R328" s="137"/>
      <c r="S328" s="269">
        <f>W328+Y328+AA328+AC328</f>
        <v>0</v>
      </c>
      <c r="T328" s="269">
        <f>ROUND(S328*I328,2)</f>
        <v>0</v>
      </c>
      <c r="U328" s="269">
        <f>H328-S328</f>
        <v>31.6</v>
      </c>
      <c r="V328" s="269">
        <f>ROUND(U328*I328,2)</f>
        <v>694.7</v>
      </c>
      <c r="W328" s="269"/>
      <c r="X328" s="269"/>
      <c r="Y328" s="269"/>
      <c r="Z328" s="269"/>
      <c r="AA328" s="269"/>
      <c r="AB328" s="269"/>
      <c r="AC328" s="269"/>
      <c r="AD328" s="269"/>
      <c r="BX328" s="132" t="s">
        <v>1</v>
      </c>
      <c r="BY328" s="133" t="s">
        <v>40</v>
      </c>
      <c r="CA328" s="134">
        <f>BZ328*H328</f>
        <v>0</v>
      </c>
      <c r="CB328" s="134">
        <v>0</v>
      </c>
      <c r="CC328" s="134">
        <f>CB328*H328</f>
        <v>0</v>
      </c>
      <c r="CD328" s="134">
        <v>0</v>
      </c>
      <c r="CE328" s="135">
        <f>CD328*H328</f>
        <v>0</v>
      </c>
      <c r="DC328" s="136" t="s">
        <v>95</v>
      </c>
      <c r="DE328" s="136" t="s">
        <v>284</v>
      </c>
      <c r="DF328" s="136" t="s">
        <v>83</v>
      </c>
      <c r="DJ328" s="16" t="s">
        <v>282</v>
      </c>
      <c r="DP328" s="137">
        <f>IF(BY328="základní",J328,0)</f>
        <v>694.7</v>
      </c>
      <c r="DQ328" s="137">
        <f>IF(BY328="snížená",J328,0)</f>
        <v>0</v>
      </c>
      <c r="DR328" s="137">
        <f>IF(BY328="zákl. přenesená",J328,0)</f>
        <v>0</v>
      </c>
      <c r="DS328" s="137">
        <f>IF(BY328="sníž. přenesená",J328,0)</f>
        <v>0</v>
      </c>
      <c r="DT328" s="137">
        <f>IF(BY328="nulová",J328,0)</f>
        <v>0</v>
      </c>
      <c r="DU328" s="16" t="s">
        <v>81</v>
      </c>
      <c r="DV328" s="137">
        <f>ROUND(I328*H328,2)</f>
        <v>694.7</v>
      </c>
      <c r="DW328" s="16" t="s">
        <v>95</v>
      </c>
      <c r="DX328" s="136" t="s">
        <v>1158</v>
      </c>
    </row>
    <row r="329" spans="2:128" s="1" customFormat="1" x14ac:dyDescent="0.2">
      <c r="B329" s="31"/>
      <c r="D329" s="138" t="s">
        <v>289</v>
      </c>
      <c r="F329" s="139" t="s">
        <v>779</v>
      </c>
      <c r="I329" s="140"/>
      <c r="L329" s="31"/>
      <c r="N329" s="213"/>
      <c r="O329" s="214"/>
      <c r="Q329" s="229"/>
      <c r="BX329" s="141"/>
      <c r="CE329" s="50"/>
      <c r="DE329" s="16" t="s">
        <v>289</v>
      </c>
      <c r="DF329" s="16" t="s">
        <v>83</v>
      </c>
    </row>
    <row r="330" spans="2:128" s="1" customFormat="1" ht="19.5" x14ac:dyDescent="0.2">
      <c r="B330" s="31"/>
      <c r="D330" s="138" t="s">
        <v>299</v>
      </c>
      <c r="F330" s="142" t="s">
        <v>587</v>
      </c>
      <c r="I330" s="140"/>
      <c r="L330" s="31"/>
      <c r="N330" s="213"/>
      <c r="O330" s="214"/>
      <c r="Q330" s="229"/>
      <c r="BX330" s="141"/>
      <c r="CE330" s="50"/>
      <c r="DE330" s="16" t="s">
        <v>299</v>
      </c>
      <c r="DF330" s="16" t="s">
        <v>83</v>
      </c>
    </row>
    <row r="331" spans="2:128" s="1" customFormat="1" ht="24.2" customHeight="1" x14ac:dyDescent="0.2">
      <c r="B331" s="124"/>
      <c r="C331" s="125" t="s">
        <v>521</v>
      </c>
      <c r="D331" s="125" t="s">
        <v>284</v>
      </c>
      <c r="E331" s="126" t="s">
        <v>1159</v>
      </c>
      <c r="F331" s="127" t="s">
        <v>1160</v>
      </c>
      <c r="G331" s="128" t="s">
        <v>485</v>
      </c>
      <c r="H331" s="129">
        <v>9</v>
      </c>
      <c r="I331" s="130">
        <v>3029.9958423936168</v>
      </c>
      <c r="J331" s="131">
        <f>ROUND(I331*H331,2)</f>
        <v>27269.96</v>
      </c>
      <c r="K331" s="127" t="s">
        <v>293</v>
      </c>
      <c r="L331" s="268">
        <f>S331</f>
        <v>0</v>
      </c>
      <c r="M331" s="272">
        <f>ROUND(L331*I331,2)</f>
        <v>0</v>
      </c>
      <c r="N331" s="243">
        <v>-2</v>
      </c>
      <c r="O331" s="294">
        <f>ROUND(N331*I331,2)</f>
        <v>-6059.99</v>
      </c>
      <c r="P331" s="273">
        <f>H331-L331-N331</f>
        <v>11</v>
      </c>
      <c r="Q331" s="287">
        <f>ROUND(P331*I331,2)</f>
        <v>33329.949999999997</v>
      </c>
      <c r="R331" s="137"/>
      <c r="S331" s="269">
        <f>W331+Y331+AA331+AC331</f>
        <v>0</v>
      </c>
      <c r="T331" s="269">
        <f>ROUND(S331*I331,2)</f>
        <v>0</v>
      </c>
      <c r="U331" s="269">
        <f>H331-S331</f>
        <v>9</v>
      </c>
      <c r="V331" s="269">
        <f>ROUND(U331*I331,2)</f>
        <v>27269.96</v>
      </c>
      <c r="W331" s="269"/>
      <c r="X331" s="269"/>
      <c r="Y331" s="269"/>
      <c r="Z331" s="269"/>
      <c r="AA331" s="269"/>
      <c r="AB331" s="269"/>
      <c r="AC331" s="269"/>
      <c r="AD331" s="269"/>
      <c r="BX331" s="132" t="s">
        <v>1</v>
      </c>
      <c r="BY331" s="133" t="s">
        <v>40</v>
      </c>
      <c r="CA331" s="134">
        <f>BZ331*H331</f>
        <v>0</v>
      </c>
      <c r="CB331" s="134">
        <v>5.8029999999999998E-2</v>
      </c>
      <c r="CC331" s="134">
        <f>CB331*H331</f>
        <v>0.52227000000000001</v>
      </c>
      <c r="CD331" s="134">
        <v>0</v>
      </c>
      <c r="CE331" s="135">
        <f>CD331*H331</f>
        <v>0</v>
      </c>
      <c r="DC331" s="136" t="s">
        <v>95</v>
      </c>
      <c r="DE331" s="136" t="s">
        <v>284</v>
      </c>
      <c r="DF331" s="136" t="s">
        <v>83</v>
      </c>
      <c r="DJ331" s="16" t="s">
        <v>282</v>
      </c>
      <c r="DP331" s="137">
        <f>IF(BY331="základní",J331,0)</f>
        <v>27269.96</v>
      </c>
      <c r="DQ331" s="137">
        <f>IF(BY331="snížená",J331,0)</f>
        <v>0</v>
      </c>
      <c r="DR331" s="137">
        <f>IF(BY331="zákl. přenesená",J331,0)</f>
        <v>0</v>
      </c>
      <c r="DS331" s="137">
        <f>IF(BY331="sníž. přenesená",J331,0)</f>
        <v>0</v>
      </c>
      <c r="DT331" s="137">
        <f>IF(BY331="nulová",J331,0)</f>
        <v>0</v>
      </c>
      <c r="DU331" s="16" t="s">
        <v>81</v>
      </c>
      <c r="DV331" s="137">
        <f>ROUND(I331*H331,2)</f>
        <v>27269.96</v>
      </c>
      <c r="DW331" s="16" t="s">
        <v>95</v>
      </c>
      <c r="DX331" s="136" t="s">
        <v>1161</v>
      </c>
    </row>
    <row r="332" spans="2:128" s="1" customFormat="1" ht="29.25" x14ac:dyDescent="0.2">
      <c r="B332" s="31"/>
      <c r="D332" s="138" t="s">
        <v>289</v>
      </c>
      <c r="F332" s="139" t="s">
        <v>1162</v>
      </c>
      <c r="I332" s="140"/>
      <c r="L332" s="31"/>
      <c r="N332" s="213"/>
      <c r="O332" s="214"/>
      <c r="Q332" s="229"/>
      <c r="BX332" s="141"/>
      <c r="CE332" s="50"/>
      <c r="DE332" s="16" t="s">
        <v>289</v>
      </c>
      <c r="DF332" s="16" t="s">
        <v>83</v>
      </c>
    </row>
    <row r="333" spans="2:128" s="1" customFormat="1" ht="29.25" x14ac:dyDescent="0.2">
      <c r="B333" s="31"/>
      <c r="D333" s="138" t="s">
        <v>299</v>
      </c>
      <c r="F333" s="142" t="s">
        <v>1659</v>
      </c>
      <c r="I333" s="140"/>
      <c r="L333" s="31"/>
      <c r="N333" s="213"/>
      <c r="O333" s="214"/>
      <c r="Q333" s="229"/>
      <c r="BX333" s="141"/>
      <c r="CE333" s="50"/>
      <c r="DE333" s="16" t="s">
        <v>299</v>
      </c>
      <c r="DF333" s="16" t="s">
        <v>83</v>
      </c>
    </row>
    <row r="334" spans="2:128" s="12" customFormat="1" x14ac:dyDescent="0.2">
      <c r="B334" s="149"/>
      <c r="D334" s="138" t="s">
        <v>301</v>
      </c>
      <c r="E334" s="150" t="s">
        <v>1</v>
      </c>
      <c r="F334" s="151" t="s">
        <v>335</v>
      </c>
      <c r="H334" s="152">
        <v>9</v>
      </c>
      <c r="I334" s="153"/>
      <c r="L334" s="149"/>
      <c r="N334" s="217"/>
      <c r="O334" s="218"/>
      <c r="Q334" s="231"/>
      <c r="BX334" s="154"/>
      <c r="CE334" s="155"/>
      <c r="DE334" s="150" t="s">
        <v>301</v>
      </c>
      <c r="DF334" s="150" t="s">
        <v>83</v>
      </c>
      <c r="DG334" s="12" t="s">
        <v>83</v>
      </c>
      <c r="DH334" s="12" t="s">
        <v>32</v>
      </c>
      <c r="DI334" s="12" t="s">
        <v>81</v>
      </c>
      <c r="DJ334" s="150" t="s">
        <v>282</v>
      </c>
    </row>
    <row r="335" spans="2:128" s="1" customFormat="1" ht="24.2" customHeight="1" x14ac:dyDescent="0.2">
      <c r="B335" s="124"/>
      <c r="C335" s="125" t="s">
        <v>526</v>
      </c>
      <c r="D335" s="125" t="s">
        <v>284</v>
      </c>
      <c r="E335" s="126" t="s">
        <v>1163</v>
      </c>
      <c r="F335" s="127" t="s">
        <v>1164</v>
      </c>
      <c r="G335" s="128" t="s">
        <v>485</v>
      </c>
      <c r="H335" s="129">
        <v>9</v>
      </c>
      <c r="I335" s="130">
        <v>1731.8858985723084</v>
      </c>
      <c r="J335" s="131">
        <f>ROUND(I335*H335,2)</f>
        <v>15586.97</v>
      </c>
      <c r="K335" s="127" t="s">
        <v>293</v>
      </c>
      <c r="L335" s="268">
        <f>S335</f>
        <v>0</v>
      </c>
      <c r="M335" s="272">
        <f>ROUND(L335*I335,2)</f>
        <v>0</v>
      </c>
      <c r="N335" s="243">
        <v>-2</v>
      </c>
      <c r="O335" s="294">
        <f>ROUND(N335*I335,2)</f>
        <v>-3463.77</v>
      </c>
      <c r="P335" s="273">
        <f>H335-L335-N335</f>
        <v>11</v>
      </c>
      <c r="Q335" s="287">
        <f>ROUND(P335*I335,2)</f>
        <v>19050.740000000002</v>
      </c>
      <c r="R335" s="137"/>
      <c r="S335" s="269">
        <f>W335+Y335+AA335+AC335</f>
        <v>0</v>
      </c>
      <c r="T335" s="269">
        <f>ROUND(S335*I335,2)</f>
        <v>0</v>
      </c>
      <c r="U335" s="269">
        <f>H335-S335</f>
        <v>9</v>
      </c>
      <c r="V335" s="269">
        <f>ROUND(U335*I335,2)</f>
        <v>15586.97</v>
      </c>
      <c r="W335" s="269"/>
      <c r="X335" s="269"/>
      <c r="Y335" s="269"/>
      <c r="Z335" s="269"/>
      <c r="AA335" s="269"/>
      <c r="AB335" s="269"/>
      <c r="AC335" s="269"/>
      <c r="AD335" s="269"/>
      <c r="BX335" s="132" t="s">
        <v>1</v>
      </c>
      <c r="BY335" s="133" t="s">
        <v>40</v>
      </c>
      <c r="CA335" s="134">
        <f>BZ335*H335</f>
        <v>0</v>
      </c>
      <c r="CB335" s="134">
        <v>1.136E-2</v>
      </c>
      <c r="CC335" s="134">
        <f>CB335*H335</f>
        <v>0.10224</v>
      </c>
      <c r="CD335" s="134">
        <v>0</v>
      </c>
      <c r="CE335" s="135">
        <f>CD335*H335</f>
        <v>0</v>
      </c>
      <c r="DC335" s="136" t="s">
        <v>95</v>
      </c>
      <c r="DE335" s="136" t="s">
        <v>284</v>
      </c>
      <c r="DF335" s="136" t="s">
        <v>83</v>
      </c>
      <c r="DJ335" s="16" t="s">
        <v>282</v>
      </c>
      <c r="DP335" s="137">
        <f>IF(BY335="základní",J335,0)</f>
        <v>15586.97</v>
      </c>
      <c r="DQ335" s="137">
        <f>IF(BY335="snížená",J335,0)</f>
        <v>0</v>
      </c>
      <c r="DR335" s="137">
        <f>IF(BY335="zákl. přenesená",J335,0)</f>
        <v>0</v>
      </c>
      <c r="DS335" s="137">
        <f>IF(BY335="sníž. přenesená",J335,0)</f>
        <v>0</v>
      </c>
      <c r="DT335" s="137">
        <f>IF(BY335="nulová",J335,0)</f>
        <v>0</v>
      </c>
      <c r="DU335" s="16" t="s">
        <v>81</v>
      </c>
      <c r="DV335" s="137">
        <f>ROUND(I335*H335,2)</f>
        <v>15586.97</v>
      </c>
      <c r="DW335" s="16" t="s">
        <v>95</v>
      </c>
      <c r="DX335" s="136" t="s">
        <v>1165</v>
      </c>
    </row>
    <row r="336" spans="2:128" s="1" customFormat="1" ht="19.5" x14ac:dyDescent="0.2">
      <c r="B336" s="31"/>
      <c r="D336" s="138" t="s">
        <v>289</v>
      </c>
      <c r="F336" s="139" t="s">
        <v>1166</v>
      </c>
      <c r="I336" s="140"/>
      <c r="L336" s="31"/>
      <c r="N336" s="213"/>
      <c r="O336" s="214"/>
      <c r="Q336" s="229"/>
      <c r="BX336" s="141"/>
      <c r="CE336" s="50"/>
      <c r="DE336" s="16" t="s">
        <v>289</v>
      </c>
      <c r="DF336" s="16" t="s">
        <v>83</v>
      </c>
    </row>
    <row r="337" spans="2:128" s="1" customFormat="1" ht="24.2" customHeight="1" x14ac:dyDescent="0.2">
      <c r="B337" s="124"/>
      <c r="C337" s="125" t="s">
        <v>531</v>
      </c>
      <c r="D337" s="125" t="s">
        <v>284</v>
      </c>
      <c r="E337" s="126" t="s">
        <v>1167</v>
      </c>
      <c r="F337" s="127" t="s">
        <v>1168</v>
      </c>
      <c r="G337" s="128" t="s">
        <v>485</v>
      </c>
      <c r="H337" s="129">
        <v>9</v>
      </c>
      <c r="I337" s="130">
        <v>769.70783374577138</v>
      </c>
      <c r="J337" s="131">
        <f>ROUND(I337*H337,2)</f>
        <v>6927.37</v>
      </c>
      <c r="K337" s="127" t="s">
        <v>293</v>
      </c>
      <c r="L337" s="268">
        <f>S337</f>
        <v>0</v>
      </c>
      <c r="M337" s="272">
        <f>ROUND(L337*I337,2)</f>
        <v>0</v>
      </c>
      <c r="N337" s="243">
        <v>-2</v>
      </c>
      <c r="O337" s="294">
        <f>ROUND(N337*I337,2)</f>
        <v>-1539.42</v>
      </c>
      <c r="P337" s="273">
        <f>H337-L337-N337</f>
        <v>11</v>
      </c>
      <c r="Q337" s="287">
        <f>ROUND(P337*I337,2)</f>
        <v>8466.7900000000009</v>
      </c>
      <c r="R337" s="137"/>
      <c r="S337" s="269">
        <f>W337+Y337+AA337+AC337</f>
        <v>0</v>
      </c>
      <c r="T337" s="269">
        <f>ROUND(S337*I337,2)</f>
        <v>0</v>
      </c>
      <c r="U337" s="269">
        <f>H337-S337</f>
        <v>9</v>
      </c>
      <c r="V337" s="269">
        <f>ROUND(U337*I337,2)</f>
        <v>6927.37</v>
      </c>
      <c r="W337" s="269"/>
      <c r="X337" s="269"/>
      <c r="Y337" s="269"/>
      <c r="Z337" s="269"/>
      <c r="AA337" s="269"/>
      <c r="AB337" s="269"/>
      <c r="AC337" s="269"/>
      <c r="AD337" s="269"/>
      <c r="BX337" s="132" t="s">
        <v>1</v>
      </c>
      <c r="BY337" s="133" t="s">
        <v>40</v>
      </c>
      <c r="CA337" s="134">
        <f>BZ337*H337</f>
        <v>0</v>
      </c>
      <c r="CB337" s="134">
        <v>6.2199999999999998E-3</v>
      </c>
      <c r="CC337" s="134">
        <f>CB337*H337</f>
        <v>5.5980000000000002E-2</v>
      </c>
      <c r="CD337" s="134">
        <v>0</v>
      </c>
      <c r="CE337" s="135">
        <f>CD337*H337</f>
        <v>0</v>
      </c>
      <c r="DC337" s="136" t="s">
        <v>95</v>
      </c>
      <c r="DE337" s="136" t="s">
        <v>284</v>
      </c>
      <c r="DF337" s="136" t="s">
        <v>83</v>
      </c>
      <c r="DJ337" s="16" t="s">
        <v>282</v>
      </c>
      <c r="DP337" s="137">
        <f>IF(BY337="základní",J337,0)</f>
        <v>6927.37</v>
      </c>
      <c r="DQ337" s="137">
        <f>IF(BY337="snížená",J337,0)</f>
        <v>0</v>
      </c>
      <c r="DR337" s="137">
        <f>IF(BY337="zákl. přenesená",J337,0)</f>
        <v>0</v>
      </c>
      <c r="DS337" s="137">
        <f>IF(BY337="sníž. přenesená",J337,0)</f>
        <v>0</v>
      </c>
      <c r="DT337" s="137">
        <f>IF(BY337="nulová",J337,0)</f>
        <v>0</v>
      </c>
      <c r="DU337" s="16" t="s">
        <v>81</v>
      </c>
      <c r="DV337" s="137">
        <f>ROUND(I337*H337,2)</f>
        <v>6927.37</v>
      </c>
      <c r="DW337" s="16" t="s">
        <v>95</v>
      </c>
      <c r="DX337" s="136" t="s">
        <v>1169</v>
      </c>
    </row>
    <row r="338" spans="2:128" s="1" customFormat="1" ht="29.25" x14ac:dyDescent="0.2">
      <c r="B338" s="31"/>
      <c r="D338" s="138" t="s">
        <v>289</v>
      </c>
      <c r="F338" s="139" t="s">
        <v>1170</v>
      </c>
      <c r="I338" s="140"/>
      <c r="L338" s="31"/>
      <c r="N338" s="213"/>
      <c r="O338" s="214"/>
      <c r="Q338" s="229"/>
      <c r="BX338" s="141"/>
      <c r="CE338" s="50"/>
      <c r="DE338" s="16" t="s">
        <v>289</v>
      </c>
      <c r="DF338" s="16" t="s">
        <v>83</v>
      </c>
    </row>
    <row r="339" spans="2:128" s="1" customFormat="1" ht="24.2" customHeight="1" x14ac:dyDescent="0.2">
      <c r="B339" s="124"/>
      <c r="C339" s="125" t="s">
        <v>536</v>
      </c>
      <c r="D339" s="125" t="s">
        <v>284</v>
      </c>
      <c r="E339" s="126" t="s">
        <v>1171</v>
      </c>
      <c r="F339" s="127" t="s">
        <v>1172</v>
      </c>
      <c r="G339" s="128" t="s">
        <v>485</v>
      </c>
      <c r="H339" s="129">
        <v>9</v>
      </c>
      <c r="I339" s="130">
        <v>809.35201412271431</v>
      </c>
      <c r="J339" s="131">
        <f>ROUND(I339*H339,2)</f>
        <v>7284.17</v>
      </c>
      <c r="K339" s="127" t="s">
        <v>293</v>
      </c>
      <c r="L339" s="268">
        <f>S339</f>
        <v>0</v>
      </c>
      <c r="M339" s="272">
        <f>ROUND(L339*I339,2)</f>
        <v>0</v>
      </c>
      <c r="N339" s="243">
        <v>-2</v>
      </c>
      <c r="O339" s="294">
        <f>ROUND(N339*I339,2)</f>
        <v>-1618.7</v>
      </c>
      <c r="P339" s="273">
        <f>H339-L339-N339</f>
        <v>11</v>
      </c>
      <c r="Q339" s="287">
        <f>ROUND(P339*I339,2)</f>
        <v>8902.8700000000008</v>
      </c>
      <c r="R339" s="137"/>
      <c r="S339" s="269">
        <f>W339+Y339+AA339+AC339</f>
        <v>0</v>
      </c>
      <c r="T339" s="269">
        <f>ROUND(S339*I339,2)</f>
        <v>0</v>
      </c>
      <c r="U339" s="269">
        <f>H339-S339</f>
        <v>9</v>
      </c>
      <c r="V339" s="269">
        <f>ROUND(U339*I339,2)</f>
        <v>7284.17</v>
      </c>
      <c r="W339" s="269"/>
      <c r="X339" s="269"/>
      <c r="Y339" s="269"/>
      <c r="Z339" s="269"/>
      <c r="AA339" s="269"/>
      <c r="AB339" s="269"/>
      <c r="AC339" s="269"/>
      <c r="AD339" s="269"/>
      <c r="BX339" s="132" t="s">
        <v>1</v>
      </c>
      <c r="BY339" s="133" t="s">
        <v>40</v>
      </c>
      <c r="CA339" s="134">
        <f>BZ339*H339</f>
        <v>0</v>
      </c>
      <c r="CB339" s="134">
        <v>0</v>
      </c>
      <c r="CC339" s="134">
        <f>CB339*H339</f>
        <v>0</v>
      </c>
      <c r="CD339" s="134">
        <v>0</v>
      </c>
      <c r="CE339" s="135">
        <f>CD339*H339</f>
        <v>0</v>
      </c>
      <c r="DC339" s="136" t="s">
        <v>95</v>
      </c>
      <c r="DE339" s="136" t="s">
        <v>284</v>
      </c>
      <c r="DF339" s="136" t="s">
        <v>83</v>
      </c>
      <c r="DJ339" s="16" t="s">
        <v>282</v>
      </c>
      <c r="DP339" s="137">
        <f>IF(BY339="základní",J339,0)</f>
        <v>7284.17</v>
      </c>
      <c r="DQ339" s="137">
        <f>IF(BY339="snížená",J339,0)</f>
        <v>0</v>
      </c>
      <c r="DR339" s="137">
        <f>IF(BY339="zákl. přenesená",J339,0)</f>
        <v>0</v>
      </c>
      <c r="DS339" s="137">
        <f>IF(BY339="sníž. přenesená",J339,0)</f>
        <v>0</v>
      </c>
      <c r="DT339" s="137">
        <f>IF(BY339="nulová",J339,0)</f>
        <v>0</v>
      </c>
      <c r="DU339" s="16" t="s">
        <v>81</v>
      </c>
      <c r="DV339" s="137">
        <f>ROUND(I339*H339,2)</f>
        <v>7284.17</v>
      </c>
      <c r="DW339" s="16" t="s">
        <v>95</v>
      </c>
      <c r="DX339" s="136" t="s">
        <v>1173</v>
      </c>
    </row>
    <row r="340" spans="2:128" s="1" customFormat="1" ht="29.25" x14ac:dyDescent="0.2">
      <c r="B340" s="31"/>
      <c r="D340" s="138" t="s">
        <v>289</v>
      </c>
      <c r="F340" s="139" t="s">
        <v>1174</v>
      </c>
      <c r="I340" s="140"/>
      <c r="L340" s="31"/>
      <c r="N340" s="213"/>
      <c r="O340" s="214"/>
      <c r="Q340" s="229"/>
      <c r="BX340" s="141"/>
      <c r="CE340" s="50"/>
      <c r="DE340" s="16" t="s">
        <v>289</v>
      </c>
      <c r="DF340" s="16" t="s">
        <v>83</v>
      </c>
    </row>
    <row r="341" spans="2:128" s="1" customFormat="1" ht="24.2" customHeight="1" x14ac:dyDescent="0.2">
      <c r="B341" s="124"/>
      <c r="C341" s="125" t="s">
        <v>543</v>
      </c>
      <c r="D341" s="125" t="s">
        <v>284</v>
      </c>
      <c r="E341" s="126" t="s">
        <v>1175</v>
      </c>
      <c r="F341" s="127" t="s">
        <v>1176</v>
      </c>
      <c r="G341" s="128" t="s">
        <v>485</v>
      </c>
      <c r="H341" s="129">
        <v>9</v>
      </c>
      <c r="I341" s="130">
        <v>3446.6463092111458</v>
      </c>
      <c r="J341" s="131">
        <f>ROUND(I341*H341,2)</f>
        <v>31019.82</v>
      </c>
      <c r="K341" s="127" t="s">
        <v>293</v>
      </c>
      <c r="L341" s="268">
        <f>S341</f>
        <v>0</v>
      </c>
      <c r="M341" s="272">
        <f>ROUND(L341*I341,2)</f>
        <v>0</v>
      </c>
      <c r="N341" s="243">
        <v>-2</v>
      </c>
      <c r="O341" s="294">
        <f>ROUND(N341*I341,2)</f>
        <v>-6893.29</v>
      </c>
      <c r="P341" s="273">
        <f>H341-L341-N341</f>
        <v>11</v>
      </c>
      <c r="Q341" s="287">
        <f>ROUND(P341*I341,2)</f>
        <v>37913.11</v>
      </c>
      <c r="R341" s="137"/>
      <c r="S341" s="269">
        <f>W341+Y341+AA341+AC341</f>
        <v>0</v>
      </c>
      <c r="T341" s="269">
        <f>ROUND(S341*I341,2)</f>
        <v>0</v>
      </c>
      <c r="U341" s="269">
        <f>H341-S341</f>
        <v>9</v>
      </c>
      <c r="V341" s="269">
        <f>ROUND(U341*I341,2)</f>
        <v>31019.82</v>
      </c>
      <c r="W341" s="269"/>
      <c r="X341" s="269"/>
      <c r="Y341" s="269"/>
      <c r="Z341" s="269"/>
      <c r="AA341" s="269"/>
      <c r="AB341" s="269"/>
      <c r="AC341" s="269"/>
      <c r="AD341" s="269"/>
      <c r="BX341" s="132" t="s">
        <v>1</v>
      </c>
      <c r="BY341" s="133" t="s">
        <v>40</v>
      </c>
      <c r="CA341" s="134">
        <f>BZ341*H341</f>
        <v>0</v>
      </c>
      <c r="CB341" s="134">
        <v>5.4539999999999998E-2</v>
      </c>
      <c r="CC341" s="134">
        <f>CB341*H341</f>
        <v>0.49085999999999996</v>
      </c>
      <c r="CD341" s="134">
        <v>0</v>
      </c>
      <c r="CE341" s="135">
        <f>CD341*H341</f>
        <v>0</v>
      </c>
      <c r="DC341" s="136" t="s">
        <v>95</v>
      </c>
      <c r="DE341" s="136" t="s">
        <v>284</v>
      </c>
      <c r="DF341" s="136" t="s">
        <v>83</v>
      </c>
      <c r="DJ341" s="16" t="s">
        <v>282</v>
      </c>
      <c r="DP341" s="137">
        <f>IF(BY341="základní",J341,0)</f>
        <v>31019.82</v>
      </c>
      <c r="DQ341" s="137">
        <f>IF(BY341="snížená",J341,0)</f>
        <v>0</v>
      </c>
      <c r="DR341" s="137">
        <f>IF(BY341="zákl. přenesená",J341,0)</f>
        <v>0</v>
      </c>
      <c r="DS341" s="137">
        <f>IF(BY341="sníž. přenesená",J341,0)</f>
        <v>0</v>
      </c>
      <c r="DT341" s="137">
        <f>IF(BY341="nulová",J341,0)</f>
        <v>0</v>
      </c>
      <c r="DU341" s="16" t="s">
        <v>81</v>
      </c>
      <c r="DV341" s="137">
        <f>ROUND(I341*H341,2)</f>
        <v>31019.82</v>
      </c>
      <c r="DW341" s="16" t="s">
        <v>95</v>
      </c>
      <c r="DX341" s="136" t="s">
        <v>1177</v>
      </c>
    </row>
    <row r="342" spans="2:128" s="1" customFormat="1" ht="29.25" x14ac:dyDescent="0.2">
      <c r="B342" s="31"/>
      <c r="D342" s="138" t="s">
        <v>289</v>
      </c>
      <c r="F342" s="139" t="s">
        <v>1178</v>
      </c>
      <c r="I342" s="140"/>
      <c r="L342" s="31"/>
      <c r="N342" s="213"/>
      <c r="O342" s="214"/>
      <c r="Q342" s="229"/>
      <c r="BX342" s="141"/>
      <c r="CE342" s="50"/>
      <c r="DE342" s="16" t="s">
        <v>289</v>
      </c>
      <c r="DF342" s="16" t="s">
        <v>83</v>
      </c>
    </row>
    <row r="343" spans="2:128" s="1" customFormat="1" ht="24.2" customHeight="1" x14ac:dyDescent="0.2">
      <c r="B343" s="124"/>
      <c r="C343" s="125" t="s">
        <v>548</v>
      </c>
      <c r="D343" s="125" t="s">
        <v>284</v>
      </c>
      <c r="E343" s="126" t="s">
        <v>1179</v>
      </c>
      <c r="F343" s="127" t="s">
        <v>1180</v>
      </c>
      <c r="G343" s="128" t="s">
        <v>485</v>
      </c>
      <c r="H343" s="129">
        <v>4</v>
      </c>
      <c r="I343" s="130">
        <v>4973.6339388584802</v>
      </c>
      <c r="J343" s="131">
        <f>ROUND(I343*H343,2)</f>
        <v>19894.54</v>
      </c>
      <c r="K343" s="127" t="s">
        <v>293</v>
      </c>
      <c r="L343" s="268">
        <f>S343</f>
        <v>0</v>
      </c>
      <c r="M343" s="272">
        <f>ROUND(L343*I343,2)</f>
        <v>0</v>
      </c>
      <c r="N343" s="243">
        <v>2</v>
      </c>
      <c r="O343" s="294">
        <f>ROUND(N343*I343,2)</f>
        <v>9947.27</v>
      </c>
      <c r="P343" s="273">
        <f>H343-L343-N343</f>
        <v>2</v>
      </c>
      <c r="Q343" s="287">
        <f>ROUND(P343*I343,2)</f>
        <v>9947.27</v>
      </c>
      <c r="R343" s="137"/>
      <c r="S343" s="269">
        <f>W343+Y343+AA343+AC343</f>
        <v>0</v>
      </c>
      <c r="T343" s="269">
        <f>ROUND(S343*I343,2)</f>
        <v>0</v>
      </c>
      <c r="U343" s="269">
        <f>H343-S343</f>
        <v>4</v>
      </c>
      <c r="V343" s="269">
        <f>ROUND(U343*I343,2)</f>
        <v>19894.54</v>
      </c>
      <c r="W343" s="269"/>
      <c r="X343" s="269"/>
      <c r="Y343" s="269"/>
      <c r="Z343" s="269"/>
      <c r="AA343" s="269"/>
      <c r="AB343" s="269"/>
      <c r="AC343" s="269"/>
      <c r="AD343" s="269"/>
      <c r="BX343" s="132" t="s">
        <v>1</v>
      </c>
      <c r="BY343" s="133" t="s">
        <v>40</v>
      </c>
      <c r="CA343" s="134">
        <f>BZ343*H343</f>
        <v>0</v>
      </c>
      <c r="CB343" s="134">
        <v>0.1056</v>
      </c>
      <c r="CC343" s="134">
        <f>CB343*H343</f>
        <v>0.4224</v>
      </c>
      <c r="CD343" s="134">
        <v>0</v>
      </c>
      <c r="CE343" s="135">
        <f>CD343*H343</f>
        <v>0</v>
      </c>
      <c r="DC343" s="136" t="s">
        <v>95</v>
      </c>
      <c r="DE343" s="136" t="s">
        <v>284</v>
      </c>
      <c r="DF343" s="136" t="s">
        <v>83</v>
      </c>
      <c r="DJ343" s="16" t="s">
        <v>282</v>
      </c>
      <c r="DP343" s="137">
        <f>IF(BY343="základní",J343,0)</f>
        <v>19894.54</v>
      </c>
      <c r="DQ343" s="137">
        <f>IF(BY343="snížená",J343,0)</f>
        <v>0</v>
      </c>
      <c r="DR343" s="137">
        <f>IF(BY343="zákl. přenesená",J343,0)</f>
        <v>0</v>
      </c>
      <c r="DS343" s="137">
        <f>IF(BY343="sníž. přenesená",J343,0)</f>
        <v>0</v>
      </c>
      <c r="DT343" s="137">
        <f>IF(BY343="nulová",J343,0)</f>
        <v>0</v>
      </c>
      <c r="DU343" s="16" t="s">
        <v>81</v>
      </c>
      <c r="DV343" s="137">
        <f>ROUND(I343*H343,2)</f>
        <v>19894.54</v>
      </c>
      <c r="DW343" s="16" t="s">
        <v>95</v>
      </c>
      <c r="DX343" s="136" t="s">
        <v>1181</v>
      </c>
    </row>
    <row r="344" spans="2:128" s="1" customFormat="1" ht="29.25" x14ac:dyDescent="0.2">
      <c r="B344" s="31"/>
      <c r="D344" s="138" t="s">
        <v>289</v>
      </c>
      <c r="F344" s="139" t="s">
        <v>1182</v>
      </c>
      <c r="I344" s="140"/>
      <c r="L344" s="31"/>
      <c r="N344" s="213"/>
      <c r="O344" s="214"/>
      <c r="Q344" s="229"/>
      <c r="BX344" s="141"/>
      <c r="CE344" s="50"/>
      <c r="DE344" s="16" t="s">
        <v>289</v>
      </c>
      <c r="DF344" s="16" t="s">
        <v>83</v>
      </c>
    </row>
    <row r="345" spans="2:128" s="1" customFormat="1" ht="29.25" x14ac:dyDescent="0.2">
      <c r="B345" s="31"/>
      <c r="D345" s="138" t="s">
        <v>299</v>
      </c>
      <c r="F345" s="142" t="s">
        <v>1659</v>
      </c>
      <c r="I345" s="140"/>
      <c r="L345" s="31"/>
      <c r="N345" s="213"/>
      <c r="O345" s="214"/>
      <c r="Q345" s="229"/>
      <c r="BX345" s="141"/>
      <c r="CE345" s="50"/>
      <c r="DE345" s="16" t="s">
        <v>299</v>
      </c>
      <c r="DF345" s="16" t="s">
        <v>83</v>
      </c>
    </row>
    <row r="346" spans="2:128" s="12" customFormat="1" x14ac:dyDescent="0.2">
      <c r="B346" s="149"/>
      <c r="D346" s="138" t="s">
        <v>301</v>
      </c>
      <c r="E346" s="150" t="s">
        <v>1</v>
      </c>
      <c r="F346" s="151" t="s">
        <v>95</v>
      </c>
      <c r="H346" s="152">
        <v>4</v>
      </c>
      <c r="I346" s="153"/>
      <c r="L346" s="149"/>
      <c r="N346" s="217"/>
      <c r="O346" s="218"/>
      <c r="Q346" s="231"/>
      <c r="BX346" s="154"/>
      <c r="CE346" s="155"/>
      <c r="DE346" s="150" t="s">
        <v>301</v>
      </c>
      <c r="DF346" s="150" t="s">
        <v>83</v>
      </c>
      <c r="DG346" s="12" t="s">
        <v>83</v>
      </c>
      <c r="DH346" s="12" t="s">
        <v>32</v>
      </c>
      <c r="DI346" s="12" t="s">
        <v>81</v>
      </c>
      <c r="DJ346" s="150" t="s">
        <v>282</v>
      </c>
    </row>
    <row r="347" spans="2:128" s="1" customFormat="1" ht="24.2" customHeight="1" x14ac:dyDescent="0.2">
      <c r="B347" s="124"/>
      <c r="C347" s="125" t="s">
        <v>556</v>
      </c>
      <c r="D347" s="125" t="s">
        <v>284</v>
      </c>
      <c r="E347" s="126" t="s">
        <v>932</v>
      </c>
      <c r="F347" s="127" t="s">
        <v>933</v>
      </c>
      <c r="G347" s="128" t="s">
        <v>485</v>
      </c>
      <c r="H347" s="129">
        <v>4</v>
      </c>
      <c r="I347" s="130">
        <v>3593.8097854433977</v>
      </c>
      <c r="J347" s="131">
        <f>ROUND(I347*H347,2)</f>
        <v>14375.24</v>
      </c>
      <c r="K347" s="127" t="s">
        <v>293</v>
      </c>
      <c r="L347" s="268">
        <f>S347</f>
        <v>0</v>
      </c>
      <c r="M347" s="272">
        <f>ROUND(L347*I347,2)</f>
        <v>0</v>
      </c>
      <c r="N347" s="243">
        <v>2</v>
      </c>
      <c r="O347" s="294">
        <f>ROUND(N347*I347,2)</f>
        <v>7187.62</v>
      </c>
      <c r="P347" s="273">
        <f>H347-L347-N347</f>
        <v>2</v>
      </c>
      <c r="Q347" s="287">
        <f>ROUND(P347*I347,2)</f>
        <v>7187.62</v>
      </c>
      <c r="R347" s="137"/>
      <c r="S347" s="269">
        <f>W347+Y347+AA347+AC347</f>
        <v>0</v>
      </c>
      <c r="T347" s="269">
        <f>ROUND(S347*I347,2)</f>
        <v>0</v>
      </c>
      <c r="U347" s="269">
        <f>H347-S347</f>
        <v>4</v>
      </c>
      <c r="V347" s="269">
        <f>ROUND(U347*I347,2)</f>
        <v>14375.24</v>
      </c>
      <c r="W347" s="269"/>
      <c r="X347" s="269"/>
      <c r="Y347" s="269"/>
      <c r="Z347" s="269"/>
      <c r="AA347" s="269"/>
      <c r="AB347" s="269"/>
      <c r="AC347" s="269"/>
      <c r="AD347" s="269"/>
      <c r="BX347" s="132" t="s">
        <v>1</v>
      </c>
      <c r="BY347" s="133" t="s">
        <v>40</v>
      </c>
      <c r="CA347" s="134">
        <f>BZ347*H347</f>
        <v>0</v>
      </c>
      <c r="CB347" s="134">
        <v>2.4240000000000001E-2</v>
      </c>
      <c r="CC347" s="134">
        <f>CB347*H347</f>
        <v>9.6960000000000005E-2</v>
      </c>
      <c r="CD347" s="134">
        <v>0</v>
      </c>
      <c r="CE347" s="135">
        <f>CD347*H347</f>
        <v>0</v>
      </c>
      <c r="DC347" s="136" t="s">
        <v>95</v>
      </c>
      <c r="DE347" s="136" t="s">
        <v>284</v>
      </c>
      <c r="DF347" s="136" t="s">
        <v>83</v>
      </c>
      <c r="DJ347" s="16" t="s">
        <v>282</v>
      </c>
      <c r="DP347" s="137">
        <f>IF(BY347="základní",J347,0)</f>
        <v>14375.24</v>
      </c>
      <c r="DQ347" s="137">
        <f>IF(BY347="snížená",J347,0)</f>
        <v>0</v>
      </c>
      <c r="DR347" s="137">
        <f>IF(BY347="zákl. přenesená",J347,0)</f>
        <v>0</v>
      </c>
      <c r="DS347" s="137">
        <f>IF(BY347="sníž. přenesená",J347,0)</f>
        <v>0</v>
      </c>
      <c r="DT347" s="137">
        <f>IF(BY347="nulová",J347,0)</f>
        <v>0</v>
      </c>
      <c r="DU347" s="16" t="s">
        <v>81</v>
      </c>
      <c r="DV347" s="137">
        <f>ROUND(I347*H347,2)</f>
        <v>14375.24</v>
      </c>
      <c r="DW347" s="16" t="s">
        <v>95</v>
      </c>
      <c r="DX347" s="136" t="s">
        <v>1033</v>
      </c>
    </row>
    <row r="348" spans="2:128" s="1" customFormat="1" ht="19.5" x14ac:dyDescent="0.2">
      <c r="B348" s="31"/>
      <c r="D348" s="138" t="s">
        <v>289</v>
      </c>
      <c r="F348" s="139" t="s">
        <v>935</v>
      </c>
      <c r="I348" s="140"/>
      <c r="L348" s="31"/>
      <c r="N348" s="213"/>
      <c r="O348" s="214"/>
      <c r="Q348" s="229"/>
      <c r="BX348" s="141"/>
      <c r="CE348" s="50"/>
      <c r="DE348" s="16" t="s">
        <v>289</v>
      </c>
      <c r="DF348" s="16" t="s">
        <v>83</v>
      </c>
    </row>
    <row r="349" spans="2:128" s="1" customFormat="1" ht="24.2" customHeight="1" x14ac:dyDescent="0.2">
      <c r="B349" s="124"/>
      <c r="C349" s="125" t="s">
        <v>562</v>
      </c>
      <c r="D349" s="125" t="s">
        <v>284</v>
      </c>
      <c r="E349" s="126" t="s">
        <v>936</v>
      </c>
      <c r="F349" s="127" t="s">
        <v>937</v>
      </c>
      <c r="G349" s="128" t="s">
        <v>485</v>
      </c>
      <c r="H349" s="129">
        <v>4</v>
      </c>
      <c r="I349" s="130">
        <v>1078.0568828114554</v>
      </c>
      <c r="J349" s="131">
        <f>ROUND(I349*H349,2)</f>
        <v>4312.2299999999996</v>
      </c>
      <c r="K349" s="127" t="s">
        <v>293</v>
      </c>
      <c r="L349" s="268">
        <f>S349</f>
        <v>0</v>
      </c>
      <c r="M349" s="272">
        <f>ROUND(L349*I349,2)</f>
        <v>0</v>
      </c>
      <c r="N349" s="243">
        <v>2</v>
      </c>
      <c r="O349" s="294">
        <f>ROUND(N349*I349,2)</f>
        <v>2156.11</v>
      </c>
      <c r="P349" s="273">
        <f>H349-L349-N349</f>
        <v>2</v>
      </c>
      <c r="Q349" s="287">
        <f>ROUND(P349*I349,2)</f>
        <v>2156.11</v>
      </c>
      <c r="R349" s="137"/>
      <c r="S349" s="269">
        <f>W349+Y349+AA349+AC349</f>
        <v>0</v>
      </c>
      <c r="T349" s="269">
        <f>ROUND(S349*I349,2)</f>
        <v>0</v>
      </c>
      <c r="U349" s="269">
        <f>H349-S349</f>
        <v>4</v>
      </c>
      <c r="V349" s="269">
        <f>ROUND(U349*I349,2)</f>
        <v>4312.2299999999996</v>
      </c>
      <c r="W349" s="269"/>
      <c r="X349" s="269"/>
      <c r="Y349" s="269"/>
      <c r="Z349" s="269"/>
      <c r="AA349" s="269"/>
      <c r="AB349" s="269"/>
      <c r="AC349" s="269"/>
      <c r="AD349" s="269"/>
      <c r="BX349" s="132" t="s">
        <v>1</v>
      </c>
      <c r="BY349" s="133" t="s">
        <v>40</v>
      </c>
      <c r="CA349" s="134">
        <f>BZ349*H349</f>
        <v>0</v>
      </c>
      <c r="CB349" s="134">
        <v>0</v>
      </c>
      <c r="CC349" s="134">
        <f>CB349*H349</f>
        <v>0</v>
      </c>
      <c r="CD349" s="134">
        <v>0</v>
      </c>
      <c r="CE349" s="135">
        <f>CD349*H349</f>
        <v>0</v>
      </c>
      <c r="DC349" s="136" t="s">
        <v>95</v>
      </c>
      <c r="DE349" s="136" t="s">
        <v>284</v>
      </c>
      <c r="DF349" s="136" t="s">
        <v>83</v>
      </c>
      <c r="DJ349" s="16" t="s">
        <v>282</v>
      </c>
      <c r="DP349" s="137">
        <f>IF(BY349="základní",J349,0)</f>
        <v>4312.2299999999996</v>
      </c>
      <c r="DQ349" s="137">
        <f>IF(BY349="snížená",J349,0)</f>
        <v>0</v>
      </c>
      <c r="DR349" s="137">
        <f>IF(BY349="zákl. přenesená",J349,0)</f>
        <v>0</v>
      </c>
      <c r="DS349" s="137">
        <f>IF(BY349="sníž. přenesená",J349,0)</f>
        <v>0</v>
      </c>
      <c r="DT349" s="137">
        <f>IF(BY349="nulová",J349,0)</f>
        <v>0</v>
      </c>
      <c r="DU349" s="16" t="s">
        <v>81</v>
      </c>
      <c r="DV349" s="137">
        <f>ROUND(I349*H349,2)</f>
        <v>4312.2299999999996</v>
      </c>
      <c r="DW349" s="16" t="s">
        <v>95</v>
      </c>
      <c r="DX349" s="136" t="s">
        <v>1038</v>
      </c>
    </row>
    <row r="350" spans="2:128" s="1" customFormat="1" ht="19.5" x14ac:dyDescent="0.2">
      <c r="B350" s="31"/>
      <c r="D350" s="138" t="s">
        <v>289</v>
      </c>
      <c r="F350" s="139" t="s">
        <v>939</v>
      </c>
      <c r="I350" s="140"/>
      <c r="L350" s="31"/>
      <c r="N350" s="213"/>
      <c r="O350" s="214"/>
      <c r="Q350" s="229"/>
      <c r="BX350" s="141"/>
      <c r="CE350" s="50"/>
      <c r="DE350" s="16" t="s">
        <v>289</v>
      </c>
      <c r="DF350" s="16" t="s">
        <v>83</v>
      </c>
    </row>
    <row r="351" spans="2:128" s="1" customFormat="1" ht="24.2" customHeight="1" x14ac:dyDescent="0.2">
      <c r="B351" s="124"/>
      <c r="C351" s="125" t="s">
        <v>568</v>
      </c>
      <c r="D351" s="125" t="s">
        <v>284</v>
      </c>
      <c r="E351" s="126" t="s">
        <v>940</v>
      </c>
      <c r="F351" s="127" t="s">
        <v>941</v>
      </c>
      <c r="G351" s="128" t="s">
        <v>485</v>
      </c>
      <c r="H351" s="129">
        <v>4</v>
      </c>
      <c r="I351" s="130">
        <v>8864.0454366400263</v>
      </c>
      <c r="J351" s="131">
        <f>ROUND(I351*H351,2)</f>
        <v>35456.18</v>
      </c>
      <c r="K351" s="127" t="s">
        <v>293</v>
      </c>
      <c r="L351" s="268">
        <f>S351</f>
        <v>0</v>
      </c>
      <c r="M351" s="272">
        <f>ROUND(L351*I351,2)</f>
        <v>0</v>
      </c>
      <c r="N351" s="243">
        <v>2</v>
      </c>
      <c r="O351" s="294">
        <f>ROUND(N351*I351,2)</f>
        <v>17728.09</v>
      </c>
      <c r="P351" s="273">
        <f>H351-L351-N351</f>
        <v>2</v>
      </c>
      <c r="Q351" s="287">
        <f>ROUND(P351*I351,2)</f>
        <v>17728.09</v>
      </c>
      <c r="R351" s="137"/>
      <c r="S351" s="269">
        <f>W351+Y351+AA351+AC351</f>
        <v>0</v>
      </c>
      <c r="T351" s="269">
        <f>ROUND(S351*I351,2)</f>
        <v>0</v>
      </c>
      <c r="U351" s="269">
        <f>H351-S351</f>
        <v>4</v>
      </c>
      <c r="V351" s="269">
        <f>ROUND(U351*I351,2)</f>
        <v>35456.18</v>
      </c>
      <c r="W351" s="269"/>
      <c r="X351" s="269"/>
      <c r="Y351" s="269"/>
      <c r="Z351" s="269"/>
      <c r="AA351" s="269"/>
      <c r="AB351" s="269"/>
      <c r="AC351" s="269"/>
      <c r="AD351" s="269"/>
      <c r="BX351" s="132" t="s">
        <v>1</v>
      </c>
      <c r="BY351" s="133" t="s">
        <v>40</v>
      </c>
      <c r="CA351" s="134">
        <f>BZ351*H351</f>
        <v>0</v>
      </c>
      <c r="CB351" s="134">
        <v>0.21007999999999999</v>
      </c>
      <c r="CC351" s="134">
        <f>CB351*H351</f>
        <v>0.84031999999999996</v>
      </c>
      <c r="CD351" s="134">
        <v>0</v>
      </c>
      <c r="CE351" s="135">
        <f>CD351*H351</f>
        <v>0</v>
      </c>
      <c r="DC351" s="136" t="s">
        <v>95</v>
      </c>
      <c r="DE351" s="136" t="s">
        <v>284</v>
      </c>
      <c r="DF351" s="136" t="s">
        <v>83</v>
      </c>
      <c r="DJ351" s="16" t="s">
        <v>282</v>
      </c>
      <c r="DP351" s="137">
        <f>IF(BY351="základní",J351,0)</f>
        <v>35456.18</v>
      </c>
      <c r="DQ351" s="137">
        <f>IF(BY351="snížená",J351,0)</f>
        <v>0</v>
      </c>
      <c r="DR351" s="137">
        <f>IF(BY351="zákl. přenesená",J351,0)</f>
        <v>0</v>
      </c>
      <c r="DS351" s="137">
        <f>IF(BY351="sníž. přenesená",J351,0)</f>
        <v>0</v>
      </c>
      <c r="DT351" s="137">
        <f>IF(BY351="nulová",J351,0)</f>
        <v>0</v>
      </c>
      <c r="DU351" s="16" t="s">
        <v>81</v>
      </c>
      <c r="DV351" s="137">
        <f>ROUND(I351*H351,2)</f>
        <v>35456.18</v>
      </c>
      <c r="DW351" s="16" t="s">
        <v>95</v>
      </c>
      <c r="DX351" s="136" t="s">
        <v>1039</v>
      </c>
    </row>
    <row r="352" spans="2:128" s="1" customFormat="1" ht="29.25" x14ac:dyDescent="0.2">
      <c r="B352" s="31"/>
      <c r="D352" s="138" t="s">
        <v>289</v>
      </c>
      <c r="F352" s="139" t="s">
        <v>943</v>
      </c>
      <c r="I352" s="140"/>
      <c r="L352" s="31"/>
      <c r="N352" s="213"/>
      <c r="O352" s="214"/>
      <c r="Q352" s="229"/>
      <c r="BX352" s="141"/>
      <c r="CE352" s="50"/>
      <c r="DE352" s="16" t="s">
        <v>289</v>
      </c>
      <c r="DF352" s="16" t="s">
        <v>83</v>
      </c>
    </row>
    <row r="353" spans="2:128" s="10" customFormat="1" ht="22.9" customHeight="1" x14ac:dyDescent="0.2">
      <c r="B353" s="112"/>
      <c r="D353" s="113" t="s">
        <v>73</v>
      </c>
      <c r="E353" s="122" t="s">
        <v>335</v>
      </c>
      <c r="F353" s="122" t="s">
        <v>674</v>
      </c>
      <c r="I353" s="115"/>
      <c r="J353" s="123">
        <f>DV353</f>
        <v>7577.73</v>
      </c>
      <c r="L353" s="112"/>
      <c r="M353" s="270">
        <f>SUM(M354:M358)</f>
        <v>0</v>
      </c>
      <c r="N353" s="301"/>
      <c r="O353" s="302">
        <f t="shared" ref="O353:V353" si="7">SUM(O354:O358)</f>
        <v>0</v>
      </c>
      <c r="P353" s="270"/>
      <c r="Q353" s="288">
        <f t="shared" si="7"/>
        <v>7577.73</v>
      </c>
      <c r="R353" s="270"/>
      <c r="S353" s="270"/>
      <c r="T353" s="270">
        <f t="shared" si="7"/>
        <v>0</v>
      </c>
      <c r="U353" s="270"/>
      <c r="V353" s="270">
        <f t="shared" si="7"/>
        <v>7577.73</v>
      </c>
      <c r="BX353" s="117"/>
      <c r="CA353" s="118">
        <f>SUM(CA354:CA361)</f>
        <v>0</v>
      </c>
      <c r="CC353" s="118">
        <f>SUM(CC354:CC361)</f>
        <v>0</v>
      </c>
      <c r="CE353" s="119">
        <f>SUM(CE354:CE361)</f>
        <v>0</v>
      </c>
      <c r="DC353" s="113" t="s">
        <v>81</v>
      </c>
      <c r="DE353" s="120" t="s">
        <v>73</v>
      </c>
      <c r="DF353" s="120" t="s">
        <v>81</v>
      </c>
      <c r="DJ353" s="113" t="s">
        <v>282</v>
      </c>
      <c r="DV353" s="121">
        <f>SUM(DV354:DV361)</f>
        <v>7577.73</v>
      </c>
    </row>
    <row r="354" spans="2:128" s="1" customFormat="1" ht="37.9" customHeight="1" x14ac:dyDescent="0.2">
      <c r="B354" s="124"/>
      <c r="C354" s="125" t="s">
        <v>572</v>
      </c>
      <c r="D354" s="125" t="s">
        <v>284</v>
      </c>
      <c r="E354" s="126" t="s">
        <v>1183</v>
      </c>
      <c r="F354" s="127" t="s">
        <v>1184</v>
      </c>
      <c r="G354" s="128" t="s">
        <v>315</v>
      </c>
      <c r="H354" s="129">
        <v>2</v>
      </c>
      <c r="I354" s="130">
        <v>3220.5333799999999</v>
      </c>
      <c r="J354" s="131">
        <f>ROUND(I354*H354,2)</f>
        <v>6441.07</v>
      </c>
      <c r="K354" s="127" t="s">
        <v>1</v>
      </c>
      <c r="L354" s="268">
        <f>S354</f>
        <v>0</v>
      </c>
      <c r="M354" s="272">
        <f>ROUND(L354*I354,2)</f>
        <v>0</v>
      </c>
      <c r="N354" s="243"/>
      <c r="O354" s="294">
        <f>ROUND(N354*I354,2)</f>
        <v>0</v>
      </c>
      <c r="P354" s="273">
        <f>H354-L354-N354</f>
        <v>2</v>
      </c>
      <c r="Q354" s="287">
        <f>ROUND(P354*I354,2)</f>
        <v>6441.07</v>
      </c>
      <c r="R354" s="137"/>
      <c r="S354" s="269">
        <f>W354+Y354+AA354+AC354</f>
        <v>0</v>
      </c>
      <c r="T354" s="269">
        <f>ROUND(S354*I354,2)</f>
        <v>0</v>
      </c>
      <c r="U354" s="269">
        <f>H354-S354</f>
        <v>2</v>
      </c>
      <c r="V354" s="269">
        <f>ROUND(U354*I354,2)</f>
        <v>6441.07</v>
      </c>
      <c r="W354" s="269"/>
      <c r="X354" s="269"/>
      <c r="Y354" s="269"/>
      <c r="Z354" s="269"/>
      <c r="AA354" s="269"/>
      <c r="AB354" s="269"/>
      <c r="AC354" s="269"/>
      <c r="AD354" s="269"/>
      <c r="BX354" s="132" t="s">
        <v>1</v>
      </c>
      <c r="BY354" s="133" t="s">
        <v>40</v>
      </c>
      <c r="CA354" s="134">
        <f>BZ354*H354</f>
        <v>0</v>
      </c>
      <c r="CB354" s="134">
        <v>0</v>
      </c>
      <c r="CC354" s="134">
        <f>CB354*H354</f>
        <v>0</v>
      </c>
      <c r="CD354" s="134">
        <v>0</v>
      </c>
      <c r="CE354" s="135">
        <f>CD354*H354</f>
        <v>0</v>
      </c>
      <c r="DC354" s="136" t="s">
        <v>95</v>
      </c>
      <c r="DE354" s="136" t="s">
        <v>284</v>
      </c>
      <c r="DF354" s="136" t="s">
        <v>83</v>
      </c>
      <c r="DJ354" s="16" t="s">
        <v>282</v>
      </c>
      <c r="DP354" s="137">
        <f>IF(BY354="základní",J354,0)</f>
        <v>6441.07</v>
      </c>
      <c r="DQ354" s="137">
        <f>IF(BY354="snížená",J354,0)</f>
        <v>0</v>
      </c>
      <c r="DR354" s="137">
        <f>IF(BY354="zákl. přenesená",J354,0)</f>
        <v>0</v>
      </c>
      <c r="DS354" s="137">
        <f>IF(BY354="sníž. přenesená",J354,0)</f>
        <v>0</v>
      </c>
      <c r="DT354" s="137">
        <f>IF(BY354="nulová",J354,0)</f>
        <v>0</v>
      </c>
      <c r="DU354" s="16" t="s">
        <v>81</v>
      </c>
      <c r="DV354" s="137">
        <f>ROUND(I354*H354,2)</f>
        <v>6441.07</v>
      </c>
      <c r="DW354" s="16" t="s">
        <v>95</v>
      </c>
      <c r="DX354" s="136" t="s">
        <v>1185</v>
      </c>
    </row>
    <row r="355" spans="2:128" s="1" customFormat="1" ht="29.25" x14ac:dyDescent="0.2">
      <c r="B355" s="31"/>
      <c r="D355" s="138" t="s">
        <v>289</v>
      </c>
      <c r="F355" s="139" t="s">
        <v>1184</v>
      </c>
      <c r="I355" s="140"/>
      <c r="L355" s="31"/>
      <c r="N355" s="213"/>
      <c r="O355" s="214"/>
      <c r="Q355" s="229"/>
      <c r="BX355" s="141"/>
      <c r="CE355" s="50"/>
      <c r="DE355" s="16" t="s">
        <v>289</v>
      </c>
      <c r="DF355" s="16" t="s">
        <v>83</v>
      </c>
    </row>
    <row r="356" spans="2:128" s="1" customFormat="1" ht="29.25" x14ac:dyDescent="0.2">
      <c r="B356" s="31"/>
      <c r="D356" s="138" t="s">
        <v>299</v>
      </c>
      <c r="F356" s="142" t="s">
        <v>1700</v>
      </c>
      <c r="I356" s="140"/>
      <c r="L356" s="31"/>
      <c r="N356" s="213"/>
      <c r="O356" s="214"/>
      <c r="Q356" s="229"/>
      <c r="BX356" s="141"/>
      <c r="CE356" s="50"/>
      <c r="DE356" s="16" t="s">
        <v>299</v>
      </c>
      <c r="DF356" s="16" t="s">
        <v>83</v>
      </c>
    </row>
    <row r="357" spans="2:128" s="12" customFormat="1" x14ac:dyDescent="0.2">
      <c r="B357" s="149"/>
      <c r="D357" s="138" t="s">
        <v>301</v>
      </c>
      <c r="E357" s="150" t="s">
        <v>1</v>
      </c>
      <c r="F357" s="151" t="s">
        <v>83</v>
      </c>
      <c r="H357" s="152">
        <v>2</v>
      </c>
      <c r="I357" s="153"/>
      <c r="L357" s="149"/>
      <c r="N357" s="217"/>
      <c r="O357" s="218"/>
      <c r="Q357" s="231"/>
      <c r="BX357" s="154"/>
      <c r="CE357" s="155"/>
      <c r="DE357" s="150" t="s">
        <v>301</v>
      </c>
      <c r="DF357" s="150" t="s">
        <v>83</v>
      </c>
      <c r="DG357" s="12" t="s">
        <v>83</v>
      </c>
      <c r="DH357" s="12" t="s">
        <v>32</v>
      </c>
      <c r="DI357" s="12" t="s">
        <v>81</v>
      </c>
      <c r="DJ357" s="150" t="s">
        <v>282</v>
      </c>
    </row>
    <row r="358" spans="2:128" s="1" customFormat="1" ht="24.2" customHeight="1" x14ac:dyDescent="0.2">
      <c r="B358" s="124"/>
      <c r="C358" s="125" t="s">
        <v>581</v>
      </c>
      <c r="D358" s="125" t="s">
        <v>284</v>
      </c>
      <c r="E358" s="126" t="s">
        <v>1190</v>
      </c>
      <c r="F358" s="127" t="s">
        <v>1191</v>
      </c>
      <c r="G358" s="128" t="s">
        <v>344</v>
      </c>
      <c r="H358" s="129">
        <v>2</v>
      </c>
      <c r="I358" s="130">
        <v>568.32942000000003</v>
      </c>
      <c r="J358" s="131">
        <f>ROUND(I358*H358,2)</f>
        <v>1136.6600000000001</v>
      </c>
      <c r="K358" s="127" t="s">
        <v>1</v>
      </c>
      <c r="L358" s="268">
        <f>S358</f>
        <v>0</v>
      </c>
      <c r="M358" s="272">
        <f>ROUND(L358*I358,2)</f>
        <v>0</v>
      </c>
      <c r="N358" s="243"/>
      <c r="O358" s="294">
        <f>ROUND(N358*I358,2)</f>
        <v>0</v>
      </c>
      <c r="P358" s="273">
        <f>H358-L358-N358</f>
        <v>2</v>
      </c>
      <c r="Q358" s="287">
        <f>ROUND(P358*I358,2)</f>
        <v>1136.6600000000001</v>
      </c>
      <c r="R358" s="137"/>
      <c r="S358" s="269">
        <f>W358+Y358+AA358+AC358</f>
        <v>0</v>
      </c>
      <c r="T358" s="269">
        <f>ROUND(S358*I358,2)</f>
        <v>0</v>
      </c>
      <c r="U358" s="269">
        <f>H358-S358</f>
        <v>2</v>
      </c>
      <c r="V358" s="269">
        <f>ROUND(U358*I358,2)</f>
        <v>1136.6600000000001</v>
      </c>
      <c r="W358" s="269"/>
      <c r="X358" s="269"/>
      <c r="Y358" s="269"/>
      <c r="Z358" s="269"/>
      <c r="AA358" s="269"/>
      <c r="AB358" s="269"/>
      <c r="AC358" s="269"/>
      <c r="AD358" s="269"/>
      <c r="BX358" s="132" t="s">
        <v>1</v>
      </c>
      <c r="BY358" s="133" t="s">
        <v>40</v>
      </c>
      <c r="CA358" s="134">
        <f>BZ358*H358</f>
        <v>0</v>
      </c>
      <c r="CB358" s="134">
        <v>0</v>
      </c>
      <c r="CC358" s="134">
        <f>CB358*H358</f>
        <v>0</v>
      </c>
      <c r="CD358" s="134">
        <v>0</v>
      </c>
      <c r="CE358" s="135">
        <f>CD358*H358</f>
        <v>0</v>
      </c>
      <c r="DC358" s="136" t="s">
        <v>95</v>
      </c>
      <c r="DE358" s="136" t="s">
        <v>284</v>
      </c>
      <c r="DF358" s="136" t="s">
        <v>83</v>
      </c>
      <c r="DJ358" s="16" t="s">
        <v>282</v>
      </c>
      <c r="DP358" s="137">
        <f>IF(BY358="základní",J358,0)</f>
        <v>1136.6600000000001</v>
      </c>
      <c r="DQ358" s="137">
        <f>IF(BY358="snížená",J358,0)</f>
        <v>0</v>
      </c>
      <c r="DR358" s="137">
        <f>IF(BY358="zákl. přenesená",J358,0)</f>
        <v>0</v>
      </c>
      <c r="DS358" s="137">
        <f>IF(BY358="sníž. přenesená",J358,0)</f>
        <v>0</v>
      </c>
      <c r="DT358" s="137">
        <f>IF(BY358="nulová",J358,0)</f>
        <v>0</v>
      </c>
      <c r="DU358" s="16" t="s">
        <v>81</v>
      </c>
      <c r="DV358" s="137">
        <f>ROUND(I358*H358,2)</f>
        <v>1136.6600000000001</v>
      </c>
      <c r="DW358" s="16" t="s">
        <v>95</v>
      </c>
      <c r="DX358" s="136" t="s">
        <v>1192</v>
      </c>
    </row>
    <row r="359" spans="2:128" s="1" customFormat="1" ht="19.5" x14ac:dyDescent="0.2">
      <c r="B359" s="31"/>
      <c r="D359" s="138" t="s">
        <v>289</v>
      </c>
      <c r="F359" s="139" t="s">
        <v>1191</v>
      </c>
      <c r="I359" s="140"/>
      <c r="L359" s="31"/>
      <c r="N359" s="213"/>
      <c r="O359" s="214"/>
      <c r="Q359" s="229"/>
      <c r="BX359" s="141"/>
      <c r="CE359" s="50"/>
      <c r="DE359" s="16" t="s">
        <v>289</v>
      </c>
      <c r="DF359" s="16" t="s">
        <v>83</v>
      </c>
    </row>
    <row r="360" spans="2:128" s="1" customFormat="1" ht="29.25" x14ac:dyDescent="0.2">
      <c r="B360" s="31"/>
      <c r="D360" s="138" t="s">
        <v>299</v>
      </c>
      <c r="F360" s="142" t="s">
        <v>1700</v>
      </c>
      <c r="I360" s="140"/>
      <c r="L360" s="31"/>
      <c r="N360" s="213"/>
      <c r="O360" s="214"/>
      <c r="Q360" s="229"/>
      <c r="BX360" s="141"/>
      <c r="CE360" s="50"/>
      <c r="DE360" s="16" t="s">
        <v>299</v>
      </c>
      <c r="DF360" s="16" t="s">
        <v>83</v>
      </c>
    </row>
    <row r="361" spans="2:128" s="12" customFormat="1" x14ac:dyDescent="0.2">
      <c r="B361" s="149"/>
      <c r="D361" s="138" t="s">
        <v>301</v>
      </c>
      <c r="E361" s="150" t="s">
        <v>1</v>
      </c>
      <c r="F361" s="151" t="s">
        <v>1784</v>
      </c>
      <c r="H361" s="152">
        <v>2</v>
      </c>
      <c r="I361" s="153"/>
      <c r="L361" s="149"/>
      <c r="N361" s="217"/>
      <c r="O361" s="218"/>
      <c r="Q361" s="231"/>
      <c r="BX361" s="154"/>
      <c r="CE361" s="155"/>
      <c r="DE361" s="150" t="s">
        <v>301</v>
      </c>
      <c r="DF361" s="150" t="s">
        <v>83</v>
      </c>
      <c r="DG361" s="12" t="s">
        <v>83</v>
      </c>
      <c r="DH361" s="12" t="s">
        <v>32</v>
      </c>
      <c r="DI361" s="12" t="s">
        <v>81</v>
      </c>
      <c r="DJ361" s="150" t="s">
        <v>282</v>
      </c>
    </row>
    <row r="362" spans="2:128" s="10" customFormat="1" ht="22.9" customHeight="1" x14ac:dyDescent="0.2">
      <c r="B362" s="112"/>
      <c r="D362" s="113" t="s">
        <v>73</v>
      </c>
      <c r="E362" s="122" t="s">
        <v>695</v>
      </c>
      <c r="F362" s="122" t="s">
        <v>696</v>
      </c>
      <c r="I362" s="115"/>
      <c r="J362" s="123">
        <f>DV362</f>
        <v>14167.64</v>
      </c>
      <c r="L362" s="112"/>
      <c r="M362" s="270">
        <f>SUM(M363:M379)</f>
        <v>0</v>
      </c>
      <c r="N362" s="301"/>
      <c r="O362" s="302">
        <f t="shared" ref="O362:V362" si="8">SUM(O363:O379)</f>
        <v>2082.64</v>
      </c>
      <c r="P362" s="270"/>
      <c r="Q362" s="288">
        <f t="shared" si="8"/>
        <v>12085</v>
      </c>
      <c r="R362" s="270"/>
      <c r="S362" s="270"/>
      <c r="T362" s="270">
        <f t="shared" si="8"/>
        <v>0</v>
      </c>
      <c r="U362" s="270"/>
      <c r="V362" s="270">
        <f t="shared" si="8"/>
        <v>14167.64</v>
      </c>
      <c r="BX362" s="117"/>
      <c r="CA362" s="118">
        <f>SUM(CA363:CA381)</f>
        <v>0</v>
      </c>
      <c r="CC362" s="118">
        <f>SUM(CC363:CC381)</f>
        <v>0</v>
      </c>
      <c r="CE362" s="119">
        <f>SUM(CE363:CE381)</f>
        <v>0</v>
      </c>
      <c r="DC362" s="113" t="s">
        <v>81</v>
      </c>
      <c r="DE362" s="120" t="s">
        <v>73</v>
      </c>
      <c r="DF362" s="120" t="s">
        <v>81</v>
      </c>
      <c r="DJ362" s="113" t="s">
        <v>282</v>
      </c>
      <c r="DV362" s="121">
        <f>SUM(DV363:DV381)</f>
        <v>14167.64</v>
      </c>
    </row>
    <row r="363" spans="2:128" s="1" customFormat="1" ht="14.45" customHeight="1" x14ac:dyDescent="0.2">
      <c r="B363" s="124"/>
      <c r="C363" s="125" t="s">
        <v>589</v>
      </c>
      <c r="D363" s="125" t="s">
        <v>284</v>
      </c>
      <c r="E363" s="126" t="s">
        <v>698</v>
      </c>
      <c r="F363" s="127" t="s">
        <v>699</v>
      </c>
      <c r="G363" s="128" t="s">
        <v>418</v>
      </c>
      <c r="H363" s="129">
        <v>39.173999999999999</v>
      </c>
      <c r="I363" s="130">
        <v>40.477390926043419</v>
      </c>
      <c r="J363" s="131">
        <f>ROUND(I363*H363,2)</f>
        <v>1585.66</v>
      </c>
      <c r="K363" s="127" t="s">
        <v>293</v>
      </c>
      <c r="L363" s="268">
        <f>S363</f>
        <v>0</v>
      </c>
      <c r="M363" s="272">
        <f>ROUND(L363*I363,2)</f>
        <v>0</v>
      </c>
      <c r="N363" s="243">
        <f>N365</f>
        <v>5.758578</v>
      </c>
      <c r="O363" s="294">
        <f>ROUND(N363*I363,2)</f>
        <v>233.09</v>
      </c>
      <c r="P363" s="273">
        <f>H363-L363-N363</f>
        <v>33.415422</v>
      </c>
      <c r="Q363" s="287">
        <f>ROUND(P363*I363,2)</f>
        <v>1352.57</v>
      </c>
      <c r="R363" s="137"/>
      <c r="S363" s="269">
        <f>W363+Y363+AA363+AC363</f>
        <v>0</v>
      </c>
      <c r="T363" s="269">
        <f>ROUND(S363*I363,2)</f>
        <v>0</v>
      </c>
      <c r="U363" s="269">
        <f>H363-S363</f>
        <v>39.173999999999999</v>
      </c>
      <c r="V363" s="269">
        <f>ROUND(U363*I363,2)</f>
        <v>1585.66</v>
      </c>
      <c r="W363" s="269"/>
      <c r="X363" s="269"/>
      <c r="Y363" s="269"/>
      <c r="Z363" s="269"/>
      <c r="AA363" s="269"/>
      <c r="AB363" s="269"/>
      <c r="AC363" s="269"/>
      <c r="AD363" s="269"/>
      <c r="BX363" s="132" t="s">
        <v>1</v>
      </c>
      <c r="BY363" s="133" t="s">
        <v>40</v>
      </c>
      <c r="CA363" s="134">
        <f>BZ363*H363</f>
        <v>0</v>
      </c>
      <c r="CB363" s="134">
        <v>0</v>
      </c>
      <c r="CC363" s="134">
        <f>CB363*H363</f>
        <v>0</v>
      </c>
      <c r="CD363" s="134">
        <v>0</v>
      </c>
      <c r="CE363" s="135">
        <f>CD363*H363</f>
        <v>0</v>
      </c>
      <c r="DC363" s="136" t="s">
        <v>95</v>
      </c>
      <c r="DE363" s="136" t="s">
        <v>284</v>
      </c>
      <c r="DF363" s="136" t="s">
        <v>83</v>
      </c>
      <c r="DJ363" s="16" t="s">
        <v>282</v>
      </c>
      <c r="DP363" s="137">
        <f>IF(BY363="základní",J363,0)</f>
        <v>1585.66</v>
      </c>
      <c r="DQ363" s="137">
        <f>IF(BY363="snížená",J363,0)</f>
        <v>0</v>
      </c>
      <c r="DR363" s="137">
        <f>IF(BY363="zákl. přenesená",J363,0)</f>
        <v>0</v>
      </c>
      <c r="DS363" s="137">
        <f>IF(BY363="sníž. přenesená",J363,0)</f>
        <v>0</v>
      </c>
      <c r="DT363" s="137">
        <f>IF(BY363="nulová",J363,0)</f>
        <v>0</v>
      </c>
      <c r="DU363" s="16" t="s">
        <v>81</v>
      </c>
      <c r="DV363" s="137">
        <f>ROUND(I363*H363,2)</f>
        <v>1585.66</v>
      </c>
      <c r="DW363" s="16" t="s">
        <v>95</v>
      </c>
      <c r="DX363" s="136" t="s">
        <v>700</v>
      </c>
    </row>
    <row r="364" spans="2:128" s="1" customFormat="1" ht="19.5" x14ac:dyDescent="0.2">
      <c r="B364" s="31"/>
      <c r="D364" s="138" t="s">
        <v>289</v>
      </c>
      <c r="F364" s="139" t="s">
        <v>701</v>
      </c>
      <c r="I364" s="140"/>
      <c r="L364" s="31"/>
      <c r="N364" s="213">
        <f>1.147*39.174</f>
        <v>44.932577999999999</v>
      </c>
      <c r="O364" s="214" t="s">
        <v>3943</v>
      </c>
      <c r="Q364" s="229"/>
      <c r="BX364" s="141"/>
      <c r="CE364" s="50"/>
      <c r="DE364" s="16" t="s">
        <v>289</v>
      </c>
      <c r="DF364" s="16" t="s">
        <v>83</v>
      </c>
    </row>
    <row r="365" spans="2:128" s="12" customFormat="1" x14ac:dyDescent="0.2">
      <c r="B365" s="149"/>
      <c r="D365" s="138" t="s">
        <v>301</v>
      </c>
      <c r="E365" s="150" t="s">
        <v>1</v>
      </c>
      <c r="F365" s="151" t="s">
        <v>1785</v>
      </c>
      <c r="H365" s="152">
        <v>36.122</v>
      </c>
      <c r="I365" s="153"/>
      <c r="L365" s="149"/>
      <c r="N365" s="310">
        <f>N364-H367</f>
        <v>5.758578</v>
      </c>
      <c r="O365" s="218"/>
      <c r="Q365" s="231"/>
      <c r="BX365" s="154"/>
      <c r="CE365" s="155"/>
      <c r="DE365" s="150" t="s">
        <v>301</v>
      </c>
      <c r="DF365" s="150" t="s">
        <v>83</v>
      </c>
      <c r="DG365" s="12" t="s">
        <v>83</v>
      </c>
      <c r="DH365" s="12" t="s">
        <v>32</v>
      </c>
      <c r="DI365" s="12" t="s">
        <v>74</v>
      </c>
      <c r="DJ365" s="150" t="s">
        <v>282</v>
      </c>
    </row>
    <row r="366" spans="2:128" s="12" customFormat="1" x14ac:dyDescent="0.2">
      <c r="B366" s="149"/>
      <c r="D366" s="138" t="s">
        <v>301</v>
      </c>
      <c r="E366" s="150" t="s">
        <v>1</v>
      </c>
      <c r="F366" s="151" t="s">
        <v>1786</v>
      </c>
      <c r="H366" s="152">
        <v>3.052</v>
      </c>
      <c r="I366" s="153"/>
      <c r="L366" s="149"/>
      <c r="N366" s="217"/>
      <c r="O366" s="218"/>
      <c r="Q366" s="231"/>
      <c r="BX366" s="154"/>
      <c r="CE366" s="155"/>
      <c r="DE366" s="150" t="s">
        <v>301</v>
      </c>
      <c r="DF366" s="150" t="s">
        <v>83</v>
      </c>
      <c r="DG366" s="12" t="s">
        <v>83</v>
      </c>
      <c r="DH366" s="12" t="s">
        <v>32</v>
      </c>
      <c r="DI366" s="12" t="s">
        <v>74</v>
      </c>
      <c r="DJ366" s="150" t="s">
        <v>282</v>
      </c>
    </row>
    <row r="367" spans="2:128" s="13" customFormat="1" x14ac:dyDescent="0.2">
      <c r="B367" s="156"/>
      <c r="D367" s="138" t="s">
        <v>301</v>
      </c>
      <c r="E367" s="157" t="s">
        <v>1</v>
      </c>
      <c r="F367" s="158" t="s">
        <v>305</v>
      </c>
      <c r="H367" s="159">
        <v>39.173999999999999</v>
      </c>
      <c r="I367" s="160"/>
      <c r="L367" s="156"/>
      <c r="N367" s="219"/>
      <c r="O367" s="220"/>
      <c r="Q367" s="232"/>
      <c r="BX367" s="161"/>
      <c r="CE367" s="162"/>
      <c r="DE367" s="157" t="s">
        <v>301</v>
      </c>
      <c r="DF367" s="157" t="s">
        <v>83</v>
      </c>
      <c r="DG367" s="13" t="s">
        <v>95</v>
      </c>
      <c r="DH367" s="13" t="s">
        <v>32</v>
      </c>
      <c r="DI367" s="13" t="s">
        <v>81</v>
      </c>
      <c r="DJ367" s="157" t="s">
        <v>282</v>
      </c>
    </row>
    <row r="368" spans="2:128" s="1" customFormat="1" ht="24.2" customHeight="1" x14ac:dyDescent="0.2">
      <c r="B368" s="124"/>
      <c r="C368" s="125" t="s">
        <v>594</v>
      </c>
      <c r="D368" s="125" t="s">
        <v>284</v>
      </c>
      <c r="E368" s="126" t="s">
        <v>705</v>
      </c>
      <c r="F368" s="127" t="s">
        <v>706</v>
      </c>
      <c r="G368" s="128" t="s">
        <v>418</v>
      </c>
      <c r="H368" s="129">
        <v>548.43600000000004</v>
      </c>
      <c r="I368" s="130">
        <v>3.1192340975392101</v>
      </c>
      <c r="J368" s="131">
        <f>ROUND(I368*H368,2)</f>
        <v>1710.7</v>
      </c>
      <c r="K368" s="127" t="s">
        <v>293</v>
      </c>
      <c r="L368" s="268">
        <f>S368</f>
        <v>0</v>
      </c>
      <c r="M368" s="272">
        <f>ROUND(L368*I368,2)</f>
        <v>0</v>
      </c>
      <c r="N368" s="243">
        <f>N370</f>
        <v>80.620092</v>
      </c>
      <c r="O368" s="294">
        <f>ROUND(N368*I368,2)</f>
        <v>251.47</v>
      </c>
      <c r="P368" s="273">
        <f>H368-L368-N368</f>
        <v>467.81590800000004</v>
      </c>
      <c r="Q368" s="287">
        <f>ROUND(P368*I368,2)</f>
        <v>1459.23</v>
      </c>
      <c r="R368" s="137"/>
      <c r="S368" s="269">
        <f>W368+Y368+AA368+AC368</f>
        <v>0</v>
      </c>
      <c r="T368" s="269">
        <f>ROUND(S368*I368,2)</f>
        <v>0</v>
      </c>
      <c r="U368" s="269">
        <f>H368-S368</f>
        <v>548.43600000000004</v>
      </c>
      <c r="V368" s="269">
        <f>ROUND(U368*I368,2)</f>
        <v>1710.7</v>
      </c>
      <c r="W368" s="269"/>
      <c r="X368" s="269"/>
      <c r="Y368" s="269"/>
      <c r="Z368" s="269"/>
      <c r="AA368" s="269"/>
      <c r="AB368" s="269"/>
      <c r="AC368" s="269"/>
      <c r="AD368" s="269"/>
      <c r="BX368" s="132" t="s">
        <v>1</v>
      </c>
      <c r="BY368" s="133" t="s">
        <v>40</v>
      </c>
      <c r="CA368" s="134">
        <f>BZ368*H368</f>
        <v>0</v>
      </c>
      <c r="CB368" s="134">
        <v>0</v>
      </c>
      <c r="CC368" s="134">
        <f>CB368*H368</f>
        <v>0</v>
      </c>
      <c r="CD368" s="134">
        <v>0</v>
      </c>
      <c r="CE368" s="135">
        <f>CD368*H368</f>
        <v>0</v>
      </c>
      <c r="DC368" s="136" t="s">
        <v>95</v>
      </c>
      <c r="DE368" s="136" t="s">
        <v>284</v>
      </c>
      <c r="DF368" s="136" t="s">
        <v>83</v>
      </c>
      <c r="DJ368" s="16" t="s">
        <v>282</v>
      </c>
      <c r="DP368" s="137">
        <f>IF(BY368="základní",J368,0)</f>
        <v>1710.7</v>
      </c>
      <c r="DQ368" s="137">
        <f>IF(BY368="snížená",J368,0)</f>
        <v>0</v>
      </c>
      <c r="DR368" s="137">
        <f>IF(BY368="zákl. přenesená",J368,0)</f>
        <v>0</v>
      </c>
      <c r="DS368" s="137">
        <f>IF(BY368="sníž. přenesená",J368,0)</f>
        <v>0</v>
      </c>
      <c r="DT368" s="137">
        <f>IF(BY368="nulová",J368,0)</f>
        <v>0</v>
      </c>
      <c r="DU368" s="16" t="s">
        <v>81</v>
      </c>
      <c r="DV368" s="137">
        <f>ROUND(I368*H368,2)</f>
        <v>1710.7</v>
      </c>
      <c r="DW368" s="16" t="s">
        <v>95</v>
      </c>
      <c r="DX368" s="136" t="s">
        <v>707</v>
      </c>
    </row>
    <row r="369" spans="2:128" s="1" customFormat="1" ht="29.25" x14ac:dyDescent="0.2">
      <c r="B369" s="31"/>
      <c r="D369" s="138" t="s">
        <v>289</v>
      </c>
      <c r="F369" s="139" t="s">
        <v>708</v>
      </c>
      <c r="I369" s="140"/>
      <c r="L369" s="31"/>
      <c r="N369" s="213">
        <f>1.147*548.436</f>
        <v>629.05609200000004</v>
      </c>
      <c r="O369" s="214" t="s">
        <v>3944</v>
      </c>
      <c r="Q369" s="229"/>
      <c r="BX369" s="141"/>
      <c r="CE369" s="50"/>
      <c r="DE369" s="16" t="s">
        <v>289</v>
      </c>
      <c r="DF369" s="16" t="s">
        <v>83</v>
      </c>
    </row>
    <row r="370" spans="2:128" s="12" customFormat="1" x14ac:dyDescent="0.2">
      <c r="B370" s="149"/>
      <c r="D370" s="138" t="s">
        <v>301</v>
      </c>
      <c r="E370" s="150" t="s">
        <v>1</v>
      </c>
      <c r="F370" s="151" t="s">
        <v>1785</v>
      </c>
      <c r="H370" s="152">
        <v>36.122</v>
      </c>
      <c r="I370" s="153"/>
      <c r="L370" s="149"/>
      <c r="N370" s="310">
        <f>N369-H373</f>
        <v>80.620092</v>
      </c>
      <c r="O370" s="218"/>
      <c r="Q370" s="231"/>
      <c r="BX370" s="154"/>
      <c r="CE370" s="155"/>
      <c r="DE370" s="150" t="s">
        <v>301</v>
      </c>
      <c r="DF370" s="150" t="s">
        <v>83</v>
      </c>
      <c r="DG370" s="12" t="s">
        <v>83</v>
      </c>
      <c r="DH370" s="12" t="s">
        <v>32</v>
      </c>
      <c r="DI370" s="12" t="s">
        <v>74</v>
      </c>
      <c r="DJ370" s="150" t="s">
        <v>282</v>
      </c>
    </row>
    <row r="371" spans="2:128" s="12" customFormat="1" x14ac:dyDescent="0.2">
      <c r="B371" s="149"/>
      <c r="D371" s="138" t="s">
        <v>301</v>
      </c>
      <c r="E371" s="150" t="s">
        <v>1</v>
      </c>
      <c r="F371" s="151" t="s">
        <v>1786</v>
      </c>
      <c r="H371" s="152">
        <v>3.052</v>
      </c>
      <c r="I371" s="153"/>
      <c r="L371" s="149"/>
      <c r="N371" s="217"/>
      <c r="O371" s="218"/>
      <c r="Q371" s="231"/>
      <c r="BX371" s="154"/>
      <c r="CE371" s="155"/>
      <c r="DE371" s="150" t="s">
        <v>301</v>
      </c>
      <c r="DF371" s="150" t="s">
        <v>83</v>
      </c>
      <c r="DG371" s="12" t="s">
        <v>83</v>
      </c>
      <c r="DH371" s="12" t="s">
        <v>32</v>
      </c>
      <c r="DI371" s="12" t="s">
        <v>74</v>
      </c>
      <c r="DJ371" s="150" t="s">
        <v>282</v>
      </c>
    </row>
    <row r="372" spans="2:128" s="13" customFormat="1" x14ac:dyDescent="0.2">
      <c r="B372" s="156"/>
      <c r="D372" s="138" t="s">
        <v>301</v>
      </c>
      <c r="E372" s="157" t="s">
        <v>1</v>
      </c>
      <c r="F372" s="158" t="s">
        <v>305</v>
      </c>
      <c r="H372" s="159">
        <v>39.173999999999999</v>
      </c>
      <c r="I372" s="160"/>
      <c r="L372" s="156"/>
      <c r="N372" s="219"/>
      <c r="O372" s="220"/>
      <c r="Q372" s="232"/>
      <c r="BX372" s="161"/>
      <c r="CE372" s="162"/>
      <c r="DE372" s="157" t="s">
        <v>301</v>
      </c>
      <c r="DF372" s="157" t="s">
        <v>83</v>
      </c>
      <c r="DG372" s="13" t="s">
        <v>95</v>
      </c>
      <c r="DH372" s="13" t="s">
        <v>32</v>
      </c>
      <c r="DI372" s="13" t="s">
        <v>81</v>
      </c>
      <c r="DJ372" s="157" t="s">
        <v>282</v>
      </c>
    </row>
    <row r="373" spans="2:128" s="12" customFormat="1" x14ac:dyDescent="0.2">
      <c r="B373" s="149"/>
      <c r="D373" s="138" t="s">
        <v>301</v>
      </c>
      <c r="F373" s="151" t="s">
        <v>1787</v>
      </c>
      <c r="H373" s="152">
        <v>548.43600000000004</v>
      </c>
      <c r="I373" s="153"/>
      <c r="L373" s="149"/>
      <c r="N373" s="217"/>
      <c r="O373" s="218"/>
      <c r="Q373" s="231"/>
      <c r="BX373" s="154"/>
      <c r="CE373" s="155"/>
      <c r="DE373" s="150" t="s">
        <v>301</v>
      </c>
      <c r="DF373" s="150" t="s">
        <v>83</v>
      </c>
      <c r="DG373" s="12" t="s">
        <v>83</v>
      </c>
      <c r="DH373" s="12" t="s">
        <v>3</v>
      </c>
      <c r="DI373" s="12" t="s">
        <v>81</v>
      </c>
      <c r="DJ373" s="150" t="s">
        <v>282</v>
      </c>
    </row>
    <row r="374" spans="2:128" s="1" customFormat="1" ht="24.2" customHeight="1" x14ac:dyDescent="0.2">
      <c r="B374" s="124"/>
      <c r="C374" s="125" t="s">
        <v>599</v>
      </c>
      <c r="D374" s="125" t="s">
        <v>284</v>
      </c>
      <c r="E374" s="126" t="s">
        <v>711</v>
      </c>
      <c r="F374" s="127" t="s">
        <v>712</v>
      </c>
      <c r="G374" s="128" t="s">
        <v>418</v>
      </c>
      <c r="H374" s="129">
        <v>39.173999999999999</v>
      </c>
      <c r="I374" s="130">
        <v>155.98322812074767</v>
      </c>
      <c r="J374" s="131">
        <f>ROUND(I374*H374,2)</f>
        <v>6110.49</v>
      </c>
      <c r="K374" s="127" t="s">
        <v>293</v>
      </c>
      <c r="L374" s="268">
        <f>S374</f>
        <v>0</v>
      </c>
      <c r="M374" s="272">
        <f>ROUND(L374*I374,2)</f>
        <v>0</v>
      </c>
      <c r="N374" s="243">
        <f>N363</f>
        <v>5.758578</v>
      </c>
      <c r="O374" s="294">
        <f>ROUND(N374*I374,2)</f>
        <v>898.24</v>
      </c>
      <c r="P374" s="273">
        <f>H374-L374-N374</f>
        <v>33.415422</v>
      </c>
      <c r="Q374" s="287">
        <f>ROUND(P374*I374,2)</f>
        <v>5212.25</v>
      </c>
      <c r="R374" s="137"/>
      <c r="S374" s="269">
        <f>W374+Y374+AA374+AC374</f>
        <v>0</v>
      </c>
      <c r="T374" s="269">
        <f>ROUND(S374*I374,2)</f>
        <v>0</v>
      </c>
      <c r="U374" s="269">
        <f>H374-S374</f>
        <v>39.173999999999999</v>
      </c>
      <c r="V374" s="269">
        <f>ROUND(U374*I374,2)</f>
        <v>6110.49</v>
      </c>
      <c r="W374" s="269"/>
      <c r="X374" s="269"/>
      <c r="Y374" s="269"/>
      <c r="Z374" s="269"/>
      <c r="AA374" s="269"/>
      <c r="AB374" s="269"/>
      <c r="AC374" s="269"/>
      <c r="AD374" s="269"/>
      <c r="BX374" s="132" t="s">
        <v>1</v>
      </c>
      <c r="BY374" s="133" t="s">
        <v>40</v>
      </c>
      <c r="CA374" s="134">
        <f>BZ374*H374</f>
        <v>0</v>
      </c>
      <c r="CB374" s="134">
        <v>0</v>
      </c>
      <c r="CC374" s="134">
        <f>CB374*H374</f>
        <v>0</v>
      </c>
      <c r="CD374" s="134">
        <v>0</v>
      </c>
      <c r="CE374" s="135">
        <f>CD374*H374</f>
        <v>0</v>
      </c>
      <c r="DC374" s="136" t="s">
        <v>95</v>
      </c>
      <c r="DE374" s="136" t="s">
        <v>284</v>
      </c>
      <c r="DF374" s="136" t="s">
        <v>83</v>
      </c>
      <c r="DJ374" s="16" t="s">
        <v>282</v>
      </c>
      <c r="DP374" s="137">
        <f>IF(BY374="základní",J374,0)</f>
        <v>6110.49</v>
      </c>
      <c r="DQ374" s="137">
        <f>IF(BY374="snížená",J374,0)</f>
        <v>0</v>
      </c>
      <c r="DR374" s="137">
        <f>IF(BY374="zákl. přenesená",J374,0)</f>
        <v>0</v>
      </c>
      <c r="DS374" s="137">
        <f>IF(BY374="sníž. přenesená",J374,0)</f>
        <v>0</v>
      </c>
      <c r="DT374" s="137">
        <f>IF(BY374="nulová",J374,0)</f>
        <v>0</v>
      </c>
      <c r="DU374" s="16" t="s">
        <v>81</v>
      </c>
      <c r="DV374" s="137">
        <f>ROUND(I374*H374,2)</f>
        <v>6110.49</v>
      </c>
      <c r="DW374" s="16" t="s">
        <v>95</v>
      </c>
      <c r="DX374" s="136" t="s">
        <v>713</v>
      </c>
    </row>
    <row r="375" spans="2:128" s="1" customFormat="1" x14ac:dyDescent="0.2">
      <c r="B375" s="31"/>
      <c r="D375" s="138" t="s">
        <v>289</v>
      </c>
      <c r="F375" s="139" t="s">
        <v>714</v>
      </c>
      <c r="I375" s="140"/>
      <c r="L375" s="31"/>
      <c r="N375" s="213"/>
      <c r="O375" s="214"/>
      <c r="Q375" s="229"/>
      <c r="BX375" s="141"/>
      <c r="CE375" s="50"/>
      <c r="DE375" s="16" t="s">
        <v>289</v>
      </c>
      <c r="DF375" s="16" t="s">
        <v>83</v>
      </c>
    </row>
    <row r="376" spans="2:128" s="1" customFormat="1" ht="37.9" customHeight="1" x14ac:dyDescent="0.2">
      <c r="B376" s="124"/>
      <c r="C376" s="125" t="s">
        <v>604</v>
      </c>
      <c r="D376" s="125" t="s">
        <v>284</v>
      </c>
      <c r="E376" s="126" t="s">
        <v>716</v>
      </c>
      <c r="F376" s="127" t="s">
        <v>420</v>
      </c>
      <c r="G376" s="128" t="s">
        <v>418</v>
      </c>
      <c r="H376" s="129">
        <v>36.122</v>
      </c>
      <c r="I376" s="130">
        <v>110.6455721</v>
      </c>
      <c r="J376" s="131">
        <f>ROUND(I376*H376,2)</f>
        <v>3996.74</v>
      </c>
      <c r="K376" s="127" t="s">
        <v>293</v>
      </c>
      <c r="L376" s="268">
        <f>S376</f>
        <v>0</v>
      </c>
      <c r="M376" s="272">
        <f>ROUND(L376*I376,2)</f>
        <v>0</v>
      </c>
      <c r="N376" s="243">
        <f>N378</f>
        <v>5.3099339999999984</v>
      </c>
      <c r="O376" s="294">
        <f>ROUND(N376*I376,2)</f>
        <v>587.52</v>
      </c>
      <c r="P376" s="273">
        <f>H376-L376-N376</f>
        <v>30.812066000000002</v>
      </c>
      <c r="Q376" s="287">
        <f>ROUND(P376*I376,2)</f>
        <v>3409.22</v>
      </c>
      <c r="R376" s="137"/>
      <c r="S376" s="269">
        <f>W376+Y376+AA376+AC376</f>
        <v>0</v>
      </c>
      <c r="T376" s="269">
        <f>ROUND(S376*I376,2)</f>
        <v>0</v>
      </c>
      <c r="U376" s="269">
        <f>H376-S376</f>
        <v>36.122</v>
      </c>
      <c r="V376" s="269">
        <f>ROUND(U376*I376,2)</f>
        <v>3996.74</v>
      </c>
      <c r="W376" s="269"/>
      <c r="X376" s="269"/>
      <c r="Y376" s="269"/>
      <c r="Z376" s="269"/>
      <c r="AA376" s="269"/>
      <c r="AB376" s="269"/>
      <c r="AC376" s="269"/>
      <c r="AD376" s="269"/>
      <c r="BX376" s="132" t="s">
        <v>1</v>
      </c>
      <c r="BY376" s="133" t="s">
        <v>40</v>
      </c>
      <c r="CA376" s="134">
        <f>BZ376*H376</f>
        <v>0</v>
      </c>
      <c r="CB376" s="134">
        <v>0</v>
      </c>
      <c r="CC376" s="134">
        <f>CB376*H376</f>
        <v>0</v>
      </c>
      <c r="CD376" s="134">
        <v>0</v>
      </c>
      <c r="CE376" s="135">
        <f>CD376*H376</f>
        <v>0</v>
      </c>
      <c r="DC376" s="136" t="s">
        <v>95</v>
      </c>
      <c r="DE376" s="136" t="s">
        <v>284</v>
      </c>
      <c r="DF376" s="136" t="s">
        <v>83</v>
      </c>
      <c r="DJ376" s="16" t="s">
        <v>282</v>
      </c>
      <c r="DP376" s="137">
        <f>IF(BY376="základní",J376,0)</f>
        <v>3996.74</v>
      </c>
      <c r="DQ376" s="137">
        <f>IF(BY376="snížená",J376,0)</f>
        <v>0</v>
      </c>
      <c r="DR376" s="137">
        <f>IF(BY376="zákl. přenesená",J376,0)</f>
        <v>0</v>
      </c>
      <c r="DS376" s="137">
        <f>IF(BY376="sníž. přenesená",J376,0)</f>
        <v>0</v>
      </c>
      <c r="DT376" s="137">
        <f>IF(BY376="nulová",J376,0)</f>
        <v>0</v>
      </c>
      <c r="DU376" s="16" t="s">
        <v>81</v>
      </c>
      <c r="DV376" s="137">
        <f>ROUND(I376*H376,2)</f>
        <v>3996.74</v>
      </c>
      <c r="DW376" s="16" t="s">
        <v>95</v>
      </c>
      <c r="DX376" s="136" t="s">
        <v>717</v>
      </c>
    </row>
    <row r="377" spans="2:128" s="1" customFormat="1" ht="29.25" x14ac:dyDescent="0.2">
      <c r="B377" s="31"/>
      <c r="D377" s="138" t="s">
        <v>289</v>
      </c>
      <c r="F377" s="139" t="s">
        <v>420</v>
      </c>
      <c r="I377" s="140"/>
      <c r="L377" s="31"/>
      <c r="N377" s="213">
        <f>1.147*36.122</f>
        <v>41.431933999999998</v>
      </c>
      <c r="O377" s="214" t="s">
        <v>3945</v>
      </c>
      <c r="Q377" s="229"/>
      <c r="BX377" s="141"/>
      <c r="CE377" s="50"/>
      <c r="DE377" s="16" t="s">
        <v>289</v>
      </c>
      <c r="DF377" s="16" t="s">
        <v>83</v>
      </c>
    </row>
    <row r="378" spans="2:128" s="12" customFormat="1" x14ac:dyDescent="0.2">
      <c r="B378" s="149"/>
      <c r="D378" s="138" t="s">
        <v>301</v>
      </c>
      <c r="E378" s="150" t="s">
        <v>1</v>
      </c>
      <c r="F378" s="151" t="s">
        <v>1785</v>
      </c>
      <c r="H378" s="152">
        <v>36.122</v>
      </c>
      <c r="I378" s="153"/>
      <c r="L378" s="149"/>
      <c r="N378" s="310">
        <f>N377-H378</f>
        <v>5.3099339999999984</v>
      </c>
      <c r="O378" s="218"/>
      <c r="Q378" s="231"/>
      <c r="BX378" s="154"/>
      <c r="CE378" s="155"/>
      <c r="DE378" s="150" t="s">
        <v>301</v>
      </c>
      <c r="DF378" s="150" t="s">
        <v>83</v>
      </c>
      <c r="DG378" s="12" t="s">
        <v>83</v>
      </c>
      <c r="DH378" s="12" t="s">
        <v>32</v>
      </c>
      <c r="DI378" s="12" t="s">
        <v>81</v>
      </c>
      <c r="DJ378" s="150" t="s">
        <v>282</v>
      </c>
    </row>
    <row r="379" spans="2:128" s="1" customFormat="1" ht="37.9" customHeight="1" x14ac:dyDescent="0.2">
      <c r="B379" s="124"/>
      <c r="C379" s="125" t="s">
        <v>609</v>
      </c>
      <c r="D379" s="125" t="s">
        <v>284</v>
      </c>
      <c r="E379" s="126" t="s">
        <v>719</v>
      </c>
      <c r="F379" s="127" t="s">
        <v>720</v>
      </c>
      <c r="G379" s="128" t="s">
        <v>418</v>
      </c>
      <c r="H379" s="129">
        <v>3.052</v>
      </c>
      <c r="I379" s="130">
        <v>250.3439285</v>
      </c>
      <c r="J379" s="131">
        <f>ROUND(I379*H379,2)</f>
        <v>764.05</v>
      </c>
      <c r="K379" s="127" t="s">
        <v>293</v>
      </c>
      <c r="L379" s="268">
        <f>S379</f>
        <v>0</v>
      </c>
      <c r="M379" s="272">
        <f>ROUND(L379*I379,2)</f>
        <v>0</v>
      </c>
      <c r="N379" s="243">
        <f>N381</f>
        <v>0.44864400000000026</v>
      </c>
      <c r="O379" s="294">
        <f>ROUND(N379*I379,2)</f>
        <v>112.32</v>
      </c>
      <c r="P379" s="273">
        <f>H379-L379-N379</f>
        <v>2.6033559999999998</v>
      </c>
      <c r="Q379" s="287">
        <f>ROUND(P379*I379,2)</f>
        <v>651.73</v>
      </c>
      <c r="R379" s="137"/>
      <c r="S379" s="269">
        <f>W379+Y379+AA379+AC379</f>
        <v>0</v>
      </c>
      <c r="T379" s="269">
        <f>ROUND(S379*I379,2)</f>
        <v>0</v>
      </c>
      <c r="U379" s="269">
        <f>H379-S379</f>
        <v>3.052</v>
      </c>
      <c r="V379" s="269">
        <f>ROUND(U379*I379,2)</f>
        <v>764.05</v>
      </c>
      <c r="W379" s="269"/>
      <c r="X379" s="269"/>
      <c r="Y379" s="269"/>
      <c r="Z379" s="269"/>
      <c r="AA379" s="269"/>
      <c r="AB379" s="269"/>
      <c r="AC379" s="269"/>
      <c r="AD379" s="269"/>
      <c r="BX379" s="132" t="s">
        <v>1</v>
      </c>
      <c r="BY379" s="133" t="s">
        <v>40</v>
      </c>
      <c r="CA379" s="134">
        <f>BZ379*H379</f>
        <v>0</v>
      </c>
      <c r="CB379" s="134">
        <v>0</v>
      </c>
      <c r="CC379" s="134">
        <f>CB379*H379</f>
        <v>0</v>
      </c>
      <c r="CD379" s="134">
        <v>0</v>
      </c>
      <c r="CE379" s="135">
        <f>CD379*H379</f>
        <v>0</v>
      </c>
      <c r="DC379" s="136" t="s">
        <v>95</v>
      </c>
      <c r="DE379" s="136" t="s">
        <v>284</v>
      </c>
      <c r="DF379" s="136" t="s">
        <v>83</v>
      </c>
      <c r="DJ379" s="16" t="s">
        <v>282</v>
      </c>
      <c r="DP379" s="137">
        <f>IF(BY379="základní",J379,0)</f>
        <v>764.05</v>
      </c>
      <c r="DQ379" s="137">
        <f>IF(BY379="snížená",J379,0)</f>
        <v>0</v>
      </c>
      <c r="DR379" s="137">
        <f>IF(BY379="zákl. přenesená",J379,0)</f>
        <v>0</v>
      </c>
      <c r="DS379" s="137">
        <f>IF(BY379="sníž. přenesená",J379,0)</f>
        <v>0</v>
      </c>
      <c r="DT379" s="137">
        <f>IF(BY379="nulová",J379,0)</f>
        <v>0</v>
      </c>
      <c r="DU379" s="16" t="s">
        <v>81</v>
      </c>
      <c r="DV379" s="137">
        <f>ROUND(I379*H379,2)</f>
        <v>764.05</v>
      </c>
      <c r="DW379" s="16" t="s">
        <v>95</v>
      </c>
      <c r="DX379" s="136" t="s">
        <v>721</v>
      </c>
    </row>
    <row r="380" spans="2:128" s="1" customFormat="1" ht="29.25" x14ac:dyDescent="0.2">
      <c r="B380" s="31"/>
      <c r="D380" s="138" t="s">
        <v>289</v>
      </c>
      <c r="F380" s="139" t="s">
        <v>720</v>
      </c>
      <c r="I380" s="140"/>
      <c r="L380" s="31"/>
      <c r="N380" s="213">
        <f>1.147*3.052</f>
        <v>3.5006440000000003</v>
      </c>
      <c r="O380" s="214" t="s">
        <v>3946</v>
      </c>
      <c r="Q380" s="229"/>
      <c r="BX380" s="141"/>
      <c r="CE380" s="50"/>
      <c r="DE380" s="16" t="s">
        <v>289</v>
      </c>
      <c r="DF380" s="16" t="s">
        <v>83</v>
      </c>
    </row>
    <row r="381" spans="2:128" s="12" customFormat="1" x14ac:dyDescent="0.2">
      <c r="B381" s="149"/>
      <c r="D381" s="138" t="s">
        <v>301</v>
      </c>
      <c r="E381" s="150" t="s">
        <v>1</v>
      </c>
      <c r="F381" s="151" t="s">
        <v>1786</v>
      </c>
      <c r="H381" s="152">
        <v>3.052</v>
      </c>
      <c r="I381" s="153"/>
      <c r="L381" s="149"/>
      <c r="N381" s="310">
        <f>N380-H381</f>
        <v>0.44864400000000026</v>
      </c>
      <c r="O381" s="218"/>
      <c r="Q381" s="231"/>
      <c r="BX381" s="154"/>
      <c r="CE381" s="155"/>
      <c r="DE381" s="150" t="s">
        <v>301</v>
      </c>
      <c r="DF381" s="150" t="s">
        <v>83</v>
      </c>
      <c r="DG381" s="12" t="s">
        <v>83</v>
      </c>
      <c r="DH381" s="12" t="s">
        <v>32</v>
      </c>
      <c r="DI381" s="12" t="s">
        <v>81</v>
      </c>
      <c r="DJ381" s="150" t="s">
        <v>282</v>
      </c>
    </row>
    <row r="382" spans="2:128" s="10" customFormat="1" ht="22.9" customHeight="1" x14ac:dyDescent="0.2">
      <c r="B382" s="112"/>
      <c r="D382" s="113" t="s">
        <v>73</v>
      </c>
      <c r="E382" s="122" t="s">
        <v>722</v>
      </c>
      <c r="F382" s="122" t="s">
        <v>723</v>
      </c>
      <c r="I382" s="115"/>
      <c r="J382" s="123">
        <f>DV382</f>
        <v>8363.7999999999993</v>
      </c>
      <c r="L382" s="112"/>
      <c r="M382" s="270">
        <f>M383</f>
        <v>0</v>
      </c>
      <c r="N382" s="301"/>
      <c r="O382" s="302">
        <f t="shared" ref="O382:V382" si="9">O383</f>
        <v>1229.48</v>
      </c>
      <c r="P382" s="270"/>
      <c r="Q382" s="288">
        <f t="shared" si="9"/>
        <v>7134.32</v>
      </c>
      <c r="R382" s="270"/>
      <c r="S382" s="270"/>
      <c r="T382" s="270">
        <f t="shared" si="9"/>
        <v>0</v>
      </c>
      <c r="U382" s="270"/>
      <c r="V382" s="270">
        <f t="shared" si="9"/>
        <v>8363.7999999999993</v>
      </c>
      <c r="BX382" s="117"/>
      <c r="CA382" s="118">
        <f>SUM(CA383:CA386)</f>
        <v>0</v>
      </c>
      <c r="CC382" s="118">
        <f>SUM(CC383:CC386)</f>
        <v>0</v>
      </c>
      <c r="CE382" s="119">
        <f>SUM(CE383:CE386)</f>
        <v>0</v>
      </c>
      <c r="DC382" s="113" t="s">
        <v>81</v>
      </c>
      <c r="DE382" s="120" t="s">
        <v>73</v>
      </c>
      <c r="DF382" s="120" t="s">
        <v>81</v>
      </c>
      <c r="DJ382" s="113" t="s">
        <v>282</v>
      </c>
      <c r="DV382" s="121">
        <f>SUM(DV383:DV386)</f>
        <v>8363.7999999999993</v>
      </c>
    </row>
    <row r="383" spans="2:128" s="1" customFormat="1" ht="24.2" customHeight="1" x14ac:dyDescent="0.2">
      <c r="B383" s="124"/>
      <c r="C383" s="125" t="s">
        <v>614</v>
      </c>
      <c r="D383" s="125" t="s">
        <v>284</v>
      </c>
      <c r="E383" s="126" t="s">
        <v>725</v>
      </c>
      <c r="F383" s="127" t="s">
        <v>726</v>
      </c>
      <c r="G383" s="128" t="s">
        <v>418</v>
      </c>
      <c r="H383" s="129">
        <v>9.2439999999999998</v>
      </c>
      <c r="I383" s="130">
        <v>904.78117744148574</v>
      </c>
      <c r="J383" s="131">
        <f>ROUND(I383*H383,2)</f>
        <v>8363.7999999999993</v>
      </c>
      <c r="K383" s="127" t="s">
        <v>293</v>
      </c>
      <c r="L383" s="268">
        <f>S383</f>
        <v>0</v>
      </c>
      <c r="M383" s="272">
        <f>ROUND(L383*I383,2)</f>
        <v>0</v>
      </c>
      <c r="N383" s="243">
        <f>N385</f>
        <v>1.3588679999999993</v>
      </c>
      <c r="O383" s="294">
        <f>ROUND(N383*I383,2)</f>
        <v>1229.48</v>
      </c>
      <c r="P383" s="273">
        <f>H383-L383-N383</f>
        <v>7.8851320000000005</v>
      </c>
      <c r="Q383" s="287">
        <f>ROUND(P383*I383,2)</f>
        <v>7134.32</v>
      </c>
      <c r="R383" s="137"/>
      <c r="S383" s="269">
        <f>W383+Y383+AA383+AC383</f>
        <v>0</v>
      </c>
      <c r="T383" s="269">
        <f>ROUND(S383*I383,2)</f>
        <v>0</v>
      </c>
      <c r="U383" s="269">
        <f>H383-S383</f>
        <v>9.2439999999999998</v>
      </c>
      <c r="V383" s="269">
        <f>ROUND(U383*I383,2)</f>
        <v>8363.7999999999993</v>
      </c>
      <c r="W383" s="269"/>
      <c r="X383" s="269"/>
      <c r="Y383" s="269"/>
      <c r="Z383" s="269"/>
      <c r="AA383" s="269"/>
      <c r="AB383" s="269"/>
      <c r="AC383" s="269"/>
      <c r="AD383" s="269"/>
      <c r="BX383" s="132" t="s">
        <v>1</v>
      </c>
      <c r="BY383" s="133" t="s">
        <v>40</v>
      </c>
      <c r="CA383" s="134">
        <f>BZ383*H383</f>
        <v>0</v>
      </c>
      <c r="CB383" s="134">
        <v>0</v>
      </c>
      <c r="CC383" s="134">
        <f>CB383*H383</f>
        <v>0</v>
      </c>
      <c r="CD383" s="134">
        <v>0</v>
      </c>
      <c r="CE383" s="135">
        <f>CD383*H383</f>
        <v>0</v>
      </c>
      <c r="DC383" s="136" t="s">
        <v>95</v>
      </c>
      <c r="DE383" s="136" t="s">
        <v>284</v>
      </c>
      <c r="DF383" s="136" t="s">
        <v>83</v>
      </c>
      <c r="DJ383" s="16" t="s">
        <v>282</v>
      </c>
      <c r="DP383" s="137">
        <f>IF(BY383="základní",J383,0)</f>
        <v>8363.7999999999993</v>
      </c>
      <c r="DQ383" s="137">
        <f>IF(BY383="snížená",J383,0)</f>
        <v>0</v>
      </c>
      <c r="DR383" s="137">
        <f>IF(BY383="zákl. přenesená",J383,0)</f>
        <v>0</v>
      </c>
      <c r="DS383" s="137">
        <f>IF(BY383="sníž. přenesená",J383,0)</f>
        <v>0</v>
      </c>
      <c r="DT383" s="137">
        <f>IF(BY383="nulová",J383,0)</f>
        <v>0</v>
      </c>
      <c r="DU383" s="16" t="s">
        <v>81</v>
      </c>
      <c r="DV383" s="137">
        <f>ROUND(I383*H383,2)</f>
        <v>8363.7999999999993</v>
      </c>
      <c r="DW383" s="16" t="s">
        <v>95</v>
      </c>
      <c r="DX383" s="136" t="s">
        <v>1044</v>
      </c>
    </row>
    <row r="384" spans="2:128" s="1" customFormat="1" ht="29.25" x14ac:dyDescent="0.2">
      <c r="B384" s="31"/>
      <c r="D384" s="138" t="s">
        <v>289</v>
      </c>
      <c r="F384" s="139" t="s">
        <v>728</v>
      </c>
      <c r="I384" s="140"/>
      <c r="L384" s="31"/>
      <c r="N384" s="213">
        <f>1.147*9.244</f>
        <v>10.602867999999999</v>
      </c>
      <c r="O384" s="214" t="s">
        <v>3947</v>
      </c>
      <c r="Q384" s="229"/>
      <c r="BX384" s="141"/>
      <c r="CE384" s="50"/>
      <c r="DE384" s="16" t="s">
        <v>289</v>
      </c>
      <c r="DF384" s="16" t="s">
        <v>83</v>
      </c>
    </row>
    <row r="385" spans="2:114" s="11" customFormat="1" x14ac:dyDescent="0.2">
      <c r="B385" s="143"/>
      <c r="D385" s="138" t="s">
        <v>301</v>
      </c>
      <c r="E385" s="144" t="s">
        <v>1</v>
      </c>
      <c r="F385" s="145" t="s">
        <v>729</v>
      </c>
      <c r="H385" s="144" t="s">
        <v>1</v>
      </c>
      <c r="I385" s="146"/>
      <c r="L385" s="143"/>
      <c r="N385" s="319">
        <f>N384-H386</f>
        <v>1.3588679999999993</v>
      </c>
      <c r="O385" s="216"/>
      <c r="Q385" s="230"/>
      <c r="BX385" s="147"/>
      <c r="CE385" s="148"/>
      <c r="DE385" s="144" t="s">
        <v>301</v>
      </c>
      <c r="DF385" s="144" t="s">
        <v>83</v>
      </c>
      <c r="DG385" s="11" t="s">
        <v>81</v>
      </c>
      <c r="DH385" s="11" t="s">
        <v>32</v>
      </c>
      <c r="DI385" s="11" t="s">
        <v>74</v>
      </c>
      <c r="DJ385" s="144" t="s">
        <v>282</v>
      </c>
    </row>
    <row r="386" spans="2:114" s="12" customFormat="1" x14ac:dyDescent="0.2">
      <c r="B386" s="149"/>
      <c r="D386" s="138" t="s">
        <v>301</v>
      </c>
      <c r="E386" s="150" t="s">
        <v>1</v>
      </c>
      <c r="F386" s="151" t="s">
        <v>1788</v>
      </c>
      <c r="H386" s="152">
        <v>9.2439999999999998</v>
      </c>
      <c r="I386" s="153"/>
      <c r="L386" s="149"/>
      <c r="N386" s="217"/>
      <c r="O386" s="218"/>
      <c r="Q386" s="231"/>
      <c r="BX386" s="179"/>
      <c r="BY386" s="180"/>
      <c r="BZ386" s="180"/>
      <c r="CA386" s="180"/>
      <c r="CB386" s="180"/>
      <c r="CC386" s="180"/>
      <c r="CD386" s="180"/>
      <c r="CE386" s="181"/>
      <c r="DE386" s="150" t="s">
        <v>301</v>
      </c>
      <c r="DF386" s="150" t="s">
        <v>83</v>
      </c>
      <c r="DG386" s="12" t="s">
        <v>83</v>
      </c>
      <c r="DH386" s="12" t="s">
        <v>32</v>
      </c>
      <c r="DI386" s="12" t="s">
        <v>81</v>
      </c>
      <c r="DJ386" s="150" t="s">
        <v>282</v>
      </c>
    </row>
    <row r="387" spans="2:114" s="1" customFormat="1" ht="6.95" customHeight="1" thickBot="1" x14ac:dyDescent="0.25">
      <c r="B387" s="43"/>
      <c r="C387" s="44"/>
      <c r="D387" s="44"/>
      <c r="E387" s="44"/>
      <c r="F387" s="44"/>
      <c r="G387" s="44"/>
      <c r="H387" s="44"/>
      <c r="I387" s="44"/>
      <c r="J387" s="44"/>
      <c r="K387" s="44"/>
      <c r="L387" s="235"/>
      <c r="M387" s="237"/>
      <c r="N387" s="239"/>
      <c r="O387" s="240"/>
      <c r="P387" s="238"/>
      <c r="Q387" s="241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</row>
  </sheetData>
  <autoFilter ref="C121:K386"/>
  <mergeCells count="23">
    <mergeCell ref="U122:V122"/>
    <mergeCell ref="W122:X122"/>
    <mergeCell ref="Y122:Z122"/>
    <mergeCell ref="AA122:AB122"/>
    <mergeCell ref="AC122:AD122"/>
    <mergeCell ref="L121:Q121"/>
    <mergeCell ref="L122:M122"/>
    <mergeCell ref="N122:O122"/>
    <mergeCell ref="P122:Q122"/>
    <mergeCell ref="S122:T122"/>
    <mergeCell ref="G120:K120"/>
    <mergeCell ref="E117:H117"/>
    <mergeCell ref="L2:CG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F326"/>
  <sheetViews>
    <sheetView windowProtection="1" showGridLines="0" topLeftCell="A113" zoomScale="80" zoomScaleNormal="80" workbookViewId="0">
      <selection activeCell="X138" sqref="X13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" customWidth="1"/>
    <col min="13" max="13" width="16" customWidth="1"/>
    <col min="14" max="14" width="12" customWidth="1"/>
    <col min="15" max="15" width="15.83203125" customWidth="1"/>
    <col min="16" max="16" width="12" customWidth="1"/>
    <col min="17" max="17" width="19" customWidth="1"/>
    <col min="18" max="19" width="12" customWidth="1"/>
    <col min="20" max="20" width="16.83203125" customWidth="1"/>
    <col min="21" max="21" width="12" customWidth="1"/>
    <col min="22" max="22" width="14.1640625" customWidth="1"/>
    <col min="23" max="23" width="12" customWidth="1"/>
    <col min="24" max="24" width="15.5" customWidth="1"/>
    <col min="25" max="25" width="12" customWidth="1"/>
    <col min="26" max="26" width="16.1640625" customWidth="1"/>
    <col min="27" max="119" width="12" customWidth="1"/>
    <col min="120" max="120" width="16.33203125" customWidth="1"/>
    <col min="121" max="121" width="12.33203125" customWidth="1"/>
    <col min="122" max="122" width="15" customWidth="1"/>
    <col min="123" max="123" width="11" customWidth="1"/>
    <col min="124" max="124" width="15" customWidth="1"/>
    <col min="125" max="125" width="16.33203125" customWidth="1"/>
    <col min="126" max="126" width="11" customWidth="1"/>
    <col min="127" max="127" width="15" customWidth="1"/>
    <col min="128" max="128" width="16.33203125" customWidth="1"/>
    <col min="141" max="162" width="9.33203125" hidden="1"/>
  </cols>
  <sheetData>
    <row r="1" spans="2:143" hidden="1" x14ac:dyDescent="0.2"/>
    <row r="2" spans="2:143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9"/>
      <c r="DG2" s="399"/>
      <c r="DH2" s="399"/>
      <c r="DI2" s="399"/>
      <c r="DJ2" s="399"/>
      <c r="DK2" s="399"/>
      <c r="DL2" s="399"/>
      <c r="DM2" s="399"/>
      <c r="DN2" s="399"/>
      <c r="DO2" s="399"/>
      <c r="EM2" s="16" t="s">
        <v>154</v>
      </c>
    </row>
    <row r="3" spans="2:143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M3" s="16" t="s">
        <v>83</v>
      </c>
    </row>
    <row r="4" spans="2:143" ht="24.95" hidden="1" customHeight="1" x14ac:dyDescent="0.2">
      <c r="B4" s="19"/>
      <c r="D4" s="20" t="s">
        <v>243</v>
      </c>
      <c r="L4" s="19"/>
      <c r="DF4" s="79" t="s">
        <v>10</v>
      </c>
      <c r="EM4" s="16" t="s">
        <v>3</v>
      </c>
    </row>
    <row r="5" spans="2:143" ht="6.95" hidden="1" customHeight="1" x14ac:dyDescent="0.2">
      <c r="B5" s="19"/>
      <c r="L5" s="19"/>
    </row>
    <row r="6" spans="2:143" ht="12" hidden="1" customHeight="1" x14ac:dyDescent="0.2">
      <c r="B6" s="19"/>
      <c r="D6" s="26" t="s">
        <v>16</v>
      </c>
      <c r="L6" s="19"/>
    </row>
    <row r="7" spans="2:143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43" ht="12.75" hidden="1" x14ac:dyDescent="0.2">
      <c r="B8" s="19"/>
      <c r="D8" s="26" t="s">
        <v>244</v>
      </c>
      <c r="L8" s="19"/>
    </row>
    <row r="9" spans="2:143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43" ht="12" hidden="1" customHeight="1" x14ac:dyDescent="0.2">
      <c r="B10" s="19"/>
      <c r="D10" s="26" t="s">
        <v>246</v>
      </c>
      <c r="L10" s="19"/>
    </row>
    <row r="11" spans="2:143" s="1" customFormat="1" ht="16.5" hidden="1" customHeight="1" x14ac:dyDescent="0.2">
      <c r="B11" s="31"/>
      <c r="E11" s="401" t="s">
        <v>1789</v>
      </c>
      <c r="F11" s="433"/>
      <c r="G11" s="433"/>
      <c r="H11" s="433"/>
      <c r="L11" s="31"/>
    </row>
    <row r="12" spans="2:143" s="1" customFormat="1" ht="12" hidden="1" customHeight="1" x14ac:dyDescent="0.2">
      <c r="B12" s="31"/>
      <c r="D12" s="26" t="s">
        <v>1790</v>
      </c>
      <c r="L12" s="31"/>
    </row>
    <row r="13" spans="2:143" s="1" customFormat="1" ht="16.5" hidden="1" customHeight="1" x14ac:dyDescent="0.2">
      <c r="B13" s="31"/>
      <c r="E13" s="432" t="s">
        <v>1791</v>
      </c>
      <c r="F13" s="433"/>
      <c r="G13" s="433"/>
      <c r="H13" s="433"/>
      <c r="L13" s="31"/>
    </row>
    <row r="14" spans="2:143" s="1" customFormat="1" hidden="1" x14ac:dyDescent="0.2">
      <c r="B14" s="31"/>
      <c r="L14" s="31"/>
    </row>
    <row r="15" spans="2:143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143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ROUND(J122, 2)</f>
        <v>3165933.02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ROUND((SUM(EX122:EX325)),  2)</f>
        <v>3165933.02</v>
      </c>
      <c r="I37" s="84">
        <v>0.21</v>
      </c>
      <c r="J37" s="71">
        <f>ROUND(((SUM(EX122:EX325))*I37),  2)</f>
        <v>664845.93000000005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ROUND((SUM(EY122:EY325)),  2)</f>
        <v>0</v>
      </c>
      <c r="I38" s="84">
        <v>0.15</v>
      </c>
      <c r="J38" s="71">
        <f>ROUND(((SUM(EY122:EY325))*I38),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ROUND((SUM(EZ122:EZ325)),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ROUND((SUM(FA122:FA325)),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ROUND((SUM(FB122:FB325)),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3830778.95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1789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DSO 02.1 Čerpací stanice ČS1 - stavební část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144" s="1" customFormat="1" ht="10.35" hidden="1" customHeight="1" x14ac:dyDescent="0.2">
      <c r="B97" s="31"/>
      <c r="L97" s="31"/>
    </row>
    <row r="98" spans="2:144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144" s="1" customFormat="1" ht="10.35" hidden="1" customHeight="1" x14ac:dyDescent="0.2">
      <c r="B99" s="31"/>
      <c r="L99" s="31"/>
    </row>
    <row r="100" spans="2:144" s="1" customFormat="1" ht="22.9" hidden="1" customHeight="1" x14ac:dyDescent="0.2">
      <c r="B100" s="31"/>
      <c r="C100" s="95" t="s">
        <v>256</v>
      </c>
      <c r="J100" s="58">
        <f>J122</f>
        <v>3165933.0200000005</v>
      </c>
      <c r="L100" s="31"/>
      <c r="EN100" s="16" t="s">
        <v>257</v>
      </c>
    </row>
    <row r="101" spans="2:144" s="7" customFormat="1" ht="24.95" hidden="1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J123</f>
        <v>3165933.0200000005</v>
      </c>
      <c r="L101" s="96"/>
    </row>
    <row r="102" spans="2:144" s="8" customFormat="1" ht="19.899999999999999" hidden="1" customHeight="1" x14ac:dyDescent="0.2">
      <c r="B102" s="100"/>
      <c r="D102" s="101" t="s">
        <v>259</v>
      </c>
      <c r="E102" s="102"/>
      <c r="F102" s="102"/>
      <c r="G102" s="102"/>
      <c r="H102" s="102"/>
      <c r="I102" s="102"/>
      <c r="J102" s="103">
        <f>J125</f>
        <v>520776.12</v>
      </c>
      <c r="L102" s="100"/>
    </row>
    <row r="103" spans="2:144" s="8" customFormat="1" ht="19.899999999999999" hidden="1" customHeight="1" x14ac:dyDescent="0.2">
      <c r="B103" s="100"/>
      <c r="D103" s="101" t="s">
        <v>260</v>
      </c>
      <c r="E103" s="102"/>
      <c r="F103" s="102"/>
      <c r="G103" s="102"/>
      <c r="H103" s="102"/>
      <c r="I103" s="102"/>
      <c r="J103" s="103">
        <f>J217</f>
        <v>290929.53000000003</v>
      </c>
      <c r="L103" s="100"/>
    </row>
    <row r="104" spans="2:144" s="8" customFormat="1" ht="19.899999999999999" hidden="1" customHeight="1" x14ac:dyDescent="0.2">
      <c r="B104" s="100"/>
      <c r="D104" s="101" t="s">
        <v>261</v>
      </c>
      <c r="E104" s="102"/>
      <c r="F104" s="102"/>
      <c r="G104" s="102"/>
      <c r="H104" s="102"/>
      <c r="I104" s="102"/>
      <c r="J104" s="103">
        <f>J262</f>
        <v>4812.2299999999996</v>
      </c>
      <c r="L104" s="100"/>
    </row>
    <row r="105" spans="2:144" s="8" customFormat="1" ht="19.899999999999999" hidden="1" customHeight="1" x14ac:dyDescent="0.2">
      <c r="B105" s="100"/>
      <c r="D105" s="101" t="s">
        <v>262</v>
      </c>
      <c r="E105" s="102"/>
      <c r="F105" s="102"/>
      <c r="G105" s="102"/>
      <c r="H105" s="102"/>
      <c r="I105" s="102"/>
      <c r="J105" s="103">
        <f>J272</f>
        <v>27817.53</v>
      </c>
      <c r="L105" s="100"/>
    </row>
    <row r="106" spans="2:144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J291</f>
        <v>2288733.12</v>
      </c>
      <c r="L106" s="100"/>
    </row>
    <row r="107" spans="2:144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J301</f>
        <v>12334</v>
      </c>
      <c r="L107" s="100"/>
    </row>
    <row r="108" spans="2:144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J321</f>
        <v>20530.490000000002</v>
      </c>
      <c r="L108" s="100"/>
    </row>
    <row r="109" spans="2:144" s="1" customFormat="1" ht="21.75" hidden="1" customHeight="1" x14ac:dyDescent="0.2">
      <c r="B109" s="31"/>
      <c r="L109" s="31"/>
    </row>
    <row r="110" spans="2:144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44" hidden="1" x14ac:dyDescent="0.2"/>
    <row r="112" spans="2:144" hidden="1" x14ac:dyDescent="0.2"/>
    <row r="114" spans="2:162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62" s="1" customFormat="1" ht="24.95" customHeight="1" x14ac:dyDescent="0.2">
      <c r="B115" s="31"/>
      <c r="C115" s="20" t="s">
        <v>267</v>
      </c>
      <c r="L115" s="31"/>
    </row>
    <row r="116" spans="2:162" s="1" customFormat="1" ht="6.95" customHeight="1" x14ac:dyDescent="0.2">
      <c r="B116" s="31"/>
      <c r="L116" s="31"/>
    </row>
    <row r="117" spans="2:162" s="1" customFormat="1" ht="16.5" customHeight="1" x14ac:dyDescent="0.2">
      <c r="B117" s="31"/>
      <c r="E117" s="432" t="str">
        <f>E13</f>
        <v>0001 - DSO 02.1 Čerpací stanice ČS1 - stavební část</v>
      </c>
      <c r="F117" s="433"/>
      <c r="G117" s="433"/>
      <c r="H117" s="433"/>
      <c r="L117" s="31"/>
    </row>
    <row r="118" spans="2:162" s="1" customFormat="1" ht="6.95" customHeight="1" x14ac:dyDescent="0.2">
      <c r="B118" s="31"/>
      <c r="L118" s="31"/>
    </row>
    <row r="119" spans="2:162" s="1" customFormat="1" ht="15.2" customHeight="1" x14ac:dyDescent="0.2">
      <c r="B119" s="31"/>
      <c r="C119" s="26"/>
      <c r="F119" s="24"/>
      <c r="I119" s="26"/>
      <c r="J119" s="29"/>
      <c r="L119" s="31"/>
    </row>
    <row r="120" spans="2:162" s="1" customFormat="1" ht="30.75" customHeight="1" x14ac:dyDescent="0.2">
      <c r="B120" s="31"/>
      <c r="H120" s="450" t="s">
        <v>3305</v>
      </c>
      <c r="I120" s="450"/>
      <c r="J120" s="450"/>
      <c r="K120" s="451"/>
      <c r="L120" s="31"/>
    </row>
    <row r="121" spans="2:162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DF121" s="52" t="s">
        <v>1</v>
      </c>
      <c r="DG121" s="53" t="s">
        <v>39</v>
      </c>
      <c r="DH121" s="53" t="s">
        <v>273</v>
      </c>
      <c r="DI121" s="53" t="s">
        <v>274</v>
      </c>
      <c r="DJ121" s="53" t="s">
        <v>275</v>
      </c>
      <c r="DK121" s="53" t="s">
        <v>276</v>
      </c>
      <c r="DL121" s="53" t="s">
        <v>277</v>
      </c>
      <c r="DM121" s="54" t="s">
        <v>278</v>
      </c>
    </row>
    <row r="122" spans="2:162" s="1" customFormat="1" ht="22.9" customHeight="1" x14ac:dyDescent="0.25">
      <c r="B122" s="31"/>
      <c r="C122" s="57" t="s">
        <v>279</v>
      </c>
      <c r="G122" s="1" t="s">
        <v>3306</v>
      </c>
      <c r="J122" s="108">
        <f>FD122</f>
        <v>3165933.0200000005</v>
      </c>
      <c r="L122" s="440" t="s">
        <v>3308</v>
      </c>
      <c r="M122" s="441"/>
      <c r="N122" s="440" t="s">
        <v>3343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3321</v>
      </c>
      <c r="X122" s="444"/>
      <c r="Y122" s="444" t="s">
        <v>3322</v>
      </c>
      <c r="Z122" s="444"/>
      <c r="AA122" s="444" t="s">
        <v>3323</v>
      </c>
      <c r="AB122" s="444"/>
      <c r="AC122" s="444" t="s">
        <v>3324</v>
      </c>
      <c r="AD122" s="444"/>
      <c r="AE122" s="444" t="s">
        <v>3325</v>
      </c>
      <c r="AF122" s="444"/>
      <c r="AG122" s="444" t="s">
        <v>3326</v>
      </c>
      <c r="AH122" s="444"/>
      <c r="AI122" s="444" t="s">
        <v>3327</v>
      </c>
      <c r="AJ122" s="445"/>
      <c r="DF122" s="55"/>
      <c r="DG122" s="49"/>
      <c r="DH122" s="49"/>
      <c r="DI122" s="109">
        <f>DI123</f>
        <v>0</v>
      </c>
      <c r="DJ122" s="49"/>
      <c r="DK122" s="109">
        <f>DK123</f>
        <v>155.90012496999998</v>
      </c>
      <c r="DL122" s="49"/>
      <c r="DM122" s="110">
        <f>DM123</f>
        <v>33.07958</v>
      </c>
      <c r="EM122" s="16" t="s">
        <v>73</v>
      </c>
      <c r="EN122" s="16" t="s">
        <v>257</v>
      </c>
      <c r="FD122" s="111">
        <f>FD123</f>
        <v>3165933.0200000005</v>
      </c>
    </row>
    <row r="123" spans="2:162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FD123</f>
        <v>3165933.0200000005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4" t="s">
        <v>3328</v>
      </c>
      <c r="AE123" s="194" t="s">
        <v>270</v>
      </c>
      <c r="AF123" s="194" t="s">
        <v>3328</v>
      </c>
      <c r="AG123" s="194" t="s">
        <v>270</v>
      </c>
      <c r="AH123" s="194" t="s">
        <v>3328</v>
      </c>
      <c r="AI123" s="194" t="s">
        <v>270</v>
      </c>
      <c r="AJ123" s="195" t="s">
        <v>3328</v>
      </c>
      <c r="DF123" s="117"/>
      <c r="DI123" s="118">
        <f>DI125+DI217+DI262+DI272+DI291+DI301+DI321</f>
        <v>0</v>
      </c>
      <c r="DK123" s="118">
        <f>DK125+DK217+DK262+DK272+DK291+DK301+DK321</f>
        <v>155.90012496999998</v>
      </c>
      <c r="DM123" s="119">
        <f>DM125+DM217+DM262+DM272+DM291+DM301+DM321</f>
        <v>33.07958</v>
      </c>
      <c r="EK123" s="113" t="s">
        <v>81</v>
      </c>
      <c r="EM123" s="120" t="s">
        <v>73</v>
      </c>
      <c r="EN123" s="120" t="s">
        <v>74</v>
      </c>
      <c r="ER123" s="113" t="s">
        <v>282</v>
      </c>
      <c r="FD123" s="121">
        <f>FD125+FD217+FD262+FD272+FD291+FD301+FD321</f>
        <v>3165933.0200000005</v>
      </c>
    </row>
    <row r="124" spans="2:162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M125+M217+M262+M272+M291+M301+M321</f>
        <v>0</v>
      </c>
      <c r="N124" s="208"/>
      <c r="O124" s="208">
        <f t="shared" ref="O124:Q124" si="0">O125+O217+O262+O272+O291+O301+O321</f>
        <v>0</v>
      </c>
      <c r="P124" s="192"/>
      <c r="Q124" s="192">
        <f t="shared" si="0"/>
        <v>3165933.0200000005</v>
      </c>
      <c r="S124" s="196"/>
      <c r="T124" s="197">
        <f>T125+T217+T262+T272+T291+T301+T321</f>
        <v>0</v>
      </c>
      <c r="U124" s="197"/>
      <c r="V124" s="197">
        <f t="shared" ref="V124:AJ124" si="1">V125+V217+V262+V272+V291+V301+V321</f>
        <v>3165933.0200000005</v>
      </c>
      <c r="W124" s="197"/>
      <c r="X124" s="197">
        <f t="shared" si="1"/>
        <v>0</v>
      </c>
      <c r="Y124" s="197"/>
      <c r="Z124" s="197">
        <f t="shared" si="1"/>
        <v>0</v>
      </c>
      <c r="AA124" s="197"/>
      <c r="AB124" s="197">
        <f t="shared" si="1"/>
        <v>0</v>
      </c>
      <c r="AC124" s="197"/>
      <c r="AD124" s="197">
        <f t="shared" si="1"/>
        <v>0</v>
      </c>
      <c r="AE124" s="197"/>
      <c r="AF124" s="197">
        <f t="shared" si="1"/>
        <v>0</v>
      </c>
      <c r="AG124" s="197"/>
      <c r="AH124" s="197">
        <f t="shared" si="1"/>
        <v>0</v>
      </c>
      <c r="AI124" s="197"/>
      <c r="AJ124" s="197">
        <f t="shared" si="1"/>
        <v>0</v>
      </c>
      <c r="DF124" s="117"/>
      <c r="DI124" s="118"/>
      <c r="DK124" s="118"/>
      <c r="DM124" s="119"/>
      <c r="EK124" s="113"/>
      <c r="EM124" s="120"/>
      <c r="EN124" s="120"/>
      <c r="ER124" s="113"/>
      <c r="FD124" s="121"/>
    </row>
    <row r="125" spans="2:162" s="10" customFormat="1" ht="22.9" customHeight="1" x14ac:dyDescent="0.2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FD125</f>
        <v>520776.12</v>
      </c>
      <c r="L125" s="112"/>
      <c r="M125" s="270">
        <f>SUM(M126:M214)</f>
        <v>0</v>
      </c>
      <c r="N125" s="299"/>
      <c r="O125" s="300">
        <f t="shared" ref="O125:V125" si="2">SUM(O126:O214)</f>
        <v>0</v>
      </c>
      <c r="P125" s="270"/>
      <c r="Q125" s="286">
        <f t="shared" si="2"/>
        <v>520776.12</v>
      </c>
      <c r="R125" s="270"/>
      <c r="S125" s="270"/>
      <c r="T125" s="270">
        <f t="shared" si="2"/>
        <v>0</v>
      </c>
      <c r="U125" s="270"/>
      <c r="V125" s="270">
        <f t="shared" si="2"/>
        <v>520776.12</v>
      </c>
      <c r="DF125" s="117"/>
      <c r="DI125" s="118">
        <f>SUM(DI126:DI216)</f>
        <v>0</v>
      </c>
      <c r="DK125" s="118">
        <f>SUM(DK126:DK216)</f>
        <v>123.31659201999999</v>
      </c>
      <c r="DM125" s="119">
        <f>SUM(DM126:DM216)</f>
        <v>33.07958</v>
      </c>
      <c r="EK125" s="113" t="s">
        <v>81</v>
      </c>
      <c r="EM125" s="120" t="s">
        <v>73</v>
      </c>
      <c r="EN125" s="120" t="s">
        <v>81</v>
      </c>
      <c r="ER125" s="113" t="s">
        <v>282</v>
      </c>
      <c r="FD125" s="121">
        <f>SUM(FD126:FD216)</f>
        <v>520776.12</v>
      </c>
    </row>
    <row r="126" spans="2:162" s="1" customFormat="1" ht="24.2" customHeight="1" x14ac:dyDescent="0.2">
      <c r="B126" s="124"/>
      <c r="C126" s="125" t="s">
        <v>81</v>
      </c>
      <c r="D126" s="125" t="s">
        <v>284</v>
      </c>
      <c r="E126" s="126" t="s">
        <v>291</v>
      </c>
      <c r="F126" s="127" t="s">
        <v>292</v>
      </c>
      <c r="G126" s="128" t="s">
        <v>287</v>
      </c>
      <c r="H126" s="129">
        <v>24.01</v>
      </c>
      <c r="I126" s="130">
        <v>68.767172335543137</v>
      </c>
      <c r="J126" s="131">
        <f>ROUND(I126*H126,2)</f>
        <v>1651.1</v>
      </c>
      <c r="K126" s="127" t="s">
        <v>293</v>
      </c>
      <c r="L126" s="268">
        <f>S126</f>
        <v>0</v>
      </c>
      <c r="M126" s="272">
        <f>ROUND(L126*I126,2)</f>
        <v>0</v>
      </c>
      <c r="N126" s="243"/>
      <c r="O126" s="294">
        <f>ROUND(N126*I126,2)</f>
        <v>0</v>
      </c>
      <c r="P126" s="273">
        <f>H126-L126-N126</f>
        <v>24.01</v>
      </c>
      <c r="Q126" s="287">
        <f>ROUND(P126*I126,2)</f>
        <v>1651.1</v>
      </c>
      <c r="R126" s="137"/>
      <c r="S126" s="269">
        <f>W126+Y126+AA126+AC126+AE126+AG126+AI126</f>
        <v>0</v>
      </c>
      <c r="T126" s="269">
        <f>ROUND(S126*I126,2)</f>
        <v>0</v>
      </c>
      <c r="U126" s="269">
        <f>H126-S126</f>
        <v>24.01</v>
      </c>
      <c r="V126" s="269">
        <f>ROUND(U126*I126,2)</f>
        <v>1651.1</v>
      </c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DF126" s="132" t="s">
        <v>1</v>
      </c>
      <c r="DG126" s="133" t="s">
        <v>40</v>
      </c>
      <c r="DI126" s="134">
        <f>DH126*H126</f>
        <v>0</v>
      </c>
      <c r="DJ126" s="134">
        <v>0</v>
      </c>
      <c r="DK126" s="134">
        <f>DJ126*H126</f>
        <v>0</v>
      </c>
      <c r="DL126" s="134">
        <v>0.57999999999999996</v>
      </c>
      <c r="DM126" s="135">
        <f>DL126*H126</f>
        <v>13.925800000000001</v>
      </c>
      <c r="EK126" s="136" t="s">
        <v>95</v>
      </c>
      <c r="EM126" s="136" t="s">
        <v>284</v>
      </c>
      <c r="EN126" s="136" t="s">
        <v>83</v>
      </c>
      <c r="ER126" s="16" t="s">
        <v>282</v>
      </c>
      <c r="EX126" s="137">
        <f>IF(DG126="základní",J126,0)</f>
        <v>1651.1</v>
      </c>
      <c r="EY126" s="137">
        <f>IF(DG126="snížená",J126,0)</f>
        <v>0</v>
      </c>
      <c r="EZ126" s="137">
        <f>IF(DG126="zákl. přenesená",J126,0)</f>
        <v>0</v>
      </c>
      <c r="FA126" s="137">
        <f>IF(DG126="sníž. přenesená",J126,0)</f>
        <v>0</v>
      </c>
      <c r="FB126" s="137">
        <f>IF(DG126="nulová",J126,0)</f>
        <v>0</v>
      </c>
      <c r="FC126" s="16" t="s">
        <v>81</v>
      </c>
      <c r="FD126" s="137">
        <f>ROUND(I126*H126,2)</f>
        <v>1651.1</v>
      </c>
      <c r="FE126" s="16" t="s">
        <v>95</v>
      </c>
      <c r="FF126" s="136" t="s">
        <v>1792</v>
      </c>
    </row>
    <row r="127" spans="2:162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DF127" s="141"/>
      <c r="DM127" s="50"/>
      <c r="EM127" s="16" t="s">
        <v>289</v>
      </c>
      <c r="EN127" s="16" t="s">
        <v>83</v>
      </c>
    </row>
    <row r="128" spans="2:162" s="1" customFormat="1" ht="24.2" customHeight="1" x14ac:dyDescent="0.2">
      <c r="B128" s="124"/>
      <c r="C128" s="125" t="s">
        <v>83</v>
      </c>
      <c r="D128" s="125" t="s">
        <v>284</v>
      </c>
      <c r="E128" s="126" t="s">
        <v>285</v>
      </c>
      <c r="F128" s="127" t="s">
        <v>286</v>
      </c>
      <c r="G128" s="128" t="s">
        <v>287</v>
      </c>
      <c r="H128" s="129">
        <v>24.01</v>
      </c>
      <c r="I128" s="130">
        <v>68.767172335543137</v>
      </c>
      <c r="J128" s="131">
        <f>ROUND(I128*H128,2)</f>
        <v>1651.1</v>
      </c>
      <c r="K128" s="127" t="s">
        <v>1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24.01</v>
      </c>
      <c r="Q128" s="287">
        <f>ROUND(P128*I128,2)</f>
        <v>1651.1</v>
      </c>
      <c r="R128" s="137"/>
      <c r="S128" s="269">
        <f>W128+Y128+AA128+AC128+AE128+AG128+AI128</f>
        <v>0</v>
      </c>
      <c r="T128" s="269">
        <f>ROUND(S128*I128,2)</f>
        <v>0</v>
      </c>
      <c r="U128" s="269">
        <f>H128-S128</f>
        <v>24.01</v>
      </c>
      <c r="V128" s="269">
        <f>ROUND(U128*I128,2)</f>
        <v>1651.1</v>
      </c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DF128" s="132" t="s">
        <v>1</v>
      </c>
      <c r="DG128" s="133" t="s">
        <v>40</v>
      </c>
      <c r="DI128" s="134">
        <f>DH128*H128</f>
        <v>0</v>
      </c>
      <c r="DJ128" s="134">
        <v>0</v>
      </c>
      <c r="DK128" s="134">
        <f>DJ128*H128</f>
        <v>0</v>
      </c>
      <c r="DL128" s="134">
        <v>0.57999999999999996</v>
      </c>
      <c r="DM128" s="135">
        <f>DL128*H128</f>
        <v>13.925800000000001</v>
      </c>
      <c r="EK128" s="136" t="s">
        <v>95</v>
      </c>
      <c r="EM128" s="136" t="s">
        <v>284</v>
      </c>
      <c r="EN128" s="136" t="s">
        <v>83</v>
      </c>
      <c r="ER128" s="16" t="s">
        <v>282</v>
      </c>
      <c r="EX128" s="137">
        <f>IF(DG128="základní",J128,0)</f>
        <v>1651.1</v>
      </c>
      <c r="EY128" s="137">
        <f>IF(DG128="snížená",J128,0)</f>
        <v>0</v>
      </c>
      <c r="EZ128" s="137">
        <f>IF(DG128="zákl. přenesená",J128,0)</f>
        <v>0</v>
      </c>
      <c r="FA128" s="137">
        <f>IF(DG128="sníž. přenesená",J128,0)</f>
        <v>0</v>
      </c>
      <c r="FB128" s="137">
        <f>IF(DG128="nulová",J128,0)</f>
        <v>0</v>
      </c>
      <c r="FC128" s="16" t="s">
        <v>81</v>
      </c>
      <c r="FD128" s="137">
        <f>ROUND(I128*H128,2)</f>
        <v>1651.1</v>
      </c>
      <c r="FE128" s="16" t="s">
        <v>95</v>
      </c>
      <c r="FF128" s="136" t="s">
        <v>1793</v>
      </c>
    </row>
    <row r="129" spans="2:162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DF129" s="141"/>
      <c r="DM129" s="50"/>
      <c r="EM129" s="16" t="s">
        <v>289</v>
      </c>
      <c r="EN129" s="16" t="s">
        <v>83</v>
      </c>
    </row>
    <row r="130" spans="2:162" s="1" customFormat="1" ht="24.2" customHeight="1" x14ac:dyDescent="0.2">
      <c r="B130" s="124"/>
      <c r="C130" s="125" t="s">
        <v>90</v>
      </c>
      <c r="D130" s="125" t="s">
        <v>284</v>
      </c>
      <c r="E130" s="126" t="s">
        <v>295</v>
      </c>
      <c r="F130" s="127" t="s">
        <v>296</v>
      </c>
      <c r="G130" s="128" t="s">
        <v>287</v>
      </c>
      <c r="H130" s="129">
        <v>24.01</v>
      </c>
      <c r="I130" s="130">
        <v>27.886826761540966</v>
      </c>
      <c r="J130" s="131">
        <f>ROUND(I130*H130,2)</f>
        <v>669.56</v>
      </c>
      <c r="K130" s="127" t="s">
        <v>293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24.01</v>
      </c>
      <c r="Q130" s="287">
        <f>ROUND(P130*I130,2)</f>
        <v>669.56</v>
      </c>
      <c r="R130" s="137"/>
      <c r="S130" s="269">
        <f>W130+Y130+AA130+AC130+AE130+AG130+AI130</f>
        <v>0</v>
      </c>
      <c r="T130" s="269">
        <f>ROUND(S130*I130,2)</f>
        <v>0</v>
      </c>
      <c r="U130" s="269">
        <f>H130-S130</f>
        <v>24.01</v>
      </c>
      <c r="V130" s="269">
        <f>ROUND(U130*I130,2)</f>
        <v>669.56</v>
      </c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DF130" s="132" t="s">
        <v>1</v>
      </c>
      <c r="DG130" s="133" t="s">
        <v>40</v>
      </c>
      <c r="DI130" s="134">
        <f>DH130*H130</f>
        <v>0</v>
      </c>
      <c r="DJ130" s="134">
        <v>0</v>
      </c>
      <c r="DK130" s="134">
        <f>DJ130*H130</f>
        <v>0</v>
      </c>
      <c r="DL130" s="134">
        <v>9.8000000000000004E-2</v>
      </c>
      <c r="DM130" s="135">
        <f>DL130*H130</f>
        <v>2.3529800000000001</v>
      </c>
      <c r="EK130" s="136" t="s">
        <v>95</v>
      </c>
      <c r="EM130" s="136" t="s">
        <v>284</v>
      </c>
      <c r="EN130" s="136" t="s">
        <v>83</v>
      </c>
      <c r="ER130" s="16" t="s">
        <v>282</v>
      </c>
      <c r="EX130" s="137">
        <f>IF(DG130="základní",J130,0)</f>
        <v>669.56</v>
      </c>
      <c r="EY130" s="137">
        <f>IF(DG130="snížená",J130,0)</f>
        <v>0</v>
      </c>
      <c r="EZ130" s="137">
        <f>IF(DG130="zákl. přenesená",J130,0)</f>
        <v>0</v>
      </c>
      <c r="FA130" s="137">
        <f>IF(DG130="sníž. přenesená",J130,0)</f>
        <v>0</v>
      </c>
      <c r="FB130" s="137">
        <f>IF(DG130="nulová",J130,0)</f>
        <v>0</v>
      </c>
      <c r="FC130" s="16" t="s">
        <v>81</v>
      </c>
      <c r="FD130" s="137">
        <f>ROUND(I130*H130,2)</f>
        <v>669.56</v>
      </c>
      <c r="FE130" s="16" t="s">
        <v>95</v>
      </c>
      <c r="FF130" s="136" t="s">
        <v>1794</v>
      </c>
    </row>
    <row r="131" spans="2:162" s="1" customFormat="1" ht="29.25" x14ac:dyDescent="0.2">
      <c r="B131" s="31"/>
      <c r="D131" s="138" t="s">
        <v>289</v>
      </c>
      <c r="F131" s="139" t="s">
        <v>298</v>
      </c>
      <c r="I131" s="140"/>
      <c r="L131" s="31"/>
      <c r="N131" s="213"/>
      <c r="O131" s="214"/>
      <c r="Q131" s="229"/>
      <c r="DF131" s="141"/>
      <c r="DM131" s="50"/>
      <c r="EM131" s="16" t="s">
        <v>289</v>
      </c>
      <c r="EN131" s="16" t="s">
        <v>83</v>
      </c>
    </row>
    <row r="132" spans="2:162" s="1" customFormat="1" ht="19.5" x14ac:dyDescent="0.2">
      <c r="B132" s="31"/>
      <c r="D132" s="138" t="s">
        <v>299</v>
      </c>
      <c r="F132" s="142" t="s">
        <v>1795</v>
      </c>
      <c r="I132" s="140"/>
      <c r="L132" s="31"/>
      <c r="N132" s="213"/>
      <c r="O132" s="214"/>
      <c r="Q132" s="229"/>
      <c r="DF132" s="141"/>
      <c r="DM132" s="50"/>
      <c r="EM132" s="16" t="s">
        <v>299</v>
      </c>
      <c r="EN132" s="16" t="s">
        <v>83</v>
      </c>
    </row>
    <row r="133" spans="2:162" s="11" customFormat="1" x14ac:dyDescent="0.2">
      <c r="B133" s="143"/>
      <c r="D133" s="138" t="s">
        <v>301</v>
      </c>
      <c r="E133" s="144" t="s">
        <v>1</v>
      </c>
      <c r="F133" s="145" t="s">
        <v>1796</v>
      </c>
      <c r="H133" s="144" t="s">
        <v>1</v>
      </c>
      <c r="I133" s="146"/>
      <c r="L133" s="143"/>
      <c r="N133" s="215"/>
      <c r="O133" s="216"/>
      <c r="Q133" s="230"/>
      <c r="DF133" s="147"/>
      <c r="DM133" s="148"/>
      <c r="EM133" s="144" t="s">
        <v>301</v>
      </c>
      <c r="EN133" s="144" t="s">
        <v>83</v>
      </c>
      <c r="EO133" s="11" t="s">
        <v>81</v>
      </c>
      <c r="EP133" s="11" t="s">
        <v>32</v>
      </c>
      <c r="EQ133" s="11" t="s">
        <v>74</v>
      </c>
      <c r="ER133" s="144" t="s">
        <v>282</v>
      </c>
    </row>
    <row r="134" spans="2:162" s="12" customFormat="1" x14ac:dyDescent="0.2">
      <c r="B134" s="149"/>
      <c r="D134" s="138" t="s">
        <v>301</v>
      </c>
      <c r="E134" s="150" t="s">
        <v>1</v>
      </c>
      <c r="F134" s="151" t="s">
        <v>1797</v>
      </c>
      <c r="H134" s="152">
        <v>24.01</v>
      </c>
      <c r="I134" s="153"/>
      <c r="L134" s="149"/>
      <c r="N134" s="217"/>
      <c r="O134" s="218"/>
      <c r="Q134" s="231"/>
      <c r="DF134" s="154"/>
      <c r="DM134" s="155"/>
      <c r="EM134" s="150" t="s">
        <v>301</v>
      </c>
      <c r="EN134" s="150" t="s">
        <v>83</v>
      </c>
      <c r="EO134" s="12" t="s">
        <v>83</v>
      </c>
      <c r="EP134" s="12" t="s">
        <v>32</v>
      </c>
      <c r="EQ134" s="12" t="s">
        <v>81</v>
      </c>
      <c r="ER134" s="150" t="s">
        <v>282</v>
      </c>
    </row>
    <row r="135" spans="2:162" s="1" customFormat="1" ht="24.2" customHeight="1" x14ac:dyDescent="0.2">
      <c r="B135" s="124"/>
      <c r="C135" s="125" t="s">
        <v>95</v>
      </c>
      <c r="D135" s="125" t="s">
        <v>284</v>
      </c>
      <c r="E135" s="126" t="s">
        <v>306</v>
      </c>
      <c r="F135" s="127" t="s">
        <v>307</v>
      </c>
      <c r="G135" s="128" t="s">
        <v>287</v>
      </c>
      <c r="H135" s="129">
        <v>25</v>
      </c>
      <c r="I135" s="130">
        <v>55.314624729404002</v>
      </c>
      <c r="J135" s="131">
        <f>ROUND(I135*H135,2)</f>
        <v>1382.87</v>
      </c>
      <c r="K135" s="127" t="s">
        <v>293</v>
      </c>
      <c r="L135" s="268">
        <f>S135</f>
        <v>0</v>
      </c>
      <c r="M135" s="272">
        <f>ROUND(L135*I135,2)</f>
        <v>0</v>
      </c>
      <c r="N135" s="243"/>
      <c r="O135" s="294">
        <f>ROUND(N135*I135,2)</f>
        <v>0</v>
      </c>
      <c r="P135" s="273">
        <f>H135-L135-N135</f>
        <v>25</v>
      </c>
      <c r="Q135" s="287">
        <f>ROUND(P135*I135,2)</f>
        <v>1382.87</v>
      </c>
      <c r="R135" s="137"/>
      <c r="S135" s="269">
        <f>W135+Y135+AA135+AC135+AE135+AG135+AI135</f>
        <v>0</v>
      </c>
      <c r="T135" s="269">
        <f>ROUND(S135*I135,2)</f>
        <v>0</v>
      </c>
      <c r="U135" s="269">
        <f>H135-S135</f>
        <v>25</v>
      </c>
      <c r="V135" s="269">
        <f>ROUND(U135*I135,2)</f>
        <v>1382.87</v>
      </c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DF135" s="132" t="s">
        <v>1</v>
      </c>
      <c r="DG135" s="133" t="s">
        <v>40</v>
      </c>
      <c r="DI135" s="134">
        <f>DH135*H135</f>
        <v>0</v>
      </c>
      <c r="DJ135" s="134">
        <v>6.9999999999999994E-5</v>
      </c>
      <c r="DK135" s="134">
        <f>DJ135*H135</f>
        <v>1.7499999999999998E-3</v>
      </c>
      <c r="DL135" s="134">
        <v>0.115</v>
      </c>
      <c r="DM135" s="135">
        <f>DL135*H135</f>
        <v>2.875</v>
      </c>
      <c r="EK135" s="136" t="s">
        <v>95</v>
      </c>
      <c r="EM135" s="136" t="s">
        <v>284</v>
      </c>
      <c r="EN135" s="136" t="s">
        <v>83</v>
      </c>
      <c r="ER135" s="16" t="s">
        <v>282</v>
      </c>
      <c r="EX135" s="137">
        <f>IF(DG135="základní",J135,0)</f>
        <v>1382.87</v>
      </c>
      <c r="EY135" s="137">
        <f>IF(DG135="snížená",J135,0)</f>
        <v>0</v>
      </c>
      <c r="EZ135" s="137">
        <f>IF(DG135="zákl. přenesená",J135,0)</f>
        <v>0</v>
      </c>
      <c r="FA135" s="137">
        <f>IF(DG135="sníž. přenesená",J135,0)</f>
        <v>0</v>
      </c>
      <c r="FB135" s="137">
        <f>IF(DG135="nulová",J135,0)</f>
        <v>0</v>
      </c>
      <c r="FC135" s="16" t="s">
        <v>81</v>
      </c>
      <c r="FD135" s="137">
        <f>ROUND(I135*H135,2)</f>
        <v>1382.87</v>
      </c>
      <c r="FE135" s="16" t="s">
        <v>95</v>
      </c>
      <c r="FF135" s="136" t="s">
        <v>1798</v>
      </c>
    </row>
    <row r="136" spans="2:162" s="1" customFormat="1" ht="29.25" x14ac:dyDescent="0.2">
      <c r="B136" s="31"/>
      <c r="D136" s="138" t="s">
        <v>289</v>
      </c>
      <c r="F136" s="139" t="s">
        <v>309</v>
      </c>
      <c r="I136" s="140"/>
      <c r="L136" s="31"/>
      <c r="N136" s="213"/>
      <c r="O136" s="214"/>
      <c r="Q136" s="229"/>
      <c r="DF136" s="141"/>
      <c r="DM136" s="50"/>
      <c r="EM136" s="16" t="s">
        <v>289</v>
      </c>
      <c r="EN136" s="16" t="s">
        <v>83</v>
      </c>
    </row>
    <row r="137" spans="2:162" s="1" customFormat="1" ht="19.5" x14ac:dyDescent="0.2">
      <c r="B137" s="31"/>
      <c r="D137" s="138" t="s">
        <v>299</v>
      </c>
      <c r="F137" s="142" t="s">
        <v>1795</v>
      </c>
      <c r="I137" s="140"/>
      <c r="L137" s="31"/>
      <c r="N137" s="213"/>
      <c r="O137" s="214"/>
      <c r="Q137" s="229"/>
      <c r="DF137" s="141"/>
      <c r="DM137" s="50"/>
      <c r="EM137" s="16" t="s">
        <v>299</v>
      </c>
      <c r="EN137" s="16" t="s">
        <v>83</v>
      </c>
    </row>
    <row r="138" spans="2:162" s="11" customFormat="1" x14ac:dyDescent="0.2">
      <c r="B138" s="143"/>
      <c r="D138" s="138" t="s">
        <v>301</v>
      </c>
      <c r="E138" s="144" t="s">
        <v>1</v>
      </c>
      <c r="F138" s="145" t="s">
        <v>310</v>
      </c>
      <c r="H138" s="144" t="s">
        <v>1</v>
      </c>
      <c r="I138" s="146"/>
      <c r="L138" s="143"/>
      <c r="N138" s="215"/>
      <c r="O138" s="216"/>
      <c r="Q138" s="230"/>
      <c r="DF138" s="147"/>
      <c r="DM138" s="148"/>
      <c r="EM138" s="144" t="s">
        <v>301</v>
      </c>
      <c r="EN138" s="144" t="s">
        <v>83</v>
      </c>
      <c r="EO138" s="11" t="s">
        <v>81</v>
      </c>
      <c r="EP138" s="11" t="s">
        <v>32</v>
      </c>
      <c r="EQ138" s="11" t="s">
        <v>74</v>
      </c>
      <c r="ER138" s="144" t="s">
        <v>282</v>
      </c>
    </row>
    <row r="139" spans="2:162" s="12" customFormat="1" x14ac:dyDescent="0.2">
      <c r="B139" s="149"/>
      <c r="D139" s="138" t="s">
        <v>301</v>
      </c>
      <c r="E139" s="150" t="s">
        <v>1</v>
      </c>
      <c r="F139" s="151" t="s">
        <v>1799</v>
      </c>
      <c r="H139" s="152">
        <v>25</v>
      </c>
      <c r="I139" s="153"/>
      <c r="L139" s="149"/>
      <c r="N139" s="217"/>
      <c r="O139" s="218"/>
      <c r="Q139" s="231"/>
      <c r="DF139" s="154"/>
      <c r="DM139" s="155"/>
      <c r="EM139" s="150" t="s">
        <v>301</v>
      </c>
      <c r="EN139" s="150" t="s">
        <v>83</v>
      </c>
      <c r="EO139" s="12" t="s">
        <v>83</v>
      </c>
      <c r="EP139" s="12" t="s">
        <v>32</v>
      </c>
      <c r="EQ139" s="12" t="s">
        <v>81</v>
      </c>
      <c r="ER139" s="150" t="s">
        <v>282</v>
      </c>
    </row>
    <row r="140" spans="2:162" s="1" customFormat="1" ht="24.2" customHeight="1" x14ac:dyDescent="0.2">
      <c r="B140" s="124"/>
      <c r="C140" s="125" t="s">
        <v>312</v>
      </c>
      <c r="D140" s="125" t="s">
        <v>284</v>
      </c>
      <c r="E140" s="126" t="s">
        <v>1800</v>
      </c>
      <c r="F140" s="127" t="s">
        <v>1801</v>
      </c>
      <c r="G140" s="128" t="s">
        <v>315</v>
      </c>
      <c r="H140" s="129">
        <v>1</v>
      </c>
      <c r="I140" s="130">
        <v>5493.85106</v>
      </c>
      <c r="J140" s="131">
        <f>ROUND(I140*H140,2)</f>
        <v>5493.85</v>
      </c>
      <c r="K140" s="127" t="s">
        <v>1</v>
      </c>
      <c r="L140" s="268">
        <f>S140</f>
        <v>0</v>
      </c>
      <c r="M140" s="272">
        <f>ROUND(L140*I140,2)</f>
        <v>0</v>
      </c>
      <c r="N140" s="243"/>
      <c r="O140" s="294">
        <f>ROUND(N140*I140,2)</f>
        <v>0</v>
      </c>
      <c r="P140" s="273">
        <f>H140-L140-N140</f>
        <v>1</v>
      </c>
      <c r="Q140" s="287">
        <f>ROUND(P140*I140,2)</f>
        <v>5493.85</v>
      </c>
      <c r="R140" s="137"/>
      <c r="S140" s="269">
        <f>W140+Y140+AA140+AC140+AE140+AG140+AI140</f>
        <v>0</v>
      </c>
      <c r="T140" s="269">
        <f>ROUND(S140*I140,2)</f>
        <v>0</v>
      </c>
      <c r="U140" s="269">
        <f>H140-S140</f>
        <v>1</v>
      </c>
      <c r="V140" s="269">
        <f>ROUND(U140*I140,2)</f>
        <v>5493.85</v>
      </c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DF140" s="132" t="s">
        <v>1</v>
      </c>
      <c r="DG140" s="133" t="s">
        <v>40</v>
      </c>
      <c r="DI140" s="134">
        <f>DH140*H140</f>
        <v>0</v>
      </c>
      <c r="DJ140" s="134">
        <v>0</v>
      </c>
      <c r="DK140" s="134">
        <f>DJ140*H140</f>
        <v>0</v>
      </c>
      <c r="DL140" s="134">
        <v>0</v>
      </c>
      <c r="DM140" s="135">
        <f>DL140*H140</f>
        <v>0</v>
      </c>
      <c r="EK140" s="136" t="s">
        <v>95</v>
      </c>
      <c r="EM140" s="136" t="s">
        <v>284</v>
      </c>
      <c r="EN140" s="136" t="s">
        <v>83</v>
      </c>
      <c r="ER140" s="16" t="s">
        <v>282</v>
      </c>
      <c r="EX140" s="137">
        <f>IF(DG140="základní",J140,0)</f>
        <v>5493.85</v>
      </c>
      <c r="EY140" s="137">
        <f>IF(DG140="snížená",J140,0)</f>
        <v>0</v>
      </c>
      <c r="EZ140" s="137">
        <f>IF(DG140="zákl. přenesená",J140,0)</f>
        <v>0</v>
      </c>
      <c r="FA140" s="137">
        <f>IF(DG140="sníž. přenesená",J140,0)</f>
        <v>0</v>
      </c>
      <c r="FB140" s="137">
        <f>IF(DG140="nulová",J140,0)</f>
        <v>0</v>
      </c>
      <c r="FC140" s="16" t="s">
        <v>81</v>
      </c>
      <c r="FD140" s="137">
        <f>ROUND(I140*H140,2)</f>
        <v>5493.85</v>
      </c>
      <c r="FE140" s="16" t="s">
        <v>95</v>
      </c>
      <c r="FF140" s="136" t="s">
        <v>1802</v>
      </c>
    </row>
    <row r="141" spans="2:162" s="1" customFormat="1" ht="19.5" x14ac:dyDescent="0.2">
      <c r="B141" s="31"/>
      <c r="D141" s="138" t="s">
        <v>289</v>
      </c>
      <c r="F141" s="139" t="s">
        <v>1801</v>
      </c>
      <c r="I141" s="140"/>
      <c r="L141" s="31"/>
      <c r="N141" s="213"/>
      <c r="O141" s="214"/>
      <c r="Q141" s="229"/>
      <c r="DF141" s="141"/>
      <c r="DM141" s="50"/>
      <c r="EM141" s="16" t="s">
        <v>289</v>
      </c>
      <c r="EN141" s="16" t="s">
        <v>83</v>
      </c>
    </row>
    <row r="142" spans="2:162" s="1" customFormat="1" ht="19.5" x14ac:dyDescent="0.2">
      <c r="B142" s="31"/>
      <c r="D142" s="138" t="s">
        <v>299</v>
      </c>
      <c r="F142" s="142" t="s">
        <v>1795</v>
      </c>
      <c r="I142" s="140"/>
      <c r="L142" s="31"/>
      <c r="N142" s="213"/>
      <c r="O142" s="214"/>
      <c r="Q142" s="229"/>
      <c r="DF142" s="141"/>
      <c r="DM142" s="50"/>
      <c r="EM142" s="16" t="s">
        <v>299</v>
      </c>
      <c r="EN142" s="16" t="s">
        <v>83</v>
      </c>
    </row>
    <row r="143" spans="2:162" s="12" customFormat="1" x14ac:dyDescent="0.2">
      <c r="B143" s="149"/>
      <c r="D143" s="138" t="s">
        <v>301</v>
      </c>
      <c r="E143" s="150" t="s">
        <v>1</v>
      </c>
      <c r="F143" s="151" t="s">
        <v>81</v>
      </c>
      <c r="H143" s="152">
        <v>1</v>
      </c>
      <c r="I143" s="153"/>
      <c r="L143" s="149"/>
      <c r="N143" s="217"/>
      <c r="O143" s="218"/>
      <c r="Q143" s="231"/>
      <c r="DF143" s="154"/>
      <c r="DM143" s="155"/>
      <c r="EM143" s="150" t="s">
        <v>301</v>
      </c>
      <c r="EN143" s="150" t="s">
        <v>83</v>
      </c>
      <c r="EO143" s="12" t="s">
        <v>83</v>
      </c>
      <c r="EP143" s="12" t="s">
        <v>32</v>
      </c>
      <c r="EQ143" s="12" t="s">
        <v>81</v>
      </c>
      <c r="ER143" s="150" t="s">
        <v>282</v>
      </c>
    </row>
    <row r="144" spans="2:162" s="1" customFormat="1" ht="49.15" customHeight="1" x14ac:dyDescent="0.2">
      <c r="B144" s="124"/>
      <c r="C144" s="125" t="s">
        <v>318</v>
      </c>
      <c r="D144" s="125" t="s">
        <v>284</v>
      </c>
      <c r="E144" s="126" t="s">
        <v>1803</v>
      </c>
      <c r="F144" s="127" t="s">
        <v>1804</v>
      </c>
      <c r="G144" s="128" t="s">
        <v>344</v>
      </c>
      <c r="H144" s="129">
        <v>16</v>
      </c>
      <c r="I144" s="130">
        <v>7388.2824600000004</v>
      </c>
      <c r="J144" s="131">
        <f>ROUND(I144*H144,2)</f>
        <v>118212.52</v>
      </c>
      <c r="K144" s="127" t="s">
        <v>1</v>
      </c>
      <c r="L144" s="268">
        <f>S144</f>
        <v>0</v>
      </c>
      <c r="M144" s="272">
        <f>ROUND(L144*I144,2)</f>
        <v>0</v>
      </c>
      <c r="N144" s="243"/>
      <c r="O144" s="294">
        <f>ROUND(N144*I144,2)</f>
        <v>0</v>
      </c>
      <c r="P144" s="273">
        <f>H144-L144-N144</f>
        <v>16</v>
      </c>
      <c r="Q144" s="287">
        <f>ROUND(P144*I144,2)</f>
        <v>118212.52</v>
      </c>
      <c r="R144" s="137"/>
      <c r="S144" s="269">
        <f>W144+Y144+AA144+AC144+AE144+AG144+AI144</f>
        <v>0</v>
      </c>
      <c r="T144" s="269">
        <f>ROUND(S144*I144,2)</f>
        <v>0</v>
      </c>
      <c r="U144" s="269">
        <f>H144-S144</f>
        <v>16</v>
      </c>
      <c r="V144" s="269">
        <f>ROUND(U144*I144,2)</f>
        <v>118212.52</v>
      </c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DF144" s="132" t="s">
        <v>1</v>
      </c>
      <c r="DG144" s="133" t="s">
        <v>40</v>
      </c>
      <c r="DI144" s="134">
        <f>DH144*H144</f>
        <v>0</v>
      </c>
      <c r="DJ144" s="134">
        <v>0</v>
      </c>
      <c r="DK144" s="134">
        <f>DJ144*H144</f>
        <v>0</v>
      </c>
      <c r="DL144" s="134">
        <v>0</v>
      </c>
      <c r="DM144" s="135">
        <f>DL144*H144</f>
        <v>0</v>
      </c>
      <c r="EK144" s="136" t="s">
        <v>95</v>
      </c>
      <c r="EM144" s="136" t="s">
        <v>284</v>
      </c>
      <c r="EN144" s="136" t="s">
        <v>83</v>
      </c>
      <c r="ER144" s="16" t="s">
        <v>282</v>
      </c>
      <c r="EX144" s="137">
        <f>IF(DG144="základní",J144,0)</f>
        <v>118212.52</v>
      </c>
      <c r="EY144" s="137">
        <f>IF(DG144="snížená",J144,0)</f>
        <v>0</v>
      </c>
      <c r="EZ144" s="137">
        <f>IF(DG144="zákl. přenesená",J144,0)</f>
        <v>0</v>
      </c>
      <c r="FA144" s="137">
        <f>IF(DG144="sníž. přenesená",J144,0)</f>
        <v>0</v>
      </c>
      <c r="FB144" s="137">
        <f>IF(DG144="nulová",J144,0)</f>
        <v>0</v>
      </c>
      <c r="FC144" s="16" t="s">
        <v>81</v>
      </c>
      <c r="FD144" s="137">
        <f>ROUND(I144*H144,2)</f>
        <v>118212.52</v>
      </c>
      <c r="FE144" s="16" t="s">
        <v>95</v>
      </c>
      <c r="FF144" s="136" t="s">
        <v>1805</v>
      </c>
    </row>
    <row r="145" spans="2:162" s="1" customFormat="1" ht="19.5" x14ac:dyDescent="0.2">
      <c r="B145" s="31"/>
      <c r="D145" s="138" t="s">
        <v>289</v>
      </c>
      <c r="F145" s="139" t="s">
        <v>1801</v>
      </c>
      <c r="I145" s="140"/>
      <c r="L145" s="31"/>
      <c r="N145" s="213"/>
      <c r="O145" s="214"/>
      <c r="Q145" s="229"/>
      <c r="DF145" s="141"/>
      <c r="DM145" s="50"/>
      <c r="EM145" s="16" t="s">
        <v>289</v>
      </c>
      <c r="EN145" s="16" t="s">
        <v>83</v>
      </c>
    </row>
    <row r="146" spans="2:162" s="1" customFormat="1" ht="19.5" x14ac:dyDescent="0.2">
      <c r="B146" s="31"/>
      <c r="D146" s="138" t="s">
        <v>299</v>
      </c>
      <c r="F146" s="142" t="s">
        <v>1795</v>
      </c>
      <c r="I146" s="140"/>
      <c r="L146" s="31"/>
      <c r="N146" s="213"/>
      <c r="O146" s="214"/>
      <c r="Q146" s="229"/>
      <c r="DF146" s="141"/>
      <c r="DM146" s="50"/>
      <c r="EM146" s="16" t="s">
        <v>299</v>
      </c>
      <c r="EN146" s="16" t="s">
        <v>83</v>
      </c>
    </row>
    <row r="147" spans="2:162" s="12" customFormat="1" x14ac:dyDescent="0.2">
      <c r="B147" s="149"/>
      <c r="D147" s="138" t="s">
        <v>301</v>
      </c>
      <c r="E147" s="150" t="s">
        <v>1</v>
      </c>
      <c r="F147" s="151" t="s">
        <v>1806</v>
      </c>
      <c r="H147" s="152">
        <v>16</v>
      </c>
      <c r="I147" s="153"/>
      <c r="L147" s="149"/>
      <c r="N147" s="217"/>
      <c r="O147" s="218"/>
      <c r="Q147" s="231"/>
      <c r="DF147" s="154"/>
      <c r="DM147" s="155"/>
      <c r="EM147" s="150" t="s">
        <v>301</v>
      </c>
      <c r="EN147" s="150" t="s">
        <v>83</v>
      </c>
      <c r="EO147" s="12" t="s">
        <v>83</v>
      </c>
      <c r="EP147" s="12" t="s">
        <v>32</v>
      </c>
      <c r="EQ147" s="12" t="s">
        <v>81</v>
      </c>
      <c r="ER147" s="150" t="s">
        <v>282</v>
      </c>
    </row>
    <row r="148" spans="2:162" s="1" customFormat="1" ht="24.2" customHeight="1" x14ac:dyDescent="0.2">
      <c r="B148" s="124"/>
      <c r="C148" s="125" t="s">
        <v>323</v>
      </c>
      <c r="D148" s="125" t="s">
        <v>284</v>
      </c>
      <c r="E148" s="126" t="s">
        <v>1807</v>
      </c>
      <c r="F148" s="127" t="s">
        <v>1808</v>
      </c>
      <c r="G148" s="128" t="s">
        <v>331</v>
      </c>
      <c r="H148" s="129">
        <v>720</v>
      </c>
      <c r="I148" s="130">
        <v>118.60665336417955</v>
      </c>
      <c r="J148" s="131">
        <f>ROUND(I148*H148,2)</f>
        <v>85396.79</v>
      </c>
      <c r="K148" s="127" t="s">
        <v>293</v>
      </c>
      <c r="L148" s="268">
        <f>S148</f>
        <v>0</v>
      </c>
      <c r="M148" s="272">
        <f>ROUND(L148*I148,2)</f>
        <v>0</v>
      </c>
      <c r="N148" s="243"/>
      <c r="O148" s="294">
        <f>ROUND(N148*I148,2)</f>
        <v>0</v>
      </c>
      <c r="P148" s="273">
        <f>H148-L148-N148</f>
        <v>720</v>
      </c>
      <c r="Q148" s="287">
        <f>ROUND(P148*I148,2)</f>
        <v>85396.79</v>
      </c>
      <c r="R148" s="137"/>
      <c r="S148" s="269">
        <f>W148+Y148+AA148+AC148+AE148+AG148+AI148</f>
        <v>0</v>
      </c>
      <c r="T148" s="269">
        <f>ROUND(S148*I148,2)</f>
        <v>0</v>
      </c>
      <c r="U148" s="269">
        <f>H148-S148</f>
        <v>720</v>
      </c>
      <c r="V148" s="269">
        <f>ROUND(U148*I148,2)</f>
        <v>85396.79</v>
      </c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DF148" s="132" t="s">
        <v>1</v>
      </c>
      <c r="DG148" s="133" t="s">
        <v>40</v>
      </c>
      <c r="DI148" s="134">
        <f>DH148*H148</f>
        <v>0</v>
      </c>
      <c r="DJ148" s="134">
        <v>4.0000000000000003E-5</v>
      </c>
      <c r="DK148" s="134">
        <f>DJ148*H148</f>
        <v>2.8800000000000003E-2</v>
      </c>
      <c r="DL148" s="134">
        <v>0</v>
      </c>
      <c r="DM148" s="135">
        <f>DL148*H148</f>
        <v>0</v>
      </c>
      <c r="EK148" s="136" t="s">
        <v>95</v>
      </c>
      <c r="EM148" s="136" t="s">
        <v>284</v>
      </c>
      <c r="EN148" s="136" t="s">
        <v>83</v>
      </c>
      <c r="ER148" s="16" t="s">
        <v>282</v>
      </c>
      <c r="EX148" s="137">
        <f>IF(DG148="základní",J148,0)</f>
        <v>85396.79</v>
      </c>
      <c r="EY148" s="137">
        <f>IF(DG148="snížená",J148,0)</f>
        <v>0</v>
      </c>
      <c r="EZ148" s="137">
        <f>IF(DG148="zákl. přenesená",J148,0)</f>
        <v>0</v>
      </c>
      <c r="FA148" s="137">
        <f>IF(DG148="sníž. přenesená",J148,0)</f>
        <v>0</v>
      </c>
      <c r="FB148" s="137">
        <f>IF(DG148="nulová",J148,0)</f>
        <v>0</v>
      </c>
      <c r="FC148" s="16" t="s">
        <v>81</v>
      </c>
      <c r="FD148" s="137">
        <f>ROUND(I148*H148,2)</f>
        <v>85396.79</v>
      </c>
      <c r="FE148" s="16" t="s">
        <v>95</v>
      </c>
      <c r="FF148" s="136" t="s">
        <v>1809</v>
      </c>
    </row>
    <row r="149" spans="2:162" s="1" customFormat="1" ht="19.5" x14ac:dyDescent="0.2">
      <c r="B149" s="31"/>
      <c r="D149" s="138" t="s">
        <v>289</v>
      </c>
      <c r="F149" s="139" t="s">
        <v>1810</v>
      </c>
      <c r="I149" s="140"/>
      <c r="L149" s="31"/>
      <c r="N149" s="213"/>
      <c r="O149" s="214"/>
      <c r="Q149" s="229"/>
      <c r="DF149" s="141"/>
      <c r="DM149" s="50"/>
      <c r="EM149" s="16" t="s">
        <v>289</v>
      </c>
      <c r="EN149" s="16" t="s">
        <v>83</v>
      </c>
    </row>
    <row r="150" spans="2:162" s="11" customFormat="1" x14ac:dyDescent="0.2">
      <c r="B150" s="143"/>
      <c r="D150" s="138" t="s">
        <v>301</v>
      </c>
      <c r="E150" s="144" t="s">
        <v>1</v>
      </c>
      <c r="F150" s="145" t="s">
        <v>1811</v>
      </c>
      <c r="H150" s="144" t="s">
        <v>1</v>
      </c>
      <c r="I150" s="146"/>
      <c r="L150" s="143"/>
      <c r="N150" s="215"/>
      <c r="O150" s="216"/>
      <c r="Q150" s="230"/>
      <c r="DF150" s="147"/>
      <c r="DM150" s="148"/>
      <c r="EM150" s="144" t="s">
        <v>301</v>
      </c>
      <c r="EN150" s="144" t="s">
        <v>83</v>
      </c>
      <c r="EO150" s="11" t="s">
        <v>81</v>
      </c>
      <c r="EP150" s="11" t="s">
        <v>32</v>
      </c>
      <c r="EQ150" s="11" t="s">
        <v>74</v>
      </c>
      <c r="ER150" s="144" t="s">
        <v>282</v>
      </c>
    </row>
    <row r="151" spans="2:162" s="12" customFormat="1" x14ac:dyDescent="0.2">
      <c r="B151" s="149"/>
      <c r="D151" s="138" t="s">
        <v>301</v>
      </c>
      <c r="E151" s="150" t="s">
        <v>1</v>
      </c>
      <c r="F151" s="151" t="s">
        <v>1812</v>
      </c>
      <c r="H151" s="152">
        <v>720</v>
      </c>
      <c r="I151" s="153"/>
      <c r="L151" s="149"/>
      <c r="N151" s="217"/>
      <c r="O151" s="218"/>
      <c r="Q151" s="231"/>
      <c r="DF151" s="154"/>
      <c r="DM151" s="155"/>
      <c r="EM151" s="150" t="s">
        <v>301</v>
      </c>
      <c r="EN151" s="150" t="s">
        <v>83</v>
      </c>
      <c r="EO151" s="12" t="s">
        <v>83</v>
      </c>
      <c r="EP151" s="12" t="s">
        <v>32</v>
      </c>
      <c r="EQ151" s="12" t="s">
        <v>81</v>
      </c>
      <c r="ER151" s="150" t="s">
        <v>282</v>
      </c>
    </row>
    <row r="152" spans="2:162" s="1" customFormat="1" ht="24.2" customHeight="1" x14ac:dyDescent="0.2">
      <c r="B152" s="124"/>
      <c r="C152" s="125" t="s">
        <v>328</v>
      </c>
      <c r="D152" s="125" t="s">
        <v>284</v>
      </c>
      <c r="E152" s="126" t="s">
        <v>1813</v>
      </c>
      <c r="F152" s="127" t="s">
        <v>1814</v>
      </c>
      <c r="G152" s="128" t="s">
        <v>338</v>
      </c>
      <c r="H152" s="129">
        <v>90</v>
      </c>
      <c r="I152" s="130">
        <v>58.597508233098601</v>
      </c>
      <c r="J152" s="131">
        <f>ROUND(I152*H152,2)</f>
        <v>5273.78</v>
      </c>
      <c r="K152" s="127" t="s">
        <v>293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90</v>
      </c>
      <c r="Q152" s="287">
        <f>ROUND(P152*I152,2)</f>
        <v>5273.78</v>
      </c>
      <c r="R152" s="137"/>
      <c r="S152" s="269">
        <f>W152+Y152+AA152+AC152+AE152+AG152+AI152</f>
        <v>0</v>
      </c>
      <c r="T152" s="269">
        <f>ROUND(S152*I152,2)</f>
        <v>0</v>
      </c>
      <c r="U152" s="269">
        <f>H152-S152</f>
        <v>90</v>
      </c>
      <c r="V152" s="269">
        <f>ROUND(U152*I152,2)</f>
        <v>5273.78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DF152" s="132" t="s">
        <v>1</v>
      </c>
      <c r="DG152" s="133" t="s">
        <v>40</v>
      </c>
      <c r="DI152" s="134">
        <f>DH152*H152</f>
        <v>0</v>
      </c>
      <c r="DJ152" s="134">
        <v>0</v>
      </c>
      <c r="DK152" s="134">
        <f>DJ152*H152</f>
        <v>0</v>
      </c>
      <c r="DL152" s="134">
        <v>0</v>
      </c>
      <c r="DM152" s="135">
        <f>DL152*H152</f>
        <v>0</v>
      </c>
      <c r="EK152" s="136" t="s">
        <v>95</v>
      </c>
      <c r="EM152" s="136" t="s">
        <v>284</v>
      </c>
      <c r="EN152" s="136" t="s">
        <v>83</v>
      </c>
      <c r="ER152" s="16" t="s">
        <v>282</v>
      </c>
      <c r="EX152" s="137">
        <f>IF(DG152="základní",J152,0)</f>
        <v>5273.78</v>
      </c>
      <c r="EY152" s="137">
        <f>IF(DG152="snížená",J152,0)</f>
        <v>0</v>
      </c>
      <c r="EZ152" s="137">
        <f>IF(DG152="zákl. přenesená",J152,0)</f>
        <v>0</v>
      </c>
      <c r="FA152" s="137">
        <f>IF(DG152="sníž. přenesená",J152,0)</f>
        <v>0</v>
      </c>
      <c r="FB152" s="137">
        <f>IF(DG152="nulová",J152,0)</f>
        <v>0</v>
      </c>
      <c r="FC152" s="16" t="s">
        <v>81</v>
      </c>
      <c r="FD152" s="137">
        <f>ROUND(I152*H152,2)</f>
        <v>5273.78</v>
      </c>
      <c r="FE152" s="16" t="s">
        <v>95</v>
      </c>
      <c r="FF152" s="136" t="s">
        <v>1815</v>
      </c>
    </row>
    <row r="153" spans="2:162" s="1" customFormat="1" ht="19.5" x14ac:dyDescent="0.2">
      <c r="B153" s="31"/>
      <c r="D153" s="138" t="s">
        <v>289</v>
      </c>
      <c r="F153" s="139" t="s">
        <v>1816</v>
      </c>
      <c r="I153" s="140"/>
      <c r="L153" s="31"/>
      <c r="N153" s="213"/>
      <c r="O153" s="214"/>
      <c r="Q153" s="229"/>
      <c r="DF153" s="141"/>
      <c r="DM153" s="50"/>
      <c r="EM153" s="16" t="s">
        <v>289</v>
      </c>
      <c r="EN153" s="16" t="s">
        <v>83</v>
      </c>
    </row>
    <row r="154" spans="2:162" s="12" customFormat="1" x14ac:dyDescent="0.2">
      <c r="B154" s="149"/>
      <c r="D154" s="138" t="s">
        <v>301</v>
      </c>
      <c r="E154" s="150" t="s">
        <v>1</v>
      </c>
      <c r="F154" s="151" t="s">
        <v>1817</v>
      </c>
      <c r="H154" s="152">
        <v>90</v>
      </c>
      <c r="I154" s="153"/>
      <c r="L154" s="149"/>
      <c r="N154" s="217"/>
      <c r="O154" s="218"/>
      <c r="Q154" s="231"/>
      <c r="DF154" s="154"/>
      <c r="DM154" s="155"/>
      <c r="EM154" s="150" t="s">
        <v>301</v>
      </c>
      <c r="EN154" s="150" t="s">
        <v>83</v>
      </c>
      <c r="EO154" s="12" t="s">
        <v>83</v>
      </c>
      <c r="EP154" s="12" t="s">
        <v>32</v>
      </c>
      <c r="EQ154" s="12" t="s">
        <v>81</v>
      </c>
      <c r="ER154" s="150" t="s">
        <v>282</v>
      </c>
    </row>
    <row r="155" spans="2:162" s="1" customFormat="1" ht="24.2" customHeight="1" x14ac:dyDescent="0.2">
      <c r="B155" s="124"/>
      <c r="C155" s="125" t="s">
        <v>335</v>
      </c>
      <c r="D155" s="125" t="s">
        <v>284</v>
      </c>
      <c r="E155" s="126" t="s">
        <v>1818</v>
      </c>
      <c r="F155" s="127" t="s">
        <v>1819</v>
      </c>
      <c r="G155" s="128" t="s">
        <v>344</v>
      </c>
      <c r="H155" s="129">
        <v>19.600000000000001</v>
      </c>
      <c r="I155" s="130">
        <v>64.561174834479445</v>
      </c>
      <c r="J155" s="131">
        <f>ROUND(I155*H155,2)</f>
        <v>1265.4000000000001</v>
      </c>
      <c r="K155" s="127" t="s">
        <v>293</v>
      </c>
      <c r="L155" s="268">
        <f>S155</f>
        <v>0</v>
      </c>
      <c r="M155" s="272">
        <f>ROUND(L155*I155,2)</f>
        <v>0</v>
      </c>
      <c r="N155" s="243"/>
      <c r="O155" s="294">
        <f>ROUND(N155*I155,2)</f>
        <v>0</v>
      </c>
      <c r="P155" s="273">
        <f>H155-L155-N155</f>
        <v>19.600000000000001</v>
      </c>
      <c r="Q155" s="287">
        <f>ROUND(P155*I155,2)</f>
        <v>1265.4000000000001</v>
      </c>
      <c r="R155" s="137"/>
      <c r="S155" s="269">
        <f>W155+Y155+AA155+AC155+AE155+AG155+AI155</f>
        <v>0</v>
      </c>
      <c r="T155" s="269">
        <f>ROUND(S155*I155,2)</f>
        <v>0</v>
      </c>
      <c r="U155" s="269">
        <f>H155-S155</f>
        <v>19.600000000000001</v>
      </c>
      <c r="V155" s="269">
        <f>ROUND(U155*I155,2)</f>
        <v>1265.4000000000001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DF155" s="132" t="s">
        <v>1</v>
      </c>
      <c r="DG155" s="133" t="s">
        <v>40</v>
      </c>
      <c r="DI155" s="134">
        <f>DH155*H155</f>
        <v>0</v>
      </c>
      <c r="DJ155" s="134">
        <v>1.4999999999999999E-4</v>
      </c>
      <c r="DK155" s="134">
        <f>DJ155*H155</f>
        <v>2.9399999999999999E-3</v>
      </c>
      <c r="DL155" s="134">
        <v>0</v>
      </c>
      <c r="DM155" s="135">
        <f>DL155*H155</f>
        <v>0</v>
      </c>
      <c r="EK155" s="136" t="s">
        <v>95</v>
      </c>
      <c r="EM155" s="136" t="s">
        <v>284</v>
      </c>
      <c r="EN155" s="136" t="s">
        <v>83</v>
      </c>
      <c r="ER155" s="16" t="s">
        <v>282</v>
      </c>
      <c r="EX155" s="137">
        <f>IF(DG155="základní",J155,0)</f>
        <v>1265.4000000000001</v>
      </c>
      <c r="EY155" s="137">
        <f>IF(DG155="snížená",J155,0)</f>
        <v>0</v>
      </c>
      <c r="EZ155" s="137">
        <f>IF(DG155="zákl. přenesená",J155,0)</f>
        <v>0</v>
      </c>
      <c r="FA155" s="137">
        <f>IF(DG155="sníž. přenesená",J155,0)</f>
        <v>0</v>
      </c>
      <c r="FB155" s="137">
        <f>IF(DG155="nulová",J155,0)</f>
        <v>0</v>
      </c>
      <c r="FC155" s="16" t="s">
        <v>81</v>
      </c>
      <c r="FD155" s="137">
        <f>ROUND(I155*H155,2)</f>
        <v>1265.4000000000001</v>
      </c>
      <c r="FE155" s="16" t="s">
        <v>95</v>
      </c>
      <c r="FF155" s="136" t="s">
        <v>1820</v>
      </c>
    </row>
    <row r="156" spans="2:162" s="1" customFormat="1" ht="29.25" x14ac:dyDescent="0.2">
      <c r="B156" s="31"/>
      <c r="D156" s="138" t="s">
        <v>289</v>
      </c>
      <c r="F156" s="139" t="s">
        <v>1821</v>
      </c>
      <c r="I156" s="140"/>
      <c r="L156" s="31"/>
      <c r="N156" s="213"/>
      <c r="O156" s="214"/>
      <c r="Q156" s="229"/>
      <c r="DF156" s="141"/>
      <c r="DM156" s="50"/>
      <c r="EM156" s="16" t="s">
        <v>289</v>
      </c>
      <c r="EN156" s="16" t="s">
        <v>83</v>
      </c>
    </row>
    <row r="157" spans="2:162" s="1" customFormat="1" ht="19.5" x14ac:dyDescent="0.2">
      <c r="B157" s="31"/>
      <c r="D157" s="138" t="s">
        <v>299</v>
      </c>
      <c r="F157" s="142" t="s">
        <v>1795</v>
      </c>
      <c r="I157" s="140"/>
      <c r="L157" s="31"/>
      <c r="N157" s="213"/>
      <c r="O157" s="214"/>
      <c r="Q157" s="229"/>
      <c r="DF157" s="141"/>
      <c r="DM157" s="50"/>
      <c r="EM157" s="16" t="s">
        <v>299</v>
      </c>
      <c r="EN157" s="16" t="s">
        <v>83</v>
      </c>
    </row>
    <row r="158" spans="2:162" s="12" customFormat="1" x14ac:dyDescent="0.2">
      <c r="B158" s="149"/>
      <c r="D158" s="138" t="s">
        <v>301</v>
      </c>
      <c r="E158" s="150" t="s">
        <v>1</v>
      </c>
      <c r="F158" s="151" t="s">
        <v>1822</v>
      </c>
      <c r="H158" s="152">
        <v>19.600000000000001</v>
      </c>
      <c r="I158" s="153"/>
      <c r="L158" s="149"/>
      <c r="N158" s="217"/>
      <c r="O158" s="218"/>
      <c r="Q158" s="231"/>
      <c r="DF158" s="154"/>
      <c r="DM158" s="155"/>
      <c r="EM158" s="150" t="s">
        <v>301</v>
      </c>
      <c r="EN158" s="150" t="s">
        <v>83</v>
      </c>
      <c r="EO158" s="12" t="s">
        <v>83</v>
      </c>
      <c r="EP158" s="12" t="s">
        <v>32</v>
      </c>
      <c r="EQ158" s="12" t="s">
        <v>81</v>
      </c>
      <c r="ER158" s="150" t="s">
        <v>282</v>
      </c>
    </row>
    <row r="159" spans="2:162" s="1" customFormat="1" ht="24.2" customHeight="1" x14ac:dyDescent="0.2">
      <c r="B159" s="124"/>
      <c r="C159" s="125" t="s">
        <v>341</v>
      </c>
      <c r="D159" s="125" t="s">
        <v>284</v>
      </c>
      <c r="E159" s="126" t="s">
        <v>1823</v>
      </c>
      <c r="F159" s="127" t="s">
        <v>1824</v>
      </c>
      <c r="G159" s="128" t="s">
        <v>344</v>
      </c>
      <c r="H159" s="129">
        <v>19.600000000000001</v>
      </c>
      <c r="I159" s="130">
        <v>39.716875079109904</v>
      </c>
      <c r="J159" s="131">
        <f>ROUND(I159*H159,2)</f>
        <v>778.45</v>
      </c>
      <c r="K159" s="127" t="s">
        <v>293</v>
      </c>
      <c r="L159" s="268">
        <f>S159</f>
        <v>0</v>
      </c>
      <c r="M159" s="272">
        <f>ROUND(L159*I159,2)</f>
        <v>0</v>
      </c>
      <c r="N159" s="243"/>
      <c r="O159" s="294">
        <f>ROUND(N159*I159,2)</f>
        <v>0</v>
      </c>
      <c r="P159" s="273">
        <f>H159-L159-N159</f>
        <v>19.600000000000001</v>
      </c>
      <c r="Q159" s="287">
        <f>ROUND(P159*I159,2)</f>
        <v>778.45</v>
      </c>
      <c r="R159" s="137"/>
      <c r="S159" s="269">
        <f>W159+Y159+AA159+AC159+AE159+AG159+AI159</f>
        <v>0</v>
      </c>
      <c r="T159" s="269">
        <f>ROUND(S159*I159,2)</f>
        <v>0</v>
      </c>
      <c r="U159" s="269">
        <f>H159-S159</f>
        <v>19.600000000000001</v>
      </c>
      <c r="V159" s="269">
        <f>ROUND(U159*I159,2)</f>
        <v>778.45</v>
      </c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DF159" s="132" t="s">
        <v>1</v>
      </c>
      <c r="DG159" s="133" t="s">
        <v>40</v>
      </c>
      <c r="DI159" s="134">
        <f>DH159*H159</f>
        <v>0</v>
      </c>
      <c r="DJ159" s="134">
        <v>0</v>
      </c>
      <c r="DK159" s="134">
        <f>DJ159*H159</f>
        <v>0</v>
      </c>
      <c r="DL159" s="134">
        <v>0</v>
      </c>
      <c r="DM159" s="135">
        <f>DL159*H159</f>
        <v>0</v>
      </c>
      <c r="EK159" s="136" t="s">
        <v>95</v>
      </c>
      <c r="EM159" s="136" t="s">
        <v>284</v>
      </c>
      <c r="EN159" s="136" t="s">
        <v>83</v>
      </c>
      <c r="ER159" s="16" t="s">
        <v>282</v>
      </c>
      <c r="EX159" s="137">
        <f>IF(DG159="základní",J159,0)</f>
        <v>778.45</v>
      </c>
      <c r="EY159" s="137">
        <f>IF(DG159="snížená",J159,0)</f>
        <v>0</v>
      </c>
      <c r="EZ159" s="137">
        <f>IF(DG159="zákl. přenesená",J159,0)</f>
        <v>0</v>
      </c>
      <c r="FA159" s="137">
        <f>IF(DG159="sníž. přenesená",J159,0)</f>
        <v>0</v>
      </c>
      <c r="FB159" s="137">
        <f>IF(DG159="nulová",J159,0)</f>
        <v>0</v>
      </c>
      <c r="FC159" s="16" t="s">
        <v>81</v>
      </c>
      <c r="FD159" s="137">
        <f>ROUND(I159*H159,2)</f>
        <v>778.45</v>
      </c>
      <c r="FE159" s="16" t="s">
        <v>95</v>
      </c>
      <c r="FF159" s="136" t="s">
        <v>1825</v>
      </c>
    </row>
    <row r="160" spans="2:162" s="1" customFormat="1" ht="29.25" x14ac:dyDescent="0.2">
      <c r="B160" s="31"/>
      <c r="D160" s="138" t="s">
        <v>289</v>
      </c>
      <c r="F160" s="139" t="s">
        <v>1826</v>
      </c>
      <c r="I160" s="140"/>
      <c r="L160" s="31"/>
      <c r="N160" s="213"/>
      <c r="O160" s="214"/>
      <c r="Q160" s="229"/>
      <c r="DF160" s="141"/>
      <c r="DM160" s="50"/>
      <c r="EM160" s="16" t="s">
        <v>289</v>
      </c>
      <c r="EN160" s="16" t="s">
        <v>83</v>
      </c>
    </row>
    <row r="161" spans="2:162" s="1" customFormat="1" ht="24.2" customHeight="1" x14ac:dyDescent="0.2">
      <c r="B161" s="124"/>
      <c r="C161" s="125" t="s">
        <v>348</v>
      </c>
      <c r="D161" s="125" t="s">
        <v>284</v>
      </c>
      <c r="E161" s="126" t="s">
        <v>1827</v>
      </c>
      <c r="F161" s="127" t="s">
        <v>1828</v>
      </c>
      <c r="G161" s="128" t="s">
        <v>344</v>
      </c>
      <c r="H161" s="129">
        <v>3.83</v>
      </c>
      <c r="I161" s="130">
        <v>162.37099591398675</v>
      </c>
      <c r="J161" s="131">
        <f>ROUND(I161*H161,2)</f>
        <v>621.88</v>
      </c>
      <c r="K161" s="127" t="s">
        <v>293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3.83</v>
      </c>
      <c r="Q161" s="287">
        <f>ROUND(P161*I161,2)</f>
        <v>621.88</v>
      </c>
      <c r="R161" s="137"/>
      <c r="S161" s="269">
        <f>W161+Y161+AA161+AC161+AE161+AG161+AI161</f>
        <v>0</v>
      </c>
      <c r="T161" s="269">
        <f>ROUND(S161*I161,2)</f>
        <v>0</v>
      </c>
      <c r="U161" s="269">
        <f>H161-S161</f>
        <v>3.83</v>
      </c>
      <c r="V161" s="269">
        <f>ROUND(U161*I161,2)</f>
        <v>621.88</v>
      </c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DF161" s="132" t="s">
        <v>1</v>
      </c>
      <c r="DG161" s="133" t="s">
        <v>40</v>
      </c>
      <c r="DI161" s="134">
        <f>DH161*H161</f>
        <v>0</v>
      </c>
      <c r="DJ161" s="134">
        <v>4.6999999999999999E-4</v>
      </c>
      <c r="DK161" s="134">
        <f>DJ161*H161</f>
        <v>1.8001E-3</v>
      </c>
      <c r="DL161" s="134">
        <v>0</v>
      </c>
      <c r="DM161" s="135">
        <f>DL161*H161</f>
        <v>0</v>
      </c>
      <c r="EK161" s="136" t="s">
        <v>95</v>
      </c>
      <c r="EM161" s="136" t="s">
        <v>284</v>
      </c>
      <c r="EN161" s="136" t="s">
        <v>83</v>
      </c>
      <c r="ER161" s="16" t="s">
        <v>282</v>
      </c>
      <c r="EX161" s="137">
        <f>IF(DG161="základní",J161,0)</f>
        <v>621.88</v>
      </c>
      <c r="EY161" s="137">
        <f>IF(DG161="snížená",J161,0)</f>
        <v>0</v>
      </c>
      <c r="EZ161" s="137">
        <f>IF(DG161="zákl. přenesená",J161,0)</f>
        <v>0</v>
      </c>
      <c r="FA161" s="137">
        <f>IF(DG161="sníž. přenesená",J161,0)</f>
        <v>0</v>
      </c>
      <c r="FB161" s="137">
        <f>IF(DG161="nulová",J161,0)</f>
        <v>0</v>
      </c>
      <c r="FC161" s="16" t="s">
        <v>81</v>
      </c>
      <c r="FD161" s="137">
        <f>ROUND(I161*H161,2)</f>
        <v>621.88</v>
      </c>
      <c r="FE161" s="16" t="s">
        <v>95</v>
      </c>
      <c r="FF161" s="136" t="s">
        <v>1829</v>
      </c>
    </row>
    <row r="162" spans="2:162" s="1" customFormat="1" ht="19.5" x14ac:dyDescent="0.2">
      <c r="B162" s="31"/>
      <c r="D162" s="138" t="s">
        <v>289</v>
      </c>
      <c r="F162" s="139" t="s">
        <v>1830</v>
      </c>
      <c r="I162" s="140"/>
      <c r="L162" s="31"/>
      <c r="N162" s="213"/>
      <c r="O162" s="214"/>
      <c r="Q162" s="229"/>
      <c r="DF162" s="141"/>
      <c r="DM162" s="50"/>
      <c r="EM162" s="16" t="s">
        <v>289</v>
      </c>
      <c r="EN162" s="16" t="s">
        <v>83</v>
      </c>
    </row>
    <row r="163" spans="2:162" s="1" customFormat="1" ht="19.5" x14ac:dyDescent="0.2">
      <c r="B163" s="31"/>
      <c r="D163" s="138" t="s">
        <v>299</v>
      </c>
      <c r="F163" s="142" t="s">
        <v>1795</v>
      </c>
      <c r="I163" s="140"/>
      <c r="L163" s="31"/>
      <c r="N163" s="213"/>
      <c r="O163" s="214"/>
      <c r="Q163" s="229"/>
      <c r="DF163" s="141"/>
      <c r="DM163" s="50"/>
      <c r="EM163" s="16" t="s">
        <v>299</v>
      </c>
      <c r="EN163" s="16" t="s">
        <v>83</v>
      </c>
    </row>
    <row r="164" spans="2:162" s="12" customFormat="1" x14ac:dyDescent="0.2">
      <c r="B164" s="149"/>
      <c r="D164" s="138" t="s">
        <v>301</v>
      </c>
      <c r="E164" s="150" t="s">
        <v>1</v>
      </c>
      <c r="F164" s="151" t="s">
        <v>1831</v>
      </c>
      <c r="H164" s="152">
        <v>3.83</v>
      </c>
      <c r="I164" s="153"/>
      <c r="L164" s="149"/>
      <c r="N164" s="217"/>
      <c r="O164" s="218"/>
      <c r="Q164" s="231"/>
      <c r="DF164" s="154"/>
      <c r="DM164" s="155"/>
      <c r="EM164" s="150" t="s">
        <v>301</v>
      </c>
      <c r="EN164" s="150" t="s">
        <v>83</v>
      </c>
      <c r="EO164" s="12" t="s">
        <v>83</v>
      </c>
      <c r="EP164" s="12" t="s">
        <v>32</v>
      </c>
      <c r="EQ164" s="12" t="s">
        <v>81</v>
      </c>
      <c r="ER164" s="150" t="s">
        <v>282</v>
      </c>
    </row>
    <row r="165" spans="2:162" s="1" customFormat="1" ht="24.2" customHeight="1" x14ac:dyDescent="0.2">
      <c r="B165" s="124"/>
      <c r="C165" s="125" t="s">
        <v>327</v>
      </c>
      <c r="D165" s="125" t="s">
        <v>284</v>
      </c>
      <c r="E165" s="126" t="s">
        <v>1832</v>
      </c>
      <c r="F165" s="127" t="s">
        <v>1833</v>
      </c>
      <c r="G165" s="128" t="s">
        <v>344</v>
      </c>
      <c r="H165" s="129">
        <v>3.83</v>
      </c>
      <c r="I165" s="130">
        <v>47.324340004731368</v>
      </c>
      <c r="J165" s="131">
        <f>ROUND(I165*H165,2)</f>
        <v>181.25</v>
      </c>
      <c r="K165" s="127" t="s">
        <v>293</v>
      </c>
      <c r="L165" s="268">
        <f>S165</f>
        <v>0</v>
      </c>
      <c r="M165" s="272">
        <f>ROUND(L165*I165,2)</f>
        <v>0</v>
      </c>
      <c r="N165" s="243"/>
      <c r="O165" s="294">
        <f>ROUND(N165*I165,2)</f>
        <v>0</v>
      </c>
      <c r="P165" s="273">
        <f>H165-L165-N165</f>
        <v>3.83</v>
      </c>
      <c r="Q165" s="287">
        <f>ROUND(P165*I165,2)</f>
        <v>181.25</v>
      </c>
      <c r="R165" s="137"/>
      <c r="S165" s="269">
        <f>W165+Y165+AA165+AC165+AE165+AG165+AI165</f>
        <v>0</v>
      </c>
      <c r="T165" s="269">
        <f>ROUND(S165*I165,2)</f>
        <v>0</v>
      </c>
      <c r="U165" s="269">
        <f>H165-S165</f>
        <v>3.83</v>
      </c>
      <c r="V165" s="269">
        <f>ROUND(U165*I165,2)</f>
        <v>181.25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DF165" s="132" t="s">
        <v>1</v>
      </c>
      <c r="DG165" s="133" t="s">
        <v>40</v>
      </c>
      <c r="DI165" s="134">
        <f>DH165*H165</f>
        <v>0</v>
      </c>
      <c r="DJ165" s="134">
        <v>0</v>
      </c>
      <c r="DK165" s="134">
        <f>DJ165*H165</f>
        <v>0</v>
      </c>
      <c r="DL165" s="134">
        <v>0</v>
      </c>
      <c r="DM165" s="135">
        <f>DL165*H165</f>
        <v>0</v>
      </c>
      <c r="EK165" s="136" t="s">
        <v>95</v>
      </c>
      <c r="EM165" s="136" t="s">
        <v>284</v>
      </c>
      <c r="EN165" s="136" t="s">
        <v>83</v>
      </c>
      <c r="ER165" s="16" t="s">
        <v>282</v>
      </c>
      <c r="EX165" s="137">
        <f>IF(DG165="základní",J165,0)</f>
        <v>181.25</v>
      </c>
      <c r="EY165" s="137">
        <f>IF(DG165="snížená",J165,0)</f>
        <v>0</v>
      </c>
      <c r="EZ165" s="137">
        <f>IF(DG165="zákl. přenesená",J165,0)</f>
        <v>0</v>
      </c>
      <c r="FA165" s="137">
        <f>IF(DG165="sníž. přenesená",J165,0)</f>
        <v>0</v>
      </c>
      <c r="FB165" s="137">
        <f>IF(DG165="nulová",J165,0)</f>
        <v>0</v>
      </c>
      <c r="FC165" s="16" t="s">
        <v>81</v>
      </c>
      <c r="FD165" s="137">
        <f>ROUND(I165*H165,2)</f>
        <v>181.25</v>
      </c>
      <c r="FE165" s="16" t="s">
        <v>95</v>
      </c>
      <c r="FF165" s="136" t="s">
        <v>1834</v>
      </c>
    </row>
    <row r="166" spans="2:162" s="1" customFormat="1" ht="19.5" x14ac:dyDescent="0.2">
      <c r="B166" s="31"/>
      <c r="D166" s="138" t="s">
        <v>289</v>
      </c>
      <c r="F166" s="139" t="s">
        <v>1835</v>
      </c>
      <c r="I166" s="140"/>
      <c r="L166" s="31"/>
      <c r="N166" s="213"/>
      <c r="O166" s="214"/>
      <c r="Q166" s="229"/>
      <c r="DF166" s="141"/>
      <c r="DM166" s="50"/>
      <c r="EM166" s="16" t="s">
        <v>289</v>
      </c>
      <c r="EN166" s="16" t="s">
        <v>83</v>
      </c>
    </row>
    <row r="167" spans="2:162" s="1" customFormat="1" ht="24.2" customHeight="1" x14ac:dyDescent="0.2">
      <c r="B167" s="124"/>
      <c r="C167" s="125" t="s">
        <v>359</v>
      </c>
      <c r="D167" s="125" t="s">
        <v>284</v>
      </c>
      <c r="E167" s="126" t="s">
        <v>1836</v>
      </c>
      <c r="F167" s="127" t="s">
        <v>1837</v>
      </c>
      <c r="G167" s="128" t="s">
        <v>366</v>
      </c>
      <c r="H167" s="129">
        <v>40.576999999999998</v>
      </c>
      <c r="I167" s="130">
        <v>1176.19125848302</v>
      </c>
      <c r="J167" s="131">
        <f>ROUND(I167*H167,2)</f>
        <v>47726.31</v>
      </c>
      <c r="K167" s="127" t="s">
        <v>293</v>
      </c>
      <c r="L167" s="268">
        <f>S167</f>
        <v>0</v>
      </c>
      <c r="M167" s="272">
        <f>ROUND(L167*I167,2)</f>
        <v>0</v>
      </c>
      <c r="N167" s="243"/>
      <c r="O167" s="294">
        <f>ROUND(N167*I167,2)</f>
        <v>0</v>
      </c>
      <c r="P167" s="273">
        <f>H167-L167-N167</f>
        <v>40.576999999999998</v>
      </c>
      <c r="Q167" s="287">
        <f>ROUND(P167*I167,2)</f>
        <v>47726.31</v>
      </c>
      <c r="R167" s="137"/>
      <c r="S167" s="269">
        <f>W167+Y167+AA167+AC167+AE167+AG167+AI167</f>
        <v>0</v>
      </c>
      <c r="T167" s="269">
        <f>ROUND(S167*I167,2)</f>
        <v>0</v>
      </c>
      <c r="U167" s="269">
        <f>H167-S167</f>
        <v>40.576999999999998</v>
      </c>
      <c r="V167" s="269">
        <f>ROUND(U167*I167,2)</f>
        <v>47726.31</v>
      </c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DF167" s="132" t="s">
        <v>1</v>
      </c>
      <c r="DG167" s="133" t="s">
        <v>40</v>
      </c>
      <c r="DI167" s="134">
        <f>DH167*H167</f>
        <v>0</v>
      </c>
      <c r="DJ167" s="134">
        <v>0</v>
      </c>
      <c r="DK167" s="134">
        <f>DJ167*H167</f>
        <v>0</v>
      </c>
      <c r="DL167" s="134">
        <v>0</v>
      </c>
      <c r="DM167" s="135">
        <f>DL167*H167</f>
        <v>0</v>
      </c>
      <c r="EK167" s="136" t="s">
        <v>95</v>
      </c>
      <c r="EM167" s="136" t="s">
        <v>284</v>
      </c>
      <c r="EN167" s="136" t="s">
        <v>83</v>
      </c>
      <c r="ER167" s="16" t="s">
        <v>282</v>
      </c>
      <c r="EX167" s="137">
        <f>IF(DG167="základní",J167,0)</f>
        <v>47726.31</v>
      </c>
      <c r="EY167" s="137">
        <f>IF(DG167="snížená",J167,0)</f>
        <v>0</v>
      </c>
      <c r="EZ167" s="137">
        <f>IF(DG167="zákl. přenesená",J167,0)</f>
        <v>0</v>
      </c>
      <c r="FA167" s="137">
        <f>IF(DG167="sníž. přenesená",J167,0)</f>
        <v>0</v>
      </c>
      <c r="FB167" s="137">
        <f>IF(DG167="nulová",J167,0)</f>
        <v>0</v>
      </c>
      <c r="FC167" s="16" t="s">
        <v>81</v>
      </c>
      <c r="FD167" s="137">
        <f>ROUND(I167*H167,2)</f>
        <v>47726.31</v>
      </c>
      <c r="FE167" s="16" t="s">
        <v>95</v>
      </c>
      <c r="FF167" s="136" t="s">
        <v>1838</v>
      </c>
    </row>
    <row r="168" spans="2:162" s="1" customFormat="1" ht="29.25" x14ac:dyDescent="0.2">
      <c r="B168" s="31"/>
      <c r="D168" s="138" t="s">
        <v>289</v>
      </c>
      <c r="F168" s="139" t="s">
        <v>1839</v>
      </c>
      <c r="I168" s="140"/>
      <c r="L168" s="31"/>
      <c r="N168" s="213"/>
      <c r="O168" s="214"/>
      <c r="Q168" s="229"/>
      <c r="DF168" s="141"/>
      <c r="DM168" s="50"/>
      <c r="EM168" s="16" t="s">
        <v>289</v>
      </c>
      <c r="EN168" s="16" t="s">
        <v>83</v>
      </c>
    </row>
    <row r="169" spans="2:162" s="1" customFormat="1" ht="29.25" x14ac:dyDescent="0.2">
      <c r="B169" s="31"/>
      <c r="D169" s="138" t="s">
        <v>299</v>
      </c>
      <c r="F169" s="142" t="s">
        <v>1840</v>
      </c>
      <c r="I169" s="140"/>
      <c r="L169" s="31"/>
      <c r="N169" s="213"/>
      <c r="O169" s="214"/>
      <c r="Q169" s="229"/>
      <c r="DF169" s="141"/>
      <c r="DM169" s="50"/>
      <c r="EM169" s="16" t="s">
        <v>299</v>
      </c>
      <c r="EN169" s="16" t="s">
        <v>83</v>
      </c>
    </row>
    <row r="170" spans="2:162" s="11" customFormat="1" ht="22.5" x14ac:dyDescent="0.2">
      <c r="B170" s="143"/>
      <c r="D170" s="138" t="s">
        <v>301</v>
      </c>
      <c r="E170" s="144" t="s">
        <v>1</v>
      </c>
      <c r="F170" s="145" t="s">
        <v>370</v>
      </c>
      <c r="H170" s="144" t="s">
        <v>1</v>
      </c>
      <c r="I170" s="146"/>
      <c r="L170" s="143"/>
      <c r="N170" s="215"/>
      <c r="O170" s="216"/>
      <c r="Q170" s="230"/>
      <c r="DF170" s="147"/>
      <c r="DM170" s="148"/>
      <c r="EM170" s="144" t="s">
        <v>301</v>
      </c>
      <c r="EN170" s="144" t="s">
        <v>83</v>
      </c>
      <c r="EO170" s="11" t="s">
        <v>81</v>
      </c>
      <c r="EP170" s="11" t="s">
        <v>32</v>
      </c>
      <c r="EQ170" s="11" t="s">
        <v>74</v>
      </c>
      <c r="ER170" s="144" t="s">
        <v>282</v>
      </c>
    </row>
    <row r="171" spans="2:162" s="12" customFormat="1" x14ac:dyDescent="0.2">
      <c r="B171" s="149"/>
      <c r="D171" s="138" t="s">
        <v>301</v>
      </c>
      <c r="E171" s="150" t="s">
        <v>1</v>
      </c>
      <c r="F171" s="151" t="s">
        <v>1841</v>
      </c>
      <c r="H171" s="152">
        <v>81.153999999999996</v>
      </c>
      <c r="I171" s="153"/>
      <c r="L171" s="149"/>
      <c r="N171" s="217"/>
      <c r="O171" s="218"/>
      <c r="Q171" s="231"/>
      <c r="DF171" s="154"/>
      <c r="DM171" s="155"/>
      <c r="EM171" s="150" t="s">
        <v>301</v>
      </c>
      <c r="EN171" s="150" t="s">
        <v>83</v>
      </c>
      <c r="EO171" s="12" t="s">
        <v>83</v>
      </c>
      <c r="EP171" s="12" t="s">
        <v>32</v>
      </c>
      <c r="EQ171" s="12" t="s">
        <v>74</v>
      </c>
      <c r="ER171" s="150" t="s">
        <v>282</v>
      </c>
    </row>
    <row r="172" spans="2:162" s="14" customFormat="1" x14ac:dyDescent="0.2">
      <c r="B172" s="163"/>
      <c r="D172" s="138" t="s">
        <v>301</v>
      </c>
      <c r="E172" s="164" t="s">
        <v>1</v>
      </c>
      <c r="F172" s="165" t="s">
        <v>373</v>
      </c>
      <c r="H172" s="166">
        <v>81.153999999999996</v>
      </c>
      <c r="I172" s="167"/>
      <c r="L172" s="163"/>
      <c r="N172" s="221"/>
      <c r="O172" s="222"/>
      <c r="Q172" s="233"/>
      <c r="DF172" s="168"/>
      <c r="DM172" s="169"/>
      <c r="EM172" s="164" t="s">
        <v>301</v>
      </c>
      <c r="EN172" s="164" t="s">
        <v>83</v>
      </c>
      <c r="EO172" s="14" t="s">
        <v>90</v>
      </c>
      <c r="EP172" s="14" t="s">
        <v>32</v>
      </c>
      <c r="EQ172" s="14" t="s">
        <v>74</v>
      </c>
      <c r="ER172" s="164" t="s">
        <v>282</v>
      </c>
    </row>
    <row r="173" spans="2:162" s="12" customFormat="1" x14ac:dyDescent="0.2">
      <c r="B173" s="149"/>
      <c r="D173" s="138" t="s">
        <v>301</v>
      </c>
      <c r="E173" s="150" t="s">
        <v>1</v>
      </c>
      <c r="F173" s="151" t="s">
        <v>1842</v>
      </c>
      <c r="H173" s="152">
        <v>40.576999999999998</v>
      </c>
      <c r="I173" s="153"/>
      <c r="L173" s="149"/>
      <c r="N173" s="217"/>
      <c r="O173" s="218"/>
      <c r="Q173" s="231"/>
      <c r="DF173" s="154"/>
      <c r="DM173" s="155"/>
      <c r="EM173" s="150" t="s">
        <v>301</v>
      </c>
      <c r="EN173" s="150" t="s">
        <v>83</v>
      </c>
      <c r="EO173" s="12" t="s">
        <v>83</v>
      </c>
      <c r="EP173" s="12" t="s">
        <v>32</v>
      </c>
      <c r="EQ173" s="12" t="s">
        <v>81</v>
      </c>
      <c r="ER173" s="150" t="s">
        <v>282</v>
      </c>
    </row>
    <row r="174" spans="2:162" s="1" customFormat="1" ht="24.2" customHeight="1" x14ac:dyDescent="0.2">
      <c r="B174" s="124"/>
      <c r="C174" s="125" t="s">
        <v>363</v>
      </c>
      <c r="D174" s="125" t="s">
        <v>284</v>
      </c>
      <c r="E174" s="126" t="s">
        <v>1843</v>
      </c>
      <c r="F174" s="127" t="s">
        <v>1844</v>
      </c>
      <c r="G174" s="128" t="s">
        <v>366</v>
      </c>
      <c r="H174" s="129">
        <v>40.576999999999998</v>
      </c>
      <c r="I174" s="130">
        <v>1412.9317984290899</v>
      </c>
      <c r="J174" s="131">
        <f>ROUND(I174*H174,2)</f>
        <v>57332.53</v>
      </c>
      <c r="K174" s="127" t="s">
        <v>293</v>
      </c>
      <c r="L174" s="268">
        <f>S174</f>
        <v>0</v>
      </c>
      <c r="M174" s="272">
        <f>ROUND(L174*I174,2)</f>
        <v>0</v>
      </c>
      <c r="N174" s="243"/>
      <c r="O174" s="294">
        <f>ROUND(N174*I174,2)</f>
        <v>0</v>
      </c>
      <c r="P174" s="273">
        <f>H174-L174-N174</f>
        <v>40.576999999999998</v>
      </c>
      <c r="Q174" s="287">
        <f>ROUND(P174*I174,2)</f>
        <v>57332.53</v>
      </c>
      <c r="R174" s="137"/>
      <c r="S174" s="269">
        <f>W174+Y174+AA174+AC174+AE174+AG174+AI174</f>
        <v>0</v>
      </c>
      <c r="T174" s="269">
        <f>ROUND(S174*I174,2)</f>
        <v>0</v>
      </c>
      <c r="U174" s="269">
        <f>H174-S174</f>
        <v>40.576999999999998</v>
      </c>
      <c r="V174" s="269">
        <f>ROUND(U174*I174,2)</f>
        <v>57332.53</v>
      </c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DF174" s="132" t="s">
        <v>1</v>
      </c>
      <c r="DG174" s="133" t="s">
        <v>40</v>
      </c>
      <c r="DI174" s="134">
        <f>DH174*H174</f>
        <v>0</v>
      </c>
      <c r="DJ174" s="134">
        <v>0</v>
      </c>
      <c r="DK174" s="134">
        <f>DJ174*H174</f>
        <v>0</v>
      </c>
      <c r="DL174" s="134">
        <v>0</v>
      </c>
      <c r="DM174" s="135">
        <f>DL174*H174</f>
        <v>0</v>
      </c>
      <c r="EK174" s="136" t="s">
        <v>95</v>
      </c>
      <c r="EM174" s="136" t="s">
        <v>284</v>
      </c>
      <c r="EN174" s="136" t="s">
        <v>83</v>
      </c>
      <c r="ER174" s="16" t="s">
        <v>282</v>
      </c>
      <c r="EX174" s="137">
        <f>IF(DG174="základní",J174,0)</f>
        <v>57332.53</v>
      </c>
      <c r="EY174" s="137">
        <f>IF(DG174="snížená",J174,0)</f>
        <v>0</v>
      </c>
      <c r="EZ174" s="137">
        <f>IF(DG174="zákl. přenesená",J174,0)</f>
        <v>0</v>
      </c>
      <c r="FA174" s="137">
        <f>IF(DG174="sníž. přenesená",J174,0)</f>
        <v>0</v>
      </c>
      <c r="FB174" s="137">
        <f>IF(DG174="nulová",J174,0)</f>
        <v>0</v>
      </c>
      <c r="FC174" s="16" t="s">
        <v>81</v>
      </c>
      <c r="FD174" s="137">
        <f>ROUND(I174*H174,2)</f>
        <v>57332.53</v>
      </c>
      <c r="FE174" s="16" t="s">
        <v>95</v>
      </c>
      <c r="FF174" s="136" t="s">
        <v>1845</v>
      </c>
    </row>
    <row r="175" spans="2:162" s="1" customFormat="1" ht="29.25" x14ac:dyDescent="0.2">
      <c r="B175" s="31"/>
      <c r="D175" s="138" t="s">
        <v>289</v>
      </c>
      <c r="F175" s="139" t="s">
        <v>1846</v>
      </c>
      <c r="I175" s="140"/>
      <c r="L175" s="31"/>
      <c r="N175" s="213"/>
      <c r="O175" s="214"/>
      <c r="Q175" s="229"/>
      <c r="DF175" s="141"/>
      <c r="DM175" s="50"/>
      <c r="EM175" s="16" t="s">
        <v>289</v>
      </c>
      <c r="EN175" s="16" t="s">
        <v>83</v>
      </c>
    </row>
    <row r="176" spans="2:162" s="1" customFormat="1" ht="29.25" x14ac:dyDescent="0.2">
      <c r="B176" s="31"/>
      <c r="D176" s="138" t="s">
        <v>299</v>
      </c>
      <c r="F176" s="142" t="s">
        <v>1847</v>
      </c>
      <c r="I176" s="140"/>
      <c r="L176" s="31"/>
      <c r="N176" s="213"/>
      <c r="O176" s="214"/>
      <c r="Q176" s="229"/>
      <c r="DF176" s="141"/>
      <c r="DM176" s="50"/>
      <c r="EM176" s="16" t="s">
        <v>299</v>
      </c>
      <c r="EN176" s="16" t="s">
        <v>83</v>
      </c>
    </row>
    <row r="177" spans="2:162" s="1" customFormat="1" ht="14.45" customHeight="1" x14ac:dyDescent="0.2">
      <c r="B177" s="124"/>
      <c r="C177" s="125" t="s">
        <v>8</v>
      </c>
      <c r="D177" s="125" t="s">
        <v>284</v>
      </c>
      <c r="E177" s="126" t="s">
        <v>1848</v>
      </c>
      <c r="F177" s="127" t="s">
        <v>1849</v>
      </c>
      <c r="G177" s="128" t="s">
        <v>287</v>
      </c>
      <c r="H177" s="129">
        <v>75.067999999999998</v>
      </c>
      <c r="I177" s="130">
        <v>1000.41610079359</v>
      </c>
      <c r="J177" s="131">
        <f>ROUND(I177*H177,2)</f>
        <v>75099.240000000005</v>
      </c>
      <c r="K177" s="127" t="s">
        <v>293</v>
      </c>
      <c r="L177" s="268">
        <f>S177</f>
        <v>0</v>
      </c>
      <c r="M177" s="272">
        <f>ROUND(L177*I177,2)</f>
        <v>0</v>
      </c>
      <c r="N177" s="243"/>
      <c r="O177" s="294">
        <f>ROUND(N177*I177,2)</f>
        <v>0</v>
      </c>
      <c r="P177" s="273">
        <f>H177-L177-N177</f>
        <v>75.067999999999998</v>
      </c>
      <c r="Q177" s="287">
        <f>ROUND(P177*I177,2)</f>
        <v>75099.240000000005</v>
      </c>
      <c r="R177" s="137"/>
      <c r="S177" s="269">
        <f>W177+Y177+AA177+AC177+AE177+AG177+AI177</f>
        <v>0</v>
      </c>
      <c r="T177" s="269">
        <f>ROUND(S177*I177,2)</f>
        <v>0</v>
      </c>
      <c r="U177" s="269">
        <f>H177-S177</f>
        <v>75.067999999999998</v>
      </c>
      <c r="V177" s="269">
        <f>ROUND(U177*I177,2)</f>
        <v>75099.240000000005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DF177" s="132" t="s">
        <v>1</v>
      </c>
      <c r="DG177" s="133" t="s">
        <v>40</v>
      </c>
      <c r="DI177" s="134">
        <f>DH177*H177</f>
        <v>0</v>
      </c>
      <c r="DJ177" s="134">
        <v>4.4400000000000004E-3</v>
      </c>
      <c r="DK177" s="134">
        <f>DJ177*H177</f>
        <v>0.33330192000000003</v>
      </c>
      <c r="DL177" s="134">
        <v>0</v>
      </c>
      <c r="DM177" s="135">
        <f>DL177*H177</f>
        <v>0</v>
      </c>
      <c r="EK177" s="136" t="s">
        <v>95</v>
      </c>
      <c r="EM177" s="136" t="s">
        <v>284</v>
      </c>
      <c r="EN177" s="136" t="s">
        <v>83</v>
      </c>
      <c r="ER177" s="16" t="s">
        <v>282</v>
      </c>
      <c r="EX177" s="137">
        <f>IF(DG177="základní",J177,0)</f>
        <v>75099.240000000005</v>
      </c>
      <c r="EY177" s="137">
        <f>IF(DG177="snížená",J177,0)</f>
        <v>0</v>
      </c>
      <c r="EZ177" s="137">
        <f>IF(DG177="zákl. přenesená",J177,0)</f>
        <v>0</v>
      </c>
      <c r="FA177" s="137">
        <f>IF(DG177="sníž. přenesená",J177,0)</f>
        <v>0</v>
      </c>
      <c r="FB177" s="137">
        <f>IF(DG177="nulová",J177,0)</f>
        <v>0</v>
      </c>
      <c r="FC177" s="16" t="s">
        <v>81</v>
      </c>
      <c r="FD177" s="137">
        <f>ROUND(I177*H177,2)</f>
        <v>75099.240000000005</v>
      </c>
      <c r="FE177" s="16" t="s">
        <v>95</v>
      </c>
      <c r="FF177" s="136" t="s">
        <v>1850</v>
      </c>
    </row>
    <row r="178" spans="2:162" s="1" customFormat="1" ht="19.5" x14ac:dyDescent="0.2">
      <c r="B178" s="31"/>
      <c r="D178" s="138" t="s">
        <v>289</v>
      </c>
      <c r="F178" s="139" t="s">
        <v>1851</v>
      </c>
      <c r="I178" s="140"/>
      <c r="L178" s="31"/>
      <c r="N178" s="213"/>
      <c r="O178" s="214"/>
      <c r="Q178" s="229"/>
      <c r="DF178" s="141"/>
      <c r="DM178" s="50"/>
      <c r="EM178" s="16" t="s">
        <v>289</v>
      </c>
      <c r="EN178" s="16" t="s">
        <v>83</v>
      </c>
    </row>
    <row r="179" spans="2:162" s="1" customFormat="1" ht="19.5" x14ac:dyDescent="0.2">
      <c r="B179" s="31"/>
      <c r="D179" s="138" t="s">
        <v>299</v>
      </c>
      <c r="F179" s="142" t="s">
        <v>1795</v>
      </c>
      <c r="I179" s="140"/>
      <c r="L179" s="31"/>
      <c r="N179" s="213"/>
      <c r="O179" s="214"/>
      <c r="Q179" s="229"/>
      <c r="DF179" s="141"/>
      <c r="DM179" s="50"/>
      <c r="EM179" s="16" t="s">
        <v>299</v>
      </c>
      <c r="EN179" s="16" t="s">
        <v>83</v>
      </c>
    </row>
    <row r="180" spans="2:162" s="12" customFormat="1" x14ac:dyDescent="0.2">
      <c r="B180" s="149"/>
      <c r="D180" s="138" t="s">
        <v>301</v>
      </c>
      <c r="E180" s="150" t="s">
        <v>1</v>
      </c>
      <c r="F180" s="151" t="s">
        <v>1852</v>
      </c>
      <c r="H180" s="152">
        <v>75.067999999999998</v>
      </c>
      <c r="I180" s="153"/>
      <c r="L180" s="149"/>
      <c r="N180" s="217"/>
      <c r="O180" s="218"/>
      <c r="Q180" s="231"/>
      <c r="DF180" s="154"/>
      <c r="DM180" s="155"/>
      <c r="EM180" s="150" t="s">
        <v>301</v>
      </c>
      <c r="EN180" s="150" t="s">
        <v>83</v>
      </c>
      <c r="EO180" s="12" t="s">
        <v>83</v>
      </c>
      <c r="EP180" s="12" t="s">
        <v>32</v>
      </c>
      <c r="EQ180" s="12" t="s">
        <v>81</v>
      </c>
      <c r="ER180" s="150" t="s">
        <v>282</v>
      </c>
    </row>
    <row r="181" spans="2:162" s="1" customFormat="1" ht="14.45" customHeight="1" x14ac:dyDescent="0.2">
      <c r="B181" s="124"/>
      <c r="C181" s="125" t="s">
        <v>379</v>
      </c>
      <c r="D181" s="125" t="s">
        <v>284</v>
      </c>
      <c r="E181" s="126" t="s">
        <v>1853</v>
      </c>
      <c r="F181" s="127" t="s">
        <v>1854</v>
      </c>
      <c r="G181" s="128" t="s">
        <v>287</v>
      </c>
      <c r="H181" s="129">
        <v>75.067999999999998</v>
      </c>
      <c r="I181" s="130">
        <v>176.46630360754</v>
      </c>
      <c r="J181" s="131">
        <f>ROUND(I181*H181,2)</f>
        <v>13246.97</v>
      </c>
      <c r="K181" s="127" t="s">
        <v>293</v>
      </c>
      <c r="L181" s="268">
        <f>S181</f>
        <v>0</v>
      </c>
      <c r="M181" s="272">
        <f>ROUND(L181*I181,2)</f>
        <v>0</v>
      </c>
      <c r="N181" s="243"/>
      <c r="O181" s="294">
        <f>ROUND(N181*I181,2)</f>
        <v>0</v>
      </c>
      <c r="P181" s="273">
        <f>H181-L181-N181</f>
        <v>75.067999999999998</v>
      </c>
      <c r="Q181" s="287">
        <f>ROUND(P181*I181,2)</f>
        <v>13246.97</v>
      </c>
      <c r="R181" s="137"/>
      <c r="S181" s="269">
        <f>W181+Y181+AA181+AC181+AE181+AG181+AI181</f>
        <v>0</v>
      </c>
      <c r="T181" s="269">
        <f>ROUND(S181*I181,2)</f>
        <v>0</v>
      </c>
      <c r="U181" s="269">
        <f>H181-S181</f>
        <v>75.067999999999998</v>
      </c>
      <c r="V181" s="269">
        <f>ROUND(U181*I181,2)</f>
        <v>13246.97</v>
      </c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DF181" s="132" t="s">
        <v>1</v>
      </c>
      <c r="DG181" s="133" t="s">
        <v>40</v>
      </c>
      <c r="DI181" s="134">
        <f>DH181*H181</f>
        <v>0</v>
      </c>
      <c r="DJ181" s="134">
        <v>0</v>
      </c>
      <c r="DK181" s="134">
        <f>DJ181*H181</f>
        <v>0</v>
      </c>
      <c r="DL181" s="134">
        <v>0</v>
      </c>
      <c r="DM181" s="135">
        <f>DL181*H181</f>
        <v>0</v>
      </c>
      <c r="EK181" s="136" t="s">
        <v>95</v>
      </c>
      <c r="EM181" s="136" t="s">
        <v>284</v>
      </c>
      <c r="EN181" s="136" t="s">
        <v>83</v>
      </c>
      <c r="ER181" s="16" t="s">
        <v>282</v>
      </c>
      <c r="EX181" s="137">
        <f>IF(DG181="základní",J181,0)</f>
        <v>13246.97</v>
      </c>
      <c r="EY181" s="137">
        <f>IF(DG181="snížená",J181,0)</f>
        <v>0</v>
      </c>
      <c r="EZ181" s="137">
        <f>IF(DG181="zákl. přenesená",J181,0)</f>
        <v>0</v>
      </c>
      <c r="FA181" s="137">
        <f>IF(DG181="sníž. přenesená",J181,0)</f>
        <v>0</v>
      </c>
      <c r="FB181" s="137">
        <f>IF(DG181="nulová",J181,0)</f>
        <v>0</v>
      </c>
      <c r="FC181" s="16" t="s">
        <v>81</v>
      </c>
      <c r="FD181" s="137">
        <f>ROUND(I181*H181,2)</f>
        <v>13246.97</v>
      </c>
      <c r="FE181" s="16" t="s">
        <v>95</v>
      </c>
      <c r="FF181" s="136" t="s">
        <v>1855</v>
      </c>
    </row>
    <row r="182" spans="2:162" s="1" customFormat="1" ht="29.25" x14ac:dyDescent="0.2">
      <c r="B182" s="31"/>
      <c r="D182" s="138" t="s">
        <v>289</v>
      </c>
      <c r="F182" s="139" t="s">
        <v>1856</v>
      </c>
      <c r="I182" s="140"/>
      <c r="L182" s="31"/>
      <c r="N182" s="213"/>
      <c r="O182" s="214"/>
      <c r="Q182" s="229"/>
      <c r="DF182" s="141"/>
      <c r="DM182" s="50"/>
      <c r="EM182" s="16" t="s">
        <v>289</v>
      </c>
      <c r="EN182" s="16" t="s">
        <v>83</v>
      </c>
    </row>
    <row r="183" spans="2:162" s="1" customFormat="1" ht="19.5" x14ac:dyDescent="0.2">
      <c r="B183" s="31"/>
      <c r="D183" s="138" t="s">
        <v>299</v>
      </c>
      <c r="F183" s="142" t="s">
        <v>317</v>
      </c>
      <c r="I183" s="140"/>
      <c r="L183" s="31"/>
      <c r="N183" s="213"/>
      <c r="O183" s="214"/>
      <c r="Q183" s="229"/>
      <c r="DF183" s="141"/>
      <c r="DM183" s="50"/>
      <c r="EM183" s="16" t="s">
        <v>299</v>
      </c>
      <c r="EN183" s="16" t="s">
        <v>83</v>
      </c>
    </row>
    <row r="184" spans="2:162" s="1" customFormat="1" ht="37.9" customHeight="1" x14ac:dyDescent="0.2">
      <c r="B184" s="124"/>
      <c r="C184" s="125" t="s">
        <v>386</v>
      </c>
      <c r="D184" s="125" t="s">
        <v>284</v>
      </c>
      <c r="E184" s="126" t="s">
        <v>398</v>
      </c>
      <c r="F184" s="127" t="s">
        <v>399</v>
      </c>
      <c r="G184" s="128" t="s">
        <v>366</v>
      </c>
      <c r="H184" s="129">
        <v>81.153999999999996</v>
      </c>
      <c r="I184" s="130">
        <v>282.06861194786097</v>
      </c>
      <c r="J184" s="131">
        <f>ROUND(I184*H184,2)</f>
        <v>22891</v>
      </c>
      <c r="K184" s="127" t="s">
        <v>293</v>
      </c>
      <c r="L184" s="268">
        <f>S184</f>
        <v>0</v>
      </c>
      <c r="M184" s="272">
        <f>ROUND(L184*I184,2)</f>
        <v>0</v>
      </c>
      <c r="N184" s="243"/>
      <c r="O184" s="294">
        <f>ROUND(N184*I184,2)</f>
        <v>0</v>
      </c>
      <c r="P184" s="273">
        <f>H184-L184-N184</f>
        <v>81.153999999999996</v>
      </c>
      <c r="Q184" s="287">
        <f>ROUND(P184*I184,2)</f>
        <v>22891</v>
      </c>
      <c r="R184" s="137"/>
      <c r="S184" s="269">
        <f>W184+Y184+AA184+AC184+AE184+AG184+AI184</f>
        <v>0</v>
      </c>
      <c r="T184" s="269">
        <f>ROUND(S184*I184,2)</f>
        <v>0</v>
      </c>
      <c r="U184" s="269">
        <f>H184-S184</f>
        <v>81.153999999999996</v>
      </c>
      <c r="V184" s="269">
        <f>ROUND(U184*I184,2)</f>
        <v>22891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DF184" s="132" t="s">
        <v>1</v>
      </c>
      <c r="DG184" s="133" t="s">
        <v>40</v>
      </c>
      <c r="DI184" s="134">
        <f>DH184*H184</f>
        <v>0</v>
      </c>
      <c r="DJ184" s="134">
        <v>0</v>
      </c>
      <c r="DK184" s="134">
        <f>DJ184*H184</f>
        <v>0</v>
      </c>
      <c r="DL184" s="134">
        <v>0</v>
      </c>
      <c r="DM184" s="135">
        <f>DL184*H184</f>
        <v>0</v>
      </c>
      <c r="EK184" s="136" t="s">
        <v>95</v>
      </c>
      <c r="EM184" s="136" t="s">
        <v>284</v>
      </c>
      <c r="EN184" s="136" t="s">
        <v>83</v>
      </c>
      <c r="ER184" s="16" t="s">
        <v>282</v>
      </c>
      <c r="EX184" s="137">
        <f>IF(DG184="základní",J184,0)</f>
        <v>22891</v>
      </c>
      <c r="EY184" s="137">
        <f>IF(DG184="snížená",J184,0)</f>
        <v>0</v>
      </c>
      <c r="EZ184" s="137">
        <f>IF(DG184="zákl. přenesená",J184,0)</f>
        <v>0</v>
      </c>
      <c r="FA184" s="137">
        <f>IF(DG184="sníž. přenesená",J184,0)</f>
        <v>0</v>
      </c>
      <c r="FB184" s="137">
        <f>IF(DG184="nulová",J184,0)</f>
        <v>0</v>
      </c>
      <c r="FC184" s="16" t="s">
        <v>81</v>
      </c>
      <c r="FD184" s="137">
        <f>ROUND(I184*H184,2)</f>
        <v>22891</v>
      </c>
      <c r="FE184" s="16" t="s">
        <v>95</v>
      </c>
      <c r="FF184" s="136" t="s">
        <v>1857</v>
      </c>
    </row>
    <row r="185" spans="2:162" s="1" customFormat="1" ht="39" x14ac:dyDescent="0.2">
      <c r="B185" s="31"/>
      <c r="D185" s="138" t="s">
        <v>289</v>
      </c>
      <c r="F185" s="139" t="s">
        <v>401</v>
      </c>
      <c r="I185" s="140"/>
      <c r="L185" s="31"/>
      <c r="N185" s="213"/>
      <c r="O185" s="214"/>
      <c r="Q185" s="229"/>
      <c r="DF185" s="141"/>
      <c r="DM185" s="50"/>
      <c r="EM185" s="16" t="s">
        <v>289</v>
      </c>
      <c r="EN185" s="16" t="s">
        <v>83</v>
      </c>
    </row>
    <row r="186" spans="2:162" s="11" customFormat="1" x14ac:dyDescent="0.2">
      <c r="B186" s="143"/>
      <c r="D186" s="138" t="s">
        <v>301</v>
      </c>
      <c r="E186" s="144" t="s">
        <v>1</v>
      </c>
      <c r="F186" s="145" t="s">
        <v>1858</v>
      </c>
      <c r="H186" s="144" t="s">
        <v>1</v>
      </c>
      <c r="I186" s="146"/>
      <c r="L186" s="143"/>
      <c r="N186" s="215"/>
      <c r="O186" s="216"/>
      <c r="Q186" s="230"/>
      <c r="DF186" s="147"/>
      <c r="DM186" s="148"/>
      <c r="EM186" s="144" t="s">
        <v>301</v>
      </c>
      <c r="EN186" s="144" t="s">
        <v>83</v>
      </c>
      <c r="EO186" s="11" t="s">
        <v>81</v>
      </c>
      <c r="EP186" s="11" t="s">
        <v>32</v>
      </c>
      <c r="EQ186" s="11" t="s">
        <v>74</v>
      </c>
      <c r="ER186" s="144" t="s">
        <v>282</v>
      </c>
    </row>
    <row r="187" spans="2:162" s="12" customFormat="1" x14ac:dyDescent="0.2">
      <c r="B187" s="149"/>
      <c r="D187" s="138" t="s">
        <v>301</v>
      </c>
      <c r="E187" s="150" t="s">
        <v>1</v>
      </c>
      <c r="F187" s="151" t="s">
        <v>1859</v>
      </c>
      <c r="H187" s="152">
        <v>81.153999999999996</v>
      </c>
      <c r="I187" s="153"/>
      <c r="L187" s="149"/>
      <c r="N187" s="217"/>
      <c r="O187" s="218"/>
      <c r="Q187" s="231"/>
      <c r="DF187" s="154"/>
      <c r="DM187" s="155"/>
      <c r="EM187" s="150" t="s">
        <v>301</v>
      </c>
      <c r="EN187" s="150" t="s">
        <v>83</v>
      </c>
      <c r="EO187" s="12" t="s">
        <v>83</v>
      </c>
      <c r="EP187" s="12" t="s">
        <v>32</v>
      </c>
      <c r="EQ187" s="12" t="s">
        <v>81</v>
      </c>
      <c r="ER187" s="150" t="s">
        <v>282</v>
      </c>
    </row>
    <row r="188" spans="2:162" s="1" customFormat="1" ht="37.9" customHeight="1" x14ac:dyDescent="0.2">
      <c r="B188" s="124"/>
      <c r="C188" s="125" t="s">
        <v>392</v>
      </c>
      <c r="D188" s="125" t="s">
        <v>284</v>
      </c>
      <c r="E188" s="126" t="s">
        <v>405</v>
      </c>
      <c r="F188" s="127" t="s">
        <v>406</v>
      </c>
      <c r="G188" s="128" t="s">
        <v>366</v>
      </c>
      <c r="H188" s="129">
        <v>405.77</v>
      </c>
      <c r="I188" s="130">
        <v>3.4208109177592001</v>
      </c>
      <c r="J188" s="131">
        <f>ROUND(I188*H188,2)</f>
        <v>1388.06</v>
      </c>
      <c r="K188" s="127" t="s">
        <v>293</v>
      </c>
      <c r="L188" s="268">
        <f>S188</f>
        <v>0</v>
      </c>
      <c r="M188" s="272">
        <f>ROUND(L188*I188,2)</f>
        <v>0</v>
      </c>
      <c r="N188" s="243"/>
      <c r="O188" s="294">
        <f>ROUND(N188*I188,2)</f>
        <v>0</v>
      </c>
      <c r="P188" s="273">
        <f>H188-L188-N188</f>
        <v>405.77</v>
      </c>
      <c r="Q188" s="287">
        <f>ROUND(P188*I188,2)</f>
        <v>1388.06</v>
      </c>
      <c r="R188" s="137"/>
      <c r="S188" s="269">
        <f>W188+Y188+AA188+AC188+AE188+AG188+AI188</f>
        <v>0</v>
      </c>
      <c r="T188" s="269">
        <f>ROUND(S188*I188,2)</f>
        <v>0</v>
      </c>
      <c r="U188" s="269">
        <f>H188-S188</f>
        <v>405.77</v>
      </c>
      <c r="V188" s="269">
        <f>ROUND(U188*I188,2)</f>
        <v>1388.06</v>
      </c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DF188" s="132" t="s">
        <v>1</v>
      </c>
      <c r="DG188" s="133" t="s">
        <v>40</v>
      </c>
      <c r="DI188" s="134">
        <f>DH188*H188</f>
        <v>0</v>
      </c>
      <c r="DJ188" s="134">
        <v>0</v>
      </c>
      <c r="DK188" s="134">
        <f>DJ188*H188</f>
        <v>0</v>
      </c>
      <c r="DL188" s="134">
        <v>0</v>
      </c>
      <c r="DM188" s="135">
        <f>DL188*H188</f>
        <v>0</v>
      </c>
      <c r="EK188" s="136" t="s">
        <v>95</v>
      </c>
      <c r="EM188" s="136" t="s">
        <v>284</v>
      </c>
      <c r="EN188" s="136" t="s">
        <v>83</v>
      </c>
      <c r="ER188" s="16" t="s">
        <v>282</v>
      </c>
      <c r="EX188" s="137">
        <f>IF(DG188="základní",J188,0)</f>
        <v>1388.06</v>
      </c>
      <c r="EY188" s="137">
        <f>IF(DG188="snížená",J188,0)</f>
        <v>0</v>
      </c>
      <c r="EZ188" s="137">
        <f>IF(DG188="zákl. přenesená",J188,0)</f>
        <v>0</v>
      </c>
      <c r="FA188" s="137">
        <f>IF(DG188="sníž. přenesená",J188,0)</f>
        <v>0</v>
      </c>
      <c r="FB188" s="137">
        <f>IF(DG188="nulová",J188,0)</f>
        <v>0</v>
      </c>
      <c r="FC188" s="16" t="s">
        <v>81</v>
      </c>
      <c r="FD188" s="137">
        <f>ROUND(I188*H188,2)</f>
        <v>1388.06</v>
      </c>
      <c r="FE188" s="16" t="s">
        <v>95</v>
      </c>
      <c r="FF188" s="136" t="s">
        <v>1860</v>
      </c>
    </row>
    <row r="189" spans="2:162" s="1" customFormat="1" ht="48.75" x14ac:dyDescent="0.2">
      <c r="B189" s="31"/>
      <c r="D189" s="138" t="s">
        <v>289</v>
      </c>
      <c r="F189" s="139" t="s">
        <v>408</v>
      </c>
      <c r="I189" s="140"/>
      <c r="L189" s="31"/>
      <c r="N189" s="213"/>
      <c r="O189" s="214"/>
      <c r="Q189" s="229"/>
      <c r="DF189" s="141"/>
      <c r="DM189" s="50"/>
      <c r="EM189" s="16" t="s">
        <v>289</v>
      </c>
      <c r="EN189" s="16" t="s">
        <v>83</v>
      </c>
    </row>
    <row r="190" spans="2:162" s="12" customFormat="1" x14ac:dyDescent="0.2">
      <c r="B190" s="149"/>
      <c r="D190" s="138" t="s">
        <v>301</v>
      </c>
      <c r="F190" s="151" t="s">
        <v>1861</v>
      </c>
      <c r="H190" s="152">
        <v>405.77</v>
      </c>
      <c r="I190" s="153"/>
      <c r="L190" s="149"/>
      <c r="N190" s="217"/>
      <c r="O190" s="218"/>
      <c r="Q190" s="231"/>
      <c r="DF190" s="154"/>
      <c r="DM190" s="155"/>
      <c r="EM190" s="150" t="s">
        <v>301</v>
      </c>
      <c r="EN190" s="150" t="s">
        <v>83</v>
      </c>
      <c r="EO190" s="12" t="s">
        <v>83</v>
      </c>
      <c r="EP190" s="12" t="s">
        <v>3</v>
      </c>
      <c r="EQ190" s="12" t="s">
        <v>81</v>
      </c>
      <c r="ER190" s="150" t="s">
        <v>282</v>
      </c>
    </row>
    <row r="191" spans="2:162" s="1" customFormat="1" ht="24.2" customHeight="1" x14ac:dyDescent="0.2">
      <c r="B191" s="124"/>
      <c r="C191" s="125" t="s">
        <v>397</v>
      </c>
      <c r="D191" s="125" t="s">
        <v>284</v>
      </c>
      <c r="E191" s="126" t="s">
        <v>410</v>
      </c>
      <c r="F191" s="127" t="s">
        <v>411</v>
      </c>
      <c r="G191" s="128" t="s">
        <v>287</v>
      </c>
      <c r="H191" s="129">
        <v>24.01</v>
      </c>
      <c r="I191" s="130">
        <v>6.3644601414457247</v>
      </c>
      <c r="J191" s="131">
        <f>ROUND(I191*H191,2)</f>
        <v>152.81</v>
      </c>
      <c r="K191" s="127" t="s">
        <v>293</v>
      </c>
      <c r="L191" s="268">
        <f>S191</f>
        <v>0</v>
      </c>
      <c r="M191" s="272">
        <f>ROUND(L191*I191,2)</f>
        <v>0</v>
      </c>
      <c r="N191" s="243"/>
      <c r="O191" s="294">
        <f>ROUND(N191*I191,2)</f>
        <v>0</v>
      </c>
      <c r="P191" s="273">
        <f>H191-L191-N191</f>
        <v>24.01</v>
      </c>
      <c r="Q191" s="287">
        <f>ROUND(P191*I191,2)</f>
        <v>152.81</v>
      </c>
      <c r="R191" s="137"/>
      <c r="S191" s="269">
        <f>W191+Y191+AA191+AC191+AE191+AG191+AI191</f>
        <v>0</v>
      </c>
      <c r="T191" s="269">
        <f>ROUND(S191*I191,2)</f>
        <v>0</v>
      </c>
      <c r="U191" s="269">
        <f>H191-S191</f>
        <v>24.01</v>
      </c>
      <c r="V191" s="269">
        <f>ROUND(U191*I191,2)</f>
        <v>152.81</v>
      </c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DF191" s="132" t="s">
        <v>1</v>
      </c>
      <c r="DG191" s="133" t="s">
        <v>40</v>
      </c>
      <c r="DI191" s="134">
        <f>DH191*H191</f>
        <v>0</v>
      </c>
      <c r="DJ191" s="134">
        <v>0</v>
      </c>
      <c r="DK191" s="134">
        <f>DJ191*H191</f>
        <v>0</v>
      </c>
      <c r="DL191" s="134">
        <v>0</v>
      </c>
      <c r="DM191" s="135">
        <f>DL191*H191</f>
        <v>0</v>
      </c>
      <c r="EK191" s="136" t="s">
        <v>95</v>
      </c>
      <c r="EM191" s="136" t="s">
        <v>284</v>
      </c>
      <c r="EN191" s="136" t="s">
        <v>83</v>
      </c>
      <c r="ER191" s="16" t="s">
        <v>282</v>
      </c>
      <c r="EX191" s="137">
        <f>IF(DG191="základní",J191,0)</f>
        <v>152.81</v>
      </c>
      <c r="EY191" s="137">
        <f>IF(DG191="snížená",J191,0)</f>
        <v>0</v>
      </c>
      <c r="EZ191" s="137">
        <f>IF(DG191="zákl. přenesená",J191,0)</f>
        <v>0</v>
      </c>
      <c r="FA191" s="137">
        <f>IF(DG191="sníž. přenesená",J191,0)</f>
        <v>0</v>
      </c>
      <c r="FB191" s="137">
        <f>IF(DG191="nulová",J191,0)</f>
        <v>0</v>
      </c>
      <c r="FC191" s="16" t="s">
        <v>81</v>
      </c>
      <c r="FD191" s="137">
        <f>ROUND(I191*H191,2)</f>
        <v>152.81</v>
      </c>
      <c r="FE191" s="16" t="s">
        <v>95</v>
      </c>
      <c r="FF191" s="136" t="s">
        <v>1862</v>
      </c>
    </row>
    <row r="192" spans="2:162" s="1" customFormat="1" ht="19.5" x14ac:dyDescent="0.2">
      <c r="B192" s="31"/>
      <c r="D192" s="138" t="s">
        <v>289</v>
      </c>
      <c r="F192" s="139" t="s">
        <v>413</v>
      </c>
      <c r="I192" s="140"/>
      <c r="L192" s="31"/>
      <c r="N192" s="213"/>
      <c r="O192" s="214"/>
      <c r="Q192" s="229"/>
      <c r="DF192" s="141"/>
      <c r="DM192" s="50"/>
      <c r="EM192" s="16" t="s">
        <v>289</v>
      </c>
      <c r="EN192" s="16" t="s">
        <v>83</v>
      </c>
    </row>
    <row r="193" spans="2:162" s="1" customFormat="1" ht="19.5" x14ac:dyDescent="0.2">
      <c r="B193" s="31"/>
      <c r="D193" s="138" t="s">
        <v>299</v>
      </c>
      <c r="F193" s="142" t="s">
        <v>1795</v>
      </c>
      <c r="I193" s="140"/>
      <c r="L193" s="31"/>
      <c r="N193" s="213"/>
      <c r="O193" s="214"/>
      <c r="Q193" s="229"/>
      <c r="DF193" s="141"/>
      <c r="DM193" s="50"/>
      <c r="EM193" s="16" t="s">
        <v>299</v>
      </c>
      <c r="EN193" s="16" t="s">
        <v>83</v>
      </c>
    </row>
    <row r="194" spans="2:162" s="12" customFormat="1" x14ac:dyDescent="0.2">
      <c r="B194" s="149"/>
      <c r="D194" s="138" t="s">
        <v>301</v>
      </c>
      <c r="E194" s="150" t="s">
        <v>1</v>
      </c>
      <c r="F194" s="151" t="s">
        <v>1797</v>
      </c>
      <c r="H194" s="152">
        <v>24.01</v>
      </c>
      <c r="I194" s="153"/>
      <c r="L194" s="149"/>
      <c r="N194" s="217"/>
      <c r="O194" s="218"/>
      <c r="Q194" s="231"/>
      <c r="DF194" s="154"/>
      <c r="DM194" s="155"/>
      <c r="EM194" s="150" t="s">
        <v>301</v>
      </c>
      <c r="EN194" s="150" t="s">
        <v>83</v>
      </c>
      <c r="EO194" s="12" t="s">
        <v>83</v>
      </c>
      <c r="EP194" s="12" t="s">
        <v>32</v>
      </c>
      <c r="EQ194" s="12" t="s">
        <v>81</v>
      </c>
      <c r="ER194" s="150" t="s">
        <v>282</v>
      </c>
    </row>
    <row r="195" spans="2:162" s="1" customFormat="1" ht="24.2" customHeight="1" x14ac:dyDescent="0.2">
      <c r="B195" s="124"/>
      <c r="C195" s="125" t="s">
        <v>404</v>
      </c>
      <c r="D195" s="125" t="s">
        <v>284</v>
      </c>
      <c r="E195" s="126" t="s">
        <v>416</v>
      </c>
      <c r="F195" s="127" t="s">
        <v>417</v>
      </c>
      <c r="G195" s="128" t="s">
        <v>418</v>
      </c>
      <c r="H195" s="129">
        <v>146.077</v>
      </c>
      <c r="I195" s="130">
        <v>110.6455721</v>
      </c>
      <c r="J195" s="131">
        <f>ROUND(I195*H195,2)</f>
        <v>16162.77</v>
      </c>
      <c r="K195" s="127" t="s">
        <v>293</v>
      </c>
      <c r="L195" s="268">
        <f>S195</f>
        <v>0</v>
      </c>
      <c r="M195" s="272">
        <f>ROUND(L195*I195,2)</f>
        <v>0</v>
      </c>
      <c r="N195" s="243"/>
      <c r="O195" s="294">
        <f>ROUND(N195*I195,2)</f>
        <v>0</v>
      </c>
      <c r="P195" s="273">
        <f>H195-L195-N195</f>
        <v>146.077</v>
      </c>
      <c r="Q195" s="287">
        <f>ROUND(P195*I195,2)</f>
        <v>16162.77</v>
      </c>
      <c r="R195" s="137"/>
      <c r="S195" s="269">
        <f>W195+Y195+AA195+AC195+AE195+AG195+AI195</f>
        <v>0</v>
      </c>
      <c r="T195" s="269">
        <f>ROUND(S195*I195,2)</f>
        <v>0</v>
      </c>
      <c r="U195" s="269">
        <f>H195-S195</f>
        <v>146.077</v>
      </c>
      <c r="V195" s="269">
        <f>ROUND(U195*I195,2)</f>
        <v>16162.77</v>
      </c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DF195" s="132" t="s">
        <v>1</v>
      </c>
      <c r="DG195" s="133" t="s">
        <v>40</v>
      </c>
      <c r="DI195" s="134">
        <f>DH195*H195</f>
        <v>0</v>
      </c>
      <c r="DJ195" s="134">
        <v>0</v>
      </c>
      <c r="DK195" s="134">
        <f>DJ195*H195</f>
        <v>0</v>
      </c>
      <c r="DL195" s="134">
        <v>0</v>
      </c>
      <c r="DM195" s="135">
        <f>DL195*H195</f>
        <v>0</v>
      </c>
      <c r="EK195" s="136" t="s">
        <v>95</v>
      </c>
      <c r="EM195" s="136" t="s">
        <v>284</v>
      </c>
      <c r="EN195" s="136" t="s">
        <v>83</v>
      </c>
      <c r="ER195" s="16" t="s">
        <v>282</v>
      </c>
      <c r="EX195" s="137">
        <f>IF(DG195="základní",J195,0)</f>
        <v>16162.77</v>
      </c>
      <c r="EY195" s="137">
        <f>IF(DG195="snížená",J195,0)</f>
        <v>0</v>
      </c>
      <c r="EZ195" s="137">
        <f>IF(DG195="zákl. přenesená",J195,0)</f>
        <v>0</v>
      </c>
      <c r="FA195" s="137">
        <f>IF(DG195="sníž. přenesená",J195,0)</f>
        <v>0</v>
      </c>
      <c r="FB195" s="137">
        <f>IF(DG195="nulová",J195,0)</f>
        <v>0</v>
      </c>
      <c r="FC195" s="16" t="s">
        <v>81</v>
      </c>
      <c r="FD195" s="137">
        <f>ROUND(I195*H195,2)</f>
        <v>16162.77</v>
      </c>
      <c r="FE195" s="16" t="s">
        <v>95</v>
      </c>
      <c r="FF195" s="136" t="s">
        <v>1863</v>
      </c>
    </row>
    <row r="196" spans="2:162" s="1" customFormat="1" ht="29.25" x14ac:dyDescent="0.2">
      <c r="B196" s="31"/>
      <c r="D196" s="138" t="s">
        <v>289</v>
      </c>
      <c r="F196" s="139" t="s">
        <v>420</v>
      </c>
      <c r="I196" s="140"/>
      <c r="L196" s="31"/>
      <c r="N196" s="213"/>
      <c r="O196" s="214"/>
      <c r="Q196" s="229"/>
      <c r="DF196" s="141"/>
      <c r="DM196" s="50"/>
      <c r="EM196" s="16" t="s">
        <v>289</v>
      </c>
      <c r="EN196" s="16" t="s">
        <v>83</v>
      </c>
    </row>
    <row r="197" spans="2:162" s="12" customFormat="1" x14ac:dyDescent="0.2">
      <c r="B197" s="149"/>
      <c r="D197" s="138" t="s">
        <v>301</v>
      </c>
      <c r="F197" s="151" t="s">
        <v>1864</v>
      </c>
      <c r="H197" s="152">
        <v>146.077</v>
      </c>
      <c r="I197" s="153"/>
      <c r="L197" s="149"/>
      <c r="N197" s="217"/>
      <c r="O197" s="218"/>
      <c r="Q197" s="231"/>
      <c r="DF197" s="154"/>
      <c r="DM197" s="155"/>
      <c r="EM197" s="150" t="s">
        <v>301</v>
      </c>
      <c r="EN197" s="150" t="s">
        <v>83</v>
      </c>
      <c r="EO197" s="12" t="s">
        <v>83</v>
      </c>
      <c r="EP197" s="12" t="s">
        <v>3</v>
      </c>
      <c r="EQ197" s="12" t="s">
        <v>81</v>
      </c>
      <c r="ER197" s="150" t="s">
        <v>282</v>
      </c>
    </row>
    <row r="198" spans="2:162" s="1" customFormat="1" ht="24.2" customHeight="1" x14ac:dyDescent="0.2">
      <c r="B198" s="124"/>
      <c r="C198" s="125" t="s">
        <v>7</v>
      </c>
      <c r="D198" s="125" t="s">
        <v>284</v>
      </c>
      <c r="E198" s="126" t="s">
        <v>423</v>
      </c>
      <c r="F198" s="127" t="s">
        <v>424</v>
      </c>
      <c r="G198" s="128" t="s">
        <v>366</v>
      </c>
      <c r="H198" s="129">
        <v>61.473999999999997</v>
      </c>
      <c r="I198" s="130">
        <v>140.64048227116101</v>
      </c>
      <c r="J198" s="131">
        <f>ROUND(I198*H198,2)</f>
        <v>8645.73</v>
      </c>
      <c r="K198" s="127" t="s">
        <v>293</v>
      </c>
      <c r="L198" s="268">
        <f>S198</f>
        <v>0</v>
      </c>
      <c r="M198" s="272">
        <f>ROUND(L198*I198,2)</f>
        <v>0</v>
      </c>
      <c r="N198" s="243"/>
      <c r="O198" s="294">
        <f>ROUND(N198*I198,2)</f>
        <v>0</v>
      </c>
      <c r="P198" s="273">
        <f>H198-L198-N198</f>
        <v>61.473999999999997</v>
      </c>
      <c r="Q198" s="287">
        <f>ROUND(P198*I198,2)</f>
        <v>8645.73</v>
      </c>
      <c r="R198" s="137"/>
      <c r="S198" s="269">
        <f>W198+Y198+AA198+AC198+AE198+AG198+AI198</f>
        <v>0</v>
      </c>
      <c r="T198" s="269">
        <f>ROUND(S198*I198,2)</f>
        <v>0</v>
      </c>
      <c r="U198" s="269">
        <f>H198-S198</f>
        <v>61.473999999999997</v>
      </c>
      <c r="V198" s="269">
        <f>ROUND(U198*I198,2)</f>
        <v>8645.73</v>
      </c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DF198" s="132" t="s">
        <v>1</v>
      </c>
      <c r="DG198" s="133" t="s">
        <v>40</v>
      </c>
      <c r="DI198" s="134">
        <f>DH198*H198</f>
        <v>0</v>
      </c>
      <c r="DJ198" s="134">
        <v>0</v>
      </c>
      <c r="DK198" s="134">
        <f>DJ198*H198</f>
        <v>0</v>
      </c>
      <c r="DL198" s="134">
        <v>0</v>
      </c>
      <c r="DM198" s="135">
        <f>DL198*H198</f>
        <v>0</v>
      </c>
      <c r="EK198" s="136" t="s">
        <v>95</v>
      </c>
      <c r="EM198" s="136" t="s">
        <v>284</v>
      </c>
      <c r="EN198" s="136" t="s">
        <v>83</v>
      </c>
      <c r="ER198" s="16" t="s">
        <v>282</v>
      </c>
      <c r="EX198" s="137">
        <f>IF(DG198="základní",J198,0)</f>
        <v>8645.73</v>
      </c>
      <c r="EY198" s="137">
        <f>IF(DG198="snížená",J198,0)</f>
        <v>0</v>
      </c>
      <c r="EZ198" s="137">
        <f>IF(DG198="zákl. přenesená",J198,0)</f>
        <v>0</v>
      </c>
      <c r="FA198" s="137">
        <f>IF(DG198="sníž. přenesená",J198,0)</f>
        <v>0</v>
      </c>
      <c r="FB198" s="137">
        <f>IF(DG198="nulová",J198,0)</f>
        <v>0</v>
      </c>
      <c r="FC198" s="16" t="s">
        <v>81</v>
      </c>
      <c r="FD198" s="137">
        <f>ROUND(I198*H198,2)</f>
        <v>8645.73</v>
      </c>
      <c r="FE198" s="16" t="s">
        <v>95</v>
      </c>
      <c r="FF198" s="136" t="s">
        <v>1865</v>
      </c>
    </row>
    <row r="199" spans="2:162" s="1" customFormat="1" ht="29.25" x14ac:dyDescent="0.2">
      <c r="B199" s="31"/>
      <c r="D199" s="138" t="s">
        <v>289</v>
      </c>
      <c r="F199" s="139" t="s">
        <v>426</v>
      </c>
      <c r="I199" s="140"/>
      <c r="L199" s="31"/>
      <c r="N199" s="213"/>
      <c r="O199" s="214"/>
      <c r="Q199" s="229"/>
      <c r="DF199" s="141"/>
      <c r="DM199" s="50"/>
      <c r="EM199" s="16" t="s">
        <v>289</v>
      </c>
      <c r="EN199" s="16" t="s">
        <v>83</v>
      </c>
    </row>
    <row r="200" spans="2:162" s="11" customFormat="1" x14ac:dyDescent="0.2">
      <c r="B200" s="143"/>
      <c r="D200" s="138" t="s">
        <v>301</v>
      </c>
      <c r="E200" s="144" t="s">
        <v>1</v>
      </c>
      <c r="F200" s="145" t="s">
        <v>1866</v>
      </c>
      <c r="H200" s="144" t="s">
        <v>1</v>
      </c>
      <c r="I200" s="146"/>
      <c r="L200" s="143"/>
      <c r="N200" s="215"/>
      <c r="O200" s="216"/>
      <c r="Q200" s="230"/>
      <c r="DF200" s="147"/>
      <c r="DM200" s="148"/>
      <c r="EM200" s="144" t="s">
        <v>301</v>
      </c>
      <c r="EN200" s="144" t="s">
        <v>83</v>
      </c>
      <c r="EO200" s="11" t="s">
        <v>81</v>
      </c>
      <c r="EP200" s="11" t="s">
        <v>32</v>
      </c>
      <c r="EQ200" s="11" t="s">
        <v>74</v>
      </c>
      <c r="ER200" s="144" t="s">
        <v>282</v>
      </c>
    </row>
    <row r="201" spans="2:162" s="12" customFormat="1" x14ac:dyDescent="0.2">
      <c r="B201" s="149"/>
      <c r="D201" s="138" t="s">
        <v>301</v>
      </c>
      <c r="E201" s="150" t="s">
        <v>1</v>
      </c>
      <c r="F201" s="151" t="s">
        <v>1859</v>
      </c>
      <c r="H201" s="152">
        <v>81.153999999999996</v>
      </c>
      <c r="I201" s="153"/>
      <c r="L201" s="149"/>
      <c r="N201" s="217"/>
      <c r="O201" s="218"/>
      <c r="Q201" s="231"/>
      <c r="DF201" s="154"/>
      <c r="DM201" s="155"/>
      <c r="EM201" s="150" t="s">
        <v>301</v>
      </c>
      <c r="EN201" s="150" t="s">
        <v>83</v>
      </c>
      <c r="EO201" s="12" t="s">
        <v>83</v>
      </c>
      <c r="EP201" s="12" t="s">
        <v>32</v>
      </c>
      <c r="EQ201" s="12" t="s">
        <v>74</v>
      </c>
      <c r="ER201" s="150" t="s">
        <v>282</v>
      </c>
    </row>
    <row r="202" spans="2:162" s="11" customFormat="1" x14ac:dyDescent="0.2">
      <c r="B202" s="143"/>
      <c r="D202" s="138" t="s">
        <v>301</v>
      </c>
      <c r="E202" s="144" t="s">
        <v>1</v>
      </c>
      <c r="F202" s="145" t="s">
        <v>1867</v>
      </c>
      <c r="H202" s="144" t="s">
        <v>1</v>
      </c>
      <c r="I202" s="146"/>
      <c r="L202" s="143"/>
      <c r="N202" s="215"/>
      <c r="O202" s="216"/>
      <c r="Q202" s="230"/>
      <c r="DF202" s="147"/>
      <c r="DM202" s="148"/>
      <c r="EM202" s="144" t="s">
        <v>301</v>
      </c>
      <c r="EN202" s="144" t="s">
        <v>83</v>
      </c>
      <c r="EO202" s="11" t="s">
        <v>81</v>
      </c>
      <c r="EP202" s="11" t="s">
        <v>32</v>
      </c>
      <c r="EQ202" s="11" t="s">
        <v>74</v>
      </c>
      <c r="ER202" s="144" t="s">
        <v>282</v>
      </c>
    </row>
    <row r="203" spans="2:162" s="12" customFormat="1" x14ac:dyDescent="0.2">
      <c r="B203" s="149"/>
      <c r="D203" s="138" t="s">
        <v>301</v>
      </c>
      <c r="E203" s="150" t="s">
        <v>1</v>
      </c>
      <c r="F203" s="151" t="s">
        <v>1868</v>
      </c>
      <c r="H203" s="152">
        <v>-4.8019999999999996</v>
      </c>
      <c r="I203" s="153"/>
      <c r="L203" s="149"/>
      <c r="N203" s="217"/>
      <c r="O203" s="218"/>
      <c r="Q203" s="231"/>
      <c r="DF203" s="154"/>
      <c r="DM203" s="155"/>
      <c r="EM203" s="150" t="s">
        <v>301</v>
      </c>
      <c r="EN203" s="150" t="s">
        <v>83</v>
      </c>
      <c r="EO203" s="12" t="s">
        <v>83</v>
      </c>
      <c r="EP203" s="12" t="s">
        <v>32</v>
      </c>
      <c r="EQ203" s="12" t="s">
        <v>74</v>
      </c>
      <c r="ER203" s="150" t="s">
        <v>282</v>
      </c>
    </row>
    <row r="204" spans="2:162" s="11" customFormat="1" x14ac:dyDescent="0.2">
      <c r="B204" s="143"/>
      <c r="D204" s="138" t="s">
        <v>301</v>
      </c>
      <c r="E204" s="144" t="s">
        <v>1</v>
      </c>
      <c r="F204" s="145" t="s">
        <v>1869</v>
      </c>
      <c r="H204" s="144" t="s">
        <v>1</v>
      </c>
      <c r="I204" s="146"/>
      <c r="L204" s="143"/>
      <c r="N204" s="215"/>
      <c r="O204" s="216"/>
      <c r="Q204" s="230"/>
      <c r="DF204" s="147"/>
      <c r="DM204" s="148"/>
      <c r="EM204" s="144" t="s">
        <v>301</v>
      </c>
      <c r="EN204" s="144" t="s">
        <v>83</v>
      </c>
      <c r="EO204" s="11" t="s">
        <v>81</v>
      </c>
      <c r="EP204" s="11" t="s">
        <v>32</v>
      </c>
      <c r="EQ204" s="11" t="s">
        <v>74</v>
      </c>
      <c r="ER204" s="144" t="s">
        <v>282</v>
      </c>
    </row>
    <row r="205" spans="2:162" s="12" customFormat="1" x14ac:dyDescent="0.2">
      <c r="B205" s="149"/>
      <c r="D205" s="138" t="s">
        <v>301</v>
      </c>
      <c r="E205" s="150" t="s">
        <v>1</v>
      </c>
      <c r="F205" s="151" t="s">
        <v>1870</v>
      </c>
      <c r="H205" s="152">
        <v>-1.6930000000000001</v>
      </c>
      <c r="I205" s="153"/>
      <c r="L205" s="149"/>
      <c r="N205" s="217"/>
      <c r="O205" s="218"/>
      <c r="Q205" s="231"/>
      <c r="DF205" s="154"/>
      <c r="DM205" s="155"/>
      <c r="EM205" s="150" t="s">
        <v>301</v>
      </c>
      <c r="EN205" s="150" t="s">
        <v>83</v>
      </c>
      <c r="EO205" s="12" t="s">
        <v>83</v>
      </c>
      <c r="EP205" s="12" t="s">
        <v>32</v>
      </c>
      <c r="EQ205" s="12" t="s">
        <v>74</v>
      </c>
      <c r="ER205" s="150" t="s">
        <v>282</v>
      </c>
    </row>
    <row r="206" spans="2:162" s="11" customFormat="1" x14ac:dyDescent="0.2">
      <c r="B206" s="143"/>
      <c r="D206" s="138" t="s">
        <v>301</v>
      </c>
      <c r="E206" s="144" t="s">
        <v>1</v>
      </c>
      <c r="F206" s="145" t="s">
        <v>1871</v>
      </c>
      <c r="H206" s="144" t="s">
        <v>1</v>
      </c>
      <c r="I206" s="146"/>
      <c r="L206" s="143"/>
      <c r="N206" s="215"/>
      <c r="O206" s="216"/>
      <c r="Q206" s="230"/>
      <c r="DF206" s="147"/>
      <c r="DM206" s="148"/>
      <c r="EM206" s="144" t="s">
        <v>301</v>
      </c>
      <c r="EN206" s="144" t="s">
        <v>83</v>
      </c>
      <c r="EO206" s="11" t="s">
        <v>81</v>
      </c>
      <c r="EP206" s="11" t="s">
        <v>32</v>
      </c>
      <c r="EQ206" s="11" t="s">
        <v>74</v>
      </c>
      <c r="ER206" s="144" t="s">
        <v>282</v>
      </c>
    </row>
    <row r="207" spans="2:162" s="12" customFormat="1" x14ac:dyDescent="0.2">
      <c r="B207" s="149"/>
      <c r="D207" s="138" t="s">
        <v>301</v>
      </c>
      <c r="E207" s="150" t="s">
        <v>1</v>
      </c>
      <c r="F207" s="151" t="s">
        <v>1872</v>
      </c>
      <c r="H207" s="152">
        <v>-2.0880000000000001</v>
      </c>
      <c r="I207" s="153"/>
      <c r="L207" s="149"/>
      <c r="N207" s="217"/>
      <c r="O207" s="218"/>
      <c r="Q207" s="231"/>
      <c r="DF207" s="154"/>
      <c r="DM207" s="155"/>
      <c r="EM207" s="150" t="s">
        <v>301</v>
      </c>
      <c r="EN207" s="150" t="s">
        <v>83</v>
      </c>
      <c r="EO207" s="12" t="s">
        <v>83</v>
      </c>
      <c r="EP207" s="12" t="s">
        <v>32</v>
      </c>
      <c r="EQ207" s="12" t="s">
        <v>74</v>
      </c>
      <c r="ER207" s="150" t="s">
        <v>282</v>
      </c>
    </row>
    <row r="208" spans="2:162" s="12" customFormat="1" x14ac:dyDescent="0.2">
      <c r="B208" s="149"/>
      <c r="D208" s="138" t="s">
        <v>301</v>
      </c>
      <c r="E208" s="150" t="s">
        <v>1</v>
      </c>
      <c r="F208" s="151" t="s">
        <v>1873</v>
      </c>
      <c r="H208" s="152">
        <v>-11.097</v>
      </c>
      <c r="I208" s="153"/>
      <c r="L208" s="149"/>
      <c r="N208" s="217"/>
      <c r="O208" s="218"/>
      <c r="Q208" s="231"/>
      <c r="DF208" s="154"/>
      <c r="DM208" s="155"/>
      <c r="EM208" s="150" t="s">
        <v>301</v>
      </c>
      <c r="EN208" s="150" t="s">
        <v>83</v>
      </c>
      <c r="EO208" s="12" t="s">
        <v>83</v>
      </c>
      <c r="EP208" s="12" t="s">
        <v>32</v>
      </c>
      <c r="EQ208" s="12" t="s">
        <v>74</v>
      </c>
      <c r="ER208" s="150" t="s">
        <v>282</v>
      </c>
    </row>
    <row r="209" spans="2:162" s="13" customFormat="1" x14ac:dyDescent="0.2">
      <c r="B209" s="156"/>
      <c r="D209" s="138" t="s">
        <v>301</v>
      </c>
      <c r="E209" s="157" t="s">
        <v>1</v>
      </c>
      <c r="F209" s="158" t="s">
        <v>305</v>
      </c>
      <c r="H209" s="159">
        <v>61.474000000000011</v>
      </c>
      <c r="I209" s="160"/>
      <c r="L209" s="156"/>
      <c r="N209" s="219"/>
      <c r="O209" s="220"/>
      <c r="Q209" s="232"/>
      <c r="DF209" s="161"/>
      <c r="DM209" s="162"/>
      <c r="EM209" s="157" t="s">
        <v>301</v>
      </c>
      <c r="EN209" s="157" t="s">
        <v>83</v>
      </c>
      <c r="EO209" s="13" t="s">
        <v>95</v>
      </c>
      <c r="EP209" s="13" t="s">
        <v>32</v>
      </c>
      <c r="EQ209" s="13" t="s">
        <v>81</v>
      </c>
      <c r="ER209" s="157" t="s">
        <v>282</v>
      </c>
    </row>
    <row r="210" spans="2:162" s="1" customFormat="1" ht="14.45" customHeight="1" x14ac:dyDescent="0.2">
      <c r="B210" s="124"/>
      <c r="C210" s="170" t="s">
        <v>415</v>
      </c>
      <c r="D210" s="170" t="s">
        <v>439</v>
      </c>
      <c r="E210" s="171" t="s">
        <v>440</v>
      </c>
      <c r="F210" s="172" t="s">
        <v>441</v>
      </c>
      <c r="G210" s="173" t="s">
        <v>418</v>
      </c>
      <c r="H210" s="174">
        <v>122.94799999999999</v>
      </c>
      <c r="I210" s="175">
        <v>390.0974172</v>
      </c>
      <c r="J210" s="176">
        <f>ROUND(I210*H210,2)</f>
        <v>47961.7</v>
      </c>
      <c r="K210" s="172" t="s">
        <v>293</v>
      </c>
      <c r="L210" s="268">
        <f>S210</f>
        <v>0</v>
      </c>
      <c r="M210" s="272">
        <f>ROUND(L210*I210,2)</f>
        <v>0</v>
      </c>
      <c r="N210" s="243"/>
      <c r="O210" s="294">
        <f>ROUND(N210*I210,2)</f>
        <v>0</v>
      </c>
      <c r="P210" s="273">
        <f>H210-L210-N210</f>
        <v>122.94799999999999</v>
      </c>
      <c r="Q210" s="287">
        <f>ROUND(P210*I210,2)</f>
        <v>47961.7</v>
      </c>
      <c r="R210" s="137"/>
      <c r="S210" s="269">
        <f>W210+Y210+AA210+AC210+AE210+AG210+AI210</f>
        <v>0</v>
      </c>
      <c r="T210" s="269">
        <f>ROUND(S210*I210,2)</f>
        <v>0</v>
      </c>
      <c r="U210" s="269">
        <f>H210-S210</f>
        <v>122.94799999999999</v>
      </c>
      <c r="V210" s="269">
        <f>ROUND(U210*I210,2)</f>
        <v>47961.7</v>
      </c>
      <c r="W210" s="290"/>
      <c r="X210" s="290"/>
      <c r="Y210" s="290"/>
      <c r="Z210" s="290"/>
      <c r="AA210" s="290"/>
      <c r="AB210" s="290"/>
      <c r="AC210" s="290"/>
      <c r="AD210" s="290"/>
      <c r="AE210" s="290"/>
      <c r="AF210" s="290"/>
      <c r="AG210" s="290"/>
      <c r="AH210" s="290"/>
      <c r="AI210" s="290"/>
      <c r="AJ210" s="290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77" t="s">
        <v>1</v>
      </c>
      <c r="DG210" s="178" t="s">
        <v>40</v>
      </c>
      <c r="DI210" s="134">
        <f>DH210*H210</f>
        <v>0</v>
      </c>
      <c r="DJ210" s="134">
        <v>1</v>
      </c>
      <c r="DK210" s="134">
        <f>DJ210*H210</f>
        <v>122.94799999999999</v>
      </c>
      <c r="DL210" s="134">
        <v>0</v>
      </c>
      <c r="DM210" s="135">
        <f>DL210*H210</f>
        <v>0</v>
      </c>
      <c r="EK210" s="136" t="s">
        <v>328</v>
      </c>
      <c r="EM210" s="136" t="s">
        <v>439</v>
      </c>
      <c r="EN210" s="136" t="s">
        <v>83</v>
      </c>
      <c r="ER210" s="16" t="s">
        <v>282</v>
      </c>
      <c r="EX210" s="137">
        <f>IF(DG210="základní",J210,0)</f>
        <v>47961.7</v>
      </c>
      <c r="EY210" s="137">
        <f>IF(DG210="snížená",J210,0)</f>
        <v>0</v>
      </c>
      <c r="EZ210" s="137">
        <f>IF(DG210="zákl. přenesená",J210,0)</f>
        <v>0</v>
      </c>
      <c r="FA210" s="137">
        <f>IF(DG210="sníž. přenesená",J210,0)</f>
        <v>0</v>
      </c>
      <c r="FB210" s="137">
        <f>IF(DG210="nulová",J210,0)</f>
        <v>0</v>
      </c>
      <c r="FC210" s="16" t="s">
        <v>81</v>
      </c>
      <c r="FD210" s="137">
        <f>ROUND(I210*H210,2)</f>
        <v>47961.7</v>
      </c>
      <c r="FE210" s="16" t="s">
        <v>95</v>
      </c>
      <c r="FF210" s="136" t="s">
        <v>1874</v>
      </c>
    </row>
    <row r="211" spans="2:162" s="1" customFormat="1" x14ac:dyDescent="0.2">
      <c r="B211" s="31"/>
      <c r="D211" s="138" t="s">
        <v>289</v>
      </c>
      <c r="F211" s="139" t="s">
        <v>441</v>
      </c>
      <c r="I211" s="140"/>
      <c r="L211" s="31"/>
      <c r="N211" s="213"/>
      <c r="O211" s="214"/>
      <c r="Q211" s="229"/>
      <c r="DF211" s="141"/>
      <c r="DM211" s="50"/>
      <c r="EM211" s="16" t="s">
        <v>289</v>
      </c>
      <c r="EN211" s="16" t="s">
        <v>83</v>
      </c>
    </row>
    <row r="212" spans="2:162" s="1" customFormat="1" ht="19.5" x14ac:dyDescent="0.2">
      <c r="B212" s="31"/>
      <c r="D212" s="138" t="s">
        <v>299</v>
      </c>
      <c r="F212" s="142" t="s">
        <v>443</v>
      </c>
      <c r="I212" s="140"/>
      <c r="L212" s="31"/>
      <c r="N212" s="213"/>
      <c r="O212" s="214"/>
      <c r="Q212" s="229"/>
      <c r="DF212" s="141"/>
      <c r="DM212" s="50"/>
      <c r="EM212" s="16" t="s">
        <v>299</v>
      </c>
      <c r="EN212" s="16" t="s">
        <v>83</v>
      </c>
    </row>
    <row r="213" spans="2:162" s="12" customFormat="1" x14ac:dyDescent="0.2">
      <c r="B213" s="149"/>
      <c r="D213" s="138" t="s">
        <v>301</v>
      </c>
      <c r="F213" s="151" t="s">
        <v>1875</v>
      </c>
      <c r="H213" s="152">
        <v>122.94799999999999</v>
      </c>
      <c r="I213" s="153"/>
      <c r="L213" s="149"/>
      <c r="N213" s="217"/>
      <c r="O213" s="218"/>
      <c r="Q213" s="231"/>
      <c r="DF213" s="154"/>
      <c r="DM213" s="155"/>
      <c r="EM213" s="150" t="s">
        <v>301</v>
      </c>
      <c r="EN213" s="150" t="s">
        <v>83</v>
      </c>
      <c r="EO213" s="12" t="s">
        <v>83</v>
      </c>
      <c r="EP213" s="12" t="s">
        <v>3</v>
      </c>
      <c r="EQ213" s="12" t="s">
        <v>81</v>
      </c>
      <c r="ER213" s="150" t="s">
        <v>282</v>
      </c>
    </row>
    <row r="214" spans="2:162" s="1" customFormat="1" ht="24.2" customHeight="1" x14ac:dyDescent="0.2">
      <c r="B214" s="124"/>
      <c r="C214" s="125" t="s">
        <v>422</v>
      </c>
      <c r="D214" s="125" t="s">
        <v>284</v>
      </c>
      <c r="E214" s="126" t="s">
        <v>457</v>
      </c>
      <c r="F214" s="127" t="s">
        <v>458</v>
      </c>
      <c r="G214" s="128" t="s">
        <v>418</v>
      </c>
      <c r="H214" s="129">
        <v>122.94799999999999</v>
      </c>
      <c r="I214" s="130">
        <v>61.737071122597108</v>
      </c>
      <c r="J214" s="131">
        <f>ROUND(I214*H214,2)</f>
        <v>7590.45</v>
      </c>
      <c r="K214" s="127" t="s">
        <v>293</v>
      </c>
      <c r="L214" s="268">
        <f>S214</f>
        <v>0</v>
      </c>
      <c r="M214" s="272">
        <f>ROUND(L214*I214,2)</f>
        <v>0</v>
      </c>
      <c r="N214" s="243"/>
      <c r="O214" s="294">
        <f>ROUND(N214*I214,2)</f>
        <v>0</v>
      </c>
      <c r="P214" s="273">
        <f>H214-L214-N214</f>
        <v>122.94799999999999</v>
      </c>
      <c r="Q214" s="287">
        <f>ROUND(P214*I214,2)</f>
        <v>7590.45</v>
      </c>
      <c r="R214" s="137"/>
      <c r="S214" s="269">
        <f>W214+Y214+AA214+AC214+AE214+AG214+AI214</f>
        <v>0</v>
      </c>
      <c r="T214" s="269">
        <f>ROUND(S214*I214,2)</f>
        <v>0</v>
      </c>
      <c r="U214" s="269">
        <f>H214-S214</f>
        <v>122.94799999999999</v>
      </c>
      <c r="V214" s="269">
        <f>ROUND(U214*I214,2)</f>
        <v>7590.45</v>
      </c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DF214" s="132" t="s">
        <v>1</v>
      </c>
      <c r="DG214" s="133" t="s">
        <v>40</v>
      </c>
      <c r="DI214" s="134">
        <f>DH214*H214</f>
        <v>0</v>
      </c>
      <c r="DJ214" s="134">
        <v>0</v>
      </c>
      <c r="DK214" s="134">
        <f>DJ214*H214</f>
        <v>0</v>
      </c>
      <c r="DL214" s="134">
        <v>0</v>
      </c>
      <c r="DM214" s="135">
        <f>DL214*H214</f>
        <v>0</v>
      </c>
      <c r="EK214" s="136" t="s">
        <v>95</v>
      </c>
      <c r="EM214" s="136" t="s">
        <v>284</v>
      </c>
      <c r="EN214" s="136" t="s">
        <v>83</v>
      </c>
      <c r="ER214" s="16" t="s">
        <v>282</v>
      </c>
      <c r="EX214" s="137">
        <f>IF(DG214="základní",J214,0)</f>
        <v>7590.45</v>
      </c>
      <c r="EY214" s="137">
        <f>IF(DG214="snížená",J214,0)</f>
        <v>0</v>
      </c>
      <c r="EZ214" s="137">
        <f>IF(DG214="zákl. přenesená",J214,0)</f>
        <v>0</v>
      </c>
      <c r="FA214" s="137">
        <f>IF(DG214="sníž. přenesená",J214,0)</f>
        <v>0</v>
      </c>
      <c r="FB214" s="137">
        <f>IF(DG214="nulová",J214,0)</f>
        <v>0</v>
      </c>
      <c r="FC214" s="16" t="s">
        <v>81</v>
      </c>
      <c r="FD214" s="137">
        <f>ROUND(I214*H214,2)</f>
        <v>7590.45</v>
      </c>
      <c r="FE214" s="16" t="s">
        <v>95</v>
      </c>
      <c r="FF214" s="136" t="s">
        <v>1876</v>
      </c>
    </row>
    <row r="215" spans="2:162" s="1" customFormat="1" ht="29.25" x14ac:dyDescent="0.2">
      <c r="B215" s="31"/>
      <c r="D215" s="138" t="s">
        <v>289</v>
      </c>
      <c r="F215" s="139" t="s">
        <v>460</v>
      </c>
      <c r="I215" s="140"/>
      <c r="L215" s="31"/>
      <c r="N215" s="213"/>
      <c r="O215" s="214"/>
      <c r="Q215" s="229"/>
      <c r="DF215" s="141"/>
      <c r="DM215" s="50"/>
      <c r="EM215" s="16" t="s">
        <v>289</v>
      </c>
      <c r="EN215" s="16" t="s">
        <v>83</v>
      </c>
    </row>
    <row r="216" spans="2:162" s="12" customFormat="1" x14ac:dyDescent="0.2">
      <c r="B216" s="149"/>
      <c r="D216" s="138" t="s">
        <v>301</v>
      </c>
      <c r="E216" s="150" t="s">
        <v>1</v>
      </c>
      <c r="F216" s="151" t="s">
        <v>1877</v>
      </c>
      <c r="H216" s="152">
        <v>122.94799999999999</v>
      </c>
      <c r="I216" s="153"/>
      <c r="L216" s="149"/>
      <c r="N216" s="217"/>
      <c r="O216" s="218"/>
      <c r="Q216" s="231"/>
      <c r="DF216" s="154"/>
      <c r="DM216" s="155"/>
      <c r="EM216" s="150" t="s">
        <v>301</v>
      </c>
      <c r="EN216" s="150" t="s">
        <v>83</v>
      </c>
      <c r="EO216" s="12" t="s">
        <v>83</v>
      </c>
      <c r="EP216" s="12" t="s">
        <v>32</v>
      </c>
      <c r="EQ216" s="12" t="s">
        <v>81</v>
      </c>
      <c r="ER216" s="150" t="s">
        <v>282</v>
      </c>
    </row>
    <row r="217" spans="2:162" s="10" customFormat="1" ht="22.9" customHeight="1" x14ac:dyDescent="0.2">
      <c r="B217" s="112"/>
      <c r="D217" s="113" t="s">
        <v>73</v>
      </c>
      <c r="E217" s="122" t="s">
        <v>83</v>
      </c>
      <c r="F217" s="122" t="s">
        <v>462</v>
      </c>
      <c r="I217" s="115"/>
      <c r="J217" s="123">
        <f>FD217</f>
        <v>290929.53000000003</v>
      </c>
      <c r="L217" s="112"/>
      <c r="M217" s="270">
        <f>SUM(M218:M260)</f>
        <v>0</v>
      </c>
      <c r="N217" s="301"/>
      <c r="O217" s="302">
        <f t="shared" ref="O217:V217" si="3">SUM(O218:O260)</f>
        <v>0</v>
      </c>
      <c r="P217" s="270"/>
      <c r="Q217" s="288">
        <f t="shared" si="3"/>
        <v>290929.53000000003</v>
      </c>
      <c r="R217" s="270"/>
      <c r="S217" s="270"/>
      <c r="T217" s="270">
        <f t="shared" si="3"/>
        <v>0</v>
      </c>
      <c r="U217" s="270"/>
      <c r="V217" s="270">
        <f t="shared" si="3"/>
        <v>290929.53000000003</v>
      </c>
      <c r="DF217" s="117"/>
      <c r="DI217" s="118">
        <f>SUM(DI218:DI261)</f>
        <v>0</v>
      </c>
      <c r="DK217" s="118">
        <f>SUM(DK218:DK261)</f>
        <v>30.178130539999998</v>
      </c>
      <c r="DM217" s="119">
        <f>SUM(DM218:DM261)</f>
        <v>0</v>
      </c>
      <c r="EK217" s="113" t="s">
        <v>81</v>
      </c>
      <c r="EM217" s="120" t="s">
        <v>73</v>
      </c>
      <c r="EN217" s="120" t="s">
        <v>81</v>
      </c>
      <c r="ER217" s="113" t="s">
        <v>282</v>
      </c>
      <c r="FD217" s="121">
        <f>SUM(FD218:FD261)</f>
        <v>290929.53000000003</v>
      </c>
    </row>
    <row r="218" spans="2:162" s="1" customFormat="1" ht="37.9" customHeight="1" x14ac:dyDescent="0.2">
      <c r="B218" s="124"/>
      <c r="C218" s="125" t="s">
        <v>438</v>
      </c>
      <c r="D218" s="125" t="s">
        <v>284</v>
      </c>
      <c r="E218" s="126" t="s">
        <v>464</v>
      </c>
      <c r="F218" s="127" t="s">
        <v>465</v>
      </c>
      <c r="G218" s="128" t="s">
        <v>344</v>
      </c>
      <c r="H218" s="129">
        <v>19.600000000000001</v>
      </c>
      <c r="I218" s="130">
        <v>264.06831423630393</v>
      </c>
      <c r="J218" s="131">
        <f>ROUND(I218*H218,2)</f>
        <v>5175.74</v>
      </c>
      <c r="K218" s="127" t="s">
        <v>293</v>
      </c>
      <c r="L218" s="268">
        <f>S218</f>
        <v>0</v>
      </c>
      <c r="M218" s="272">
        <f>ROUND(L218*I218,2)</f>
        <v>0</v>
      </c>
      <c r="N218" s="243"/>
      <c r="O218" s="294">
        <f>ROUND(N218*I218,2)</f>
        <v>0</v>
      </c>
      <c r="P218" s="273">
        <f>H218-L218-N218</f>
        <v>19.600000000000001</v>
      </c>
      <c r="Q218" s="287">
        <f>ROUND(P218*I218,2)</f>
        <v>5175.74</v>
      </c>
      <c r="R218" s="137"/>
      <c r="S218" s="269">
        <f>W218+Y218+AA218+AC218+AE218+AG218+AI218</f>
        <v>0</v>
      </c>
      <c r="T218" s="269">
        <f>ROUND(S218*I218,2)</f>
        <v>0</v>
      </c>
      <c r="U218" s="269">
        <f>H218-S218</f>
        <v>19.600000000000001</v>
      </c>
      <c r="V218" s="269">
        <f>ROUND(U218*I218,2)</f>
        <v>5175.74</v>
      </c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DF218" s="132" t="s">
        <v>1</v>
      </c>
      <c r="DG218" s="133" t="s">
        <v>40</v>
      </c>
      <c r="DI218" s="134">
        <f>DH218*H218</f>
        <v>0</v>
      </c>
      <c r="DJ218" s="134">
        <v>0.20469000000000001</v>
      </c>
      <c r="DK218" s="134">
        <f>DJ218*H218</f>
        <v>4.0119240000000005</v>
      </c>
      <c r="DL218" s="134">
        <v>0</v>
      </c>
      <c r="DM218" s="135">
        <f>DL218*H218</f>
        <v>0</v>
      </c>
      <c r="EK218" s="136" t="s">
        <v>95</v>
      </c>
      <c r="EM218" s="136" t="s">
        <v>284</v>
      </c>
      <c r="EN218" s="136" t="s">
        <v>83</v>
      </c>
      <c r="ER218" s="16" t="s">
        <v>282</v>
      </c>
      <c r="EX218" s="137">
        <f>IF(DG218="základní",J218,0)</f>
        <v>5175.74</v>
      </c>
      <c r="EY218" s="137">
        <f>IF(DG218="snížená",J218,0)</f>
        <v>0</v>
      </c>
      <c r="EZ218" s="137">
        <f>IF(DG218="zákl. přenesená",J218,0)</f>
        <v>0</v>
      </c>
      <c r="FA218" s="137">
        <f>IF(DG218="sníž. přenesená",J218,0)</f>
        <v>0</v>
      </c>
      <c r="FB218" s="137">
        <f>IF(DG218="nulová",J218,0)</f>
        <v>0</v>
      </c>
      <c r="FC218" s="16" t="s">
        <v>81</v>
      </c>
      <c r="FD218" s="137">
        <f>ROUND(I218*H218,2)</f>
        <v>5175.74</v>
      </c>
      <c r="FE218" s="16" t="s">
        <v>95</v>
      </c>
      <c r="FF218" s="136" t="s">
        <v>1878</v>
      </c>
    </row>
    <row r="219" spans="2:162" s="1" customFormat="1" ht="39" x14ac:dyDescent="0.2">
      <c r="B219" s="31"/>
      <c r="D219" s="138" t="s">
        <v>289</v>
      </c>
      <c r="F219" s="139" t="s">
        <v>467</v>
      </c>
      <c r="I219" s="140"/>
      <c r="L219" s="31"/>
      <c r="N219" s="213"/>
      <c r="O219" s="214"/>
      <c r="Q219" s="229"/>
      <c r="DF219" s="141"/>
      <c r="DM219" s="50"/>
      <c r="EM219" s="16" t="s">
        <v>289</v>
      </c>
      <c r="EN219" s="16" t="s">
        <v>83</v>
      </c>
    </row>
    <row r="220" spans="2:162" s="1" customFormat="1" ht="19.5" x14ac:dyDescent="0.2">
      <c r="B220" s="31"/>
      <c r="D220" s="138" t="s">
        <v>299</v>
      </c>
      <c r="F220" s="142" t="s">
        <v>1795</v>
      </c>
      <c r="I220" s="140"/>
      <c r="L220" s="31"/>
      <c r="N220" s="213"/>
      <c r="O220" s="214"/>
      <c r="Q220" s="229"/>
      <c r="DF220" s="141"/>
      <c r="DM220" s="50"/>
      <c r="EM220" s="16" t="s">
        <v>299</v>
      </c>
      <c r="EN220" s="16" t="s">
        <v>83</v>
      </c>
    </row>
    <row r="221" spans="2:162" s="12" customFormat="1" x14ac:dyDescent="0.2">
      <c r="B221" s="149"/>
      <c r="D221" s="138" t="s">
        <v>301</v>
      </c>
      <c r="E221" s="150" t="s">
        <v>1</v>
      </c>
      <c r="F221" s="151" t="s">
        <v>1822</v>
      </c>
      <c r="H221" s="152">
        <v>19.600000000000001</v>
      </c>
      <c r="I221" s="153"/>
      <c r="L221" s="149"/>
      <c r="N221" s="217"/>
      <c r="O221" s="218"/>
      <c r="Q221" s="231"/>
      <c r="DF221" s="154"/>
      <c r="DM221" s="155"/>
      <c r="EM221" s="150" t="s">
        <v>301</v>
      </c>
      <c r="EN221" s="150" t="s">
        <v>83</v>
      </c>
      <c r="EO221" s="12" t="s">
        <v>83</v>
      </c>
      <c r="EP221" s="12" t="s">
        <v>32</v>
      </c>
      <c r="EQ221" s="12" t="s">
        <v>81</v>
      </c>
      <c r="ER221" s="150" t="s">
        <v>282</v>
      </c>
    </row>
    <row r="222" spans="2:162" s="1" customFormat="1" ht="24.2" customHeight="1" x14ac:dyDescent="0.2">
      <c r="B222" s="124"/>
      <c r="C222" s="125" t="s">
        <v>445</v>
      </c>
      <c r="D222" s="125" t="s">
        <v>284</v>
      </c>
      <c r="E222" s="126" t="s">
        <v>1879</v>
      </c>
      <c r="F222" s="127" t="s">
        <v>1880</v>
      </c>
      <c r="G222" s="128" t="s">
        <v>366</v>
      </c>
      <c r="H222" s="129">
        <v>4.8019999999999996</v>
      </c>
      <c r="I222" s="130">
        <v>1340.7472201353823</v>
      </c>
      <c r="J222" s="131">
        <f>ROUND(I222*H222,2)</f>
        <v>6438.27</v>
      </c>
      <c r="K222" s="127" t="s">
        <v>293</v>
      </c>
      <c r="L222" s="268">
        <f>S222</f>
        <v>0</v>
      </c>
      <c r="M222" s="272">
        <f>ROUND(L222*I222,2)</f>
        <v>0</v>
      </c>
      <c r="N222" s="243"/>
      <c r="O222" s="294">
        <f>ROUND(N222*I222,2)</f>
        <v>0</v>
      </c>
      <c r="P222" s="273">
        <f>H222-L222-N222</f>
        <v>4.8019999999999996</v>
      </c>
      <c r="Q222" s="287">
        <f>ROUND(P222*I222,2)</f>
        <v>6438.27</v>
      </c>
      <c r="R222" s="137"/>
      <c r="S222" s="269">
        <f>W222+Y222+AA222+AC222+AE222+AG222+AI222</f>
        <v>0</v>
      </c>
      <c r="T222" s="269">
        <f>ROUND(S222*I222,2)</f>
        <v>0</v>
      </c>
      <c r="U222" s="269">
        <f>H222-S222</f>
        <v>4.8019999999999996</v>
      </c>
      <c r="V222" s="269">
        <f>ROUND(U222*I222,2)</f>
        <v>6438.27</v>
      </c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DF222" s="132" t="s">
        <v>1</v>
      </c>
      <c r="DG222" s="133" t="s">
        <v>40</v>
      </c>
      <c r="DI222" s="134">
        <f>DH222*H222</f>
        <v>0</v>
      </c>
      <c r="DJ222" s="134">
        <v>2.16</v>
      </c>
      <c r="DK222" s="134">
        <f>DJ222*H222</f>
        <v>10.37232</v>
      </c>
      <c r="DL222" s="134">
        <v>0</v>
      </c>
      <c r="DM222" s="135">
        <f>DL222*H222</f>
        <v>0</v>
      </c>
      <c r="EK222" s="136" t="s">
        <v>95</v>
      </c>
      <c r="EM222" s="136" t="s">
        <v>284</v>
      </c>
      <c r="EN222" s="136" t="s">
        <v>83</v>
      </c>
      <c r="ER222" s="16" t="s">
        <v>282</v>
      </c>
      <c r="EX222" s="137">
        <f>IF(DG222="základní",J222,0)</f>
        <v>6438.27</v>
      </c>
      <c r="EY222" s="137">
        <f>IF(DG222="snížená",J222,0)</f>
        <v>0</v>
      </c>
      <c r="EZ222" s="137">
        <f>IF(DG222="zákl. přenesená",J222,0)</f>
        <v>0</v>
      </c>
      <c r="FA222" s="137">
        <f>IF(DG222="sníž. přenesená",J222,0)</f>
        <v>0</v>
      </c>
      <c r="FB222" s="137">
        <f>IF(DG222="nulová",J222,0)</f>
        <v>0</v>
      </c>
      <c r="FC222" s="16" t="s">
        <v>81</v>
      </c>
      <c r="FD222" s="137">
        <f>ROUND(I222*H222,2)</f>
        <v>6438.27</v>
      </c>
      <c r="FE222" s="16" t="s">
        <v>95</v>
      </c>
      <c r="FF222" s="136" t="s">
        <v>1881</v>
      </c>
    </row>
    <row r="223" spans="2:162" s="1" customFormat="1" ht="19.5" x14ac:dyDescent="0.2">
      <c r="B223" s="31"/>
      <c r="D223" s="138" t="s">
        <v>289</v>
      </c>
      <c r="F223" s="139" t="s">
        <v>1882</v>
      </c>
      <c r="I223" s="140"/>
      <c r="L223" s="31"/>
      <c r="N223" s="213"/>
      <c r="O223" s="214"/>
      <c r="Q223" s="229"/>
      <c r="DF223" s="141"/>
      <c r="DM223" s="50"/>
      <c r="EM223" s="16" t="s">
        <v>289</v>
      </c>
      <c r="EN223" s="16" t="s">
        <v>83</v>
      </c>
    </row>
    <row r="224" spans="2:162" s="1" customFormat="1" ht="19.5" x14ac:dyDescent="0.2">
      <c r="B224" s="31"/>
      <c r="D224" s="138" t="s">
        <v>299</v>
      </c>
      <c r="F224" s="142" t="s">
        <v>1795</v>
      </c>
      <c r="I224" s="140"/>
      <c r="L224" s="31"/>
      <c r="N224" s="213"/>
      <c r="O224" s="214"/>
      <c r="Q224" s="229"/>
      <c r="DF224" s="141"/>
      <c r="DM224" s="50"/>
      <c r="EM224" s="16" t="s">
        <v>299</v>
      </c>
      <c r="EN224" s="16" t="s">
        <v>83</v>
      </c>
    </row>
    <row r="225" spans="2:162" s="12" customFormat="1" x14ac:dyDescent="0.2">
      <c r="B225" s="149"/>
      <c r="D225" s="138" t="s">
        <v>301</v>
      </c>
      <c r="E225" s="150" t="s">
        <v>1</v>
      </c>
      <c r="F225" s="151" t="s">
        <v>1883</v>
      </c>
      <c r="H225" s="152">
        <v>4.8019999999999996</v>
      </c>
      <c r="I225" s="153"/>
      <c r="L225" s="149"/>
      <c r="N225" s="217"/>
      <c r="O225" s="218"/>
      <c r="Q225" s="231"/>
      <c r="DF225" s="154"/>
      <c r="DM225" s="155"/>
      <c r="EM225" s="150" t="s">
        <v>301</v>
      </c>
      <c r="EN225" s="150" t="s">
        <v>83</v>
      </c>
      <c r="EO225" s="12" t="s">
        <v>83</v>
      </c>
      <c r="EP225" s="12" t="s">
        <v>32</v>
      </c>
      <c r="EQ225" s="12" t="s">
        <v>81</v>
      </c>
      <c r="ER225" s="150" t="s">
        <v>282</v>
      </c>
    </row>
    <row r="226" spans="2:162" s="1" customFormat="1" ht="24.2" customHeight="1" x14ac:dyDescent="0.2">
      <c r="B226" s="124"/>
      <c r="C226" s="125" t="s">
        <v>451</v>
      </c>
      <c r="D226" s="125" t="s">
        <v>284</v>
      </c>
      <c r="E226" s="126" t="s">
        <v>1884</v>
      </c>
      <c r="F226" s="127" t="s">
        <v>1885</v>
      </c>
      <c r="G226" s="128" t="s">
        <v>366</v>
      </c>
      <c r="H226" s="129">
        <v>1.6930000000000001</v>
      </c>
      <c r="I226" s="130">
        <v>3211.059415589079</v>
      </c>
      <c r="J226" s="131">
        <f>ROUND(I226*H226,2)</f>
        <v>5436.32</v>
      </c>
      <c r="K226" s="127" t="s">
        <v>293</v>
      </c>
      <c r="L226" s="268">
        <f>S226</f>
        <v>0</v>
      </c>
      <c r="M226" s="272">
        <f>ROUND(L226*I226,2)</f>
        <v>0</v>
      </c>
      <c r="N226" s="243"/>
      <c r="O226" s="294">
        <f>ROUND(N226*I226,2)</f>
        <v>0</v>
      </c>
      <c r="P226" s="273">
        <f>H226-L226-N226</f>
        <v>1.6930000000000001</v>
      </c>
      <c r="Q226" s="287">
        <f>ROUND(P226*I226,2)</f>
        <v>5436.32</v>
      </c>
      <c r="R226" s="137"/>
      <c r="S226" s="269">
        <f>W226+Y226+AA226+AC226+AE226+AG226+AI226</f>
        <v>0</v>
      </c>
      <c r="T226" s="269">
        <f>ROUND(S226*I226,2)</f>
        <v>0</v>
      </c>
      <c r="U226" s="269">
        <f>H226-S226</f>
        <v>1.6930000000000001</v>
      </c>
      <c r="V226" s="269">
        <f>ROUND(U226*I226,2)</f>
        <v>5436.32</v>
      </c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DF226" s="132" t="s">
        <v>1</v>
      </c>
      <c r="DG226" s="133" t="s">
        <v>40</v>
      </c>
      <c r="DI226" s="134">
        <f>DH226*H226</f>
        <v>0</v>
      </c>
      <c r="DJ226" s="134">
        <v>2.45329</v>
      </c>
      <c r="DK226" s="134">
        <f>DJ226*H226</f>
        <v>4.1534199699999999</v>
      </c>
      <c r="DL226" s="134">
        <v>0</v>
      </c>
      <c r="DM226" s="135">
        <f>DL226*H226</f>
        <v>0</v>
      </c>
      <c r="EK226" s="136" t="s">
        <v>95</v>
      </c>
      <c r="EM226" s="136" t="s">
        <v>284</v>
      </c>
      <c r="EN226" s="136" t="s">
        <v>83</v>
      </c>
      <c r="ER226" s="16" t="s">
        <v>282</v>
      </c>
      <c r="EX226" s="137">
        <f>IF(DG226="základní",J226,0)</f>
        <v>5436.32</v>
      </c>
      <c r="EY226" s="137">
        <f>IF(DG226="snížená",J226,0)</f>
        <v>0</v>
      </c>
      <c r="EZ226" s="137">
        <f>IF(DG226="zákl. přenesená",J226,0)</f>
        <v>0</v>
      </c>
      <c r="FA226" s="137">
        <f>IF(DG226="sníž. přenesená",J226,0)</f>
        <v>0</v>
      </c>
      <c r="FB226" s="137">
        <f>IF(DG226="nulová",J226,0)</f>
        <v>0</v>
      </c>
      <c r="FC226" s="16" t="s">
        <v>81</v>
      </c>
      <c r="FD226" s="137">
        <f>ROUND(I226*H226,2)</f>
        <v>5436.32</v>
      </c>
      <c r="FE226" s="16" t="s">
        <v>95</v>
      </c>
      <c r="FF226" s="136" t="s">
        <v>1886</v>
      </c>
    </row>
    <row r="227" spans="2:162" s="1" customFormat="1" ht="19.5" x14ac:dyDescent="0.2">
      <c r="B227" s="31"/>
      <c r="D227" s="138" t="s">
        <v>289</v>
      </c>
      <c r="F227" s="139" t="s">
        <v>1887</v>
      </c>
      <c r="I227" s="140"/>
      <c r="L227" s="31"/>
      <c r="N227" s="213"/>
      <c r="O227" s="214"/>
      <c r="Q227" s="229"/>
      <c r="DF227" s="141"/>
      <c r="DM227" s="50"/>
      <c r="EM227" s="16" t="s">
        <v>289</v>
      </c>
      <c r="EN227" s="16" t="s">
        <v>83</v>
      </c>
    </row>
    <row r="228" spans="2:162" s="1" customFormat="1" ht="19.5" x14ac:dyDescent="0.2">
      <c r="B228" s="31"/>
      <c r="D228" s="138" t="s">
        <v>299</v>
      </c>
      <c r="F228" s="142" t="s">
        <v>1795</v>
      </c>
      <c r="I228" s="140"/>
      <c r="L228" s="31"/>
      <c r="N228" s="213"/>
      <c r="O228" s="214"/>
      <c r="Q228" s="229"/>
      <c r="DF228" s="141"/>
      <c r="DM228" s="50"/>
      <c r="EM228" s="16" t="s">
        <v>299</v>
      </c>
      <c r="EN228" s="16" t="s">
        <v>83</v>
      </c>
    </row>
    <row r="229" spans="2:162" s="12" customFormat="1" x14ac:dyDescent="0.2">
      <c r="B229" s="149"/>
      <c r="D229" s="138" t="s">
        <v>301</v>
      </c>
      <c r="E229" s="150" t="s">
        <v>1</v>
      </c>
      <c r="F229" s="151" t="s">
        <v>1888</v>
      </c>
      <c r="H229" s="152">
        <v>1.6930000000000001</v>
      </c>
      <c r="I229" s="153"/>
      <c r="L229" s="149"/>
      <c r="N229" s="217"/>
      <c r="O229" s="218"/>
      <c r="Q229" s="231"/>
      <c r="DF229" s="154"/>
      <c r="DM229" s="155"/>
      <c r="EM229" s="150" t="s">
        <v>301</v>
      </c>
      <c r="EN229" s="150" t="s">
        <v>83</v>
      </c>
      <c r="EO229" s="12" t="s">
        <v>83</v>
      </c>
      <c r="EP229" s="12" t="s">
        <v>32</v>
      </c>
      <c r="EQ229" s="12" t="s">
        <v>81</v>
      </c>
      <c r="ER229" s="150" t="s">
        <v>282</v>
      </c>
    </row>
    <row r="230" spans="2:162" s="1" customFormat="1" ht="24.2" customHeight="1" x14ac:dyDescent="0.2">
      <c r="B230" s="124"/>
      <c r="C230" s="125" t="s">
        <v>456</v>
      </c>
      <c r="D230" s="125" t="s">
        <v>284</v>
      </c>
      <c r="E230" s="126" t="s">
        <v>1889</v>
      </c>
      <c r="F230" s="127" t="s">
        <v>1890</v>
      </c>
      <c r="G230" s="128" t="s">
        <v>366</v>
      </c>
      <c r="H230" s="129">
        <v>2.0880000000000001</v>
      </c>
      <c r="I230" s="130">
        <v>3211.059415589079</v>
      </c>
      <c r="J230" s="131">
        <f>ROUND(I230*H230,2)</f>
        <v>6704.69</v>
      </c>
      <c r="K230" s="127" t="s">
        <v>1</v>
      </c>
      <c r="L230" s="268">
        <f>S230</f>
        <v>0</v>
      </c>
      <c r="M230" s="272">
        <f>ROUND(L230*I230,2)</f>
        <v>0</v>
      </c>
      <c r="N230" s="243"/>
      <c r="O230" s="294">
        <f>ROUND(N230*I230,2)</f>
        <v>0</v>
      </c>
      <c r="P230" s="273">
        <f>H230-L230-N230</f>
        <v>2.0880000000000001</v>
      </c>
      <c r="Q230" s="287">
        <f>ROUND(P230*I230,2)</f>
        <v>6704.69</v>
      </c>
      <c r="R230" s="137"/>
      <c r="S230" s="269">
        <f>W230+Y230+AA230+AC230+AE230+AG230+AI230</f>
        <v>0</v>
      </c>
      <c r="T230" s="269">
        <f>ROUND(S230*I230,2)</f>
        <v>0</v>
      </c>
      <c r="U230" s="269">
        <f>H230-S230</f>
        <v>2.0880000000000001</v>
      </c>
      <c r="V230" s="269">
        <f>ROUND(U230*I230,2)</f>
        <v>6704.69</v>
      </c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DF230" s="132" t="s">
        <v>1</v>
      </c>
      <c r="DG230" s="133" t="s">
        <v>40</v>
      </c>
      <c r="DI230" s="134">
        <f>DH230*H230</f>
        <v>0</v>
      </c>
      <c r="DJ230" s="134">
        <v>2.45329</v>
      </c>
      <c r="DK230" s="134">
        <f>DJ230*H230</f>
        <v>5.1224695200000001</v>
      </c>
      <c r="DL230" s="134">
        <v>0</v>
      </c>
      <c r="DM230" s="135">
        <f>DL230*H230</f>
        <v>0</v>
      </c>
      <c r="EK230" s="136" t="s">
        <v>95</v>
      </c>
      <c r="EM230" s="136" t="s">
        <v>284</v>
      </c>
      <c r="EN230" s="136" t="s">
        <v>83</v>
      </c>
      <c r="ER230" s="16" t="s">
        <v>282</v>
      </c>
      <c r="EX230" s="137">
        <f>IF(DG230="základní",J230,0)</f>
        <v>6704.69</v>
      </c>
      <c r="EY230" s="137">
        <f>IF(DG230="snížená",J230,0)</f>
        <v>0</v>
      </c>
      <c r="EZ230" s="137">
        <f>IF(DG230="zákl. přenesená",J230,0)</f>
        <v>0</v>
      </c>
      <c r="FA230" s="137">
        <f>IF(DG230="sníž. přenesená",J230,0)</f>
        <v>0</v>
      </c>
      <c r="FB230" s="137">
        <f>IF(DG230="nulová",J230,0)</f>
        <v>0</v>
      </c>
      <c r="FC230" s="16" t="s">
        <v>81</v>
      </c>
      <c r="FD230" s="137">
        <f>ROUND(I230*H230,2)</f>
        <v>6704.69</v>
      </c>
      <c r="FE230" s="16" t="s">
        <v>95</v>
      </c>
      <c r="FF230" s="136" t="s">
        <v>1891</v>
      </c>
    </row>
    <row r="231" spans="2:162" s="1" customFormat="1" ht="19.5" x14ac:dyDescent="0.2">
      <c r="B231" s="31"/>
      <c r="D231" s="138" t="s">
        <v>289</v>
      </c>
      <c r="F231" s="139" t="s">
        <v>1887</v>
      </c>
      <c r="I231" s="140"/>
      <c r="L231" s="31"/>
      <c r="N231" s="213"/>
      <c r="O231" s="214"/>
      <c r="Q231" s="229"/>
      <c r="DF231" s="141"/>
      <c r="DM231" s="50"/>
      <c r="EM231" s="16" t="s">
        <v>289</v>
      </c>
      <c r="EN231" s="16" t="s">
        <v>83</v>
      </c>
    </row>
    <row r="232" spans="2:162" s="1" customFormat="1" ht="19.5" x14ac:dyDescent="0.2">
      <c r="B232" s="31"/>
      <c r="D232" s="138" t="s">
        <v>299</v>
      </c>
      <c r="F232" s="142" t="s">
        <v>1795</v>
      </c>
      <c r="I232" s="140"/>
      <c r="L232" s="31"/>
      <c r="N232" s="213"/>
      <c r="O232" s="214"/>
      <c r="Q232" s="229"/>
      <c r="DF232" s="141"/>
      <c r="DM232" s="50"/>
      <c r="EM232" s="16" t="s">
        <v>299</v>
      </c>
      <c r="EN232" s="16" t="s">
        <v>83</v>
      </c>
    </row>
    <row r="233" spans="2:162" s="12" customFormat="1" x14ac:dyDescent="0.2">
      <c r="B233" s="149"/>
      <c r="D233" s="138" t="s">
        <v>301</v>
      </c>
      <c r="E233" s="150" t="s">
        <v>1</v>
      </c>
      <c r="F233" s="151" t="s">
        <v>1892</v>
      </c>
      <c r="H233" s="152">
        <v>2.0880000000000001</v>
      </c>
      <c r="I233" s="153"/>
      <c r="L233" s="149"/>
      <c r="N233" s="217"/>
      <c r="O233" s="218"/>
      <c r="Q233" s="231"/>
      <c r="DF233" s="154"/>
      <c r="DM233" s="155"/>
      <c r="EM233" s="150" t="s">
        <v>301</v>
      </c>
      <c r="EN233" s="150" t="s">
        <v>83</v>
      </c>
      <c r="EO233" s="12" t="s">
        <v>83</v>
      </c>
      <c r="EP233" s="12" t="s">
        <v>32</v>
      </c>
      <c r="EQ233" s="12" t="s">
        <v>81</v>
      </c>
      <c r="ER233" s="150" t="s">
        <v>282</v>
      </c>
    </row>
    <row r="234" spans="2:162" s="1" customFormat="1" ht="14.45" customHeight="1" x14ac:dyDescent="0.2">
      <c r="B234" s="124"/>
      <c r="C234" s="125" t="s">
        <v>463</v>
      </c>
      <c r="D234" s="125" t="s">
        <v>284</v>
      </c>
      <c r="E234" s="126" t="s">
        <v>1893</v>
      </c>
      <c r="F234" s="127" t="s">
        <v>1894</v>
      </c>
      <c r="G234" s="128" t="s">
        <v>287</v>
      </c>
      <c r="H234" s="129">
        <v>6.9770000000000003</v>
      </c>
      <c r="I234" s="130">
        <v>379.79538976632074</v>
      </c>
      <c r="J234" s="131">
        <f>ROUND(I234*H234,2)</f>
        <v>2649.83</v>
      </c>
      <c r="K234" s="127" t="s">
        <v>293</v>
      </c>
      <c r="L234" s="268">
        <f>S234</f>
        <v>0</v>
      </c>
      <c r="M234" s="272">
        <f>ROUND(L234*I234,2)</f>
        <v>0</v>
      </c>
      <c r="N234" s="243"/>
      <c r="O234" s="294">
        <f>ROUND(N234*I234,2)</f>
        <v>0</v>
      </c>
      <c r="P234" s="273">
        <f>H234-L234-N234</f>
        <v>6.9770000000000003</v>
      </c>
      <c r="Q234" s="287">
        <f>ROUND(P234*I234,2)</f>
        <v>2649.83</v>
      </c>
      <c r="R234" s="137"/>
      <c r="S234" s="269">
        <f>W234+Y234+AA234+AC234+AE234+AG234+AI234</f>
        <v>0</v>
      </c>
      <c r="T234" s="269">
        <f>ROUND(S234*I234,2)</f>
        <v>0</v>
      </c>
      <c r="U234" s="269">
        <f>H234-S234</f>
        <v>6.9770000000000003</v>
      </c>
      <c r="V234" s="269">
        <f>ROUND(U234*I234,2)</f>
        <v>2649.83</v>
      </c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DF234" s="132" t="s">
        <v>1</v>
      </c>
      <c r="DG234" s="133" t="s">
        <v>40</v>
      </c>
      <c r="DI234" s="134">
        <f>DH234*H234</f>
        <v>0</v>
      </c>
      <c r="DJ234" s="134">
        <v>2.47E-3</v>
      </c>
      <c r="DK234" s="134">
        <f>DJ234*H234</f>
        <v>1.7233189999999999E-2</v>
      </c>
      <c r="DL234" s="134">
        <v>0</v>
      </c>
      <c r="DM234" s="135">
        <f>DL234*H234</f>
        <v>0</v>
      </c>
      <c r="EK234" s="136" t="s">
        <v>95</v>
      </c>
      <c r="EM234" s="136" t="s">
        <v>284</v>
      </c>
      <c r="EN234" s="136" t="s">
        <v>83</v>
      </c>
      <c r="ER234" s="16" t="s">
        <v>282</v>
      </c>
      <c r="EX234" s="137">
        <f>IF(DG234="základní",J234,0)</f>
        <v>2649.83</v>
      </c>
      <c r="EY234" s="137">
        <f>IF(DG234="snížená",J234,0)</f>
        <v>0</v>
      </c>
      <c r="EZ234" s="137">
        <f>IF(DG234="zákl. přenesená",J234,0)</f>
        <v>0</v>
      </c>
      <c r="FA234" s="137">
        <f>IF(DG234="sníž. přenesená",J234,0)</f>
        <v>0</v>
      </c>
      <c r="FB234" s="137">
        <f>IF(DG234="nulová",J234,0)</f>
        <v>0</v>
      </c>
      <c r="FC234" s="16" t="s">
        <v>81</v>
      </c>
      <c r="FD234" s="137">
        <f>ROUND(I234*H234,2)</f>
        <v>2649.83</v>
      </c>
      <c r="FE234" s="16" t="s">
        <v>95</v>
      </c>
      <c r="FF234" s="136" t="s">
        <v>1895</v>
      </c>
    </row>
    <row r="235" spans="2:162" s="1" customFormat="1" x14ac:dyDescent="0.2">
      <c r="B235" s="31"/>
      <c r="D235" s="138" t="s">
        <v>289</v>
      </c>
      <c r="F235" s="139" t="s">
        <v>1896</v>
      </c>
      <c r="I235" s="140"/>
      <c r="L235" s="31"/>
      <c r="N235" s="213"/>
      <c r="O235" s="214"/>
      <c r="Q235" s="229"/>
      <c r="DF235" s="141"/>
      <c r="DM235" s="50"/>
      <c r="EM235" s="16" t="s">
        <v>289</v>
      </c>
      <c r="EN235" s="16" t="s">
        <v>83</v>
      </c>
    </row>
    <row r="236" spans="2:162" s="1" customFormat="1" ht="19.5" x14ac:dyDescent="0.2">
      <c r="B236" s="31"/>
      <c r="D236" s="138" t="s">
        <v>299</v>
      </c>
      <c r="F236" s="142" t="s">
        <v>1795</v>
      </c>
      <c r="I236" s="140"/>
      <c r="L236" s="31"/>
      <c r="N236" s="213"/>
      <c r="O236" s="214"/>
      <c r="Q236" s="229"/>
      <c r="DF236" s="141"/>
      <c r="DM236" s="50"/>
      <c r="EM236" s="16" t="s">
        <v>299</v>
      </c>
      <c r="EN236" s="16" t="s">
        <v>83</v>
      </c>
    </row>
    <row r="237" spans="2:162" s="12" customFormat="1" x14ac:dyDescent="0.2">
      <c r="B237" s="149"/>
      <c r="D237" s="138" t="s">
        <v>301</v>
      </c>
      <c r="E237" s="150" t="s">
        <v>1</v>
      </c>
      <c r="F237" s="151" t="s">
        <v>1897</v>
      </c>
      <c r="H237" s="152">
        <v>2.016</v>
      </c>
      <c r="I237" s="153"/>
      <c r="L237" s="149"/>
      <c r="N237" s="217"/>
      <c r="O237" s="218"/>
      <c r="Q237" s="231"/>
      <c r="DF237" s="154"/>
      <c r="DM237" s="155"/>
      <c r="EM237" s="150" t="s">
        <v>301</v>
      </c>
      <c r="EN237" s="150" t="s">
        <v>83</v>
      </c>
      <c r="EO237" s="12" t="s">
        <v>83</v>
      </c>
      <c r="EP237" s="12" t="s">
        <v>32</v>
      </c>
      <c r="EQ237" s="12" t="s">
        <v>74</v>
      </c>
      <c r="ER237" s="150" t="s">
        <v>282</v>
      </c>
    </row>
    <row r="238" spans="2:162" s="12" customFormat="1" x14ac:dyDescent="0.2">
      <c r="B238" s="149"/>
      <c r="D238" s="138" t="s">
        <v>301</v>
      </c>
      <c r="E238" s="150" t="s">
        <v>1</v>
      </c>
      <c r="F238" s="151" t="s">
        <v>1898</v>
      </c>
      <c r="H238" s="152">
        <v>4.9610000000000003</v>
      </c>
      <c r="I238" s="153"/>
      <c r="L238" s="149"/>
      <c r="N238" s="217"/>
      <c r="O238" s="218"/>
      <c r="Q238" s="231"/>
      <c r="DF238" s="154"/>
      <c r="DM238" s="155"/>
      <c r="EM238" s="150" t="s">
        <v>301</v>
      </c>
      <c r="EN238" s="150" t="s">
        <v>83</v>
      </c>
      <c r="EO238" s="12" t="s">
        <v>83</v>
      </c>
      <c r="EP238" s="12" t="s">
        <v>32</v>
      </c>
      <c r="EQ238" s="12" t="s">
        <v>74</v>
      </c>
      <c r="ER238" s="150" t="s">
        <v>282</v>
      </c>
    </row>
    <row r="239" spans="2:162" s="13" customFormat="1" x14ac:dyDescent="0.2">
      <c r="B239" s="156"/>
      <c r="D239" s="138" t="s">
        <v>301</v>
      </c>
      <c r="E239" s="157" t="s">
        <v>1</v>
      </c>
      <c r="F239" s="158" t="s">
        <v>305</v>
      </c>
      <c r="H239" s="159">
        <v>6.9770000000000003</v>
      </c>
      <c r="I239" s="160"/>
      <c r="L239" s="156"/>
      <c r="N239" s="219"/>
      <c r="O239" s="220"/>
      <c r="Q239" s="232"/>
      <c r="DF239" s="161"/>
      <c r="DM239" s="162"/>
      <c r="EM239" s="157" t="s">
        <v>301</v>
      </c>
      <c r="EN239" s="157" t="s">
        <v>83</v>
      </c>
      <c r="EO239" s="13" t="s">
        <v>95</v>
      </c>
      <c r="EP239" s="13" t="s">
        <v>32</v>
      </c>
      <c r="EQ239" s="13" t="s">
        <v>81</v>
      </c>
      <c r="ER239" s="157" t="s">
        <v>282</v>
      </c>
    </row>
    <row r="240" spans="2:162" s="1" customFormat="1" ht="14.45" customHeight="1" x14ac:dyDescent="0.2">
      <c r="B240" s="124"/>
      <c r="C240" s="125" t="s">
        <v>470</v>
      </c>
      <c r="D240" s="125" t="s">
        <v>284</v>
      </c>
      <c r="E240" s="126" t="s">
        <v>1899</v>
      </c>
      <c r="F240" s="127" t="s">
        <v>1900</v>
      </c>
      <c r="G240" s="128" t="s">
        <v>287</v>
      </c>
      <c r="H240" s="129">
        <v>6.9770000000000003</v>
      </c>
      <c r="I240" s="130">
        <v>102.41615913446736</v>
      </c>
      <c r="J240" s="131">
        <f>ROUND(I240*H240,2)</f>
        <v>714.56</v>
      </c>
      <c r="K240" s="127" t="s">
        <v>293</v>
      </c>
      <c r="L240" s="268">
        <f>S240</f>
        <v>0</v>
      </c>
      <c r="M240" s="272">
        <f>ROUND(L240*I240,2)</f>
        <v>0</v>
      </c>
      <c r="N240" s="243"/>
      <c r="O240" s="294">
        <f>ROUND(N240*I240,2)</f>
        <v>0</v>
      </c>
      <c r="P240" s="273">
        <f>H240-L240-N240</f>
        <v>6.9770000000000003</v>
      </c>
      <c r="Q240" s="287">
        <f>ROUND(P240*I240,2)</f>
        <v>714.56</v>
      </c>
      <c r="R240" s="137"/>
      <c r="S240" s="269">
        <f>W240+Y240+AA240+AC240+AE240+AG240+AI240</f>
        <v>0</v>
      </c>
      <c r="T240" s="269">
        <f>ROUND(S240*I240,2)</f>
        <v>0</v>
      </c>
      <c r="U240" s="269">
        <f>H240-S240</f>
        <v>6.9770000000000003</v>
      </c>
      <c r="V240" s="269">
        <f>ROUND(U240*I240,2)</f>
        <v>714.56</v>
      </c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DF240" s="132" t="s">
        <v>1</v>
      </c>
      <c r="DG240" s="133" t="s">
        <v>40</v>
      </c>
      <c r="DI240" s="134">
        <f>DH240*H240</f>
        <v>0</v>
      </c>
      <c r="DJ240" s="134">
        <v>0</v>
      </c>
      <c r="DK240" s="134">
        <f>DJ240*H240</f>
        <v>0</v>
      </c>
      <c r="DL240" s="134">
        <v>0</v>
      </c>
      <c r="DM240" s="135">
        <f>DL240*H240</f>
        <v>0</v>
      </c>
      <c r="EK240" s="136" t="s">
        <v>95</v>
      </c>
      <c r="EM240" s="136" t="s">
        <v>284</v>
      </c>
      <c r="EN240" s="136" t="s">
        <v>83</v>
      </c>
      <c r="ER240" s="16" t="s">
        <v>282</v>
      </c>
      <c r="EX240" s="137">
        <f>IF(DG240="základní",J240,0)</f>
        <v>714.56</v>
      </c>
      <c r="EY240" s="137">
        <f>IF(DG240="snížená",J240,0)</f>
        <v>0</v>
      </c>
      <c r="EZ240" s="137">
        <f>IF(DG240="zákl. přenesená",J240,0)</f>
        <v>0</v>
      </c>
      <c r="FA240" s="137">
        <f>IF(DG240="sníž. přenesená",J240,0)</f>
        <v>0</v>
      </c>
      <c r="FB240" s="137">
        <f>IF(DG240="nulová",J240,0)</f>
        <v>0</v>
      </c>
      <c r="FC240" s="16" t="s">
        <v>81</v>
      </c>
      <c r="FD240" s="137">
        <f>ROUND(I240*H240,2)</f>
        <v>714.56</v>
      </c>
      <c r="FE240" s="16" t="s">
        <v>95</v>
      </c>
      <c r="FF240" s="136" t="s">
        <v>1901</v>
      </c>
    </row>
    <row r="241" spans="2:162" s="1" customFormat="1" x14ac:dyDescent="0.2">
      <c r="B241" s="31"/>
      <c r="D241" s="138" t="s">
        <v>289</v>
      </c>
      <c r="F241" s="139" t="s">
        <v>1902</v>
      </c>
      <c r="I241" s="140"/>
      <c r="L241" s="31"/>
      <c r="N241" s="213"/>
      <c r="O241" s="214"/>
      <c r="Q241" s="229"/>
      <c r="DF241" s="141"/>
      <c r="DM241" s="50"/>
      <c r="EM241" s="16" t="s">
        <v>289</v>
      </c>
      <c r="EN241" s="16" t="s">
        <v>83</v>
      </c>
    </row>
    <row r="242" spans="2:162" s="1" customFormat="1" ht="14.45" customHeight="1" x14ac:dyDescent="0.2">
      <c r="B242" s="124"/>
      <c r="C242" s="125" t="s">
        <v>476</v>
      </c>
      <c r="D242" s="125" t="s">
        <v>284</v>
      </c>
      <c r="E242" s="126" t="s">
        <v>1903</v>
      </c>
      <c r="F242" s="127" t="s">
        <v>1904</v>
      </c>
      <c r="G242" s="128" t="s">
        <v>418</v>
      </c>
      <c r="H242" s="129">
        <v>0.16900000000000001</v>
      </c>
      <c r="I242" s="130">
        <v>28099.214400180317</v>
      </c>
      <c r="J242" s="131">
        <f>ROUND(I242*H242,2)</f>
        <v>4748.7700000000004</v>
      </c>
      <c r="K242" s="127" t="s">
        <v>293</v>
      </c>
      <c r="L242" s="268">
        <f>S242</f>
        <v>0</v>
      </c>
      <c r="M242" s="272">
        <f>ROUND(L242*I242,2)</f>
        <v>0</v>
      </c>
      <c r="N242" s="243"/>
      <c r="O242" s="294">
        <f>ROUND(N242*I242,2)</f>
        <v>0</v>
      </c>
      <c r="P242" s="273">
        <f>H242-L242-N242</f>
        <v>0.16900000000000001</v>
      </c>
      <c r="Q242" s="287">
        <f>ROUND(P242*I242,2)</f>
        <v>4748.7700000000004</v>
      </c>
      <c r="R242" s="137"/>
      <c r="S242" s="269">
        <f>W242+Y242+AA242+AC242+AE242+AG242+AI242</f>
        <v>0</v>
      </c>
      <c r="T242" s="269">
        <f>ROUND(S242*I242,2)</f>
        <v>0</v>
      </c>
      <c r="U242" s="269">
        <f>H242-S242</f>
        <v>0.16900000000000001</v>
      </c>
      <c r="V242" s="269">
        <f>ROUND(U242*I242,2)</f>
        <v>4748.7700000000004</v>
      </c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DF242" s="132" t="s">
        <v>1</v>
      </c>
      <c r="DG242" s="133" t="s">
        <v>40</v>
      </c>
      <c r="DI242" s="134">
        <f>DH242*H242</f>
        <v>0</v>
      </c>
      <c r="DJ242" s="134">
        <v>1.06277</v>
      </c>
      <c r="DK242" s="134">
        <f>DJ242*H242</f>
        <v>0.17960813</v>
      </c>
      <c r="DL242" s="134">
        <v>0</v>
      </c>
      <c r="DM242" s="135">
        <f>DL242*H242</f>
        <v>0</v>
      </c>
      <c r="EK242" s="136" t="s">
        <v>95</v>
      </c>
      <c r="EM242" s="136" t="s">
        <v>284</v>
      </c>
      <c r="EN242" s="136" t="s">
        <v>83</v>
      </c>
      <c r="ER242" s="16" t="s">
        <v>282</v>
      </c>
      <c r="EX242" s="137">
        <f>IF(DG242="základní",J242,0)</f>
        <v>4748.7700000000004</v>
      </c>
      <c r="EY242" s="137">
        <f>IF(DG242="snížená",J242,0)</f>
        <v>0</v>
      </c>
      <c r="EZ242" s="137">
        <f>IF(DG242="zákl. přenesená",J242,0)</f>
        <v>0</v>
      </c>
      <c r="FA242" s="137">
        <f>IF(DG242="sníž. přenesená",J242,0)</f>
        <v>0</v>
      </c>
      <c r="FB242" s="137">
        <f>IF(DG242="nulová",J242,0)</f>
        <v>0</v>
      </c>
      <c r="FC242" s="16" t="s">
        <v>81</v>
      </c>
      <c r="FD242" s="137">
        <f>ROUND(I242*H242,2)</f>
        <v>4748.7700000000004</v>
      </c>
      <c r="FE242" s="16" t="s">
        <v>95</v>
      </c>
      <c r="FF242" s="136" t="s">
        <v>1905</v>
      </c>
    </row>
    <row r="243" spans="2:162" s="1" customFormat="1" x14ac:dyDescent="0.2">
      <c r="B243" s="31"/>
      <c r="D243" s="138" t="s">
        <v>289</v>
      </c>
      <c r="F243" s="139" t="s">
        <v>1906</v>
      </c>
      <c r="I243" s="140"/>
      <c r="L243" s="31"/>
      <c r="N243" s="213"/>
      <c r="O243" s="214"/>
      <c r="Q243" s="229"/>
      <c r="DF243" s="141"/>
      <c r="DM243" s="50"/>
      <c r="EM243" s="16" t="s">
        <v>289</v>
      </c>
      <c r="EN243" s="16" t="s">
        <v>83</v>
      </c>
    </row>
    <row r="244" spans="2:162" s="1" customFormat="1" ht="19.5" x14ac:dyDescent="0.2">
      <c r="B244" s="31"/>
      <c r="D244" s="138" t="s">
        <v>299</v>
      </c>
      <c r="F244" s="142" t="s">
        <v>1795</v>
      </c>
      <c r="I244" s="140"/>
      <c r="L244" s="31"/>
      <c r="N244" s="213"/>
      <c r="O244" s="214"/>
      <c r="Q244" s="229"/>
      <c r="DF244" s="141"/>
      <c r="DM244" s="50"/>
      <c r="EM244" s="16" t="s">
        <v>299</v>
      </c>
      <c r="EN244" s="16" t="s">
        <v>83</v>
      </c>
    </row>
    <row r="245" spans="2:162" s="12" customFormat="1" x14ac:dyDescent="0.2">
      <c r="B245" s="149"/>
      <c r="D245" s="138" t="s">
        <v>301</v>
      </c>
      <c r="E245" s="150" t="s">
        <v>1</v>
      </c>
      <c r="F245" s="151" t="s">
        <v>1907</v>
      </c>
      <c r="H245" s="152">
        <v>0.16900000000000001</v>
      </c>
      <c r="I245" s="153"/>
      <c r="L245" s="149"/>
      <c r="N245" s="217"/>
      <c r="O245" s="218"/>
      <c r="Q245" s="231"/>
      <c r="DF245" s="154"/>
      <c r="DM245" s="155"/>
      <c r="EM245" s="150" t="s">
        <v>301</v>
      </c>
      <c r="EN245" s="150" t="s">
        <v>83</v>
      </c>
      <c r="EO245" s="12" t="s">
        <v>83</v>
      </c>
      <c r="EP245" s="12" t="s">
        <v>32</v>
      </c>
      <c r="EQ245" s="12" t="s">
        <v>81</v>
      </c>
      <c r="ER245" s="150" t="s">
        <v>282</v>
      </c>
    </row>
    <row r="246" spans="2:162" s="1" customFormat="1" ht="24.2" customHeight="1" x14ac:dyDescent="0.2">
      <c r="B246" s="124"/>
      <c r="C246" s="125" t="s">
        <v>482</v>
      </c>
      <c r="D246" s="125" t="s">
        <v>284</v>
      </c>
      <c r="E246" s="126" t="s">
        <v>1908</v>
      </c>
      <c r="F246" s="127" t="s">
        <v>1909</v>
      </c>
      <c r="G246" s="128" t="s">
        <v>366</v>
      </c>
      <c r="H246" s="129">
        <v>7.5</v>
      </c>
      <c r="I246" s="130">
        <v>2941.41966</v>
      </c>
      <c r="J246" s="131">
        <f>ROUND(I246*H246,2)</f>
        <v>22060.65</v>
      </c>
      <c r="K246" s="127" t="s">
        <v>1</v>
      </c>
      <c r="L246" s="268">
        <f>S246</f>
        <v>0</v>
      </c>
      <c r="M246" s="272">
        <f>ROUND(L246*I246,2)</f>
        <v>0</v>
      </c>
      <c r="N246" s="243"/>
      <c r="O246" s="294">
        <f>ROUND(N246*I246,2)</f>
        <v>0</v>
      </c>
      <c r="P246" s="273">
        <f>H246-L246-N246</f>
        <v>7.5</v>
      </c>
      <c r="Q246" s="287">
        <f>ROUND(P246*I246,2)</f>
        <v>22060.65</v>
      </c>
      <c r="R246" s="137"/>
      <c r="S246" s="269">
        <f>W246+Y246+AA246+AC246+AE246+AG246+AI246</f>
        <v>0</v>
      </c>
      <c r="T246" s="269">
        <f>ROUND(S246*I246,2)</f>
        <v>0</v>
      </c>
      <c r="U246" s="269">
        <f>H246-S246</f>
        <v>7.5</v>
      </c>
      <c r="V246" s="269">
        <f>ROUND(U246*I246,2)</f>
        <v>22060.65</v>
      </c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DF246" s="132" t="s">
        <v>1</v>
      </c>
      <c r="DG246" s="133" t="s">
        <v>40</v>
      </c>
      <c r="DI246" s="134">
        <f>DH246*H246</f>
        <v>0</v>
      </c>
      <c r="DJ246" s="134">
        <v>0</v>
      </c>
      <c r="DK246" s="134">
        <f>DJ246*H246</f>
        <v>0</v>
      </c>
      <c r="DL246" s="134">
        <v>0</v>
      </c>
      <c r="DM246" s="135">
        <f>DL246*H246</f>
        <v>0</v>
      </c>
      <c r="EK246" s="136" t="s">
        <v>95</v>
      </c>
      <c r="EM246" s="136" t="s">
        <v>284</v>
      </c>
      <c r="EN246" s="136" t="s">
        <v>83</v>
      </c>
      <c r="ER246" s="16" t="s">
        <v>282</v>
      </c>
      <c r="EX246" s="137">
        <f>IF(DG246="základní",J246,0)</f>
        <v>22060.65</v>
      </c>
      <c r="EY246" s="137">
        <f>IF(DG246="snížená",J246,0)</f>
        <v>0</v>
      </c>
      <c r="EZ246" s="137">
        <f>IF(DG246="zákl. přenesená",J246,0)</f>
        <v>0</v>
      </c>
      <c r="FA246" s="137">
        <f>IF(DG246="sníž. přenesená",J246,0)</f>
        <v>0</v>
      </c>
      <c r="FB246" s="137">
        <f>IF(DG246="nulová",J246,0)</f>
        <v>0</v>
      </c>
      <c r="FC246" s="16" t="s">
        <v>81</v>
      </c>
      <c r="FD246" s="137">
        <f>ROUND(I246*H246,2)</f>
        <v>22060.65</v>
      </c>
      <c r="FE246" s="16" t="s">
        <v>95</v>
      </c>
      <c r="FF246" s="136" t="s">
        <v>1910</v>
      </c>
    </row>
    <row r="247" spans="2:162" s="1" customFormat="1" ht="19.5" x14ac:dyDescent="0.2">
      <c r="B247" s="31"/>
      <c r="D247" s="138" t="s">
        <v>289</v>
      </c>
      <c r="F247" s="139" t="s">
        <v>1909</v>
      </c>
      <c r="I247" s="140"/>
      <c r="L247" s="31"/>
      <c r="N247" s="213"/>
      <c r="O247" s="214"/>
      <c r="Q247" s="229"/>
      <c r="DF247" s="141"/>
      <c r="DM247" s="50"/>
      <c r="EM247" s="16" t="s">
        <v>289</v>
      </c>
      <c r="EN247" s="16" t="s">
        <v>83</v>
      </c>
    </row>
    <row r="248" spans="2:162" s="1" customFormat="1" ht="19.5" x14ac:dyDescent="0.2">
      <c r="B248" s="31"/>
      <c r="D248" s="138" t="s">
        <v>299</v>
      </c>
      <c r="F248" s="142" t="s">
        <v>1795</v>
      </c>
      <c r="I248" s="140"/>
      <c r="L248" s="31"/>
      <c r="N248" s="213"/>
      <c r="O248" s="214"/>
      <c r="Q248" s="229"/>
      <c r="DF248" s="141"/>
      <c r="DM248" s="50"/>
      <c r="EM248" s="16" t="s">
        <v>299</v>
      </c>
      <c r="EN248" s="16" t="s">
        <v>83</v>
      </c>
    </row>
    <row r="249" spans="2:162" s="12" customFormat="1" x14ac:dyDescent="0.2">
      <c r="B249" s="149"/>
      <c r="D249" s="138" t="s">
        <v>301</v>
      </c>
      <c r="E249" s="150" t="s">
        <v>1</v>
      </c>
      <c r="F249" s="151" t="s">
        <v>1911</v>
      </c>
      <c r="H249" s="152">
        <v>7.5</v>
      </c>
      <c r="I249" s="153"/>
      <c r="L249" s="149"/>
      <c r="N249" s="217"/>
      <c r="O249" s="218"/>
      <c r="Q249" s="231"/>
      <c r="DF249" s="154"/>
      <c r="DM249" s="155"/>
      <c r="EM249" s="150" t="s">
        <v>301</v>
      </c>
      <c r="EN249" s="150" t="s">
        <v>83</v>
      </c>
      <c r="EO249" s="12" t="s">
        <v>83</v>
      </c>
      <c r="EP249" s="12" t="s">
        <v>32</v>
      </c>
      <c r="EQ249" s="12" t="s">
        <v>81</v>
      </c>
      <c r="ER249" s="150" t="s">
        <v>282</v>
      </c>
    </row>
    <row r="250" spans="2:162" s="1" customFormat="1" ht="24.2" customHeight="1" x14ac:dyDescent="0.2">
      <c r="B250" s="124"/>
      <c r="C250" s="125" t="s">
        <v>489</v>
      </c>
      <c r="D250" s="125" t="s">
        <v>284</v>
      </c>
      <c r="E250" s="126" t="s">
        <v>1912</v>
      </c>
      <c r="F250" s="127" t="s">
        <v>1913</v>
      </c>
      <c r="G250" s="128" t="s">
        <v>366</v>
      </c>
      <c r="H250" s="129">
        <v>0.5</v>
      </c>
      <c r="I250" s="130">
        <v>5294.7542038360798</v>
      </c>
      <c r="J250" s="131">
        <f>ROUND(I250*H250,2)</f>
        <v>2647.38</v>
      </c>
      <c r="K250" s="127" t="s">
        <v>1</v>
      </c>
      <c r="L250" s="268">
        <f>S250</f>
        <v>0</v>
      </c>
      <c r="M250" s="272">
        <f>ROUND(L250*I250,2)</f>
        <v>0</v>
      </c>
      <c r="N250" s="243"/>
      <c r="O250" s="294">
        <f>ROUND(N250*I250,2)</f>
        <v>0</v>
      </c>
      <c r="P250" s="273">
        <f>H250-L250-N250</f>
        <v>0.5</v>
      </c>
      <c r="Q250" s="287">
        <f>ROUND(P250*I250,2)</f>
        <v>2647.38</v>
      </c>
      <c r="R250" s="137"/>
      <c r="S250" s="269">
        <f>W250+Y250+AA250+AC250+AE250+AG250+AI250</f>
        <v>0</v>
      </c>
      <c r="T250" s="269">
        <f>ROUND(S250*I250,2)</f>
        <v>0</v>
      </c>
      <c r="U250" s="269">
        <f>H250-S250</f>
        <v>0.5</v>
      </c>
      <c r="V250" s="269">
        <f>ROUND(U250*I250,2)</f>
        <v>2647.38</v>
      </c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DF250" s="132" t="s">
        <v>1</v>
      </c>
      <c r="DG250" s="133" t="s">
        <v>40</v>
      </c>
      <c r="DI250" s="134">
        <f>DH250*H250</f>
        <v>0</v>
      </c>
      <c r="DJ250" s="134">
        <v>2.2563399999999998</v>
      </c>
      <c r="DK250" s="134">
        <f>DJ250*H250</f>
        <v>1.1281699999999999</v>
      </c>
      <c r="DL250" s="134">
        <v>0</v>
      </c>
      <c r="DM250" s="135">
        <f>DL250*H250</f>
        <v>0</v>
      </c>
      <c r="EK250" s="136" t="s">
        <v>95</v>
      </c>
      <c r="EM250" s="136" t="s">
        <v>284</v>
      </c>
      <c r="EN250" s="136" t="s">
        <v>83</v>
      </c>
      <c r="ER250" s="16" t="s">
        <v>282</v>
      </c>
      <c r="EX250" s="137">
        <f>IF(DG250="základní",J250,0)</f>
        <v>2647.38</v>
      </c>
      <c r="EY250" s="137">
        <f>IF(DG250="snížená",J250,0)</f>
        <v>0</v>
      </c>
      <c r="EZ250" s="137">
        <f>IF(DG250="zákl. přenesená",J250,0)</f>
        <v>0</v>
      </c>
      <c r="FA250" s="137">
        <f>IF(DG250="sníž. přenesená",J250,0)</f>
        <v>0</v>
      </c>
      <c r="FB250" s="137">
        <f>IF(DG250="nulová",J250,0)</f>
        <v>0</v>
      </c>
      <c r="FC250" s="16" t="s">
        <v>81</v>
      </c>
      <c r="FD250" s="137">
        <f>ROUND(I250*H250,2)</f>
        <v>2647.38</v>
      </c>
      <c r="FE250" s="16" t="s">
        <v>95</v>
      </c>
      <c r="FF250" s="136" t="s">
        <v>1914</v>
      </c>
    </row>
    <row r="251" spans="2:162" s="1" customFormat="1" ht="19.5" x14ac:dyDescent="0.2">
      <c r="B251" s="31"/>
      <c r="D251" s="138" t="s">
        <v>289</v>
      </c>
      <c r="F251" s="139" t="s">
        <v>1915</v>
      </c>
      <c r="I251" s="140"/>
      <c r="L251" s="31"/>
      <c r="N251" s="213"/>
      <c r="O251" s="214"/>
      <c r="Q251" s="229"/>
      <c r="DF251" s="141"/>
      <c r="DM251" s="50"/>
      <c r="EM251" s="16" t="s">
        <v>289</v>
      </c>
      <c r="EN251" s="16" t="s">
        <v>83</v>
      </c>
    </row>
    <row r="252" spans="2:162" s="1" customFormat="1" ht="19.5" x14ac:dyDescent="0.2">
      <c r="B252" s="31"/>
      <c r="D252" s="138" t="s">
        <v>299</v>
      </c>
      <c r="F252" s="142" t="s">
        <v>1795</v>
      </c>
      <c r="I252" s="140"/>
      <c r="L252" s="31"/>
      <c r="N252" s="213"/>
      <c r="O252" s="214"/>
      <c r="Q252" s="229"/>
      <c r="DF252" s="141"/>
      <c r="DM252" s="50"/>
      <c r="EM252" s="16" t="s">
        <v>299</v>
      </c>
      <c r="EN252" s="16" t="s">
        <v>83</v>
      </c>
    </row>
    <row r="253" spans="2:162" s="12" customFormat="1" x14ac:dyDescent="0.2">
      <c r="B253" s="149"/>
      <c r="D253" s="138" t="s">
        <v>301</v>
      </c>
      <c r="E253" s="150" t="s">
        <v>1</v>
      </c>
      <c r="F253" s="151" t="s">
        <v>1916</v>
      </c>
      <c r="H253" s="152">
        <v>0.5</v>
      </c>
      <c r="I253" s="153"/>
      <c r="L253" s="149"/>
      <c r="N253" s="217"/>
      <c r="O253" s="218"/>
      <c r="Q253" s="231"/>
      <c r="DF253" s="154"/>
      <c r="DM253" s="155"/>
      <c r="EM253" s="150" t="s">
        <v>301</v>
      </c>
      <c r="EN253" s="150" t="s">
        <v>83</v>
      </c>
      <c r="EO253" s="12" t="s">
        <v>83</v>
      </c>
      <c r="EP253" s="12" t="s">
        <v>32</v>
      </c>
      <c r="EQ253" s="12" t="s">
        <v>81</v>
      </c>
      <c r="ER253" s="150" t="s">
        <v>282</v>
      </c>
    </row>
    <row r="254" spans="2:162" s="1" customFormat="1" ht="24.2" customHeight="1" x14ac:dyDescent="0.2">
      <c r="B254" s="124"/>
      <c r="C254" s="125" t="s">
        <v>493</v>
      </c>
      <c r="D254" s="125" t="s">
        <v>284</v>
      </c>
      <c r="E254" s="126" t="s">
        <v>1917</v>
      </c>
      <c r="F254" s="127" t="s">
        <v>1918</v>
      </c>
      <c r="G254" s="128" t="s">
        <v>418</v>
      </c>
      <c r="H254" s="129">
        <v>4.7229999999999999</v>
      </c>
      <c r="I254" s="130">
        <v>14500.670050413</v>
      </c>
      <c r="J254" s="131">
        <f>ROUND(I254*H254,2)</f>
        <v>68486.66</v>
      </c>
      <c r="K254" s="127" t="s">
        <v>293</v>
      </c>
      <c r="L254" s="268">
        <f>S254</f>
        <v>0</v>
      </c>
      <c r="M254" s="272">
        <f>ROUND(L254*I254,2)</f>
        <v>0</v>
      </c>
      <c r="N254" s="243"/>
      <c r="O254" s="294">
        <f>ROUND(N254*I254,2)</f>
        <v>0</v>
      </c>
      <c r="P254" s="273">
        <f>H254-L254-N254</f>
        <v>4.7229999999999999</v>
      </c>
      <c r="Q254" s="287">
        <f>ROUND(P254*I254,2)</f>
        <v>68486.66</v>
      </c>
      <c r="R254" s="137"/>
      <c r="S254" s="269">
        <f>W254+Y254+AA254+AC254+AE254+AG254+AI254</f>
        <v>0</v>
      </c>
      <c r="T254" s="269">
        <f>ROUND(S254*I254,2)</f>
        <v>0</v>
      </c>
      <c r="U254" s="269">
        <f>H254-S254</f>
        <v>4.7229999999999999</v>
      </c>
      <c r="V254" s="269">
        <f>ROUND(U254*I254,2)</f>
        <v>68486.66</v>
      </c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DF254" s="132" t="s">
        <v>1</v>
      </c>
      <c r="DG254" s="133" t="s">
        <v>40</v>
      </c>
      <c r="DI254" s="134">
        <f>DH254*H254</f>
        <v>0</v>
      </c>
      <c r="DJ254" s="134">
        <v>9.9510000000000001E-2</v>
      </c>
      <c r="DK254" s="134">
        <f>DJ254*H254</f>
        <v>0.46998572999999999</v>
      </c>
      <c r="DL254" s="134">
        <v>0</v>
      </c>
      <c r="DM254" s="135">
        <f>DL254*H254</f>
        <v>0</v>
      </c>
      <c r="EK254" s="136" t="s">
        <v>95</v>
      </c>
      <c r="EM254" s="136" t="s">
        <v>284</v>
      </c>
      <c r="EN254" s="136" t="s">
        <v>83</v>
      </c>
      <c r="ER254" s="16" t="s">
        <v>282</v>
      </c>
      <c r="EX254" s="137">
        <f>IF(DG254="základní",J254,0)</f>
        <v>68486.66</v>
      </c>
      <c r="EY254" s="137">
        <f>IF(DG254="snížená",J254,0)</f>
        <v>0</v>
      </c>
      <c r="EZ254" s="137">
        <f>IF(DG254="zákl. přenesená",J254,0)</f>
        <v>0</v>
      </c>
      <c r="FA254" s="137">
        <f>IF(DG254="sníž. přenesená",J254,0)</f>
        <v>0</v>
      </c>
      <c r="FB254" s="137">
        <f>IF(DG254="nulová",J254,0)</f>
        <v>0</v>
      </c>
      <c r="FC254" s="16" t="s">
        <v>81</v>
      </c>
      <c r="FD254" s="137">
        <f>ROUND(I254*H254,2)</f>
        <v>68486.66</v>
      </c>
      <c r="FE254" s="16" t="s">
        <v>95</v>
      </c>
      <c r="FF254" s="136" t="s">
        <v>1919</v>
      </c>
    </row>
    <row r="255" spans="2:162" s="1" customFormat="1" ht="19.5" x14ac:dyDescent="0.2">
      <c r="B255" s="31"/>
      <c r="D255" s="138" t="s">
        <v>289</v>
      </c>
      <c r="F255" s="139" t="s">
        <v>1920</v>
      </c>
      <c r="I255" s="140"/>
      <c r="L255" s="31"/>
      <c r="N255" s="213"/>
      <c r="O255" s="214"/>
      <c r="Q255" s="229"/>
      <c r="DF255" s="141"/>
      <c r="DM255" s="50"/>
      <c r="EM255" s="16" t="s">
        <v>289</v>
      </c>
      <c r="EN255" s="16" t="s">
        <v>83</v>
      </c>
    </row>
    <row r="256" spans="2:162" s="1" customFormat="1" ht="19.5" x14ac:dyDescent="0.2">
      <c r="B256" s="31"/>
      <c r="D256" s="138" t="s">
        <v>299</v>
      </c>
      <c r="F256" s="142" t="s">
        <v>1795</v>
      </c>
      <c r="I256" s="140"/>
      <c r="L256" s="31"/>
      <c r="N256" s="213"/>
      <c r="O256" s="214"/>
      <c r="Q256" s="229"/>
      <c r="DF256" s="141"/>
      <c r="DM256" s="50"/>
      <c r="EM256" s="16" t="s">
        <v>299</v>
      </c>
      <c r="EN256" s="16" t="s">
        <v>83</v>
      </c>
    </row>
    <row r="257" spans="2:162" s="12" customFormat="1" x14ac:dyDescent="0.2">
      <c r="B257" s="149"/>
      <c r="D257" s="138" t="s">
        <v>301</v>
      </c>
      <c r="E257" s="150" t="s">
        <v>1</v>
      </c>
      <c r="F257" s="151" t="s">
        <v>1921</v>
      </c>
      <c r="H257" s="152">
        <v>4.7229999999999999</v>
      </c>
      <c r="I257" s="153"/>
      <c r="L257" s="149"/>
      <c r="N257" s="217"/>
      <c r="O257" s="218"/>
      <c r="Q257" s="231"/>
      <c r="DF257" s="154"/>
      <c r="DM257" s="155"/>
      <c r="EM257" s="150" t="s">
        <v>301</v>
      </c>
      <c r="EN257" s="150" t="s">
        <v>83</v>
      </c>
      <c r="EO257" s="12" t="s">
        <v>83</v>
      </c>
      <c r="EP257" s="12" t="s">
        <v>32</v>
      </c>
      <c r="EQ257" s="12" t="s">
        <v>81</v>
      </c>
      <c r="ER257" s="150" t="s">
        <v>282</v>
      </c>
    </row>
    <row r="258" spans="2:162" s="1" customFormat="1" ht="14.45" customHeight="1" x14ac:dyDescent="0.2">
      <c r="B258" s="124"/>
      <c r="C258" s="170" t="s">
        <v>497</v>
      </c>
      <c r="D258" s="170" t="s">
        <v>439</v>
      </c>
      <c r="E258" s="171" t="s">
        <v>1922</v>
      </c>
      <c r="F258" s="172" t="s">
        <v>1923</v>
      </c>
      <c r="G258" s="173" t="s">
        <v>418</v>
      </c>
      <c r="H258" s="174">
        <v>4.7229999999999999</v>
      </c>
      <c r="I258" s="175">
        <v>30353.72192</v>
      </c>
      <c r="J258" s="176">
        <f>ROUND(I258*H258,2)</f>
        <v>143360.63</v>
      </c>
      <c r="K258" s="172" t="s">
        <v>293</v>
      </c>
      <c r="L258" s="268">
        <f>S258</f>
        <v>0</v>
      </c>
      <c r="M258" s="272">
        <f>ROUND(L258*I258,2)</f>
        <v>0</v>
      </c>
      <c r="N258" s="243"/>
      <c r="O258" s="294">
        <f>ROUND(N258*I258,2)</f>
        <v>0</v>
      </c>
      <c r="P258" s="273">
        <f>H258-L258-N258</f>
        <v>4.7229999999999999</v>
      </c>
      <c r="Q258" s="287">
        <f>ROUND(P258*I258,2)</f>
        <v>143360.63</v>
      </c>
      <c r="R258" s="137"/>
      <c r="S258" s="269">
        <f>W258+Y258+AA258+AC258+AE258+AG258+AI258</f>
        <v>0</v>
      </c>
      <c r="T258" s="269">
        <f>ROUND(S258*I258,2)</f>
        <v>0</v>
      </c>
      <c r="U258" s="269">
        <f>H258-S258</f>
        <v>4.7229999999999999</v>
      </c>
      <c r="V258" s="269">
        <f>ROUND(U258*I258,2)</f>
        <v>143360.63</v>
      </c>
      <c r="W258" s="290"/>
      <c r="X258" s="290"/>
      <c r="Y258" s="290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90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77" t="s">
        <v>1</v>
      </c>
      <c r="DG258" s="178" t="s">
        <v>40</v>
      </c>
      <c r="DI258" s="134">
        <f>DH258*H258</f>
        <v>0</v>
      </c>
      <c r="DJ258" s="134">
        <v>1</v>
      </c>
      <c r="DK258" s="134">
        <f>DJ258*H258</f>
        <v>4.7229999999999999</v>
      </c>
      <c r="DL258" s="134">
        <v>0</v>
      </c>
      <c r="DM258" s="135">
        <f>DL258*H258</f>
        <v>0</v>
      </c>
      <c r="EK258" s="136" t="s">
        <v>328</v>
      </c>
      <c r="EM258" s="136" t="s">
        <v>439</v>
      </c>
      <c r="EN258" s="136" t="s">
        <v>83</v>
      </c>
      <c r="ER258" s="16" t="s">
        <v>282</v>
      </c>
      <c r="EX258" s="137">
        <f>IF(DG258="základní",J258,0)</f>
        <v>143360.63</v>
      </c>
      <c r="EY258" s="137">
        <f>IF(DG258="snížená",J258,0)</f>
        <v>0</v>
      </c>
      <c r="EZ258" s="137">
        <f>IF(DG258="zákl. přenesená",J258,0)</f>
        <v>0</v>
      </c>
      <c r="FA258" s="137">
        <f>IF(DG258="sníž. přenesená",J258,0)</f>
        <v>0</v>
      </c>
      <c r="FB258" s="137">
        <f>IF(DG258="nulová",J258,0)</f>
        <v>0</v>
      </c>
      <c r="FC258" s="16" t="s">
        <v>81</v>
      </c>
      <c r="FD258" s="137">
        <f>ROUND(I258*H258,2)</f>
        <v>143360.63</v>
      </c>
      <c r="FE258" s="16" t="s">
        <v>95</v>
      </c>
      <c r="FF258" s="136" t="s">
        <v>1924</v>
      </c>
    </row>
    <row r="259" spans="2:162" s="1" customFormat="1" x14ac:dyDescent="0.2">
      <c r="B259" s="31"/>
      <c r="D259" s="138" t="s">
        <v>289</v>
      </c>
      <c r="F259" s="139" t="s">
        <v>1923</v>
      </c>
      <c r="I259" s="140"/>
      <c r="L259" s="31"/>
      <c r="N259" s="213"/>
      <c r="O259" s="214"/>
      <c r="Q259" s="229"/>
      <c r="DF259" s="141"/>
      <c r="DM259" s="50"/>
      <c r="EM259" s="16" t="s">
        <v>289</v>
      </c>
      <c r="EN259" s="16" t="s">
        <v>83</v>
      </c>
    </row>
    <row r="260" spans="2:162" s="1" customFormat="1" ht="24.2" customHeight="1" x14ac:dyDescent="0.2">
      <c r="B260" s="124"/>
      <c r="C260" s="125" t="s">
        <v>501</v>
      </c>
      <c r="D260" s="125" t="s">
        <v>284</v>
      </c>
      <c r="E260" s="126" t="s">
        <v>1925</v>
      </c>
      <c r="F260" s="127" t="s">
        <v>1926</v>
      </c>
      <c r="G260" s="128" t="s">
        <v>418</v>
      </c>
      <c r="H260" s="129">
        <v>4.7229999999999999</v>
      </c>
      <c r="I260" s="130">
        <v>4765.1989558198602</v>
      </c>
      <c r="J260" s="131">
        <f>ROUND(I260*H260,2)</f>
        <v>22506.03</v>
      </c>
      <c r="K260" s="127" t="s">
        <v>293</v>
      </c>
      <c r="L260" s="268">
        <f>S260</f>
        <v>0</v>
      </c>
      <c r="M260" s="272">
        <f>ROUND(L260*I260,2)</f>
        <v>0</v>
      </c>
      <c r="N260" s="243"/>
      <c r="O260" s="294">
        <f>ROUND(N260*I260,2)</f>
        <v>0</v>
      </c>
      <c r="P260" s="273">
        <f>H260-L260-N260</f>
        <v>4.7229999999999999</v>
      </c>
      <c r="Q260" s="287">
        <f>ROUND(P260*I260,2)</f>
        <v>22506.03</v>
      </c>
      <c r="R260" s="137"/>
      <c r="S260" s="269">
        <f>W260+Y260+AA260+AC260+AE260+AG260+AI260</f>
        <v>0</v>
      </c>
      <c r="T260" s="269">
        <f>ROUND(S260*I260,2)</f>
        <v>0</v>
      </c>
      <c r="U260" s="269">
        <f>H260-S260</f>
        <v>4.7229999999999999</v>
      </c>
      <c r="V260" s="269">
        <f>ROUND(U260*I260,2)</f>
        <v>22506.03</v>
      </c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DF260" s="132" t="s">
        <v>1</v>
      </c>
      <c r="DG260" s="133" t="s">
        <v>40</v>
      </c>
      <c r="DI260" s="134">
        <f>DH260*H260</f>
        <v>0</v>
      </c>
      <c r="DJ260" s="134">
        <v>0</v>
      </c>
      <c r="DK260" s="134">
        <f>DJ260*H260</f>
        <v>0</v>
      </c>
      <c r="DL260" s="134">
        <v>0</v>
      </c>
      <c r="DM260" s="135">
        <f>DL260*H260</f>
        <v>0</v>
      </c>
      <c r="EK260" s="136" t="s">
        <v>95</v>
      </c>
      <c r="EM260" s="136" t="s">
        <v>284</v>
      </c>
      <c r="EN260" s="136" t="s">
        <v>83</v>
      </c>
      <c r="ER260" s="16" t="s">
        <v>282</v>
      </c>
      <c r="EX260" s="137">
        <f>IF(DG260="základní",J260,0)</f>
        <v>22506.03</v>
      </c>
      <c r="EY260" s="137">
        <f>IF(DG260="snížená",J260,0)</f>
        <v>0</v>
      </c>
      <c r="EZ260" s="137">
        <f>IF(DG260="zákl. přenesená",J260,0)</f>
        <v>0</v>
      </c>
      <c r="FA260" s="137">
        <f>IF(DG260="sníž. přenesená",J260,0)</f>
        <v>0</v>
      </c>
      <c r="FB260" s="137">
        <f>IF(DG260="nulová",J260,0)</f>
        <v>0</v>
      </c>
      <c r="FC260" s="16" t="s">
        <v>81</v>
      </c>
      <c r="FD260" s="137">
        <f>ROUND(I260*H260,2)</f>
        <v>22506.03</v>
      </c>
      <c r="FE260" s="16" t="s">
        <v>95</v>
      </c>
      <c r="FF260" s="136" t="s">
        <v>1927</v>
      </c>
    </row>
    <row r="261" spans="2:162" s="1" customFormat="1" ht="19.5" x14ac:dyDescent="0.2">
      <c r="B261" s="31"/>
      <c r="D261" s="138" t="s">
        <v>289</v>
      </c>
      <c r="F261" s="139" t="s">
        <v>1928</v>
      </c>
      <c r="I261" s="140"/>
      <c r="L261" s="31"/>
      <c r="N261" s="213"/>
      <c r="O261" s="214"/>
      <c r="Q261" s="229"/>
      <c r="DF261" s="141"/>
      <c r="DM261" s="50"/>
      <c r="EM261" s="16" t="s">
        <v>289</v>
      </c>
      <c r="EN261" s="16" t="s">
        <v>83</v>
      </c>
    </row>
    <row r="262" spans="2:162" s="10" customFormat="1" ht="22.9" customHeight="1" x14ac:dyDescent="0.2">
      <c r="B262" s="112"/>
      <c r="D262" s="113" t="s">
        <v>73</v>
      </c>
      <c r="E262" s="122" t="s">
        <v>95</v>
      </c>
      <c r="F262" s="122" t="s">
        <v>469</v>
      </c>
      <c r="I262" s="115"/>
      <c r="J262" s="123">
        <f>FD262</f>
        <v>4812.2299999999996</v>
      </c>
      <c r="L262" s="112"/>
      <c r="M262" s="270">
        <f>M263+M268</f>
        <v>0</v>
      </c>
      <c r="N262" s="301"/>
      <c r="O262" s="302">
        <f t="shared" ref="O262:V262" si="4">O263+O268</f>
        <v>0</v>
      </c>
      <c r="P262" s="270"/>
      <c r="Q262" s="288">
        <f t="shared" si="4"/>
        <v>4812.2299999999996</v>
      </c>
      <c r="R262" s="270"/>
      <c r="S262" s="270"/>
      <c r="T262" s="270">
        <f t="shared" si="4"/>
        <v>0</v>
      </c>
      <c r="U262" s="270"/>
      <c r="V262" s="270">
        <f t="shared" si="4"/>
        <v>4812.2299999999996</v>
      </c>
      <c r="DF262" s="117"/>
      <c r="DI262" s="118">
        <f>SUM(DI263:DI271)</f>
        <v>0</v>
      </c>
      <c r="DK262" s="118">
        <f>SUM(DK263:DK271)</f>
        <v>2.3941177099999997</v>
      </c>
      <c r="DM262" s="119">
        <f>SUM(DM263:DM271)</f>
        <v>0</v>
      </c>
      <c r="EK262" s="113" t="s">
        <v>81</v>
      </c>
      <c r="EM262" s="120" t="s">
        <v>73</v>
      </c>
      <c r="EN262" s="120" t="s">
        <v>81</v>
      </c>
      <c r="ER262" s="113" t="s">
        <v>282</v>
      </c>
      <c r="FD262" s="121">
        <f>SUM(FD263:FD271)</f>
        <v>4812.2299999999996</v>
      </c>
    </row>
    <row r="263" spans="2:162" s="1" customFormat="1" ht="14.45" customHeight="1" x14ac:dyDescent="0.2">
      <c r="B263" s="124"/>
      <c r="C263" s="125" t="s">
        <v>505</v>
      </c>
      <c r="D263" s="125" t="s">
        <v>284</v>
      </c>
      <c r="E263" s="126" t="s">
        <v>1929</v>
      </c>
      <c r="F263" s="127" t="s">
        <v>1930</v>
      </c>
      <c r="G263" s="128" t="s">
        <v>366</v>
      </c>
      <c r="H263" s="129">
        <v>0.95199999999999996</v>
      </c>
      <c r="I263" s="130">
        <v>3431.8783609800612</v>
      </c>
      <c r="J263" s="131">
        <f>ROUND(I263*H263,2)</f>
        <v>3267.15</v>
      </c>
      <c r="K263" s="127" t="s">
        <v>293</v>
      </c>
      <c r="L263" s="268">
        <f>S263</f>
        <v>0</v>
      </c>
      <c r="M263" s="272">
        <f>ROUND(L263*I263,2)</f>
        <v>0</v>
      </c>
      <c r="N263" s="243"/>
      <c r="O263" s="294">
        <f>ROUND(N263*I263,2)</f>
        <v>0</v>
      </c>
      <c r="P263" s="273">
        <f>H263-L263-N263</f>
        <v>0.95199999999999996</v>
      </c>
      <c r="Q263" s="287">
        <f>ROUND(P263*I263,2)</f>
        <v>3267.15</v>
      </c>
      <c r="R263" s="137"/>
      <c r="S263" s="269">
        <f>W263+Y263+AA263+AC263+AE263+AG263+AI263</f>
        <v>0</v>
      </c>
      <c r="T263" s="269">
        <f>ROUND(S263*I263,2)</f>
        <v>0</v>
      </c>
      <c r="U263" s="269">
        <f>H263-S263</f>
        <v>0.95199999999999996</v>
      </c>
      <c r="V263" s="269">
        <f>ROUND(U263*I263,2)</f>
        <v>3267.15</v>
      </c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DF263" s="132" t="s">
        <v>1</v>
      </c>
      <c r="DG263" s="133" t="s">
        <v>40</v>
      </c>
      <c r="DI263" s="134">
        <f>DH263*H263</f>
        <v>0</v>
      </c>
      <c r="DJ263" s="134">
        <v>2.45343</v>
      </c>
      <c r="DK263" s="134">
        <f>DJ263*H263</f>
        <v>2.3356653599999997</v>
      </c>
      <c r="DL263" s="134">
        <v>0</v>
      </c>
      <c r="DM263" s="135">
        <f>DL263*H263</f>
        <v>0</v>
      </c>
      <c r="EK263" s="136" t="s">
        <v>95</v>
      </c>
      <c r="EM263" s="136" t="s">
        <v>284</v>
      </c>
      <c r="EN263" s="136" t="s">
        <v>83</v>
      </c>
      <c r="ER263" s="16" t="s">
        <v>282</v>
      </c>
      <c r="EX263" s="137">
        <f>IF(DG263="základní",J263,0)</f>
        <v>3267.15</v>
      </c>
      <c r="EY263" s="137">
        <f>IF(DG263="snížená",J263,0)</f>
        <v>0</v>
      </c>
      <c r="EZ263" s="137">
        <f>IF(DG263="zákl. přenesená",J263,0)</f>
        <v>0</v>
      </c>
      <c r="FA263" s="137">
        <f>IF(DG263="sníž. přenesená",J263,0)</f>
        <v>0</v>
      </c>
      <c r="FB263" s="137">
        <f>IF(DG263="nulová",J263,0)</f>
        <v>0</v>
      </c>
      <c r="FC263" s="16" t="s">
        <v>81</v>
      </c>
      <c r="FD263" s="137">
        <f>ROUND(I263*H263,2)</f>
        <v>3267.15</v>
      </c>
      <c r="FE263" s="16" t="s">
        <v>95</v>
      </c>
      <c r="FF263" s="136" t="s">
        <v>1931</v>
      </c>
    </row>
    <row r="264" spans="2:162" s="1" customFormat="1" ht="29.25" x14ac:dyDescent="0.2">
      <c r="B264" s="31"/>
      <c r="D264" s="138" t="s">
        <v>289</v>
      </c>
      <c r="F264" s="139" t="s">
        <v>1932</v>
      </c>
      <c r="I264" s="140"/>
      <c r="L264" s="31"/>
      <c r="N264" s="213"/>
      <c r="O264" s="214"/>
      <c r="Q264" s="229"/>
      <c r="DF264" s="141"/>
      <c r="DM264" s="50"/>
      <c r="EM264" s="16" t="s">
        <v>289</v>
      </c>
      <c r="EN264" s="16" t="s">
        <v>83</v>
      </c>
    </row>
    <row r="265" spans="2:162" s="1" customFormat="1" ht="19.5" x14ac:dyDescent="0.2">
      <c r="B265" s="31"/>
      <c r="D265" s="138" t="s">
        <v>299</v>
      </c>
      <c r="F265" s="142" t="s">
        <v>1795</v>
      </c>
      <c r="I265" s="140"/>
      <c r="L265" s="31"/>
      <c r="N265" s="213"/>
      <c r="O265" s="214"/>
      <c r="Q265" s="229"/>
      <c r="DF265" s="141"/>
      <c r="DM265" s="50"/>
      <c r="EM265" s="16" t="s">
        <v>299</v>
      </c>
      <c r="EN265" s="16" t="s">
        <v>83</v>
      </c>
    </row>
    <row r="266" spans="2:162" s="11" customFormat="1" x14ac:dyDescent="0.2">
      <c r="B266" s="143"/>
      <c r="D266" s="138" t="s">
        <v>301</v>
      </c>
      <c r="E266" s="144" t="s">
        <v>1</v>
      </c>
      <c r="F266" s="145" t="s">
        <v>1933</v>
      </c>
      <c r="H266" s="144" t="s">
        <v>1</v>
      </c>
      <c r="I266" s="146"/>
      <c r="L266" s="143"/>
      <c r="N266" s="215"/>
      <c r="O266" s="216"/>
      <c r="Q266" s="230"/>
      <c r="DF266" s="147"/>
      <c r="DM266" s="148"/>
      <c r="EM266" s="144" t="s">
        <v>301</v>
      </c>
      <c r="EN266" s="144" t="s">
        <v>83</v>
      </c>
      <c r="EO266" s="11" t="s">
        <v>81</v>
      </c>
      <c r="EP266" s="11" t="s">
        <v>32</v>
      </c>
      <c r="EQ266" s="11" t="s">
        <v>74</v>
      </c>
      <c r="ER266" s="144" t="s">
        <v>282</v>
      </c>
    </row>
    <row r="267" spans="2:162" s="12" customFormat="1" x14ac:dyDescent="0.2">
      <c r="B267" s="149"/>
      <c r="D267" s="138" t="s">
        <v>301</v>
      </c>
      <c r="E267" s="150" t="s">
        <v>1</v>
      </c>
      <c r="F267" s="151" t="s">
        <v>1934</v>
      </c>
      <c r="H267" s="152">
        <v>0.95199999999999996</v>
      </c>
      <c r="I267" s="153"/>
      <c r="L267" s="149"/>
      <c r="N267" s="217"/>
      <c r="O267" s="218"/>
      <c r="Q267" s="231"/>
      <c r="DF267" s="154"/>
      <c r="DM267" s="155"/>
      <c r="EM267" s="150" t="s">
        <v>301</v>
      </c>
      <c r="EN267" s="150" t="s">
        <v>83</v>
      </c>
      <c r="EO267" s="12" t="s">
        <v>83</v>
      </c>
      <c r="EP267" s="12" t="s">
        <v>32</v>
      </c>
      <c r="EQ267" s="12" t="s">
        <v>81</v>
      </c>
      <c r="ER267" s="150" t="s">
        <v>282</v>
      </c>
    </row>
    <row r="268" spans="2:162" s="1" customFormat="1" ht="14.45" customHeight="1" x14ac:dyDescent="0.2">
      <c r="B268" s="124"/>
      <c r="C268" s="125" t="s">
        <v>510</v>
      </c>
      <c r="D268" s="125" t="s">
        <v>284</v>
      </c>
      <c r="E268" s="126" t="s">
        <v>1935</v>
      </c>
      <c r="F268" s="127" t="s">
        <v>1936</v>
      </c>
      <c r="G268" s="128" t="s">
        <v>418</v>
      </c>
      <c r="H268" s="129">
        <v>5.5E-2</v>
      </c>
      <c r="I268" s="130">
        <v>28092.34584524966</v>
      </c>
      <c r="J268" s="131">
        <f>ROUND(I268*H268,2)</f>
        <v>1545.08</v>
      </c>
      <c r="K268" s="127" t="s">
        <v>293</v>
      </c>
      <c r="L268" s="268">
        <f>S268</f>
        <v>0</v>
      </c>
      <c r="M268" s="272">
        <f>ROUND(L268*I268,2)</f>
        <v>0</v>
      </c>
      <c r="N268" s="243"/>
      <c r="O268" s="294">
        <f>ROUND(N268*I268,2)</f>
        <v>0</v>
      </c>
      <c r="P268" s="273">
        <f>H268-L268-N268</f>
        <v>5.5E-2</v>
      </c>
      <c r="Q268" s="287">
        <f>ROUND(P268*I268,2)</f>
        <v>1545.08</v>
      </c>
      <c r="R268" s="137"/>
      <c r="S268" s="269">
        <f>W268+Y268+AA268+AC268+AE268+AG268+AI268</f>
        <v>0</v>
      </c>
      <c r="T268" s="269">
        <f>ROUND(S268*I268,2)</f>
        <v>0</v>
      </c>
      <c r="U268" s="269">
        <f>H268-S268</f>
        <v>5.5E-2</v>
      </c>
      <c r="V268" s="269">
        <f>ROUND(U268*I268,2)</f>
        <v>1545.08</v>
      </c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DF268" s="132" t="s">
        <v>1</v>
      </c>
      <c r="DG268" s="133" t="s">
        <v>40</v>
      </c>
      <c r="DI268" s="134">
        <f>DH268*H268</f>
        <v>0</v>
      </c>
      <c r="DJ268" s="134">
        <v>1.06277</v>
      </c>
      <c r="DK268" s="134">
        <f>DJ268*H268</f>
        <v>5.845235E-2</v>
      </c>
      <c r="DL268" s="134">
        <v>0</v>
      </c>
      <c r="DM268" s="135">
        <f>DL268*H268</f>
        <v>0</v>
      </c>
      <c r="EK268" s="136" t="s">
        <v>95</v>
      </c>
      <c r="EM268" s="136" t="s">
        <v>284</v>
      </c>
      <c r="EN268" s="136" t="s">
        <v>83</v>
      </c>
      <c r="ER268" s="16" t="s">
        <v>282</v>
      </c>
      <c r="EX268" s="137">
        <f>IF(DG268="základní",J268,0)</f>
        <v>1545.08</v>
      </c>
      <c r="EY268" s="137">
        <f>IF(DG268="snížená",J268,0)</f>
        <v>0</v>
      </c>
      <c r="EZ268" s="137">
        <f>IF(DG268="zákl. přenesená",J268,0)</f>
        <v>0</v>
      </c>
      <c r="FA268" s="137">
        <f>IF(DG268="sníž. přenesená",J268,0)</f>
        <v>0</v>
      </c>
      <c r="FB268" s="137">
        <f>IF(DG268="nulová",J268,0)</f>
        <v>0</v>
      </c>
      <c r="FC268" s="16" t="s">
        <v>81</v>
      </c>
      <c r="FD268" s="137">
        <f>ROUND(I268*H268,2)</f>
        <v>1545.08</v>
      </c>
      <c r="FE268" s="16" t="s">
        <v>95</v>
      </c>
      <c r="FF268" s="136" t="s">
        <v>1937</v>
      </c>
    </row>
    <row r="269" spans="2:162" s="1" customFormat="1" ht="48.75" x14ac:dyDescent="0.2">
      <c r="B269" s="31"/>
      <c r="D269" s="138" t="s">
        <v>289</v>
      </c>
      <c r="F269" s="139" t="s">
        <v>1938</v>
      </c>
      <c r="I269" s="140"/>
      <c r="L269" s="31"/>
      <c r="N269" s="213"/>
      <c r="O269" s="214"/>
      <c r="Q269" s="229"/>
      <c r="DF269" s="141"/>
      <c r="DM269" s="50"/>
      <c r="EM269" s="16" t="s">
        <v>289</v>
      </c>
      <c r="EN269" s="16" t="s">
        <v>83</v>
      </c>
    </row>
    <row r="270" spans="2:162" s="1" customFormat="1" ht="19.5" x14ac:dyDescent="0.2">
      <c r="B270" s="31"/>
      <c r="D270" s="138" t="s">
        <v>299</v>
      </c>
      <c r="F270" s="142" t="s">
        <v>1795</v>
      </c>
      <c r="I270" s="140"/>
      <c r="L270" s="31"/>
      <c r="N270" s="213"/>
      <c r="O270" s="214"/>
      <c r="Q270" s="229"/>
      <c r="DF270" s="141"/>
      <c r="DM270" s="50"/>
      <c r="EM270" s="16" t="s">
        <v>299</v>
      </c>
      <c r="EN270" s="16" t="s">
        <v>83</v>
      </c>
    </row>
    <row r="271" spans="2:162" s="12" customFormat="1" x14ac:dyDescent="0.2">
      <c r="B271" s="149"/>
      <c r="D271" s="138" t="s">
        <v>301</v>
      </c>
      <c r="E271" s="150" t="s">
        <v>1</v>
      </c>
      <c r="F271" s="151" t="s">
        <v>1939</v>
      </c>
      <c r="H271" s="152">
        <v>5.5E-2</v>
      </c>
      <c r="I271" s="153"/>
      <c r="L271" s="149"/>
      <c r="N271" s="217"/>
      <c r="O271" s="218"/>
      <c r="Q271" s="231"/>
      <c r="DF271" s="154"/>
      <c r="DM271" s="155"/>
      <c r="EM271" s="150" t="s">
        <v>301</v>
      </c>
      <c r="EN271" s="150" t="s">
        <v>83</v>
      </c>
      <c r="EO271" s="12" t="s">
        <v>83</v>
      </c>
      <c r="EP271" s="12" t="s">
        <v>32</v>
      </c>
      <c r="EQ271" s="12" t="s">
        <v>81</v>
      </c>
      <c r="ER271" s="150" t="s">
        <v>282</v>
      </c>
    </row>
    <row r="272" spans="2:162" s="10" customFormat="1" ht="22.9" customHeight="1" x14ac:dyDescent="0.2">
      <c r="B272" s="112"/>
      <c r="D272" s="113" t="s">
        <v>73</v>
      </c>
      <c r="E272" s="122" t="s">
        <v>312</v>
      </c>
      <c r="F272" s="122" t="s">
        <v>520</v>
      </c>
      <c r="I272" s="115"/>
      <c r="J272" s="123">
        <f>FD272</f>
        <v>27817.53</v>
      </c>
      <c r="L272" s="112"/>
      <c r="M272" s="270">
        <f>SUM(M273:M286)</f>
        <v>0</v>
      </c>
      <c r="N272" s="301"/>
      <c r="O272" s="302">
        <f t="shared" ref="O272:V272" si="5">SUM(O273:O286)</f>
        <v>0</v>
      </c>
      <c r="P272" s="270"/>
      <c r="Q272" s="288">
        <f t="shared" si="5"/>
        <v>27817.53</v>
      </c>
      <c r="R272" s="270"/>
      <c r="S272" s="270"/>
      <c r="T272" s="270">
        <f t="shared" si="5"/>
        <v>0</v>
      </c>
      <c r="U272" s="270"/>
      <c r="V272" s="270">
        <f t="shared" si="5"/>
        <v>27817.53</v>
      </c>
      <c r="DF272" s="117"/>
      <c r="DI272" s="118">
        <f>SUM(DI273:DI290)</f>
        <v>0</v>
      </c>
      <c r="DK272" s="118">
        <f>SUM(DK273:DK290)</f>
        <v>0</v>
      </c>
      <c r="DM272" s="119">
        <f>SUM(DM273:DM290)</f>
        <v>0</v>
      </c>
      <c r="EK272" s="113" t="s">
        <v>81</v>
      </c>
      <c r="EM272" s="120" t="s">
        <v>73</v>
      </c>
      <c r="EN272" s="120" t="s">
        <v>81</v>
      </c>
      <c r="ER272" s="113" t="s">
        <v>282</v>
      </c>
      <c r="FD272" s="121">
        <f>SUM(FD273:FD290)</f>
        <v>27817.53</v>
      </c>
    </row>
    <row r="273" spans="2:162" s="1" customFormat="1" ht="24.2" customHeight="1" x14ac:dyDescent="0.2">
      <c r="B273" s="124"/>
      <c r="C273" s="125" t="s">
        <v>514</v>
      </c>
      <c r="D273" s="125" t="s">
        <v>284</v>
      </c>
      <c r="E273" s="126" t="s">
        <v>522</v>
      </c>
      <c r="F273" s="127" t="s">
        <v>523</v>
      </c>
      <c r="G273" s="128" t="s">
        <v>287</v>
      </c>
      <c r="H273" s="129">
        <v>24.01</v>
      </c>
      <c r="I273" s="130">
        <v>130.95617506780872</v>
      </c>
      <c r="J273" s="131">
        <f>ROUND(I273*H273,2)</f>
        <v>3144.26</v>
      </c>
      <c r="K273" s="127" t="s">
        <v>293</v>
      </c>
      <c r="L273" s="268">
        <f>S273</f>
        <v>0</v>
      </c>
      <c r="M273" s="272">
        <f>ROUND(L273*I273,2)</f>
        <v>0</v>
      </c>
      <c r="N273" s="243"/>
      <c r="O273" s="294">
        <f>ROUND(N273*I273,2)</f>
        <v>0</v>
      </c>
      <c r="P273" s="273">
        <f>H273-L273-N273</f>
        <v>24.01</v>
      </c>
      <c r="Q273" s="287">
        <f>ROUND(P273*I273,2)</f>
        <v>3144.26</v>
      </c>
      <c r="R273" s="137"/>
      <c r="S273" s="269">
        <f>W273+Y273+AA273+AC273+AE273+AG273+AI273</f>
        <v>0</v>
      </c>
      <c r="T273" s="269">
        <f>ROUND(S273*I273,2)</f>
        <v>0</v>
      </c>
      <c r="U273" s="269">
        <f>H273-S273</f>
        <v>24.01</v>
      </c>
      <c r="V273" s="269">
        <f>ROUND(U273*I273,2)</f>
        <v>3144.26</v>
      </c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DF273" s="132" t="s">
        <v>1</v>
      </c>
      <c r="DG273" s="133" t="s">
        <v>40</v>
      </c>
      <c r="DI273" s="134">
        <f>DH273*H273</f>
        <v>0</v>
      </c>
      <c r="DJ273" s="134">
        <v>0</v>
      </c>
      <c r="DK273" s="134">
        <f>DJ273*H273</f>
        <v>0</v>
      </c>
      <c r="DL273" s="134">
        <v>0</v>
      </c>
      <c r="DM273" s="135">
        <f>DL273*H273</f>
        <v>0</v>
      </c>
      <c r="EK273" s="136" t="s">
        <v>95</v>
      </c>
      <c r="EM273" s="136" t="s">
        <v>284</v>
      </c>
      <c r="EN273" s="136" t="s">
        <v>83</v>
      </c>
      <c r="ER273" s="16" t="s">
        <v>282</v>
      </c>
      <c r="EX273" s="137">
        <f>IF(DG273="základní",J273,0)</f>
        <v>3144.26</v>
      </c>
      <c r="EY273" s="137">
        <f>IF(DG273="snížená",J273,0)</f>
        <v>0</v>
      </c>
      <c r="EZ273" s="137">
        <f>IF(DG273="zákl. přenesená",J273,0)</f>
        <v>0</v>
      </c>
      <c r="FA273" s="137">
        <f>IF(DG273="sníž. přenesená",J273,0)</f>
        <v>0</v>
      </c>
      <c r="FB273" s="137">
        <f>IF(DG273="nulová",J273,0)</f>
        <v>0</v>
      </c>
      <c r="FC273" s="16" t="s">
        <v>81</v>
      </c>
      <c r="FD273" s="137">
        <f>ROUND(I273*H273,2)</f>
        <v>3144.26</v>
      </c>
      <c r="FE273" s="16" t="s">
        <v>95</v>
      </c>
      <c r="FF273" s="136" t="s">
        <v>1940</v>
      </c>
    </row>
    <row r="274" spans="2:162" s="1" customFormat="1" ht="19.5" x14ac:dyDescent="0.2">
      <c r="B274" s="31"/>
      <c r="D274" s="138" t="s">
        <v>289</v>
      </c>
      <c r="F274" s="139" t="s">
        <v>525</v>
      </c>
      <c r="I274" s="140"/>
      <c r="L274" s="31"/>
      <c r="N274" s="213"/>
      <c r="O274" s="214"/>
      <c r="Q274" s="229"/>
      <c r="DF274" s="141"/>
      <c r="DM274" s="50"/>
      <c r="EM274" s="16" t="s">
        <v>289</v>
      </c>
      <c r="EN274" s="16" t="s">
        <v>83</v>
      </c>
    </row>
    <row r="275" spans="2:162" s="1" customFormat="1" ht="14.45" customHeight="1" x14ac:dyDescent="0.2">
      <c r="B275" s="124"/>
      <c r="C275" s="125" t="s">
        <v>521</v>
      </c>
      <c r="D275" s="125" t="s">
        <v>284</v>
      </c>
      <c r="E275" s="126" t="s">
        <v>527</v>
      </c>
      <c r="F275" s="127" t="s">
        <v>528</v>
      </c>
      <c r="G275" s="128" t="s">
        <v>287</v>
      </c>
      <c r="H275" s="129">
        <v>24.01</v>
      </c>
      <c r="I275" s="130">
        <v>200.20823792465458</v>
      </c>
      <c r="J275" s="131">
        <f>ROUND(I275*H275,2)</f>
        <v>4807</v>
      </c>
      <c r="K275" s="127" t="s">
        <v>293</v>
      </c>
      <c r="L275" s="268">
        <f>S275</f>
        <v>0</v>
      </c>
      <c r="M275" s="272">
        <f>ROUND(L275*I275,2)</f>
        <v>0</v>
      </c>
      <c r="N275" s="243"/>
      <c r="O275" s="294">
        <f>ROUND(N275*I275,2)</f>
        <v>0</v>
      </c>
      <c r="P275" s="273">
        <f>H275-L275-N275</f>
        <v>24.01</v>
      </c>
      <c r="Q275" s="287">
        <f>ROUND(P275*I275,2)</f>
        <v>4807</v>
      </c>
      <c r="R275" s="137"/>
      <c r="S275" s="269">
        <f>W275+Y275+AA275+AC275+AE275+AG275+AI275</f>
        <v>0</v>
      </c>
      <c r="T275" s="269">
        <f>ROUND(S275*I275,2)</f>
        <v>0</v>
      </c>
      <c r="U275" s="269">
        <f>H275-S275</f>
        <v>24.01</v>
      </c>
      <c r="V275" s="269">
        <f>ROUND(U275*I275,2)</f>
        <v>4807</v>
      </c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DF275" s="132" t="s">
        <v>1</v>
      </c>
      <c r="DG275" s="133" t="s">
        <v>40</v>
      </c>
      <c r="DI275" s="134">
        <f>DH275*H275</f>
        <v>0</v>
      </c>
      <c r="DJ275" s="134">
        <v>0</v>
      </c>
      <c r="DK275" s="134">
        <f>DJ275*H275</f>
        <v>0</v>
      </c>
      <c r="DL275" s="134">
        <v>0</v>
      </c>
      <c r="DM275" s="135">
        <f>DL275*H275</f>
        <v>0</v>
      </c>
      <c r="EK275" s="136" t="s">
        <v>95</v>
      </c>
      <c r="EM275" s="136" t="s">
        <v>284</v>
      </c>
      <c r="EN275" s="136" t="s">
        <v>83</v>
      </c>
      <c r="ER275" s="16" t="s">
        <v>282</v>
      </c>
      <c r="EX275" s="137">
        <f>IF(DG275="základní",J275,0)</f>
        <v>4807</v>
      </c>
      <c r="EY275" s="137">
        <f>IF(DG275="snížená",J275,0)</f>
        <v>0</v>
      </c>
      <c r="EZ275" s="137">
        <f>IF(DG275="zákl. přenesená",J275,0)</f>
        <v>0</v>
      </c>
      <c r="FA275" s="137">
        <f>IF(DG275="sníž. přenesená",J275,0)</f>
        <v>0</v>
      </c>
      <c r="FB275" s="137">
        <f>IF(DG275="nulová",J275,0)</f>
        <v>0</v>
      </c>
      <c r="FC275" s="16" t="s">
        <v>81</v>
      </c>
      <c r="FD275" s="137">
        <f>ROUND(I275*H275,2)</f>
        <v>4807</v>
      </c>
      <c r="FE275" s="16" t="s">
        <v>95</v>
      </c>
      <c r="FF275" s="136" t="s">
        <v>1941</v>
      </c>
    </row>
    <row r="276" spans="2:162" s="1" customFormat="1" ht="19.5" x14ac:dyDescent="0.2">
      <c r="B276" s="31"/>
      <c r="D276" s="138" t="s">
        <v>289</v>
      </c>
      <c r="F276" s="139" t="s">
        <v>530</v>
      </c>
      <c r="I276" s="140"/>
      <c r="L276" s="31"/>
      <c r="N276" s="213"/>
      <c r="O276" s="214"/>
      <c r="Q276" s="229"/>
      <c r="DF276" s="141"/>
      <c r="DM276" s="50"/>
      <c r="EM276" s="16" t="s">
        <v>289</v>
      </c>
      <c r="EN276" s="16" t="s">
        <v>83</v>
      </c>
    </row>
    <row r="277" spans="2:162" s="1" customFormat="1" ht="24.2" customHeight="1" x14ac:dyDescent="0.2">
      <c r="B277" s="124"/>
      <c r="C277" s="125" t="s">
        <v>526</v>
      </c>
      <c r="D277" s="125" t="s">
        <v>284</v>
      </c>
      <c r="E277" s="126" t="s">
        <v>532</v>
      </c>
      <c r="F277" s="127" t="s">
        <v>533</v>
      </c>
      <c r="G277" s="128" t="s">
        <v>287</v>
      </c>
      <c r="H277" s="129">
        <v>24.01</v>
      </c>
      <c r="I277" s="130">
        <v>40.878739778868102</v>
      </c>
      <c r="J277" s="131">
        <f>ROUND(I277*H277,2)</f>
        <v>981.5</v>
      </c>
      <c r="K277" s="127" t="s">
        <v>293</v>
      </c>
      <c r="L277" s="268">
        <f>S277</f>
        <v>0</v>
      </c>
      <c r="M277" s="272">
        <f>ROUND(L277*I277,2)</f>
        <v>0</v>
      </c>
      <c r="N277" s="243"/>
      <c r="O277" s="294">
        <f>ROUND(N277*I277,2)</f>
        <v>0</v>
      </c>
      <c r="P277" s="273">
        <f>H277-L277-N277</f>
        <v>24.01</v>
      </c>
      <c r="Q277" s="287">
        <f>ROUND(P277*I277,2)</f>
        <v>981.5</v>
      </c>
      <c r="R277" s="137"/>
      <c r="S277" s="269">
        <f>W277+Y277+AA277+AC277+AE277+AG277+AI277</f>
        <v>0</v>
      </c>
      <c r="T277" s="269">
        <f>ROUND(S277*I277,2)</f>
        <v>0</v>
      </c>
      <c r="U277" s="269">
        <f>H277-S277</f>
        <v>24.01</v>
      </c>
      <c r="V277" s="269">
        <f>ROUND(U277*I277,2)</f>
        <v>981.5</v>
      </c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DF277" s="132" t="s">
        <v>1</v>
      </c>
      <c r="DG277" s="133" t="s">
        <v>40</v>
      </c>
      <c r="DI277" s="134">
        <f>DH277*H277</f>
        <v>0</v>
      </c>
      <c r="DJ277" s="134">
        <v>0</v>
      </c>
      <c r="DK277" s="134">
        <f>DJ277*H277</f>
        <v>0</v>
      </c>
      <c r="DL277" s="134">
        <v>0</v>
      </c>
      <c r="DM277" s="135">
        <f>DL277*H277</f>
        <v>0</v>
      </c>
      <c r="EK277" s="136" t="s">
        <v>95</v>
      </c>
      <c r="EM277" s="136" t="s">
        <v>284</v>
      </c>
      <c r="EN277" s="136" t="s">
        <v>83</v>
      </c>
      <c r="ER277" s="16" t="s">
        <v>282</v>
      </c>
      <c r="EX277" s="137">
        <f>IF(DG277="základní",J277,0)</f>
        <v>981.5</v>
      </c>
      <c r="EY277" s="137">
        <f>IF(DG277="snížená",J277,0)</f>
        <v>0</v>
      </c>
      <c r="EZ277" s="137">
        <f>IF(DG277="zákl. přenesená",J277,0)</f>
        <v>0</v>
      </c>
      <c r="FA277" s="137">
        <f>IF(DG277="sníž. přenesená",J277,0)</f>
        <v>0</v>
      </c>
      <c r="FB277" s="137">
        <f>IF(DG277="nulová",J277,0)</f>
        <v>0</v>
      </c>
      <c r="FC277" s="16" t="s">
        <v>81</v>
      </c>
      <c r="FD277" s="137">
        <f>ROUND(I277*H277,2)</f>
        <v>981.5</v>
      </c>
      <c r="FE277" s="16" t="s">
        <v>95</v>
      </c>
      <c r="FF277" s="136" t="s">
        <v>1942</v>
      </c>
    </row>
    <row r="278" spans="2:162" s="1" customFormat="1" ht="19.5" x14ac:dyDescent="0.2">
      <c r="B278" s="31"/>
      <c r="D278" s="138" t="s">
        <v>289</v>
      </c>
      <c r="F278" s="139" t="s">
        <v>535</v>
      </c>
      <c r="I278" s="140"/>
      <c r="L278" s="31"/>
      <c r="N278" s="213"/>
      <c r="O278" s="214"/>
      <c r="Q278" s="229"/>
      <c r="DF278" s="141"/>
      <c r="DM278" s="50"/>
      <c r="EM278" s="16" t="s">
        <v>289</v>
      </c>
      <c r="EN278" s="16" t="s">
        <v>83</v>
      </c>
    </row>
    <row r="279" spans="2:162" s="1" customFormat="1" ht="24.2" customHeight="1" x14ac:dyDescent="0.2">
      <c r="B279" s="124"/>
      <c r="C279" s="125" t="s">
        <v>531</v>
      </c>
      <c r="D279" s="125" t="s">
        <v>284</v>
      </c>
      <c r="E279" s="126" t="s">
        <v>537</v>
      </c>
      <c r="F279" s="127" t="s">
        <v>538</v>
      </c>
      <c r="G279" s="128" t="s">
        <v>287</v>
      </c>
      <c r="H279" s="129">
        <v>24.01</v>
      </c>
      <c r="I279" s="130">
        <v>362.67856108310502</v>
      </c>
      <c r="J279" s="131">
        <f>ROUND(I279*H279,2)</f>
        <v>8707.91</v>
      </c>
      <c r="K279" s="127" t="s">
        <v>293</v>
      </c>
      <c r="L279" s="268">
        <f>S279</f>
        <v>0</v>
      </c>
      <c r="M279" s="272">
        <f>ROUND(L279*I279,2)</f>
        <v>0</v>
      </c>
      <c r="N279" s="243"/>
      <c r="O279" s="294">
        <f>ROUND(N279*I279,2)</f>
        <v>0</v>
      </c>
      <c r="P279" s="273">
        <f>H279-L279-N279</f>
        <v>24.01</v>
      </c>
      <c r="Q279" s="287">
        <f>ROUND(P279*I279,2)</f>
        <v>8707.91</v>
      </c>
      <c r="R279" s="137"/>
      <c r="S279" s="269">
        <f>W279+Y279+AA279+AC279+AE279+AG279+AI279</f>
        <v>0</v>
      </c>
      <c r="T279" s="269">
        <f>ROUND(S279*I279,2)</f>
        <v>0</v>
      </c>
      <c r="U279" s="269">
        <f>H279-S279</f>
        <v>24.01</v>
      </c>
      <c r="V279" s="269">
        <f>ROUND(U279*I279,2)</f>
        <v>8707.91</v>
      </c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DF279" s="132" t="s">
        <v>1</v>
      </c>
      <c r="DG279" s="133" t="s">
        <v>40</v>
      </c>
      <c r="DI279" s="134">
        <f>DH279*H279</f>
        <v>0</v>
      </c>
      <c r="DJ279" s="134">
        <v>0</v>
      </c>
      <c r="DK279" s="134">
        <f>DJ279*H279</f>
        <v>0</v>
      </c>
      <c r="DL279" s="134">
        <v>0</v>
      </c>
      <c r="DM279" s="135">
        <f>DL279*H279</f>
        <v>0</v>
      </c>
      <c r="EK279" s="136" t="s">
        <v>95</v>
      </c>
      <c r="EM279" s="136" t="s">
        <v>284</v>
      </c>
      <c r="EN279" s="136" t="s">
        <v>83</v>
      </c>
      <c r="ER279" s="16" t="s">
        <v>282</v>
      </c>
      <c r="EX279" s="137">
        <f>IF(DG279="základní",J279,0)</f>
        <v>8707.91</v>
      </c>
      <c r="EY279" s="137">
        <f>IF(DG279="snížená",J279,0)</f>
        <v>0</v>
      </c>
      <c r="EZ279" s="137">
        <f>IF(DG279="zákl. přenesená",J279,0)</f>
        <v>0</v>
      </c>
      <c r="FA279" s="137">
        <f>IF(DG279="sníž. přenesená",J279,0)</f>
        <v>0</v>
      </c>
      <c r="FB279" s="137">
        <f>IF(DG279="nulová",J279,0)</f>
        <v>0</v>
      </c>
      <c r="FC279" s="16" t="s">
        <v>81</v>
      </c>
      <c r="FD279" s="137">
        <f>ROUND(I279*H279,2)</f>
        <v>8707.91</v>
      </c>
      <c r="FE279" s="16" t="s">
        <v>95</v>
      </c>
      <c r="FF279" s="136" t="s">
        <v>1943</v>
      </c>
    </row>
    <row r="280" spans="2:162" s="1" customFormat="1" ht="29.25" x14ac:dyDescent="0.2">
      <c r="B280" s="31"/>
      <c r="D280" s="138" t="s">
        <v>289</v>
      </c>
      <c r="F280" s="139" t="s">
        <v>540</v>
      </c>
      <c r="I280" s="140"/>
      <c r="L280" s="31"/>
      <c r="N280" s="213"/>
      <c r="O280" s="214"/>
      <c r="Q280" s="229"/>
      <c r="DF280" s="141"/>
      <c r="DM280" s="50"/>
      <c r="EM280" s="16" t="s">
        <v>289</v>
      </c>
      <c r="EN280" s="16" t="s">
        <v>83</v>
      </c>
    </row>
    <row r="281" spans="2:162" s="1" customFormat="1" ht="19.5" x14ac:dyDescent="0.2">
      <c r="B281" s="31"/>
      <c r="D281" s="138" t="s">
        <v>299</v>
      </c>
      <c r="F281" s="142" t="s">
        <v>1795</v>
      </c>
      <c r="I281" s="140"/>
      <c r="L281" s="31"/>
      <c r="N281" s="213"/>
      <c r="O281" s="214"/>
      <c r="Q281" s="229"/>
      <c r="DF281" s="141"/>
      <c r="DM281" s="50"/>
      <c r="EM281" s="16" t="s">
        <v>299</v>
      </c>
      <c r="EN281" s="16" t="s">
        <v>83</v>
      </c>
    </row>
    <row r="282" spans="2:162" s="11" customFormat="1" x14ac:dyDescent="0.2">
      <c r="B282" s="143"/>
      <c r="D282" s="138" t="s">
        <v>301</v>
      </c>
      <c r="E282" s="144" t="s">
        <v>1</v>
      </c>
      <c r="F282" s="145" t="s">
        <v>541</v>
      </c>
      <c r="H282" s="144" t="s">
        <v>1</v>
      </c>
      <c r="I282" s="146"/>
      <c r="L282" s="143"/>
      <c r="N282" s="215"/>
      <c r="O282" s="216"/>
      <c r="Q282" s="230"/>
      <c r="DF282" s="147"/>
      <c r="DM282" s="148"/>
      <c r="EM282" s="144" t="s">
        <v>301</v>
      </c>
      <c r="EN282" s="144" t="s">
        <v>83</v>
      </c>
      <c r="EO282" s="11" t="s">
        <v>81</v>
      </c>
      <c r="EP282" s="11" t="s">
        <v>32</v>
      </c>
      <c r="EQ282" s="11" t="s">
        <v>74</v>
      </c>
      <c r="ER282" s="144" t="s">
        <v>282</v>
      </c>
    </row>
    <row r="283" spans="2:162" s="12" customFormat="1" x14ac:dyDescent="0.2">
      <c r="B283" s="149"/>
      <c r="D283" s="138" t="s">
        <v>301</v>
      </c>
      <c r="E283" s="150" t="s">
        <v>1</v>
      </c>
      <c r="F283" s="151" t="s">
        <v>1944</v>
      </c>
      <c r="H283" s="152">
        <v>24.01</v>
      </c>
      <c r="I283" s="153"/>
      <c r="L283" s="149"/>
      <c r="N283" s="217"/>
      <c r="O283" s="218"/>
      <c r="Q283" s="231"/>
      <c r="DF283" s="154"/>
      <c r="DM283" s="155"/>
      <c r="EM283" s="150" t="s">
        <v>301</v>
      </c>
      <c r="EN283" s="150" t="s">
        <v>83</v>
      </c>
      <c r="EO283" s="12" t="s">
        <v>83</v>
      </c>
      <c r="EP283" s="12" t="s">
        <v>32</v>
      </c>
      <c r="EQ283" s="12" t="s">
        <v>81</v>
      </c>
      <c r="ER283" s="150" t="s">
        <v>282</v>
      </c>
    </row>
    <row r="284" spans="2:162" s="1" customFormat="1" ht="14.45" customHeight="1" x14ac:dyDescent="0.2">
      <c r="B284" s="124"/>
      <c r="C284" s="125" t="s">
        <v>536</v>
      </c>
      <c r="D284" s="125" t="s">
        <v>284</v>
      </c>
      <c r="E284" s="126" t="s">
        <v>544</v>
      </c>
      <c r="F284" s="127" t="s">
        <v>545</v>
      </c>
      <c r="G284" s="128" t="s">
        <v>287</v>
      </c>
      <c r="H284" s="129">
        <v>25</v>
      </c>
      <c r="I284" s="130">
        <v>18.105699236185</v>
      </c>
      <c r="J284" s="131">
        <f>ROUND(I284*H284,2)</f>
        <v>452.64</v>
      </c>
      <c r="K284" s="127" t="s">
        <v>293</v>
      </c>
      <c r="L284" s="268">
        <f>S284</f>
        <v>0</v>
      </c>
      <c r="M284" s="272">
        <f>ROUND(L284*I284,2)</f>
        <v>0</v>
      </c>
      <c r="N284" s="243"/>
      <c r="O284" s="294">
        <f>ROUND(N284*I284,2)</f>
        <v>0</v>
      </c>
      <c r="P284" s="273">
        <f>H284-L284-N284</f>
        <v>25</v>
      </c>
      <c r="Q284" s="287">
        <f>ROUND(P284*I284,2)</f>
        <v>452.64</v>
      </c>
      <c r="R284" s="137"/>
      <c r="S284" s="269">
        <f>W284+Y284+AA284+AC284+AE284+AG284+AI284</f>
        <v>0</v>
      </c>
      <c r="T284" s="269">
        <f>ROUND(S284*I284,2)</f>
        <v>0</v>
      </c>
      <c r="U284" s="269">
        <f>H284-S284</f>
        <v>25</v>
      </c>
      <c r="V284" s="269">
        <f>ROUND(U284*I284,2)</f>
        <v>452.64</v>
      </c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DF284" s="132" t="s">
        <v>1</v>
      </c>
      <c r="DG284" s="133" t="s">
        <v>40</v>
      </c>
      <c r="DI284" s="134">
        <f>DH284*H284</f>
        <v>0</v>
      </c>
      <c r="DJ284" s="134">
        <v>0</v>
      </c>
      <c r="DK284" s="134">
        <f>DJ284*H284</f>
        <v>0</v>
      </c>
      <c r="DL284" s="134">
        <v>0</v>
      </c>
      <c r="DM284" s="135">
        <f>DL284*H284</f>
        <v>0</v>
      </c>
      <c r="EK284" s="136" t="s">
        <v>95</v>
      </c>
      <c r="EM284" s="136" t="s">
        <v>284</v>
      </c>
      <c r="EN284" s="136" t="s">
        <v>83</v>
      </c>
      <c r="ER284" s="16" t="s">
        <v>282</v>
      </c>
      <c r="EX284" s="137">
        <f>IF(DG284="základní",J284,0)</f>
        <v>452.64</v>
      </c>
      <c r="EY284" s="137">
        <f>IF(DG284="snížená",J284,0)</f>
        <v>0</v>
      </c>
      <c r="EZ284" s="137">
        <f>IF(DG284="zákl. přenesená",J284,0)</f>
        <v>0</v>
      </c>
      <c r="FA284" s="137">
        <f>IF(DG284="sníž. přenesená",J284,0)</f>
        <v>0</v>
      </c>
      <c r="FB284" s="137">
        <f>IF(DG284="nulová",J284,0)</f>
        <v>0</v>
      </c>
      <c r="FC284" s="16" t="s">
        <v>81</v>
      </c>
      <c r="FD284" s="137">
        <f>ROUND(I284*H284,2)</f>
        <v>452.64</v>
      </c>
      <c r="FE284" s="16" t="s">
        <v>95</v>
      </c>
      <c r="FF284" s="136" t="s">
        <v>1945</v>
      </c>
    </row>
    <row r="285" spans="2:162" s="1" customFormat="1" ht="19.5" x14ac:dyDescent="0.2">
      <c r="B285" s="31"/>
      <c r="D285" s="138" t="s">
        <v>289</v>
      </c>
      <c r="F285" s="139" t="s">
        <v>547</v>
      </c>
      <c r="I285" s="140"/>
      <c r="L285" s="31"/>
      <c r="N285" s="213"/>
      <c r="O285" s="214"/>
      <c r="Q285" s="229"/>
      <c r="DF285" s="141"/>
      <c r="DM285" s="50"/>
      <c r="EM285" s="16" t="s">
        <v>289</v>
      </c>
      <c r="EN285" s="16" t="s">
        <v>83</v>
      </c>
    </row>
    <row r="286" spans="2:162" s="1" customFormat="1" ht="24.2" customHeight="1" x14ac:dyDescent="0.2">
      <c r="B286" s="124"/>
      <c r="C286" s="125" t="s">
        <v>543</v>
      </c>
      <c r="D286" s="125" t="s">
        <v>284</v>
      </c>
      <c r="E286" s="126" t="s">
        <v>549</v>
      </c>
      <c r="F286" s="127" t="s">
        <v>550</v>
      </c>
      <c r="G286" s="128" t="s">
        <v>287</v>
      </c>
      <c r="H286" s="129">
        <v>25</v>
      </c>
      <c r="I286" s="130">
        <v>388.96896513366403</v>
      </c>
      <c r="J286" s="131">
        <f>ROUND(I286*H286,2)</f>
        <v>9724.2199999999993</v>
      </c>
      <c r="K286" s="127" t="s">
        <v>293</v>
      </c>
      <c r="L286" s="268">
        <f>S286</f>
        <v>0</v>
      </c>
      <c r="M286" s="272">
        <f>ROUND(L286*I286,2)</f>
        <v>0</v>
      </c>
      <c r="N286" s="243"/>
      <c r="O286" s="294">
        <f>ROUND(N286*I286,2)</f>
        <v>0</v>
      </c>
      <c r="P286" s="273">
        <f>H286-L286-N286</f>
        <v>25</v>
      </c>
      <c r="Q286" s="287">
        <f>ROUND(P286*I286,2)</f>
        <v>9724.2199999999993</v>
      </c>
      <c r="R286" s="137"/>
      <c r="S286" s="269">
        <f>W286+Y286+AA286+AC286+AE286+AG286+AI286</f>
        <v>0</v>
      </c>
      <c r="T286" s="269">
        <f>ROUND(S286*I286,2)</f>
        <v>0</v>
      </c>
      <c r="U286" s="269">
        <f>H286-S286</f>
        <v>25</v>
      </c>
      <c r="V286" s="269">
        <f>ROUND(U286*I286,2)</f>
        <v>9724.2199999999993</v>
      </c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DF286" s="132" t="s">
        <v>1</v>
      </c>
      <c r="DG286" s="133" t="s">
        <v>40</v>
      </c>
      <c r="DI286" s="134">
        <f>DH286*H286</f>
        <v>0</v>
      </c>
      <c r="DJ286" s="134">
        <v>0</v>
      </c>
      <c r="DK286" s="134">
        <f>DJ286*H286</f>
        <v>0</v>
      </c>
      <c r="DL286" s="134">
        <v>0</v>
      </c>
      <c r="DM286" s="135">
        <f>DL286*H286</f>
        <v>0</v>
      </c>
      <c r="EK286" s="136" t="s">
        <v>95</v>
      </c>
      <c r="EM286" s="136" t="s">
        <v>284</v>
      </c>
      <c r="EN286" s="136" t="s">
        <v>83</v>
      </c>
      <c r="ER286" s="16" t="s">
        <v>282</v>
      </c>
      <c r="EX286" s="137">
        <f>IF(DG286="základní",J286,0)</f>
        <v>9724.2199999999993</v>
      </c>
      <c r="EY286" s="137">
        <f>IF(DG286="snížená",J286,0)</f>
        <v>0</v>
      </c>
      <c r="EZ286" s="137">
        <f>IF(DG286="zákl. přenesená",J286,0)</f>
        <v>0</v>
      </c>
      <c r="FA286" s="137">
        <f>IF(DG286="sníž. přenesená",J286,0)</f>
        <v>0</v>
      </c>
      <c r="FB286" s="137">
        <f>IF(DG286="nulová",J286,0)</f>
        <v>0</v>
      </c>
      <c r="FC286" s="16" t="s">
        <v>81</v>
      </c>
      <c r="FD286" s="137">
        <f>ROUND(I286*H286,2)</f>
        <v>9724.2199999999993</v>
      </c>
      <c r="FE286" s="16" t="s">
        <v>95</v>
      </c>
      <c r="FF286" s="136" t="s">
        <v>1946</v>
      </c>
    </row>
    <row r="287" spans="2:162" s="1" customFormat="1" ht="29.25" x14ac:dyDescent="0.2">
      <c r="B287" s="31"/>
      <c r="D287" s="138" t="s">
        <v>289</v>
      </c>
      <c r="F287" s="139" t="s">
        <v>552</v>
      </c>
      <c r="I287" s="140"/>
      <c r="L287" s="31"/>
      <c r="N287" s="213"/>
      <c r="O287" s="214"/>
      <c r="Q287" s="229"/>
      <c r="DF287" s="141"/>
      <c r="DM287" s="50"/>
      <c r="EM287" s="16" t="s">
        <v>289</v>
      </c>
      <c r="EN287" s="16" t="s">
        <v>83</v>
      </c>
    </row>
    <row r="288" spans="2:162" s="1" customFormat="1" ht="19.5" x14ac:dyDescent="0.2">
      <c r="B288" s="31"/>
      <c r="D288" s="138" t="s">
        <v>299</v>
      </c>
      <c r="F288" s="142" t="s">
        <v>1795</v>
      </c>
      <c r="I288" s="140"/>
      <c r="L288" s="31"/>
      <c r="N288" s="213"/>
      <c r="O288" s="214"/>
      <c r="Q288" s="229"/>
      <c r="DF288" s="141"/>
      <c r="DM288" s="50"/>
      <c r="EM288" s="16" t="s">
        <v>299</v>
      </c>
      <c r="EN288" s="16" t="s">
        <v>83</v>
      </c>
    </row>
    <row r="289" spans="2:162" s="11" customFormat="1" x14ac:dyDescent="0.2">
      <c r="B289" s="143"/>
      <c r="D289" s="138" t="s">
        <v>301</v>
      </c>
      <c r="E289" s="144" t="s">
        <v>1</v>
      </c>
      <c r="F289" s="145" t="s">
        <v>553</v>
      </c>
      <c r="H289" s="144" t="s">
        <v>1</v>
      </c>
      <c r="I289" s="146"/>
      <c r="L289" s="143"/>
      <c r="N289" s="215"/>
      <c r="O289" s="216"/>
      <c r="Q289" s="230"/>
      <c r="DF289" s="147"/>
      <c r="DM289" s="148"/>
      <c r="EM289" s="144" t="s">
        <v>301</v>
      </c>
      <c r="EN289" s="144" t="s">
        <v>83</v>
      </c>
      <c r="EO289" s="11" t="s">
        <v>81</v>
      </c>
      <c r="EP289" s="11" t="s">
        <v>32</v>
      </c>
      <c r="EQ289" s="11" t="s">
        <v>74</v>
      </c>
      <c r="ER289" s="144" t="s">
        <v>282</v>
      </c>
    </row>
    <row r="290" spans="2:162" s="12" customFormat="1" x14ac:dyDescent="0.2">
      <c r="B290" s="149"/>
      <c r="D290" s="138" t="s">
        <v>301</v>
      </c>
      <c r="E290" s="150" t="s">
        <v>1</v>
      </c>
      <c r="F290" s="151" t="s">
        <v>445</v>
      </c>
      <c r="H290" s="152">
        <v>25</v>
      </c>
      <c r="I290" s="153"/>
      <c r="L290" s="149"/>
      <c r="N290" s="217"/>
      <c r="O290" s="218"/>
      <c r="Q290" s="231"/>
      <c r="DF290" s="154"/>
      <c r="DM290" s="155"/>
      <c r="EM290" s="150" t="s">
        <v>301</v>
      </c>
      <c r="EN290" s="150" t="s">
        <v>83</v>
      </c>
      <c r="EO290" s="12" t="s">
        <v>83</v>
      </c>
      <c r="EP290" s="12" t="s">
        <v>32</v>
      </c>
      <c r="EQ290" s="12" t="s">
        <v>81</v>
      </c>
      <c r="ER290" s="150" t="s">
        <v>282</v>
      </c>
    </row>
    <row r="291" spans="2:162" s="10" customFormat="1" ht="22.9" customHeight="1" x14ac:dyDescent="0.2">
      <c r="B291" s="112"/>
      <c r="D291" s="113" t="s">
        <v>73</v>
      </c>
      <c r="E291" s="122" t="s">
        <v>335</v>
      </c>
      <c r="F291" s="122" t="s">
        <v>674</v>
      </c>
      <c r="I291" s="115"/>
      <c r="J291" s="123">
        <f>FD291</f>
        <v>2288733.12</v>
      </c>
      <c r="L291" s="112"/>
      <c r="M291" s="270">
        <f>SUM(M292:M297)</f>
        <v>0</v>
      </c>
      <c r="N291" s="301"/>
      <c r="O291" s="302">
        <f t="shared" ref="O291:V291" si="6">SUM(O292:O297)</f>
        <v>0</v>
      </c>
      <c r="P291" s="270"/>
      <c r="Q291" s="288">
        <f t="shared" si="6"/>
        <v>2288733.12</v>
      </c>
      <c r="R291" s="270"/>
      <c r="S291" s="270"/>
      <c r="T291" s="270">
        <f t="shared" si="6"/>
        <v>0</v>
      </c>
      <c r="U291" s="270"/>
      <c r="V291" s="270">
        <f t="shared" si="6"/>
        <v>2288733.12</v>
      </c>
      <c r="DF291" s="117"/>
      <c r="DI291" s="118">
        <f>SUM(DI292:DI300)</f>
        <v>0</v>
      </c>
      <c r="DK291" s="118">
        <f>SUM(DK292:DK300)</f>
        <v>1.12847E-2</v>
      </c>
      <c r="DM291" s="119">
        <f>SUM(DM292:DM300)</f>
        <v>0</v>
      </c>
      <c r="EK291" s="113" t="s">
        <v>81</v>
      </c>
      <c r="EM291" s="120" t="s">
        <v>73</v>
      </c>
      <c r="EN291" s="120" t="s">
        <v>81</v>
      </c>
      <c r="ER291" s="113" t="s">
        <v>282</v>
      </c>
      <c r="FD291" s="121">
        <f>SUM(FD292:FD300)</f>
        <v>2288733.12</v>
      </c>
    </row>
    <row r="292" spans="2:162" s="1" customFormat="1" ht="37.9" customHeight="1" x14ac:dyDescent="0.2">
      <c r="B292" s="124"/>
      <c r="C292" s="125" t="s">
        <v>548</v>
      </c>
      <c r="D292" s="125" t="s">
        <v>284</v>
      </c>
      <c r="E292" s="126" t="s">
        <v>676</v>
      </c>
      <c r="F292" s="127" t="s">
        <v>1947</v>
      </c>
      <c r="G292" s="128" t="s">
        <v>1948</v>
      </c>
      <c r="H292" s="129">
        <v>1</v>
      </c>
      <c r="I292" s="130">
        <v>2287525.9155000001</v>
      </c>
      <c r="J292" s="131">
        <f>ROUND(I292*H292,2)</f>
        <v>2287525.92</v>
      </c>
      <c r="K292" s="127" t="s">
        <v>1</v>
      </c>
      <c r="L292" s="268">
        <f>S292</f>
        <v>0</v>
      </c>
      <c r="M292" s="272">
        <f>ROUND(L292*I292,2)</f>
        <v>0</v>
      </c>
      <c r="N292" s="243"/>
      <c r="O292" s="294">
        <f>ROUND(N292*I292,2)</f>
        <v>0</v>
      </c>
      <c r="P292" s="273">
        <f>H292-L292-N292</f>
        <v>1</v>
      </c>
      <c r="Q292" s="287">
        <f>ROUND(P292*I292,2)</f>
        <v>2287525.92</v>
      </c>
      <c r="R292" s="137"/>
      <c r="S292" s="269">
        <f>W292+Y292+AA292+AC292+AE292+AG292+AI292</f>
        <v>0</v>
      </c>
      <c r="T292" s="269">
        <f>ROUND(S292*I292,2)</f>
        <v>0</v>
      </c>
      <c r="U292" s="269">
        <f>H292-S292</f>
        <v>1</v>
      </c>
      <c r="V292" s="269">
        <f>ROUND(U292*I292,2)</f>
        <v>2287525.92</v>
      </c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DF292" s="132" t="s">
        <v>1</v>
      </c>
      <c r="DG292" s="133" t="s">
        <v>40</v>
      </c>
      <c r="DI292" s="134">
        <f>DH292*H292</f>
        <v>0</v>
      </c>
      <c r="DJ292" s="134">
        <v>0</v>
      </c>
      <c r="DK292" s="134">
        <f>DJ292*H292</f>
        <v>0</v>
      </c>
      <c r="DL292" s="134">
        <v>0</v>
      </c>
      <c r="DM292" s="135">
        <f>DL292*H292</f>
        <v>0</v>
      </c>
      <c r="EK292" s="136" t="s">
        <v>95</v>
      </c>
      <c r="EM292" s="136" t="s">
        <v>284</v>
      </c>
      <c r="EN292" s="136" t="s">
        <v>83</v>
      </c>
      <c r="ER292" s="16" t="s">
        <v>282</v>
      </c>
      <c r="EX292" s="137">
        <f>IF(DG292="základní",J292,0)</f>
        <v>2287525.92</v>
      </c>
      <c r="EY292" s="137">
        <f>IF(DG292="snížená",J292,0)</f>
        <v>0</v>
      </c>
      <c r="EZ292" s="137">
        <f>IF(DG292="zákl. přenesená",J292,0)</f>
        <v>0</v>
      </c>
      <c r="FA292" s="137">
        <f>IF(DG292="sníž. přenesená",J292,0)</f>
        <v>0</v>
      </c>
      <c r="FB292" s="137">
        <f>IF(DG292="nulová",J292,0)</f>
        <v>0</v>
      </c>
      <c r="FC292" s="16" t="s">
        <v>81</v>
      </c>
      <c r="FD292" s="137">
        <f>ROUND(I292*H292,2)</f>
        <v>2287525.92</v>
      </c>
      <c r="FE292" s="16" t="s">
        <v>95</v>
      </c>
      <c r="FF292" s="136" t="s">
        <v>1949</v>
      </c>
    </row>
    <row r="293" spans="2:162" s="1" customFormat="1" ht="19.5" x14ac:dyDescent="0.2">
      <c r="B293" s="31"/>
      <c r="D293" s="138" t="s">
        <v>289</v>
      </c>
      <c r="F293" s="139" t="s">
        <v>1947</v>
      </c>
      <c r="I293" s="140"/>
      <c r="L293" s="31"/>
      <c r="N293" s="213"/>
      <c r="O293" s="214"/>
      <c r="Q293" s="229"/>
      <c r="DF293" s="141"/>
      <c r="DM293" s="50"/>
      <c r="EM293" s="16" t="s">
        <v>289</v>
      </c>
      <c r="EN293" s="16" t="s">
        <v>83</v>
      </c>
    </row>
    <row r="294" spans="2:162" s="1" customFormat="1" ht="19.5" x14ac:dyDescent="0.2">
      <c r="B294" s="31"/>
      <c r="D294" s="138" t="s">
        <v>299</v>
      </c>
      <c r="F294" s="142" t="s">
        <v>1795</v>
      </c>
      <c r="I294" s="140"/>
      <c r="L294" s="31"/>
      <c r="N294" s="213"/>
      <c r="O294" s="214"/>
      <c r="Q294" s="229"/>
      <c r="DF294" s="141"/>
      <c r="DM294" s="50"/>
      <c r="EM294" s="16" t="s">
        <v>299</v>
      </c>
      <c r="EN294" s="16" t="s">
        <v>83</v>
      </c>
    </row>
    <row r="295" spans="2:162" s="11" customFormat="1" x14ac:dyDescent="0.2">
      <c r="B295" s="143"/>
      <c r="D295" s="138" t="s">
        <v>301</v>
      </c>
      <c r="E295" s="144" t="s">
        <v>1</v>
      </c>
      <c r="F295" s="145" t="s">
        <v>1950</v>
      </c>
      <c r="H295" s="144" t="s">
        <v>1</v>
      </c>
      <c r="I295" s="146"/>
      <c r="L295" s="143"/>
      <c r="N295" s="215"/>
      <c r="O295" s="216"/>
      <c r="Q295" s="230"/>
      <c r="DF295" s="147"/>
      <c r="DM295" s="148"/>
      <c r="EM295" s="144" t="s">
        <v>301</v>
      </c>
      <c r="EN295" s="144" t="s">
        <v>83</v>
      </c>
      <c r="EO295" s="11" t="s">
        <v>81</v>
      </c>
      <c r="EP295" s="11" t="s">
        <v>32</v>
      </c>
      <c r="EQ295" s="11" t="s">
        <v>74</v>
      </c>
      <c r="ER295" s="144" t="s">
        <v>282</v>
      </c>
    </row>
    <row r="296" spans="2:162" s="12" customFormat="1" x14ac:dyDescent="0.2">
      <c r="B296" s="149"/>
      <c r="D296" s="138" t="s">
        <v>301</v>
      </c>
      <c r="E296" s="150" t="s">
        <v>1</v>
      </c>
      <c r="F296" s="151" t="s">
        <v>1951</v>
      </c>
      <c r="H296" s="152">
        <v>1</v>
      </c>
      <c r="I296" s="153"/>
      <c r="L296" s="149"/>
      <c r="N296" s="217"/>
      <c r="O296" s="218"/>
      <c r="Q296" s="231"/>
      <c r="DF296" s="154"/>
      <c r="DM296" s="155"/>
      <c r="EM296" s="150" t="s">
        <v>301</v>
      </c>
      <c r="EN296" s="150" t="s">
        <v>83</v>
      </c>
      <c r="EO296" s="12" t="s">
        <v>83</v>
      </c>
      <c r="EP296" s="12" t="s">
        <v>32</v>
      </c>
      <c r="EQ296" s="12" t="s">
        <v>81</v>
      </c>
      <c r="ER296" s="150" t="s">
        <v>282</v>
      </c>
    </row>
    <row r="297" spans="2:162" s="1" customFormat="1" ht="24.2" customHeight="1" x14ac:dyDescent="0.2">
      <c r="B297" s="124"/>
      <c r="C297" s="125" t="s">
        <v>556</v>
      </c>
      <c r="D297" s="125" t="s">
        <v>284</v>
      </c>
      <c r="E297" s="126" t="s">
        <v>1952</v>
      </c>
      <c r="F297" s="127" t="s">
        <v>1953</v>
      </c>
      <c r="G297" s="128" t="s">
        <v>287</v>
      </c>
      <c r="H297" s="129">
        <v>24.01</v>
      </c>
      <c r="I297" s="130">
        <v>50.278961448296904</v>
      </c>
      <c r="J297" s="131">
        <f>ROUND(I297*H297,2)</f>
        <v>1207.2</v>
      </c>
      <c r="K297" s="127" t="s">
        <v>293</v>
      </c>
      <c r="L297" s="268">
        <f>S297</f>
        <v>0</v>
      </c>
      <c r="M297" s="272">
        <f>ROUND(L297*I297,2)</f>
        <v>0</v>
      </c>
      <c r="N297" s="243"/>
      <c r="O297" s="294">
        <f>ROUND(N297*I297,2)</f>
        <v>0</v>
      </c>
      <c r="P297" s="273">
        <f>H297-L297-N297</f>
        <v>24.01</v>
      </c>
      <c r="Q297" s="287">
        <f>ROUND(P297*I297,2)</f>
        <v>1207.2</v>
      </c>
      <c r="R297" s="137"/>
      <c r="S297" s="269">
        <f>W297+Y297+AA297+AC297+AE297+AG297+AI297</f>
        <v>0</v>
      </c>
      <c r="T297" s="269">
        <f>ROUND(S297*I297,2)</f>
        <v>0</v>
      </c>
      <c r="U297" s="269">
        <f>H297-S297</f>
        <v>24.01</v>
      </c>
      <c r="V297" s="269">
        <f>ROUND(U297*I297,2)</f>
        <v>1207.2</v>
      </c>
      <c r="W297" s="269"/>
      <c r="X297" s="269"/>
      <c r="Y297" s="269"/>
      <c r="Z297" s="269"/>
      <c r="AA297" s="269"/>
      <c r="AB297" s="269"/>
      <c r="AC297" s="269"/>
      <c r="AD297" s="269"/>
      <c r="AE297" s="269"/>
      <c r="AF297" s="269"/>
      <c r="AG297" s="269"/>
      <c r="AH297" s="269"/>
      <c r="AI297" s="269"/>
      <c r="AJ297" s="269"/>
      <c r="DF297" s="132" t="s">
        <v>1</v>
      </c>
      <c r="DG297" s="133" t="s">
        <v>40</v>
      </c>
      <c r="DI297" s="134">
        <f>DH297*H297</f>
        <v>0</v>
      </c>
      <c r="DJ297" s="134">
        <v>4.6999999999999999E-4</v>
      </c>
      <c r="DK297" s="134">
        <f>DJ297*H297</f>
        <v>1.12847E-2</v>
      </c>
      <c r="DL297" s="134">
        <v>0</v>
      </c>
      <c r="DM297" s="135">
        <f>DL297*H297</f>
        <v>0</v>
      </c>
      <c r="EK297" s="136" t="s">
        <v>95</v>
      </c>
      <c r="EM297" s="136" t="s">
        <v>284</v>
      </c>
      <c r="EN297" s="136" t="s">
        <v>83</v>
      </c>
      <c r="ER297" s="16" t="s">
        <v>282</v>
      </c>
      <c r="EX297" s="137">
        <f>IF(DG297="základní",J297,0)</f>
        <v>1207.2</v>
      </c>
      <c r="EY297" s="137">
        <f>IF(DG297="snížená",J297,0)</f>
        <v>0</v>
      </c>
      <c r="EZ297" s="137">
        <f>IF(DG297="zákl. přenesená",J297,0)</f>
        <v>0</v>
      </c>
      <c r="FA297" s="137">
        <f>IF(DG297="sníž. přenesená",J297,0)</f>
        <v>0</v>
      </c>
      <c r="FB297" s="137">
        <f>IF(DG297="nulová",J297,0)</f>
        <v>0</v>
      </c>
      <c r="FC297" s="16" t="s">
        <v>81</v>
      </c>
      <c r="FD297" s="137">
        <f>ROUND(I297*H297,2)</f>
        <v>1207.2</v>
      </c>
      <c r="FE297" s="16" t="s">
        <v>95</v>
      </c>
      <c r="FF297" s="136" t="s">
        <v>1954</v>
      </c>
    </row>
    <row r="298" spans="2:162" s="1" customFormat="1" ht="19.5" x14ac:dyDescent="0.2">
      <c r="B298" s="31"/>
      <c r="D298" s="138" t="s">
        <v>289</v>
      </c>
      <c r="F298" s="139" t="s">
        <v>1955</v>
      </c>
      <c r="I298" s="140"/>
      <c r="L298" s="31"/>
      <c r="N298" s="213"/>
      <c r="O298" s="214"/>
      <c r="Q298" s="229"/>
      <c r="DF298" s="141"/>
      <c r="DM298" s="50"/>
      <c r="EM298" s="16" t="s">
        <v>289</v>
      </c>
      <c r="EN298" s="16" t="s">
        <v>83</v>
      </c>
    </row>
    <row r="299" spans="2:162" s="1" customFormat="1" ht="19.5" x14ac:dyDescent="0.2">
      <c r="B299" s="31"/>
      <c r="D299" s="138" t="s">
        <v>299</v>
      </c>
      <c r="F299" s="142" t="s">
        <v>1795</v>
      </c>
      <c r="I299" s="140"/>
      <c r="L299" s="31"/>
      <c r="N299" s="213"/>
      <c r="O299" s="214"/>
      <c r="Q299" s="229"/>
      <c r="DF299" s="141"/>
      <c r="DM299" s="50"/>
      <c r="EM299" s="16" t="s">
        <v>299</v>
      </c>
      <c r="EN299" s="16" t="s">
        <v>83</v>
      </c>
    </row>
    <row r="300" spans="2:162" s="12" customFormat="1" x14ac:dyDescent="0.2">
      <c r="B300" s="149"/>
      <c r="D300" s="138" t="s">
        <v>301</v>
      </c>
      <c r="E300" s="150" t="s">
        <v>1</v>
      </c>
      <c r="F300" s="151" t="s">
        <v>1797</v>
      </c>
      <c r="H300" s="152">
        <v>24.01</v>
      </c>
      <c r="I300" s="153"/>
      <c r="L300" s="149"/>
      <c r="N300" s="217"/>
      <c r="O300" s="218"/>
      <c r="Q300" s="231"/>
      <c r="DF300" s="154"/>
      <c r="DM300" s="155"/>
      <c r="EM300" s="150" t="s">
        <v>301</v>
      </c>
      <c r="EN300" s="150" t="s">
        <v>83</v>
      </c>
      <c r="EO300" s="12" t="s">
        <v>83</v>
      </c>
      <c r="EP300" s="12" t="s">
        <v>32</v>
      </c>
      <c r="EQ300" s="12" t="s">
        <v>81</v>
      </c>
      <c r="ER300" s="150" t="s">
        <v>282</v>
      </c>
    </row>
    <row r="301" spans="2:162" s="10" customFormat="1" ht="22.9" customHeight="1" x14ac:dyDescent="0.2">
      <c r="B301" s="112"/>
      <c r="D301" s="113" t="s">
        <v>73</v>
      </c>
      <c r="E301" s="122" t="s">
        <v>695</v>
      </c>
      <c r="F301" s="122" t="s">
        <v>696</v>
      </c>
      <c r="I301" s="115"/>
      <c r="J301" s="123">
        <f>FD301</f>
        <v>12334</v>
      </c>
      <c r="L301" s="112"/>
      <c r="M301" s="270">
        <f>SUM(M302:M318)</f>
        <v>0</v>
      </c>
      <c r="N301" s="301"/>
      <c r="O301" s="302">
        <f t="shared" ref="O301:V301" si="7">SUM(O302:O318)</f>
        <v>0</v>
      </c>
      <c r="P301" s="270"/>
      <c r="Q301" s="288">
        <f t="shared" si="7"/>
        <v>12334</v>
      </c>
      <c r="R301" s="270"/>
      <c r="S301" s="270"/>
      <c r="T301" s="270">
        <f t="shared" si="7"/>
        <v>0</v>
      </c>
      <c r="U301" s="270"/>
      <c r="V301" s="270">
        <f t="shared" si="7"/>
        <v>12334</v>
      </c>
      <c r="DF301" s="117"/>
      <c r="DI301" s="118">
        <f>SUM(DI302:DI320)</f>
        <v>0</v>
      </c>
      <c r="DK301" s="118">
        <f>SUM(DK302:DK320)</f>
        <v>0</v>
      </c>
      <c r="DM301" s="119">
        <f>SUM(DM302:DM320)</f>
        <v>0</v>
      </c>
      <c r="EK301" s="113" t="s">
        <v>81</v>
      </c>
      <c r="EM301" s="120" t="s">
        <v>73</v>
      </c>
      <c r="EN301" s="120" t="s">
        <v>81</v>
      </c>
      <c r="ER301" s="113" t="s">
        <v>282</v>
      </c>
      <c r="FD301" s="121">
        <f>SUM(FD302:FD320)</f>
        <v>12334</v>
      </c>
    </row>
    <row r="302" spans="2:162" s="1" customFormat="1" ht="14.45" customHeight="1" x14ac:dyDescent="0.2">
      <c r="B302" s="124"/>
      <c r="C302" s="125" t="s">
        <v>562</v>
      </c>
      <c r="D302" s="125" t="s">
        <v>284</v>
      </c>
      <c r="E302" s="126" t="s">
        <v>698</v>
      </c>
      <c r="F302" s="127" t="s">
        <v>699</v>
      </c>
      <c r="G302" s="128" t="s">
        <v>418</v>
      </c>
      <c r="H302" s="129">
        <v>33.08</v>
      </c>
      <c r="I302" s="130">
        <v>40.477390926043419</v>
      </c>
      <c r="J302" s="131">
        <f>ROUND(I302*H302,2)</f>
        <v>1338.99</v>
      </c>
      <c r="K302" s="127" t="s">
        <v>293</v>
      </c>
      <c r="L302" s="268">
        <f>S302</f>
        <v>0</v>
      </c>
      <c r="M302" s="272">
        <f>ROUND(L302*I302,2)</f>
        <v>0</v>
      </c>
      <c r="N302" s="243"/>
      <c r="O302" s="294">
        <f>ROUND(N302*I302,2)</f>
        <v>0</v>
      </c>
      <c r="P302" s="273">
        <f>H302-L302-N302</f>
        <v>33.08</v>
      </c>
      <c r="Q302" s="287">
        <f>ROUND(P302*I302,2)</f>
        <v>1338.99</v>
      </c>
      <c r="R302" s="137"/>
      <c r="S302" s="269">
        <f>W302+Y302+AA302+AC302+AE302+AG302+AI302</f>
        <v>0</v>
      </c>
      <c r="T302" s="269">
        <f>ROUND(S302*I302,2)</f>
        <v>0</v>
      </c>
      <c r="U302" s="269">
        <f>H302-S302</f>
        <v>33.08</v>
      </c>
      <c r="V302" s="269">
        <f>ROUND(U302*I302,2)</f>
        <v>1338.99</v>
      </c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DF302" s="132" t="s">
        <v>1</v>
      </c>
      <c r="DG302" s="133" t="s">
        <v>40</v>
      </c>
      <c r="DI302" s="134">
        <f>DH302*H302</f>
        <v>0</v>
      </c>
      <c r="DJ302" s="134">
        <v>0</v>
      </c>
      <c r="DK302" s="134">
        <f>DJ302*H302</f>
        <v>0</v>
      </c>
      <c r="DL302" s="134">
        <v>0</v>
      </c>
      <c r="DM302" s="135">
        <f>DL302*H302</f>
        <v>0</v>
      </c>
      <c r="EK302" s="136" t="s">
        <v>95</v>
      </c>
      <c r="EM302" s="136" t="s">
        <v>284</v>
      </c>
      <c r="EN302" s="136" t="s">
        <v>83</v>
      </c>
      <c r="ER302" s="16" t="s">
        <v>282</v>
      </c>
      <c r="EX302" s="137">
        <f>IF(DG302="základní",J302,0)</f>
        <v>1338.99</v>
      </c>
      <c r="EY302" s="137">
        <f>IF(DG302="snížená",J302,0)</f>
        <v>0</v>
      </c>
      <c r="EZ302" s="137">
        <f>IF(DG302="zákl. přenesená",J302,0)</f>
        <v>0</v>
      </c>
      <c r="FA302" s="137">
        <f>IF(DG302="sníž. přenesená",J302,0)</f>
        <v>0</v>
      </c>
      <c r="FB302" s="137">
        <f>IF(DG302="nulová",J302,0)</f>
        <v>0</v>
      </c>
      <c r="FC302" s="16" t="s">
        <v>81</v>
      </c>
      <c r="FD302" s="137">
        <f>ROUND(I302*H302,2)</f>
        <v>1338.99</v>
      </c>
      <c r="FE302" s="16" t="s">
        <v>95</v>
      </c>
      <c r="FF302" s="136" t="s">
        <v>1956</v>
      </c>
    </row>
    <row r="303" spans="2:162" s="1" customFormat="1" ht="19.5" x14ac:dyDescent="0.2">
      <c r="B303" s="31"/>
      <c r="D303" s="138" t="s">
        <v>289</v>
      </c>
      <c r="F303" s="139" t="s">
        <v>701</v>
      </c>
      <c r="I303" s="140"/>
      <c r="L303" s="31"/>
      <c r="N303" s="213"/>
      <c r="O303" s="214"/>
      <c r="Q303" s="229"/>
      <c r="DF303" s="141"/>
      <c r="DM303" s="50"/>
      <c r="EM303" s="16" t="s">
        <v>289</v>
      </c>
      <c r="EN303" s="16" t="s">
        <v>83</v>
      </c>
    </row>
    <row r="304" spans="2:162" s="12" customFormat="1" x14ac:dyDescent="0.2">
      <c r="B304" s="149"/>
      <c r="D304" s="138" t="s">
        <v>301</v>
      </c>
      <c r="E304" s="150" t="s">
        <v>1</v>
      </c>
      <c r="F304" s="151" t="s">
        <v>1957</v>
      </c>
      <c r="H304" s="152">
        <v>27.852</v>
      </c>
      <c r="I304" s="153"/>
      <c r="L304" s="149"/>
      <c r="N304" s="217"/>
      <c r="O304" s="218"/>
      <c r="Q304" s="231"/>
      <c r="DF304" s="154"/>
      <c r="DM304" s="155"/>
      <c r="EM304" s="150" t="s">
        <v>301</v>
      </c>
      <c r="EN304" s="150" t="s">
        <v>83</v>
      </c>
      <c r="EO304" s="12" t="s">
        <v>83</v>
      </c>
      <c r="EP304" s="12" t="s">
        <v>32</v>
      </c>
      <c r="EQ304" s="12" t="s">
        <v>74</v>
      </c>
      <c r="ER304" s="150" t="s">
        <v>282</v>
      </c>
    </row>
    <row r="305" spans="2:162" s="12" customFormat="1" x14ac:dyDescent="0.2">
      <c r="B305" s="149"/>
      <c r="D305" s="138" t="s">
        <v>301</v>
      </c>
      <c r="E305" s="150" t="s">
        <v>1</v>
      </c>
      <c r="F305" s="151" t="s">
        <v>1958</v>
      </c>
      <c r="H305" s="152">
        <v>5.2279999999999998</v>
      </c>
      <c r="I305" s="153"/>
      <c r="L305" s="149"/>
      <c r="N305" s="217"/>
      <c r="O305" s="218"/>
      <c r="Q305" s="231"/>
      <c r="DF305" s="154"/>
      <c r="DM305" s="155"/>
      <c r="EM305" s="150" t="s">
        <v>301</v>
      </c>
      <c r="EN305" s="150" t="s">
        <v>83</v>
      </c>
      <c r="EO305" s="12" t="s">
        <v>83</v>
      </c>
      <c r="EP305" s="12" t="s">
        <v>32</v>
      </c>
      <c r="EQ305" s="12" t="s">
        <v>74</v>
      </c>
      <c r="ER305" s="150" t="s">
        <v>282</v>
      </c>
    </row>
    <row r="306" spans="2:162" s="13" customFormat="1" x14ac:dyDescent="0.2">
      <c r="B306" s="156"/>
      <c r="D306" s="138" t="s">
        <v>301</v>
      </c>
      <c r="E306" s="157" t="s">
        <v>1</v>
      </c>
      <c r="F306" s="158" t="s">
        <v>305</v>
      </c>
      <c r="H306" s="159">
        <v>33.08</v>
      </c>
      <c r="I306" s="160"/>
      <c r="L306" s="156"/>
      <c r="N306" s="219"/>
      <c r="O306" s="220"/>
      <c r="Q306" s="232"/>
      <c r="DF306" s="161"/>
      <c r="DM306" s="162"/>
      <c r="EM306" s="157" t="s">
        <v>301</v>
      </c>
      <c r="EN306" s="157" t="s">
        <v>83</v>
      </c>
      <c r="EO306" s="13" t="s">
        <v>95</v>
      </c>
      <c r="EP306" s="13" t="s">
        <v>32</v>
      </c>
      <c r="EQ306" s="13" t="s">
        <v>81</v>
      </c>
      <c r="ER306" s="157" t="s">
        <v>282</v>
      </c>
    </row>
    <row r="307" spans="2:162" s="1" customFormat="1" ht="24.2" customHeight="1" x14ac:dyDescent="0.2">
      <c r="B307" s="124"/>
      <c r="C307" s="125" t="s">
        <v>568</v>
      </c>
      <c r="D307" s="125" t="s">
        <v>284</v>
      </c>
      <c r="E307" s="126" t="s">
        <v>705</v>
      </c>
      <c r="F307" s="127" t="s">
        <v>706</v>
      </c>
      <c r="G307" s="128" t="s">
        <v>418</v>
      </c>
      <c r="H307" s="129">
        <v>463.12</v>
      </c>
      <c r="I307" s="130">
        <v>3.1192340975392101</v>
      </c>
      <c r="J307" s="131">
        <f>ROUND(I307*H307,2)</f>
        <v>1444.58</v>
      </c>
      <c r="K307" s="127" t="s">
        <v>293</v>
      </c>
      <c r="L307" s="268">
        <f>S307</f>
        <v>0</v>
      </c>
      <c r="M307" s="272">
        <f>ROUND(L307*I307,2)</f>
        <v>0</v>
      </c>
      <c r="N307" s="243"/>
      <c r="O307" s="294">
        <f>ROUND(N307*I307,2)</f>
        <v>0</v>
      </c>
      <c r="P307" s="273">
        <f>H307-L307-N307</f>
        <v>463.12</v>
      </c>
      <c r="Q307" s="287">
        <f>ROUND(P307*I307,2)</f>
        <v>1444.58</v>
      </c>
      <c r="R307" s="137"/>
      <c r="S307" s="269">
        <f>W307+Y307+AA307+AC307+AE307+AG307+AI307</f>
        <v>0</v>
      </c>
      <c r="T307" s="269">
        <f>ROUND(S307*I307,2)</f>
        <v>0</v>
      </c>
      <c r="U307" s="269">
        <f>H307-S307</f>
        <v>463.12</v>
      </c>
      <c r="V307" s="269">
        <f>ROUND(U307*I307,2)</f>
        <v>1444.58</v>
      </c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DF307" s="132" t="s">
        <v>1</v>
      </c>
      <c r="DG307" s="133" t="s">
        <v>40</v>
      </c>
      <c r="DI307" s="134">
        <f>DH307*H307</f>
        <v>0</v>
      </c>
      <c r="DJ307" s="134">
        <v>0</v>
      </c>
      <c r="DK307" s="134">
        <f>DJ307*H307</f>
        <v>0</v>
      </c>
      <c r="DL307" s="134">
        <v>0</v>
      </c>
      <c r="DM307" s="135">
        <f>DL307*H307</f>
        <v>0</v>
      </c>
      <c r="EK307" s="136" t="s">
        <v>95</v>
      </c>
      <c r="EM307" s="136" t="s">
        <v>284</v>
      </c>
      <c r="EN307" s="136" t="s">
        <v>83</v>
      </c>
      <c r="ER307" s="16" t="s">
        <v>282</v>
      </c>
      <c r="EX307" s="137">
        <f>IF(DG307="základní",J307,0)</f>
        <v>1444.58</v>
      </c>
      <c r="EY307" s="137">
        <f>IF(DG307="snížená",J307,0)</f>
        <v>0</v>
      </c>
      <c r="EZ307" s="137">
        <f>IF(DG307="zákl. přenesená",J307,0)</f>
        <v>0</v>
      </c>
      <c r="FA307" s="137">
        <f>IF(DG307="sníž. přenesená",J307,0)</f>
        <v>0</v>
      </c>
      <c r="FB307" s="137">
        <f>IF(DG307="nulová",J307,0)</f>
        <v>0</v>
      </c>
      <c r="FC307" s="16" t="s">
        <v>81</v>
      </c>
      <c r="FD307" s="137">
        <f>ROUND(I307*H307,2)</f>
        <v>1444.58</v>
      </c>
      <c r="FE307" s="16" t="s">
        <v>95</v>
      </c>
      <c r="FF307" s="136" t="s">
        <v>1959</v>
      </c>
    </row>
    <row r="308" spans="2:162" s="1" customFormat="1" ht="29.25" x14ac:dyDescent="0.2">
      <c r="B308" s="31"/>
      <c r="D308" s="138" t="s">
        <v>289</v>
      </c>
      <c r="F308" s="139" t="s">
        <v>708</v>
      </c>
      <c r="I308" s="140"/>
      <c r="L308" s="31"/>
      <c r="N308" s="213"/>
      <c r="O308" s="214"/>
      <c r="Q308" s="229"/>
      <c r="DF308" s="141"/>
      <c r="DM308" s="50"/>
      <c r="EM308" s="16" t="s">
        <v>289</v>
      </c>
      <c r="EN308" s="16" t="s">
        <v>83</v>
      </c>
    </row>
    <row r="309" spans="2:162" s="12" customFormat="1" x14ac:dyDescent="0.2">
      <c r="B309" s="149"/>
      <c r="D309" s="138" t="s">
        <v>301</v>
      </c>
      <c r="E309" s="150" t="s">
        <v>1</v>
      </c>
      <c r="F309" s="151" t="s">
        <v>1957</v>
      </c>
      <c r="H309" s="152">
        <v>27.852</v>
      </c>
      <c r="I309" s="153"/>
      <c r="L309" s="149"/>
      <c r="N309" s="217"/>
      <c r="O309" s="218"/>
      <c r="Q309" s="231"/>
      <c r="DF309" s="154"/>
      <c r="DM309" s="155"/>
      <c r="EM309" s="150" t="s">
        <v>301</v>
      </c>
      <c r="EN309" s="150" t="s">
        <v>83</v>
      </c>
      <c r="EO309" s="12" t="s">
        <v>83</v>
      </c>
      <c r="EP309" s="12" t="s">
        <v>32</v>
      </c>
      <c r="EQ309" s="12" t="s">
        <v>74</v>
      </c>
      <c r="ER309" s="150" t="s">
        <v>282</v>
      </c>
    </row>
    <row r="310" spans="2:162" s="12" customFormat="1" x14ac:dyDescent="0.2">
      <c r="B310" s="149"/>
      <c r="D310" s="138" t="s">
        <v>301</v>
      </c>
      <c r="E310" s="150" t="s">
        <v>1</v>
      </c>
      <c r="F310" s="151" t="s">
        <v>1958</v>
      </c>
      <c r="H310" s="152">
        <v>5.2279999999999998</v>
      </c>
      <c r="I310" s="153"/>
      <c r="L310" s="149"/>
      <c r="N310" s="217"/>
      <c r="O310" s="218"/>
      <c r="Q310" s="231"/>
      <c r="DF310" s="154"/>
      <c r="DM310" s="155"/>
      <c r="EM310" s="150" t="s">
        <v>301</v>
      </c>
      <c r="EN310" s="150" t="s">
        <v>83</v>
      </c>
      <c r="EO310" s="12" t="s">
        <v>83</v>
      </c>
      <c r="EP310" s="12" t="s">
        <v>32</v>
      </c>
      <c r="EQ310" s="12" t="s">
        <v>74</v>
      </c>
      <c r="ER310" s="150" t="s">
        <v>282</v>
      </c>
    </row>
    <row r="311" spans="2:162" s="13" customFormat="1" x14ac:dyDescent="0.2">
      <c r="B311" s="156"/>
      <c r="D311" s="138" t="s">
        <v>301</v>
      </c>
      <c r="E311" s="157" t="s">
        <v>1</v>
      </c>
      <c r="F311" s="158" t="s">
        <v>305</v>
      </c>
      <c r="H311" s="159">
        <v>33.08</v>
      </c>
      <c r="I311" s="160"/>
      <c r="L311" s="156"/>
      <c r="N311" s="219"/>
      <c r="O311" s="220"/>
      <c r="Q311" s="232"/>
      <c r="DF311" s="161"/>
      <c r="DM311" s="162"/>
      <c r="EM311" s="157" t="s">
        <v>301</v>
      </c>
      <c r="EN311" s="157" t="s">
        <v>83</v>
      </c>
      <c r="EO311" s="13" t="s">
        <v>95</v>
      </c>
      <c r="EP311" s="13" t="s">
        <v>32</v>
      </c>
      <c r="EQ311" s="13" t="s">
        <v>81</v>
      </c>
      <c r="ER311" s="157" t="s">
        <v>282</v>
      </c>
    </row>
    <row r="312" spans="2:162" s="12" customFormat="1" x14ac:dyDescent="0.2">
      <c r="B312" s="149"/>
      <c r="D312" s="138" t="s">
        <v>301</v>
      </c>
      <c r="F312" s="151" t="s">
        <v>1960</v>
      </c>
      <c r="H312" s="152">
        <v>463.12</v>
      </c>
      <c r="I312" s="153"/>
      <c r="L312" s="149"/>
      <c r="N312" s="217"/>
      <c r="O312" s="218"/>
      <c r="Q312" s="231"/>
      <c r="DF312" s="154"/>
      <c r="DM312" s="155"/>
      <c r="EM312" s="150" t="s">
        <v>301</v>
      </c>
      <c r="EN312" s="150" t="s">
        <v>83</v>
      </c>
      <c r="EO312" s="12" t="s">
        <v>83</v>
      </c>
      <c r="EP312" s="12" t="s">
        <v>3</v>
      </c>
      <c r="EQ312" s="12" t="s">
        <v>81</v>
      </c>
      <c r="ER312" s="150" t="s">
        <v>282</v>
      </c>
    </row>
    <row r="313" spans="2:162" s="1" customFormat="1" ht="24.2" customHeight="1" x14ac:dyDescent="0.2">
      <c r="B313" s="124"/>
      <c r="C313" s="125" t="s">
        <v>572</v>
      </c>
      <c r="D313" s="125" t="s">
        <v>284</v>
      </c>
      <c r="E313" s="126" t="s">
        <v>711</v>
      </c>
      <c r="F313" s="127" t="s">
        <v>712</v>
      </c>
      <c r="G313" s="128" t="s">
        <v>418</v>
      </c>
      <c r="H313" s="129">
        <v>33.08</v>
      </c>
      <c r="I313" s="130">
        <v>155.98322812074767</v>
      </c>
      <c r="J313" s="131">
        <f>ROUND(I313*H313,2)</f>
        <v>5159.93</v>
      </c>
      <c r="K313" s="127" t="s">
        <v>293</v>
      </c>
      <c r="L313" s="268">
        <f>S313</f>
        <v>0</v>
      </c>
      <c r="M313" s="272">
        <f>ROUND(L313*I313,2)</f>
        <v>0</v>
      </c>
      <c r="N313" s="243"/>
      <c r="O313" s="294">
        <f>ROUND(N313*I313,2)</f>
        <v>0</v>
      </c>
      <c r="P313" s="273">
        <f>H313-L313-N313</f>
        <v>33.08</v>
      </c>
      <c r="Q313" s="287">
        <f>ROUND(P313*I313,2)</f>
        <v>5159.93</v>
      </c>
      <c r="R313" s="137"/>
      <c r="S313" s="269">
        <f>W313+Y313+AA313+AC313+AE313+AG313+AI313</f>
        <v>0</v>
      </c>
      <c r="T313" s="269">
        <f>ROUND(S313*I313,2)</f>
        <v>0</v>
      </c>
      <c r="U313" s="269">
        <f>H313-S313</f>
        <v>33.08</v>
      </c>
      <c r="V313" s="269">
        <f>ROUND(U313*I313,2)</f>
        <v>5159.93</v>
      </c>
      <c r="W313" s="269"/>
      <c r="X313" s="269"/>
      <c r="Y313" s="269"/>
      <c r="Z313" s="269"/>
      <c r="AA313" s="269"/>
      <c r="AB313" s="269"/>
      <c r="AC313" s="269"/>
      <c r="AD313" s="269"/>
      <c r="AE313" s="269"/>
      <c r="AF313" s="269"/>
      <c r="AG313" s="269"/>
      <c r="AH313" s="269"/>
      <c r="AI313" s="269"/>
      <c r="AJ313" s="269"/>
      <c r="DF313" s="132" t="s">
        <v>1</v>
      </c>
      <c r="DG313" s="133" t="s">
        <v>40</v>
      </c>
      <c r="DI313" s="134">
        <f>DH313*H313</f>
        <v>0</v>
      </c>
      <c r="DJ313" s="134">
        <v>0</v>
      </c>
      <c r="DK313" s="134">
        <f>DJ313*H313</f>
        <v>0</v>
      </c>
      <c r="DL313" s="134">
        <v>0</v>
      </c>
      <c r="DM313" s="135">
        <f>DL313*H313</f>
        <v>0</v>
      </c>
      <c r="EK313" s="136" t="s">
        <v>95</v>
      </c>
      <c r="EM313" s="136" t="s">
        <v>284</v>
      </c>
      <c r="EN313" s="136" t="s">
        <v>83</v>
      </c>
      <c r="ER313" s="16" t="s">
        <v>282</v>
      </c>
      <c r="EX313" s="137">
        <f>IF(DG313="základní",J313,0)</f>
        <v>5159.93</v>
      </c>
      <c r="EY313" s="137">
        <f>IF(DG313="snížená",J313,0)</f>
        <v>0</v>
      </c>
      <c r="EZ313" s="137">
        <f>IF(DG313="zákl. přenesená",J313,0)</f>
        <v>0</v>
      </c>
      <c r="FA313" s="137">
        <f>IF(DG313="sníž. přenesená",J313,0)</f>
        <v>0</v>
      </c>
      <c r="FB313" s="137">
        <f>IF(DG313="nulová",J313,0)</f>
        <v>0</v>
      </c>
      <c r="FC313" s="16" t="s">
        <v>81</v>
      </c>
      <c r="FD313" s="137">
        <f>ROUND(I313*H313,2)</f>
        <v>5159.93</v>
      </c>
      <c r="FE313" s="16" t="s">
        <v>95</v>
      </c>
      <c r="FF313" s="136" t="s">
        <v>1961</v>
      </c>
    </row>
    <row r="314" spans="2:162" s="1" customFormat="1" x14ac:dyDescent="0.2">
      <c r="B314" s="31"/>
      <c r="D314" s="138" t="s">
        <v>289</v>
      </c>
      <c r="F314" s="139" t="s">
        <v>714</v>
      </c>
      <c r="I314" s="140"/>
      <c r="L314" s="31"/>
      <c r="N314" s="213"/>
      <c r="O314" s="214"/>
      <c r="Q314" s="229"/>
      <c r="DF314" s="141"/>
      <c r="DM314" s="50"/>
      <c r="EM314" s="16" t="s">
        <v>289</v>
      </c>
      <c r="EN314" s="16" t="s">
        <v>83</v>
      </c>
    </row>
    <row r="315" spans="2:162" s="1" customFormat="1" ht="37.9" customHeight="1" x14ac:dyDescent="0.2">
      <c r="B315" s="124"/>
      <c r="C315" s="125" t="s">
        <v>576</v>
      </c>
      <c r="D315" s="125" t="s">
        <v>284</v>
      </c>
      <c r="E315" s="126" t="s">
        <v>716</v>
      </c>
      <c r="F315" s="127" t="s">
        <v>420</v>
      </c>
      <c r="G315" s="128" t="s">
        <v>418</v>
      </c>
      <c r="H315" s="129">
        <v>27.852</v>
      </c>
      <c r="I315" s="130">
        <v>110.6455721</v>
      </c>
      <c r="J315" s="131">
        <f>ROUND(I315*H315,2)</f>
        <v>3081.7</v>
      </c>
      <c r="K315" s="127" t="s">
        <v>293</v>
      </c>
      <c r="L315" s="268">
        <f>S315</f>
        <v>0</v>
      </c>
      <c r="M315" s="272">
        <f>ROUND(L315*I315,2)</f>
        <v>0</v>
      </c>
      <c r="N315" s="243"/>
      <c r="O315" s="294">
        <f>ROUND(N315*I315,2)</f>
        <v>0</v>
      </c>
      <c r="P315" s="273">
        <f>H315-L315-N315</f>
        <v>27.852</v>
      </c>
      <c r="Q315" s="287">
        <f>ROUND(P315*I315,2)</f>
        <v>3081.7</v>
      </c>
      <c r="R315" s="137"/>
      <c r="S315" s="269">
        <f>W315+Y315+AA315+AC315+AE315+AG315+AI315</f>
        <v>0</v>
      </c>
      <c r="T315" s="269">
        <f>ROUND(S315*I315,2)</f>
        <v>0</v>
      </c>
      <c r="U315" s="269">
        <f>H315-S315</f>
        <v>27.852</v>
      </c>
      <c r="V315" s="269">
        <f>ROUND(U315*I315,2)</f>
        <v>3081.7</v>
      </c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DF315" s="132" t="s">
        <v>1</v>
      </c>
      <c r="DG315" s="133" t="s">
        <v>40</v>
      </c>
      <c r="DI315" s="134">
        <f>DH315*H315</f>
        <v>0</v>
      </c>
      <c r="DJ315" s="134">
        <v>0</v>
      </c>
      <c r="DK315" s="134">
        <f>DJ315*H315</f>
        <v>0</v>
      </c>
      <c r="DL315" s="134">
        <v>0</v>
      </c>
      <c r="DM315" s="135">
        <f>DL315*H315</f>
        <v>0</v>
      </c>
      <c r="EK315" s="136" t="s">
        <v>95</v>
      </c>
      <c r="EM315" s="136" t="s">
        <v>284</v>
      </c>
      <c r="EN315" s="136" t="s">
        <v>83</v>
      </c>
      <c r="ER315" s="16" t="s">
        <v>282</v>
      </c>
      <c r="EX315" s="137">
        <f>IF(DG315="základní",J315,0)</f>
        <v>3081.7</v>
      </c>
      <c r="EY315" s="137">
        <f>IF(DG315="snížená",J315,0)</f>
        <v>0</v>
      </c>
      <c r="EZ315" s="137">
        <f>IF(DG315="zákl. přenesená",J315,0)</f>
        <v>0</v>
      </c>
      <c r="FA315" s="137">
        <f>IF(DG315="sníž. přenesená",J315,0)</f>
        <v>0</v>
      </c>
      <c r="FB315" s="137">
        <f>IF(DG315="nulová",J315,0)</f>
        <v>0</v>
      </c>
      <c r="FC315" s="16" t="s">
        <v>81</v>
      </c>
      <c r="FD315" s="137">
        <f>ROUND(I315*H315,2)</f>
        <v>3081.7</v>
      </c>
      <c r="FE315" s="16" t="s">
        <v>95</v>
      </c>
      <c r="FF315" s="136" t="s">
        <v>1962</v>
      </c>
    </row>
    <row r="316" spans="2:162" s="1" customFormat="1" ht="29.25" x14ac:dyDescent="0.2">
      <c r="B316" s="31"/>
      <c r="D316" s="138" t="s">
        <v>289</v>
      </c>
      <c r="F316" s="139" t="s">
        <v>420</v>
      </c>
      <c r="I316" s="140"/>
      <c r="L316" s="31"/>
      <c r="N316" s="213"/>
      <c r="O316" s="214"/>
      <c r="Q316" s="229"/>
      <c r="DF316" s="141"/>
      <c r="DM316" s="50"/>
      <c r="EM316" s="16" t="s">
        <v>289</v>
      </c>
      <c r="EN316" s="16" t="s">
        <v>83</v>
      </c>
    </row>
    <row r="317" spans="2:162" s="12" customFormat="1" x14ac:dyDescent="0.2">
      <c r="B317" s="149"/>
      <c r="D317" s="138" t="s">
        <v>301</v>
      </c>
      <c r="E317" s="150" t="s">
        <v>1</v>
      </c>
      <c r="F317" s="151" t="s">
        <v>1957</v>
      </c>
      <c r="H317" s="152">
        <v>27.852</v>
      </c>
      <c r="I317" s="153"/>
      <c r="L317" s="149"/>
      <c r="N317" s="217"/>
      <c r="O317" s="218"/>
      <c r="Q317" s="231"/>
      <c r="DF317" s="154"/>
      <c r="DM317" s="155"/>
      <c r="EM317" s="150" t="s">
        <v>301</v>
      </c>
      <c r="EN317" s="150" t="s">
        <v>83</v>
      </c>
      <c r="EO317" s="12" t="s">
        <v>83</v>
      </c>
      <c r="EP317" s="12" t="s">
        <v>32</v>
      </c>
      <c r="EQ317" s="12" t="s">
        <v>81</v>
      </c>
      <c r="ER317" s="150" t="s">
        <v>282</v>
      </c>
    </row>
    <row r="318" spans="2:162" s="1" customFormat="1" ht="37.9" customHeight="1" x14ac:dyDescent="0.2">
      <c r="B318" s="124"/>
      <c r="C318" s="125" t="s">
        <v>581</v>
      </c>
      <c r="D318" s="125" t="s">
        <v>284</v>
      </c>
      <c r="E318" s="126" t="s">
        <v>719</v>
      </c>
      <c r="F318" s="127" t="s">
        <v>720</v>
      </c>
      <c r="G318" s="128" t="s">
        <v>418</v>
      </c>
      <c r="H318" s="129">
        <v>5.2279999999999998</v>
      </c>
      <c r="I318" s="130">
        <v>250.3439285</v>
      </c>
      <c r="J318" s="131">
        <f>ROUND(I318*H318,2)</f>
        <v>1308.8</v>
      </c>
      <c r="K318" s="127" t="s">
        <v>293</v>
      </c>
      <c r="L318" s="268">
        <f>S318</f>
        <v>0</v>
      </c>
      <c r="M318" s="272">
        <f>ROUND(L318*I318,2)</f>
        <v>0</v>
      </c>
      <c r="N318" s="243"/>
      <c r="O318" s="294">
        <f>ROUND(N318*I318,2)</f>
        <v>0</v>
      </c>
      <c r="P318" s="273">
        <f>H318-L318-N318</f>
        <v>5.2279999999999998</v>
      </c>
      <c r="Q318" s="287">
        <f>ROUND(P318*I318,2)</f>
        <v>1308.8</v>
      </c>
      <c r="R318" s="137"/>
      <c r="S318" s="269">
        <f>W318+Y318+AA318+AC318+AE318+AG318+AI318</f>
        <v>0</v>
      </c>
      <c r="T318" s="269">
        <f>ROUND(S318*I318,2)</f>
        <v>0</v>
      </c>
      <c r="U318" s="269">
        <f>H318-S318</f>
        <v>5.2279999999999998</v>
      </c>
      <c r="V318" s="269">
        <f>ROUND(U318*I318,2)</f>
        <v>1308.8</v>
      </c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DF318" s="132" t="s">
        <v>1</v>
      </c>
      <c r="DG318" s="133" t="s">
        <v>40</v>
      </c>
      <c r="DI318" s="134">
        <f>DH318*H318</f>
        <v>0</v>
      </c>
      <c r="DJ318" s="134">
        <v>0</v>
      </c>
      <c r="DK318" s="134">
        <f>DJ318*H318</f>
        <v>0</v>
      </c>
      <c r="DL318" s="134">
        <v>0</v>
      </c>
      <c r="DM318" s="135">
        <f>DL318*H318</f>
        <v>0</v>
      </c>
      <c r="EK318" s="136" t="s">
        <v>95</v>
      </c>
      <c r="EM318" s="136" t="s">
        <v>284</v>
      </c>
      <c r="EN318" s="136" t="s">
        <v>83</v>
      </c>
      <c r="ER318" s="16" t="s">
        <v>282</v>
      </c>
      <c r="EX318" s="137">
        <f>IF(DG318="základní",J318,0)</f>
        <v>1308.8</v>
      </c>
      <c r="EY318" s="137">
        <f>IF(DG318="snížená",J318,0)</f>
        <v>0</v>
      </c>
      <c r="EZ318" s="137">
        <f>IF(DG318="zákl. přenesená",J318,0)</f>
        <v>0</v>
      </c>
      <c r="FA318" s="137">
        <f>IF(DG318="sníž. přenesená",J318,0)</f>
        <v>0</v>
      </c>
      <c r="FB318" s="137">
        <f>IF(DG318="nulová",J318,0)</f>
        <v>0</v>
      </c>
      <c r="FC318" s="16" t="s">
        <v>81</v>
      </c>
      <c r="FD318" s="137">
        <f>ROUND(I318*H318,2)</f>
        <v>1308.8</v>
      </c>
      <c r="FE318" s="16" t="s">
        <v>95</v>
      </c>
      <c r="FF318" s="136" t="s">
        <v>1963</v>
      </c>
    </row>
    <row r="319" spans="2:162" s="1" customFormat="1" ht="29.25" x14ac:dyDescent="0.2">
      <c r="B319" s="31"/>
      <c r="D319" s="138" t="s">
        <v>289</v>
      </c>
      <c r="F319" s="139" t="s">
        <v>720</v>
      </c>
      <c r="I319" s="140"/>
      <c r="L319" s="31"/>
      <c r="N319" s="213"/>
      <c r="O319" s="214"/>
      <c r="Q319" s="229"/>
      <c r="DF319" s="141"/>
      <c r="DM319" s="50"/>
      <c r="EM319" s="16" t="s">
        <v>289</v>
      </c>
      <c r="EN319" s="16" t="s">
        <v>83</v>
      </c>
    </row>
    <row r="320" spans="2:162" s="12" customFormat="1" x14ac:dyDescent="0.2">
      <c r="B320" s="149"/>
      <c r="D320" s="138" t="s">
        <v>301</v>
      </c>
      <c r="E320" s="150" t="s">
        <v>1</v>
      </c>
      <c r="F320" s="151" t="s">
        <v>1958</v>
      </c>
      <c r="H320" s="152">
        <v>5.2279999999999998</v>
      </c>
      <c r="I320" s="153"/>
      <c r="L320" s="149"/>
      <c r="N320" s="217"/>
      <c r="O320" s="218"/>
      <c r="Q320" s="231"/>
      <c r="DF320" s="154"/>
      <c r="DM320" s="155"/>
      <c r="EM320" s="150" t="s">
        <v>301</v>
      </c>
      <c r="EN320" s="150" t="s">
        <v>83</v>
      </c>
      <c r="EO320" s="12" t="s">
        <v>83</v>
      </c>
      <c r="EP320" s="12" t="s">
        <v>32</v>
      </c>
      <c r="EQ320" s="12" t="s">
        <v>81</v>
      </c>
      <c r="ER320" s="150" t="s">
        <v>282</v>
      </c>
    </row>
    <row r="321" spans="2:162" s="10" customFormat="1" ht="22.9" customHeight="1" x14ac:dyDescent="0.2">
      <c r="B321" s="112"/>
      <c r="D321" s="113" t="s">
        <v>73</v>
      </c>
      <c r="E321" s="122" t="s">
        <v>722</v>
      </c>
      <c r="F321" s="122" t="s">
        <v>723</v>
      </c>
      <c r="I321" s="115"/>
      <c r="J321" s="123">
        <f>FD321</f>
        <v>20530.490000000002</v>
      </c>
      <c r="L321" s="112"/>
      <c r="M321" s="270">
        <f>M322</f>
        <v>0</v>
      </c>
      <c r="N321" s="301"/>
      <c r="O321" s="302">
        <f t="shared" ref="O321:V321" si="8">O322</f>
        <v>0</v>
      </c>
      <c r="P321" s="270"/>
      <c r="Q321" s="288">
        <f t="shared" si="8"/>
        <v>20530.490000000002</v>
      </c>
      <c r="R321" s="270"/>
      <c r="S321" s="270"/>
      <c r="T321" s="270">
        <f t="shared" si="8"/>
        <v>0</v>
      </c>
      <c r="U321" s="270"/>
      <c r="V321" s="270">
        <f t="shared" si="8"/>
        <v>20530.490000000002</v>
      </c>
      <c r="DF321" s="117"/>
      <c r="DI321" s="118">
        <f>SUM(DI322:DI325)</f>
        <v>0</v>
      </c>
      <c r="DK321" s="118">
        <f>SUM(DK322:DK325)</f>
        <v>0</v>
      </c>
      <c r="DM321" s="119">
        <f>SUM(DM322:DM325)</f>
        <v>0</v>
      </c>
      <c r="EK321" s="113" t="s">
        <v>81</v>
      </c>
      <c r="EM321" s="120" t="s">
        <v>73</v>
      </c>
      <c r="EN321" s="120" t="s">
        <v>81</v>
      </c>
      <c r="ER321" s="113" t="s">
        <v>282</v>
      </c>
      <c r="FD321" s="121">
        <f>SUM(FD322:FD325)</f>
        <v>20530.490000000002</v>
      </c>
    </row>
    <row r="322" spans="2:162" s="1" customFormat="1" ht="24.2" customHeight="1" x14ac:dyDescent="0.2">
      <c r="B322" s="124"/>
      <c r="C322" s="125" t="s">
        <v>589</v>
      </c>
      <c r="D322" s="125" t="s">
        <v>284</v>
      </c>
      <c r="E322" s="126" t="s">
        <v>1964</v>
      </c>
      <c r="F322" s="127" t="s">
        <v>1965</v>
      </c>
      <c r="G322" s="128" t="s">
        <v>418</v>
      </c>
      <c r="H322" s="129">
        <v>32.908999999999999</v>
      </c>
      <c r="I322" s="130">
        <v>623.85641047656759</v>
      </c>
      <c r="J322" s="131">
        <f>ROUND(I322*H322,2)</f>
        <v>20530.490000000002</v>
      </c>
      <c r="K322" s="127" t="s">
        <v>293</v>
      </c>
      <c r="L322" s="268">
        <f>S322</f>
        <v>0</v>
      </c>
      <c r="M322" s="272">
        <f>ROUND(L322*I322,2)</f>
        <v>0</v>
      </c>
      <c r="N322" s="243"/>
      <c r="O322" s="294">
        <f>ROUND(N322*I322,2)</f>
        <v>0</v>
      </c>
      <c r="P322" s="273">
        <f>H322-L322-N322</f>
        <v>32.908999999999999</v>
      </c>
      <c r="Q322" s="287">
        <f>ROUND(P322*I322,2)</f>
        <v>20530.490000000002</v>
      </c>
      <c r="R322" s="137"/>
      <c r="S322" s="269">
        <f>W322+Y322+AA322+AC322+AE322+AG322+AI322</f>
        <v>0</v>
      </c>
      <c r="T322" s="269">
        <f>ROUND(S322*I322,2)</f>
        <v>0</v>
      </c>
      <c r="U322" s="269">
        <f>H322-S322</f>
        <v>32.908999999999999</v>
      </c>
      <c r="V322" s="269">
        <f>ROUND(U322*I322,2)</f>
        <v>20530.490000000002</v>
      </c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DF322" s="132" t="s">
        <v>1</v>
      </c>
      <c r="DG322" s="133" t="s">
        <v>40</v>
      </c>
      <c r="DI322" s="134">
        <f>DH322*H322</f>
        <v>0</v>
      </c>
      <c r="DJ322" s="134">
        <v>0</v>
      </c>
      <c r="DK322" s="134">
        <f>DJ322*H322</f>
        <v>0</v>
      </c>
      <c r="DL322" s="134">
        <v>0</v>
      </c>
      <c r="DM322" s="135">
        <f>DL322*H322</f>
        <v>0</v>
      </c>
      <c r="EK322" s="136" t="s">
        <v>95</v>
      </c>
      <c r="EM322" s="136" t="s">
        <v>284</v>
      </c>
      <c r="EN322" s="136" t="s">
        <v>83</v>
      </c>
      <c r="ER322" s="16" t="s">
        <v>282</v>
      </c>
      <c r="EX322" s="137">
        <f>IF(DG322="základní",J322,0)</f>
        <v>20530.490000000002</v>
      </c>
      <c r="EY322" s="137">
        <f>IF(DG322="snížená",J322,0)</f>
        <v>0</v>
      </c>
      <c r="EZ322" s="137">
        <f>IF(DG322="zákl. přenesená",J322,0)</f>
        <v>0</v>
      </c>
      <c r="FA322" s="137">
        <f>IF(DG322="sníž. přenesená",J322,0)</f>
        <v>0</v>
      </c>
      <c r="FB322" s="137">
        <f>IF(DG322="nulová",J322,0)</f>
        <v>0</v>
      </c>
      <c r="FC322" s="16" t="s">
        <v>81</v>
      </c>
      <c r="FD322" s="137">
        <f>ROUND(I322*H322,2)</f>
        <v>20530.490000000002</v>
      </c>
      <c r="FE322" s="16" t="s">
        <v>95</v>
      </c>
      <c r="FF322" s="136" t="s">
        <v>1966</v>
      </c>
    </row>
    <row r="323" spans="2:162" s="1" customFormat="1" ht="39" x14ac:dyDescent="0.2">
      <c r="B323" s="31"/>
      <c r="D323" s="138" t="s">
        <v>289</v>
      </c>
      <c r="F323" s="139" t="s">
        <v>1967</v>
      </c>
      <c r="I323" s="140"/>
      <c r="L323" s="31"/>
      <c r="N323" s="213"/>
      <c r="O323" s="214"/>
      <c r="Q323" s="229"/>
      <c r="DF323" s="141"/>
      <c r="DM323" s="50"/>
      <c r="EM323" s="16" t="s">
        <v>289</v>
      </c>
      <c r="EN323" s="16" t="s">
        <v>83</v>
      </c>
    </row>
    <row r="324" spans="2:162" s="11" customFormat="1" x14ac:dyDescent="0.2">
      <c r="B324" s="143"/>
      <c r="D324" s="138" t="s">
        <v>301</v>
      </c>
      <c r="E324" s="144" t="s">
        <v>1</v>
      </c>
      <c r="F324" s="145" t="s">
        <v>729</v>
      </c>
      <c r="H324" s="144" t="s">
        <v>1</v>
      </c>
      <c r="I324" s="146"/>
      <c r="L324" s="143"/>
      <c r="N324" s="215"/>
      <c r="O324" s="216"/>
      <c r="Q324" s="230"/>
      <c r="DF324" s="147"/>
      <c r="DM324" s="148"/>
      <c r="EM324" s="144" t="s">
        <v>301</v>
      </c>
      <c r="EN324" s="144" t="s">
        <v>83</v>
      </c>
      <c r="EO324" s="11" t="s">
        <v>81</v>
      </c>
      <c r="EP324" s="11" t="s">
        <v>32</v>
      </c>
      <c r="EQ324" s="11" t="s">
        <v>74</v>
      </c>
      <c r="ER324" s="144" t="s">
        <v>282</v>
      </c>
    </row>
    <row r="325" spans="2:162" s="12" customFormat="1" x14ac:dyDescent="0.2">
      <c r="B325" s="149"/>
      <c r="D325" s="138" t="s">
        <v>301</v>
      </c>
      <c r="E325" s="150" t="s">
        <v>1</v>
      </c>
      <c r="F325" s="151" t="s">
        <v>1968</v>
      </c>
      <c r="H325" s="152">
        <v>32.908999999999999</v>
      </c>
      <c r="I325" s="153"/>
      <c r="L325" s="149"/>
      <c r="N325" s="217"/>
      <c r="O325" s="218"/>
      <c r="Q325" s="231"/>
      <c r="DF325" s="179"/>
      <c r="DG325" s="180"/>
      <c r="DH325" s="180"/>
      <c r="DI325" s="180"/>
      <c r="DJ325" s="180"/>
      <c r="DK325" s="180"/>
      <c r="DL325" s="180"/>
      <c r="DM325" s="181"/>
      <c r="EM325" s="150" t="s">
        <v>301</v>
      </c>
      <c r="EN325" s="150" t="s">
        <v>83</v>
      </c>
      <c r="EO325" s="12" t="s">
        <v>83</v>
      </c>
      <c r="EP325" s="12" t="s">
        <v>32</v>
      </c>
      <c r="EQ325" s="12" t="s">
        <v>81</v>
      </c>
      <c r="ER325" s="150" t="s">
        <v>282</v>
      </c>
    </row>
    <row r="326" spans="2:162" s="1" customFormat="1" ht="6.95" customHeight="1" thickBot="1" x14ac:dyDescent="0.25">
      <c r="B326" s="43"/>
      <c r="C326" s="44"/>
      <c r="D326" s="44"/>
      <c r="E326" s="44"/>
      <c r="F326" s="44"/>
      <c r="G326" s="44"/>
      <c r="H326" s="44"/>
      <c r="I326" s="44"/>
      <c r="J326" s="44"/>
      <c r="K326" s="44"/>
      <c r="L326" s="268"/>
      <c r="M326" s="272"/>
      <c r="N326" s="304"/>
      <c r="O326" s="305"/>
      <c r="P326" s="273"/>
      <c r="Q326" s="287"/>
      <c r="R326" s="137"/>
      <c r="S326" s="269"/>
      <c r="T326" s="269"/>
      <c r="U326" s="269"/>
      <c r="V326" s="269"/>
      <c r="W326" s="269"/>
      <c r="X326" s="269"/>
      <c r="Y326" s="269"/>
      <c r="Z326" s="269"/>
      <c r="AA326" s="269"/>
      <c r="AB326" s="269"/>
      <c r="AC326" s="269"/>
      <c r="AD326" s="269"/>
      <c r="AE326" s="269"/>
      <c r="AF326" s="269"/>
      <c r="AG326" s="269"/>
      <c r="AH326" s="269"/>
      <c r="AI326" s="269"/>
      <c r="AJ326" s="269"/>
    </row>
  </sheetData>
  <autoFilter ref="C121:K325"/>
  <mergeCells count="26">
    <mergeCell ref="AA122:AB122"/>
    <mergeCell ref="AC122:AD122"/>
    <mergeCell ref="AE122:AF122"/>
    <mergeCell ref="AG122:AH122"/>
    <mergeCell ref="AI122:AJ122"/>
    <mergeCell ref="W122:X122"/>
    <mergeCell ref="Y122:Z122"/>
    <mergeCell ref="U122:V122"/>
    <mergeCell ref="L121:Q121"/>
    <mergeCell ref="L122:M122"/>
    <mergeCell ref="N122:O122"/>
    <mergeCell ref="P122:Q122"/>
    <mergeCell ref="S122:T122"/>
    <mergeCell ref="H120:K120"/>
    <mergeCell ref="E117:H117"/>
    <mergeCell ref="L2:DO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windowProtection="1" showGridLines="0" topLeftCell="A105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156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1789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24.75" customHeight="1" x14ac:dyDescent="0.2">
      <c r="B13" s="31"/>
      <c r="E13" s="432" t="s">
        <v>1969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ROUND(J126, 2)</f>
        <v>0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ROUND((SUM(BE126:BE129)),  2)</f>
        <v>0</v>
      </c>
      <c r="I37" s="84">
        <v>0.21</v>
      </c>
      <c r="J37" s="71">
        <f>ROUND(((SUM(BE126:BE129))*I37),  2)</f>
        <v>0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ROUND((SUM(BF126:BF129)),  2)</f>
        <v>0</v>
      </c>
      <c r="I38" s="84">
        <v>0.15</v>
      </c>
      <c r="J38" s="71">
        <f>ROUND(((SUM(BF126:BF129))*I38),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ROUND((SUM(BG126:BG129)),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ROUND((SUM(BH126:BH129)),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ROUND((SUM(BI126:BI129)),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0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1789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24.75" customHeight="1" x14ac:dyDescent="0.2">
      <c r="B91" s="31"/>
      <c r="E91" s="432" t="str">
        <f>E13</f>
        <v>0002 - DSO 02.2 Čerpací stanice ČS1 - zpevněná plocha - součástí dílčího stavebního objektu DSO 02.1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J126</f>
        <v>0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J127</f>
        <v>0</v>
      </c>
      <c r="L101" s="96"/>
    </row>
    <row r="102" spans="2:47" s="8" customFormat="1" ht="19.899999999999999" customHeight="1" x14ac:dyDescent="0.2">
      <c r="B102" s="100"/>
      <c r="D102" s="101" t="s">
        <v>262</v>
      </c>
      <c r="E102" s="102"/>
      <c r="F102" s="102"/>
      <c r="G102" s="102"/>
      <c r="H102" s="102"/>
      <c r="I102" s="102"/>
      <c r="J102" s="103">
        <f>J128</f>
        <v>0</v>
      </c>
      <c r="L102" s="100"/>
    </row>
    <row r="103" spans="2:47" s="1" customFormat="1" ht="21.75" customHeight="1" x14ac:dyDescent="0.2">
      <c r="B103" s="31"/>
      <c r="L103" s="31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 x14ac:dyDescent="0.2">
      <c r="B109" s="31"/>
      <c r="C109" s="20" t="s">
        <v>267</v>
      </c>
      <c r="L109" s="31"/>
    </row>
    <row r="110" spans="2:47" s="1" customFormat="1" ht="6.95" customHeight="1" x14ac:dyDescent="0.2">
      <c r="B110" s="31"/>
      <c r="L110" s="31"/>
    </row>
    <row r="111" spans="2:47" s="1" customFormat="1" ht="12" customHeight="1" x14ac:dyDescent="0.2">
      <c r="B111" s="31"/>
      <c r="C111" s="26" t="s">
        <v>16</v>
      </c>
      <c r="L111" s="31"/>
    </row>
    <row r="112" spans="2:47" s="1" customFormat="1" ht="16.5" customHeight="1" x14ac:dyDescent="0.2">
      <c r="B112" s="31"/>
      <c r="E112" s="434" t="str">
        <f>E7</f>
        <v>Kanalizace Podlesí - I.Etapa</v>
      </c>
      <c r="F112" s="435"/>
      <c r="G112" s="435"/>
      <c r="H112" s="435"/>
      <c r="L112" s="31"/>
    </row>
    <row r="113" spans="2:63" ht="12" customHeight="1" x14ac:dyDescent="0.2">
      <c r="B113" s="19"/>
      <c r="C113" s="26" t="s">
        <v>244</v>
      </c>
      <c r="L113" s="19"/>
    </row>
    <row r="114" spans="2:63" ht="16.5" customHeight="1" x14ac:dyDescent="0.2">
      <c r="B114" s="19"/>
      <c r="E114" s="434" t="s">
        <v>245</v>
      </c>
      <c r="F114" s="399"/>
      <c r="G114" s="399"/>
      <c r="H114" s="399"/>
      <c r="L114" s="19"/>
    </row>
    <row r="115" spans="2:63" ht="12" customHeight="1" x14ac:dyDescent="0.2">
      <c r="B115" s="19"/>
      <c r="C115" s="26" t="s">
        <v>246</v>
      </c>
      <c r="L115" s="19"/>
    </row>
    <row r="116" spans="2:63" s="1" customFormat="1" ht="16.5" customHeight="1" x14ac:dyDescent="0.2">
      <c r="B116" s="31"/>
      <c r="E116" s="401" t="s">
        <v>1789</v>
      </c>
      <c r="F116" s="433"/>
      <c r="G116" s="433"/>
      <c r="H116" s="433"/>
      <c r="L116" s="31"/>
    </row>
    <row r="117" spans="2:63" s="1" customFormat="1" ht="12" customHeight="1" x14ac:dyDescent="0.2">
      <c r="B117" s="31"/>
      <c r="C117" s="26" t="s">
        <v>1790</v>
      </c>
      <c r="L117" s="31"/>
    </row>
    <row r="118" spans="2:63" s="1" customFormat="1" ht="24.75" customHeight="1" x14ac:dyDescent="0.2">
      <c r="B118" s="31"/>
      <c r="E118" s="432" t="str">
        <f>E13</f>
        <v>0002 - DSO 02.2 Čerpací stanice ČS1 - zpevněná plocha - součástí dílčího stavebního objektu DSO 02.1</v>
      </c>
      <c r="F118" s="433"/>
      <c r="G118" s="433"/>
      <c r="H118" s="433"/>
      <c r="L118" s="31"/>
    </row>
    <row r="119" spans="2:63" s="1" customFormat="1" ht="6.95" customHeight="1" x14ac:dyDescent="0.2">
      <c r="B119" s="31"/>
      <c r="L119" s="31"/>
    </row>
    <row r="120" spans="2:63" s="1" customFormat="1" ht="12" customHeight="1" x14ac:dyDescent="0.2">
      <c r="B120" s="31"/>
      <c r="C120" s="26" t="s">
        <v>20</v>
      </c>
      <c r="F120" s="24" t="str">
        <f>F16</f>
        <v xml:space="preserve"> </v>
      </c>
      <c r="I120" s="26" t="s">
        <v>22</v>
      </c>
      <c r="J120" s="48" t="str">
        <f>IF(J16="","",J16)</f>
        <v>18. 11. 2020</v>
      </c>
      <c r="L120" s="31"/>
    </row>
    <row r="121" spans="2:63" s="1" customFormat="1" ht="6.95" customHeight="1" x14ac:dyDescent="0.2">
      <c r="B121" s="31"/>
      <c r="L121" s="31"/>
    </row>
    <row r="122" spans="2:63" s="1" customFormat="1" ht="40.15" customHeight="1" x14ac:dyDescent="0.2">
      <c r="B122" s="31"/>
      <c r="C122" s="26" t="s">
        <v>24</v>
      </c>
      <c r="F122" s="24" t="str">
        <f>E19</f>
        <v>Město Petřvald</v>
      </c>
      <c r="I122" s="26" t="s">
        <v>30</v>
      </c>
      <c r="J122" s="29" t="str">
        <f>E25</f>
        <v>Sweco Hydroprojekt a.s., divize Morava</v>
      </c>
      <c r="L122" s="31"/>
    </row>
    <row r="123" spans="2:63" s="1" customFormat="1" ht="15.2" customHeight="1" x14ac:dyDescent="0.2">
      <c r="B123" s="31"/>
      <c r="C123" s="26" t="s">
        <v>28</v>
      </c>
      <c r="F123" s="24" t="str">
        <f>IF(E22="","",E22)</f>
        <v>Společnost Podlesí se sídlem Žitenická 871/1, 190 00 Praha 9</v>
      </c>
      <c r="I123" s="26" t="s">
        <v>33</v>
      </c>
      <c r="J123" s="29" t="str">
        <f>E28</f>
        <v xml:space="preserve"> </v>
      </c>
      <c r="L123" s="31"/>
    </row>
    <row r="124" spans="2:63" s="1" customFormat="1" ht="10.35" customHeight="1" x14ac:dyDescent="0.2">
      <c r="B124" s="31"/>
      <c r="L124" s="31"/>
    </row>
    <row r="125" spans="2:63" s="9" customFormat="1" ht="29.25" customHeight="1" x14ac:dyDescent="0.2">
      <c r="B125" s="104"/>
      <c r="C125" s="105" t="s">
        <v>268</v>
      </c>
      <c r="D125" s="106" t="s">
        <v>59</v>
      </c>
      <c r="E125" s="106" t="s">
        <v>55</v>
      </c>
      <c r="F125" s="106" t="s">
        <v>56</v>
      </c>
      <c r="G125" s="106" t="s">
        <v>269</v>
      </c>
      <c r="H125" s="106" t="s">
        <v>270</v>
      </c>
      <c r="I125" s="106" t="s">
        <v>271</v>
      </c>
      <c r="J125" s="106" t="s">
        <v>255</v>
      </c>
      <c r="K125" s="107" t="s">
        <v>272</v>
      </c>
      <c r="L125" s="104"/>
      <c r="M125" s="52" t="s">
        <v>1</v>
      </c>
      <c r="N125" s="53" t="s">
        <v>39</v>
      </c>
      <c r="O125" s="53" t="s">
        <v>273</v>
      </c>
      <c r="P125" s="53" t="s">
        <v>274</v>
      </c>
      <c r="Q125" s="53" t="s">
        <v>275</v>
      </c>
      <c r="R125" s="53" t="s">
        <v>276</v>
      </c>
      <c r="S125" s="53" t="s">
        <v>277</v>
      </c>
      <c r="T125" s="54" t="s">
        <v>278</v>
      </c>
    </row>
    <row r="126" spans="2:63" s="1" customFormat="1" ht="22.9" customHeight="1" x14ac:dyDescent="0.25">
      <c r="B126" s="31"/>
      <c r="C126" s="57" t="s">
        <v>279</v>
      </c>
      <c r="J126" s="108">
        <f>BK126</f>
        <v>0</v>
      </c>
      <c r="L126" s="31"/>
      <c r="M126" s="55"/>
      <c r="N126" s="49"/>
      <c r="O126" s="49"/>
      <c r="P126" s="109">
        <f>P127</f>
        <v>0</v>
      </c>
      <c r="Q126" s="49"/>
      <c r="R126" s="109">
        <f>R127</f>
        <v>0</v>
      </c>
      <c r="S126" s="49"/>
      <c r="T126" s="110">
        <f>T127</f>
        <v>0</v>
      </c>
      <c r="AT126" s="16" t="s">
        <v>73</v>
      </c>
      <c r="AU126" s="16" t="s">
        <v>257</v>
      </c>
      <c r="BK126" s="111">
        <f>BK127</f>
        <v>0</v>
      </c>
    </row>
    <row r="127" spans="2:63" s="10" customFormat="1" ht="25.9" customHeight="1" x14ac:dyDescent="0.2">
      <c r="B127" s="112"/>
      <c r="D127" s="113" t="s">
        <v>73</v>
      </c>
      <c r="E127" s="114" t="s">
        <v>280</v>
      </c>
      <c r="F127" s="114" t="s">
        <v>281</v>
      </c>
      <c r="I127" s="115"/>
      <c r="J127" s="116">
        <f>BK127</f>
        <v>0</v>
      </c>
      <c r="L127" s="112"/>
      <c r="M127" s="117"/>
      <c r="P127" s="118">
        <f>P128</f>
        <v>0</v>
      </c>
      <c r="R127" s="118">
        <f>R128</f>
        <v>0</v>
      </c>
      <c r="T127" s="119">
        <f>T128</f>
        <v>0</v>
      </c>
      <c r="AR127" s="113" t="s">
        <v>81</v>
      </c>
      <c r="AT127" s="120" t="s">
        <v>73</v>
      </c>
      <c r="AU127" s="120" t="s">
        <v>74</v>
      </c>
      <c r="AY127" s="113" t="s">
        <v>282</v>
      </c>
      <c r="BK127" s="121">
        <f>BK128</f>
        <v>0</v>
      </c>
    </row>
    <row r="128" spans="2:63" s="10" customFormat="1" ht="22.9" customHeight="1" x14ac:dyDescent="0.2">
      <c r="B128" s="112"/>
      <c r="D128" s="113" t="s">
        <v>73</v>
      </c>
      <c r="E128" s="122" t="s">
        <v>312</v>
      </c>
      <c r="F128" s="122" t="s">
        <v>520</v>
      </c>
      <c r="I128" s="115"/>
      <c r="J128" s="123">
        <f>BK128</f>
        <v>0</v>
      </c>
      <c r="L128" s="112"/>
      <c r="M128" s="117"/>
      <c r="P128" s="118">
        <f>P129</f>
        <v>0</v>
      </c>
      <c r="R128" s="118">
        <f>R129</f>
        <v>0</v>
      </c>
      <c r="T128" s="119">
        <f>T129</f>
        <v>0</v>
      </c>
      <c r="AR128" s="113" t="s">
        <v>81</v>
      </c>
      <c r="AT128" s="120" t="s">
        <v>73</v>
      </c>
      <c r="AU128" s="120" t="s">
        <v>81</v>
      </c>
      <c r="AY128" s="113" t="s">
        <v>282</v>
      </c>
      <c r="BK128" s="121">
        <f>BK129</f>
        <v>0</v>
      </c>
    </row>
    <row r="129" spans="2:65" s="1" customFormat="1" ht="37.9" customHeight="1" x14ac:dyDescent="0.2">
      <c r="B129" s="124"/>
      <c r="C129" s="125" t="s">
        <v>81</v>
      </c>
      <c r="D129" s="125" t="s">
        <v>284</v>
      </c>
      <c r="E129" s="126" t="s">
        <v>1970</v>
      </c>
      <c r="F129" s="127" t="s">
        <v>1971</v>
      </c>
      <c r="G129" s="128" t="s">
        <v>1948</v>
      </c>
      <c r="H129" s="129">
        <v>0</v>
      </c>
      <c r="I129" s="130"/>
      <c r="J129" s="131">
        <f>ROUND(I129*H129,2)</f>
        <v>0</v>
      </c>
      <c r="K129" s="127" t="s">
        <v>1</v>
      </c>
      <c r="L129" s="31"/>
      <c r="M129" s="182" t="s">
        <v>1</v>
      </c>
      <c r="N129" s="183" t="s">
        <v>40</v>
      </c>
      <c r="O129" s="1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36" t="s">
        <v>95</v>
      </c>
      <c r="AT129" s="136" t="s">
        <v>284</v>
      </c>
      <c r="AU129" s="136" t="s">
        <v>83</v>
      </c>
      <c r="AY129" s="16" t="s">
        <v>282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6" t="s">
        <v>81</v>
      </c>
      <c r="BK129" s="137">
        <f>ROUND(I129*H129,2)</f>
        <v>0</v>
      </c>
      <c r="BL129" s="16" t="s">
        <v>95</v>
      </c>
      <c r="BM129" s="136" t="s">
        <v>1972</v>
      </c>
    </row>
    <row r="130" spans="2:65" s="1" customFormat="1" ht="6.95" customHeight="1" x14ac:dyDescent="0.2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"/>
  <sheetViews>
    <sheetView windowProtection="1" showGridLines="0" topLeftCell="A117" workbookViewId="0">
      <selection activeCell="F141" sqref="F14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159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1789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16.5" customHeight="1" x14ac:dyDescent="0.2">
      <c r="B13" s="31"/>
      <c r="E13" s="432" t="s">
        <v>1973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ROUND(J129, 2)</f>
        <v>110172.78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ROUND((SUM(BE129:BE182)),  2)</f>
        <v>110172.78</v>
      </c>
      <c r="I37" s="84">
        <v>0.21</v>
      </c>
      <c r="J37" s="71">
        <f>ROUND(((SUM(BE129:BE182))*I37),  2)</f>
        <v>23136.28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ROUND((SUM(BF129:BF182)),  2)</f>
        <v>0</v>
      </c>
      <c r="I38" s="84">
        <v>0.15</v>
      </c>
      <c r="J38" s="71">
        <f>ROUND(((SUM(BF129:BF182))*I38),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ROUND((SUM(BG129:BG182)),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ROUND((SUM(BH129:BH182)),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ROUND((SUM(BI129:BI182)),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133309.06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1789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16.5" customHeight="1" x14ac:dyDescent="0.2">
      <c r="B91" s="31"/>
      <c r="E91" s="432" t="str">
        <f>E13</f>
        <v>0003 - DSO 02.3 Čerpací stanice ČS1 - přípojka NN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J129</f>
        <v>110172.78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J130</f>
        <v>110172.78</v>
      </c>
      <c r="L101" s="96"/>
    </row>
    <row r="102" spans="2:47" s="8" customFormat="1" ht="19.899999999999999" customHeight="1" x14ac:dyDescent="0.2">
      <c r="B102" s="100"/>
      <c r="D102" s="101" t="s">
        <v>1975</v>
      </c>
      <c r="E102" s="102"/>
      <c r="F102" s="102"/>
      <c r="G102" s="102"/>
      <c r="H102" s="102"/>
      <c r="I102" s="102"/>
      <c r="J102" s="103">
        <f>J131</f>
        <v>14436.94</v>
      </c>
      <c r="L102" s="100"/>
    </row>
    <row r="103" spans="2:47" s="8" customFormat="1" ht="19.899999999999999" customHeight="1" x14ac:dyDescent="0.2">
      <c r="B103" s="100"/>
      <c r="D103" s="101" t="s">
        <v>1976</v>
      </c>
      <c r="E103" s="102"/>
      <c r="F103" s="102"/>
      <c r="G103" s="102"/>
      <c r="H103" s="102"/>
      <c r="I103" s="102"/>
      <c r="J103" s="103">
        <f>J134</f>
        <v>23690.890000000003</v>
      </c>
      <c r="L103" s="100"/>
    </row>
    <row r="104" spans="2:47" s="8" customFormat="1" ht="19.899999999999999" customHeight="1" x14ac:dyDescent="0.2">
      <c r="B104" s="100"/>
      <c r="D104" s="101" t="s">
        <v>1977</v>
      </c>
      <c r="E104" s="102"/>
      <c r="F104" s="102"/>
      <c r="G104" s="102"/>
      <c r="H104" s="102"/>
      <c r="I104" s="102"/>
      <c r="J104" s="103">
        <f>J153</f>
        <v>56131.72</v>
      </c>
      <c r="L104" s="100"/>
    </row>
    <row r="105" spans="2:47" s="8" customFormat="1" ht="19.899999999999999" customHeight="1" x14ac:dyDescent="0.2">
      <c r="B105" s="100"/>
      <c r="D105" s="101" t="s">
        <v>1978</v>
      </c>
      <c r="E105" s="102"/>
      <c r="F105" s="102"/>
      <c r="G105" s="102"/>
      <c r="H105" s="102"/>
      <c r="I105" s="102"/>
      <c r="J105" s="103">
        <f>J174</f>
        <v>15913.23</v>
      </c>
      <c r="L105" s="100"/>
    </row>
    <row r="106" spans="2:47" s="1" customFormat="1" ht="21.75" customHeight="1" x14ac:dyDescent="0.2">
      <c r="B106" s="31"/>
      <c r="L106" s="31"/>
    </row>
    <row r="107" spans="2:47" s="1" customFormat="1" ht="6.9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5" customHeight="1" x14ac:dyDescent="0.2">
      <c r="B112" s="31"/>
      <c r="C112" s="20" t="s">
        <v>267</v>
      </c>
      <c r="L112" s="31"/>
    </row>
    <row r="113" spans="2:20" s="1" customFormat="1" ht="6.95" customHeight="1" x14ac:dyDescent="0.2">
      <c r="B113" s="31"/>
      <c r="L113" s="31"/>
    </row>
    <row r="114" spans="2:20" s="1" customFormat="1" ht="12" customHeight="1" x14ac:dyDescent="0.2">
      <c r="B114" s="31"/>
      <c r="C114" s="26" t="s">
        <v>16</v>
      </c>
      <c r="L114" s="31"/>
    </row>
    <row r="115" spans="2:20" s="1" customFormat="1" ht="16.5" customHeight="1" x14ac:dyDescent="0.2">
      <c r="B115" s="31"/>
      <c r="E115" s="434" t="str">
        <f>E7</f>
        <v>Kanalizace Podlesí - I.Etapa</v>
      </c>
      <c r="F115" s="435"/>
      <c r="G115" s="435"/>
      <c r="H115" s="435"/>
      <c r="L115" s="31"/>
    </row>
    <row r="116" spans="2:20" ht="12" customHeight="1" x14ac:dyDescent="0.2">
      <c r="B116" s="19"/>
      <c r="C116" s="26" t="s">
        <v>244</v>
      </c>
      <c r="L116" s="19"/>
    </row>
    <row r="117" spans="2:20" ht="16.5" customHeight="1" x14ac:dyDescent="0.2">
      <c r="B117" s="19"/>
      <c r="E117" s="434" t="s">
        <v>245</v>
      </c>
      <c r="F117" s="399"/>
      <c r="G117" s="399"/>
      <c r="H117" s="399"/>
      <c r="L117" s="19"/>
    </row>
    <row r="118" spans="2:20" ht="12" customHeight="1" x14ac:dyDescent="0.2">
      <c r="B118" s="19"/>
      <c r="C118" s="26" t="s">
        <v>246</v>
      </c>
      <c r="L118" s="19"/>
    </row>
    <row r="119" spans="2:20" s="1" customFormat="1" ht="16.5" customHeight="1" x14ac:dyDescent="0.2">
      <c r="B119" s="31"/>
      <c r="E119" s="401" t="s">
        <v>1789</v>
      </c>
      <c r="F119" s="433"/>
      <c r="G119" s="433"/>
      <c r="H119" s="433"/>
      <c r="L119" s="31"/>
    </row>
    <row r="120" spans="2:20" s="1" customFormat="1" ht="12" customHeight="1" x14ac:dyDescent="0.2">
      <c r="B120" s="31"/>
      <c r="C120" s="26" t="s">
        <v>1790</v>
      </c>
      <c r="L120" s="31"/>
    </row>
    <row r="121" spans="2:20" s="1" customFormat="1" ht="16.5" customHeight="1" x14ac:dyDescent="0.2">
      <c r="B121" s="31"/>
      <c r="E121" s="432" t="str">
        <f>E13</f>
        <v>0003 - DSO 02.3 Čerpací stanice ČS1 - přípojka NN</v>
      </c>
      <c r="F121" s="433"/>
      <c r="G121" s="433"/>
      <c r="H121" s="433"/>
      <c r="L121" s="31"/>
    </row>
    <row r="122" spans="2:20" s="1" customFormat="1" ht="6.95" customHeight="1" x14ac:dyDescent="0.2">
      <c r="B122" s="31"/>
      <c r="L122" s="31"/>
    </row>
    <row r="123" spans="2:20" s="1" customFormat="1" ht="12" customHeight="1" x14ac:dyDescent="0.2">
      <c r="B123" s="31"/>
      <c r="C123" s="26" t="s">
        <v>20</v>
      </c>
      <c r="F123" s="24" t="str">
        <f>F16</f>
        <v xml:space="preserve"> </v>
      </c>
      <c r="I123" s="26" t="s">
        <v>22</v>
      </c>
      <c r="J123" s="48" t="str">
        <f>IF(J16="","",J16)</f>
        <v>18. 11. 2020</v>
      </c>
      <c r="L123" s="31"/>
    </row>
    <row r="124" spans="2:20" s="1" customFormat="1" ht="6.95" customHeight="1" x14ac:dyDescent="0.2">
      <c r="B124" s="31"/>
      <c r="L124" s="31"/>
    </row>
    <row r="125" spans="2:20" s="1" customFormat="1" ht="40.15" customHeight="1" x14ac:dyDescent="0.2">
      <c r="B125" s="31"/>
      <c r="C125" s="26" t="s">
        <v>24</v>
      </c>
      <c r="F125" s="24" t="str">
        <f>E19</f>
        <v>Město Petřvald</v>
      </c>
      <c r="I125" s="26" t="s">
        <v>30</v>
      </c>
      <c r="J125" s="29" t="str">
        <f>E25</f>
        <v>Sweco Hydroprojekt a.s., divize Morava</v>
      </c>
      <c r="L125" s="31"/>
    </row>
    <row r="126" spans="2:20" s="1" customFormat="1" ht="15.2" customHeight="1" x14ac:dyDescent="0.2">
      <c r="B126" s="31"/>
      <c r="C126" s="26" t="s">
        <v>28</v>
      </c>
      <c r="F126" s="24" t="str">
        <f>IF(E22="","",E22)</f>
        <v>Společnost Podlesí se sídlem Žitenická 871/1, 190 00 Praha 9</v>
      </c>
      <c r="I126" s="26" t="s">
        <v>33</v>
      </c>
      <c r="J126" s="29" t="str">
        <f>E28</f>
        <v xml:space="preserve"> </v>
      </c>
      <c r="L126" s="31"/>
    </row>
    <row r="127" spans="2:20" s="1" customFormat="1" ht="10.35" customHeight="1" x14ac:dyDescent="0.2">
      <c r="B127" s="31"/>
      <c r="L127" s="31"/>
    </row>
    <row r="128" spans="2:20" s="9" customFormat="1" ht="29.25" customHeight="1" x14ac:dyDescent="0.2">
      <c r="B128" s="104"/>
      <c r="C128" s="105" t="s">
        <v>268</v>
      </c>
      <c r="D128" s="106" t="s">
        <v>59</v>
      </c>
      <c r="E128" s="106" t="s">
        <v>55</v>
      </c>
      <c r="F128" s="106" t="s">
        <v>56</v>
      </c>
      <c r="G128" s="106" t="s">
        <v>269</v>
      </c>
      <c r="H128" s="106" t="s">
        <v>270</v>
      </c>
      <c r="I128" s="106" t="s">
        <v>271</v>
      </c>
      <c r="J128" s="106" t="s">
        <v>255</v>
      </c>
      <c r="K128" s="107" t="s">
        <v>272</v>
      </c>
      <c r="L128" s="104"/>
      <c r="M128" s="52" t="s">
        <v>1</v>
      </c>
      <c r="N128" s="53" t="s">
        <v>39</v>
      </c>
      <c r="O128" s="53" t="s">
        <v>273</v>
      </c>
      <c r="P128" s="53" t="s">
        <v>274</v>
      </c>
      <c r="Q128" s="53" t="s">
        <v>275</v>
      </c>
      <c r="R128" s="53" t="s">
        <v>276</v>
      </c>
      <c r="S128" s="53" t="s">
        <v>277</v>
      </c>
      <c r="T128" s="54" t="s">
        <v>278</v>
      </c>
    </row>
    <row r="129" spans="2:65" s="1" customFormat="1" ht="22.9" customHeight="1" x14ac:dyDescent="0.25">
      <c r="B129" s="31"/>
      <c r="C129" s="57" t="s">
        <v>279</v>
      </c>
      <c r="J129" s="108">
        <f>BK129</f>
        <v>110172.78</v>
      </c>
      <c r="L129" s="31"/>
      <c r="M129" s="55"/>
      <c r="N129" s="49"/>
      <c r="O129" s="49"/>
      <c r="P129" s="109">
        <f>P130</f>
        <v>0</v>
      </c>
      <c r="Q129" s="49"/>
      <c r="R129" s="109">
        <f>R130</f>
        <v>0</v>
      </c>
      <c r="S129" s="49"/>
      <c r="T129" s="110">
        <f>T130</f>
        <v>0</v>
      </c>
      <c r="AT129" s="16" t="s">
        <v>73</v>
      </c>
      <c r="AU129" s="16" t="s">
        <v>257</v>
      </c>
      <c r="BK129" s="111">
        <f>BK130</f>
        <v>110172.78</v>
      </c>
    </row>
    <row r="130" spans="2:65" s="10" customFormat="1" ht="25.9" customHeight="1" x14ac:dyDescent="0.2">
      <c r="B130" s="112"/>
      <c r="D130" s="113" t="s">
        <v>73</v>
      </c>
      <c r="E130" s="114" t="s">
        <v>439</v>
      </c>
      <c r="F130" s="114" t="s">
        <v>1979</v>
      </c>
      <c r="I130" s="115"/>
      <c r="J130" s="116">
        <f>BK130</f>
        <v>110172.78</v>
      </c>
      <c r="L130" s="112"/>
      <c r="M130" s="117"/>
      <c r="P130" s="118">
        <f>P131+P134+P153+P174</f>
        <v>0</v>
      </c>
      <c r="R130" s="118">
        <f>R131+R134+R153+R174</f>
        <v>0</v>
      </c>
      <c r="T130" s="119">
        <f>T131+T134+T153+T174</f>
        <v>0</v>
      </c>
      <c r="AR130" s="113" t="s">
        <v>90</v>
      </c>
      <c r="AT130" s="120" t="s">
        <v>73</v>
      </c>
      <c r="AU130" s="120" t="s">
        <v>74</v>
      </c>
      <c r="AY130" s="113" t="s">
        <v>282</v>
      </c>
      <c r="BK130" s="121">
        <f>BK131+BK134+BK153+BK174</f>
        <v>110172.78</v>
      </c>
    </row>
    <row r="131" spans="2:65" s="10" customFormat="1" ht="22.9" customHeight="1" x14ac:dyDescent="0.2">
      <c r="B131" s="112"/>
      <c r="D131" s="113" t="s">
        <v>73</v>
      </c>
      <c r="E131" s="122" t="s">
        <v>1980</v>
      </c>
      <c r="F131" s="122" t="s">
        <v>1981</v>
      </c>
      <c r="I131" s="115"/>
      <c r="J131" s="123">
        <f>BK131</f>
        <v>14436.94</v>
      </c>
      <c r="L131" s="112"/>
      <c r="M131" s="117"/>
      <c r="P131" s="118">
        <f>SUM(P132:P133)</f>
        <v>0</v>
      </c>
      <c r="R131" s="118">
        <f>SUM(R132:R133)</f>
        <v>0</v>
      </c>
      <c r="T131" s="119">
        <f>SUM(T132:T133)</f>
        <v>0</v>
      </c>
      <c r="AR131" s="113" t="s">
        <v>81</v>
      </c>
      <c r="AT131" s="120" t="s">
        <v>73</v>
      </c>
      <c r="AU131" s="120" t="s">
        <v>81</v>
      </c>
      <c r="AY131" s="113" t="s">
        <v>282</v>
      </c>
      <c r="BK131" s="121">
        <f>SUM(BK132:BK133)</f>
        <v>14436.94</v>
      </c>
    </row>
    <row r="132" spans="2:65" s="1" customFormat="1" ht="37.9" customHeight="1" x14ac:dyDescent="0.2">
      <c r="B132" s="124"/>
      <c r="C132" s="125" t="s">
        <v>81</v>
      </c>
      <c r="D132" s="125" t="s">
        <v>284</v>
      </c>
      <c r="E132" s="126" t="s">
        <v>1982</v>
      </c>
      <c r="F132" s="127" t="s">
        <v>1983</v>
      </c>
      <c r="G132" s="128" t="s">
        <v>315</v>
      </c>
      <c r="H132" s="129">
        <v>1</v>
      </c>
      <c r="I132" s="130">
        <v>14436.940730765</v>
      </c>
      <c r="J132" s="131">
        <f>ROUND(I132*H132,2)</f>
        <v>14436.94</v>
      </c>
      <c r="K132" s="127" t="s">
        <v>1</v>
      </c>
      <c r="L132" s="31"/>
      <c r="M132" s="132" t="s">
        <v>1</v>
      </c>
      <c r="N132" s="133" t="s">
        <v>40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95</v>
      </c>
      <c r="AT132" s="136" t="s">
        <v>284</v>
      </c>
      <c r="AU132" s="136" t="s">
        <v>83</v>
      </c>
      <c r="AY132" s="16" t="s">
        <v>282</v>
      </c>
      <c r="BE132" s="137">
        <f>IF(N132="základní",J132,0)</f>
        <v>14436.94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6" t="s">
        <v>81</v>
      </c>
      <c r="BK132" s="137">
        <f>ROUND(I132*H132,2)</f>
        <v>14436.94</v>
      </c>
      <c r="BL132" s="16" t="s">
        <v>95</v>
      </c>
      <c r="BM132" s="136" t="s">
        <v>83</v>
      </c>
    </row>
    <row r="133" spans="2:65" s="1" customFormat="1" ht="29.25" x14ac:dyDescent="0.2">
      <c r="B133" s="31"/>
      <c r="D133" s="138" t="s">
        <v>289</v>
      </c>
      <c r="F133" s="139" t="s">
        <v>1984</v>
      </c>
      <c r="I133" s="140"/>
      <c r="L133" s="31"/>
      <c r="M133" s="141"/>
      <c r="T133" s="50"/>
      <c r="AT133" s="16" t="s">
        <v>289</v>
      </c>
      <c r="AU133" s="16" t="s">
        <v>83</v>
      </c>
    </row>
    <row r="134" spans="2:65" s="10" customFormat="1" ht="22.9" customHeight="1" x14ac:dyDescent="0.2">
      <c r="B134" s="112"/>
      <c r="D134" s="113" t="s">
        <v>73</v>
      </c>
      <c r="E134" s="122" t="s">
        <v>1985</v>
      </c>
      <c r="F134" s="122" t="s">
        <v>1986</v>
      </c>
      <c r="I134" s="115"/>
      <c r="J134" s="123">
        <f>BK134</f>
        <v>23690.890000000003</v>
      </c>
      <c r="L134" s="112"/>
      <c r="M134" s="117"/>
      <c r="P134" s="118">
        <f>SUM(P135:P152)</f>
        <v>0</v>
      </c>
      <c r="R134" s="118">
        <f>SUM(R135:R152)</f>
        <v>0</v>
      </c>
      <c r="T134" s="119">
        <f>SUM(T135:T152)</f>
        <v>0</v>
      </c>
      <c r="AR134" s="113" t="s">
        <v>81</v>
      </c>
      <c r="AT134" s="120" t="s">
        <v>73</v>
      </c>
      <c r="AU134" s="120" t="s">
        <v>81</v>
      </c>
      <c r="AY134" s="113" t="s">
        <v>282</v>
      </c>
      <c r="BK134" s="121">
        <f>SUM(BK135:BK152)</f>
        <v>23690.890000000003</v>
      </c>
    </row>
    <row r="135" spans="2:65" s="1" customFormat="1" ht="14.45" customHeight="1" x14ac:dyDescent="0.2">
      <c r="B135" s="124"/>
      <c r="C135" s="125" t="s">
        <v>83</v>
      </c>
      <c r="D135" s="125" t="s">
        <v>284</v>
      </c>
      <c r="E135" s="126" t="s">
        <v>1987</v>
      </c>
      <c r="F135" s="127" t="s">
        <v>1988</v>
      </c>
      <c r="G135" s="128" t="s">
        <v>344</v>
      </c>
      <c r="H135" s="129">
        <v>35</v>
      </c>
      <c r="I135" s="130">
        <v>200.77183977199999</v>
      </c>
      <c r="J135" s="131">
        <f>ROUND(I135*H135,2)</f>
        <v>7027.01</v>
      </c>
      <c r="K135" s="127" t="s">
        <v>1</v>
      </c>
      <c r="L135" s="31"/>
      <c r="M135" s="132" t="s">
        <v>1</v>
      </c>
      <c r="N135" s="133" t="s">
        <v>40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95</v>
      </c>
      <c r="AT135" s="136" t="s">
        <v>284</v>
      </c>
      <c r="AU135" s="136" t="s">
        <v>83</v>
      </c>
      <c r="AY135" s="16" t="s">
        <v>282</v>
      </c>
      <c r="BE135" s="137">
        <f>IF(N135="základní",J135,0)</f>
        <v>7027.01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6" t="s">
        <v>81</v>
      </c>
      <c r="BK135" s="137">
        <f>ROUND(I135*H135,2)</f>
        <v>7027.01</v>
      </c>
      <c r="BL135" s="16" t="s">
        <v>95</v>
      </c>
      <c r="BM135" s="136" t="s">
        <v>318</v>
      </c>
    </row>
    <row r="136" spans="2:65" s="1" customFormat="1" x14ac:dyDescent="0.2">
      <c r="B136" s="31"/>
      <c r="D136" s="138" t="s">
        <v>289</v>
      </c>
      <c r="F136" s="139" t="s">
        <v>1989</v>
      </c>
      <c r="I136" s="140"/>
      <c r="L136" s="31"/>
      <c r="M136" s="141"/>
      <c r="T136" s="50"/>
      <c r="AT136" s="16" t="s">
        <v>289</v>
      </c>
      <c r="AU136" s="16" t="s">
        <v>83</v>
      </c>
    </row>
    <row r="137" spans="2:65" s="1" customFormat="1" ht="14.45" customHeight="1" x14ac:dyDescent="0.2">
      <c r="B137" s="124"/>
      <c r="C137" s="125" t="s">
        <v>90</v>
      </c>
      <c r="D137" s="125" t="s">
        <v>284</v>
      </c>
      <c r="E137" s="126" t="s">
        <v>1990</v>
      </c>
      <c r="F137" s="127" t="s">
        <v>1991</v>
      </c>
      <c r="G137" s="128" t="s">
        <v>344</v>
      </c>
      <c r="H137" s="129">
        <v>15</v>
      </c>
      <c r="I137" s="130">
        <v>172.92369819199999</v>
      </c>
      <c r="J137" s="131">
        <f>ROUND(I137*H137,2)</f>
        <v>2593.86</v>
      </c>
      <c r="K137" s="127" t="s">
        <v>1</v>
      </c>
      <c r="L137" s="31"/>
      <c r="M137" s="132" t="s">
        <v>1</v>
      </c>
      <c r="N137" s="133" t="s">
        <v>40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95</v>
      </c>
      <c r="AT137" s="136" t="s">
        <v>284</v>
      </c>
      <c r="AU137" s="136" t="s">
        <v>83</v>
      </c>
      <c r="AY137" s="16" t="s">
        <v>282</v>
      </c>
      <c r="BE137" s="137">
        <f>IF(N137="základní",J137,0)</f>
        <v>2593.86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6" t="s">
        <v>81</v>
      </c>
      <c r="BK137" s="137">
        <f>ROUND(I137*H137,2)</f>
        <v>2593.86</v>
      </c>
      <c r="BL137" s="16" t="s">
        <v>95</v>
      </c>
      <c r="BM137" s="136" t="s">
        <v>328</v>
      </c>
    </row>
    <row r="138" spans="2:65" s="1" customFormat="1" x14ac:dyDescent="0.2">
      <c r="B138" s="31"/>
      <c r="D138" s="138" t="s">
        <v>289</v>
      </c>
      <c r="F138" s="139" t="s">
        <v>1992</v>
      </c>
      <c r="I138" s="140"/>
      <c r="L138" s="31"/>
      <c r="M138" s="141"/>
      <c r="T138" s="50"/>
      <c r="AT138" s="16" t="s">
        <v>289</v>
      </c>
      <c r="AU138" s="16" t="s">
        <v>83</v>
      </c>
    </row>
    <row r="139" spans="2:65" s="1" customFormat="1" ht="24.2" customHeight="1" x14ac:dyDescent="0.2">
      <c r="B139" s="124"/>
      <c r="C139" s="125" t="s">
        <v>95</v>
      </c>
      <c r="D139" s="125" t="s">
        <v>284</v>
      </c>
      <c r="E139" s="126" t="s">
        <v>1993</v>
      </c>
      <c r="F139" s="127" t="s">
        <v>1994</v>
      </c>
      <c r="G139" s="128" t="s">
        <v>315</v>
      </c>
      <c r="H139" s="129">
        <v>2</v>
      </c>
      <c r="I139" s="130">
        <v>124.388365724</v>
      </c>
      <c r="J139" s="131">
        <f>ROUND(I139*H139,2)</f>
        <v>248.78</v>
      </c>
      <c r="K139" s="127" t="s">
        <v>1</v>
      </c>
      <c r="L139" s="31"/>
      <c r="M139" s="132" t="s">
        <v>1</v>
      </c>
      <c r="N139" s="133" t="s">
        <v>40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95</v>
      </c>
      <c r="AT139" s="136" t="s">
        <v>284</v>
      </c>
      <c r="AU139" s="136" t="s">
        <v>83</v>
      </c>
      <c r="AY139" s="16" t="s">
        <v>282</v>
      </c>
      <c r="BE139" s="137">
        <f>IF(N139="základní",J139,0)</f>
        <v>248.78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6" t="s">
        <v>81</v>
      </c>
      <c r="BK139" s="137">
        <f>ROUND(I139*H139,2)</f>
        <v>248.78</v>
      </c>
      <c r="BL139" s="16" t="s">
        <v>95</v>
      </c>
      <c r="BM139" s="136" t="s">
        <v>341</v>
      </c>
    </row>
    <row r="140" spans="2:65" s="1" customFormat="1" x14ac:dyDescent="0.2">
      <c r="B140" s="31"/>
      <c r="D140" s="138" t="s">
        <v>289</v>
      </c>
      <c r="F140" s="139" t="s">
        <v>1995</v>
      </c>
      <c r="I140" s="140"/>
      <c r="L140" s="31"/>
      <c r="M140" s="141"/>
      <c r="T140" s="50"/>
      <c r="AT140" s="16" t="s">
        <v>289</v>
      </c>
      <c r="AU140" s="16" t="s">
        <v>83</v>
      </c>
    </row>
    <row r="141" spans="2:65" s="1" customFormat="1" ht="24.2" customHeight="1" x14ac:dyDescent="0.2">
      <c r="B141" s="124"/>
      <c r="C141" s="125" t="s">
        <v>312</v>
      </c>
      <c r="D141" s="125" t="s">
        <v>284</v>
      </c>
      <c r="E141" s="126" t="s">
        <v>1996</v>
      </c>
      <c r="F141" s="127" t="s">
        <v>1997</v>
      </c>
      <c r="G141" s="128" t="s">
        <v>344</v>
      </c>
      <c r="H141" s="129">
        <v>40</v>
      </c>
      <c r="I141" s="130">
        <v>227.596988396</v>
      </c>
      <c r="J141" s="131">
        <f>ROUND(I141*H141,2)</f>
        <v>9103.8799999999992</v>
      </c>
      <c r="K141" s="127" t="s">
        <v>1</v>
      </c>
      <c r="L141" s="31"/>
      <c r="M141" s="132" t="s">
        <v>1</v>
      </c>
      <c r="N141" s="133" t="s">
        <v>40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95</v>
      </c>
      <c r="AT141" s="136" t="s">
        <v>284</v>
      </c>
      <c r="AU141" s="136" t="s">
        <v>83</v>
      </c>
      <c r="AY141" s="16" t="s">
        <v>282</v>
      </c>
      <c r="BE141" s="137">
        <f>IF(N141="základní",J141,0)</f>
        <v>9103.8799999999992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6" t="s">
        <v>81</v>
      </c>
      <c r="BK141" s="137">
        <f>ROUND(I141*H141,2)</f>
        <v>9103.8799999999992</v>
      </c>
      <c r="BL141" s="16" t="s">
        <v>95</v>
      </c>
      <c r="BM141" s="136" t="s">
        <v>327</v>
      </c>
    </row>
    <row r="142" spans="2:65" s="1" customFormat="1" ht="19.5" x14ac:dyDescent="0.2">
      <c r="B142" s="31"/>
      <c r="D142" s="138" t="s">
        <v>289</v>
      </c>
      <c r="F142" s="139" t="s">
        <v>1998</v>
      </c>
      <c r="I142" s="140"/>
      <c r="L142" s="31"/>
      <c r="M142" s="141"/>
      <c r="T142" s="50"/>
      <c r="AT142" s="16" t="s">
        <v>289</v>
      </c>
      <c r="AU142" s="16" t="s">
        <v>83</v>
      </c>
    </row>
    <row r="143" spans="2:65" s="1" customFormat="1" ht="14.45" customHeight="1" x14ac:dyDescent="0.2">
      <c r="B143" s="124"/>
      <c r="C143" s="125" t="s">
        <v>318</v>
      </c>
      <c r="D143" s="125" t="s">
        <v>284</v>
      </c>
      <c r="E143" s="126" t="s">
        <v>1999</v>
      </c>
      <c r="F143" s="127" t="s">
        <v>2000</v>
      </c>
      <c r="G143" s="128" t="s">
        <v>344</v>
      </c>
      <c r="H143" s="129">
        <v>25</v>
      </c>
      <c r="I143" s="130">
        <v>76.250863850000002</v>
      </c>
      <c r="J143" s="131">
        <f>ROUND(I143*H143,2)</f>
        <v>1906.27</v>
      </c>
      <c r="K143" s="127" t="s">
        <v>1</v>
      </c>
      <c r="L143" s="31"/>
      <c r="M143" s="132" t="s">
        <v>1</v>
      </c>
      <c r="N143" s="133" t="s">
        <v>40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95</v>
      </c>
      <c r="AT143" s="136" t="s">
        <v>284</v>
      </c>
      <c r="AU143" s="136" t="s">
        <v>83</v>
      </c>
      <c r="AY143" s="16" t="s">
        <v>282</v>
      </c>
      <c r="BE143" s="137">
        <f>IF(N143="základní",J143,0)</f>
        <v>1906.27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6" t="s">
        <v>81</v>
      </c>
      <c r="BK143" s="137">
        <f>ROUND(I143*H143,2)</f>
        <v>1906.27</v>
      </c>
      <c r="BL143" s="16" t="s">
        <v>95</v>
      </c>
      <c r="BM143" s="136" t="s">
        <v>363</v>
      </c>
    </row>
    <row r="144" spans="2:65" s="1" customFormat="1" x14ac:dyDescent="0.2">
      <c r="B144" s="31"/>
      <c r="D144" s="138" t="s">
        <v>289</v>
      </c>
      <c r="F144" s="139" t="s">
        <v>2001</v>
      </c>
      <c r="I144" s="140"/>
      <c r="L144" s="31"/>
      <c r="M144" s="141"/>
      <c r="T144" s="50"/>
      <c r="AT144" s="16" t="s">
        <v>289</v>
      </c>
      <c r="AU144" s="16" t="s">
        <v>83</v>
      </c>
    </row>
    <row r="145" spans="2:65" s="1" customFormat="1" ht="14.45" customHeight="1" x14ac:dyDescent="0.2">
      <c r="B145" s="124"/>
      <c r="C145" s="125" t="s">
        <v>323</v>
      </c>
      <c r="D145" s="125" t="s">
        <v>284</v>
      </c>
      <c r="E145" s="126" t="s">
        <v>2002</v>
      </c>
      <c r="F145" s="127" t="s">
        <v>2003</v>
      </c>
      <c r="G145" s="128" t="s">
        <v>344</v>
      </c>
      <c r="H145" s="129">
        <v>50</v>
      </c>
      <c r="I145" s="130">
        <v>23.869835639999998</v>
      </c>
      <c r="J145" s="131">
        <f>ROUND(I145*H145,2)</f>
        <v>1193.49</v>
      </c>
      <c r="K145" s="127" t="s">
        <v>1</v>
      </c>
      <c r="L145" s="31"/>
      <c r="M145" s="132" t="s">
        <v>1</v>
      </c>
      <c r="N145" s="133" t="s">
        <v>40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95</v>
      </c>
      <c r="AT145" s="136" t="s">
        <v>284</v>
      </c>
      <c r="AU145" s="136" t="s">
        <v>83</v>
      </c>
      <c r="AY145" s="16" t="s">
        <v>282</v>
      </c>
      <c r="BE145" s="137">
        <f>IF(N145="základní",J145,0)</f>
        <v>1193.49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6" t="s">
        <v>81</v>
      </c>
      <c r="BK145" s="137">
        <f>ROUND(I145*H145,2)</f>
        <v>1193.49</v>
      </c>
      <c r="BL145" s="16" t="s">
        <v>95</v>
      </c>
      <c r="BM145" s="136" t="s">
        <v>379</v>
      </c>
    </row>
    <row r="146" spans="2:65" s="1" customFormat="1" x14ac:dyDescent="0.2">
      <c r="B146" s="31"/>
      <c r="D146" s="138" t="s">
        <v>289</v>
      </c>
      <c r="F146" s="139" t="s">
        <v>2004</v>
      </c>
      <c r="I146" s="140"/>
      <c r="L146" s="31"/>
      <c r="M146" s="141"/>
      <c r="T146" s="50"/>
      <c r="AT146" s="16" t="s">
        <v>289</v>
      </c>
      <c r="AU146" s="16" t="s">
        <v>83</v>
      </c>
    </row>
    <row r="147" spans="2:65" s="1" customFormat="1" ht="14.45" customHeight="1" x14ac:dyDescent="0.2">
      <c r="B147" s="124"/>
      <c r="C147" s="125" t="s">
        <v>328</v>
      </c>
      <c r="D147" s="125" t="s">
        <v>284</v>
      </c>
      <c r="E147" s="126" t="s">
        <v>2005</v>
      </c>
      <c r="F147" s="127" t="s">
        <v>2006</v>
      </c>
      <c r="G147" s="128" t="s">
        <v>315</v>
      </c>
      <c r="H147" s="129">
        <v>6</v>
      </c>
      <c r="I147" s="130">
        <v>116.03392325</v>
      </c>
      <c r="J147" s="131">
        <f>ROUND(I147*H147,2)</f>
        <v>696.2</v>
      </c>
      <c r="K147" s="127" t="s">
        <v>1</v>
      </c>
      <c r="L147" s="31"/>
      <c r="M147" s="132" t="s">
        <v>1</v>
      </c>
      <c r="N147" s="133" t="s">
        <v>40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95</v>
      </c>
      <c r="AT147" s="136" t="s">
        <v>284</v>
      </c>
      <c r="AU147" s="136" t="s">
        <v>83</v>
      </c>
      <c r="AY147" s="16" t="s">
        <v>282</v>
      </c>
      <c r="BE147" s="137">
        <f>IF(N147="základní",J147,0)</f>
        <v>696.2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6" t="s">
        <v>81</v>
      </c>
      <c r="BK147" s="137">
        <f>ROUND(I147*H147,2)</f>
        <v>696.2</v>
      </c>
      <c r="BL147" s="16" t="s">
        <v>95</v>
      </c>
      <c r="BM147" s="136" t="s">
        <v>392</v>
      </c>
    </row>
    <row r="148" spans="2:65" s="1" customFormat="1" x14ac:dyDescent="0.2">
      <c r="B148" s="31"/>
      <c r="D148" s="138" t="s">
        <v>289</v>
      </c>
      <c r="F148" s="139" t="s">
        <v>2007</v>
      </c>
      <c r="I148" s="140"/>
      <c r="L148" s="31"/>
      <c r="M148" s="141"/>
      <c r="T148" s="50"/>
      <c r="AT148" s="16" t="s">
        <v>289</v>
      </c>
      <c r="AU148" s="16" t="s">
        <v>83</v>
      </c>
    </row>
    <row r="149" spans="2:65" s="1" customFormat="1" ht="14.45" customHeight="1" x14ac:dyDescent="0.2">
      <c r="B149" s="124"/>
      <c r="C149" s="125" t="s">
        <v>335</v>
      </c>
      <c r="D149" s="125" t="s">
        <v>284</v>
      </c>
      <c r="E149" s="126" t="s">
        <v>2008</v>
      </c>
      <c r="F149" s="127" t="s">
        <v>2009</v>
      </c>
      <c r="G149" s="128" t="s">
        <v>315</v>
      </c>
      <c r="H149" s="129">
        <v>4</v>
      </c>
      <c r="I149" s="130">
        <v>32.527387138000002</v>
      </c>
      <c r="J149" s="131">
        <f>ROUND(I149*H149,2)</f>
        <v>130.11000000000001</v>
      </c>
      <c r="K149" s="127" t="s">
        <v>1</v>
      </c>
      <c r="L149" s="31"/>
      <c r="M149" s="132" t="s">
        <v>1</v>
      </c>
      <c r="N149" s="133" t="s">
        <v>40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95</v>
      </c>
      <c r="AT149" s="136" t="s">
        <v>284</v>
      </c>
      <c r="AU149" s="136" t="s">
        <v>83</v>
      </c>
      <c r="AY149" s="16" t="s">
        <v>282</v>
      </c>
      <c r="BE149" s="137">
        <f>IF(N149="základní",J149,0)</f>
        <v>130.11000000000001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6" t="s">
        <v>81</v>
      </c>
      <c r="BK149" s="137">
        <f>ROUND(I149*H149,2)</f>
        <v>130.11000000000001</v>
      </c>
      <c r="BL149" s="16" t="s">
        <v>95</v>
      </c>
      <c r="BM149" s="136" t="s">
        <v>404</v>
      </c>
    </row>
    <row r="150" spans="2:65" s="1" customFormat="1" x14ac:dyDescent="0.2">
      <c r="B150" s="31"/>
      <c r="D150" s="138" t="s">
        <v>289</v>
      </c>
      <c r="F150" s="139" t="s">
        <v>2009</v>
      </c>
      <c r="I150" s="140"/>
      <c r="L150" s="31"/>
      <c r="M150" s="141"/>
      <c r="T150" s="50"/>
      <c r="AT150" s="16" t="s">
        <v>289</v>
      </c>
      <c r="AU150" s="16" t="s">
        <v>83</v>
      </c>
    </row>
    <row r="151" spans="2:65" s="1" customFormat="1" ht="14.45" customHeight="1" x14ac:dyDescent="0.2">
      <c r="B151" s="124"/>
      <c r="C151" s="125" t="s">
        <v>341</v>
      </c>
      <c r="D151" s="125" t="s">
        <v>284</v>
      </c>
      <c r="E151" s="126" t="s">
        <v>2010</v>
      </c>
      <c r="F151" s="127" t="s">
        <v>2011</v>
      </c>
      <c r="G151" s="128" t="s">
        <v>315</v>
      </c>
      <c r="H151" s="129">
        <v>18</v>
      </c>
      <c r="I151" s="130">
        <v>43.960280636999997</v>
      </c>
      <c r="J151" s="131">
        <f>ROUND(I151*H151,2)</f>
        <v>791.29</v>
      </c>
      <c r="K151" s="127" t="s">
        <v>1</v>
      </c>
      <c r="L151" s="31"/>
      <c r="M151" s="132" t="s">
        <v>1</v>
      </c>
      <c r="N151" s="133" t="s">
        <v>40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95</v>
      </c>
      <c r="AT151" s="136" t="s">
        <v>284</v>
      </c>
      <c r="AU151" s="136" t="s">
        <v>83</v>
      </c>
      <c r="AY151" s="16" t="s">
        <v>282</v>
      </c>
      <c r="BE151" s="137">
        <f>IF(N151="základní",J151,0)</f>
        <v>791.29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6" t="s">
        <v>81</v>
      </c>
      <c r="BK151" s="137">
        <f>ROUND(I151*H151,2)</f>
        <v>791.29</v>
      </c>
      <c r="BL151" s="16" t="s">
        <v>95</v>
      </c>
      <c r="BM151" s="136" t="s">
        <v>415</v>
      </c>
    </row>
    <row r="152" spans="2:65" s="1" customFormat="1" x14ac:dyDescent="0.2">
      <c r="B152" s="31"/>
      <c r="D152" s="138" t="s">
        <v>289</v>
      </c>
      <c r="F152" s="139" t="s">
        <v>2011</v>
      </c>
      <c r="I152" s="140"/>
      <c r="L152" s="31"/>
      <c r="M152" s="141"/>
      <c r="T152" s="50"/>
      <c r="AT152" s="16" t="s">
        <v>289</v>
      </c>
      <c r="AU152" s="16" t="s">
        <v>83</v>
      </c>
    </row>
    <row r="153" spans="2:65" s="10" customFormat="1" ht="22.9" customHeight="1" x14ac:dyDescent="0.2">
      <c r="B153" s="112"/>
      <c r="D153" s="113" t="s">
        <v>73</v>
      </c>
      <c r="E153" s="122" t="s">
        <v>2012</v>
      </c>
      <c r="F153" s="122" t="s">
        <v>2013</v>
      </c>
      <c r="I153" s="115"/>
      <c r="J153" s="123">
        <f>BK153</f>
        <v>56131.72</v>
      </c>
      <c r="L153" s="112"/>
      <c r="M153" s="117"/>
      <c r="P153" s="118">
        <f>SUM(P154:P173)</f>
        <v>0</v>
      </c>
      <c r="R153" s="118">
        <f>SUM(R154:R173)</f>
        <v>0</v>
      </c>
      <c r="T153" s="119">
        <f>SUM(T154:T173)</f>
        <v>0</v>
      </c>
      <c r="AR153" s="113" t="s">
        <v>81</v>
      </c>
      <c r="AT153" s="120" t="s">
        <v>73</v>
      </c>
      <c r="AU153" s="120" t="s">
        <v>81</v>
      </c>
      <c r="AY153" s="113" t="s">
        <v>282</v>
      </c>
      <c r="BK153" s="121">
        <f>SUM(BK154:BK173)</f>
        <v>56131.72</v>
      </c>
    </row>
    <row r="154" spans="2:65" s="1" customFormat="1" ht="14.45" customHeight="1" x14ac:dyDescent="0.2">
      <c r="B154" s="124"/>
      <c r="C154" s="125" t="s">
        <v>348</v>
      </c>
      <c r="D154" s="125" t="s">
        <v>284</v>
      </c>
      <c r="E154" s="126" t="s">
        <v>2014</v>
      </c>
      <c r="F154" s="127" t="s">
        <v>2015</v>
      </c>
      <c r="G154" s="128" t="s">
        <v>344</v>
      </c>
      <c r="H154" s="129">
        <v>10</v>
      </c>
      <c r="I154" s="130">
        <v>842.07475729999999</v>
      </c>
      <c r="J154" s="131">
        <f>ROUND(I154*H154,2)</f>
        <v>8420.75</v>
      </c>
      <c r="K154" s="127" t="s">
        <v>1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95</v>
      </c>
      <c r="AT154" s="136" t="s">
        <v>284</v>
      </c>
      <c r="AU154" s="136" t="s">
        <v>83</v>
      </c>
      <c r="AY154" s="16" t="s">
        <v>282</v>
      </c>
      <c r="BE154" s="137">
        <f>IF(N154="základní",J154,0)</f>
        <v>8420.75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81</v>
      </c>
      <c r="BK154" s="137">
        <f>ROUND(I154*H154,2)</f>
        <v>8420.75</v>
      </c>
      <c r="BL154" s="16" t="s">
        <v>95</v>
      </c>
      <c r="BM154" s="136" t="s">
        <v>438</v>
      </c>
    </row>
    <row r="155" spans="2:65" s="1" customFormat="1" x14ac:dyDescent="0.2">
      <c r="B155" s="31"/>
      <c r="D155" s="138" t="s">
        <v>289</v>
      </c>
      <c r="F155" s="139" t="s">
        <v>2015</v>
      </c>
      <c r="I155" s="140"/>
      <c r="L155" s="31"/>
      <c r="M155" s="141"/>
      <c r="T155" s="50"/>
      <c r="AT155" s="16" t="s">
        <v>289</v>
      </c>
      <c r="AU155" s="16" t="s">
        <v>83</v>
      </c>
    </row>
    <row r="156" spans="2:65" s="1" customFormat="1" ht="14.45" customHeight="1" x14ac:dyDescent="0.2">
      <c r="B156" s="124"/>
      <c r="C156" s="125" t="s">
        <v>327</v>
      </c>
      <c r="D156" s="125" t="s">
        <v>284</v>
      </c>
      <c r="E156" s="126" t="s">
        <v>2016</v>
      </c>
      <c r="F156" s="127" t="s">
        <v>2017</v>
      </c>
      <c r="G156" s="128" t="s">
        <v>2018</v>
      </c>
      <c r="H156" s="129">
        <v>10</v>
      </c>
      <c r="I156" s="130">
        <v>199.360488379</v>
      </c>
      <c r="J156" s="131">
        <f>ROUND(I156*H156,2)</f>
        <v>1993.6</v>
      </c>
      <c r="K156" s="127" t="s">
        <v>1</v>
      </c>
      <c r="L156" s="31"/>
      <c r="M156" s="132" t="s">
        <v>1</v>
      </c>
      <c r="N156" s="133" t="s">
        <v>40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95</v>
      </c>
      <c r="AT156" s="136" t="s">
        <v>284</v>
      </c>
      <c r="AU156" s="136" t="s">
        <v>83</v>
      </c>
      <c r="AY156" s="16" t="s">
        <v>282</v>
      </c>
      <c r="BE156" s="137">
        <f>IF(N156="základní",J156,0)</f>
        <v>1993.6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6" t="s">
        <v>81</v>
      </c>
      <c r="BK156" s="137">
        <f>ROUND(I156*H156,2)</f>
        <v>1993.6</v>
      </c>
      <c r="BL156" s="16" t="s">
        <v>95</v>
      </c>
      <c r="BM156" s="136" t="s">
        <v>451</v>
      </c>
    </row>
    <row r="157" spans="2:65" s="1" customFormat="1" x14ac:dyDescent="0.2">
      <c r="B157" s="31"/>
      <c r="D157" s="138" t="s">
        <v>289</v>
      </c>
      <c r="F157" s="139" t="s">
        <v>2017</v>
      </c>
      <c r="I157" s="140"/>
      <c r="L157" s="31"/>
      <c r="M157" s="141"/>
      <c r="T157" s="50"/>
      <c r="AT157" s="16" t="s">
        <v>289</v>
      </c>
      <c r="AU157" s="16" t="s">
        <v>83</v>
      </c>
    </row>
    <row r="158" spans="2:65" s="1" customFormat="1" ht="24.2" customHeight="1" x14ac:dyDescent="0.2">
      <c r="B158" s="124"/>
      <c r="C158" s="125" t="s">
        <v>359</v>
      </c>
      <c r="D158" s="125" t="s">
        <v>284</v>
      </c>
      <c r="E158" s="126" t="s">
        <v>2019</v>
      </c>
      <c r="F158" s="127" t="s">
        <v>2020</v>
      </c>
      <c r="G158" s="128" t="s">
        <v>2018</v>
      </c>
      <c r="H158" s="129">
        <v>10</v>
      </c>
      <c r="I158" s="130">
        <v>311.6339653</v>
      </c>
      <c r="J158" s="131">
        <f>ROUND(I158*H158,2)</f>
        <v>3116.34</v>
      </c>
      <c r="K158" s="127" t="s">
        <v>1</v>
      </c>
      <c r="L158" s="31"/>
      <c r="M158" s="132" t="s">
        <v>1</v>
      </c>
      <c r="N158" s="133" t="s">
        <v>40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95</v>
      </c>
      <c r="AT158" s="136" t="s">
        <v>284</v>
      </c>
      <c r="AU158" s="136" t="s">
        <v>83</v>
      </c>
      <c r="AY158" s="16" t="s">
        <v>282</v>
      </c>
      <c r="BE158" s="137">
        <f>IF(N158="základní",J158,0)</f>
        <v>3116.34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6" t="s">
        <v>81</v>
      </c>
      <c r="BK158" s="137">
        <f>ROUND(I158*H158,2)</f>
        <v>3116.34</v>
      </c>
      <c r="BL158" s="16" t="s">
        <v>95</v>
      </c>
      <c r="BM158" s="136" t="s">
        <v>463</v>
      </c>
    </row>
    <row r="159" spans="2:65" s="1" customFormat="1" x14ac:dyDescent="0.2">
      <c r="B159" s="31"/>
      <c r="D159" s="138" t="s">
        <v>289</v>
      </c>
      <c r="F159" s="139" t="s">
        <v>2020</v>
      </c>
      <c r="I159" s="140"/>
      <c r="L159" s="31"/>
      <c r="M159" s="141"/>
      <c r="T159" s="50"/>
      <c r="AT159" s="16" t="s">
        <v>289</v>
      </c>
      <c r="AU159" s="16" t="s">
        <v>83</v>
      </c>
    </row>
    <row r="160" spans="2:65" s="1" customFormat="1" ht="14.45" customHeight="1" x14ac:dyDescent="0.2">
      <c r="B160" s="124"/>
      <c r="C160" s="125" t="s">
        <v>363</v>
      </c>
      <c r="D160" s="125" t="s">
        <v>284</v>
      </c>
      <c r="E160" s="126" t="s">
        <v>2021</v>
      </c>
      <c r="F160" s="127" t="s">
        <v>2022</v>
      </c>
      <c r="G160" s="128" t="s">
        <v>2018</v>
      </c>
      <c r="H160" s="129">
        <v>10</v>
      </c>
      <c r="I160" s="130">
        <v>176.37156333999999</v>
      </c>
      <c r="J160" s="131">
        <f>ROUND(I160*H160,2)</f>
        <v>1763.72</v>
      </c>
      <c r="K160" s="127" t="s">
        <v>1</v>
      </c>
      <c r="L160" s="31"/>
      <c r="M160" s="132" t="s">
        <v>1</v>
      </c>
      <c r="N160" s="133" t="s">
        <v>40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95</v>
      </c>
      <c r="AT160" s="136" t="s">
        <v>284</v>
      </c>
      <c r="AU160" s="136" t="s">
        <v>83</v>
      </c>
      <c r="AY160" s="16" t="s">
        <v>282</v>
      </c>
      <c r="BE160" s="137">
        <f>IF(N160="základní",J160,0)</f>
        <v>1763.72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6" t="s">
        <v>81</v>
      </c>
      <c r="BK160" s="137">
        <f>ROUND(I160*H160,2)</f>
        <v>1763.72</v>
      </c>
      <c r="BL160" s="16" t="s">
        <v>95</v>
      </c>
      <c r="BM160" s="136" t="s">
        <v>476</v>
      </c>
    </row>
    <row r="161" spans="2:65" s="1" customFormat="1" x14ac:dyDescent="0.2">
      <c r="B161" s="31"/>
      <c r="D161" s="138" t="s">
        <v>289</v>
      </c>
      <c r="F161" s="139" t="s">
        <v>2022</v>
      </c>
      <c r="I161" s="140"/>
      <c r="L161" s="31"/>
      <c r="M161" s="141"/>
      <c r="T161" s="50"/>
      <c r="AT161" s="16" t="s">
        <v>289</v>
      </c>
      <c r="AU161" s="16" t="s">
        <v>83</v>
      </c>
    </row>
    <row r="162" spans="2:65" s="1" customFormat="1" ht="14.45" customHeight="1" x14ac:dyDescent="0.2">
      <c r="B162" s="124"/>
      <c r="C162" s="125" t="s">
        <v>8</v>
      </c>
      <c r="D162" s="125" t="s">
        <v>284</v>
      </c>
      <c r="E162" s="126" t="s">
        <v>2023</v>
      </c>
      <c r="F162" s="127" t="s">
        <v>2024</v>
      </c>
      <c r="G162" s="128" t="s">
        <v>2018</v>
      </c>
      <c r="H162" s="129">
        <v>10</v>
      </c>
      <c r="I162" s="130">
        <v>1090.0558275599999</v>
      </c>
      <c r="J162" s="131">
        <f>ROUND(I162*H162,2)</f>
        <v>10900.56</v>
      </c>
      <c r="K162" s="127" t="s">
        <v>1</v>
      </c>
      <c r="L162" s="31"/>
      <c r="M162" s="132" t="s">
        <v>1</v>
      </c>
      <c r="N162" s="133" t="s">
        <v>40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95</v>
      </c>
      <c r="AT162" s="136" t="s">
        <v>284</v>
      </c>
      <c r="AU162" s="136" t="s">
        <v>83</v>
      </c>
      <c r="AY162" s="16" t="s">
        <v>282</v>
      </c>
      <c r="BE162" s="137">
        <f>IF(N162="základní",J162,0)</f>
        <v>10900.56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6" t="s">
        <v>81</v>
      </c>
      <c r="BK162" s="137">
        <f>ROUND(I162*H162,2)</f>
        <v>10900.56</v>
      </c>
      <c r="BL162" s="16" t="s">
        <v>95</v>
      </c>
      <c r="BM162" s="136" t="s">
        <v>489</v>
      </c>
    </row>
    <row r="163" spans="2:65" s="1" customFormat="1" x14ac:dyDescent="0.2">
      <c r="B163" s="31"/>
      <c r="D163" s="138" t="s">
        <v>289</v>
      </c>
      <c r="F163" s="139" t="s">
        <v>2024</v>
      </c>
      <c r="I163" s="140"/>
      <c r="L163" s="31"/>
      <c r="M163" s="141"/>
      <c r="T163" s="50"/>
      <c r="AT163" s="16" t="s">
        <v>289</v>
      </c>
      <c r="AU163" s="16" t="s">
        <v>83</v>
      </c>
    </row>
    <row r="164" spans="2:65" s="1" customFormat="1" ht="14.45" customHeight="1" x14ac:dyDescent="0.2">
      <c r="B164" s="124"/>
      <c r="C164" s="125" t="s">
        <v>379</v>
      </c>
      <c r="D164" s="125" t="s">
        <v>284</v>
      </c>
      <c r="E164" s="126" t="s">
        <v>2025</v>
      </c>
      <c r="F164" s="127" t="s">
        <v>2026</v>
      </c>
      <c r="G164" s="128" t="s">
        <v>2018</v>
      </c>
      <c r="H164" s="129">
        <v>10</v>
      </c>
      <c r="I164" s="130">
        <v>72.935608900000005</v>
      </c>
      <c r="J164" s="131">
        <f>ROUND(I164*H164,2)</f>
        <v>729.36</v>
      </c>
      <c r="K164" s="127" t="s">
        <v>1</v>
      </c>
      <c r="L164" s="31"/>
      <c r="M164" s="132" t="s">
        <v>1</v>
      </c>
      <c r="N164" s="133" t="s">
        <v>40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95</v>
      </c>
      <c r="AT164" s="136" t="s">
        <v>284</v>
      </c>
      <c r="AU164" s="136" t="s">
        <v>83</v>
      </c>
      <c r="AY164" s="16" t="s">
        <v>282</v>
      </c>
      <c r="BE164" s="137">
        <f>IF(N164="základní",J164,0)</f>
        <v>729.36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6" t="s">
        <v>81</v>
      </c>
      <c r="BK164" s="137">
        <f>ROUND(I164*H164,2)</f>
        <v>729.36</v>
      </c>
      <c r="BL164" s="16" t="s">
        <v>95</v>
      </c>
      <c r="BM164" s="136" t="s">
        <v>497</v>
      </c>
    </row>
    <row r="165" spans="2:65" s="1" customFormat="1" x14ac:dyDescent="0.2">
      <c r="B165" s="31"/>
      <c r="D165" s="138" t="s">
        <v>289</v>
      </c>
      <c r="F165" s="139" t="s">
        <v>2026</v>
      </c>
      <c r="I165" s="140"/>
      <c r="L165" s="31"/>
      <c r="M165" s="141"/>
      <c r="T165" s="50"/>
      <c r="AT165" s="16" t="s">
        <v>289</v>
      </c>
      <c r="AU165" s="16" t="s">
        <v>83</v>
      </c>
    </row>
    <row r="166" spans="2:65" s="1" customFormat="1" ht="14.45" customHeight="1" x14ac:dyDescent="0.2">
      <c r="B166" s="124"/>
      <c r="C166" s="125" t="s">
        <v>386</v>
      </c>
      <c r="D166" s="125" t="s">
        <v>284</v>
      </c>
      <c r="E166" s="126" t="s">
        <v>2027</v>
      </c>
      <c r="F166" s="127" t="s">
        <v>2028</v>
      </c>
      <c r="G166" s="128" t="s">
        <v>344</v>
      </c>
      <c r="H166" s="129">
        <v>25</v>
      </c>
      <c r="I166" s="130">
        <v>729.356089</v>
      </c>
      <c r="J166" s="131">
        <f>ROUND(I166*H166,2)</f>
        <v>18233.900000000001</v>
      </c>
      <c r="K166" s="127" t="s">
        <v>1</v>
      </c>
      <c r="L166" s="31"/>
      <c r="M166" s="132" t="s">
        <v>1</v>
      </c>
      <c r="N166" s="133" t="s">
        <v>40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95</v>
      </c>
      <c r="AT166" s="136" t="s">
        <v>284</v>
      </c>
      <c r="AU166" s="136" t="s">
        <v>83</v>
      </c>
      <c r="AY166" s="16" t="s">
        <v>282</v>
      </c>
      <c r="BE166" s="137">
        <f>IF(N166="základní",J166,0)</f>
        <v>18233.900000000001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81</v>
      </c>
      <c r="BK166" s="137">
        <f>ROUND(I166*H166,2)</f>
        <v>18233.900000000001</v>
      </c>
      <c r="BL166" s="16" t="s">
        <v>95</v>
      </c>
      <c r="BM166" s="136" t="s">
        <v>505</v>
      </c>
    </row>
    <row r="167" spans="2:65" s="1" customFormat="1" x14ac:dyDescent="0.2">
      <c r="B167" s="31"/>
      <c r="D167" s="138" t="s">
        <v>289</v>
      </c>
      <c r="F167" s="139" t="s">
        <v>2028</v>
      </c>
      <c r="I167" s="140"/>
      <c r="L167" s="31"/>
      <c r="M167" s="141"/>
      <c r="T167" s="50"/>
      <c r="AT167" s="16" t="s">
        <v>289</v>
      </c>
      <c r="AU167" s="16" t="s">
        <v>83</v>
      </c>
    </row>
    <row r="168" spans="2:65" s="1" customFormat="1" ht="14.45" customHeight="1" x14ac:dyDescent="0.2">
      <c r="B168" s="124"/>
      <c r="C168" s="125" t="s">
        <v>392</v>
      </c>
      <c r="D168" s="125" t="s">
        <v>284</v>
      </c>
      <c r="E168" s="126" t="s">
        <v>2029</v>
      </c>
      <c r="F168" s="127" t="s">
        <v>2030</v>
      </c>
      <c r="G168" s="128" t="s">
        <v>2018</v>
      </c>
      <c r="H168" s="129">
        <v>25</v>
      </c>
      <c r="I168" s="130">
        <v>147.19731978000002</v>
      </c>
      <c r="J168" s="131">
        <f>ROUND(I168*H168,2)</f>
        <v>3679.93</v>
      </c>
      <c r="K168" s="127" t="s">
        <v>1</v>
      </c>
      <c r="L168" s="31"/>
      <c r="M168" s="132" t="s">
        <v>1</v>
      </c>
      <c r="N168" s="133" t="s">
        <v>40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95</v>
      </c>
      <c r="AT168" s="136" t="s">
        <v>284</v>
      </c>
      <c r="AU168" s="136" t="s">
        <v>83</v>
      </c>
      <c r="AY168" s="16" t="s">
        <v>282</v>
      </c>
      <c r="BE168" s="137">
        <f>IF(N168="základní",J168,0)</f>
        <v>3679.93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6" t="s">
        <v>81</v>
      </c>
      <c r="BK168" s="137">
        <f>ROUND(I168*H168,2)</f>
        <v>3679.93</v>
      </c>
      <c r="BL168" s="16" t="s">
        <v>95</v>
      </c>
      <c r="BM168" s="136" t="s">
        <v>514</v>
      </c>
    </row>
    <row r="169" spans="2:65" s="1" customFormat="1" x14ac:dyDescent="0.2">
      <c r="B169" s="31"/>
      <c r="D169" s="138" t="s">
        <v>289</v>
      </c>
      <c r="F169" s="139" t="s">
        <v>2030</v>
      </c>
      <c r="I169" s="140"/>
      <c r="L169" s="31"/>
      <c r="M169" s="141"/>
      <c r="T169" s="50"/>
      <c r="AT169" s="16" t="s">
        <v>289</v>
      </c>
      <c r="AU169" s="16" t="s">
        <v>83</v>
      </c>
    </row>
    <row r="170" spans="2:65" s="1" customFormat="1" ht="24.2" customHeight="1" x14ac:dyDescent="0.2">
      <c r="B170" s="124"/>
      <c r="C170" s="125" t="s">
        <v>397</v>
      </c>
      <c r="D170" s="125" t="s">
        <v>284</v>
      </c>
      <c r="E170" s="126" t="s">
        <v>2031</v>
      </c>
      <c r="F170" s="127" t="s">
        <v>2032</v>
      </c>
      <c r="G170" s="128" t="s">
        <v>2018</v>
      </c>
      <c r="H170" s="129">
        <v>25</v>
      </c>
      <c r="I170" s="130">
        <v>245.32886629999999</v>
      </c>
      <c r="J170" s="131">
        <f>ROUND(I170*H170,2)</f>
        <v>6133.22</v>
      </c>
      <c r="K170" s="127" t="s">
        <v>1</v>
      </c>
      <c r="L170" s="31"/>
      <c r="M170" s="132" t="s">
        <v>1</v>
      </c>
      <c r="N170" s="133" t="s">
        <v>40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95</v>
      </c>
      <c r="AT170" s="136" t="s">
        <v>284</v>
      </c>
      <c r="AU170" s="136" t="s">
        <v>83</v>
      </c>
      <c r="AY170" s="16" t="s">
        <v>282</v>
      </c>
      <c r="BE170" s="137">
        <f>IF(N170="základní",J170,0)</f>
        <v>6133.22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6" t="s">
        <v>81</v>
      </c>
      <c r="BK170" s="137">
        <f>ROUND(I170*H170,2)</f>
        <v>6133.22</v>
      </c>
      <c r="BL170" s="16" t="s">
        <v>95</v>
      </c>
      <c r="BM170" s="136" t="s">
        <v>526</v>
      </c>
    </row>
    <row r="171" spans="2:65" s="1" customFormat="1" x14ac:dyDescent="0.2">
      <c r="B171" s="31"/>
      <c r="D171" s="138" t="s">
        <v>289</v>
      </c>
      <c r="F171" s="139" t="s">
        <v>2032</v>
      </c>
      <c r="I171" s="140"/>
      <c r="L171" s="31"/>
      <c r="M171" s="141"/>
      <c r="T171" s="50"/>
      <c r="AT171" s="16" t="s">
        <v>289</v>
      </c>
      <c r="AU171" s="16" t="s">
        <v>83</v>
      </c>
    </row>
    <row r="172" spans="2:65" s="1" customFormat="1" ht="14.45" customHeight="1" x14ac:dyDescent="0.2">
      <c r="B172" s="124"/>
      <c r="C172" s="125" t="s">
        <v>404</v>
      </c>
      <c r="D172" s="125" t="s">
        <v>284</v>
      </c>
      <c r="E172" s="126" t="s">
        <v>2033</v>
      </c>
      <c r="F172" s="127" t="s">
        <v>2026</v>
      </c>
      <c r="G172" s="128" t="s">
        <v>2018</v>
      </c>
      <c r="H172" s="129">
        <v>25</v>
      </c>
      <c r="I172" s="130">
        <v>46.413569299999999</v>
      </c>
      <c r="J172" s="131">
        <f>ROUND(I172*H172,2)</f>
        <v>1160.3399999999999</v>
      </c>
      <c r="K172" s="127" t="s">
        <v>1</v>
      </c>
      <c r="L172" s="31"/>
      <c r="M172" s="132" t="s">
        <v>1</v>
      </c>
      <c r="N172" s="133" t="s">
        <v>40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95</v>
      </c>
      <c r="AT172" s="136" t="s">
        <v>284</v>
      </c>
      <c r="AU172" s="136" t="s">
        <v>83</v>
      </c>
      <c r="AY172" s="16" t="s">
        <v>282</v>
      </c>
      <c r="BE172" s="137">
        <f>IF(N172="základní",J172,0)</f>
        <v>1160.3399999999999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81</v>
      </c>
      <c r="BK172" s="137">
        <f>ROUND(I172*H172,2)</f>
        <v>1160.3399999999999</v>
      </c>
      <c r="BL172" s="16" t="s">
        <v>95</v>
      </c>
      <c r="BM172" s="136" t="s">
        <v>536</v>
      </c>
    </row>
    <row r="173" spans="2:65" s="1" customFormat="1" x14ac:dyDescent="0.2">
      <c r="B173" s="31"/>
      <c r="D173" s="138" t="s">
        <v>289</v>
      </c>
      <c r="F173" s="139" t="s">
        <v>2026</v>
      </c>
      <c r="I173" s="140"/>
      <c r="L173" s="31"/>
      <c r="M173" s="141"/>
      <c r="T173" s="50"/>
      <c r="AT173" s="16" t="s">
        <v>289</v>
      </c>
      <c r="AU173" s="16" t="s">
        <v>83</v>
      </c>
    </row>
    <row r="174" spans="2:65" s="10" customFormat="1" ht="22.9" customHeight="1" x14ac:dyDescent="0.2">
      <c r="B174" s="112"/>
      <c r="D174" s="113" t="s">
        <v>73</v>
      </c>
      <c r="E174" s="122" t="s">
        <v>2034</v>
      </c>
      <c r="F174" s="122" t="s">
        <v>2035</v>
      </c>
      <c r="I174" s="115"/>
      <c r="J174" s="123">
        <f>BK174</f>
        <v>15913.23</v>
      </c>
      <c r="L174" s="112"/>
      <c r="M174" s="117"/>
      <c r="P174" s="118">
        <f>SUM(P175:P182)</f>
        <v>0</v>
      </c>
      <c r="R174" s="118">
        <f>SUM(R175:R182)</f>
        <v>0</v>
      </c>
      <c r="T174" s="119">
        <f>SUM(T175:T182)</f>
        <v>0</v>
      </c>
      <c r="AR174" s="113" t="s">
        <v>81</v>
      </c>
      <c r="AT174" s="120" t="s">
        <v>73</v>
      </c>
      <c r="AU174" s="120" t="s">
        <v>81</v>
      </c>
      <c r="AY174" s="113" t="s">
        <v>282</v>
      </c>
      <c r="BK174" s="121">
        <f>SUM(BK175:BK182)</f>
        <v>15913.23</v>
      </c>
    </row>
    <row r="175" spans="2:65" s="1" customFormat="1" ht="14.45" customHeight="1" x14ac:dyDescent="0.2">
      <c r="B175" s="124"/>
      <c r="C175" s="125" t="s">
        <v>7</v>
      </c>
      <c r="D175" s="125" t="s">
        <v>284</v>
      </c>
      <c r="E175" s="126" t="s">
        <v>2036</v>
      </c>
      <c r="F175" s="127" t="s">
        <v>2037</v>
      </c>
      <c r="G175" s="128" t="s">
        <v>331</v>
      </c>
      <c r="H175" s="129">
        <v>12</v>
      </c>
      <c r="I175" s="130">
        <v>568.32942000000003</v>
      </c>
      <c r="J175" s="131">
        <f>ROUND(I175*H175,2)</f>
        <v>6819.95</v>
      </c>
      <c r="K175" s="127" t="s">
        <v>1</v>
      </c>
      <c r="L175" s="31"/>
      <c r="M175" s="132" t="s">
        <v>1</v>
      </c>
      <c r="N175" s="133" t="s">
        <v>40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95</v>
      </c>
      <c r="AT175" s="136" t="s">
        <v>284</v>
      </c>
      <c r="AU175" s="136" t="s">
        <v>83</v>
      </c>
      <c r="AY175" s="16" t="s">
        <v>282</v>
      </c>
      <c r="BE175" s="137">
        <f>IF(N175="základní",J175,0)</f>
        <v>6819.95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6" t="s">
        <v>81</v>
      </c>
      <c r="BK175" s="137">
        <f>ROUND(I175*H175,2)</f>
        <v>6819.95</v>
      </c>
      <c r="BL175" s="16" t="s">
        <v>95</v>
      </c>
      <c r="BM175" s="136" t="s">
        <v>548</v>
      </c>
    </row>
    <row r="176" spans="2:65" s="1" customFormat="1" x14ac:dyDescent="0.2">
      <c r="B176" s="31"/>
      <c r="D176" s="138" t="s">
        <v>289</v>
      </c>
      <c r="F176" s="139" t="s">
        <v>2037</v>
      </c>
      <c r="I176" s="140"/>
      <c r="L176" s="31"/>
      <c r="M176" s="141"/>
      <c r="T176" s="50"/>
      <c r="AT176" s="16" t="s">
        <v>289</v>
      </c>
      <c r="AU176" s="16" t="s">
        <v>83</v>
      </c>
    </row>
    <row r="177" spans="2:65" s="1" customFormat="1" ht="14.45" customHeight="1" x14ac:dyDescent="0.2">
      <c r="B177" s="124"/>
      <c r="C177" s="125" t="s">
        <v>415</v>
      </c>
      <c r="D177" s="125" t="s">
        <v>284</v>
      </c>
      <c r="E177" s="126" t="s">
        <v>2038</v>
      </c>
      <c r="F177" s="127" t="s">
        <v>2039</v>
      </c>
      <c r="G177" s="128" t="s">
        <v>331</v>
      </c>
      <c r="H177" s="129">
        <v>10</v>
      </c>
      <c r="I177" s="130">
        <v>520.96863499999995</v>
      </c>
      <c r="J177" s="131">
        <f>ROUND(I177*H177,2)</f>
        <v>5209.6899999999996</v>
      </c>
      <c r="K177" s="127" t="s">
        <v>1</v>
      </c>
      <c r="L177" s="31"/>
      <c r="M177" s="132" t="s">
        <v>1</v>
      </c>
      <c r="N177" s="133" t="s">
        <v>40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95</v>
      </c>
      <c r="AT177" s="136" t="s">
        <v>284</v>
      </c>
      <c r="AU177" s="136" t="s">
        <v>83</v>
      </c>
      <c r="AY177" s="16" t="s">
        <v>282</v>
      </c>
      <c r="BE177" s="137">
        <f>IF(N177="základní",J177,0)</f>
        <v>5209.6899999999996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6" t="s">
        <v>81</v>
      </c>
      <c r="BK177" s="137">
        <f>ROUND(I177*H177,2)</f>
        <v>5209.6899999999996</v>
      </c>
      <c r="BL177" s="16" t="s">
        <v>95</v>
      </c>
      <c r="BM177" s="136" t="s">
        <v>562</v>
      </c>
    </row>
    <row r="178" spans="2:65" s="1" customFormat="1" x14ac:dyDescent="0.2">
      <c r="B178" s="31"/>
      <c r="D178" s="138" t="s">
        <v>289</v>
      </c>
      <c r="F178" s="139" t="s">
        <v>2039</v>
      </c>
      <c r="I178" s="140"/>
      <c r="L178" s="31"/>
      <c r="M178" s="141"/>
      <c r="T178" s="50"/>
      <c r="AT178" s="16" t="s">
        <v>289</v>
      </c>
      <c r="AU178" s="16" t="s">
        <v>83</v>
      </c>
    </row>
    <row r="179" spans="2:65" s="1" customFormat="1" ht="14.45" customHeight="1" x14ac:dyDescent="0.2">
      <c r="B179" s="124"/>
      <c r="C179" s="125" t="s">
        <v>422</v>
      </c>
      <c r="D179" s="125" t="s">
        <v>284</v>
      </c>
      <c r="E179" s="126" t="s">
        <v>2040</v>
      </c>
      <c r="F179" s="127" t="s">
        <v>2041</v>
      </c>
      <c r="G179" s="128" t="s">
        <v>331</v>
      </c>
      <c r="H179" s="129">
        <v>5</v>
      </c>
      <c r="I179" s="130">
        <v>473.60784999999998</v>
      </c>
      <c r="J179" s="131">
        <f>ROUND(I179*H179,2)</f>
        <v>2368.04</v>
      </c>
      <c r="K179" s="127" t="s">
        <v>1</v>
      </c>
      <c r="L179" s="31"/>
      <c r="M179" s="132" t="s">
        <v>1</v>
      </c>
      <c r="N179" s="133" t="s">
        <v>40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95</v>
      </c>
      <c r="AT179" s="136" t="s">
        <v>284</v>
      </c>
      <c r="AU179" s="136" t="s">
        <v>83</v>
      </c>
      <c r="AY179" s="16" t="s">
        <v>282</v>
      </c>
      <c r="BE179" s="137">
        <f>IF(N179="základní",J179,0)</f>
        <v>2368.04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6" t="s">
        <v>81</v>
      </c>
      <c r="BK179" s="137">
        <f>ROUND(I179*H179,2)</f>
        <v>2368.04</v>
      </c>
      <c r="BL179" s="16" t="s">
        <v>95</v>
      </c>
      <c r="BM179" s="136" t="s">
        <v>572</v>
      </c>
    </row>
    <row r="180" spans="2:65" s="1" customFormat="1" x14ac:dyDescent="0.2">
      <c r="B180" s="31"/>
      <c r="D180" s="138" t="s">
        <v>289</v>
      </c>
      <c r="F180" s="139" t="s">
        <v>2041</v>
      </c>
      <c r="I180" s="140"/>
      <c r="L180" s="31"/>
      <c r="M180" s="141"/>
      <c r="T180" s="50"/>
      <c r="AT180" s="16" t="s">
        <v>289</v>
      </c>
      <c r="AU180" s="16" t="s">
        <v>83</v>
      </c>
    </row>
    <row r="181" spans="2:65" s="1" customFormat="1" ht="14.45" customHeight="1" x14ac:dyDescent="0.2">
      <c r="B181" s="124"/>
      <c r="C181" s="125" t="s">
        <v>438</v>
      </c>
      <c r="D181" s="125" t="s">
        <v>284</v>
      </c>
      <c r="E181" s="126" t="s">
        <v>2042</v>
      </c>
      <c r="F181" s="127" t="s">
        <v>2043</v>
      </c>
      <c r="G181" s="128" t="s">
        <v>1948</v>
      </c>
      <c r="H181" s="129">
        <v>1</v>
      </c>
      <c r="I181" s="130">
        <v>1515.54512</v>
      </c>
      <c r="J181" s="131">
        <f>ROUND(I181*H181,2)</f>
        <v>1515.55</v>
      </c>
      <c r="K181" s="127" t="s">
        <v>1</v>
      </c>
      <c r="L181" s="31"/>
      <c r="M181" s="132" t="s">
        <v>1</v>
      </c>
      <c r="N181" s="133" t="s">
        <v>40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95</v>
      </c>
      <c r="AT181" s="136" t="s">
        <v>284</v>
      </c>
      <c r="AU181" s="136" t="s">
        <v>83</v>
      </c>
      <c r="AY181" s="16" t="s">
        <v>282</v>
      </c>
      <c r="BE181" s="137">
        <f>IF(N181="základní",J181,0)</f>
        <v>1515.55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6" t="s">
        <v>81</v>
      </c>
      <c r="BK181" s="137">
        <f>ROUND(I181*H181,2)</f>
        <v>1515.55</v>
      </c>
      <c r="BL181" s="16" t="s">
        <v>95</v>
      </c>
      <c r="BM181" s="136" t="s">
        <v>2044</v>
      </c>
    </row>
    <row r="182" spans="2:65" s="1" customFormat="1" x14ac:dyDescent="0.2">
      <c r="B182" s="31"/>
      <c r="D182" s="138" t="s">
        <v>289</v>
      </c>
      <c r="F182" s="139" t="s">
        <v>2045</v>
      </c>
      <c r="I182" s="140"/>
      <c r="L182" s="31"/>
      <c r="M182" s="187"/>
      <c r="N182" s="184"/>
      <c r="O182" s="184"/>
      <c r="P182" s="184"/>
      <c r="Q182" s="184"/>
      <c r="R182" s="184"/>
      <c r="S182" s="184"/>
      <c r="T182" s="188"/>
      <c r="AT182" s="16" t="s">
        <v>289</v>
      </c>
      <c r="AU182" s="16" t="s">
        <v>83</v>
      </c>
    </row>
    <row r="183" spans="2:65" s="1" customFormat="1" ht="6.95" customHeight="1" x14ac:dyDescent="0.2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31"/>
    </row>
  </sheetData>
  <autoFilter ref="C128:K182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N312"/>
  <sheetViews>
    <sheetView windowProtection="1" showGridLines="0" topLeftCell="A113" zoomScale="80" zoomScaleNormal="80" workbookViewId="0">
      <selection activeCell="Q134" sqref="Q13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1.6640625" customWidth="1"/>
    <col min="13" max="13" width="15.5" customWidth="1"/>
    <col min="14" max="14" width="11.6640625" customWidth="1"/>
    <col min="15" max="15" width="18.33203125" customWidth="1"/>
    <col min="16" max="16" width="11.6640625" customWidth="1"/>
    <col min="17" max="17" width="17.83203125" customWidth="1"/>
    <col min="18" max="19" width="11.6640625" customWidth="1"/>
    <col min="20" max="20" width="14.33203125" customWidth="1"/>
    <col min="21" max="21" width="11.6640625" customWidth="1"/>
    <col min="22" max="22" width="13.83203125" customWidth="1"/>
    <col min="23" max="23" width="11.6640625" customWidth="1"/>
    <col min="24" max="24" width="16.5" customWidth="1"/>
    <col min="25" max="25" width="11.6640625" customWidth="1"/>
    <col min="26" max="26" width="15" customWidth="1"/>
    <col min="27" max="91" width="11.6640625" customWidth="1"/>
    <col min="92" max="92" width="10.83203125" customWidth="1"/>
    <col min="94" max="99" width="14.1640625" customWidth="1"/>
    <col min="100" max="100" width="16.33203125" customWidth="1"/>
    <col min="101" max="101" width="12.33203125" customWidth="1"/>
    <col min="102" max="102" width="16.33203125" customWidth="1"/>
    <col min="103" max="103" width="12.33203125" customWidth="1"/>
    <col min="104" max="104" width="15" customWidth="1"/>
    <col min="105" max="105" width="11" customWidth="1"/>
    <col min="106" max="106" width="15" customWidth="1"/>
    <col min="107" max="107" width="16.33203125" customWidth="1"/>
    <col min="108" max="108" width="11" customWidth="1"/>
    <col min="109" max="109" width="15" customWidth="1"/>
    <col min="110" max="110" width="16.33203125" customWidth="1"/>
    <col min="123" max="144" width="9.33203125" hidden="1"/>
  </cols>
  <sheetData>
    <row r="1" spans="2:125" hidden="1" x14ac:dyDescent="0.2"/>
    <row r="2" spans="2:125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9"/>
      <c r="CO2" s="399"/>
      <c r="CP2" s="399"/>
      <c r="CQ2" s="399"/>
      <c r="CR2" s="399"/>
      <c r="CS2" s="399"/>
      <c r="CT2" s="399"/>
      <c r="CU2" s="399"/>
      <c r="CV2" s="399"/>
      <c r="CW2" s="399"/>
      <c r="DU2" s="16" t="s">
        <v>164</v>
      </c>
    </row>
    <row r="3" spans="2:125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U3" s="16" t="s">
        <v>83</v>
      </c>
    </row>
    <row r="4" spans="2:125" ht="24.95" hidden="1" customHeight="1" x14ac:dyDescent="0.2">
      <c r="B4" s="19"/>
      <c r="D4" s="20" t="s">
        <v>243</v>
      </c>
      <c r="L4" s="19"/>
      <c r="CN4" s="79" t="s">
        <v>10</v>
      </c>
      <c r="DU4" s="16" t="s">
        <v>3</v>
      </c>
    </row>
    <row r="5" spans="2:125" ht="6.95" hidden="1" customHeight="1" x14ac:dyDescent="0.2">
      <c r="B5" s="19"/>
      <c r="L5" s="19"/>
    </row>
    <row r="6" spans="2:125" ht="12" hidden="1" customHeight="1" x14ac:dyDescent="0.2">
      <c r="B6" s="19"/>
      <c r="D6" s="26" t="s">
        <v>16</v>
      </c>
      <c r="L6" s="19"/>
    </row>
    <row r="7" spans="2:125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25" ht="12.75" hidden="1" x14ac:dyDescent="0.2">
      <c r="B8" s="19"/>
      <c r="D8" s="26" t="s">
        <v>244</v>
      </c>
      <c r="L8" s="19"/>
    </row>
    <row r="9" spans="2:125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25" ht="12" hidden="1" customHeight="1" x14ac:dyDescent="0.2">
      <c r="B10" s="19"/>
      <c r="D10" s="26" t="s">
        <v>246</v>
      </c>
      <c r="L10" s="19"/>
    </row>
    <row r="11" spans="2:125" s="1" customFormat="1" ht="16.5" hidden="1" customHeight="1" x14ac:dyDescent="0.2">
      <c r="B11" s="31"/>
      <c r="E11" s="401" t="s">
        <v>2046</v>
      </c>
      <c r="F11" s="433"/>
      <c r="G11" s="433"/>
      <c r="H11" s="433"/>
      <c r="L11" s="31"/>
    </row>
    <row r="12" spans="2:125" s="1" customFormat="1" ht="12" hidden="1" customHeight="1" x14ac:dyDescent="0.2">
      <c r="B12" s="31"/>
      <c r="D12" s="26" t="s">
        <v>1790</v>
      </c>
      <c r="L12" s="31"/>
    </row>
    <row r="13" spans="2:125" s="1" customFormat="1" ht="16.5" hidden="1" customHeight="1" x14ac:dyDescent="0.2">
      <c r="B13" s="31"/>
      <c r="E13" s="432" t="s">
        <v>2047</v>
      </c>
      <c r="F13" s="433"/>
      <c r="G13" s="433"/>
      <c r="H13" s="433"/>
      <c r="L13" s="31"/>
    </row>
    <row r="14" spans="2:125" s="1" customFormat="1" hidden="1" x14ac:dyDescent="0.2">
      <c r="B14" s="31"/>
      <c r="L14" s="31"/>
    </row>
    <row r="15" spans="2:125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125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ROUND(J122, 2)</f>
        <v>2935896.72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ROUND((SUM(EF122:EF311)),  2)</f>
        <v>2935896.72</v>
      </c>
      <c r="I37" s="84">
        <v>0.21</v>
      </c>
      <c r="J37" s="71">
        <f>ROUND(((SUM(EF122:EF311))*I37),  2)</f>
        <v>616538.31000000006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ROUND((SUM(EG122:EG311)),  2)</f>
        <v>0</v>
      </c>
      <c r="I38" s="84">
        <v>0.15</v>
      </c>
      <c r="J38" s="71">
        <f>ROUND(((SUM(EG122:EG311))*I38),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ROUND((SUM(EH122:EH311)),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ROUND((SUM(EI122:EI311)),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ROUND((SUM(EJ122:EJ311)),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3552435.0300000003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2046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DSO 05.1 Čerpací stanice ČS5 - stavební část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126" s="1" customFormat="1" ht="10.35" hidden="1" customHeight="1" x14ac:dyDescent="0.2">
      <c r="B97" s="31"/>
      <c r="L97" s="31"/>
    </row>
    <row r="98" spans="2:126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126" s="1" customFormat="1" ht="10.35" hidden="1" customHeight="1" x14ac:dyDescent="0.2">
      <c r="B99" s="31"/>
      <c r="L99" s="31"/>
    </row>
    <row r="100" spans="2:126" s="1" customFormat="1" ht="22.9" hidden="1" customHeight="1" x14ac:dyDescent="0.2">
      <c r="B100" s="31"/>
      <c r="C100" s="95" t="s">
        <v>256</v>
      </c>
      <c r="J100" s="58">
        <f>J122</f>
        <v>2935896.7199999997</v>
      </c>
      <c r="L100" s="31"/>
      <c r="DV100" s="16" t="s">
        <v>257</v>
      </c>
    </row>
    <row r="101" spans="2:126" s="7" customFormat="1" ht="24.95" hidden="1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J123</f>
        <v>2935896.7199999997</v>
      </c>
      <c r="L101" s="96"/>
    </row>
    <row r="102" spans="2:126" s="8" customFormat="1" ht="19.899999999999999" hidden="1" customHeight="1" x14ac:dyDescent="0.2">
      <c r="B102" s="100"/>
      <c r="D102" s="101" t="s">
        <v>259</v>
      </c>
      <c r="E102" s="102"/>
      <c r="F102" s="102"/>
      <c r="G102" s="102"/>
      <c r="H102" s="102"/>
      <c r="I102" s="102"/>
      <c r="J102" s="103">
        <f>J125</f>
        <v>311159.57</v>
      </c>
      <c r="L102" s="100"/>
    </row>
    <row r="103" spans="2:126" s="8" customFormat="1" ht="19.899999999999999" hidden="1" customHeight="1" x14ac:dyDescent="0.2">
      <c r="B103" s="100"/>
      <c r="D103" s="101" t="s">
        <v>260</v>
      </c>
      <c r="E103" s="102"/>
      <c r="F103" s="102"/>
      <c r="G103" s="102"/>
      <c r="H103" s="102"/>
      <c r="I103" s="102"/>
      <c r="J103" s="103">
        <f>J209</f>
        <v>235339.91999999998</v>
      </c>
      <c r="L103" s="100"/>
    </row>
    <row r="104" spans="2:126" s="8" customFormat="1" ht="19.899999999999999" hidden="1" customHeight="1" x14ac:dyDescent="0.2">
      <c r="B104" s="100"/>
      <c r="D104" s="101" t="s">
        <v>261</v>
      </c>
      <c r="E104" s="102"/>
      <c r="F104" s="102"/>
      <c r="G104" s="102"/>
      <c r="H104" s="102"/>
      <c r="I104" s="102"/>
      <c r="J104" s="103">
        <f>J248</f>
        <v>4812.2299999999996</v>
      </c>
      <c r="L104" s="100"/>
    </row>
    <row r="105" spans="2:126" s="8" customFormat="1" ht="19.899999999999999" hidden="1" customHeight="1" x14ac:dyDescent="0.2">
      <c r="B105" s="100"/>
      <c r="D105" s="101" t="s">
        <v>262</v>
      </c>
      <c r="E105" s="102"/>
      <c r="F105" s="102"/>
      <c r="G105" s="102"/>
      <c r="H105" s="102"/>
      <c r="I105" s="102"/>
      <c r="J105" s="103">
        <f>J258</f>
        <v>21203.75</v>
      </c>
      <c r="L105" s="100"/>
    </row>
    <row r="106" spans="2:126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J277</f>
        <v>2340509.6999999997</v>
      </c>
      <c r="L106" s="100"/>
    </row>
    <row r="107" spans="2:126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J287</f>
        <v>9167.92</v>
      </c>
      <c r="L107" s="100"/>
    </row>
    <row r="108" spans="2:126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J307</f>
        <v>13703.63</v>
      </c>
      <c r="L108" s="100"/>
    </row>
    <row r="109" spans="2:126" s="1" customFormat="1" ht="21.75" hidden="1" customHeight="1" x14ac:dyDescent="0.2">
      <c r="B109" s="31"/>
      <c r="L109" s="31"/>
    </row>
    <row r="110" spans="2:126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26" hidden="1" x14ac:dyDescent="0.2"/>
    <row r="112" spans="2:126" hidden="1" x14ac:dyDescent="0.2"/>
    <row r="114" spans="2:144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44" s="1" customFormat="1" ht="24.95" customHeight="1" x14ac:dyDescent="0.2">
      <c r="B115" s="31"/>
      <c r="C115" s="20" t="s">
        <v>267</v>
      </c>
      <c r="L115" s="31"/>
    </row>
    <row r="116" spans="2:144" s="1" customFormat="1" ht="6.95" customHeight="1" x14ac:dyDescent="0.2">
      <c r="B116" s="31"/>
      <c r="L116" s="31"/>
    </row>
    <row r="117" spans="2:144" s="1" customFormat="1" ht="16.5" customHeight="1" x14ac:dyDescent="0.2">
      <c r="B117" s="31"/>
      <c r="E117" s="432" t="str">
        <f>E13</f>
        <v>0001 - DSO 05.1 Čerpací stanice ČS5 - stavební část</v>
      </c>
      <c r="F117" s="433"/>
      <c r="G117" s="433"/>
      <c r="H117" s="433"/>
      <c r="L117" s="31"/>
    </row>
    <row r="118" spans="2:144" s="1" customFormat="1" ht="15.75" customHeight="1" x14ac:dyDescent="0.2">
      <c r="B118" s="31"/>
      <c r="L118" s="31"/>
    </row>
    <row r="119" spans="2:144" s="1" customFormat="1" ht="15.2" customHeight="1" x14ac:dyDescent="0.2">
      <c r="B119" s="31"/>
      <c r="C119" s="26"/>
      <c r="F119" s="24"/>
      <c r="I119" s="26"/>
      <c r="J119" s="29"/>
      <c r="L119" s="31"/>
    </row>
    <row r="120" spans="2:144" s="1" customFormat="1" ht="24.75" customHeight="1" x14ac:dyDescent="0.2">
      <c r="B120" s="31"/>
      <c r="H120" s="430" t="s">
        <v>3305</v>
      </c>
      <c r="I120" s="430"/>
      <c r="J120" s="430"/>
      <c r="K120" s="431"/>
      <c r="L120" s="31"/>
    </row>
    <row r="121" spans="2:144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CN121" s="52" t="s">
        <v>1</v>
      </c>
      <c r="CO121" s="53" t="s">
        <v>39</v>
      </c>
      <c r="CP121" s="53" t="s">
        <v>273</v>
      </c>
      <c r="CQ121" s="53" t="s">
        <v>274</v>
      </c>
      <c r="CR121" s="53" t="s">
        <v>275</v>
      </c>
      <c r="CS121" s="53" t="s">
        <v>276</v>
      </c>
      <c r="CT121" s="53" t="s">
        <v>277</v>
      </c>
      <c r="CU121" s="54" t="s">
        <v>278</v>
      </c>
    </row>
    <row r="122" spans="2:144" s="1" customFormat="1" ht="22.9" customHeight="1" x14ac:dyDescent="0.25">
      <c r="B122" s="31"/>
      <c r="C122" s="57" t="s">
        <v>279</v>
      </c>
      <c r="G122" s="1" t="s">
        <v>3306</v>
      </c>
      <c r="J122" s="108">
        <f>EL122</f>
        <v>2935896.7199999997</v>
      </c>
      <c r="L122" s="440" t="s">
        <v>3308</v>
      </c>
      <c r="M122" s="441"/>
      <c r="N122" s="440" t="s">
        <v>3343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3321</v>
      </c>
      <c r="X122" s="444"/>
      <c r="Y122" s="444" t="s">
        <v>3322</v>
      </c>
      <c r="Z122" s="444"/>
      <c r="AA122" s="444" t="s">
        <v>3323</v>
      </c>
      <c r="AB122" s="444"/>
      <c r="AC122" s="444" t="s">
        <v>3324</v>
      </c>
      <c r="AD122" s="444"/>
      <c r="AE122" s="444" t="s">
        <v>3325</v>
      </c>
      <c r="AF122" s="444"/>
      <c r="AG122" s="444" t="s">
        <v>3326</v>
      </c>
      <c r="AH122" s="444"/>
      <c r="AI122" s="444" t="s">
        <v>3327</v>
      </c>
      <c r="AJ122" s="445"/>
      <c r="CN122" s="55"/>
      <c r="CO122" s="49"/>
      <c r="CP122" s="49"/>
      <c r="CQ122" s="109">
        <f>CQ123</f>
        <v>0</v>
      </c>
      <c r="CR122" s="49"/>
      <c r="CS122" s="109">
        <f>CS123</f>
        <v>128.01208335999999</v>
      </c>
      <c r="CT122" s="49"/>
      <c r="CU122" s="110">
        <f>CU123</f>
        <v>24.519869999999997</v>
      </c>
      <c r="DU122" s="16" t="s">
        <v>73</v>
      </c>
      <c r="DV122" s="16" t="s">
        <v>257</v>
      </c>
      <c r="EL122" s="111">
        <f>EL123</f>
        <v>2935896.7199999997</v>
      </c>
    </row>
    <row r="123" spans="2:144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EL123</f>
        <v>2935896.7199999997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4" t="s">
        <v>3328</v>
      </c>
      <c r="AE123" s="194" t="s">
        <v>270</v>
      </c>
      <c r="AF123" s="194" t="s">
        <v>3328</v>
      </c>
      <c r="AG123" s="194" t="s">
        <v>270</v>
      </c>
      <c r="AH123" s="194" t="s">
        <v>3328</v>
      </c>
      <c r="AI123" s="194" t="s">
        <v>270</v>
      </c>
      <c r="AJ123" s="195" t="s">
        <v>3328</v>
      </c>
      <c r="CN123" s="117"/>
      <c r="CQ123" s="118">
        <f>CQ125+CQ209+CQ248+CQ258+CQ277+CQ287+CQ307</f>
        <v>0</v>
      </c>
      <c r="CS123" s="118">
        <f>CS125+CS209+CS248+CS258+CS277+CS287+CS307</f>
        <v>128.01208335999999</v>
      </c>
      <c r="CU123" s="119">
        <f>CU125+CU209+CU248+CU258+CU277+CU287+CU307</f>
        <v>24.519869999999997</v>
      </c>
      <c r="DS123" s="113" t="s">
        <v>81</v>
      </c>
      <c r="DU123" s="120" t="s">
        <v>73</v>
      </c>
      <c r="DV123" s="120" t="s">
        <v>74</v>
      </c>
      <c r="DZ123" s="113" t="s">
        <v>282</v>
      </c>
      <c r="EL123" s="121">
        <f>EL125+EL209+EL248+EL258+EL277+EL287+EL307</f>
        <v>2935896.7199999997</v>
      </c>
    </row>
    <row r="124" spans="2:144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M125+M209+M248+M258+M277+M287+M307</f>
        <v>0</v>
      </c>
      <c r="N124" s="208"/>
      <c r="O124" s="208">
        <f t="shared" ref="O124:Q124" si="0">O125+O209+O248+O258+O277+O287+O307</f>
        <v>0</v>
      </c>
      <c r="P124" s="192"/>
      <c r="Q124" s="192">
        <f t="shared" si="0"/>
        <v>2935896.7199999997</v>
      </c>
      <c r="S124" s="196"/>
      <c r="T124" s="197">
        <f>T125+T209+T248+T258+T277+T287+T307</f>
        <v>0</v>
      </c>
      <c r="U124" s="197"/>
      <c r="V124" s="197">
        <f t="shared" ref="V124:AJ124" si="1">V125+V209+V248+V258+V277+V287+V307</f>
        <v>2935896.7199999997</v>
      </c>
      <c r="W124" s="197"/>
      <c r="X124" s="197">
        <f t="shared" si="1"/>
        <v>0</v>
      </c>
      <c r="Y124" s="197"/>
      <c r="Z124" s="197">
        <f t="shared" si="1"/>
        <v>0</v>
      </c>
      <c r="AA124" s="197"/>
      <c r="AB124" s="197">
        <f t="shared" si="1"/>
        <v>0</v>
      </c>
      <c r="AC124" s="197"/>
      <c r="AD124" s="197">
        <f t="shared" si="1"/>
        <v>0</v>
      </c>
      <c r="AE124" s="197"/>
      <c r="AF124" s="197">
        <f t="shared" si="1"/>
        <v>0</v>
      </c>
      <c r="AG124" s="197"/>
      <c r="AH124" s="197">
        <f t="shared" si="1"/>
        <v>0</v>
      </c>
      <c r="AI124" s="197"/>
      <c r="AJ124" s="197">
        <f t="shared" si="1"/>
        <v>0</v>
      </c>
      <c r="CN124" s="117"/>
      <c r="CQ124" s="118"/>
      <c r="CS124" s="118"/>
      <c r="CU124" s="119"/>
      <c r="DS124" s="113"/>
      <c r="DU124" s="120"/>
      <c r="DV124" s="120"/>
      <c r="DZ124" s="113"/>
      <c r="EL124" s="121"/>
    </row>
    <row r="125" spans="2:144" s="10" customFormat="1" ht="22.9" customHeight="1" x14ac:dyDescent="0.2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EL125</f>
        <v>311159.57</v>
      </c>
      <c r="L125" s="112"/>
      <c r="M125" s="270">
        <f>SUM(M126:M206)</f>
        <v>0</v>
      </c>
      <c r="N125" s="299"/>
      <c r="O125" s="300">
        <f t="shared" ref="O125:V125" si="2">SUM(O126:O206)</f>
        <v>0</v>
      </c>
      <c r="P125" s="270"/>
      <c r="Q125" s="286">
        <f t="shared" si="2"/>
        <v>311159.57</v>
      </c>
      <c r="R125" s="270"/>
      <c r="S125" s="270"/>
      <c r="T125" s="270">
        <f t="shared" si="2"/>
        <v>0</v>
      </c>
      <c r="U125" s="270"/>
      <c r="V125" s="270">
        <f t="shared" si="2"/>
        <v>311159.57</v>
      </c>
      <c r="CN125" s="117"/>
      <c r="CQ125" s="118">
        <f>SUM(CQ126:CQ208)</f>
        <v>0</v>
      </c>
      <c r="CS125" s="118">
        <f>SUM(CS126:CS208)</f>
        <v>106.39701526</v>
      </c>
      <c r="CU125" s="119">
        <f>SUM(CU126:CU208)</f>
        <v>24.519869999999997</v>
      </c>
      <c r="DS125" s="113" t="s">
        <v>81</v>
      </c>
      <c r="DU125" s="120" t="s">
        <v>73</v>
      </c>
      <c r="DV125" s="120" t="s">
        <v>81</v>
      </c>
      <c r="DZ125" s="113" t="s">
        <v>282</v>
      </c>
      <c r="EL125" s="121">
        <f>SUM(EL126:EL208)</f>
        <v>311159.57</v>
      </c>
    </row>
    <row r="126" spans="2:144" s="1" customFormat="1" ht="24.2" customHeight="1" x14ac:dyDescent="0.2">
      <c r="B126" s="124"/>
      <c r="C126" s="125" t="s">
        <v>81</v>
      </c>
      <c r="D126" s="125" t="s">
        <v>284</v>
      </c>
      <c r="E126" s="126" t="s">
        <v>291</v>
      </c>
      <c r="F126" s="127" t="s">
        <v>292</v>
      </c>
      <c r="G126" s="128" t="s">
        <v>287</v>
      </c>
      <c r="H126" s="129">
        <v>17.64</v>
      </c>
      <c r="I126" s="130">
        <v>68.767172335543137</v>
      </c>
      <c r="J126" s="131">
        <f>ROUND(I126*H126,2)</f>
        <v>1213.05</v>
      </c>
      <c r="K126" s="127" t="s">
        <v>293</v>
      </c>
      <c r="L126" s="268">
        <f>S126</f>
        <v>0</v>
      </c>
      <c r="M126" s="272">
        <f>ROUND(L126*I126,2)</f>
        <v>0</v>
      </c>
      <c r="N126" s="243"/>
      <c r="O126" s="294">
        <f>ROUND(N126*I126,2)</f>
        <v>0</v>
      </c>
      <c r="P126" s="273">
        <f>H126-L126-N126</f>
        <v>17.64</v>
      </c>
      <c r="Q126" s="287">
        <f>ROUND(P126*I126,2)</f>
        <v>1213.05</v>
      </c>
      <c r="R126" s="137"/>
      <c r="S126" s="269">
        <f>W126+Y126+AA126+AC126+AE126+AG126+AI126</f>
        <v>0</v>
      </c>
      <c r="T126" s="269">
        <f>ROUND(S126*I126,2)</f>
        <v>0</v>
      </c>
      <c r="U126" s="269">
        <f>H126-S126</f>
        <v>17.64</v>
      </c>
      <c r="V126" s="269">
        <f>ROUND(U126*I126,2)</f>
        <v>1213.05</v>
      </c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CN126" s="132" t="s">
        <v>1</v>
      </c>
      <c r="CO126" s="133" t="s">
        <v>40</v>
      </c>
      <c r="CQ126" s="134">
        <f>CP126*H126</f>
        <v>0</v>
      </c>
      <c r="CR126" s="134">
        <v>0</v>
      </c>
      <c r="CS126" s="134">
        <f>CR126*H126</f>
        <v>0</v>
      </c>
      <c r="CT126" s="134">
        <v>0.57999999999999996</v>
      </c>
      <c r="CU126" s="135">
        <f>CT126*H126</f>
        <v>10.231199999999999</v>
      </c>
      <c r="DS126" s="136" t="s">
        <v>95</v>
      </c>
      <c r="DU126" s="136" t="s">
        <v>284</v>
      </c>
      <c r="DV126" s="136" t="s">
        <v>83</v>
      </c>
      <c r="DZ126" s="16" t="s">
        <v>282</v>
      </c>
      <c r="EF126" s="137">
        <f>IF(CO126="základní",J126,0)</f>
        <v>1213.05</v>
      </c>
      <c r="EG126" s="137">
        <f>IF(CO126="snížená",J126,0)</f>
        <v>0</v>
      </c>
      <c r="EH126" s="137">
        <f>IF(CO126="zákl. přenesená",J126,0)</f>
        <v>0</v>
      </c>
      <c r="EI126" s="137">
        <f>IF(CO126="sníž. přenesená",J126,0)</f>
        <v>0</v>
      </c>
      <c r="EJ126" s="137">
        <f>IF(CO126="nulová",J126,0)</f>
        <v>0</v>
      </c>
      <c r="EK126" s="16" t="s">
        <v>81</v>
      </c>
      <c r="EL126" s="137">
        <f>ROUND(I126*H126,2)</f>
        <v>1213.05</v>
      </c>
      <c r="EM126" s="16" t="s">
        <v>95</v>
      </c>
      <c r="EN126" s="136" t="s">
        <v>2048</v>
      </c>
    </row>
    <row r="127" spans="2:144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229"/>
      <c r="CN127" s="141"/>
      <c r="CU127" s="50"/>
      <c r="DU127" s="16" t="s">
        <v>289</v>
      </c>
      <c r="DV127" s="16" t="s">
        <v>83</v>
      </c>
    </row>
    <row r="128" spans="2:144" s="1" customFormat="1" ht="24.2" customHeight="1" x14ac:dyDescent="0.2">
      <c r="B128" s="124"/>
      <c r="C128" s="125" t="s">
        <v>83</v>
      </c>
      <c r="D128" s="125" t="s">
        <v>284</v>
      </c>
      <c r="E128" s="126" t="s">
        <v>285</v>
      </c>
      <c r="F128" s="127" t="s">
        <v>286</v>
      </c>
      <c r="G128" s="128" t="s">
        <v>287</v>
      </c>
      <c r="H128" s="129">
        <v>17.64</v>
      </c>
      <c r="I128" s="130">
        <v>68.767172335543137</v>
      </c>
      <c r="J128" s="131">
        <f>ROUND(I128*H128,2)</f>
        <v>1213.05</v>
      </c>
      <c r="K128" s="127" t="s">
        <v>1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17.64</v>
      </c>
      <c r="Q128" s="287">
        <f>ROUND(P128*I128,2)</f>
        <v>1213.05</v>
      </c>
      <c r="R128" s="137"/>
      <c r="S128" s="269">
        <f>W128+Y128+AA128+AC128+AE128+AG128+AI128</f>
        <v>0</v>
      </c>
      <c r="T128" s="269">
        <f>ROUND(S128*I128,2)</f>
        <v>0</v>
      </c>
      <c r="U128" s="269">
        <f>H128-S128</f>
        <v>17.64</v>
      </c>
      <c r="V128" s="269">
        <f>ROUND(U128*I128,2)</f>
        <v>1213.05</v>
      </c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CN128" s="132" t="s">
        <v>1</v>
      </c>
      <c r="CO128" s="133" t="s">
        <v>40</v>
      </c>
      <c r="CQ128" s="134">
        <f>CP128*H128</f>
        <v>0</v>
      </c>
      <c r="CR128" s="134">
        <v>0</v>
      </c>
      <c r="CS128" s="134">
        <f>CR128*H128</f>
        <v>0</v>
      </c>
      <c r="CT128" s="134">
        <v>0.57999999999999996</v>
      </c>
      <c r="CU128" s="135">
        <f>CT128*H128</f>
        <v>10.231199999999999</v>
      </c>
      <c r="DS128" s="136" t="s">
        <v>95</v>
      </c>
      <c r="DU128" s="136" t="s">
        <v>284</v>
      </c>
      <c r="DV128" s="136" t="s">
        <v>83</v>
      </c>
      <c r="DZ128" s="16" t="s">
        <v>282</v>
      </c>
      <c r="EF128" s="137">
        <f>IF(CO128="základní",J128,0)</f>
        <v>1213.05</v>
      </c>
      <c r="EG128" s="137">
        <f>IF(CO128="snížená",J128,0)</f>
        <v>0</v>
      </c>
      <c r="EH128" s="137">
        <f>IF(CO128="zákl. přenesená",J128,0)</f>
        <v>0</v>
      </c>
      <c r="EI128" s="137">
        <f>IF(CO128="sníž. přenesená",J128,0)</f>
        <v>0</v>
      </c>
      <c r="EJ128" s="137">
        <f>IF(CO128="nulová",J128,0)</f>
        <v>0</v>
      </c>
      <c r="EK128" s="16" t="s">
        <v>81</v>
      </c>
      <c r="EL128" s="137">
        <f>ROUND(I128*H128,2)</f>
        <v>1213.05</v>
      </c>
      <c r="EM128" s="16" t="s">
        <v>95</v>
      </c>
      <c r="EN128" s="136" t="s">
        <v>2049</v>
      </c>
    </row>
    <row r="129" spans="2:144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CN129" s="141"/>
      <c r="CU129" s="50"/>
      <c r="DU129" s="16" t="s">
        <v>289</v>
      </c>
      <c r="DV129" s="16" t="s">
        <v>83</v>
      </c>
    </row>
    <row r="130" spans="2:144" s="1" customFormat="1" ht="24.2" customHeight="1" x14ac:dyDescent="0.2">
      <c r="B130" s="124"/>
      <c r="C130" s="125" t="s">
        <v>90</v>
      </c>
      <c r="D130" s="125" t="s">
        <v>284</v>
      </c>
      <c r="E130" s="126" t="s">
        <v>295</v>
      </c>
      <c r="F130" s="127" t="s">
        <v>296</v>
      </c>
      <c r="G130" s="128" t="s">
        <v>287</v>
      </c>
      <c r="H130" s="129">
        <v>17.64</v>
      </c>
      <c r="I130" s="130">
        <v>27.886826761540966</v>
      </c>
      <c r="J130" s="131">
        <f>ROUND(I130*H130,2)</f>
        <v>491.92</v>
      </c>
      <c r="K130" s="127" t="s">
        <v>293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17.64</v>
      </c>
      <c r="Q130" s="287">
        <f>ROUND(P130*I130,2)</f>
        <v>491.92</v>
      </c>
      <c r="R130" s="137"/>
      <c r="S130" s="269">
        <f>W130+Y130+AA130+AC130+AE130+AG130+AI130</f>
        <v>0</v>
      </c>
      <c r="T130" s="269">
        <f>ROUND(S130*I130,2)</f>
        <v>0</v>
      </c>
      <c r="U130" s="269">
        <f>H130-S130</f>
        <v>17.64</v>
      </c>
      <c r="V130" s="269">
        <f>ROUND(U130*I130,2)</f>
        <v>491.92</v>
      </c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CN130" s="132" t="s">
        <v>1</v>
      </c>
      <c r="CO130" s="133" t="s">
        <v>40</v>
      </c>
      <c r="CQ130" s="134">
        <f>CP130*H130</f>
        <v>0</v>
      </c>
      <c r="CR130" s="134">
        <v>0</v>
      </c>
      <c r="CS130" s="134">
        <f>CR130*H130</f>
        <v>0</v>
      </c>
      <c r="CT130" s="134">
        <v>9.8000000000000004E-2</v>
      </c>
      <c r="CU130" s="135">
        <f>CT130*H130</f>
        <v>1.72872</v>
      </c>
      <c r="DS130" s="136" t="s">
        <v>95</v>
      </c>
      <c r="DU130" s="136" t="s">
        <v>284</v>
      </c>
      <c r="DV130" s="136" t="s">
        <v>83</v>
      </c>
      <c r="DZ130" s="16" t="s">
        <v>282</v>
      </c>
      <c r="EF130" s="137">
        <f>IF(CO130="základní",J130,0)</f>
        <v>491.92</v>
      </c>
      <c r="EG130" s="137">
        <f>IF(CO130="snížená",J130,0)</f>
        <v>0</v>
      </c>
      <c r="EH130" s="137">
        <f>IF(CO130="zákl. přenesená",J130,0)</f>
        <v>0</v>
      </c>
      <c r="EI130" s="137">
        <f>IF(CO130="sníž. přenesená",J130,0)</f>
        <v>0</v>
      </c>
      <c r="EJ130" s="137">
        <f>IF(CO130="nulová",J130,0)</f>
        <v>0</v>
      </c>
      <c r="EK130" s="16" t="s">
        <v>81</v>
      </c>
      <c r="EL130" s="137">
        <f>ROUND(I130*H130,2)</f>
        <v>491.92</v>
      </c>
      <c r="EM130" s="16" t="s">
        <v>95</v>
      </c>
      <c r="EN130" s="136" t="s">
        <v>2050</v>
      </c>
    </row>
    <row r="131" spans="2:144" s="1" customFormat="1" ht="29.25" x14ac:dyDescent="0.2">
      <c r="B131" s="31"/>
      <c r="D131" s="138" t="s">
        <v>289</v>
      </c>
      <c r="F131" s="139" t="s">
        <v>298</v>
      </c>
      <c r="I131" s="140"/>
      <c r="L131" s="31"/>
      <c r="N131" s="213"/>
      <c r="O131" s="214"/>
      <c r="Q131" s="229"/>
      <c r="CN131" s="141"/>
      <c r="CU131" s="50"/>
      <c r="DU131" s="16" t="s">
        <v>289</v>
      </c>
      <c r="DV131" s="16" t="s">
        <v>83</v>
      </c>
    </row>
    <row r="132" spans="2:144" s="1" customFormat="1" ht="19.5" x14ac:dyDescent="0.2">
      <c r="B132" s="31"/>
      <c r="D132" s="138" t="s">
        <v>299</v>
      </c>
      <c r="F132" s="142" t="s">
        <v>2051</v>
      </c>
      <c r="I132" s="140"/>
      <c r="L132" s="31"/>
      <c r="N132" s="213"/>
      <c r="O132" s="214"/>
      <c r="Q132" s="229"/>
      <c r="CN132" s="141"/>
      <c r="CU132" s="50"/>
      <c r="DU132" s="16" t="s">
        <v>299</v>
      </c>
      <c r="DV132" s="16" t="s">
        <v>83</v>
      </c>
    </row>
    <row r="133" spans="2:144" s="11" customFormat="1" x14ac:dyDescent="0.2">
      <c r="B133" s="143"/>
      <c r="D133" s="138" t="s">
        <v>301</v>
      </c>
      <c r="E133" s="144" t="s">
        <v>1</v>
      </c>
      <c r="F133" s="145" t="s">
        <v>1796</v>
      </c>
      <c r="H133" s="144" t="s">
        <v>1</v>
      </c>
      <c r="I133" s="146"/>
      <c r="L133" s="143"/>
      <c r="N133" s="215"/>
      <c r="O133" s="216"/>
      <c r="Q133" s="230"/>
      <c r="CN133" s="147"/>
      <c r="CU133" s="148"/>
      <c r="DU133" s="144" t="s">
        <v>301</v>
      </c>
      <c r="DV133" s="144" t="s">
        <v>83</v>
      </c>
      <c r="DW133" s="11" t="s">
        <v>81</v>
      </c>
      <c r="DX133" s="11" t="s">
        <v>32</v>
      </c>
      <c r="DY133" s="11" t="s">
        <v>74</v>
      </c>
      <c r="DZ133" s="144" t="s">
        <v>282</v>
      </c>
    </row>
    <row r="134" spans="2:144" s="12" customFormat="1" x14ac:dyDescent="0.2">
      <c r="B134" s="149"/>
      <c r="D134" s="138" t="s">
        <v>301</v>
      </c>
      <c r="E134" s="150" t="s">
        <v>1</v>
      </c>
      <c r="F134" s="151" t="s">
        <v>2052</v>
      </c>
      <c r="H134" s="152">
        <v>17.64</v>
      </c>
      <c r="I134" s="153"/>
      <c r="L134" s="149"/>
      <c r="N134" s="217"/>
      <c r="O134" s="218"/>
      <c r="Q134" s="231"/>
      <c r="CN134" s="154"/>
      <c r="CU134" s="155"/>
      <c r="DU134" s="150" t="s">
        <v>301</v>
      </c>
      <c r="DV134" s="150" t="s">
        <v>83</v>
      </c>
      <c r="DW134" s="12" t="s">
        <v>83</v>
      </c>
      <c r="DX134" s="12" t="s">
        <v>32</v>
      </c>
      <c r="DY134" s="12" t="s">
        <v>81</v>
      </c>
      <c r="DZ134" s="150" t="s">
        <v>282</v>
      </c>
    </row>
    <row r="135" spans="2:144" s="1" customFormat="1" ht="24.2" customHeight="1" x14ac:dyDescent="0.2">
      <c r="B135" s="124"/>
      <c r="C135" s="125" t="s">
        <v>95</v>
      </c>
      <c r="D135" s="125" t="s">
        <v>284</v>
      </c>
      <c r="E135" s="126" t="s">
        <v>306</v>
      </c>
      <c r="F135" s="127" t="s">
        <v>307</v>
      </c>
      <c r="G135" s="128" t="s">
        <v>287</v>
      </c>
      <c r="H135" s="129">
        <v>20.25</v>
      </c>
      <c r="I135" s="130">
        <v>55.314624729404002</v>
      </c>
      <c r="J135" s="131">
        <f>ROUND(I135*H135,2)</f>
        <v>1120.1199999999999</v>
      </c>
      <c r="K135" s="127" t="s">
        <v>293</v>
      </c>
      <c r="L135" s="268">
        <f>S135</f>
        <v>0</v>
      </c>
      <c r="M135" s="272">
        <f>ROUND(L135*I135,2)</f>
        <v>0</v>
      </c>
      <c r="N135" s="243"/>
      <c r="O135" s="294">
        <f>ROUND(N135*I135,2)</f>
        <v>0</v>
      </c>
      <c r="P135" s="273">
        <f>H135-L135-N135</f>
        <v>20.25</v>
      </c>
      <c r="Q135" s="287">
        <f>ROUND(P135*I135,2)</f>
        <v>1120.1199999999999</v>
      </c>
      <c r="R135" s="137"/>
      <c r="S135" s="269">
        <f>W135+Y135+AA135+AC135+AE135+AG135+AI135</f>
        <v>0</v>
      </c>
      <c r="T135" s="269">
        <f>ROUND(S135*I135,2)</f>
        <v>0</v>
      </c>
      <c r="U135" s="269">
        <f>H135-S135</f>
        <v>20.25</v>
      </c>
      <c r="V135" s="269">
        <f>ROUND(U135*I135,2)</f>
        <v>1120.1199999999999</v>
      </c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CN135" s="132" t="s">
        <v>1</v>
      </c>
      <c r="CO135" s="133" t="s">
        <v>40</v>
      </c>
      <c r="CQ135" s="134">
        <f>CP135*H135</f>
        <v>0</v>
      </c>
      <c r="CR135" s="134">
        <v>6.9999999999999994E-5</v>
      </c>
      <c r="CS135" s="134">
        <f>CR135*H135</f>
        <v>1.4174999999999999E-3</v>
      </c>
      <c r="CT135" s="134">
        <v>0.115</v>
      </c>
      <c r="CU135" s="135">
        <f>CT135*H135</f>
        <v>2.3287500000000003</v>
      </c>
      <c r="DS135" s="136" t="s">
        <v>95</v>
      </c>
      <c r="DU135" s="136" t="s">
        <v>284</v>
      </c>
      <c r="DV135" s="136" t="s">
        <v>83</v>
      </c>
      <c r="DZ135" s="16" t="s">
        <v>282</v>
      </c>
      <c r="EF135" s="137">
        <f>IF(CO135="základní",J135,0)</f>
        <v>1120.1199999999999</v>
      </c>
      <c r="EG135" s="137">
        <f>IF(CO135="snížená",J135,0)</f>
        <v>0</v>
      </c>
      <c r="EH135" s="137">
        <f>IF(CO135="zákl. přenesená",J135,0)</f>
        <v>0</v>
      </c>
      <c r="EI135" s="137">
        <f>IF(CO135="sníž. přenesená",J135,0)</f>
        <v>0</v>
      </c>
      <c r="EJ135" s="137">
        <f>IF(CO135="nulová",J135,0)</f>
        <v>0</v>
      </c>
      <c r="EK135" s="16" t="s">
        <v>81</v>
      </c>
      <c r="EL135" s="137">
        <f>ROUND(I135*H135,2)</f>
        <v>1120.1199999999999</v>
      </c>
      <c r="EM135" s="16" t="s">
        <v>95</v>
      </c>
      <c r="EN135" s="136" t="s">
        <v>2053</v>
      </c>
    </row>
    <row r="136" spans="2:144" s="1" customFormat="1" ht="29.25" x14ac:dyDescent="0.2">
      <c r="B136" s="31"/>
      <c r="D136" s="138" t="s">
        <v>289</v>
      </c>
      <c r="F136" s="139" t="s">
        <v>309</v>
      </c>
      <c r="I136" s="140"/>
      <c r="L136" s="31"/>
      <c r="N136" s="213"/>
      <c r="O136" s="214"/>
      <c r="Q136" s="229"/>
      <c r="CN136" s="141"/>
      <c r="CU136" s="50"/>
      <c r="DU136" s="16" t="s">
        <v>289</v>
      </c>
      <c r="DV136" s="16" t="s">
        <v>83</v>
      </c>
    </row>
    <row r="137" spans="2:144" s="1" customFormat="1" ht="19.5" x14ac:dyDescent="0.2">
      <c r="B137" s="31"/>
      <c r="D137" s="138" t="s">
        <v>299</v>
      </c>
      <c r="F137" s="142" t="s">
        <v>2051</v>
      </c>
      <c r="I137" s="140"/>
      <c r="L137" s="31"/>
      <c r="N137" s="213"/>
      <c r="O137" s="214"/>
      <c r="Q137" s="229"/>
      <c r="CN137" s="141"/>
      <c r="CU137" s="50"/>
      <c r="DU137" s="16" t="s">
        <v>299</v>
      </c>
      <c r="DV137" s="16" t="s">
        <v>83</v>
      </c>
    </row>
    <row r="138" spans="2:144" s="11" customFormat="1" x14ac:dyDescent="0.2">
      <c r="B138" s="143"/>
      <c r="D138" s="138" t="s">
        <v>301</v>
      </c>
      <c r="E138" s="144" t="s">
        <v>1</v>
      </c>
      <c r="F138" s="145" t="s">
        <v>310</v>
      </c>
      <c r="H138" s="144" t="s">
        <v>1</v>
      </c>
      <c r="I138" s="146"/>
      <c r="L138" s="143"/>
      <c r="N138" s="215"/>
      <c r="O138" s="216"/>
      <c r="Q138" s="230"/>
      <c r="CN138" s="147"/>
      <c r="CU138" s="148"/>
      <c r="DU138" s="144" t="s">
        <v>301</v>
      </c>
      <c r="DV138" s="144" t="s">
        <v>83</v>
      </c>
      <c r="DW138" s="11" t="s">
        <v>81</v>
      </c>
      <c r="DX138" s="11" t="s">
        <v>32</v>
      </c>
      <c r="DY138" s="11" t="s">
        <v>74</v>
      </c>
      <c r="DZ138" s="144" t="s">
        <v>282</v>
      </c>
    </row>
    <row r="139" spans="2:144" s="12" customFormat="1" x14ac:dyDescent="0.2">
      <c r="B139" s="149"/>
      <c r="D139" s="138" t="s">
        <v>301</v>
      </c>
      <c r="E139" s="150" t="s">
        <v>1</v>
      </c>
      <c r="F139" s="151" t="s">
        <v>2054</v>
      </c>
      <c r="H139" s="152">
        <v>20.25</v>
      </c>
      <c r="I139" s="153"/>
      <c r="L139" s="149"/>
      <c r="N139" s="217"/>
      <c r="O139" s="218"/>
      <c r="Q139" s="231"/>
      <c r="CN139" s="154"/>
      <c r="CU139" s="155"/>
      <c r="DU139" s="150" t="s">
        <v>301</v>
      </c>
      <c r="DV139" s="150" t="s">
        <v>83</v>
      </c>
      <c r="DW139" s="12" t="s">
        <v>83</v>
      </c>
      <c r="DX139" s="12" t="s">
        <v>32</v>
      </c>
      <c r="DY139" s="12" t="s">
        <v>81</v>
      </c>
      <c r="DZ139" s="150" t="s">
        <v>282</v>
      </c>
    </row>
    <row r="140" spans="2:144" s="1" customFormat="1" ht="24.2" customHeight="1" x14ac:dyDescent="0.2">
      <c r="B140" s="124"/>
      <c r="C140" s="125" t="s">
        <v>312</v>
      </c>
      <c r="D140" s="125" t="s">
        <v>284</v>
      </c>
      <c r="E140" s="126" t="s">
        <v>1800</v>
      </c>
      <c r="F140" s="127" t="s">
        <v>1801</v>
      </c>
      <c r="G140" s="128" t="s">
        <v>315</v>
      </c>
      <c r="H140" s="129">
        <v>1</v>
      </c>
      <c r="I140" s="130">
        <v>5493.85106</v>
      </c>
      <c r="J140" s="131">
        <f>ROUND(I140*H140,2)</f>
        <v>5493.85</v>
      </c>
      <c r="K140" s="127" t="s">
        <v>1</v>
      </c>
      <c r="L140" s="268">
        <f>S140</f>
        <v>0</v>
      </c>
      <c r="M140" s="272">
        <f>ROUND(L140*I140,2)</f>
        <v>0</v>
      </c>
      <c r="N140" s="243"/>
      <c r="O140" s="294">
        <f>ROUND(N140*I140,2)</f>
        <v>0</v>
      </c>
      <c r="P140" s="273">
        <f>H140-L140-N140</f>
        <v>1</v>
      </c>
      <c r="Q140" s="287">
        <f>ROUND(P140*I140,2)</f>
        <v>5493.85</v>
      </c>
      <c r="R140" s="137"/>
      <c r="S140" s="269">
        <f>W140+Y140+AA140+AC140+AE140+AG140+AI140</f>
        <v>0</v>
      </c>
      <c r="T140" s="269">
        <f>ROUND(S140*I140,2)</f>
        <v>0</v>
      </c>
      <c r="U140" s="269">
        <f>H140-S140</f>
        <v>1</v>
      </c>
      <c r="V140" s="269">
        <f>ROUND(U140*I140,2)</f>
        <v>5493.85</v>
      </c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CN140" s="132" t="s">
        <v>1</v>
      </c>
      <c r="CO140" s="133" t="s">
        <v>40</v>
      </c>
      <c r="CQ140" s="134">
        <f>CP140*H140</f>
        <v>0</v>
      </c>
      <c r="CR140" s="134">
        <v>0</v>
      </c>
      <c r="CS140" s="134">
        <f>CR140*H140</f>
        <v>0</v>
      </c>
      <c r="CT140" s="134">
        <v>0</v>
      </c>
      <c r="CU140" s="135">
        <f>CT140*H140</f>
        <v>0</v>
      </c>
      <c r="DS140" s="136" t="s">
        <v>95</v>
      </c>
      <c r="DU140" s="136" t="s">
        <v>284</v>
      </c>
      <c r="DV140" s="136" t="s">
        <v>83</v>
      </c>
      <c r="DZ140" s="16" t="s">
        <v>282</v>
      </c>
      <c r="EF140" s="137">
        <f>IF(CO140="základní",J140,0)</f>
        <v>5493.85</v>
      </c>
      <c r="EG140" s="137">
        <f>IF(CO140="snížená",J140,0)</f>
        <v>0</v>
      </c>
      <c r="EH140" s="137">
        <f>IF(CO140="zákl. přenesená",J140,0)</f>
        <v>0</v>
      </c>
      <c r="EI140" s="137">
        <f>IF(CO140="sníž. přenesená",J140,0)</f>
        <v>0</v>
      </c>
      <c r="EJ140" s="137">
        <f>IF(CO140="nulová",J140,0)</f>
        <v>0</v>
      </c>
      <c r="EK140" s="16" t="s">
        <v>81</v>
      </c>
      <c r="EL140" s="137">
        <f>ROUND(I140*H140,2)</f>
        <v>5493.85</v>
      </c>
      <c r="EM140" s="16" t="s">
        <v>95</v>
      </c>
      <c r="EN140" s="136" t="s">
        <v>2055</v>
      </c>
    </row>
    <row r="141" spans="2:144" s="1" customFormat="1" ht="19.5" x14ac:dyDescent="0.2">
      <c r="B141" s="31"/>
      <c r="D141" s="138" t="s">
        <v>289</v>
      </c>
      <c r="F141" s="139" t="s">
        <v>1801</v>
      </c>
      <c r="I141" s="140"/>
      <c r="L141" s="31"/>
      <c r="N141" s="213"/>
      <c r="O141" s="214"/>
      <c r="Q141" s="229"/>
      <c r="CN141" s="141"/>
      <c r="CU141" s="50"/>
      <c r="DU141" s="16" t="s">
        <v>289</v>
      </c>
      <c r="DV141" s="16" t="s">
        <v>83</v>
      </c>
    </row>
    <row r="142" spans="2:144" s="1" customFormat="1" ht="19.5" x14ac:dyDescent="0.2">
      <c r="B142" s="31"/>
      <c r="D142" s="138" t="s">
        <v>299</v>
      </c>
      <c r="F142" s="142" t="s">
        <v>2051</v>
      </c>
      <c r="I142" s="140"/>
      <c r="L142" s="31"/>
      <c r="N142" s="213"/>
      <c r="O142" s="214"/>
      <c r="Q142" s="229"/>
      <c r="CN142" s="141"/>
      <c r="CU142" s="50"/>
      <c r="DU142" s="16" t="s">
        <v>299</v>
      </c>
      <c r="DV142" s="16" t="s">
        <v>83</v>
      </c>
    </row>
    <row r="143" spans="2:144" s="12" customFormat="1" x14ac:dyDescent="0.2">
      <c r="B143" s="149"/>
      <c r="D143" s="138" t="s">
        <v>301</v>
      </c>
      <c r="E143" s="150" t="s">
        <v>1</v>
      </c>
      <c r="F143" s="151" t="s">
        <v>81</v>
      </c>
      <c r="H143" s="152">
        <v>1</v>
      </c>
      <c r="I143" s="153"/>
      <c r="L143" s="149"/>
      <c r="N143" s="217"/>
      <c r="O143" s="218"/>
      <c r="Q143" s="231"/>
      <c r="CN143" s="154"/>
      <c r="CU143" s="155"/>
      <c r="DU143" s="150" t="s">
        <v>301</v>
      </c>
      <c r="DV143" s="150" t="s">
        <v>83</v>
      </c>
      <c r="DW143" s="12" t="s">
        <v>83</v>
      </c>
      <c r="DX143" s="12" t="s">
        <v>32</v>
      </c>
      <c r="DY143" s="12" t="s">
        <v>81</v>
      </c>
      <c r="DZ143" s="150" t="s">
        <v>282</v>
      </c>
    </row>
    <row r="144" spans="2:144" s="1" customFormat="1" ht="24.2" customHeight="1" x14ac:dyDescent="0.2">
      <c r="B144" s="124"/>
      <c r="C144" s="125" t="s">
        <v>318</v>
      </c>
      <c r="D144" s="125" t="s">
        <v>284</v>
      </c>
      <c r="E144" s="126" t="s">
        <v>329</v>
      </c>
      <c r="F144" s="127" t="s">
        <v>330</v>
      </c>
      <c r="G144" s="128" t="s">
        <v>331</v>
      </c>
      <c r="H144" s="129">
        <v>360</v>
      </c>
      <c r="I144" s="130">
        <v>70.957591385341729</v>
      </c>
      <c r="J144" s="131">
        <f>ROUND(I144*H144,2)</f>
        <v>25544.73</v>
      </c>
      <c r="K144" s="127" t="s">
        <v>293</v>
      </c>
      <c r="L144" s="268">
        <f>S144</f>
        <v>0</v>
      </c>
      <c r="M144" s="272">
        <f>ROUND(L144*I144,2)</f>
        <v>0</v>
      </c>
      <c r="N144" s="243"/>
      <c r="O144" s="294">
        <f>ROUND(N144*I144,2)</f>
        <v>0</v>
      </c>
      <c r="P144" s="273">
        <f>H144-L144-N144</f>
        <v>360</v>
      </c>
      <c r="Q144" s="287">
        <f>ROUND(P144*I144,2)</f>
        <v>25544.73</v>
      </c>
      <c r="R144" s="137"/>
      <c r="S144" s="269">
        <f>W144+Y144+AA144+AC144+AE144+AG144+AI144</f>
        <v>0</v>
      </c>
      <c r="T144" s="269">
        <f>ROUND(S144*I144,2)</f>
        <v>0</v>
      </c>
      <c r="U144" s="269">
        <f>H144-S144</f>
        <v>360</v>
      </c>
      <c r="V144" s="269">
        <f>ROUND(U144*I144,2)</f>
        <v>25544.73</v>
      </c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CN144" s="132" t="s">
        <v>1</v>
      </c>
      <c r="CO144" s="133" t="s">
        <v>40</v>
      </c>
      <c r="CQ144" s="134">
        <f>CP144*H144</f>
        <v>0</v>
      </c>
      <c r="CR144" s="134">
        <v>3.0000000000000001E-5</v>
      </c>
      <c r="CS144" s="134">
        <f>CR144*H144</f>
        <v>1.0800000000000001E-2</v>
      </c>
      <c r="CT144" s="134">
        <v>0</v>
      </c>
      <c r="CU144" s="135">
        <f>CT144*H144</f>
        <v>0</v>
      </c>
      <c r="DS144" s="136" t="s">
        <v>95</v>
      </c>
      <c r="DU144" s="136" t="s">
        <v>284</v>
      </c>
      <c r="DV144" s="136" t="s">
        <v>83</v>
      </c>
      <c r="DZ144" s="16" t="s">
        <v>282</v>
      </c>
      <c r="EF144" s="137">
        <f>IF(CO144="základní",J144,0)</f>
        <v>25544.73</v>
      </c>
      <c r="EG144" s="137">
        <f>IF(CO144="snížená",J144,0)</f>
        <v>0</v>
      </c>
      <c r="EH144" s="137">
        <f>IF(CO144="zákl. přenesená",J144,0)</f>
        <v>0</v>
      </c>
      <c r="EI144" s="137">
        <f>IF(CO144="sníž. přenesená",J144,0)</f>
        <v>0</v>
      </c>
      <c r="EJ144" s="137">
        <f>IF(CO144="nulová",J144,0)</f>
        <v>0</v>
      </c>
      <c r="EK144" s="16" t="s">
        <v>81</v>
      </c>
      <c r="EL144" s="137">
        <f>ROUND(I144*H144,2)</f>
        <v>25544.73</v>
      </c>
      <c r="EM144" s="16" t="s">
        <v>95</v>
      </c>
      <c r="EN144" s="136" t="s">
        <v>2056</v>
      </c>
    </row>
    <row r="145" spans="2:144" s="1" customFormat="1" ht="19.5" x14ac:dyDescent="0.2">
      <c r="B145" s="31"/>
      <c r="D145" s="138" t="s">
        <v>289</v>
      </c>
      <c r="F145" s="139" t="s">
        <v>333</v>
      </c>
      <c r="I145" s="140"/>
      <c r="L145" s="31"/>
      <c r="N145" s="213"/>
      <c r="O145" s="214"/>
      <c r="Q145" s="229"/>
      <c r="CN145" s="141"/>
      <c r="CU145" s="50"/>
      <c r="DU145" s="16" t="s">
        <v>289</v>
      </c>
      <c r="DV145" s="16" t="s">
        <v>83</v>
      </c>
    </row>
    <row r="146" spans="2:144" s="12" customFormat="1" x14ac:dyDescent="0.2">
      <c r="B146" s="149"/>
      <c r="D146" s="138" t="s">
        <v>301</v>
      </c>
      <c r="E146" s="150" t="s">
        <v>1</v>
      </c>
      <c r="F146" s="151" t="s">
        <v>847</v>
      </c>
      <c r="H146" s="152">
        <v>360</v>
      </c>
      <c r="I146" s="153"/>
      <c r="L146" s="149"/>
      <c r="N146" s="217"/>
      <c r="O146" s="218"/>
      <c r="Q146" s="231"/>
      <c r="CN146" s="154"/>
      <c r="CU146" s="155"/>
      <c r="DU146" s="150" t="s">
        <v>301</v>
      </c>
      <c r="DV146" s="150" t="s">
        <v>83</v>
      </c>
      <c r="DW146" s="12" t="s">
        <v>83</v>
      </c>
      <c r="DX146" s="12" t="s">
        <v>32</v>
      </c>
      <c r="DY146" s="12" t="s">
        <v>81</v>
      </c>
      <c r="DZ146" s="150" t="s">
        <v>282</v>
      </c>
    </row>
    <row r="147" spans="2:144" s="1" customFormat="1" ht="24.2" customHeight="1" x14ac:dyDescent="0.2">
      <c r="B147" s="124"/>
      <c r="C147" s="125" t="s">
        <v>323</v>
      </c>
      <c r="D147" s="125" t="s">
        <v>284</v>
      </c>
      <c r="E147" s="126" t="s">
        <v>336</v>
      </c>
      <c r="F147" s="127" t="s">
        <v>337</v>
      </c>
      <c r="G147" s="128" t="s">
        <v>338</v>
      </c>
      <c r="H147" s="129">
        <v>45</v>
      </c>
      <c r="I147" s="130">
        <v>41.621835247115101</v>
      </c>
      <c r="J147" s="131">
        <f>ROUND(I147*H147,2)</f>
        <v>1872.98</v>
      </c>
      <c r="K147" s="127" t="s">
        <v>293</v>
      </c>
      <c r="L147" s="268">
        <f>S147</f>
        <v>0</v>
      </c>
      <c r="M147" s="272">
        <f>ROUND(L147*I147,2)</f>
        <v>0</v>
      </c>
      <c r="N147" s="243"/>
      <c r="O147" s="294">
        <f>ROUND(N147*I147,2)</f>
        <v>0</v>
      </c>
      <c r="P147" s="273">
        <f>H147-L147-N147</f>
        <v>45</v>
      </c>
      <c r="Q147" s="287">
        <f>ROUND(P147*I147,2)</f>
        <v>1872.98</v>
      </c>
      <c r="R147" s="137"/>
      <c r="S147" s="269">
        <f>W147+Y147+AA147+AC147+AE147+AG147+AI147</f>
        <v>0</v>
      </c>
      <c r="T147" s="269">
        <f>ROUND(S147*I147,2)</f>
        <v>0</v>
      </c>
      <c r="U147" s="269">
        <f>H147-S147</f>
        <v>45</v>
      </c>
      <c r="V147" s="269">
        <f>ROUND(U147*I147,2)</f>
        <v>1872.98</v>
      </c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CN147" s="132" t="s">
        <v>1</v>
      </c>
      <c r="CO147" s="133" t="s">
        <v>40</v>
      </c>
      <c r="CQ147" s="134">
        <f>CP147*H147</f>
        <v>0</v>
      </c>
      <c r="CR147" s="134">
        <v>0</v>
      </c>
      <c r="CS147" s="134">
        <f>CR147*H147</f>
        <v>0</v>
      </c>
      <c r="CT147" s="134">
        <v>0</v>
      </c>
      <c r="CU147" s="135">
        <f>CT147*H147</f>
        <v>0</v>
      </c>
      <c r="DS147" s="136" t="s">
        <v>95</v>
      </c>
      <c r="DU147" s="136" t="s">
        <v>284</v>
      </c>
      <c r="DV147" s="136" t="s">
        <v>83</v>
      </c>
      <c r="DZ147" s="16" t="s">
        <v>282</v>
      </c>
      <c r="EF147" s="137">
        <f>IF(CO147="základní",J147,0)</f>
        <v>1872.98</v>
      </c>
      <c r="EG147" s="137">
        <f>IF(CO147="snížená",J147,0)</f>
        <v>0</v>
      </c>
      <c r="EH147" s="137">
        <f>IF(CO147="zákl. přenesená",J147,0)</f>
        <v>0</v>
      </c>
      <c r="EI147" s="137">
        <f>IF(CO147="sníž. přenesená",J147,0)</f>
        <v>0</v>
      </c>
      <c r="EJ147" s="137">
        <f>IF(CO147="nulová",J147,0)</f>
        <v>0</v>
      </c>
      <c r="EK147" s="16" t="s">
        <v>81</v>
      </c>
      <c r="EL147" s="137">
        <f>ROUND(I147*H147,2)</f>
        <v>1872.98</v>
      </c>
      <c r="EM147" s="16" t="s">
        <v>95</v>
      </c>
      <c r="EN147" s="136" t="s">
        <v>2057</v>
      </c>
    </row>
    <row r="148" spans="2:144" s="1" customFormat="1" ht="19.5" x14ac:dyDescent="0.2">
      <c r="B148" s="31"/>
      <c r="D148" s="138" t="s">
        <v>289</v>
      </c>
      <c r="F148" s="139" t="s">
        <v>340</v>
      </c>
      <c r="I148" s="140"/>
      <c r="L148" s="31"/>
      <c r="N148" s="213"/>
      <c r="O148" s="214"/>
      <c r="Q148" s="229"/>
      <c r="CN148" s="141"/>
      <c r="CU148" s="50"/>
      <c r="DU148" s="16" t="s">
        <v>289</v>
      </c>
      <c r="DV148" s="16" t="s">
        <v>83</v>
      </c>
    </row>
    <row r="149" spans="2:144" s="1" customFormat="1" ht="24.2" customHeight="1" x14ac:dyDescent="0.2">
      <c r="B149" s="124"/>
      <c r="C149" s="125" t="s">
        <v>328</v>
      </c>
      <c r="D149" s="125" t="s">
        <v>284</v>
      </c>
      <c r="E149" s="126" t="s">
        <v>1818</v>
      </c>
      <c r="F149" s="127" t="s">
        <v>1819</v>
      </c>
      <c r="G149" s="128" t="s">
        <v>344</v>
      </c>
      <c r="H149" s="129">
        <v>16.8</v>
      </c>
      <c r="I149" s="130">
        <v>64.561174834479445</v>
      </c>
      <c r="J149" s="131">
        <f>ROUND(I149*H149,2)</f>
        <v>1084.6300000000001</v>
      </c>
      <c r="K149" s="127" t="s">
        <v>293</v>
      </c>
      <c r="L149" s="268">
        <f>S149</f>
        <v>0</v>
      </c>
      <c r="M149" s="272">
        <f>ROUND(L149*I149,2)</f>
        <v>0</v>
      </c>
      <c r="N149" s="243"/>
      <c r="O149" s="294">
        <f>ROUND(N149*I149,2)</f>
        <v>0</v>
      </c>
      <c r="P149" s="273">
        <f>H149-L149-N149</f>
        <v>16.8</v>
      </c>
      <c r="Q149" s="287">
        <f>ROUND(P149*I149,2)</f>
        <v>1084.6300000000001</v>
      </c>
      <c r="R149" s="137"/>
      <c r="S149" s="269">
        <f>W149+Y149+AA149+AC149+AE149+AG149+AI149</f>
        <v>0</v>
      </c>
      <c r="T149" s="269">
        <f>ROUND(S149*I149,2)</f>
        <v>0</v>
      </c>
      <c r="U149" s="269">
        <f>H149-S149</f>
        <v>16.8</v>
      </c>
      <c r="V149" s="269">
        <f>ROUND(U149*I149,2)</f>
        <v>1084.6300000000001</v>
      </c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CN149" s="132" t="s">
        <v>1</v>
      </c>
      <c r="CO149" s="133" t="s">
        <v>40</v>
      </c>
      <c r="CQ149" s="134">
        <f>CP149*H149</f>
        <v>0</v>
      </c>
      <c r="CR149" s="134">
        <v>1.4999999999999999E-4</v>
      </c>
      <c r="CS149" s="134">
        <f>CR149*H149</f>
        <v>2.5199999999999997E-3</v>
      </c>
      <c r="CT149" s="134">
        <v>0</v>
      </c>
      <c r="CU149" s="135">
        <f>CT149*H149</f>
        <v>0</v>
      </c>
      <c r="DS149" s="136" t="s">
        <v>95</v>
      </c>
      <c r="DU149" s="136" t="s">
        <v>284</v>
      </c>
      <c r="DV149" s="136" t="s">
        <v>83</v>
      </c>
      <c r="DZ149" s="16" t="s">
        <v>282</v>
      </c>
      <c r="EF149" s="137">
        <f>IF(CO149="základní",J149,0)</f>
        <v>1084.6300000000001</v>
      </c>
      <c r="EG149" s="137">
        <f>IF(CO149="snížená",J149,0)</f>
        <v>0</v>
      </c>
      <c r="EH149" s="137">
        <f>IF(CO149="zákl. přenesená",J149,0)</f>
        <v>0</v>
      </c>
      <c r="EI149" s="137">
        <f>IF(CO149="sníž. přenesená",J149,0)</f>
        <v>0</v>
      </c>
      <c r="EJ149" s="137">
        <f>IF(CO149="nulová",J149,0)</f>
        <v>0</v>
      </c>
      <c r="EK149" s="16" t="s">
        <v>81</v>
      </c>
      <c r="EL149" s="137">
        <f>ROUND(I149*H149,2)</f>
        <v>1084.6300000000001</v>
      </c>
      <c r="EM149" s="16" t="s">
        <v>95</v>
      </c>
      <c r="EN149" s="136" t="s">
        <v>2058</v>
      </c>
    </row>
    <row r="150" spans="2:144" s="1" customFormat="1" ht="29.25" x14ac:dyDescent="0.2">
      <c r="B150" s="31"/>
      <c r="D150" s="138" t="s">
        <v>289</v>
      </c>
      <c r="F150" s="139" t="s">
        <v>1821</v>
      </c>
      <c r="I150" s="140"/>
      <c r="L150" s="31"/>
      <c r="N150" s="213"/>
      <c r="O150" s="214"/>
      <c r="Q150" s="229"/>
      <c r="CN150" s="141"/>
      <c r="CU150" s="50"/>
      <c r="DU150" s="16" t="s">
        <v>289</v>
      </c>
      <c r="DV150" s="16" t="s">
        <v>83</v>
      </c>
    </row>
    <row r="151" spans="2:144" s="1" customFormat="1" ht="19.5" x14ac:dyDescent="0.2">
      <c r="B151" s="31"/>
      <c r="D151" s="138" t="s">
        <v>299</v>
      </c>
      <c r="F151" s="142" t="s">
        <v>2051</v>
      </c>
      <c r="I151" s="140"/>
      <c r="L151" s="31"/>
      <c r="N151" s="213"/>
      <c r="O151" s="214"/>
      <c r="Q151" s="229"/>
      <c r="CN151" s="141"/>
      <c r="CU151" s="50"/>
      <c r="DU151" s="16" t="s">
        <v>299</v>
      </c>
      <c r="DV151" s="16" t="s">
        <v>83</v>
      </c>
    </row>
    <row r="152" spans="2:144" s="12" customFormat="1" x14ac:dyDescent="0.2">
      <c r="B152" s="149"/>
      <c r="D152" s="138" t="s">
        <v>301</v>
      </c>
      <c r="E152" s="150" t="s">
        <v>1</v>
      </c>
      <c r="F152" s="151" t="s">
        <v>2059</v>
      </c>
      <c r="H152" s="152">
        <v>16.8</v>
      </c>
      <c r="I152" s="153"/>
      <c r="L152" s="149"/>
      <c r="N152" s="217"/>
      <c r="O152" s="218"/>
      <c r="Q152" s="231"/>
      <c r="CN152" s="154"/>
      <c r="CU152" s="155"/>
      <c r="DU152" s="150" t="s">
        <v>301</v>
      </c>
      <c r="DV152" s="150" t="s">
        <v>83</v>
      </c>
      <c r="DW152" s="12" t="s">
        <v>83</v>
      </c>
      <c r="DX152" s="12" t="s">
        <v>32</v>
      </c>
      <c r="DY152" s="12" t="s">
        <v>81</v>
      </c>
      <c r="DZ152" s="150" t="s">
        <v>282</v>
      </c>
    </row>
    <row r="153" spans="2:144" s="1" customFormat="1" ht="24.2" customHeight="1" x14ac:dyDescent="0.2">
      <c r="B153" s="124"/>
      <c r="C153" s="125" t="s">
        <v>335</v>
      </c>
      <c r="D153" s="125" t="s">
        <v>284</v>
      </c>
      <c r="E153" s="126" t="s">
        <v>1823</v>
      </c>
      <c r="F153" s="127" t="s">
        <v>1824</v>
      </c>
      <c r="G153" s="128" t="s">
        <v>344</v>
      </c>
      <c r="H153" s="129">
        <v>16.8</v>
      </c>
      <c r="I153" s="130">
        <v>39.716875079109904</v>
      </c>
      <c r="J153" s="131">
        <f>ROUND(I153*H153,2)</f>
        <v>667.24</v>
      </c>
      <c r="K153" s="127" t="s">
        <v>293</v>
      </c>
      <c r="L153" s="268">
        <f>S153</f>
        <v>0</v>
      </c>
      <c r="M153" s="272">
        <f>ROUND(L153*I153,2)</f>
        <v>0</v>
      </c>
      <c r="N153" s="243"/>
      <c r="O153" s="294">
        <f>ROUND(N153*I153,2)</f>
        <v>0</v>
      </c>
      <c r="P153" s="273">
        <f>H153-L153-N153</f>
        <v>16.8</v>
      </c>
      <c r="Q153" s="287">
        <f>ROUND(P153*I153,2)</f>
        <v>667.24</v>
      </c>
      <c r="R153" s="137"/>
      <c r="S153" s="269">
        <f>W153+Y153+AA153+AC153+AE153+AG153+AI153</f>
        <v>0</v>
      </c>
      <c r="T153" s="269">
        <f>ROUND(S153*I153,2)</f>
        <v>0</v>
      </c>
      <c r="U153" s="269">
        <f>H153-S153</f>
        <v>16.8</v>
      </c>
      <c r="V153" s="269">
        <f>ROUND(U153*I153,2)</f>
        <v>667.24</v>
      </c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CN153" s="132" t="s">
        <v>1</v>
      </c>
      <c r="CO153" s="133" t="s">
        <v>40</v>
      </c>
      <c r="CQ153" s="134">
        <f>CP153*H153</f>
        <v>0</v>
      </c>
      <c r="CR153" s="134">
        <v>0</v>
      </c>
      <c r="CS153" s="134">
        <f>CR153*H153</f>
        <v>0</v>
      </c>
      <c r="CT153" s="134">
        <v>0</v>
      </c>
      <c r="CU153" s="135">
        <f>CT153*H153</f>
        <v>0</v>
      </c>
      <c r="DS153" s="136" t="s">
        <v>95</v>
      </c>
      <c r="DU153" s="136" t="s">
        <v>284</v>
      </c>
      <c r="DV153" s="136" t="s">
        <v>83</v>
      </c>
      <c r="DZ153" s="16" t="s">
        <v>282</v>
      </c>
      <c r="EF153" s="137">
        <f>IF(CO153="základní",J153,0)</f>
        <v>667.24</v>
      </c>
      <c r="EG153" s="137">
        <f>IF(CO153="snížená",J153,0)</f>
        <v>0</v>
      </c>
      <c r="EH153" s="137">
        <f>IF(CO153="zákl. přenesená",J153,0)</f>
        <v>0</v>
      </c>
      <c r="EI153" s="137">
        <f>IF(CO153="sníž. přenesená",J153,0)</f>
        <v>0</v>
      </c>
      <c r="EJ153" s="137">
        <f>IF(CO153="nulová",J153,0)</f>
        <v>0</v>
      </c>
      <c r="EK153" s="16" t="s">
        <v>81</v>
      </c>
      <c r="EL153" s="137">
        <f>ROUND(I153*H153,2)</f>
        <v>667.24</v>
      </c>
      <c r="EM153" s="16" t="s">
        <v>95</v>
      </c>
      <c r="EN153" s="136" t="s">
        <v>2060</v>
      </c>
    </row>
    <row r="154" spans="2:144" s="1" customFormat="1" ht="29.25" x14ac:dyDescent="0.2">
      <c r="B154" s="31"/>
      <c r="D154" s="138" t="s">
        <v>289</v>
      </c>
      <c r="F154" s="139" t="s">
        <v>1826</v>
      </c>
      <c r="I154" s="140"/>
      <c r="L154" s="31"/>
      <c r="N154" s="213"/>
      <c r="O154" s="214"/>
      <c r="Q154" s="229"/>
      <c r="CN154" s="141"/>
      <c r="CU154" s="50"/>
      <c r="DU154" s="16" t="s">
        <v>289</v>
      </c>
      <c r="DV154" s="16" t="s">
        <v>83</v>
      </c>
    </row>
    <row r="155" spans="2:144" s="1" customFormat="1" ht="24.2" customHeight="1" x14ac:dyDescent="0.2">
      <c r="B155" s="124"/>
      <c r="C155" s="125" t="s">
        <v>341</v>
      </c>
      <c r="D155" s="125" t="s">
        <v>284</v>
      </c>
      <c r="E155" s="126" t="s">
        <v>1827</v>
      </c>
      <c r="F155" s="127" t="s">
        <v>1828</v>
      </c>
      <c r="G155" s="128" t="s">
        <v>344</v>
      </c>
      <c r="H155" s="129">
        <v>4.4800000000000004</v>
      </c>
      <c r="I155" s="130">
        <v>162.37099591398675</v>
      </c>
      <c r="J155" s="131">
        <f>ROUND(I155*H155,2)</f>
        <v>727.42</v>
      </c>
      <c r="K155" s="127" t="s">
        <v>293</v>
      </c>
      <c r="L155" s="268">
        <f>S155</f>
        <v>0</v>
      </c>
      <c r="M155" s="272">
        <f>ROUND(L155*I155,2)</f>
        <v>0</v>
      </c>
      <c r="N155" s="243"/>
      <c r="O155" s="294">
        <f>ROUND(N155*I155,2)</f>
        <v>0</v>
      </c>
      <c r="P155" s="273">
        <f>H155-L155-N155</f>
        <v>4.4800000000000004</v>
      </c>
      <c r="Q155" s="287">
        <f>ROUND(P155*I155,2)</f>
        <v>727.42</v>
      </c>
      <c r="R155" s="137"/>
      <c r="S155" s="269">
        <f>W155+Y155+AA155+AC155+AE155+AG155+AI155</f>
        <v>0</v>
      </c>
      <c r="T155" s="269">
        <f>ROUND(S155*I155,2)</f>
        <v>0</v>
      </c>
      <c r="U155" s="269">
        <f>H155-S155</f>
        <v>4.4800000000000004</v>
      </c>
      <c r="V155" s="269">
        <f>ROUND(U155*I155,2)</f>
        <v>727.42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CN155" s="132" t="s">
        <v>1</v>
      </c>
      <c r="CO155" s="133" t="s">
        <v>40</v>
      </c>
      <c r="CQ155" s="134">
        <f>CP155*H155</f>
        <v>0</v>
      </c>
      <c r="CR155" s="134">
        <v>4.6999999999999999E-4</v>
      </c>
      <c r="CS155" s="134">
        <f>CR155*H155</f>
        <v>2.1056E-3</v>
      </c>
      <c r="CT155" s="134">
        <v>0</v>
      </c>
      <c r="CU155" s="135">
        <f>CT155*H155</f>
        <v>0</v>
      </c>
      <c r="DS155" s="136" t="s">
        <v>95</v>
      </c>
      <c r="DU155" s="136" t="s">
        <v>284</v>
      </c>
      <c r="DV155" s="136" t="s">
        <v>83</v>
      </c>
      <c r="DZ155" s="16" t="s">
        <v>282</v>
      </c>
      <c r="EF155" s="137">
        <f>IF(CO155="základní",J155,0)</f>
        <v>727.42</v>
      </c>
      <c r="EG155" s="137">
        <f>IF(CO155="snížená",J155,0)</f>
        <v>0</v>
      </c>
      <c r="EH155" s="137">
        <f>IF(CO155="zákl. přenesená",J155,0)</f>
        <v>0</v>
      </c>
      <c r="EI155" s="137">
        <f>IF(CO155="sníž. přenesená",J155,0)</f>
        <v>0</v>
      </c>
      <c r="EJ155" s="137">
        <f>IF(CO155="nulová",J155,0)</f>
        <v>0</v>
      </c>
      <c r="EK155" s="16" t="s">
        <v>81</v>
      </c>
      <c r="EL155" s="137">
        <f>ROUND(I155*H155,2)</f>
        <v>727.42</v>
      </c>
      <c r="EM155" s="16" t="s">
        <v>95</v>
      </c>
      <c r="EN155" s="136" t="s">
        <v>2061</v>
      </c>
    </row>
    <row r="156" spans="2:144" s="1" customFormat="1" ht="19.5" x14ac:dyDescent="0.2">
      <c r="B156" s="31"/>
      <c r="D156" s="138" t="s">
        <v>289</v>
      </c>
      <c r="F156" s="139" t="s">
        <v>1830</v>
      </c>
      <c r="I156" s="140"/>
      <c r="L156" s="31"/>
      <c r="N156" s="213"/>
      <c r="O156" s="214"/>
      <c r="Q156" s="229"/>
      <c r="CN156" s="141"/>
      <c r="CU156" s="50"/>
      <c r="DU156" s="16" t="s">
        <v>289</v>
      </c>
      <c r="DV156" s="16" t="s">
        <v>83</v>
      </c>
    </row>
    <row r="157" spans="2:144" s="1" customFormat="1" ht="19.5" x14ac:dyDescent="0.2">
      <c r="B157" s="31"/>
      <c r="D157" s="138" t="s">
        <v>299</v>
      </c>
      <c r="F157" s="142" t="s">
        <v>2051</v>
      </c>
      <c r="I157" s="140"/>
      <c r="L157" s="31"/>
      <c r="N157" s="213"/>
      <c r="O157" s="214"/>
      <c r="Q157" s="229"/>
      <c r="CN157" s="141"/>
      <c r="CU157" s="50"/>
      <c r="DU157" s="16" t="s">
        <v>299</v>
      </c>
      <c r="DV157" s="16" t="s">
        <v>83</v>
      </c>
    </row>
    <row r="158" spans="2:144" s="12" customFormat="1" x14ac:dyDescent="0.2">
      <c r="B158" s="149"/>
      <c r="D158" s="138" t="s">
        <v>301</v>
      </c>
      <c r="E158" s="150" t="s">
        <v>1</v>
      </c>
      <c r="F158" s="151" t="s">
        <v>2062</v>
      </c>
      <c r="H158" s="152">
        <v>4.4800000000000004</v>
      </c>
      <c r="I158" s="153"/>
      <c r="L158" s="149"/>
      <c r="N158" s="217"/>
      <c r="O158" s="218"/>
      <c r="Q158" s="231"/>
      <c r="CN158" s="154"/>
      <c r="CU158" s="155"/>
      <c r="DU158" s="150" t="s">
        <v>301</v>
      </c>
      <c r="DV158" s="150" t="s">
        <v>83</v>
      </c>
      <c r="DW158" s="12" t="s">
        <v>83</v>
      </c>
      <c r="DX158" s="12" t="s">
        <v>32</v>
      </c>
      <c r="DY158" s="12" t="s">
        <v>81</v>
      </c>
      <c r="DZ158" s="150" t="s">
        <v>282</v>
      </c>
    </row>
    <row r="159" spans="2:144" s="1" customFormat="1" ht="24.2" customHeight="1" x14ac:dyDescent="0.2">
      <c r="B159" s="124"/>
      <c r="C159" s="125" t="s">
        <v>348</v>
      </c>
      <c r="D159" s="125" t="s">
        <v>284</v>
      </c>
      <c r="E159" s="126" t="s">
        <v>1832</v>
      </c>
      <c r="F159" s="127" t="s">
        <v>1833</v>
      </c>
      <c r="G159" s="128" t="s">
        <v>344</v>
      </c>
      <c r="H159" s="129">
        <v>4.4800000000000004</v>
      </c>
      <c r="I159" s="130">
        <v>47.324340004731368</v>
      </c>
      <c r="J159" s="131">
        <f>ROUND(I159*H159,2)</f>
        <v>212.01</v>
      </c>
      <c r="K159" s="127" t="s">
        <v>293</v>
      </c>
      <c r="L159" s="268">
        <f>S159</f>
        <v>0</v>
      </c>
      <c r="M159" s="272">
        <f>ROUND(L159*I159,2)</f>
        <v>0</v>
      </c>
      <c r="N159" s="243"/>
      <c r="O159" s="294">
        <f>ROUND(N159*I159,2)</f>
        <v>0</v>
      </c>
      <c r="P159" s="273">
        <f>H159-L159-N159</f>
        <v>4.4800000000000004</v>
      </c>
      <c r="Q159" s="287">
        <f>ROUND(P159*I159,2)</f>
        <v>212.01</v>
      </c>
      <c r="R159" s="137"/>
      <c r="S159" s="269">
        <f>W159+Y159+AA159+AC159+AE159+AG159+AI159</f>
        <v>0</v>
      </c>
      <c r="T159" s="269">
        <f>ROUND(S159*I159,2)</f>
        <v>0</v>
      </c>
      <c r="U159" s="269">
        <f>H159-S159</f>
        <v>4.4800000000000004</v>
      </c>
      <c r="V159" s="269">
        <f>ROUND(U159*I159,2)</f>
        <v>212.01</v>
      </c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CN159" s="132" t="s">
        <v>1</v>
      </c>
      <c r="CO159" s="133" t="s">
        <v>40</v>
      </c>
      <c r="CQ159" s="134">
        <f>CP159*H159</f>
        <v>0</v>
      </c>
      <c r="CR159" s="134">
        <v>0</v>
      </c>
      <c r="CS159" s="134">
        <f>CR159*H159</f>
        <v>0</v>
      </c>
      <c r="CT159" s="134">
        <v>0</v>
      </c>
      <c r="CU159" s="135">
        <f>CT159*H159</f>
        <v>0</v>
      </c>
      <c r="DS159" s="136" t="s">
        <v>95</v>
      </c>
      <c r="DU159" s="136" t="s">
        <v>284</v>
      </c>
      <c r="DV159" s="136" t="s">
        <v>83</v>
      </c>
      <c r="DZ159" s="16" t="s">
        <v>282</v>
      </c>
      <c r="EF159" s="137">
        <f>IF(CO159="základní",J159,0)</f>
        <v>212.01</v>
      </c>
      <c r="EG159" s="137">
        <f>IF(CO159="snížená",J159,0)</f>
        <v>0</v>
      </c>
      <c r="EH159" s="137">
        <f>IF(CO159="zákl. přenesená",J159,0)</f>
        <v>0</v>
      </c>
      <c r="EI159" s="137">
        <f>IF(CO159="sníž. přenesená",J159,0)</f>
        <v>0</v>
      </c>
      <c r="EJ159" s="137">
        <f>IF(CO159="nulová",J159,0)</f>
        <v>0</v>
      </c>
      <c r="EK159" s="16" t="s">
        <v>81</v>
      </c>
      <c r="EL159" s="137">
        <f>ROUND(I159*H159,2)</f>
        <v>212.01</v>
      </c>
      <c r="EM159" s="16" t="s">
        <v>95</v>
      </c>
      <c r="EN159" s="136" t="s">
        <v>2063</v>
      </c>
    </row>
    <row r="160" spans="2:144" s="1" customFormat="1" ht="19.5" x14ac:dyDescent="0.2">
      <c r="B160" s="31"/>
      <c r="D160" s="138" t="s">
        <v>289</v>
      </c>
      <c r="F160" s="139" t="s">
        <v>1835</v>
      </c>
      <c r="I160" s="140"/>
      <c r="L160" s="31"/>
      <c r="N160" s="213"/>
      <c r="O160" s="214"/>
      <c r="Q160" s="229"/>
      <c r="CN160" s="141"/>
      <c r="CU160" s="50"/>
      <c r="DU160" s="16" t="s">
        <v>289</v>
      </c>
      <c r="DV160" s="16" t="s">
        <v>83</v>
      </c>
    </row>
    <row r="161" spans="2:144" s="1" customFormat="1" ht="24.2" customHeight="1" x14ac:dyDescent="0.2">
      <c r="B161" s="124"/>
      <c r="C161" s="125" t="s">
        <v>327</v>
      </c>
      <c r="D161" s="125" t="s">
        <v>284</v>
      </c>
      <c r="E161" s="126" t="s">
        <v>1836</v>
      </c>
      <c r="F161" s="127" t="s">
        <v>1837</v>
      </c>
      <c r="G161" s="128" t="s">
        <v>366</v>
      </c>
      <c r="H161" s="129">
        <v>35.545000000000002</v>
      </c>
      <c r="I161" s="130">
        <v>1176.19125848302</v>
      </c>
      <c r="J161" s="131">
        <f>ROUND(I161*H161,2)</f>
        <v>41807.72</v>
      </c>
      <c r="K161" s="127" t="s">
        <v>293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35.545000000000002</v>
      </c>
      <c r="Q161" s="287">
        <f>ROUND(P161*I161,2)</f>
        <v>41807.72</v>
      </c>
      <c r="R161" s="137"/>
      <c r="S161" s="269">
        <f>W161+Y161+AA161+AC161+AE161+AG161+AI161</f>
        <v>0</v>
      </c>
      <c r="T161" s="269">
        <f>ROUND(S161*I161,2)</f>
        <v>0</v>
      </c>
      <c r="U161" s="269">
        <f>H161-S161</f>
        <v>35.545000000000002</v>
      </c>
      <c r="V161" s="269">
        <f>ROUND(U161*I161,2)</f>
        <v>41807.72</v>
      </c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CN161" s="132" t="s">
        <v>1</v>
      </c>
      <c r="CO161" s="133" t="s">
        <v>40</v>
      </c>
      <c r="CQ161" s="134">
        <f>CP161*H161</f>
        <v>0</v>
      </c>
      <c r="CR161" s="134">
        <v>0</v>
      </c>
      <c r="CS161" s="134">
        <f>CR161*H161</f>
        <v>0</v>
      </c>
      <c r="CT161" s="134">
        <v>0</v>
      </c>
      <c r="CU161" s="135">
        <f>CT161*H161</f>
        <v>0</v>
      </c>
      <c r="DS161" s="136" t="s">
        <v>95</v>
      </c>
      <c r="DU161" s="136" t="s">
        <v>284</v>
      </c>
      <c r="DV161" s="136" t="s">
        <v>83</v>
      </c>
      <c r="DZ161" s="16" t="s">
        <v>282</v>
      </c>
      <c r="EF161" s="137">
        <f>IF(CO161="základní",J161,0)</f>
        <v>41807.72</v>
      </c>
      <c r="EG161" s="137">
        <f>IF(CO161="snížená",J161,0)</f>
        <v>0</v>
      </c>
      <c r="EH161" s="137">
        <f>IF(CO161="zákl. přenesená",J161,0)</f>
        <v>0</v>
      </c>
      <c r="EI161" s="137">
        <f>IF(CO161="sníž. přenesená",J161,0)</f>
        <v>0</v>
      </c>
      <c r="EJ161" s="137">
        <f>IF(CO161="nulová",J161,0)</f>
        <v>0</v>
      </c>
      <c r="EK161" s="16" t="s">
        <v>81</v>
      </c>
      <c r="EL161" s="137">
        <f>ROUND(I161*H161,2)</f>
        <v>41807.72</v>
      </c>
      <c r="EM161" s="16" t="s">
        <v>95</v>
      </c>
      <c r="EN161" s="136" t="s">
        <v>2064</v>
      </c>
    </row>
    <row r="162" spans="2:144" s="1" customFormat="1" ht="29.25" x14ac:dyDescent="0.2">
      <c r="B162" s="31"/>
      <c r="D162" s="138" t="s">
        <v>289</v>
      </c>
      <c r="F162" s="139" t="s">
        <v>1839</v>
      </c>
      <c r="I162" s="140"/>
      <c r="L162" s="31"/>
      <c r="N162" s="213"/>
      <c r="O162" s="214"/>
      <c r="Q162" s="229"/>
      <c r="CN162" s="141"/>
      <c r="CU162" s="50"/>
      <c r="DU162" s="16" t="s">
        <v>289</v>
      </c>
      <c r="DV162" s="16" t="s">
        <v>83</v>
      </c>
    </row>
    <row r="163" spans="2:144" s="1" customFormat="1" ht="29.25" x14ac:dyDescent="0.2">
      <c r="B163" s="31"/>
      <c r="D163" s="138" t="s">
        <v>299</v>
      </c>
      <c r="F163" s="142" t="s">
        <v>2065</v>
      </c>
      <c r="I163" s="140"/>
      <c r="L163" s="31"/>
      <c r="N163" s="213"/>
      <c r="O163" s="214"/>
      <c r="Q163" s="229"/>
      <c r="CN163" s="141"/>
      <c r="CU163" s="50"/>
      <c r="DU163" s="16" t="s">
        <v>299</v>
      </c>
      <c r="DV163" s="16" t="s">
        <v>83</v>
      </c>
    </row>
    <row r="164" spans="2:144" s="11" customFormat="1" ht="22.5" x14ac:dyDescent="0.2">
      <c r="B164" s="143"/>
      <c r="D164" s="138" t="s">
        <v>301</v>
      </c>
      <c r="E164" s="144" t="s">
        <v>1</v>
      </c>
      <c r="F164" s="145" t="s">
        <v>370</v>
      </c>
      <c r="H164" s="144" t="s">
        <v>1</v>
      </c>
      <c r="I164" s="146"/>
      <c r="L164" s="143"/>
      <c r="N164" s="215"/>
      <c r="O164" s="216"/>
      <c r="Q164" s="230"/>
      <c r="CN164" s="147"/>
      <c r="CU164" s="148"/>
      <c r="DU164" s="144" t="s">
        <v>301</v>
      </c>
      <c r="DV164" s="144" t="s">
        <v>83</v>
      </c>
      <c r="DW164" s="11" t="s">
        <v>81</v>
      </c>
      <c r="DX164" s="11" t="s">
        <v>32</v>
      </c>
      <c r="DY164" s="11" t="s">
        <v>74</v>
      </c>
      <c r="DZ164" s="144" t="s">
        <v>282</v>
      </c>
    </row>
    <row r="165" spans="2:144" s="12" customFormat="1" x14ac:dyDescent="0.2">
      <c r="B165" s="149"/>
      <c r="D165" s="138" t="s">
        <v>301</v>
      </c>
      <c r="E165" s="150" t="s">
        <v>1</v>
      </c>
      <c r="F165" s="151" t="s">
        <v>2066</v>
      </c>
      <c r="H165" s="152">
        <v>71.088999999999999</v>
      </c>
      <c r="I165" s="153"/>
      <c r="L165" s="149"/>
      <c r="N165" s="217"/>
      <c r="O165" s="218"/>
      <c r="Q165" s="231"/>
      <c r="CN165" s="154"/>
      <c r="CU165" s="155"/>
      <c r="DU165" s="150" t="s">
        <v>301</v>
      </c>
      <c r="DV165" s="150" t="s">
        <v>83</v>
      </c>
      <c r="DW165" s="12" t="s">
        <v>83</v>
      </c>
      <c r="DX165" s="12" t="s">
        <v>32</v>
      </c>
      <c r="DY165" s="12" t="s">
        <v>74</v>
      </c>
      <c r="DZ165" s="150" t="s">
        <v>282</v>
      </c>
    </row>
    <row r="166" spans="2:144" s="14" customFormat="1" x14ac:dyDescent="0.2">
      <c r="B166" s="163"/>
      <c r="D166" s="138" t="s">
        <v>301</v>
      </c>
      <c r="E166" s="164" t="s">
        <v>1</v>
      </c>
      <c r="F166" s="165" t="s">
        <v>373</v>
      </c>
      <c r="H166" s="166">
        <v>71.088999999999999</v>
      </c>
      <c r="I166" s="167"/>
      <c r="L166" s="163"/>
      <c r="N166" s="221"/>
      <c r="O166" s="222"/>
      <c r="Q166" s="233"/>
      <c r="CN166" s="168"/>
      <c r="CU166" s="169"/>
      <c r="DU166" s="164" t="s">
        <v>301</v>
      </c>
      <c r="DV166" s="164" t="s">
        <v>83</v>
      </c>
      <c r="DW166" s="14" t="s">
        <v>90</v>
      </c>
      <c r="DX166" s="14" t="s">
        <v>32</v>
      </c>
      <c r="DY166" s="14" t="s">
        <v>74</v>
      </c>
      <c r="DZ166" s="164" t="s">
        <v>282</v>
      </c>
    </row>
    <row r="167" spans="2:144" s="12" customFormat="1" x14ac:dyDescent="0.2">
      <c r="B167" s="149"/>
      <c r="D167" s="138" t="s">
        <v>301</v>
      </c>
      <c r="E167" s="150" t="s">
        <v>1</v>
      </c>
      <c r="F167" s="151" t="s">
        <v>2067</v>
      </c>
      <c r="H167" s="152">
        <v>35.545000000000002</v>
      </c>
      <c r="I167" s="153"/>
      <c r="L167" s="149"/>
      <c r="N167" s="217"/>
      <c r="O167" s="218"/>
      <c r="Q167" s="231"/>
      <c r="CN167" s="154"/>
      <c r="CU167" s="155"/>
      <c r="DU167" s="150" t="s">
        <v>301</v>
      </c>
      <c r="DV167" s="150" t="s">
        <v>83</v>
      </c>
      <c r="DW167" s="12" t="s">
        <v>83</v>
      </c>
      <c r="DX167" s="12" t="s">
        <v>32</v>
      </c>
      <c r="DY167" s="12" t="s">
        <v>81</v>
      </c>
      <c r="DZ167" s="150" t="s">
        <v>282</v>
      </c>
    </row>
    <row r="168" spans="2:144" s="1" customFormat="1" ht="24.2" customHeight="1" x14ac:dyDescent="0.2">
      <c r="B168" s="124"/>
      <c r="C168" s="125" t="s">
        <v>359</v>
      </c>
      <c r="D168" s="125" t="s">
        <v>284</v>
      </c>
      <c r="E168" s="126" t="s">
        <v>1843</v>
      </c>
      <c r="F168" s="127" t="s">
        <v>1844</v>
      </c>
      <c r="G168" s="128" t="s">
        <v>366</v>
      </c>
      <c r="H168" s="129">
        <v>35.545000000000002</v>
      </c>
      <c r="I168" s="130">
        <v>1412.9317984290899</v>
      </c>
      <c r="J168" s="131">
        <f>ROUND(I168*H168,2)</f>
        <v>50222.66</v>
      </c>
      <c r="K168" s="127" t="s">
        <v>293</v>
      </c>
      <c r="L168" s="268">
        <f>S168</f>
        <v>0</v>
      </c>
      <c r="M168" s="272">
        <f>ROUND(L168*I168,2)</f>
        <v>0</v>
      </c>
      <c r="N168" s="243"/>
      <c r="O168" s="294">
        <f>ROUND(N168*I168,2)</f>
        <v>0</v>
      </c>
      <c r="P168" s="273">
        <f>H168-L168-N168</f>
        <v>35.545000000000002</v>
      </c>
      <c r="Q168" s="287">
        <f>ROUND(P168*I168,2)</f>
        <v>50222.66</v>
      </c>
      <c r="R168" s="137"/>
      <c r="S168" s="269">
        <f>W168+Y168+AA168+AC168+AE168+AG168+AI168</f>
        <v>0</v>
      </c>
      <c r="T168" s="269">
        <f>ROUND(S168*I168,2)</f>
        <v>0</v>
      </c>
      <c r="U168" s="269">
        <f>H168-S168</f>
        <v>35.545000000000002</v>
      </c>
      <c r="V168" s="269">
        <f>ROUND(U168*I168,2)</f>
        <v>50222.66</v>
      </c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CN168" s="132" t="s">
        <v>1</v>
      </c>
      <c r="CO168" s="133" t="s">
        <v>40</v>
      </c>
      <c r="CQ168" s="134">
        <f>CP168*H168</f>
        <v>0</v>
      </c>
      <c r="CR168" s="134">
        <v>0</v>
      </c>
      <c r="CS168" s="134">
        <f>CR168*H168</f>
        <v>0</v>
      </c>
      <c r="CT168" s="134">
        <v>0</v>
      </c>
      <c r="CU168" s="135">
        <f>CT168*H168</f>
        <v>0</v>
      </c>
      <c r="DS168" s="136" t="s">
        <v>95</v>
      </c>
      <c r="DU168" s="136" t="s">
        <v>284</v>
      </c>
      <c r="DV168" s="136" t="s">
        <v>83</v>
      </c>
      <c r="DZ168" s="16" t="s">
        <v>282</v>
      </c>
      <c r="EF168" s="137">
        <f>IF(CO168="základní",J168,0)</f>
        <v>50222.66</v>
      </c>
      <c r="EG168" s="137">
        <f>IF(CO168="snížená",J168,0)</f>
        <v>0</v>
      </c>
      <c r="EH168" s="137">
        <f>IF(CO168="zákl. přenesená",J168,0)</f>
        <v>0</v>
      </c>
      <c r="EI168" s="137">
        <f>IF(CO168="sníž. přenesená",J168,0)</f>
        <v>0</v>
      </c>
      <c r="EJ168" s="137">
        <f>IF(CO168="nulová",J168,0)</f>
        <v>0</v>
      </c>
      <c r="EK168" s="16" t="s">
        <v>81</v>
      </c>
      <c r="EL168" s="137">
        <f>ROUND(I168*H168,2)</f>
        <v>50222.66</v>
      </c>
      <c r="EM168" s="16" t="s">
        <v>95</v>
      </c>
      <c r="EN168" s="136" t="s">
        <v>2068</v>
      </c>
    </row>
    <row r="169" spans="2:144" s="1" customFormat="1" ht="29.25" x14ac:dyDescent="0.2">
      <c r="B169" s="31"/>
      <c r="D169" s="138" t="s">
        <v>289</v>
      </c>
      <c r="F169" s="139" t="s">
        <v>1846</v>
      </c>
      <c r="I169" s="140"/>
      <c r="L169" s="31"/>
      <c r="N169" s="213"/>
      <c r="O169" s="214"/>
      <c r="Q169" s="229"/>
      <c r="CN169" s="141"/>
      <c r="CU169" s="50"/>
      <c r="DU169" s="16" t="s">
        <v>289</v>
      </c>
      <c r="DV169" s="16" t="s">
        <v>83</v>
      </c>
    </row>
    <row r="170" spans="2:144" s="1" customFormat="1" ht="29.25" x14ac:dyDescent="0.2">
      <c r="B170" s="31"/>
      <c r="D170" s="138" t="s">
        <v>299</v>
      </c>
      <c r="F170" s="142" t="s">
        <v>2065</v>
      </c>
      <c r="I170" s="140"/>
      <c r="L170" s="31"/>
      <c r="N170" s="213"/>
      <c r="O170" s="214"/>
      <c r="Q170" s="229"/>
      <c r="CN170" s="141"/>
      <c r="CU170" s="50"/>
      <c r="DU170" s="16" t="s">
        <v>299</v>
      </c>
      <c r="DV170" s="16" t="s">
        <v>83</v>
      </c>
    </row>
    <row r="171" spans="2:144" s="1" customFormat="1" ht="14.45" customHeight="1" x14ac:dyDescent="0.2">
      <c r="B171" s="124"/>
      <c r="C171" s="125" t="s">
        <v>363</v>
      </c>
      <c r="D171" s="125" t="s">
        <v>284</v>
      </c>
      <c r="E171" s="126" t="s">
        <v>1848</v>
      </c>
      <c r="F171" s="127" t="s">
        <v>1849</v>
      </c>
      <c r="G171" s="128" t="s">
        <v>287</v>
      </c>
      <c r="H171" s="129">
        <v>75.263999999999996</v>
      </c>
      <c r="I171" s="130">
        <v>1000.41610079359</v>
      </c>
      <c r="J171" s="131">
        <f>ROUND(I171*H171,2)</f>
        <v>75295.320000000007</v>
      </c>
      <c r="K171" s="127" t="s">
        <v>293</v>
      </c>
      <c r="L171" s="268">
        <f>S171</f>
        <v>0</v>
      </c>
      <c r="M171" s="272">
        <f>ROUND(L171*I171,2)</f>
        <v>0</v>
      </c>
      <c r="N171" s="243"/>
      <c r="O171" s="294">
        <f>ROUND(N171*I171,2)</f>
        <v>0</v>
      </c>
      <c r="P171" s="273">
        <f>H171-L171-N171</f>
        <v>75.263999999999996</v>
      </c>
      <c r="Q171" s="287">
        <f>ROUND(P171*I171,2)</f>
        <v>75295.320000000007</v>
      </c>
      <c r="R171" s="137"/>
      <c r="S171" s="269">
        <f>W171+Y171+AA171+AC171+AE171+AG171+AI171</f>
        <v>0</v>
      </c>
      <c r="T171" s="269">
        <f>ROUND(S171*I171,2)</f>
        <v>0</v>
      </c>
      <c r="U171" s="269">
        <f>H171-S171</f>
        <v>75.263999999999996</v>
      </c>
      <c r="V171" s="269">
        <f>ROUND(U171*I171,2)</f>
        <v>75295.320000000007</v>
      </c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CN171" s="132" t="s">
        <v>1</v>
      </c>
      <c r="CO171" s="133" t="s">
        <v>40</v>
      </c>
      <c r="CQ171" s="134">
        <f>CP171*H171</f>
        <v>0</v>
      </c>
      <c r="CR171" s="134">
        <v>4.4400000000000004E-3</v>
      </c>
      <c r="CS171" s="134">
        <f>CR171*H171</f>
        <v>0.33417216</v>
      </c>
      <c r="CT171" s="134">
        <v>0</v>
      </c>
      <c r="CU171" s="135">
        <f>CT171*H171</f>
        <v>0</v>
      </c>
      <c r="DS171" s="136" t="s">
        <v>95</v>
      </c>
      <c r="DU171" s="136" t="s">
        <v>284</v>
      </c>
      <c r="DV171" s="136" t="s">
        <v>83</v>
      </c>
      <c r="DZ171" s="16" t="s">
        <v>282</v>
      </c>
      <c r="EF171" s="137">
        <f>IF(CO171="základní",J171,0)</f>
        <v>75295.320000000007</v>
      </c>
      <c r="EG171" s="137">
        <f>IF(CO171="snížená",J171,0)</f>
        <v>0</v>
      </c>
      <c r="EH171" s="137">
        <f>IF(CO171="zákl. přenesená",J171,0)</f>
        <v>0</v>
      </c>
      <c r="EI171" s="137">
        <f>IF(CO171="sníž. přenesená",J171,0)</f>
        <v>0</v>
      </c>
      <c r="EJ171" s="137">
        <f>IF(CO171="nulová",J171,0)</f>
        <v>0</v>
      </c>
      <c r="EK171" s="16" t="s">
        <v>81</v>
      </c>
      <c r="EL171" s="137">
        <f>ROUND(I171*H171,2)</f>
        <v>75295.320000000007</v>
      </c>
      <c r="EM171" s="16" t="s">
        <v>95</v>
      </c>
      <c r="EN171" s="136" t="s">
        <v>2069</v>
      </c>
    </row>
    <row r="172" spans="2:144" s="1" customFormat="1" ht="19.5" x14ac:dyDescent="0.2">
      <c r="B172" s="31"/>
      <c r="D172" s="138" t="s">
        <v>289</v>
      </c>
      <c r="F172" s="139" t="s">
        <v>1851</v>
      </c>
      <c r="I172" s="140"/>
      <c r="L172" s="31"/>
      <c r="N172" s="213"/>
      <c r="O172" s="214"/>
      <c r="Q172" s="229"/>
      <c r="CN172" s="141"/>
      <c r="CU172" s="50"/>
      <c r="DU172" s="16" t="s">
        <v>289</v>
      </c>
      <c r="DV172" s="16" t="s">
        <v>83</v>
      </c>
    </row>
    <row r="173" spans="2:144" s="1" customFormat="1" ht="19.5" x14ac:dyDescent="0.2">
      <c r="B173" s="31"/>
      <c r="D173" s="138" t="s">
        <v>299</v>
      </c>
      <c r="F173" s="142" t="s">
        <v>2051</v>
      </c>
      <c r="I173" s="140"/>
      <c r="L173" s="31"/>
      <c r="N173" s="213"/>
      <c r="O173" s="214"/>
      <c r="Q173" s="229"/>
      <c r="CN173" s="141"/>
      <c r="CU173" s="50"/>
      <c r="DU173" s="16" t="s">
        <v>299</v>
      </c>
      <c r="DV173" s="16" t="s">
        <v>83</v>
      </c>
    </row>
    <row r="174" spans="2:144" s="12" customFormat="1" x14ac:dyDescent="0.2">
      <c r="B174" s="149"/>
      <c r="D174" s="138" t="s">
        <v>301</v>
      </c>
      <c r="E174" s="150" t="s">
        <v>1</v>
      </c>
      <c r="F174" s="151" t="s">
        <v>2070</v>
      </c>
      <c r="H174" s="152">
        <v>75.263999999999996</v>
      </c>
      <c r="I174" s="153"/>
      <c r="L174" s="149"/>
      <c r="N174" s="217"/>
      <c r="O174" s="218"/>
      <c r="Q174" s="231"/>
      <c r="CN174" s="154"/>
      <c r="CU174" s="155"/>
      <c r="DU174" s="150" t="s">
        <v>301</v>
      </c>
      <c r="DV174" s="150" t="s">
        <v>83</v>
      </c>
      <c r="DW174" s="12" t="s">
        <v>83</v>
      </c>
      <c r="DX174" s="12" t="s">
        <v>32</v>
      </c>
      <c r="DY174" s="12" t="s">
        <v>81</v>
      </c>
      <c r="DZ174" s="150" t="s">
        <v>282</v>
      </c>
    </row>
    <row r="175" spans="2:144" s="1" customFormat="1" ht="14.45" customHeight="1" x14ac:dyDescent="0.2">
      <c r="B175" s="124"/>
      <c r="C175" s="125" t="s">
        <v>8</v>
      </c>
      <c r="D175" s="125" t="s">
        <v>284</v>
      </c>
      <c r="E175" s="126" t="s">
        <v>1853</v>
      </c>
      <c r="F175" s="127" t="s">
        <v>1854</v>
      </c>
      <c r="G175" s="128" t="s">
        <v>287</v>
      </c>
      <c r="H175" s="129">
        <v>75.263999999999996</v>
      </c>
      <c r="I175" s="130">
        <v>176.46630360754</v>
      </c>
      <c r="J175" s="131">
        <f>ROUND(I175*H175,2)</f>
        <v>13281.56</v>
      </c>
      <c r="K175" s="127" t="s">
        <v>293</v>
      </c>
      <c r="L175" s="268">
        <f>S175</f>
        <v>0</v>
      </c>
      <c r="M175" s="272">
        <f>ROUND(L175*I175,2)</f>
        <v>0</v>
      </c>
      <c r="N175" s="243"/>
      <c r="O175" s="294">
        <f>ROUND(N175*I175,2)</f>
        <v>0</v>
      </c>
      <c r="P175" s="273">
        <f>H175-L175-N175</f>
        <v>75.263999999999996</v>
      </c>
      <c r="Q175" s="287">
        <f>ROUND(P175*I175,2)</f>
        <v>13281.56</v>
      </c>
      <c r="R175" s="137"/>
      <c r="S175" s="269">
        <f>W175+Y175+AA175+AC175+AE175+AG175+AI175</f>
        <v>0</v>
      </c>
      <c r="T175" s="269">
        <f>ROUND(S175*I175,2)</f>
        <v>0</v>
      </c>
      <c r="U175" s="269">
        <f>H175-S175</f>
        <v>75.263999999999996</v>
      </c>
      <c r="V175" s="269">
        <f>ROUND(U175*I175,2)</f>
        <v>13281.56</v>
      </c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CN175" s="132" t="s">
        <v>1</v>
      </c>
      <c r="CO175" s="133" t="s">
        <v>40</v>
      </c>
      <c r="CQ175" s="134">
        <f>CP175*H175</f>
        <v>0</v>
      </c>
      <c r="CR175" s="134">
        <v>0</v>
      </c>
      <c r="CS175" s="134">
        <f>CR175*H175</f>
        <v>0</v>
      </c>
      <c r="CT175" s="134">
        <v>0</v>
      </c>
      <c r="CU175" s="135">
        <f>CT175*H175</f>
        <v>0</v>
      </c>
      <c r="DS175" s="136" t="s">
        <v>95</v>
      </c>
      <c r="DU175" s="136" t="s">
        <v>284</v>
      </c>
      <c r="DV175" s="136" t="s">
        <v>83</v>
      </c>
      <c r="DZ175" s="16" t="s">
        <v>282</v>
      </c>
      <c r="EF175" s="137">
        <f>IF(CO175="základní",J175,0)</f>
        <v>13281.56</v>
      </c>
      <c r="EG175" s="137">
        <f>IF(CO175="snížená",J175,0)</f>
        <v>0</v>
      </c>
      <c r="EH175" s="137">
        <f>IF(CO175="zákl. přenesená",J175,0)</f>
        <v>0</v>
      </c>
      <c r="EI175" s="137">
        <f>IF(CO175="sníž. přenesená",J175,0)</f>
        <v>0</v>
      </c>
      <c r="EJ175" s="137">
        <f>IF(CO175="nulová",J175,0)</f>
        <v>0</v>
      </c>
      <c r="EK175" s="16" t="s">
        <v>81</v>
      </c>
      <c r="EL175" s="137">
        <f>ROUND(I175*H175,2)</f>
        <v>13281.56</v>
      </c>
      <c r="EM175" s="16" t="s">
        <v>95</v>
      </c>
      <c r="EN175" s="136" t="s">
        <v>2071</v>
      </c>
    </row>
    <row r="176" spans="2:144" s="1" customFormat="1" ht="29.25" x14ac:dyDescent="0.2">
      <c r="B176" s="31"/>
      <c r="D176" s="138" t="s">
        <v>289</v>
      </c>
      <c r="F176" s="139" t="s">
        <v>1856</v>
      </c>
      <c r="I176" s="140"/>
      <c r="L176" s="31"/>
      <c r="N176" s="213"/>
      <c r="O176" s="214"/>
      <c r="Q176" s="229"/>
      <c r="CN176" s="141"/>
      <c r="CU176" s="50"/>
      <c r="DU176" s="16" t="s">
        <v>289</v>
      </c>
      <c r="DV176" s="16" t="s">
        <v>83</v>
      </c>
    </row>
    <row r="177" spans="2:144" s="1" customFormat="1" ht="19.5" x14ac:dyDescent="0.2">
      <c r="B177" s="31"/>
      <c r="D177" s="138" t="s">
        <v>299</v>
      </c>
      <c r="F177" s="142" t="s">
        <v>317</v>
      </c>
      <c r="I177" s="140"/>
      <c r="L177" s="31"/>
      <c r="N177" s="213"/>
      <c r="O177" s="214"/>
      <c r="Q177" s="229"/>
      <c r="CN177" s="141"/>
      <c r="CU177" s="50"/>
      <c r="DU177" s="16" t="s">
        <v>299</v>
      </c>
      <c r="DV177" s="16" t="s">
        <v>83</v>
      </c>
    </row>
    <row r="178" spans="2:144" s="1" customFormat="1" ht="37.9" customHeight="1" x14ac:dyDescent="0.2">
      <c r="B178" s="124"/>
      <c r="C178" s="125" t="s">
        <v>379</v>
      </c>
      <c r="D178" s="125" t="s">
        <v>284</v>
      </c>
      <c r="E178" s="126" t="s">
        <v>398</v>
      </c>
      <c r="F178" s="127" t="s">
        <v>399</v>
      </c>
      <c r="G178" s="128" t="s">
        <v>366</v>
      </c>
      <c r="H178" s="129">
        <v>71.09</v>
      </c>
      <c r="I178" s="130">
        <v>282.06861194786097</v>
      </c>
      <c r="J178" s="131">
        <f>ROUND(I178*H178,2)</f>
        <v>20052.259999999998</v>
      </c>
      <c r="K178" s="127" t="s">
        <v>293</v>
      </c>
      <c r="L178" s="268">
        <f>S178</f>
        <v>0</v>
      </c>
      <c r="M178" s="272">
        <f>ROUND(L178*I178,2)</f>
        <v>0</v>
      </c>
      <c r="N178" s="243"/>
      <c r="O178" s="294">
        <f>ROUND(N178*I178,2)</f>
        <v>0</v>
      </c>
      <c r="P178" s="273">
        <f>H178-L178-N178</f>
        <v>71.09</v>
      </c>
      <c r="Q178" s="287">
        <f>ROUND(P178*I178,2)</f>
        <v>20052.259999999998</v>
      </c>
      <c r="R178" s="137"/>
      <c r="S178" s="269">
        <f>W178+Y178+AA178+AC178+AE178+AG178+AI178</f>
        <v>0</v>
      </c>
      <c r="T178" s="269">
        <f>ROUND(S178*I178,2)</f>
        <v>0</v>
      </c>
      <c r="U178" s="269">
        <f>H178-S178</f>
        <v>71.09</v>
      </c>
      <c r="V178" s="269">
        <f>ROUND(U178*I178,2)</f>
        <v>20052.259999999998</v>
      </c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CN178" s="132" t="s">
        <v>1</v>
      </c>
      <c r="CO178" s="133" t="s">
        <v>40</v>
      </c>
      <c r="CQ178" s="134">
        <f>CP178*H178</f>
        <v>0</v>
      </c>
      <c r="CR178" s="134">
        <v>0</v>
      </c>
      <c r="CS178" s="134">
        <f>CR178*H178</f>
        <v>0</v>
      </c>
      <c r="CT178" s="134">
        <v>0</v>
      </c>
      <c r="CU178" s="135">
        <f>CT178*H178</f>
        <v>0</v>
      </c>
      <c r="DS178" s="136" t="s">
        <v>95</v>
      </c>
      <c r="DU178" s="136" t="s">
        <v>284</v>
      </c>
      <c r="DV178" s="136" t="s">
        <v>83</v>
      </c>
      <c r="DZ178" s="16" t="s">
        <v>282</v>
      </c>
      <c r="EF178" s="137">
        <f>IF(CO178="základní",J178,0)</f>
        <v>20052.259999999998</v>
      </c>
      <c r="EG178" s="137">
        <f>IF(CO178="snížená",J178,0)</f>
        <v>0</v>
      </c>
      <c r="EH178" s="137">
        <f>IF(CO178="zákl. přenesená",J178,0)</f>
        <v>0</v>
      </c>
      <c r="EI178" s="137">
        <f>IF(CO178="sníž. přenesená",J178,0)</f>
        <v>0</v>
      </c>
      <c r="EJ178" s="137">
        <f>IF(CO178="nulová",J178,0)</f>
        <v>0</v>
      </c>
      <c r="EK178" s="16" t="s">
        <v>81</v>
      </c>
      <c r="EL178" s="137">
        <f>ROUND(I178*H178,2)</f>
        <v>20052.259999999998</v>
      </c>
      <c r="EM178" s="16" t="s">
        <v>95</v>
      </c>
      <c r="EN178" s="136" t="s">
        <v>2072</v>
      </c>
    </row>
    <row r="179" spans="2:144" s="1" customFormat="1" ht="39" x14ac:dyDescent="0.2">
      <c r="B179" s="31"/>
      <c r="D179" s="138" t="s">
        <v>289</v>
      </c>
      <c r="F179" s="139" t="s">
        <v>401</v>
      </c>
      <c r="I179" s="140"/>
      <c r="L179" s="31"/>
      <c r="N179" s="213"/>
      <c r="O179" s="214"/>
      <c r="Q179" s="229"/>
      <c r="CN179" s="141"/>
      <c r="CU179" s="50"/>
      <c r="DU179" s="16" t="s">
        <v>289</v>
      </c>
      <c r="DV179" s="16" t="s">
        <v>83</v>
      </c>
    </row>
    <row r="180" spans="2:144" s="11" customFormat="1" x14ac:dyDescent="0.2">
      <c r="B180" s="143"/>
      <c r="D180" s="138" t="s">
        <v>301</v>
      </c>
      <c r="E180" s="144" t="s">
        <v>1</v>
      </c>
      <c r="F180" s="145" t="s">
        <v>1858</v>
      </c>
      <c r="H180" s="144" t="s">
        <v>1</v>
      </c>
      <c r="I180" s="146"/>
      <c r="L180" s="143"/>
      <c r="N180" s="215"/>
      <c r="O180" s="216"/>
      <c r="Q180" s="230"/>
      <c r="CN180" s="147"/>
      <c r="CU180" s="148"/>
      <c r="DU180" s="144" t="s">
        <v>301</v>
      </c>
      <c r="DV180" s="144" t="s">
        <v>83</v>
      </c>
      <c r="DW180" s="11" t="s">
        <v>81</v>
      </c>
      <c r="DX180" s="11" t="s">
        <v>32</v>
      </c>
      <c r="DY180" s="11" t="s">
        <v>74</v>
      </c>
      <c r="DZ180" s="144" t="s">
        <v>282</v>
      </c>
    </row>
    <row r="181" spans="2:144" s="12" customFormat="1" x14ac:dyDescent="0.2">
      <c r="B181" s="149"/>
      <c r="D181" s="138" t="s">
        <v>301</v>
      </c>
      <c r="E181" s="150" t="s">
        <v>1</v>
      </c>
      <c r="F181" s="151" t="s">
        <v>2073</v>
      </c>
      <c r="H181" s="152">
        <v>71.09</v>
      </c>
      <c r="I181" s="153"/>
      <c r="L181" s="149"/>
      <c r="N181" s="217"/>
      <c r="O181" s="218"/>
      <c r="Q181" s="231"/>
      <c r="CN181" s="154"/>
      <c r="CU181" s="155"/>
      <c r="DU181" s="150" t="s">
        <v>301</v>
      </c>
      <c r="DV181" s="150" t="s">
        <v>83</v>
      </c>
      <c r="DW181" s="12" t="s">
        <v>83</v>
      </c>
      <c r="DX181" s="12" t="s">
        <v>32</v>
      </c>
      <c r="DY181" s="12" t="s">
        <v>81</v>
      </c>
      <c r="DZ181" s="150" t="s">
        <v>282</v>
      </c>
    </row>
    <row r="182" spans="2:144" s="1" customFormat="1" ht="37.9" customHeight="1" x14ac:dyDescent="0.2">
      <c r="B182" s="124"/>
      <c r="C182" s="125" t="s">
        <v>386</v>
      </c>
      <c r="D182" s="125" t="s">
        <v>284</v>
      </c>
      <c r="E182" s="126" t="s">
        <v>405</v>
      </c>
      <c r="F182" s="127" t="s">
        <v>406</v>
      </c>
      <c r="G182" s="128" t="s">
        <v>366</v>
      </c>
      <c r="H182" s="129">
        <v>355.45</v>
      </c>
      <c r="I182" s="130">
        <v>3.4208109177592001</v>
      </c>
      <c r="J182" s="131">
        <f>ROUND(I182*H182,2)</f>
        <v>1215.93</v>
      </c>
      <c r="K182" s="127" t="s">
        <v>293</v>
      </c>
      <c r="L182" s="268">
        <f>S182</f>
        <v>0</v>
      </c>
      <c r="M182" s="272">
        <f>ROUND(L182*I182,2)</f>
        <v>0</v>
      </c>
      <c r="N182" s="243"/>
      <c r="O182" s="294">
        <f>ROUND(N182*I182,2)</f>
        <v>0</v>
      </c>
      <c r="P182" s="273">
        <f>H182-L182-N182</f>
        <v>355.45</v>
      </c>
      <c r="Q182" s="287">
        <f>ROUND(P182*I182,2)</f>
        <v>1215.93</v>
      </c>
      <c r="R182" s="137"/>
      <c r="S182" s="269">
        <f>W182+Y182+AA182+AC182+AE182+AG182+AI182</f>
        <v>0</v>
      </c>
      <c r="T182" s="269">
        <f>ROUND(S182*I182,2)</f>
        <v>0</v>
      </c>
      <c r="U182" s="269">
        <f>H182-S182</f>
        <v>355.45</v>
      </c>
      <c r="V182" s="269">
        <f>ROUND(U182*I182,2)</f>
        <v>1215.93</v>
      </c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CN182" s="132" t="s">
        <v>1</v>
      </c>
      <c r="CO182" s="133" t="s">
        <v>40</v>
      </c>
      <c r="CQ182" s="134">
        <f>CP182*H182</f>
        <v>0</v>
      </c>
      <c r="CR182" s="134">
        <v>0</v>
      </c>
      <c r="CS182" s="134">
        <f>CR182*H182</f>
        <v>0</v>
      </c>
      <c r="CT182" s="134">
        <v>0</v>
      </c>
      <c r="CU182" s="135">
        <f>CT182*H182</f>
        <v>0</v>
      </c>
      <c r="DS182" s="136" t="s">
        <v>95</v>
      </c>
      <c r="DU182" s="136" t="s">
        <v>284</v>
      </c>
      <c r="DV182" s="136" t="s">
        <v>83</v>
      </c>
      <c r="DZ182" s="16" t="s">
        <v>282</v>
      </c>
      <c r="EF182" s="137">
        <f>IF(CO182="základní",J182,0)</f>
        <v>1215.93</v>
      </c>
      <c r="EG182" s="137">
        <f>IF(CO182="snížená",J182,0)</f>
        <v>0</v>
      </c>
      <c r="EH182" s="137">
        <f>IF(CO182="zákl. přenesená",J182,0)</f>
        <v>0</v>
      </c>
      <c r="EI182" s="137">
        <f>IF(CO182="sníž. přenesená",J182,0)</f>
        <v>0</v>
      </c>
      <c r="EJ182" s="137">
        <f>IF(CO182="nulová",J182,0)</f>
        <v>0</v>
      </c>
      <c r="EK182" s="16" t="s">
        <v>81</v>
      </c>
      <c r="EL182" s="137">
        <f>ROUND(I182*H182,2)</f>
        <v>1215.93</v>
      </c>
      <c r="EM182" s="16" t="s">
        <v>95</v>
      </c>
      <c r="EN182" s="136" t="s">
        <v>2074</v>
      </c>
    </row>
    <row r="183" spans="2:144" s="1" customFormat="1" ht="48.75" x14ac:dyDescent="0.2">
      <c r="B183" s="31"/>
      <c r="D183" s="138" t="s">
        <v>289</v>
      </c>
      <c r="F183" s="139" t="s">
        <v>408</v>
      </c>
      <c r="I183" s="140"/>
      <c r="L183" s="31"/>
      <c r="N183" s="213"/>
      <c r="O183" s="214"/>
      <c r="Q183" s="229"/>
      <c r="CN183" s="141"/>
      <c r="CU183" s="50"/>
      <c r="DU183" s="16" t="s">
        <v>289</v>
      </c>
      <c r="DV183" s="16" t="s">
        <v>83</v>
      </c>
    </row>
    <row r="184" spans="2:144" s="12" customFormat="1" x14ac:dyDescent="0.2">
      <c r="B184" s="149"/>
      <c r="D184" s="138" t="s">
        <v>301</v>
      </c>
      <c r="F184" s="151" t="s">
        <v>2075</v>
      </c>
      <c r="H184" s="152">
        <v>355.45</v>
      </c>
      <c r="I184" s="153"/>
      <c r="L184" s="149"/>
      <c r="N184" s="217"/>
      <c r="O184" s="218"/>
      <c r="Q184" s="231"/>
      <c r="CN184" s="154"/>
      <c r="CU184" s="155"/>
      <c r="DU184" s="150" t="s">
        <v>301</v>
      </c>
      <c r="DV184" s="150" t="s">
        <v>83</v>
      </c>
      <c r="DW184" s="12" t="s">
        <v>83</v>
      </c>
      <c r="DX184" s="12" t="s">
        <v>3</v>
      </c>
      <c r="DY184" s="12" t="s">
        <v>81</v>
      </c>
      <c r="DZ184" s="150" t="s">
        <v>282</v>
      </c>
    </row>
    <row r="185" spans="2:144" s="1" customFormat="1" ht="24.2" customHeight="1" x14ac:dyDescent="0.2">
      <c r="B185" s="124"/>
      <c r="C185" s="125" t="s">
        <v>392</v>
      </c>
      <c r="D185" s="125" t="s">
        <v>284</v>
      </c>
      <c r="E185" s="126" t="s">
        <v>410</v>
      </c>
      <c r="F185" s="127" t="s">
        <v>411</v>
      </c>
      <c r="G185" s="128" t="s">
        <v>287</v>
      </c>
      <c r="H185" s="129">
        <v>17.64</v>
      </c>
      <c r="I185" s="130">
        <v>6.3644601414457247</v>
      </c>
      <c r="J185" s="131">
        <f>ROUND(I185*H185,2)</f>
        <v>112.27</v>
      </c>
      <c r="K185" s="127" t="s">
        <v>293</v>
      </c>
      <c r="L185" s="268">
        <f>S185</f>
        <v>0</v>
      </c>
      <c r="M185" s="272">
        <f>ROUND(L185*I185,2)</f>
        <v>0</v>
      </c>
      <c r="N185" s="243"/>
      <c r="O185" s="294">
        <f>ROUND(N185*I185,2)</f>
        <v>0</v>
      </c>
      <c r="P185" s="273">
        <f>H185-L185-N185</f>
        <v>17.64</v>
      </c>
      <c r="Q185" s="287">
        <f>ROUND(P185*I185,2)</f>
        <v>112.27</v>
      </c>
      <c r="R185" s="137"/>
      <c r="S185" s="269">
        <f>W185+Y185+AA185+AC185+AE185+AG185+AI185</f>
        <v>0</v>
      </c>
      <c r="T185" s="269">
        <f>ROUND(S185*I185,2)</f>
        <v>0</v>
      </c>
      <c r="U185" s="269">
        <f>H185-S185</f>
        <v>17.64</v>
      </c>
      <c r="V185" s="269">
        <f>ROUND(U185*I185,2)</f>
        <v>112.27</v>
      </c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CN185" s="132" t="s">
        <v>1</v>
      </c>
      <c r="CO185" s="133" t="s">
        <v>40</v>
      </c>
      <c r="CQ185" s="134">
        <f>CP185*H185</f>
        <v>0</v>
      </c>
      <c r="CR185" s="134">
        <v>0</v>
      </c>
      <c r="CS185" s="134">
        <f>CR185*H185</f>
        <v>0</v>
      </c>
      <c r="CT185" s="134">
        <v>0</v>
      </c>
      <c r="CU185" s="135">
        <f>CT185*H185</f>
        <v>0</v>
      </c>
      <c r="DS185" s="136" t="s">
        <v>95</v>
      </c>
      <c r="DU185" s="136" t="s">
        <v>284</v>
      </c>
      <c r="DV185" s="136" t="s">
        <v>83</v>
      </c>
      <c r="DZ185" s="16" t="s">
        <v>282</v>
      </c>
      <c r="EF185" s="137">
        <f>IF(CO185="základní",J185,0)</f>
        <v>112.27</v>
      </c>
      <c r="EG185" s="137">
        <f>IF(CO185="snížená",J185,0)</f>
        <v>0</v>
      </c>
      <c r="EH185" s="137">
        <f>IF(CO185="zákl. přenesená",J185,0)</f>
        <v>0</v>
      </c>
      <c r="EI185" s="137">
        <f>IF(CO185="sníž. přenesená",J185,0)</f>
        <v>0</v>
      </c>
      <c r="EJ185" s="137">
        <f>IF(CO185="nulová",J185,0)</f>
        <v>0</v>
      </c>
      <c r="EK185" s="16" t="s">
        <v>81</v>
      </c>
      <c r="EL185" s="137">
        <f>ROUND(I185*H185,2)</f>
        <v>112.27</v>
      </c>
      <c r="EM185" s="16" t="s">
        <v>95</v>
      </c>
      <c r="EN185" s="136" t="s">
        <v>2076</v>
      </c>
    </row>
    <row r="186" spans="2:144" s="1" customFormat="1" ht="19.5" x14ac:dyDescent="0.2">
      <c r="B186" s="31"/>
      <c r="D186" s="138" t="s">
        <v>289</v>
      </c>
      <c r="F186" s="139" t="s">
        <v>413</v>
      </c>
      <c r="I186" s="140"/>
      <c r="L186" s="31"/>
      <c r="N186" s="213"/>
      <c r="O186" s="214"/>
      <c r="Q186" s="229"/>
      <c r="CN186" s="141"/>
      <c r="CU186" s="50"/>
      <c r="DU186" s="16" t="s">
        <v>289</v>
      </c>
      <c r="DV186" s="16" t="s">
        <v>83</v>
      </c>
    </row>
    <row r="187" spans="2:144" s="1" customFormat="1" ht="19.5" x14ac:dyDescent="0.2">
      <c r="B187" s="31"/>
      <c r="D187" s="138" t="s">
        <v>299</v>
      </c>
      <c r="F187" s="142" t="s">
        <v>2051</v>
      </c>
      <c r="I187" s="140"/>
      <c r="L187" s="31"/>
      <c r="N187" s="213"/>
      <c r="O187" s="214"/>
      <c r="Q187" s="229"/>
      <c r="CN187" s="141"/>
      <c r="CU187" s="50"/>
      <c r="DU187" s="16" t="s">
        <v>299</v>
      </c>
      <c r="DV187" s="16" t="s">
        <v>83</v>
      </c>
    </row>
    <row r="188" spans="2:144" s="12" customFormat="1" x14ac:dyDescent="0.2">
      <c r="B188" s="149"/>
      <c r="D188" s="138" t="s">
        <v>301</v>
      </c>
      <c r="E188" s="150" t="s">
        <v>1</v>
      </c>
      <c r="F188" s="151" t="s">
        <v>2052</v>
      </c>
      <c r="H188" s="152">
        <v>17.64</v>
      </c>
      <c r="I188" s="153"/>
      <c r="L188" s="149"/>
      <c r="N188" s="217"/>
      <c r="O188" s="218"/>
      <c r="Q188" s="231"/>
      <c r="CN188" s="154"/>
      <c r="CU188" s="155"/>
      <c r="DU188" s="150" t="s">
        <v>301</v>
      </c>
      <c r="DV188" s="150" t="s">
        <v>83</v>
      </c>
      <c r="DW188" s="12" t="s">
        <v>83</v>
      </c>
      <c r="DX188" s="12" t="s">
        <v>32</v>
      </c>
      <c r="DY188" s="12" t="s">
        <v>81</v>
      </c>
      <c r="DZ188" s="150" t="s">
        <v>282</v>
      </c>
    </row>
    <row r="189" spans="2:144" s="1" customFormat="1" ht="24.2" customHeight="1" x14ac:dyDescent="0.2">
      <c r="B189" s="124"/>
      <c r="C189" s="125" t="s">
        <v>397</v>
      </c>
      <c r="D189" s="125" t="s">
        <v>284</v>
      </c>
      <c r="E189" s="126" t="s">
        <v>416</v>
      </c>
      <c r="F189" s="127" t="s">
        <v>417</v>
      </c>
      <c r="G189" s="128" t="s">
        <v>418</v>
      </c>
      <c r="H189" s="129">
        <v>127.962</v>
      </c>
      <c r="I189" s="130">
        <v>110.6455721</v>
      </c>
      <c r="J189" s="131">
        <f>ROUND(I189*H189,2)</f>
        <v>14158.43</v>
      </c>
      <c r="K189" s="127" t="s">
        <v>293</v>
      </c>
      <c r="L189" s="268">
        <f>S189</f>
        <v>0</v>
      </c>
      <c r="M189" s="272">
        <f>ROUND(L189*I189,2)</f>
        <v>0</v>
      </c>
      <c r="N189" s="243"/>
      <c r="O189" s="294">
        <f>ROUND(N189*I189,2)</f>
        <v>0</v>
      </c>
      <c r="P189" s="273">
        <f>H189-L189-N189</f>
        <v>127.962</v>
      </c>
      <c r="Q189" s="287">
        <f>ROUND(P189*I189,2)</f>
        <v>14158.43</v>
      </c>
      <c r="R189" s="137"/>
      <c r="S189" s="269">
        <f>W189+Y189+AA189+AC189+AE189+AG189+AI189</f>
        <v>0</v>
      </c>
      <c r="T189" s="269">
        <f>ROUND(S189*I189,2)</f>
        <v>0</v>
      </c>
      <c r="U189" s="269">
        <f>H189-S189</f>
        <v>127.962</v>
      </c>
      <c r="V189" s="269">
        <f>ROUND(U189*I189,2)</f>
        <v>14158.43</v>
      </c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CN189" s="132" t="s">
        <v>1</v>
      </c>
      <c r="CO189" s="133" t="s">
        <v>40</v>
      </c>
      <c r="CQ189" s="134">
        <f>CP189*H189</f>
        <v>0</v>
      </c>
      <c r="CR189" s="134">
        <v>0</v>
      </c>
      <c r="CS189" s="134">
        <f>CR189*H189</f>
        <v>0</v>
      </c>
      <c r="CT189" s="134">
        <v>0</v>
      </c>
      <c r="CU189" s="135">
        <f>CT189*H189</f>
        <v>0</v>
      </c>
      <c r="DS189" s="136" t="s">
        <v>95</v>
      </c>
      <c r="DU189" s="136" t="s">
        <v>284</v>
      </c>
      <c r="DV189" s="136" t="s">
        <v>83</v>
      </c>
      <c r="DZ189" s="16" t="s">
        <v>282</v>
      </c>
      <c r="EF189" s="137">
        <f>IF(CO189="základní",J189,0)</f>
        <v>14158.43</v>
      </c>
      <c r="EG189" s="137">
        <f>IF(CO189="snížená",J189,0)</f>
        <v>0</v>
      </c>
      <c r="EH189" s="137">
        <f>IF(CO189="zákl. přenesená",J189,0)</f>
        <v>0</v>
      </c>
      <c r="EI189" s="137">
        <f>IF(CO189="sníž. přenesená",J189,0)</f>
        <v>0</v>
      </c>
      <c r="EJ189" s="137">
        <f>IF(CO189="nulová",J189,0)</f>
        <v>0</v>
      </c>
      <c r="EK189" s="16" t="s">
        <v>81</v>
      </c>
      <c r="EL189" s="137">
        <f>ROUND(I189*H189,2)</f>
        <v>14158.43</v>
      </c>
      <c r="EM189" s="16" t="s">
        <v>95</v>
      </c>
      <c r="EN189" s="136" t="s">
        <v>2077</v>
      </c>
    </row>
    <row r="190" spans="2:144" s="1" customFormat="1" ht="29.25" x14ac:dyDescent="0.2">
      <c r="B190" s="31"/>
      <c r="D190" s="138" t="s">
        <v>289</v>
      </c>
      <c r="F190" s="139" t="s">
        <v>420</v>
      </c>
      <c r="I190" s="140"/>
      <c r="L190" s="31"/>
      <c r="N190" s="213"/>
      <c r="O190" s="214"/>
      <c r="Q190" s="229"/>
      <c r="CN190" s="141"/>
      <c r="CU190" s="50"/>
      <c r="DU190" s="16" t="s">
        <v>289</v>
      </c>
      <c r="DV190" s="16" t="s">
        <v>83</v>
      </c>
    </row>
    <row r="191" spans="2:144" s="12" customFormat="1" x14ac:dyDescent="0.2">
      <c r="B191" s="149"/>
      <c r="D191" s="138" t="s">
        <v>301</v>
      </c>
      <c r="F191" s="151" t="s">
        <v>2078</v>
      </c>
      <c r="H191" s="152">
        <v>127.962</v>
      </c>
      <c r="I191" s="153"/>
      <c r="L191" s="149"/>
      <c r="N191" s="217"/>
      <c r="O191" s="218"/>
      <c r="Q191" s="231"/>
      <c r="CN191" s="154"/>
      <c r="CU191" s="155"/>
      <c r="DU191" s="150" t="s">
        <v>301</v>
      </c>
      <c r="DV191" s="150" t="s">
        <v>83</v>
      </c>
      <c r="DW191" s="12" t="s">
        <v>83</v>
      </c>
      <c r="DX191" s="12" t="s">
        <v>3</v>
      </c>
      <c r="DY191" s="12" t="s">
        <v>81</v>
      </c>
      <c r="DZ191" s="150" t="s">
        <v>282</v>
      </c>
    </row>
    <row r="192" spans="2:144" s="1" customFormat="1" ht="24.2" customHeight="1" x14ac:dyDescent="0.2">
      <c r="B192" s="124"/>
      <c r="C192" s="125" t="s">
        <v>404</v>
      </c>
      <c r="D192" s="125" t="s">
        <v>284</v>
      </c>
      <c r="E192" s="126" t="s">
        <v>423</v>
      </c>
      <c r="F192" s="127" t="s">
        <v>424</v>
      </c>
      <c r="G192" s="128" t="s">
        <v>366</v>
      </c>
      <c r="H192" s="129">
        <v>53.023000000000003</v>
      </c>
      <c r="I192" s="130">
        <v>140.64048227116101</v>
      </c>
      <c r="J192" s="131">
        <f>ROUND(I192*H192,2)</f>
        <v>7457.18</v>
      </c>
      <c r="K192" s="127" t="s">
        <v>293</v>
      </c>
      <c r="L192" s="268">
        <f>S192</f>
        <v>0</v>
      </c>
      <c r="M192" s="272">
        <f>ROUND(L192*I192,2)</f>
        <v>0</v>
      </c>
      <c r="N192" s="243"/>
      <c r="O192" s="294">
        <f>ROUND(N192*I192,2)</f>
        <v>0</v>
      </c>
      <c r="P192" s="273">
        <f>H192-L192-N192</f>
        <v>53.023000000000003</v>
      </c>
      <c r="Q192" s="287">
        <f>ROUND(P192*I192,2)</f>
        <v>7457.18</v>
      </c>
      <c r="R192" s="137"/>
      <c r="S192" s="269">
        <f>W192+Y192+AA192+AC192+AE192+AG192+AI192</f>
        <v>0</v>
      </c>
      <c r="T192" s="269">
        <f>ROUND(S192*I192,2)</f>
        <v>0</v>
      </c>
      <c r="U192" s="269">
        <f>H192-S192</f>
        <v>53.023000000000003</v>
      </c>
      <c r="V192" s="269">
        <f>ROUND(U192*I192,2)</f>
        <v>7457.18</v>
      </c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CN192" s="132" t="s">
        <v>1</v>
      </c>
      <c r="CO192" s="133" t="s">
        <v>40</v>
      </c>
      <c r="CQ192" s="134">
        <f>CP192*H192</f>
        <v>0</v>
      </c>
      <c r="CR192" s="134">
        <v>0</v>
      </c>
      <c r="CS192" s="134">
        <f>CR192*H192</f>
        <v>0</v>
      </c>
      <c r="CT192" s="134">
        <v>0</v>
      </c>
      <c r="CU192" s="135">
        <f>CT192*H192</f>
        <v>0</v>
      </c>
      <c r="DS192" s="136" t="s">
        <v>95</v>
      </c>
      <c r="DU192" s="136" t="s">
        <v>284</v>
      </c>
      <c r="DV192" s="136" t="s">
        <v>83</v>
      </c>
      <c r="DZ192" s="16" t="s">
        <v>282</v>
      </c>
      <c r="EF192" s="137">
        <f>IF(CO192="základní",J192,0)</f>
        <v>7457.18</v>
      </c>
      <c r="EG192" s="137">
        <f>IF(CO192="snížená",J192,0)</f>
        <v>0</v>
      </c>
      <c r="EH192" s="137">
        <f>IF(CO192="zákl. přenesená",J192,0)</f>
        <v>0</v>
      </c>
      <c r="EI192" s="137">
        <f>IF(CO192="sníž. přenesená",J192,0)</f>
        <v>0</v>
      </c>
      <c r="EJ192" s="137">
        <f>IF(CO192="nulová",J192,0)</f>
        <v>0</v>
      </c>
      <c r="EK192" s="16" t="s">
        <v>81</v>
      </c>
      <c r="EL192" s="137">
        <f>ROUND(I192*H192,2)</f>
        <v>7457.18</v>
      </c>
      <c r="EM192" s="16" t="s">
        <v>95</v>
      </c>
      <c r="EN192" s="136" t="s">
        <v>2079</v>
      </c>
    </row>
    <row r="193" spans="2:144" s="1" customFormat="1" ht="29.25" x14ac:dyDescent="0.2">
      <c r="B193" s="31"/>
      <c r="D193" s="138" t="s">
        <v>289</v>
      </c>
      <c r="F193" s="139" t="s">
        <v>426</v>
      </c>
      <c r="I193" s="140"/>
      <c r="L193" s="31"/>
      <c r="N193" s="213"/>
      <c r="O193" s="214"/>
      <c r="Q193" s="229"/>
      <c r="CN193" s="141"/>
      <c r="CU193" s="50"/>
      <c r="DU193" s="16" t="s">
        <v>289</v>
      </c>
      <c r="DV193" s="16" t="s">
        <v>83</v>
      </c>
    </row>
    <row r="194" spans="2:144" s="11" customFormat="1" x14ac:dyDescent="0.2">
      <c r="B194" s="143"/>
      <c r="D194" s="138" t="s">
        <v>301</v>
      </c>
      <c r="E194" s="144" t="s">
        <v>1</v>
      </c>
      <c r="F194" s="145" t="s">
        <v>2080</v>
      </c>
      <c r="H194" s="144" t="s">
        <v>1</v>
      </c>
      <c r="I194" s="146"/>
      <c r="L194" s="143"/>
      <c r="N194" s="215"/>
      <c r="O194" s="216"/>
      <c r="Q194" s="230"/>
      <c r="CN194" s="147"/>
      <c r="CU194" s="148"/>
      <c r="DU194" s="144" t="s">
        <v>301</v>
      </c>
      <c r="DV194" s="144" t="s">
        <v>83</v>
      </c>
      <c r="DW194" s="11" t="s">
        <v>81</v>
      </c>
      <c r="DX194" s="11" t="s">
        <v>32</v>
      </c>
      <c r="DY194" s="11" t="s">
        <v>74</v>
      </c>
      <c r="DZ194" s="144" t="s">
        <v>282</v>
      </c>
    </row>
    <row r="195" spans="2:144" s="12" customFormat="1" x14ac:dyDescent="0.2">
      <c r="B195" s="149"/>
      <c r="D195" s="138" t="s">
        <v>301</v>
      </c>
      <c r="E195" s="150" t="s">
        <v>1</v>
      </c>
      <c r="F195" s="151" t="s">
        <v>2073</v>
      </c>
      <c r="H195" s="152">
        <v>71.09</v>
      </c>
      <c r="I195" s="153"/>
      <c r="L195" s="149"/>
      <c r="N195" s="217"/>
      <c r="O195" s="218"/>
      <c r="Q195" s="231"/>
      <c r="CN195" s="154"/>
      <c r="CU195" s="155"/>
      <c r="DU195" s="150" t="s">
        <v>301</v>
      </c>
      <c r="DV195" s="150" t="s">
        <v>83</v>
      </c>
      <c r="DW195" s="12" t="s">
        <v>83</v>
      </c>
      <c r="DX195" s="12" t="s">
        <v>32</v>
      </c>
      <c r="DY195" s="12" t="s">
        <v>74</v>
      </c>
      <c r="DZ195" s="150" t="s">
        <v>282</v>
      </c>
    </row>
    <row r="196" spans="2:144" s="11" customFormat="1" x14ac:dyDescent="0.2">
      <c r="B196" s="143"/>
      <c r="D196" s="138" t="s">
        <v>301</v>
      </c>
      <c r="E196" s="144" t="s">
        <v>1</v>
      </c>
      <c r="F196" s="145" t="s">
        <v>1867</v>
      </c>
      <c r="H196" s="144" t="s">
        <v>1</v>
      </c>
      <c r="I196" s="146"/>
      <c r="L196" s="143"/>
      <c r="N196" s="215"/>
      <c r="O196" s="216"/>
      <c r="Q196" s="230"/>
      <c r="CN196" s="147"/>
      <c r="CU196" s="148"/>
      <c r="DU196" s="144" t="s">
        <v>301</v>
      </c>
      <c r="DV196" s="144" t="s">
        <v>83</v>
      </c>
      <c r="DW196" s="11" t="s">
        <v>81</v>
      </c>
      <c r="DX196" s="11" t="s">
        <v>32</v>
      </c>
      <c r="DY196" s="11" t="s">
        <v>74</v>
      </c>
      <c r="DZ196" s="144" t="s">
        <v>282</v>
      </c>
    </row>
    <row r="197" spans="2:144" s="12" customFormat="1" x14ac:dyDescent="0.2">
      <c r="B197" s="149"/>
      <c r="D197" s="138" t="s">
        <v>301</v>
      </c>
      <c r="E197" s="150" t="s">
        <v>1</v>
      </c>
      <c r="F197" s="151" t="s">
        <v>2081</v>
      </c>
      <c r="H197" s="152">
        <v>-3.528</v>
      </c>
      <c r="I197" s="153"/>
      <c r="L197" s="149"/>
      <c r="N197" s="217"/>
      <c r="O197" s="218"/>
      <c r="Q197" s="231"/>
      <c r="CN197" s="154"/>
      <c r="CU197" s="155"/>
      <c r="DU197" s="150" t="s">
        <v>301</v>
      </c>
      <c r="DV197" s="150" t="s">
        <v>83</v>
      </c>
      <c r="DW197" s="12" t="s">
        <v>83</v>
      </c>
      <c r="DX197" s="12" t="s">
        <v>32</v>
      </c>
      <c r="DY197" s="12" t="s">
        <v>74</v>
      </c>
      <c r="DZ197" s="150" t="s">
        <v>282</v>
      </c>
    </row>
    <row r="198" spans="2:144" s="11" customFormat="1" x14ac:dyDescent="0.2">
      <c r="B198" s="143"/>
      <c r="D198" s="138" t="s">
        <v>301</v>
      </c>
      <c r="E198" s="144" t="s">
        <v>1</v>
      </c>
      <c r="F198" s="145" t="s">
        <v>1869</v>
      </c>
      <c r="H198" s="144" t="s">
        <v>1</v>
      </c>
      <c r="I198" s="146"/>
      <c r="L198" s="143"/>
      <c r="N198" s="215"/>
      <c r="O198" s="216"/>
      <c r="Q198" s="230"/>
      <c r="CN198" s="147"/>
      <c r="CU198" s="148"/>
      <c r="DU198" s="144" t="s">
        <v>301</v>
      </c>
      <c r="DV198" s="144" t="s">
        <v>83</v>
      </c>
      <c r="DW198" s="11" t="s">
        <v>81</v>
      </c>
      <c r="DX198" s="11" t="s">
        <v>32</v>
      </c>
      <c r="DY198" s="11" t="s">
        <v>74</v>
      </c>
      <c r="DZ198" s="144" t="s">
        <v>282</v>
      </c>
    </row>
    <row r="199" spans="2:144" s="12" customFormat="1" x14ac:dyDescent="0.2">
      <c r="B199" s="149"/>
      <c r="D199" s="138" t="s">
        <v>301</v>
      </c>
      <c r="E199" s="150" t="s">
        <v>1</v>
      </c>
      <c r="F199" s="151" t="s">
        <v>2082</v>
      </c>
      <c r="H199" s="152">
        <v>-1.0609999999999999</v>
      </c>
      <c r="I199" s="153"/>
      <c r="L199" s="149"/>
      <c r="N199" s="217"/>
      <c r="O199" s="218"/>
      <c r="Q199" s="231"/>
      <c r="CN199" s="154"/>
      <c r="CU199" s="155"/>
      <c r="DU199" s="150" t="s">
        <v>301</v>
      </c>
      <c r="DV199" s="150" t="s">
        <v>83</v>
      </c>
      <c r="DW199" s="12" t="s">
        <v>83</v>
      </c>
      <c r="DX199" s="12" t="s">
        <v>32</v>
      </c>
      <c r="DY199" s="12" t="s">
        <v>74</v>
      </c>
      <c r="DZ199" s="150" t="s">
        <v>282</v>
      </c>
    </row>
    <row r="200" spans="2:144" s="12" customFormat="1" x14ac:dyDescent="0.2">
      <c r="B200" s="149"/>
      <c r="D200" s="138" t="s">
        <v>301</v>
      </c>
      <c r="E200" s="150" t="s">
        <v>1</v>
      </c>
      <c r="F200" s="151" t="s">
        <v>2083</v>
      </c>
      <c r="H200" s="152">
        <v>-13.478</v>
      </c>
      <c r="I200" s="153"/>
      <c r="L200" s="149"/>
      <c r="N200" s="217"/>
      <c r="O200" s="218"/>
      <c r="Q200" s="231"/>
      <c r="CN200" s="154"/>
      <c r="CU200" s="155"/>
      <c r="DU200" s="150" t="s">
        <v>301</v>
      </c>
      <c r="DV200" s="150" t="s">
        <v>83</v>
      </c>
      <c r="DW200" s="12" t="s">
        <v>83</v>
      </c>
      <c r="DX200" s="12" t="s">
        <v>32</v>
      </c>
      <c r="DY200" s="12" t="s">
        <v>74</v>
      </c>
      <c r="DZ200" s="150" t="s">
        <v>282</v>
      </c>
    </row>
    <row r="201" spans="2:144" s="13" customFormat="1" x14ac:dyDescent="0.2">
      <c r="B201" s="156"/>
      <c r="D201" s="138" t="s">
        <v>301</v>
      </c>
      <c r="E201" s="157" t="s">
        <v>1</v>
      </c>
      <c r="F201" s="158" t="s">
        <v>305</v>
      </c>
      <c r="H201" s="159">
        <v>53.023000000000003</v>
      </c>
      <c r="I201" s="160"/>
      <c r="L201" s="156"/>
      <c r="N201" s="219"/>
      <c r="O201" s="220"/>
      <c r="Q201" s="232"/>
      <c r="CN201" s="161"/>
      <c r="CU201" s="162"/>
      <c r="DU201" s="157" t="s">
        <v>301</v>
      </c>
      <c r="DV201" s="157" t="s">
        <v>83</v>
      </c>
      <c r="DW201" s="13" t="s">
        <v>95</v>
      </c>
      <c r="DX201" s="13" t="s">
        <v>32</v>
      </c>
      <c r="DY201" s="13" t="s">
        <v>81</v>
      </c>
      <c r="DZ201" s="157" t="s">
        <v>282</v>
      </c>
    </row>
    <row r="202" spans="2:144" s="1" customFormat="1" ht="14.45" customHeight="1" x14ac:dyDescent="0.2">
      <c r="B202" s="124"/>
      <c r="C202" s="170" t="s">
        <v>7</v>
      </c>
      <c r="D202" s="170" t="s">
        <v>439</v>
      </c>
      <c r="E202" s="171" t="s">
        <v>440</v>
      </c>
      <c r="F202" s="172" t="s">
        <v>441</v>
      </c>
      <c r="G202" s="173" t="s">
        <v>418</v>
      </c>
      <c r="H202" s="174">
        <v>106.04600000000001</v>
      </c>
      <c r="I202" s="175">
        <v>390.0974172</v>
      </c>
      <c r="J202" s="176">
        <f>ROUND(I202*H202,2)</f>
        <v>41368.269999999997</v>
      </c>
      <c r="K202" s="172" t="s">
        <v>293</v>
      </c>
      <c r="L202" s="268">
        <f>S202</f>
        <v>0</v>
      </c>
      <c r="M202" s="272">
        <f>ROUND(L202*I202,2)</f>
        <v>0</v>
      </c>
      <c r="N202" s="243"/>
      <c r="O202" s="294">
        <f>ROUND(N202*I202,2)</f>
        <v>0</v>
      </c>
      <c r="P202" s="273">
        <f>H202-L202-N202</f>
        <v>106.04600000000001</v>
      </c>
      <c r="Q202" s="287">
        <f>ROUND(P202*I202,2)</f>
        <v>41368.269999999997</v>
      </c>
      <c r="R202" s="137"/>
      <c r="S202" s="269">
        <f>W202+Y202+AA202+AC202+AE202+AG202+AI202</f>
        <v>0</v>
      </c>
      <c r="T202" s="269">
        <f>ROUND(S202*I202,2)</f>
        <v>0</v>
      </c>
      <c r="U202" s="269">
        <f>H202-S202</f>
        <v>106.04600000000001</v>
      </c>
      <c r="V202" s="269">
        <f>ROUND(U202*I202,2)</f>
        <v>41368.269999999997</v>
      </c>
      <c r="W202" s="290"/>
      <c r="X202" s="290"/>
      <c r="Y202" s="290"/>
      <c r="Z202" s="290"/>
      <c r="AA202" s="290"/>
      <c r="AB202" s="290"/>
      <c r="AC202" s="290"/>
      <c r="AD202" s="290"/>
      <c r="AE202" s="290"/>
      <c r="AF202" s="290"/>
      <c r="AG202" s="290"/>
      <c r="AH202" s="290"/>
      <c r="AI202" s="290"/>
      <c r="AJ202" s="290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77" t="s">
        <v>1</v>
      </c>
      <c r="CO202" s="178" t="s">
        <v>40</v>
      </c>
      <c r="CQ202" s="134">
        <f>CP202*H202</f>
        <v>0</v>
      </c>
      <c r="CR202" s="134">
        <v>1</v>
      </c>
      <c r="CS202" s="134">
        <f>CR202*H202</f>
        <v>106.04600000000001</v>
      </c>
      <c r="CT202" s="134">
        <v>0</v>
      </c>
      <c r="CU202" s="135">
        <f>CT202*H202</f>
        <v>0</v>
      </c>
      <c r="DS202" s="136" t="s">
        <v>328</v>
      </c>
      <c r="DU202" s="136" t="s">
        <v>439</v>
      </c>
      <c r="DV202" s="136" t="s">
        <v>83</v>
      </c>
      <c r="DZ202" s="16" t="s">
        <v>282</v>
      </c>
      <c r="EF202" s="137">
        <f>IF(CO202="základní",J202,0)</f>
        <v>41368.269999999997</v>
      </c>
      <c r="EG202" s="137">
        <f>IF(CO202="snížená",J202,0)</f>
        <v>0</v>
      </c>
      <c r="EH202" s="137">
        <f>IF(CO202="zákl. přenesená",J202,0)</f>
        <v>0</v>
      </c>
      <c r="EI202" s="137">
        <f>IF(CO202="sníž. přenesená",J202,0)</f>
        <v>0</v>
      </c>
      <c r="EJ202" s="137">
        <f>IF(CO202="nulová",J202,0)</f>
        <v>0</v>
      </c>
      <c r="EK202" s="16" t="s">
        <v>81</v>
      </c>
      <c r="EL202" s="137">
        <f>ROUND(I202*H202,2)</f>
        <v>41368.269999999997</v>
      </c>
      <c r="EM202" s="16" t="s">
        <v>95</v>
      </c>
      <c r="EN202" s="136" t="s">
        <v>2084</v>
      </c>
    </row>
    <row r="203" spans="2:144" s="1" customFormat="1" x14ac:dyDescent="0.2">
      <c r="B203" s="31"/>
      <c r="D203" s="138" t="s">
        <v>289</v>
      </c>
      <c r="F203" s="139" t="s">
        <v>441</v>
      </c>
      <c r="I203" s="140"/>
      <c r="L203" s="31"/>
      <c r="N203" s="213"/>
      <c r="O203" s="214"/>
      <c r="Q203" s="229"/>
      <c r="CN203" s="141"/>
      <c r="CU203" s="50"/>
      <c r="DU203" s="16" t="s">
        <v>289</v>
      </c>
      <c r="DV203" s="16" t="s">
        <v>83</v>
      </c>
    </row>
    <row r="204" spans="2:144" s="1" customFormat="1" ht="19.5" x14ac:dyDescent="0.2">
      <c r="B204" s="31"/>
      <c r="D204" s="138" t="s">
        <v>299</v>
      </c>
      <c r="F204" s="142" t="s">
        <v>443</v>
      </c>
      <c r="I204" s="140"/>
      <c r="L204" s="31"/>
      <c r="N204" s="213"/>
      <c r="O204" s="214"/>
      <c r="Q204" s="229"/>
      <c r="CN204" s="141"/>
      <c r="CU204" s="50"/>
      <c r="DU204" s="16" t="s">
        <v>299</v>
      </c>
      <c r="DV204" s="16" t="s">
        <v>83</v>
      </c>
    </row>
    <row r="205" spans="2:144" s="12" customFormat="1" x14ac:dyDescent="0.2">
      <c r="B205" s="149"/>
      <c r="D205" s="138" t="s">
        <v>301</v>
      </c>
      <c r="F205" s="151" t="s">
        <v>2085</v>
      </c>
      <c r="H205" s="152">
        <v>106.04600000000001</v>
      </c>
      <c r="I205" s="153"/>
      <c r="L205" s="149"/>
      <c r="N205" s="217"/>
      <c r="O205" s="218"/>
      <c r="Q205" s="231"/>
      <c r="CN205" s="154"/>
      <c r="CU205" s="155"/>
      <c r="DU205" s="150" t="s">
        <v>301</v>
      </c>
      <c r="DV205" s="150" t="s">
        <v>83</v>
      </c>
      <c r="DW205" s="12" t="s">
        <v>83</v>
      </c>
      <c r="DX205" s="12" t="s">
        <v>3</v>
      </c>
      <c r="DY205" s="12" t="s">
        <v>81</v>
      </c>
      <c r="DZ205" s="150" t="s">
        <v>282</v>
      </c>
    </row>
    <row r="206" spans="2:144" s="1" customFormat="1" ht="24.2" customHeight="1" x14ac:dyDescent="0.2">
      <c r="B206" s="124"/>
      <c r="C206" s="125" t="s">
        <v>415</v>
      </c>
      <c r="D206" s="125" t="s">
        <v>284</v>
      </c>
      <c r="E206" s="126" t="s">
        <v>457</v>
      </c>
      <c r="F206" s="127" t="s">
        <v>458</v>
      </c>
      <c r="G206" s="128" t="s">
        <v>418</v>
      </c>
      <c r="H206" s="129">
        <v>106.04600000000001</v>
      </c>
      <c r="I206" s="130">
        <v>61.737071122597108</v>
      </c>
      <c r="J206" s="131">
        <f>ROUND(I206*H206,2)</f>
        <v>6546.97</v>
      </c>
      <c r="K206" s="127" t="s">
        <v>293</v>
      </c>
      <c r="L206" s="268">
        <f>S206</f>
        <v>0</v>
      </c>
      <c r="M206" s="272">
        <f>ROUND(L206*I206,2)</f>
        <v>0</v>
      </c>
      <c r="N206" s="243"/>
      <c r="O206" s="294">
        <f>ROUND(N206*I206,2)</f>
        <v>0</v>
      </c>
      <c r="P206" s="273">
        <f>H206-L206-N206</f>
        <v>106.04600000000001</v>
      </c>
      <c r="Q206" s="287">
        <f>ROUND(P206*I206,2)</f>
        <v>6546.97</v>
      </c>
      <c r="R206" s="137"/>
      <c r="S206" s="269">
        <f>W206+Y206+AA206+AC206+AE206+AG206+AI206</f>
        <v>0</v>
      </c>
      <c r="T206" s="269">
        <f>ROUND(S206*I206,2)</f>
        <v>0</v>
      </c>
      <c r="U206" s="269">
        <f>H206-S206</f>
        <v>106.04600000000001</v>
      </c>
      <c r="V206" s="269">
        <f>ROUND(U206*I206,2)</f>
        <v>6546.97</v>
      </c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CN206" s="132" t="s">
        <v>1</v>
      </c>
      <c r="CO206" s="133" t="s">
        <v>40</v>
      </c>
      <c r="CQ206" s="134">
        <f>CP206*H206</f>
        <v>0</v>
      </c>
      <c r="CR206" s="134">
        <v>0</v>
      </c>
      <c r="CS206" s="134">
        <f>CR206*H206</f>
        <v>0</v>
      </c>
      <c r="CT206" s="134">
        <v>0</v>
      </c>
      <c r="CU206" s="135">
        <f>CT206*H206</f>
        <v>0</v>
      </c>
      <c r="DS206" s="136" t="s">
        <v>95</v>
      </c>
      <c r="DU206" s="136" t="s">
        <v>284</v>
      </c>
      <c r="DV206" s="136" t="s">
        <v>83</v>
      </c>
      <c r="DZ206" s="16" t="s">
        <v>282</v>
      </c>
      <c r="EF206" s="137">
        <f>IF(CO206="základní",J206,0)</f>
        <v>6546.97</v>
      </c>
      <c r="EG206" s="137">
        <f>IF(CO206="snížená",J206,0)</f>
        <v>0</v>
      </c>
      <c r="EH206" s="137">
        <f>IF(CO206="zákl. přenesená",J206,0)</f>
        <v>0</v>
      </c>
      <c r="EI206" s="137">
        <f>IF(CO206="sníž. přenesená",J206,0)</f>
        <v>0</v>
      </c>
      <c r="EJ206" s="137">
        <f>IF(CO206="nulová",J206,0)</f>
        <v>0</v>
      </c>
      <c r="EK206" s="16" t="s">
        <v>81</v>
      </c>
      <c r="EL206" s="137">
        <f>ROUND(I206*H206,2)</f>
        <v>6546.97</v>
      </c>
      <c r="EM206" s="16" t="s">
        <v>95</v>
      </c>
      <c r="EN206" s="136" t="s">
        <v>2086</v>
      </c>
    </row>
    <row r="207" spans="2:144" s="1" customFormat="1" ht="29.25" x14ac:dyDescent="0.2">
      <c r="B207" s="31"/>
      <c r="D207" s="138" t="s">
        <v>289</v>
      </c>
      <c r="F207" s="139" t="s">
        <v>460</v>
      </c>
      <c r="I207" s="140"/>
      <c r="L207" s="31"/>
      <c r="N207" s="213"/>
      <c r="O207" s="214"/>
      <c r="Q207" s="229"/>
      <c r="CN207" s="141"/>
      <c r="CU207" s="50"/>
      <c r="DU207" s="16" t="s">
        <v>289</v>
      </c>
      <c r="DV207" s="16" t="s">
        <v>83</v>
      </c>
    </row>
    <row r="208" spans="2:144" s="12" customFormat="1" x14ac:dyDescent="0.2">
      <c r="B208" s="149"/>
      <c r="D208" s="138" t="s">
        <v>301</v>
      </c>
      <c r="E208" s="150" t="s">
        <v>1</v>
      </c>
      <c r="F208" s="151" t="s">
        <v>2087</v>
      </c>
      <c r="H208" s="152">
        <v>106.04600000000001</v>
      </c>
      <c r="I208" s="153"/>
      <c r="L208" s="149"/>
      <c r="N208" s="217"/>
      <c r="O208" s="218"/>
      <c r="Q208" s="231"/>
      <c r="CN208" s="154"/>
      <c r="CU208" s="155"/>
      <c r="DU208" s="150" t="s">
        <v>301</v>
      </c>
      <c r="DV208" s="150" t="s">
        <v>83</v>
      </c>
      <c r="DW208" s="12" t="s">
        <v>83</v>
      </c>
      <c r="DX208" s="12" t="s">
        <v>32</v>
      </c>
      <c r="DY208" s="12" t="s">
        <v>81</v>
      </c>
      <c r="DZ208" s="150" t="s">
        <v>282</v>
      </c>
    </row>
    <row r="209" spans="2:144" s="10" customFormat="1" ht="22.9" customHeight="1" x14ac:dyDescent="0.2">
      <c r="B209" s="112"/>
      <c r="D209" s="113" t="s">
        <v>73</v>
      </c>
      <c r="E209" s="122" t="s">
        <v>83</v>
      </c>
      <c r="F209" s="122" t="s">
        <v>462</v>
      </c>
      <c r="I209" s="115"/>
      <c r="J209" s="123">
        <f>EL209</f>
        <v>235339.91999999998</v>
      </c>
      <c r="L209" s="112"/>
      <c r="M209" s="270">
        <f>SUM(M210:M246)</f>
        <v>0</v>
      </c>
      <c r="N209" s="301"/>
      <c r="O209" s="302">
        <f t="shared" ref="O209:V209" si="3">SUM(O210:O246)</f>
        <v>0</v>
      </c>
      <c r="P209" s="270"/>
      <c r="Q209" s="288">
        <f t="shared" si="3"/>
        <v>235339.91999999998</v>
      </c>
      <c r="R209" s="270"/>
      <c r="S209" s="270"/>
      <c r="T209" s="270">
        <f t="shared" si="3"/>
        <v>0</v>
      </c>
      <c r="U209" s="270"/>
      <c r="V209" s="270">
        <f t="shared" si="3"/>
        <v>235339.91999999998</v>
      </c>
      <c r="CN209" s="117"/>
      <c r="CQ209" s="118">
        <f>SUM(CQ210:CQ247)</f>
        <v>0</v>
      </c>
      <c r="CS209" s="118">
        <f>SUM(CS210:CS247)</f>
        <v>19.212659589999998</v>
      </c>
      <c r="CU209" s="119">
        <f>SUM(CU210:CU247)</f>
        <v>0</v>
      </c>
      <c r="DS209" s="113" t="s">
        <v>81</v>
      </c>
      <c r="DU209" s="120" t="s">
        <v>73</v>
      </c>
      <c r="DV209" s="120" t="s">
        <v>81</v>
      </c>
      <c r="DZ209" s="113" t="s">
        <v>282</v>
      </c>
      <c r="EL209" s="121">
        <f>SUM(EL210:EL247)</f>
        <v>235339.91999999998</v>
      </c>
    </row>
    <row r="210" spans="2:144" s="1" customFormat="1" ht="37.9" customHeight="1" x14ac:dyDescent="0.2">
      <c r="B210" s="124"/>
      <c r="C210" s="125" t="s">
        <v>422</v>
      </c>
      <c r="D210" s="125" t="s">
        <v>284</v>
      </c>
      <c r="E210" s="126" t="s">
        <v>464</v>
      </c>
      <c r="F210" s="127" t="s">
        <v>465</v>
      </c>
      <c r="G210" s="128" t="s">
        <v>344</v>
      </c>
      <c r="H210" s="129">
        <v>16.8</v>
      </c>
      <c r="I210" s="130">
        <v>264.06831423630393</v>
      </c>
      <c r="J210" s="131">
        <f>ROUND(I210*H210,2)</f>
        <v>4436.3500000000004</v>
      </c>
      <c r="K210" s="127" t="s">
        <v>293</v>
      </c>
      <c r="L210" s="268">
        <f>S210</f>
        <v>0</v>
      </c>
      <c r="M210" s="272">
        <f>ROUND(L210*I210,2)</f>
        <v>0</v>
      </c>
      <c r="N210" s="243"/>
      <c r="O210" s="294">
        <f>ROUND(N210*I210,2)</f>
        <v>0</v>
      </c>
      <c r="P210" s="273">
        <f>H210-L210-N210</f>
        <v>16.8</v>
      </c>
      <c r="Q210" s="287">
        <f>ROUND(P210*I210,2)</f>
        <v>4436.3500000000004</v>
      </c>
      <c r="R210" s="137"/>
      <c r="S210" s="269">
        <f>W210+Y210+AA210+AC210+AE210+AG210+AI210</f>
        <v>0</v>
      </c>
      <c r="T210" s="269">
        <f>ROUND(S210*I210,2)</f>
        <v>0</v>
      </c>
      <c r="U210" s="269">
        <f>H210-S210</f>
        <v>16.8</v>
      </c>
      <c r="V210" s="269">
        <f>ROUND(U210*I210,2)</f>
        <v>4436.3500000000004</v>
      </c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CN210" s="132" t="s">
        <v>1</v>
      </c>
      <c r="CO210" s="133" t="s">
        <v>40</v>
      </c>
      <c r="CQ210" s="134">
        <f>CP210*H210</f>
        <v>0</v>
      </c>
      <c r="CR210" s="134">
        <v>0.20469000000000001</v>
      </c>
      <c r="CS210" s="134">
        <f>CR210*H210</f>
        <v>3.4387920000000003</v>
      </c>
      <c r="CT210" s="134">
        <v>0</v>
      </c>
      <c r="CU210" s="135">
        <f>CT210*H210</f>
        <v>0</v>
      </c>
      <c r="DS210" s="136" t="s">
        <v>95</v>
      </c>
      <c r="DU210" s="136" t="s">
        <v>284</v>
      </c>
      <c r="DV210" s="136" t="s">
        <v>83</v>
      </c>
      <c r="DZ210" s="16" t="s">
        <v>282</v>
      </c>
      <c r="EF210" s="137">
        <f>IF(CO210="základní",J210,0)</f>
        <v>4436.3500000000004</v>
      </c>
      <c r="EG210" s="137">
        <f>IF(CO210="snížená",J210,0)</f>
        <v>0</v>
      </c>
      <c r="EH210" s="137">
        <f>IF(CO210="zákl. přenesená",J210,0)</f>
        <v>0</v>
      </c>
      <c r="EI210" s="137">
        <f>IF(CO210="sníž. přenesená",J210,0)</f>
        <v>0</v>
      </c>
      <c r="EJ210" s="137">
        <f>IF(CO210="nulová",J210,0)</f>
        <v>0</v>
      </c>
      <c r="EK210" s="16" t="s">
        <v>81</v>
      </c>
      <c r="EL210" s="137">
        <f>ROUND(I210*H210,2)</f>
        <v>4436.3500000000004</v>
      </c>
      <c r="EM210" s="16" t="s">
        <v>95</v>
      </c>
      <c r="EN210" s="136" t="s">
        <v>2088</v>
      </c>
    </row>
    <row r="211" spans="2:144" s="1" customFormat="1" ht="39" x14ac:dyDescent="0.2">
      <c r="B211" s="31"/>
      <c r="D211" s="138" t="s">
        <v>289</v>
      </c>
      <c r="F211" s="139" t="s">
        <v>467</v>
      </c>
      <c r="I211" s="140"/>
      <c r="L211" s="31"/>
      <c r="N211" s="213"/>
      <c r="O211" s="214"/>
      <c r="Q211" s="229"/>
      <c r="CN211" s="141"/>
      <c r="CU211" s="50"/>
      <c r="DU211" s="16" t="s">
        <v>289</v>
      </c>
      <c r="DV211" s="16" t="s">
        <v>83</v>
      </c>
    </row>
    <row r="212" spans="2:144" s="1" customFormat="1" ht="19.5" x14ac:dyDescent="0.2">
      <c r="B212" s="31"/>
      <c r="D212" s="138" t="s">
        <v>299</v>
      </c>
      <c r="F212" s="142" t="s">
        <v>2051</v>
      </c>
      <c r="I212" s="140"/>
      <c r="L212" s="31"/>
      <c r="N212" s="213"/>
      <c r="O212" s="214"/>
      <c r="Q212" s="229"/>
      <c r="CN212" s="141"/>
      <c r="CU212" s="50"/>
      <c r="DU212" s="16" t="s">
        <v>299</v>
      </c>
      <c r="DV212" s="16" t="s">
        <v>83</v>
      </c>
    </row>
    <row r="213" spans="2:144" s="12" customFormat="1" x14ac:dyDescent="0.2">
      <c r="B213" s="149"/>
      <c r="D213" s="138" t="s">
        <v>301</v>
      </c>
      <c r="E213" s="150" t="s">
        <v>1</v>
      </c>
      <c r="F213" s="151" t="s">
        <v>2059</v>
      </c>
      <c r="H213" s="152">
        <v>16.8</v>
      </c>
      <c r="I213" s="153"/>
      <c r="L213" s="149"/>
      <c r="N213" s="217"/>
      <c r="O213" s="218"/>
      <c r="Q213" s="231"/>
      <c r="CN213" s="154"/>
      <c r="CU213" s="155"/>
      <c r="DU213" s="150" t="s">
        <v>301</v>
      </c>
      <c r="DV213" s="150" t="s">
        <v>83</v>
      </c>
      <c r="DW213" s="12" t="s">
        <v>83</v>
      </c>
      <c r="DX213" s="12" t="s">
        <v>32</v>
      </c>
      <c r="DY213" s="12" t="s">
        <v>81</v>
      </c>
      <c r="DZ213" s="150" t="s">
        <v>282</v>
      </c>
    </row>
    <row r="214" spans="2:144" s="1" customFormat="1" ht="24.2" customHeight="1" x14ac:dyDescent="0.2">
      <c r="B214" s="124"/>
      <c r="C214" s="125" t="s">
        <v>438</v>
      </c>
      <c r="D214" s="125" t="s">
        <v>284</v>
      </c>
      <c r="E214" s="126" t="s">
        <v>1879</v>
      </c>
      <c r="F214" s="127" t="s">
        <v>1880</v>
      </c>
      <c r="G214" s="128" t="s">
        <v>366</v>
      </c>
      <c r="H214" s="129">
        <v>3.528</v>
      </c>
      <c r="I214" s="130">
        <v>1340.7472201353823</v>
      </c>
      <c r="J214" s="131">
        <f>ROUND(I214*H214,2)</f>
        <v>4730.16</v>
      </c>
      <c r="K214" s="127" t="s">
        <v>293</v>
      </c>
      <c r="L214" s="268">
        <f>S214</f>
        <v>0</v>
      </c>
      <c r="M214" s="272">
        <f>ROUND(L214*I214,2)</f>
        <v>0</v>
      </c>
      <c r="N214" s="243"/>
      <c r="O214" s="294">
        <f>ROUND(N214*I214,2)</f>
        <v>0</v>
      </c>
      <c r="P214" s="273">
        <f>H214-L214-N214</f>
        <v>3.528</v>
      </c>
      <c r="Q214" s="287">
        <f>ROUND(P214*I214,2)</f>
        <v>4730.16</v>
      </c>
      <c r="R214" s="137"/>
      <c r="S214" s="269">
        <f>W214+Y214+AA214+AC214+AE214+AG214+AI214</f>
        <v>0</v>
      </c>
      <c r="T214" s="269">
        <f>ROUND(S214*I214,2)</f>
        <v>0</v>
      </c>
      <c r="U214" s="269">
        <f>H214-S214</f>
        <v>3.528</v>
      </c>
      <c r="V214" s="269">
        <f>ROUND(U214*I214,2)</f>
        <v>4730.16</v>
      </c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CN214" s="132" t="s">
        <v>1</v>
      </c>
      <c r="CO214" s="133" t="s">
        <v>40</v>
      </c>
      <c r="CQ214" s="134">
        <f>CP214*H214</f>
        <v>0</v>
      </c>
      <c r="CR214" s="134">
        <v>2.16</v>
      </c>
      <c r="CS214" s="134">
        <f>CR214*H214</f>
        <v>7.6204800000000006</v>
      </c>
      <c r="CT214" s="134">
        <v>0</v>
      </c>
      <c r="CU214" s="135">
        <f>CT214*H214</f>
        <v>0</v>
      </c>
      <c r="DS214" s="136" t="s">
        <v>95</v>
      </c>
      <c r="DU214" s="136" t="s">
        <v>284</v>
      </c>
      <c r="DV214" s="136" t="s">
        <v>83</v>
      </c>
      <c r="DZ214" s="16" t="s">
        <v>282</v>
      </c>
      <c r="EF214" s="137">
        <f>IF(CO214="základní",J214,0)</f>
        <v>4730.16</v>
      </c>
      <c r="EG214" s="137">
        <f>IF(CO214="snížená",J214,0)</f>
        <v>0</v>
      </c>
      <c r="EH214" s="137">
        <f>IF(CO214="zákl. přenesená",J214,0)</f>
        <v>0</v>
      </c>
      <c r="EI214" s="137">
        <f>IF(CO214="sníž. přenesená",J214,0)</f>
        <v>0</v>
      </c>
      <c r="EJ214" s="137">
        <f>IF(CO214="nulová",J214,0)</f>
        <v>0</v>
      </c>
      <c r="EK214" s="16" t="s">
        <v>81</v>
      </c>
      <c r="EL214" s="137">
        <f>ROUND(I214*H214,2)</f>
        <v>4730.16</v>
      </c>
      <c r="EM214" s="16" t="s">
        <v>95</v>
      </c>
      <c r="EN214" s="136" t="s">
        <v>2089</v>
      </c>
    </row>
    <row r="215" spans="2:144" s="1" customFormat="1" ht="19.5" x14ac:dyDescent="0.2">
      <c r="B215" s="31"/>
      <c r="D215" s="138" t="s">
        <v>289</v>
      </c>
      <c r="F215" s="139" t="s">
        <v>1882</v>
      </c>
      <c r="I215" s="140"/>
      <c r="L215" s="31"/>
      <c r="N215" s="213"/>
      <c r="O215" s="214"/>
      <c r="Q215" s="229"/>
      <c r="CN215" s="141"/>
      <c r="CU215" s="50"/>
      <c r="DU215" s="16" t="s">
        <v>289</v>
      </c>
      <c r="DV215" s="16" t="s">
        <v>83</v>
      </c>
    </row>
    <row r="216" spans="2:144" s="1" customFormat="1" ht="19.5" x14ac:dyDescent="0.2">
      <c r="B216" s="31"/>
      <c r="D216" s="138" t="s">
        <v>299</v>
      </c>
      <c r="F216" s="142" t="s">
        <v>2051</v>
      </c>
      <c r="I216" s="140"/>
      <c r="L216" s="31"/>
      <c r="N216" s="213"/>
      <c r="O216" s="214"/>
      <c r="Q216" s="229"/>
      <c r="CN216" s="141"/>
      <c r="CU216" s="50"/>
      <c r="DU216" s="16" t="s">
        <v>299</v>
      </c>
      <c r="DV216" s="16" t="s">
        <v>83</v>
      </c>
    </row>
    <row r="217" spans="2:144" s="12" customFormat="1" x14ac:dyDescent="0.2">
      <c r="B217" s="149"/>
      <c r="D217" s="138" t="s">
        <v>301</v>
      </c>
      <c r="E217" s="150" t="s">
        <v>1</v>
      </c>
      <c r="F217" s="151" t="s">
        <v>2090</v>
      </c>
      <c r="H217" s="152">
        <v>3.528</v>
      </c>
      <c r="I217" s="153"/>
      <c r="L217" s="149"/>
      <c r="N217" s="217"/>
      <c r="O217" s="218"/>
      <c r="Q217" s="231"/>
      <c r="CN217" s="154"/>
      <c r="CU217" s="155"/>
      <c r="DU217" s="150" t="s">
        <v>301</v>
      </c>
      <c r="DV217" s="150" t="s">
        <v>83</v>
      </c>
      <c r="DW217" s="12" t="s">
        <v>83</v>
      </c>
      <c r="DX217" s="12" t="s">
        <v>32</v>
      </c>
      <c r="DY217" s="12" t="s">
        <v>81</v>
      </c>
      <c r="DZ217" s="150" t="s">
        <v>282</v>
      </c>
    </row>
    <row r="218" spans="2:144" s="1" customFormat="1" ht="24.2" customHeight="1" x14ac:dyDescent="0.2">
      <c r="B218" s="124"/>
      <c r="C218" s="125" t="s">
        <v>445</v>
      </c>
      <c r="D218" s="125" t="s">
        <v>284</v>
      </c>
      <c r="E218" s="126" t="s">
        <v>1884</v>
      </c>
      <c r="F218" s="127" t="s">
        <v>1885</v>
      </c>
      <c r="G218" s="128" t="s">
        <v>366</v>
      </c>
      <c r="H218" s="129">
        <v>1.0609999999999999</v>
      </c>
      <c r="I218" s="130">
        <v>3211.059415589079</v>
      </c>
      <c r="J218" s="131">
        <f>ROUND(I218*H218,2)</f>
        <v>3406.93</v>
      </c>
      <c r="K218" s="127" t="s">
        <v>293</v>
      </c>
      <c r="L218" s="268">
        <f>S218</f>
        <v>0</v>
      </c>
      <c r="M218" s="272">
        <f>ROUND(L218*I218,2)</f>
        <v>0</v>
      </c>
      <c r="N218" s="243"/>
      <c r="O218" s="294">
        <f>ROUND(N218*I218,2)</f>
        <v>0</v>
      </c>
      <c r="P218" s="273">
        <f>H218-L218-N218</f>
        <v>1.0609999999999999</v>
      </c>
      <c r="Q218" s="287">
        <f>ROUND(P218*I218,2)</f>
        <v>3406.93</v>
      </c>
      <c r="R218" s="137"/>
      <c r="S218" s="269">
        <f>W218+Y218+AA218+AC218+AE218+AG218+AI218</f>
        <v>0</v>
      </c>
      <c r="T218" s="269">
        <f>ROUND(S218*I218,2)</f>
        <v>0</v>
      </c>
      <c r="U218" s="269">
        <f>H218-S218</f>
        <v>1.0609999999999999</v>
      </c>
      <c r="V218" s="269">
        <f>ROUND(U218*I218,2)</f>
        <v>3406.93</v>
      </c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CN218" s="132" t="s">
        <v>1</v>
      </c>
      <c r="CO218" s="133" t="s">
        <v>40</v>
      </c>
      <c r="CQ218" s="134">
        <f>CP218*H218</f>
        <v>0</v>
      </c>
      <c r="CR218" s="134">
        <v>2.45329</v>
      </c>
      <c r="CS218" s="134">
        <f>CR218*H218</f>
        <v>2.6029406899999996</v>
      </c>
      <c r="CT218" s="134">
        <v>0</v>
      </c>
      <c r="CU218" s="135">
        <f>CT218*H218</f>
        <v>0</v>
      </c>
      <c r="DS218" s="136" t="s">
        <v>95</v>
      </c>
      <c r="DU218" s="136" t="s">
        <v>284</v>
      </c>
      <c r="DV218" s="136" t="s">
        <v>83</v>
      </c>
      <c r="DZ218" s="16" t="s">
        <v>282</v>
      </c>
      <c r="EF218" s="137">
        <f>IF(CO218="základní",J218,0)</f>
        <v>3406.93</v>
      </c>
      <c r="EG218" s="137">
        <f>IF(CO218="snížená",J218,0)</f>
        <v>0</v>
      </c>
      <c r="EH218" s="137">
        <f>IF(CO218="zákl. přenesená",J218,0)</f>
        <v>0</v>
      </c>
      <c r="EI218" s="137">
        <f>IF(CO218="sníž. přenesená",J218,0)</f>
        <v>0</v>
      </c>
      <c r="EJ218" s="137">
        <f>IF(CO218="nulová",J218,0)</f>
        <v>0</v>
      </c>
      <c r="EK218" s="16" t="s">
        <v>81</v>
      </c>
      <c r="EL218" s="137">
        <f>ROUND(I218*H218,2)</f>
        <v>3406.93</v>
      </c>
      <c r="EM218" s="16" t="s">
        <v>95</v>
      </c>
      <c r="EN218" s="136" t="s">
        <v>2091</v>
      </c>
    </row>
    <row r="219" spans="2:144" s="1" customFormat="1" ht="19.5" x14ac:dyDescent="0.2">
      <c r="B219" s="31"/>
      <c r="D219" s="138" t="s">
        <v>289</v>
      </c>
      <c r="F219" s="139" t="s">
        <v>1887</v>
      </c>
      <c r="I219" s="140"/>
      <c r="L219" s="31"/>
      <c r="N219" s="213"/>
      <c r="O219" s="214"/>
      <c r="Q219" s="229"/>
      <c r="CN219" s="141"/>
      <c r="CU219" s="50"/>
      <c r="DU219" s="16" t="s">
        <v>289</v>
      </c>
      <c r="DV219" s="16" t="s">
        <v>83</v>
      </c>
    </row>
    <row r="220" spans="2:144" s="1" customFormat="1" ht="19.5" x14ac:dyDescent="0.2">
      <c r="B220" s="31"/>
      <c r="D220" s="138" t="s">
        <v>299</v>
      </c>
      <c r="F220" s="142" t="s">
        <v>2051</v>
      </c>
      <c r="I220" s="140"/>
      <c r="L220" s="31"/>
      <c r="N220" s="213"/>
      <c r="O220" s="214"/>
      <c r="Q220" s="229"/>
      <c r="CN220" s="141"/>
      <c r="CU220" s="50"/>
      <c r="DU220" s="16" t="s">
        <v>299</v>
      </c>
      <c r="DV220" s="16" t="s">
        <v>83</v>
      </c>
    </row>
    <row r="221" spans="2:144" s="12" customFormat="1" x14ac:dyDescent="0.2">
      <c r="B221" s="149"/>
      <c r="D221" s="138" t="s">
        <v>301</v>
      </c>
      <c r="E221" s="150" t="s">
        <v>1</v>
      </c>
      <c r="F221" s="151" t="s">
        <v>2092</v>
      </c>
      <c r="H221" s="152">
        <v>1.0609999999999999</v>
      </c>
      <c r="I221" s="153"/>
      <c r="L221" s="149"/>
      <c r="N221" s="217"/>
      <c r="O221" s="218"/>
      <c r="Q221" s="231"/>
      <c r="CN221" s="154"/>
      <c r="CU221" s="155"/>
      <c r="DU221" s="150" t="s">
        <v>301</v>
      </c>
      <c r="DV221" s="150" t="s">
        <v>83</v>
      </c>
      <c r="DW221" s="12" t="s">
        <v>83</v>
      </c>
      <c r="DX221" s="12" t="s">
        <v>32</v>
      </c>
      <c r="DY221" s="12" t="s">
        <v>81</v>
      </c>
      <c r="DZ221" s="150" t="s">
        <v>282</v>
      </c>
    </row>
    <row r="222" spans="2:144" s="1" customFormat="1" ht="14.45" customHeight="1" x14ac:dyDescent="0.2">
      <c r="B222" s="124"/>
      <c r="C222" s="125" t="s">
        <v>451</v>
      </c>
      <c r="D222" s="125" t="s">
        <v>284</v>
      </c>
      <c r="E222" s="126" t="s">
        <v>1893</v>
      </c>
      <c r="F222" s="127" t="s">
        <v>1894</v>
      </c>
      <c r="G222" s="128" t="s">
        <v>287</v>
      </c>
      <c r="H222" s="129">
        <v>1.5960000000000001</v>
      </c>
      <c r="I222" s="130">
        <v>379.79538976632074</v>
      </c>
      <c r="J222" s="131">
        <f>ROUND(I222*H222,2)</f>
        <v>606.15</v>
      </c>
      <c r="K222" s="127" t="s">
        <v>293</v>
      </c>
      <c r="L222" s="268">
        <f>S222</f>
        <v>0</v>
      </c>
      <c r="M222" s="272">
        <f>ROUND(L222*I222,2)</f>
        <v>0</v>
      </c>
      <c r="N222" s="243"/>
      <c r="O222" s="294">
        <f>ROUND(N222*I222,2)</f>
        <v>0</v>
      </c>
      <c r="P222" s="273">
        <f>H222-L222-N222</f>
        <v>1.5960000000000001</v>
      </c>
      <c r="Q222" s="287">
        <f>ROUND(P222*I222,2)</f>
        <v>606.15</v>
      </c>
      <c r="R222" s="137"/>
      <c r="S222" s="269">
        <f>W222+Y222+AA222+AC222+AE222+AG222+AI222</f>
        <v>0</v>
      </c>
      <c r="T222" s="269">
        <f>ROUND(S222*I222,2)</f>
        <v>0</v>
      </c>
      <c r="U222" s="269">
        <f>H222-S222</f>
        <v>1.5960000000000001</v>
      </c>
      <c r="V222" s="269">
        <f>ROUND(U222*I222,2)</f>
        <v>606.15</v>
      </c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CN222" s="132" t="s">
        <v>1</v>
      </c>
      <c r="CO222" s="133" t="s">
        <v>40</v>
      </c>
      <c r="CQ222" s="134">
        <f>CP222*H222</f>
        <v>0</v>
      </c>
      <c r="CR222" s="134">
        <v>2.47E-3</v>
      </c>
      <c r="CS222" s="134">
        <f>CR222*H222</f>
        <v>3.9421200000000003E-3</v>
      </c>
      <c r="CT222" s="134">
        <v>0</v>
      </c>
      <c r="CU222" s="135">
        <f>CT222*H222</f>
        <v>0</v>
      </c>
      <c r="DS222" s="136" t="s">
        <v>95</v>
      </c>
      <c r="DU222" s="136" t="s">
        <v>284</v>
      </c>
      <c r="DV222" s="136" t="s">
        <v>83</v>
      </c>
      <c r="DZ222" s="16" t="s">
        <v>282</v>
      </c>
      <c r="EF222" s="137">
        <f>IF(CO222="základní",J222,0)</f>
        <v>606.15</v>
      </c>
      <c r="EG222" s="137">
        <f>IF(CO222="snížená",J222,0)</f>
        <v>0</v>
      </c>
      <c r="EH222" s="137">
        <f>IF(CO222="zákl. přenesená",J222,0)</f>
        <v>0</v>
      </c>
      <c r="EI222" s="137">
        <f>IF(CO222="sníž. přenesená",J222,0)</f>
        <v>0</v>
      </c>
      <c r="EJ222" s="137">
        <f>IF(CO222="nulová",J222,0)</f>
        <v>0</v>
      </c>
      <c r="EK222" s="16" t="s">
        <v>81</v>
      </c>
      <c r="EL222" s="137">
        <f>ROUND(I222*H222,2)</f>
        <v>606.15</v>
      </c>
      <c r="EM222" s="16" t="s">
        <v>95</v>
      </c>
      <c r="EN222" s="136" t="s">
        <v>2093</v>
      </c>
    </row>
    <row r="223" spans="2:144" s="1" customFormat="1" x14ac:dyDescent="0.2">
      <c r="B223" s="31"/>
      <c r="D223" s="138" t="s">
        <v>289</v>
      </c>
      <c r="F223" s="139" t="s">
        <v>1896</v>
      </c>
      <c r="I223" s="140"/>
      <c r="L223" s="31"/>
      <c r="N223" s="213"/>
      <c r="O223" s="214"/>
      <c r="Q223" s="229"/>
      <c r="CN223" s="141"/>
      <c r="CU223" s="50"/>
      <c r="DU223" s="16" t="s">
        <v>289</v>
      </c>
      <c r="DV223" s="16" t="s">
        <v>83</v>
      </c>
    </row>
    <row r="224" spans="2:144" s="1" customFormat="1" ht="19.5" x14ac:dyDescent="0.2">
      <c r="B224" s="31"/>
      <c r="D224" s="138" t="s">
        <v>299</v>
      </c>
      <c r="F224" s="142" t="s">
        <v>2051</v>
      </c>
      <c r="I224" s="140"/>
      <c r="L224" s="31"/>
      <c r="N224" s="213"/>
      <c r="O224" s="214"/>
      <c r="Q224" s="229"/>
      <c r="CN224" s="141"/>
      <c r="CU224" s="50"/>
      <c r="DU224" s="16" t="s">
        <v>299</v>
      </c>
      <c r="DV224" s="16" t="s">
        <v>83</v>
      </c>
    </row>
    <row r="225" spans="2:144" s="12" customFormat="1" x14ac:dyDescent="0.2">
      <c r="B225" s="149"/>
      <c r="D225" s="138" t="s">
        <v>301</v>
      </c>
      <c r="E225" s="150" t="s">
        <v>1</v>
      </c>
      <c r="F225" s="151" t="s">
        <v>2094</v>
      </c>
      <c r="H225" s="152">
        <v>1.5960000000000001</v>
      </c>
      <c r="I225" s="153"/>
      <c r="L225" s="149"/>
      <c r="N225" s="217"/>
      <c r="O225" s="218"/>
      <c r="Q225" s="231"/>
      <c r="CN225" s="154"/>
      <c r="CU225" s="155"/>
      <c r="DU225" s="150" t="s">
        <v>301</v>
      </c>
      <c r="DV225" s="150" t="s">
        <v>83</v>
      </c>
      <c r="DW225" s="12" t="s">
        <v>83</v>
      </c>
      <c r="DX225" s="12" t="s">
        <v>32</v>
      </c>
      <c r="DY225" s="12" t="s">
        <v>81</v>
      </c>
      <c r="DZ225" s="150" t="s">
        <v>282</v>
      </c>
    </row>
    <row r="226" spans="2:144" s="1" customFormat="1" ht="14.45" customHeight="1" x14ac:dyDescent="0.2">
      <c r="B226" s="124"/>
      <c r="C226" s="125" t="s">
        <v>456</v>
      </c>
      <c r="D226" s="125" t="s">
        <v>284</v>
      </c>
      <c r="E226" s="126" t="s">
        <v>1899</v>
      </c>
      <c r="F226" s="127" t="s">
        <v>1900</v>
      </c>
      <c r="G226" s="128" t="s">
        <v>287</v>
      </c>
      <c r="H226" s="129">
        <v>1.5960000000000001</v>
      </c>
      <c r="I226" s="130">
        <v>102.41615913446736</v>
      </c>
      <c r="J226" s="131">
        <f>ROUND(I226*H226,2)</f>
        <v>163.46</v>
      </c>
      <c r="K226" s="127" t="s">
        <v>293</v>
      </c>
      <c r="L226" s="268">
        <f>S226</f>
        <v>0</v>
      </c>
      <c r="M226" s="272">
        <f>ROUND(L226*I226,2)</f>
        <v>0</v>
      </c>
      <c r="N226" s="243"/>
      <c r="O226" s="294">
        <f>ROUND(N226*I226,2)</f>
        <v>0</v>
      </c>
      <c r="P226" s="273">
        <f>H226-L226-N226</f>
        <v>1.5960000000000001</v>
      </c>
      <c r="Q226" s="287">
        <f>ROUND(P226*I226,2)</f>
        <v>163.46</v>
      </c>
      <c r="R226" s="137"/>
      <c r="S226" s="269">
        <f>W226+Y226+AA226+AC226+AE226+AG226+AI226</f>
        <v>0</v>
      </c>
      <c r="T226" s="269">
        <f>ROUND(S226*I226,2)</f>
        <v>0</v>
      </c>
      <c r="U226" s="269">
        <f>H226-S226</f>
        <v>1.5960000000000001</v>
      </c>
      <c r="V226" s="269">
        <f>ROUND(U226*I226,2)</f>
        <v>163.46</v>
      </c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CN226" s="132" t="s">
        <v>1</v>
      </c>
      <c r="CO226" s="133" t="s">
        <v>40</v>
      </c>
      <c r="CQ226" s="134">
        <f>CP226*H226</f>
        <v>0</v>
      </c>
      <c r="CR226" s="134">
        <v>0</v>
      </c>
      <c r="CS226" s="134">
        <f>CR226*H226</f>
        <v>0</v>
      </c>
      <c r="CT226" s="134">
        <v>0</v>
      </c>
      <c r="CU226" s="135">
        <f>CT226*H226</f>
        <v>0</v>
      </c>
      <c r="DS226" s="136" t="s">
        <v>95</v>
      </c>
      <c r="DU226" s="136" t="s">
        <v>284</v>
      </c>
      <c r="DV226" s="136" t="s">
        <v>83</v>
      </c>
      <c r="DZ226" s="16" t="s">
        <v>282</v>
      </c>
      <c r="EF226" s="137">
        <f>IF(CO226="základní",J226,0)</f>
        <v>163.46</v>
      </c>
      <c r="EG226" s="137">
        <f>IF(CO226="snížená",J226,0)</f>
        <v>0</v>
      </c>
      <c r="EH226" s="137">
        <f>IF(CO226="zákl. přenesená",J226,0)</f>
        <v>0</v>
      </c>
      <c r="EI226" s="137">
        <f>IF(CO226="sníž. přenesená",J226,0)</f>
        <v>0</v>
      </c>
      <c r="EJ226" s="137">
        <f>IF(CO226="nulová",J226,0)</f>
        <v>0</v>
      </c>
      <c r="EK226" s="16" t="s">
        <v>81</v>
      </c>
      <c r="EL226" s="137">
        <f>ROUND(I226*H226,2)</f>
        <v>163.46</v>
      </c>
      <c r="EM226" s="16" t="s">
        <v>95</v>
      </c>
      <c r="EN226" s="136" t="s">
        <v>2095</v>
      </c>
    </row>
    <row r="227" spans="2:144" s="1" customFormat="1" x14ac:dyDescent="0.2">
      <c r="B227" s="31"/>
      <c r="D227" s="138" t="s">
        <v>289</v>
      </c>
      <c r="F227" s="139" t="s">
        <v>1902</v>
      </c>
      <c r="I227" s="140"/>
      <c r="L227" s="31"/>
      <c r="N227" s="213"/>
      <c r="O227" s="214"/>
      <c r="Q227" s="229"/>
      <c r="CN227" s="141"/>
      <c r="CU227" s="50"/>
      <c r="DU227" s="16" t="s">
        <v>289</v>
      </c>
      <c r="DV227" s="16" t="s">
        <v>83</v>
      </c>
    </row>
    <row r="228" spans="2:144" s="1" customFormat="1" ht="14.45" customHeight="1" x14ac:dyDescent="0.2">
      <c r="B228" s="124"/>
      <c r="C228" s="125" t="s">
        <v>463</v>
      </c>
      <c r="D228" s="125" t="s">
        <v>284</v>
      </c>
      <c r="E228" s="126" t="s">
        <v>1903</v>
      </c>
      <c r="F228" s="127" t="s">
        <v>1904</v>
      </c>
      <c r="G228" s="128" t="s">
        <v>418</v>
      </c>
      <c r="H228" s="129">
        <v>0.106</v>
      </c>
      <c r="I228" s="130">
        <v>28099.214400180317</v>
      </c>
      <c r="J228" s="131">
        <f>ROUND(I228*H228,2)</f>
        <v>2978.52</v>
      </c>
      <c r="K228" s="127" t="s">
        <v>293</v>
      </c>
      <c r="L228" s="268">
        <f>S228</f>
        <v>0</v>
      </c>
      <c r="M228" s="272">
        <f>ROUND(L228*I228,2)</f>
        <v>0</v>
      </c>
      <c r="N228" s="243"/>
      <c r="O228" s="294">
        <f>ROUND(N228*I228,2)</f>
        <v>0</v>
      </c>
      <c r="P228" s="273">
        <f>H228-L228-N228</f>
        <v>0.106</v>
      </c>
      <c r="Q228" s="287">
        <f>ROUND(P228*I228,2)</f>
        <v>2978.52</v>
      </c>
      <c r="R228" s="137"/>
      <c r="S228" s="269">
        <f>W228+Y228+AA228+AC228+AE228+AG228+AI228</f>
        <v>0</v>
      </c>
      <c r="T228" s="269">
        <f>ROUND(S228*I228,2)</f>
        <v>0</v>
      </c>
      <c r="U228" s="269">
        <f>H228-S228</f>
        <v>0.106</v>
      </c>
      <c r="V228" s="269">
        <f>ROUND(U228*I228,2)</f>
        <v>2978.52</v>
      </c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CN228" s="132" t="s">
        <v>1</v>
      </c>
      <c r="CO228" s="133" t="s">
        <v>40</v>
      </c>
      <c r="CQ228" s="134">
        <f>CP228*H228</f>
        <v>0</v>
      </c>
      <c r="CR228" s="134">
        <v>1.06277</v>
      </c>
      <c r="CS228" s="134">
        <f>CR228*H228</f>
        <v>0.11265362</v>
      </c>
      <c r="CT228" s="134">
        <v>0</v>
      </c>
      <c r="CU228" s="135">
        <f>CT228*H228</f>
        <v>0</v>
      </c>
      <c r="DS228" s="136" t="s">
        <v>95</v>
      </c>
      <c r="DU228" s="136" t="s">
        <v>284</v>
      </c>
      <c r="DV228" s="136" t="s">
        <v>83</v>
      </c>
      <c r="DZ228" s="16" t="s">
        <v>282</v>
      </c>
      <c r="EF228" s="137">
        <f>IF(CO228="základní",J228,0)</f>
        <v>2978.52</v>
      </c>
      <c r="EG228" s="137">
        <f>IF(CO228="snížená",J228,0)</f>
        <v>0</v>
      </c>
      <c r="EH228" s="137">
        <f>IF(CO228="zákl. přenesená",J228,0)</f>
        <v>0</v>
      </c>
      <c r="EI228" s="137">
        <f>IF(CO228="sníž. přenesená",J228,0)</f>
        <v>0</v>
      </c>
      <c r="EJ228" s="137">
        <f>IF(CO228="nulová",J228,0)</f>
        <v>0</v>
      </c>
      <c r="EK228" s="16" t="s">
        <v>81</v>
      </c>
      <c r="EL228" s="137">
        <f>ROUND(I228*H228,2)</f>
        <v>2978.52</v>
      </c>
      <c r="EM228" s="16" t="s">
        <v>95</v>
      </c>
      <c r="EN228" s="136" t="s">
        <v>2096</v>
      </c>
    </row>
    <row r="229" spans="2:144" s="1" customFormat="1" x14ac:dyDescent="0.2">
      <c r="B229" s="31"/>
      <c r="D229" s="138" t="s">
        <v>289</v>
      </c>
      <c r="F229" s="139" t="s">
        <v>1906</v>
      </c>
      <c r="I229" s="140"/>
      <c r="L229" s="31"/>
      <c r="N229" s="213"/>
      <c r="O229" s="214"/>
      <c r="Q229" s="229"/>
      <c r="CN229" s="141"/>
      <c r="CU229" s="50"/>
      <c r="DU229" s="16" t="s">
        <v>289</v>
      </c>
      <c r="DV229" s="16" t="s">
        <v>83</v>
      </c>
    </row>
    <row r="230" spans="2:144" s="1" customFormat="1" ht="19.5" x14ac:dyDescent="0.2">
      <c r="B230" s="31"/>
      <c r="D230" s="138" t="s">
        <v>299</v>
      </c>
      <c r="F230" s="142" t="s">
        <v>2051</v>
      </c>
      <c r="I230" s="140"/>
      <c r="L230" s="31"/>
      <c r="N230" s="213"/>
      <c r="O230" s="214"/>
      <c r="Q230" s="229"/>
      <c r="CN230" s="141"/>
      <c r="CU230" s="50"/>
      <c r="DU230" s="16" t="s">
        <v>299</v>
      </c>
      <c r="DV230" s="16" t="s">
        <v>83</v>
      </c>
    </row>
    <row r="231" spans="2:144" s="12" customFormat="1" x14ac:dyDescent="0.2">
      <c r="B231" s="149"/>
      <c r="D231" s="138" t="s">
        <v>301</v>
      </c>
      <c r="E231" s="150" t="s">
        <v>1</v>
      </c>
      <c r="F231" s="151" t="s">
        <v>2097</v>
      </c>
      <c r="H231" s="152">
        <v>0.106</v>
      </c>
      <c r="I231" s="153"/>
      <c r="L231" s="149"/>
      <c r="N231" s="217"/>
      <c r="O231" s="218"/>
      <c r="Q231" s="231"/>
      <c r="CN231" s="154"/>
      <c r="CU231" s="155"/>
      <c r="DU231" s="150" t="s">
        <v>301</v>
      </c>
      <c r="DV231" s="150" t="s">
        <v>83</v>
      </c>
      <c r="DW231" s="12" t="s">
        <v>83</v>
      </c>
      <c r="DX231" s="12" t="s">
        <v>32</v>
      </c>
      <c r="DY231" s="12" t="s">
        <v>81</v>
      </c>
      <c r="DZ231" s="150" t="s">
        <v>282</v>
      </c>
    </row>
    <row r="232" spans="2:144" s="1" customFormat="1" ht="24.2" customHeight="1" x14ac:dyDescent="0.2">
      <c r="B232" s="124"/>
      <c r="C232" s="125" t="s">
        <v>470</v>
      </c>
      <c r="D232" s="125" t="s">
        <v>284</v>
      </c>
      <c r="E232" s="126" t="s">
        <v>1908</v>
      </c>
      <c r="F232" s="127" t="s">
        <v>1909</v>
      </c>
      <c r="G232" s="128" t="s">
        <v>366</v>
      </c>
      <c r="H232" s="129">
        <v>7.5</v>
      </c>
      <c r="I232" s="130">
        <v>2941.41966</v>
      </c>
      <c r="J232" s="131">
        <f>ROUND(I232*H232,2)</f>
        <v>22060.65</v>
      </c>
      <c r="K232" s="127" t="s">
        <v>1</v>
      </c>
      <c r="L232" s="268">
        <f>S232</f>
        <v>0</v>
      </c>
      <c r="M232" s="272">
        <f>ROUND(L232*I232,2)</f>
        <v>0</v>
      </c>
      <c r="N232" s="243"/>
      <c r="O232" s="294">
        <f>ROUND(N232*I232,2)</f>
        <v>0</v>
      </c>
      <c r="P232" s="273">
        <f>H232-L232-N232</f>
        <v>7.5</v>
      </c>
      <c r="Q232" s="287">
        <f>ROUND(P232*I232,2)</f>
        <v>22060.65</v>
      </c>
      <c r="R232" s="137"/>
      <c r="S232" s="269">
        <f>W232+Y232+AA232+AC232+AE232+AG232+AI232</f>
        <v>0</v>
      </c>
      <c r="T232" s="269">
        <f>ROUND(S232*I232,2)</f>
        <v>0</v>
      </c>
      <c r="U232" s="269">
        <f>H232-S232</f>
        <v>7.5</v>
      </c>
      <c r="V232" s="269">
        <f>ROUND(U232*I232,2)</f>
        <v>22060.65</v>
      </c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CN232" s="132" t="s">
        <v>1</v>
      </c>
      <c r="CO232" s="133" t="s">
        <v>40</v>
      </c>
      <c r="CQ232" s="134">
        <f>CP232*H232</f>
        <v>0</v>
      </c>
      <c r="CR232" s="134">
        <v>0</v>
      </c>
      <c r="CS232" s="134">
        <f>CR232*H232</f>
        <v>0</v>
      </c>
      <c r="CT232" s="134">
        <v>0</v>
      </c>
      <c r="CU232" s="135">
        <f>CT232*H232</f>
        <v>0</v>
      </c>
      <c r="DS232" s="136" t="s">
        <v>95</v>
      </c>
      <c r="DU232" s="136" t="s">
        <v>284</v>
      </c>
      <c r="DV232" s="136" t="s">
        <v>83</v>
      </c>
      <c r="DZ232" s="16" t="s">
        <v>282</v>
      </c>
      <c r="EF232" s="137">
        <f>IF(CO232="základní",J232,0)</f>
        <v>22060.65</v>
      </c>
      <c r="EG232" s="137">
        <f>IF(CO232="snížená",J232,0)</f>
        <v>0</v>
      </c>
      <c r="EH232" s="137">
        <f>IF(CO232="zákl. přenesená",J232,0)</f>
        <v>0</v>
      </c>
      <c r="EI232" s="137">
        <f>IF(CO232="sníž. přenesená",J232,0)</f>
        <v>0</v>
      </c>
      <c r="EJ232" s="137">
        <f>IF(CO232="nulová",J232,0)</f>
        <v>0</v>
      </c>
      <c r="EK232" s="16" t="s">
        <v>81</v>
      </c>
      <c r="EL232" s="137">
        <f>ROUND(I232*H232,2)</f>
        <v>22060.65</v>
      </c>
      <c r="EM232" s="16" t="s">
        <v>95</v>
      </c>
      <c r="EN232" s="136" t="s">
        <v>2098</v>
      </c>
    </row>
    <row r="233" spans="2:144" s="1" customFormat="1" ht="19.5" x14ac:dyDescent="0.2">
      <c r="B233" s="31"/>
      <c r="D233" s="138" t="s">
        <v>289</v>
      </c>
      <c r="F233" s="139" t="s">
        <v>1909</v>
      </c>
      <c r="I233" s="140"/>
      <c r="L233" s="31"/>
      <c r="N233" s="213"/>
      <c r="O233" s="214"/>
      <c r="Q233" s="229"/>
      <c r="CN233" s="141"/>
      <c r="CU233" s="50"/>
      <c r="DU233" s="16" t="s">
        <v>289</v>
      </c>
      <c r="DV233" s="16" t="s">
        <v>83</v>
      </c>
    </row>
    <row r="234" spans="2:144" s="1" customFormat="1" ht="19.5" x14ac:dyDescent="0.2">
      <c r="B234" s="31"/>
      <c r="D234" s="138" t="s">
        <v>299</v>
      </c>
      <c r="F234" s="142" t="s">
        <v>2051</v>
      </c>
      <c r="I234" s="140"/>
      <c r="L234" s="31"/>
      <c r="N234" s="213"/>
      <c r="O234" s="214"/>
      <c r="Q234" s="229"/>
      <c r="CN234" s="141"/>
      <c r="CU234" s="50"/>
      <c r="DU234" s="16" t="s">
        <v>299</v>
      </c>
      <c r="DV234" s="16" t="s">
        <v>83</v>
      </c>
    </row>
    <row r="235" spans="2:144" s="12" customFormat="1" x14ac:dyDescent="0.2">
      <c r="B235" s="149"/>
      <c r="D235" s="138" t="s">
        <v>301</v>
      </c>
      <c r="E235" s="150" t="s">
        <v>1</v>
      </c>
      <c r="F235" s="151" t="s">
        <v>1911</v>
      </c>
      <c r="H235" s="152">
        <v>7.5</v>
      </c>
      <c r="I235" s="153"/>
      <c r="L235" s="149"/>
      <c r="N235" s="217"/>
      <c r="O235" s="218"/>
      <c r="Q235" s="231"/>
      <c r="CN235" s="154"/>
      <c r="CU235" s="155"/>
      <c r="DU235" s="150" t="s">
        <v>301</v>
      </c>
      <c r="DV235" s="150" t="s">
        <v>83</v>
      </c>
      <c r="DW235" s="12" t="s">
        <v>83</v>
      </c>
      <c r="DX235" s="12" t="s">
        <v>32</v>
      </c>
      <c r="DY235" s="12" t="s">
        <v>81</v>
      </c>
      <c r="DZ235" s="150" t="s">
        <v>282</v>
      </c>
    </row>
    <row r="236" spans="2:144" s="1" customFormat="1" ht="24.2" customHeight="1" x14ac:dyDescent="0.2">
      <c r="B236" s="124"/>
      <c r="C236" s="125" t="s">
        <v>476</v>
      </c>
      <c r="D236" s="125" t="s">
        <v>284</v>
      </c>
      <c r="E236" s="126" t="s">
        <v>1912</v>
      </c>
      <c r="F236" s="127" t="s">
        <v>1913</v>
      </c>
      <c r="G236" s="128" t="s">
        <v>366</v>
      </c>
      <c r="H236" s="129">
        <v>0.5</v>
      </c>
      <c r="I236" s="130">
        <v>5294.7542038360798</v>
      </c>
      <c r="J236" s="131">
        <f>ROUND(I236*H236,2)</f>
        <v>2647.38</v>
      </c>
      <c r="K236" s="127" t="s">
        <v>1</v>
      </c>
      <c r="L236" s="268">
        <f>S236</f>
        <v>0</v>
      </c>
      <c r="M236" s="272">
        <f>ROUND(L236*I236,2)</f>
        <v>0</v>
      </c>
      <c r="N236" s="243"/>
      <c r="O236" s="294">
        <f>ROUND(N236*I236,2)</f>
        <v>0</v>
      </c>
      <c r="P236" s="273">
        <f>H236-L236-N236</f>
        <v>0.5</v>
      </c>
      <c r="Q236" s="287">
        <f>ROUND(P236*I236,2)</f>
        <v>2647.38</v>
      </c>
      <c r="R236" s="137"/>
      <c r="S236" s="269">
        <f>W236+Y236+AA236+AC236+AE236+AG236+AI236</f>
        <v>0</v>
      </c>
      <c r="T236" s="269">
        <f>ROUND(S236*I236,2)</f>
        <v>0</v>
      </c>
      <c r="U236" s="269">
        <f>H236-S236</f>
        <v>0.5</v>
      </c>
      <c r="V236" s="269">
        <f>ROUND(U236*I236,2)</f>
        <v>2647.38</v>
      </c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CN236" s="132" t="s">
        <v>1</v>
      </c>
      <c r="CO236" s="133" t="s">
        <v>40</v>
      </c>
      <c r="CQ236" s="134">
        <f>CP236*H236</f>
        <v>0</v>
      </c>
      <c r="CR236" s="134">
        <v>2.2563399999999998</v>
      </c>
      <c r="CS236" s="134">
        <f>CR236*H236</f>
        <v>1.1281699999999999</v>
      </c>
      <c r="CT236" s="134">
        <v>0</v>
      </c>
      <c r="CU236" s="135">
        <f>CT236*H236</f>
        <v>0</v>
      </c>
      <c r="DS236" s="136" t="s">
        <v>95</v>
      </c>
      <c r="DU236" s="136" t="s">
        <v>284</v>
      </c>
      <c r="DV236" s="136" t="s">
        <v>83</v>
      </c>
      <c r="DZ236" s="16" t="s">
        <v>282</v>
      </c>
      <c r="EF236" s="137">
        <f>IF(CO236="základní",J236,0)</f>
        <v>2647.38</v>
      </c>
      <c r="EG236" s="137">
        <f>IF(CO236="snížená",J236,0)</f>
        <v>0</v>
      </c>
      <c r="EH236" s="137">
        <f>IF(CO236="zákl. přenesená",J236,0)</f>
        <v>0</v>
      </c>
      <c r="EI236" s="137">
        <f>IF(CO236="sníž. přenesená",J236,0)</f>
        <v>0</v>
      </c>
      <c r="EJ236" s="137">
        <f>IF(CO236="nulová",J236,0)</f>
        <v>0</v>
      </c>
      <c r="EK236" s="16" t="s">
        <v>81</v>
      </c>
      <c r="EL236" s="137">
        <f>ROUND(I236*H236,2)</f>
        <v>2647.38</v>
      </c>
      <c r="EM236" s="16" t="s">
        <v>95</v>
      </c>
      <c r="EN236" s="136" t="s">
        <v>2099</v>
      </c>
    </row>
    <row r="237" spans="2:144" s="1" customFormat="1" ht="19.5" x14ac:dyDescent="0.2">
      <c r="B237" s="31"/>
      <c r="D237" s="138" t="s">
        <v>289</v>
      </c>
      <c r="F237" s="139" t="s">
        <v>1915</v>
      </c>
      <c r="I237" s="140"/>
      <c r="L237" s="31"/>
      <c r="N237" s="213"/>
      <c r="O237" s="214"/>
      <c r="Q237" s="229"/>
      <c r="CN237" s="141"/>
      <c r="CU237" s="50"/>
      <c r="DU237" s="16" t="s">
        <v>289</v>
      </c>
      <c r="DV237" s="16" t="s">
        <v>83</v>
      </c>
    </row>
    <row r="238" spans="2:144" s="1" customFormat="1" ht="19.5" x14ac:dyDescent="0.2">
      <c r="B238" s="31"/>
      <c r="D238" s="138" t="s">
        <v>299</v>
      </c>
      <c r="F238" s="142" t="s">
        <v>2051</v>
      </c>
      <c r="I238" s="140"/>
      <c r="L238" s="31"/>
      <c r="N238" s="213"/>
      <c r="O238" s="214"/>
      <c r="Q238" s="229"/>
      <c r="CN238" s="141"/>
      <c r="CU238" s="50"/>
      <c r="DU238" s="16" t="s">
        <v>299</v>
      </c>
      <c r="DV238" s="16" t="s">
        <v>83</v>
      </c>
    </row>
    <row r="239" spans="2:144" s="12" customFormat="1" x14ac:dyDescent="0.2">
      <c r="B239" s="149"/>
      <c r="D239" s="138" t="s">
        <v>301</v>
      </c>
      <c r="E239" s="150" t="s">
        <v>1</v>
      </c>
      <c r="F239" s="151" t="s">
        <v>1916</v>
      </c>
      <c r="H239" s="152">
        <v>0.5</v>
      </c>
      <c r="I239" s="153"/>
      <c r="L239" s="149"/>
      <c r="N239" s="217"/>
      <c r="O239" s="218"/>
      <c r="Q239" s="231"/>
      <c r="CN239" s="154"/>
      <c r="CU239" s="155"/>
      <c r="DU239" s="150" t="s">
        <v>301</v>
      </c>
      <c r="DV239" s="150" t="s">
        <v>83</v>
      </c>
      <c r="DW239" s="12" t="s">
        <v>83</v>
      </c>
      <c r="DX239" s="12" t="s">
        <v>32</v>
      </c>
      <c r="DY239" s="12" t="s">
        <v>81</v>
      </c>
      <c r="DZ239" s="150" t="s">
        <v>282</v>
      </c>
    </row>
    <row r="240" spans="2:144" s="1" customFormat="1" ht="24.2" customHeight="1" x14ac:dyDescent="0.2">
      <c r="B240" s="124"/>
      <c r="C240" s="125" t="s">
        <v>482</v>
      </c>
      <c r="D240" s="125" t="s">
        <v>284</v>
      </c>
      <c r="E240" s="126" t="s">
        <v>1917</v>
      </c>
      <c r="F240" s="127" t="s">
        <v>1918</v>
      </c>
      <c r="G240" s="128" t="s">
        <v>418</v>
      </c>
      <c r="H240" s="129">
        <v>3.9159999999999999</v>
      </c>
      <c r="I240" s="130">
        <v>14500.670050413</v>
      </c>
      <c r="J240" s="131">
        <f>ROUND(I240*H240,2)</f>
        <v>56784.62</v>
      </c>
      <c r="K240" s="127" t="s">
        <v>293</v>
      </c>
      <c r="L240" s="268">
        <f>S240</f>
        <v>0</v>
      </c>
      <c r="M240" s="272">
        <f>ROUND(L240*I240,2)</f>
        <v>0</v>
      </c>
      <c r="N240" s="243"/>
      <c r="O240" s="294">
        <f>ROUND(N240*I240,2)</f>
        <v>0</v>
      </c>
      <c r="P240" s="273">
        <f>H240-L240-N240</f>
        <v>3.9159999999999999</v>
      </c>
      <c r="Q240" s="287">
        <f>ROUND(P240*I240,2)</f>
        <v>56784.62</v>
      </c>
      <c r="R240" s="137"/>
      <c r="S240" s="269">
        <f>W240+Y240+AA240+AC240+AE240+AG240+AI240</f>
        <v>0</v>
      </c>
      <c r="T240" s="269">
        <f>ROUND(S240*I240,2)</f>
        <v>0</v>
      </c>
      <c r="U240" s="269">
        <f>H240-S240</f>
        <v>3.9159999999999999</v>
      </c>
      <c r="V240" s="269">
        <f>ROUND(U240*I240,2)</f>
        <v>56784.62</v>
      </c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CN240" s="132" t="s">
        <v>1</v>
      </c>
      <c r="CO240" s="133" t="s">
        <v>40</v>
      </c>
      <c r="CQ240" s="134">
        <f>CP240*H240</f>
        <v>0</v>
      </c>
      <c r="CR240" s="134">
        <v>9.9510000000000001E-2</v>
      </c>
      <c r="CS240" s="134">
        <f>CR240*H240</f>
        <v>0.38968115999999997</v>
      </c>
      <c r="CT240" s="134">
        <v>0</v>
      </c>
      <c r="CU240" s="135">
        <f>CT240*H240</f>
        <v>0</v>
      </c>
      <c r="DS240" s="136" t="s">
        <v>95</v>
      </c>
      <c r="DU240" s="136" t="s">
        <v>284</v>
      </c>
      <c r="DV240" s="136" t="s">
        <v>83</v>
      </c>
      <c r="DZ240" s="16" t="s">
        <v>282</v>
      </c>
      <c r="EF240" s="137">
        <f>IF(CO240="základní",J240,0)</f>
        <v>56784.62</v>
      </c>
      <c r="EG240" s="137">
        <f>IF(CO240="snížená",J240,0)</f>
        <v>0</v>
      </c>
      <c r="EH240" s="137">
        <f>IF(CO240="zákl. přenesená",J240,0)</f>
        <v>0</v>
      </c>
      <c r="EI240" s="137">
        <f>IF(CO240="sníž. přenesená",J240,0)</f>
        <v>0</v>
      </c>
      <c r="EJ240" s="137">
        <f>IF(CO240="nulová",J240,0)</f>
        <v>0</v>
      </c>
      <c r="EK240" s="16" t="s">
        <v>81</v>
      </c>
      <c r="EL240" s="137">
        <f>ROUND(I240*H240,2)</f>
        <v>56784.62</v>
      </c>
      <c r="EM240" s="16" t="s">
        <v>95</v>
      </c>
      <c r="EN240" s="136" t="s">
        <v>2100</v>
      </c>
    </row>
    <row r="241" spans="2:144" s="1" customFormat="1" ht="19.5" x14ac:dyDescent="0.2">
      <c r="B241" s="31"/>
      <c r="D241" s="138" t="s">
        <v>289</v>
      </c>
      <c r="F241" s="139" t="s">
        <v>1920</v>
      </c>
      <c r="I241" s="140"/>
      <c r="L241" s="31"/>
      <c r="N241" s="213"/>
      <c r="O241" s="214"/>
      <c r="Q241" s="229"/>
      <c r="CN241" s="141"/>
      <c r="CU241" s="50"/>
      <c r="DU241" s="16" t="s">
        <v>289</v>
      </c>
      <c r="DV241" s="16" t="s">
        <v>83</v>
      </c>
    </row>
    <row r="242" spans="2:144" s="1" customFormat="1" ht="19.5" x14ac:dyDescent="0.2">
      <c r="B242" s="31"/>
      <c r="D242" s="138" t="s">
        <v>299</v>
      </c>
      <c r="F242" s="142" t="s">
        <v>2051</v>
      </c>
      <c r="I242" s="140"/>
      <c r="L242" s="31"/>
      <c r="N242" s="213"/>
      <c r="O242" s="214"/>
      <c r="Q242" s="229"/>
      <c r="CN242" s="141"/>
      <c r="CU242" s="50"/>
      <c r="DU242" s="16" t="s">
        <v>299</v>
      </c>
      <c r="DV242" s="16" t="s">
        <v>83</v>
      </c>
    </row>
    <row r="243" spans="2:144" s="12" customFormat="1" x14ac:dyDescent="0.2">
      <c r="B243" s="149"/>
      <c r="D243" s="138" t="s">
        <v>301</v>
      </c>
      <c r="E243" s="150" t="s">
        <v>1</v>
      </c>
      <c r="F243" s="151" t="s">
        <v>2101</v>
      </c>
      <c r="H243" s="152">
        <v>3.9159999999999999</v>
      </c>
      <c r="I243" s="153"/>
      <c r="L243" s="149"/>
      <c r="N243" s="217"/>
      <c r="O243" s="218"/>
      <c r="Q243" s="231"/>
      <c r="CN243" s="154"/>
      <c r="CU243" s="155"/>
      <c r="DU243" s="150" t="s">
        <v>301</v>
      </c>
      <c r="DV243" s="150" t="s">
        <v>83</v>
      </c>
      <c r="DW243" s="12" t="s">
        <v>83</v>
      </c>
      <c r="DX243" s="12" t="s">
        <v>32</v>
      </c>
      <c r="DY243" s="12" t="s">
        <v>81</v>
      </c>
      <c r="DZ243" s="150" t="s">
        <v>282</v>
      </c>
    </row>
    <row r="244" spans="2:144" s="1" customFormat="1" ht="14.45" customHeight="1" x14ac:dyDescent="0.2">
      <c r="B244" s="124"/>
      <c r="C244" s="170" t="s">
        <v>489</v>
      </c>
      <c r="D244" s="170" t="s">
        <v>439</v>
      </c>
      <c r="E244" s="171" t="s">
        <v>1922</v>
      </c>
      <c r="F244" s="172" t="s">
        <v>1923</v>
      </c>
      <c r="G244" s="173" t="s">
        <v>418</v>
      </c>
      <c r="H244" s="174">
        <v>3.9159999999999999</v>
      </c>
      <c r="I244" s="175">
        <v>30353.72192</v>
      </c>
      <c r="J244" s="176">
        <f>ROUND(I244*H244,2)</f>
        <v>118865.18</v>
      </c>
      <c r="K244" s="172" t="s">
        <v>293</v>
      </c>
      <c r="L244" s="268">
        <f>S244</f>
        <v>0</v>
      </c>
      <c r="M244" s="272">
        <f>ROUND(L244*I244,2)</f>
        <v>0</v>
      </c>
      <c r="N244" s="243"/>
      <c r="O244" s="294">
        <f>ROUND(N244*I244,2)</f>
        <v>0</v>
      </c>
      <c r="P244" s="273">
        <f>H244-L244-N244</f>
        <v>3.9159999999999999</v>
      </c>
      <c r="Q244" s="287">
        <f>ROUND(P244*I244,2)</f>
        <v>118865.18</v>
      </c>
      <c r="R244" s="137"/>
      <c r="S244" s="269">
        <f>W244+Y244+AA244+AC244+AE244+AG244+AI244</f>
        <v>0</v>
      </c>
      <c r="T244" s="269">
        <f>ROUND(S244*I244,2)</f>
        <v>0</v>
      </c>
      <c r="U244" s="269">
        <f>H244-S244</f>
        <v>3.9159999999999999</v>
      </c>
      <c r="V244" s="269">
        <f>ROUND(U244*I244,2)</f>
        <v>118865.18</v>
      </c>
      <c r="W244" s="290"/>
      <c r="X244" s="290"/>
      <c r="Y244" s="290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90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77" t="s">
        <v>1</v>
      </c>
      <c r="CO244" s="178" t="s">
        <v>40</v>
      </c>
      <c r="CQ244" s="134">
        <f>CP244*H244</f>
        <v>0</v>
      </c>
      <c r="CR244" s="134">
        <v>1</v>
      </c>
      <c r="CS244" s="134">
        <f>CR244*H244</f>
        <v>3.9159999999999999</v>
      </c>
      <c r="CT244" s="134">
        <v>0</v>
      </c>
      <c r="CU244" s="135">
        <f>CT244*H244</f>
        <v>0</v>
      </c>
      <c r="DS244" s="136" t="s">
        <v>328</v>
      </c>
      <c r="DU244" s="136" t="s">
        <v>439</v>
      </c>
      <c r="DV244" s="136" t="s">
        <v>83</v>
      </c>
      <c r="DZ244" s="16" t="s">
        <v>282</v>
      </c>
      <c r="EF244" s="137">
        <f>IF(CO244="základní",J244,0)</f>
        <v>118865.18</v>
      </c>
      <c r="EG244" s="137">
        <f>IF(CO244="snížená",J244,0)</f>
        <v>0</v>
      </c>
      <c r="EH244" s="137">
        <f>IF(CO244="zákl. přenesená",J244,0)</f>
        <v>0</v>
      </c>
      <c r="EI244" s="137">
        <f>IF(CO244="sníž. přenesená",J244,0)</f>
        <v>0</v>
      </c>
      <c r="EJ244" s="137">
        <f>IF(CO244="nulová",J244,0)</f>
        <v>0</v>
      </c>
      <c r="EK244" s="16" t="s">
        <v>81</v>
      </c>
      <c r="EL244" s="137">
        <f>ROUND(I244*H244,2)</f>
        <v>118865.18</v>
      </c>
      <c r="EM244" s="16" t="s">
        <v>95</v>
      </c>
      <c r="EN244" s="136" t="s">
        <v>2102</v>
      </c>
    </row>
    <row r="245" spans="2:144" s="1" customFormat="1" x14ac:dyDescent="0.2">
      <c r="B245" s="31"/>
      <c r="D245" s="138" t="s">
        <v>289</v>
      </c>
      <c r="F245" s="139" t="s">
        <v>1923</v>
      </c>
      <c r="I245" s="140"/>
      <c r="L245" s="31"/>
      <c r="N245" s="213"/>
      <c r="O245" s="214"/>
      <c r="Q245" s="229"/>
      <c r="CN245" s="141"/>
      <c r="CU245" s="50"/>
      <c r="DU245" s="16" t="s">
        <v>289</v>
      </c>
      <c r="DV245" s="16" t="s">
        <v>83</v>
      </c>
    </row>
    <row r="246" spans="2:144" s="1" customFormat="1" ht="24.2" customHeight="1" x14ac:dyDescent="0.2">
      <c r="B246" s="124"/>
      <c r="C246" s="125" t="s">
        <v>493</v>
      </c>
      <c r="D246" s="125" t="s">
        <v>284</v>
      </c>
      <c r="E246" s="126" t="s">
        <v>1925</v>
      </c>
      <c r="F246" s="127" t="s">
        <v>1926</v>
      </c>
      <c r="G246" s="128" t="s">
        <v>418</v>
      </c>
      <c r="H246" s="129">
        <v>3.9159999999999999</v>
      </c>
      <c r="I246" s="130">
        <v>4765.1989558198602</v>
      </c>
      <c r="J246" s="131">
        <f>ROUND(I246*H246,2)</f>
        <v>18660.52</v>
      </c>
      <c r="K246" s="127" t="s">
        <v>293</v>
      </c>
      <c r="L246" s="268">
        <f>S246</f>
        <v>0</v>
      </c>
      <c r="M246" s="272">
        <f>ROUND(L246*I246,2)</f>
        <v>0</v>
      </c>
      <c r="N246" s="243"/>
      <c r="O246" s="294">
        <f>ROUND(N246*I246,2)</f>
        <v>0</v>
      </c>
      <c r="P246" s="273">
        <f>H246-L246-N246</f>
        <v>3.9159999999999999</v>
      </c>
      <c r="Q246" s="287">
        <f>ROUND(P246*I246,2)</f>
        <v>18660.52</v>
      </c>
      <c r="R246" s="137"/>
      <c r="S246" s="269">
        <f>W246+Y246+AA246+AC246+AE246+AG246+AI246</f>
        <v>0</v>
      </c>
      <c r="T246" s="269">
        <f>ROUND(S246*I246,2)</f>
        <v>0</v>
      </c>
      <c r="U246" s="269">
        <f>H246-S246</f>
        <v>3.9159999999999999</v>
      </c>
      <c r="V246" s="269">
        <f>ROUND(U246*I246,2)</f>
        <v>18660.52</v>
      </c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CN246" s="132" t="s">
        <v>1</v>
      </c>
      <c r="CO246" s="133" t="s">
        <v>40</v>
      </c>
      <c r="CQ246" s="134">
        <f>CP246*H246</f>
        <v>0</v>
      </c>
      <c r="CR246" s="134">
        <v>0</v>
      </c>
      <c r="CS246" s="134">
        <f>CR246*H246</f>
        <v>0</v>
      </c>
      <c r="CT246" s="134">
        <v>0</v>
      </c>
      <c r="CU246" s="135">
        <f>CT246*H246</f>
        <v>0</v>
      </c>
      <c r="DS246" s="136" t="s">
        <v>95</v>
      </c>
      <c r="DU246" s="136" t="s">
        <v>284</v>
      </c>
      <c r="DV246" s="136" t="s">
        <v>83</v>
      </c>
      <c r="DZ246" s="16" t="s">
        <v>282</v>
      </c>
      <c r="EF246" s="137">
        <f>IF(CO246="základní",J246,0)</f>
        <v>18660.52</v>
      </c>
      <c r="EG246" s="137">
        <f>IF(CO246="snížená",J246,0)</f>
        <v>0</v>
      </c>
      <c r="EH246" s="137">
        <f>IF(CO246="zákl. přenesená",J246,0)</f>
        <v>0</v>
      </c>
      <c r="EI246" s="137">
        <f>IF(CO246="sníž. přenesená",J246,0)</f>
        <v>0</v>
      </c>
      <c r="EJ246" s="137">
        <f>IF(CO246="nulová",J246,0)</f>
        <v>0</v>
      </c>
      <c r="EK246" s="16" t="s">
        <v>81</v>
      </c>
      <c r="EL246" s="137">
        <f>ROUND(I246*H246,2)</f>
        <v>18660.52</v>
      </c>
      <c r="EM246" s="16" t="s">
        <v>95</v>
      </c>
      <c r="EN246" s="136" t="s">
        <v>2103</v>
      </c>
    </row>
    <row r="247" spans="2:144" s="1" customFormat="1" ht="19.5" x14ac:dyDescent="0.2">
      <c r="B247" s="31"/>
      <c r="D247" s="138" t="s">
        <v>289</v>
      </c>
      <c r="F247" s="139" t="s">
        <v>1928</v>
      </c>
      <c r="I247" s="140"/>
      <c r="L247" s="31"/>
      <c r="N247" s="213"/>
      <c r="O247" s="214"/>
      <c r="Q247" s="229"/>
      <c r="CN247" s="141"/>
      <c r="CU247" s="50"/>
      <c r="DU247" s="16" t="s">
        <v>289</v>
      </c>
      <c r="DV247" s="16" t="s">
        <v>83</v>
      </c>
    </row>
    <row r="248" spans="2:144" s="10" customFormat="1" ht="22.9" customHeight="1" x14ac:dyDescent="0.2">
      <c r="B248" s="112"/>
      <c r="D248" s="113" t="s">
        <v>73</v>
      </c>
      <c r="E248" s="122" t="s">
        <v>95</v>
      </c>
      <c r="F248" s="122" t="s">
        <v>469</v>
      </c>
      <c r="I248" s="115"/>
      <c r="J248" s="123">
        <f>EL248</f>
        <v>4812.2299999999996</v>
      </c>
      <c r="L248" s="112"/>
      <c r="M248" s="270">
        <f>M249+M254</f>
        <v>0</v>
      </c>
      <c r="N248" s="301"/>
      <c r="O248" s="302">
        <f t="shared" ref="O248:V248" si="4">O249+O254</f>
        <v>0</v>
      </c>
      <c r="P248" s="270"/>
      <c r="Q248" s="288">
        <f t="shared" si="4"/>
        <v>4812.2299999999996</v>
      </c>
      <c r="R248" s="270"/>
      <c r="S248" s="270"/>
      <c r="T248" s="270">
        <f t="shared" si="4"/>
        <v>0</v>
      </c>
      <c r="U248" s="270"/>
      <c r="V248" s="270">
        <f t="shared" si="4"/>
        <v>4812.2299999999996</v>
      </c>
      <c r="CN248" s="117"/>
      <c r="CQ248" s="118">
        <f>SUM(CQ249:CQ257)</f>
        <v>0</v>
      </c>
      <c r="CS248" s="118">
        <f>SUM(CS249:CS257)</f>
        <v>2.3941177099999997</v>
      </c>
      <c r="CU248" s="119">
        <f>SUM(CU249:CU257)</f>
        <v>0</v>
      </c>
      <c r="DS248" s="113" t="s">
        <v>81</v>
      </c>
      <c r="DU248" s="120" t="s">
        <v>73</v>
      </c>
      <c r="DV248" s="120" t="s">
        <v>81</v>
      </c>
      <c r="DZ248" s="113" t="s">
        <v>282</v>
      </c>
      <c r="EL248" s="121">
        <f>SUM(EL249:EL257)</f>
        <v>4812.2299999999996</v>
      </c>
    </row>
    <row r="249" spans="2:144" s="1" customFormat="1" ht="14.45" customHeight="1" x14ac:dyDescent="0.2">
      <c r="B249" s="124"/>
      <c r="C249" s="125" t="s">
        <v>497</v>
      </c>
      <c r="D249" s="125" t="s">
        <v>284</v>
      </c>
      <c r="E249" s="126" t="s">
        <v>1929</v>
      </c>
      <c r="F249" s="127" t="s">
        <v>1930</v>
      </c>
      <c r="G249" s="128" t="s">
        <v>366</v>
      </c>
      <c r="H249" s="129">
        <v>0.95199999999999996</v>
      </c>
      <c r="I249" s="130">
        <v>3431.8783609800612</v>
      </c>
      <c r="J249" s="131">
        <f>ROUND(I249*H249,2)</f>
        <v>3267.15</v>
      </c>
      <c r="K249" s="127" t="s">
        <v>293</v>
      </c>
      <c r="L249" s="268">
        <f>S249</f>
        <v>0</v>
      </c>
      <c r="M249" s="272">
        <f>ROUND(L249*I249,2)</f>
        <v>0</v>
      </c>
      <c r="N249" s="243"/>
      <c r="O249" s="294">
        <f>ROUND(N249*I249,2)</f>
        <v>0</v>
      </c>
      <c r="P249" s="273">
        <f>H249-L249-N249</f>
        <v>0.95199999999999996</v>
      </c>
      <c r="Q249" s="287">
        <f>ROUND(P249*I249,2)</f>
        <v>3267.15</v>
      </c>
      <c r="R249" s="137"/>
      <c r="S249" s="269">
        <f>W249+Y249+AA249+AC249+AE249+AG249+AI249</f>
        <v>0</v>
      </c>
      <c r="T249" s="269">
        <f>ROUND(S249*I249,2)</f>
        <v>0</v>
      </c>
      <c r="U249" s="269">
        <f>H249-S249</f>
        <v>0.95199999999999996</v>
      </c>
      <c r="V249" s="269">
        <f>ROUND(U249*I249,2)</f>
        <v>3267.15</v>
      </c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CN249" s="132" t="s">
        <v>1</v>
      </c>
      <c r="CO249" s="133" t="s">
        <v>40</v>
      </c>
      <c r="CQ249" s="134">
        <f>CP249*H249</f>
        <v>0</v>
      </c>
      <c r="CR249" s="134">
        <v>2.45343</v>
      </c>
      <c r="CS249" s="134">
        <f>CR249*H249</f>
        <v>2.3356653599999997</v>
      </c>
      <c r="CT249" s="134">
        <v>0</v>
      </c>
      <c r="CU249" s="135">
        <f>CT249*H249</f>
        <v>0</v>
      </c>
      <c r="DS249" s="136" t="s">
        <v>95</v>
      </c>
      <c r="DU249" s="136" t="s">
        <v>284</v>
      </c>
      <c r="DV249" s="136" t="s">
        <v>83</v>
      </c>
      <c r="DZ249" s="16" t="s">
        <v>282</v>
      </c>
      <c r="EF249" s="137">
        <f>IF(CO249="základní",J249,0)</f>
        <v>3267.15</v>
      </c>
      <c r="EG249" s="137">
        <f>IF(CO249="snížená",J249,0)</f>
        <v>0</v>
      </c>
      <c r="EH249" s="137">
        <f>IF(CO249="zákl. přenesená",J249,0)</f>
        <v>0</v>
      </c>
      <c r="EI249" s="137">
        <f>IF(CO249="sníž. přenesená",J249,0)</f>
        <v>0</v>
      </c>
      <c r="EJ249" s="137">
        <f>IF(CO249="nulová",J249,0)</f>
        <v>0</v>
      </c>
      <c r="EK249" s="16" t="s">
        <v>81</v>
      </c>
      <c r="EL249" s="137">
        <f>ROUND(I249*H249,2)</f>
        <v>3267.15</v>
      </c>
      <c r="EM249" s="16" t="s">
        <v>95</v>
      </c>
      <c r="EN249" s="136" t="s">
        <v>2104</v>
      </c>
    </row>
    <row r="250" spans="2:144" s="1" customFormat="1" ht="29.25" x14ac:dyDescent="0.2">
      <c r="B250" s="31"/>
      <c r="D250" s="138" t="s">
        <v>289</v>
      </c>
      <c r="F250" s="139" t="s">
        <v>1932</v>
      </c>
      <c r="I250" s="140"/>
      <c r="L250" s="31"/>
      <c r="N250" s="213"/>
      <c r="O250" s="214"/>
      <c r="Q250" s="229"/>
      <c r="CN250" s="141"/>
      <c r="CU250" s="50"/>
      <c r="DU250" s="16" t="s">
        <v>289</v>
      </c>
      <c r="DV250" s="16" t="s">
        <v>83</v>
      </c>
    </row>
    <row r="251" spans="2:144" s="1" customFormat="1" ht="19.5" x14ac:dyDescent="0.2">
      <c r="B251" s="31"/>
      <c r="D251" s="138" t="s">
        <v>299</v>
      </c>
      <c r="F251" s="142" t="s">
        <v>2051</v>
      </c>
      <c r="I251" s="140"/>
      <c r="L251" s="31"/>
      <c r="N251" s="213"/>
      <c r="O251" s="214"/>
      <c r="Q251" s="229"/>
      <c r="CN251" s="141"/>
      <c r="CU251" s="50"/>
      <c r="DU251" s="16" t="s">
        <v>299</v>
      </c>
      <c r="DV251" s="16" t="s">
        <v>83</v>
      </c>
    </row>
    <row r="252" spans="2:144" s="11" customFormat="1" x14ac:dyDescent="0.2">
      <c r="B252" s="143"/>
      <c r="D252" s="138" t="s">
        <v>301</v>
      </c>
      <c r="E252" s="144" t="s">
        <v>1</v>
      </c>
      <c r="F252" s="145" t="s">
        <v>1933</v>
      </c>
      <c r="H252" s="144" t="s">
        <v>1</v>
      </c>
      <c r="I252" s="146"/>
      <c r="L252" s="143"/>
      <c r="N252" s="215"/>
      <c r="O252" s="216"/>
      <c r="Q252" s="230"/>
      <c r="CN252" s="147"/>
      <c r="CU252" s="148"/>
      <c r="DU252" s="144" t="s">
        <v>301</v>
      </c>
      <c r="DV252" s="144" t="s">
        <v>83</v>
      </c>
      <c r="DW252" s="11" t="s">
        <v>81</v>
      </c>
      <c r="DX252" s="11" t="s">
        <v>32</v>
      </c>
      <c r="DY252" s="11" t="s">
        <v>74</v>
      </c>
      <c r="DZ252" s="144" t="s">
        <v>282</v>
      </c>
    </row>
    <row r="253" spans="2:144" s="12" customFormat="1" x14ac:dyDescent="0.2">
      <c r="B253" s="149"/>
      <c r="D253" s="138" t="s">
        <v>301</v>
      </c>
      <c r="E253" s="150" t="s">
        <v>1</v>
      </c>
      <c r="F253" s="151" t="s">
        <v>1934</v>
      </c>
      <c r="H253" s="152">
        <v>0.95199999999999996</v>
      </c>
      <c r="I253" s="153"/>
      <c r="L253" s="149"/>
      <c r="N253" s="217"/>
      <c r="O253" s="218"/>
      <c r="Q253" s="231"/>
      <c r="CN253" s="154"/>
      <c r="CU253" s="155"/>
      <c r="DU253" s="150" t="s">
        <v>301</v>
      </c>
      <c r="DV253" s="150" t="s">
        <v>83</v>
      </c>
      <c r="DW253" s="12" t="s">
        <v>83</v>
      </c>
      <c r="DX253" s="12" t="s">
        <v>32</v>
      </c>
      <c r="DY253" s="12" t="s">
        <v>81</v>
      </c>
      <c r="DZ253" s="150" t="s">
        <v>282</v>
      </c>
    </row>
    <row r="254" spans="2:144" s="1" customFormat="1" ht="14.45" customHeight="1" x14ac:dyDescent="0.2">
      <c r="B254" s="124"/>
      <c r="C254" s="125" t="s">
        <v>501</v>
      </c>
      <c r="D254" s="125" t="s">
        <v>284</v>
      </c>
      <c r="E254" s="126" t="s">
        <v>1935</v>
      </c>
      <c r="F254" s="127" t="s">
        <v>1936</v>
      </c>
      <c r="G254" s="128" t="s">
        <v>418</v>
      </c>
      <c r="H254" s="129">
        <v>5.5E-2</v>
      </c>
      <c r="I254" s="130">
        <v>28092.34584524966</v>
      </c>
      <c r="J254" s="131">
        <f>ROUND(I254*H254,2)</f>
        <v>1545.08</v>
      </c>
      <c r="K254" s="127" t="s">
        <v>293</v>
      </c>
      <c r="L254" s="268">
        <f>S254</f>
        <v>0</v>
      </c>
      <c r="M254" s="272">
        <f>ROUND(L254*I254,2)</f>
        <v>0</v>
      </c>
      <c r="N254" s="243"/>
      <c r="O254" s="294">
        <f>ROUND(N254*I254,2)</f>
        <v>0</v>
      </c>
      <c r="P254" s="273">
        <f>H254-L254-N254</f>
        <v>5.5E-2</v>
      </c>
      <c r="Q254" s="287">
        <f>ROUND(P254*I254,2)</f>
        <v>1545.08</v>
      </c>
      <c r="R254" s="137"/>
      <c r="S254" s="269">
        <f>W254+Y254+AA254+AC254+AE254+AG254+AI254</f>
        <v>0</v>
      </c>
      <c r="T254" s="269">
        <f>ROUND(S254*I254,2)</f>
        <v>0</v>
      </c>
      <c r="U254" s="269">
        <f>H254-S254</f>
        <v>5.5E-2</v>
      </c>
      <c r="V254" s="269">
        <f>ROUND(U254*I254,2)</f>
        <v>1545.08</v>
      </c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CN254" s="132" t="s">
        <v>1</v>
      </c>
      <c r="CO254" s="133" t="s">
        <v>40</v>
      </c>
      <c r="CQ254" s="134">
        <f>CP254*H254</f>
        <v>0</v>
      </c>
      <c r="CR254" s="134">
        <v>1.06277</v>
      </c>
      <c r="CS254" s="134">
        <f>CR254*H254</f>
        <v>5.845235E-2</v>
      </c>
      <c r="CT254" s="134">
        <v>0</v>
      </c>
      <c r="CU254" s="135">
        <f>CT254*H254</f>
        <v>0</v>
      </c>
      <c r="DS254" s="136" t="s">
        <v>95</v>
      </c>
      <c r="DU254" s="136" t="s">
        <v>284</v>
      </c>
      <c r="DV254" s="136" t="s">
        <v>83</v>
      </c>
      <c r="DZ254" s="16" t="s">
        <v>282</v>
      </c>
      <c r="EF254" s="137">
        <f>IF(CO254="základní",J254,0)</f>
        <v>1545.08</v>
      </c>
      <c r="EG254" s="137">
        <f>IF(CO254="snížená",J254,0)</f>
        <v>0</v>
      </c>
      <c r="EH254" s="137">
        <f>IF(CO254="zákl. přenesená",J254,0)</f>
        <v>0</v>
      </c>
      <c r="EI254" s="137">
        <f>IF(CO254="sníž. přenesená",J254,0)</f>
        <v>0</v>
      </c>
      <c r="EJ254" s="137">
        <f>IF(CO254="nulová",J254,0)</f>
        <v>0</v>
      </c>
      <c r="EK254" s="16" t="s">
        <v>81</v>
      </c>
      <c r="EL254" s="137">
        <f>ROUND(I254*H254,2)</f>
        <v>1545.08</v>
      </c>
      <c r="EM254" s="16" t="s">
        <v>95</v>
      </c>
      <c r="EN254" s="136" t="s">
        <v>2105</v>
      </c>
    </row>
    <row r="255" spans="2:144" s="1" customFormat="1" ht="48.75" x14ac:dyDescent="0.2">
      <c r="B255" s="31"/>
      <c r="D255" s="138" t="s">
        <v>289</v>
      </c>
      <c r="F255" s="139" t="s">
        <v>1938</v>
      </c>
      <c r="I255" s="140"/>
      <c r="L255" s="31"/>
      <c r="N255" s="213"/>
      <c r="O255" s="214"/>
      <c r="Q255" s="229"/>
      <c r="CN255" s="141"/>
      <c r="CU255" s="50"/>
      <c r="DU255" s="16" t="s">
        <v>289</v>
      </c>
      <c r="DV255" s="16" t="s">
        <v>83</v>
      </c>
    </row>
    <row r="256" spans="2:144" s="1" customFormat="1" ht="19.5" x14ac:dyDescent="0.2">
      <c r="B256" s="31"/>
      <c r="D256" s="138" t="s">
        <v>299</v>
      </c>
      <c r="F256" s="142" t="s">
        <v>2051</v>
      </c>
      <c r="I256" s="140"/>
      <c r="L256" s="31"/>
      <c r="N256" s="213"/>
      <c r="O256" s="214"/>
      <c r="Q256" s="229"/>
      <c r="CN256" s="141"/>
      <c r="CU256" s="50"/>
      <c r="DU256" s="16" t="s">
        <v>299</v>
      </c>
      <c r="DV256" s="16" t="s">
        <v>83</v>
      </c>
    </row>
    <row r="257" spans="2:144" s="12" customFormat="1" x14ac:dyDescent="0.2">
      <c r="B257" s="149"/>
      <c r="D257" s="138" t="s">
        <v>301</v>
      </c>
      <c r="E257" s="150" t="s">
        <v>1</v>
      </c>
      <c r="F257" s="151" t="s">
        <v>1939</v>
      </c>
      <c r="H257" s="152">
        <v>5.5E-2</v>
      </c>
      <c r="I257" s="153"/>
      <c r="L257" s="149"/>
      <c r="N257" s="217"/>
      <c r="O257" s="218"/>
      <c r="Q257" s="231"/>
      <c r="CN257" s="154"/>
      <c r="CU257" s="155"/>
      <c r="DU257" s="150" t="s">
        <v>301</v>
      </c>
      <c r="DV257" s="150" t="s">
        <v>83</v>
      </c>
      <c r="DW257" s="12" t="s">
        <v>83</v>
      </c>
      <c r="DX257" s="12" t="s">
        <v>32</v>
      </c>
      <c r="DY257" s="12" t="s">
        <v>81</v>
      </c>
      <c r="DZ257" s="150" t="s">
        <v>282</v>
      </c>
    </row>
    <row r="258" spans="2:144" s="10" customFormat="1" ht="22.9" customHeight="1" x14ac:dyDescent="0.2">
      <c r="B258" s="112"/>
      <c r="D258" s="113" t="s">
        <v>73</v>
      </c>
      <c r="E258" s="122" t="s">
        <v>312</v>
      </c>
      <c r="F258" s="122" t="s">
        <v>520</v>
      </c>
      <c r="I258" s="115"/>
      <c r="J258" s="123">
        <f>EL258</f>
        <v>21203.75</v>
      </c>
      <c r="L258" s="112"/>
      <c r="M258" s="270">
        <f>SUM(M259:M272)</f>
        <v>0</v>
      </c>
      <c r="N258" s="301"/>
      <c r="O258" s="302">
        <f t="shared" ref="O258:V258" si="5">SUM(O259:O272)</f>
        <v>0</v>
      </c>
      <c r="P258" s="270"/>
      <c r="Q258" s="288">
        <f t="shared" si="5"/>
        <v>21203.75</v>
      </c>
      <c r="R258" s="270"/>
      <c r="S258" s="270"/>
      <c r="T258" s="270">
        <f t="shared" si="5"/>
        <v>0</v>
      </c>
      <c r="U258" s="270"/>
      <c r="V258" s="270">
        <f t="shared" si="5"/>
        <v>21203.75</v>
      </c>
      <c r="CN258" s="117"/>
      <c r="CQ258" s="118">
        <f>SUM(CQ259:CQ276)</f>
        <v>0</v>
      </c>
      <c r="CS258" s="118">
        <f>SUM(CS259:CS276)</f>
        <v>0</v>
      </c>
      <c r="CU258" s="119">
        <f>SUM(CU259:CU276)</f>
        <v>0</v>
      </c>
      <c r="DS258" s="113" t="s">
        <v>81</v>
      </c>
      <c r="DU258" s="120" t="s">
        <v>73</v>
      </c>
      <c r="DV258" s="120" t="s">
        <v>81</v>
      </c>
      <c r="DZ258" s="113" t="s">
        <v>282</v>
      </c>
      <c r="EL258" s="121">
        <f>SUM(EL259:EL276)</f>
        <v>21203.75</v>
      </c>
    </row>
    <row r="259" spans="2:144" s="1" customFormat="1" ht="24.2" customHeight="1" x14ac:dyDescent="0.2">
      <c r="B259" s="124"/>
      <c r="C259" s="125" t="s">
        <v>505</v>
      </c>
      <c r="D259" s="125" t="s">
        <v>284</v>
      </c>
      <c r="E259" s="126" t="s">
        <v>522</v>
      </c>
      <c r="F259" s="127" t="s">
        <v>523</v>
      </c>
      <c r="G259" s="128" t="s">
        <v>287</v>
      </c>
      <c r="H259" s="129">
        <v>17.64</v>
      </c>
      <c r="I259" s="130">
        <v>130.95617506780872</v>
      </c>
      <c r="J259" s="131">
        <f>ROUND(I259*H259,2)</f>
        <v>2310.0700000000002</v>
      </c>
      <c r="K259" s="127" t="s">
        <v>293</v>
      </c>
      <c r="L259" s="268">
        <f>S259</f>
        <v>0</v>
      </c>
      <c r="M259" s="272">
        <f>ROUND(L259*I259,2)</f>
        <v>0</v>
      </c>
      <c r="N259" s="243"/>
      <c r="O259" s="294">
        <f>ROUND(N259*I259,2)</f>
        <v>0</v>
      </c>
      <c r="P259" s="273">
        <f>H259-L259-N259</f>
        <v>17.64</v>
      </c>
      <c r="Q259" s="287">
        <f>ROUND(P259*I259,2)</f>
        <v>2310.0700000000002</v>
      </c>
      <c r="R259" s="137"/>
      <c r="S259" s="269">
        <f>W259+Y259+AA259+AC259+AE259+AG259+AI259</f>
        <v>0</v>
      </c>
      <c r="T259" s="269">
        <f>ROUND(S259*I259,2)</f>
        <v>0</v>
      </c>
      <c r="U259" s="269">
        <f>H259-S259</f>
        <v>17.64</v>
      </c>
      <c r="V259" s="269">
        <f>ROUND(U259*I259,2)</f>
        <v>2310.0700000000002</v>
      </c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CN259" s="132" t="s">
        <v>1</v>
      </c>
      <c r="CO259" s="133" t="s">
        <v>40</v>
      </c>
      <c r="CQ259" s="134">
        <f>CP259*H259</f>
        <v>0</v>
      </c>
      <c r="CR259" s="134">
        <v>0</v>
      </c>
      <c r="CS259" s="134">
        <f>CR259*H259</f>
        <v>0</v>
      </c>
      <c r="CT259" s="134">
        <v>0</v>
      </c>
      <c r="CU259" s="135">
        <f>CT259*H259</f>
        <v>0</v>
      </c>
      <c r="DS259" s="136" t="s">
        <v>95</v>
      </c>
      <c r="DU259" s="136" t="s">
        <v>284</v>
      </c>
      <c r="DV259" s="136" t="s">
        <v>83</v>
      </c>
      <c r="DZ259" s="16" t="s">
        <v>282</v>
      </c>
      <c r="EF259" s="137">
        <f>IF(CO259="základní",J259,0)</f>
        <v>2310.0700000000002</v>
      </c>
      <c r="EG259" s="137">
        <f>IF(CO259="snížená",J259,0)</f>
        <v>0</v>
      </c>
      <c r="EH259" s="137">
        <f>IF(CO259="zákl. přenesená",J259,0)</f>
        <v>0</v>
      </c>
      <c r="EI259" s="137">
        <f>IF(CO259="sníž. přenesená",J259,0)</f>
        <v>0</v>
      </c>
      <c r="EJ259" s="137">
        <f>IF(CO259="nulová",J259,0)</f>
        <v>0</v>
      </c>
      <c r="EK259" s="16" t="s">
        <v>81</v>
      </c>
      <c r="EL259" s="137">
        <f>ROUND(I259*H259,2)</f>
        <v>2310.0700000000002</v>
      </c>
      <c r="EM259" s="16" t="s">
        <v>95</v>
      </c>
      <c r="EN259" s="136" t="s">
        <v>2106</v>
      </c>
    </row>
    <row r="260" spans="2:144" s="1" customFormat="1" ht="19.5" x14ac:dyDescent="0.2">
      <c r="B260" s="31"/>
      <c r="D260" s="138" t="s">
        <v>289</v>
      </c>
      <c r="F260" s="139" t="s">
        <v>525</v>
      </c>
      <c r="I260" s="140"/>
      <c r="L260" s="31"/>
      <c r="N260" s="213"/>
      <c r="O260" s="214"/>
      <c r="Q260" s="229"/>
      <c r="CN260" s="141"/>
      <c r="CU260" s="50"/>
      <c r="DU260" s="16" t="s">
        <v>289</v>
      </c>
      <c r="DV260" s="16" t="s">
        <v>83</v>
      </c>
    </row>
    <row r="261" spans="2:144" s="1" customFormat="1" ht="14.45" customHeight="1" x14ac:dyDescent="0.2">
      <c r="B261" s="124"/>
      <c r="C261" s="125" t="s">
        <v>510</v>
      </c>
      <c r="D261" s="125" t="s">
        <v>284</v>
      </c>
      <c r="E261" s="126" t="s">
        <v>527</v>
      </c>
      <c r="F261" s="127" t="s">
        <v>528</v>
      </c>
      <c r="G261" s="128" t="s">
        <v>287</v>
      </c>
      <c r="H261" s="129">
        <v>17.64</v>
      </c>
      <c r="I261" s="130">
        <v>200.20823792465458</v>
      </c>
      <c r="J261" s="131">
        <f>ROUND(I261*H261,2)</f>
        <v>3531.67</v>
      </c>
      <c r="K261" s="127" t="s">
        <v>293</v>
      </c>
      <c r="L261" s="268">
        <f>S261</f>
        <v>0</v>
      </c>
      <c r="M261" s="272">
        <f>ROUND(L261*I261,2)</f>
        <v>0</v>
      </c>
      <c r="N261" s="243"/>
      <c r="O261" s="294">
        <f>ROUND(N261*I261,2)</f>
        <v>0</v>
      </c>
      <c r="P261" s="273">
        <f>H261-L261-N261</f>
        <v>17.64</v>
      </c>
      <c r="Q261" s="287">
        <f>ROUND(P261*I261,2)</f>
        <v>3531.67</v>
      </c>
      <c r="R261" s="137"/>
      <c r="S261" s="269">
        <f>W261+Y261+AA261+AC261+AE261+AG261+AI261</f>
        <v>0</v>
      </c>
      <c r="T261" s="269">
        <f>ROUND(S261*I261,2)</f>
        <v>0</v>
      </c>
      <c r="U261" s="269">
        <f>H261-S261</f>
        <v>17.64</v>
      </c>
      <c r="V261" s="269">
        <f>ROUND(U261*I261,2)</f>
        <v>3531.67</v>
      </c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CN261" s="132" t="s">
        <v>1</v>
      </c>
      <c r="CO261" s="133" t="s">
        <v>40</v>
      </c>
      <c r="CQ261" s="134">
        <f>CP261*H261</f>
        <v>0</v>
      </c>
      <c r="CR261" s="134">
        <v>0</v>
      </c>
      <c r="CS261" s="134">
        <f>CR261*H261</f>
        <v>0</v>
      </c>
      <c r="CT261" s="134">
        <v>0</v>
      </c>
      <c r="CU261" s="135">
        <f>CT261*H261</f>
        <v>0</v>
      </c>
      <c r="DS261" s="136" t="s">
        <v>95</v>
      </c>
      <c r="DU261" s="136" t="s">
        <v>284</v>
      </c>
      <c r="DV261" s="136" t="s">
        <v>83</v>
      </c>
      <c r="DZ261" s="16" t="s">
        <v>282</v>
      </c>
      <c r="EF261" s="137">
        <f>IF(CO261="základní",J261,0)</f>
        <v>3531.67</v>
      </c>
      <c r="EG261" s="137">
        <f>IF(CO261="snížená",J261,0)</f>
        <v>0</v>
      </c>
      <c r="EH261" s="137">
        <f>IF(CO261="zákl. přenesená",J261,0)</f>
        <v>0</v>
      </c>
      <c r="EI261" s="137">
        <f>IF(CO261="sníž. přenesená",J261,0)</f>
        <v>0</v>
      </c>
      <c r="EJ261" s="137">
        <f>IF(CO261="nulová",J261,0)</f>
        <v>0</v>
      </c>
      <c r="EK261" s="16" t="s">
        <v>81</v>
      </c>
      <c r="EL261" s="137">
        <f>ROUND(I261*H261,2)</f>
        <v>3531.67</v>
      </c>
      <c r="EM261" s="16" t="s">
        <v>95</v>
      </c>
      <c r="EN261" s="136" t="s">
        <v>2107</v>
      </c>
    </row>
    <row r="262" spans="2:144" s="1" customFormat="1" ht="19.5" x14ac:dyDescent="0.2">
      <c r="B262" s="31"/>
      <c r="D262" s="138" t="s">
        <v>289</v>
      </c>
      <c r="F262" s="139" t="s">
        <v>530</v>
      </c>
      <c r="I262" s="140"/>
      <c r="L262" s="31"/>
      <c r="N262" s="213"/>
      <c r="O262" s="214"/>
      <c r="Q262" s="229"/>
      <c r="CN262" s="141"/>
      <c r="CU262" s="50"/>
      <c r="DU262" s="16" t="s">
        <v>289</v>
      </c>
      <c r="DV262" s="16" t="s">
        <v>83</v>
      </c>
    </row>
    <row r="263" spans="2:144" s="1" customFormat="1" ht="24.2" customHeight="1" x14ac:dyDescent="0.2">
      <c r="B263" s="124"/>
      <c r="C263" s="125" t="s">
        <v>514</v>
      </c>
      <c r="D263" s="125" t="s">
        <v>284</v>
      </c>
      <c r="E263" s="126" t="s">
        <v>532</v>
      </c>
      <c r="F263" s="127" t="s">
        <v>533</v>
      </c>
      <c r="G263" s="128" t="s">
        <v>287</v>
      </c>
      <c r="H263" s="129">
        <v>17.64</v>
      </c>
      <c r="I263" s="130">
        <v>40.878739778868102</v>
      </c>
      <c r="J263" s="131">
        <f>ROUND(I263*H263,2)</f>
        <v>721.1</v>
      </c>
      <c r="K263" s="127" t="s">
        <v>293</v>
      </c>
      <c r="L263" s="268">
        <f>S263</f>
        <v>0</v>
      </c>
      <c r="M263" s="272">
        <f>ROUND(L263*I263,2)</f>
        <v>0</v>
      </c>
      <c r="N263" s="243"/>
      <c r="O263" s="294">
        <f>ROUND(N263*I263,2)</f>
        <v>0</v>
      </c>
      <c r="P263" s="273">
        <f>H263-L263-N263</f>
        <v>17.64</v>
      </c>
      <c r="Q263" s="287">
        <f>ROUND(P263*I263,2)</f>
        <v>721.1</v>
      </c>
      <c r="R263" s="137"/>
      <c r="S263" s="269">
        <f>W263+Y263+AA263+AC263+AE263+AG263+AI263</f>
        <v>0</v>
      </c>
      <c r="T263" s="269">
        <f>ROUND(S263*I263,2)</f>
        <v>0</v>
      </c>
      <c r="U263" s="269">
        <f>H263-S263</f>
        <v>17.64</v>
      </c>
      <c r="V263" s="269">
        <f>ROUND(U263*I263,2)</f>
        <v>721.1</v>
      </c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CN263" s="132" t="s">
        <v>1</v>
      </c>
      <c r="CO263" s="133" t="s">
        <v>40</v>
      </c>
      <c r="CQ263" s="134">
        <f>CP263*H263</f>
        <v>0</v>
      </c>
      <c r="CR263" s="134">
        <v>0</v>
      </c>
      <c r="CS263" s="134">
        <f>CR263*H263</f>
        <v>0</v>
      </c>
      <c r="CT263" s="134">
        <v>0</v>
      </c>
      <c r="CU263" s="135">
        <f>CT263*H263</f>
        <v>0</v>
      </c>
      <c r="DS263" s="136" t="s">
        <v>95</v>
      </c>
      <c r="DU263" s="136" t="s">
        <v>284</v>
      </c>
      <c r="DV263" s="136" t="s">
        <v>83</v>
      </c>
      <c r="DZ263" s="16" t="s">
        <v>282</v>
      </c>
      <c r="EF263" s="137">
        <f>IF(CO263="základní",J263,0)</f>
        <v>721.1</v>
      </c>
      <c r="EG263" s="137">
        <f>IF(CO263="snížená",J263,0)</f>
        <v>0</v>
      </c>
      <c r="EH263" s="137">
        <f>IF(CO263="zákl. přenesená",J263,0)</f>
        <v>0</v>
      </c>
      <c r="EI263" s="137">
        <f>IF(CO263="sníž. přenesená",J263,0)</f>
        <v>0</v>
      </c>
      <c r="EJ263" s="137">
        <f>IF(CO263="nulová",J263,0)</f>
        <v>0</v>
      </c>
      <c r="EK263" s="16" t="s">
        <v>81</v>
      </c>
      <c r="EL263" s="137">
        <f>ROUND(I263*H263,2)</f>
        <v>721.1</v>
      </c>
      <c r="EM263" s="16" t="s">
        <v>95</v>
      </c>
      <c r="EN263" s="136" t="s">
        <v>2108</v>
      </c>
    </row>
    <row r="264" spans="2:144" s="1" customFormat="1" ht="19.5" x14ac:dyDescent="0.2">
      <c r="B264" s="31"/>
      <c r="D264" s="138" t="s">
        <v>289</v>
      </c>
      <c r="F264" s="139" t="s">
        <v>535</v>
      </c>
      <c r="I264" s="140"/>
      <c r="L264" s="31"/>
      <c r="N264" s="213"/>
      <c r="O264" s="214"/>
      <c r="Q264" s="229"/>
      <c r="CN264" s="141"/>
      <c r="CU264" s="50"/>
      <c r="DU264" s="16" t="s">
        <v>289</v>
      </c>
      <c r="DV264" s="16" t="s">
        <v>83</v>
      </c>
    </row>
    <row r="265" spans="2:144" s="1" customFormat="1" ht="24.2" customHeight="1" x14ac:dyDescent="0.2">
      <c r="B265" s="124"/>
      <c r="C265" s="125" t="s">
        <v>521</v>
      </c>
      <c r="D265" s="125" t="s">
        <v>284</v>
      </c>
      <c r="E265" s="126" t="s">
        <v>537</v>
      </c>
      <c r="F265" s="127" t="s">
        <v>538</v>
      </c>
      <c r="G265" s="128" t="s">
        <v>287</v>
      </c>
      <c r="H265" s="129">
        <v>17.64</v>
      </c>
      <c r="I265" s="130">
        <v>362.67856108310502</v>
      </c>
      <c r="J265" s="131">
        <f>ROUND(I265*H265,2)</f>
        <v>6397.65</v>
      </c>
      <c r="K265" s="127" t="s">
        <v>293</v>
      </c>
      <c r="L265" s="268">
        <f>S265</f>
        <v>0</v>
      </c>
      <c r="M265" s="272">
        <f>ROUND(L265*I265,2)</f>
        <v>0</v>
      </c>
      <c r="N265" s="243"/>
      <c r="O265" s="294">
        <f>ROUND(N265*I265,2)</f>
        <v>0</v>
      </c>
      <c r="P265" s="273">
        <f>H265-L265-N265</f>
        <v>17.64</v>
      </c>
      <c r="Q265" s="287">
        <f>ROUND(P265*I265,2)</f>
        <v>6397.65</v>
      </c>
      <c r="R265" s="137"/>
      <c r="S265" s="269">
        <f>W265+Y265+AA265+AC265+AE265+AG265+AI265</f>
        <v>0</v>
      </c>
      <c r="T265" s="269">
        <f>ROUND(S265*I265,2)</f>
        <v>0</v>
      </c>
      <c r="U265" s="269">
        <f>H265-S265</f>
        <v>17.64</v>
      </c>
      <c r="V265" s="269">
        <f>ROUND(U265*I265,2)</f>
        <v>6397.65</v>
      </c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CN265" s="132" t="s">
        <v>1</v>
      </c>
      <c r="CO265" s="133" t="s">
        <v>40</v>
      </c>
      <c r="CQ265" s="134">
        <f>CP265*H265</f>
        <v>0</v>
      </c>
      <c r="CR265" s="134">
        <v>0</v>
      </c>
      <c r="CS265" s="134">
        <f>CR265*H265</f>
        <v>0</v>
      </c>
      <c r="CT265" s="134">
        <v>0</v>
      </c>
      <c r="CU265" s="135">
        <f>CT265*H265</f>
        <v>0</v>
      </c>
      <c r="DS265" s="136" t="s">
        <v>95</v>
      </c>
      <c r="DU265" s="136" t="s">
        <v>284</v>
      </c>
      <c r="DV265" s="136" t="s">
        <v>83</v>
      </c>
      <c r="DZ265" s="16" t="s">
        <v>282</v>
      </c>
      <c r="EF265" s="137">
        <f>IF(CO265="základní",J265,0)</f>
        <v>6397.65</v>
      </c>
      <c r="EG265" s="137">
        <f>IF(CO265="snížená",J265,0)</f>
        <v>0</v>
      </c>
      <c r="EH265" s="137">
        <f>IF(CO265="zákl. přenesená",J265,0)</f>
        <v>0</v>
      </c>
      <c r="EI265" s="137">
        <f>IF(CO265="sníž. přenesená",J265,0)</f>
        <v>0</v>
      </c>
      <c r="EJ265" s="137">
        <f>IF(CO265="nulová",J265,0)</f>
        <v>0</v>
      </c>
      <c r="EK265" s="16" t="s">
        <v>81</v>
      </c>
      <c r="EL265" s="137">
        <f>ROUND(I265*H265,2)</f>
        <v>6397.65</v>
      </c>
      <c r="EM265" s="16" t="s">
        <v>95</v>
      </c>
      <c r="EN265" s="136" t="s">
        <v>2109</v>
      </c>
    </row>
    <row r="266" spans="2:144" s="1" customFormat="1" ht="29.25" x14ac:dyDescent="0.2">
      <c r="B266" s="31"/>
      <c r="D266" s="138" t="s">
        <v>289</v>
      </c>
      <c r="F266" s="139" t="s">
        <v>540</v>
      </c>
      <c r="I266" s="140"/>
      <c r="L266" s="31"/>
      <c r="N266" s="213"/>
      <c r="O266" s="214"/>
      <c r="Q266" s="229"/>
      <c r="CN266" s="141"/>
      <c r="CU266" s="50"/>
      <c r="DU266" s="16" t="s">
        <v>289</v>
      </c>
      <c r="DV266" s="16" t="s">
        <v>83</v>
      </c>
    </row>
    <row r="267" spans="2:144" s="1" customFormat="1" ht="19.5" x14ac:dyDescent="0.2">
      <c r="B267" s="31"/>
      <c r="D267" s="138" t="s">
        <v>299</v>
      </c>
      <c r="F267" s="142" t="s">
        <v>2051</v>
      </c>
      <c r="I267" s="140"/>
      <c r="L267" s="31"/>
      <c r="N267" s="213"/>
      <c r="O267" s="214"/>
      <c r="Q267" s="229"/>
      <c r="CN267" s="141"/>
      <c r="CU267" s="50"/>
      <c r="DU267" s="16" t="s">
        <v>299</v>
      </c>
      <c r="DV267" s="16" t="s">
        <v>83</v>
      </c>
    </row>
    <row r="268" spans="2:144" s="11" customFormat="1" x14ac:dyDescent="0.2">
      <c r="B268" s="143"/>
      <c r="D268" s="138" t="s">
        <v>301</v>
      </c>
      <c r="E268" s="144" t="s">
        <v>1</v>
      </c>
      <c r="F268" s="145" t="s">
        <v>541</v>
      </c>
      <c r="H268" s="144" t="s">
        <v>1</v>
      </c>
      <c r="I268" s="146"/>
      <c r="L268" s="143"/>
      <c r="N268" s="215"/>
      <c r="O268" s="216"/>
      <c r="Q268" s="230"/>
      <c r="CN268" s="147"/>
      <c r="CU268" s="148"/>
      <c r="DU268" s="144" t="s">
        <v>301</v>
      </c>
      <c r="DV268" s="144" t="s">
        <v>83</v>
      </c>
      <c r="DW268" s="11" t="s">
        <v>81</v>
      </c>
      <c r="DX268" s="11" t="s">
        <v>32</v>
      </c>
      <c r="DY268" s="11" t="s">
        <v>74</v>
      </c>
      <c r="DZ268" s="144" t="s">
        <v>282</v>
      </c>
    </row>
    <row r="269" spans="2:144" s="12" customFormat="1" x14ac:dyDescent="0.2">
      <c r="B269" s="149"/>
      <c r="D269" s="138" t="s">
        <v>301</v>
      </c>
      <c r="E269" s="150" t="s">
        <v>1</v>
      </c>
      <c r="F269" s="151" t="s">
        <v>2110</v>
      </c>
      <c r="H269" s="152">
        <v>17.64</v>
      </c>
      <c r="I269" s="153"/>
      <c r="L269" s="149"/>
      <c r="N269" s="217"/>
      <c r="O269" s="218"/>
      <c r="Q269" s="231"/>
      <c r="CN269" s="154"/>
      <c r="CU269" s="155"/>
      <c r="DU269" s="150" t="s">
        <v>301</v>
      </c>
      <c r="DV269" s="150" t="s">
        <v>83</v>
      </c>
      <c r="DW269" s="12" t="s">
        <v>83</v>
      </c>
      <c r="DX269" s="12" t="s">
        <v>32</v>
      </c>
      <c r="DY269" s="12" t="s">
        <v>81</v>
      </c>
      <c r="DZ269" s="150" t="s">
        <v>282</v>
      </c>
    </row>
    <row r="270" spans="2:144" s="1" customFormat="1" ht="14.45" customHeight="1" x14ac:dyDescent="0.2">
      <c r="B270" s="124"/>
      <c r="C270" s="125" t="s">
        <v>526</v>
      </c>
      <c r="D270" s="125" t="s">
        <v>284</v>
      </c>
      <c r="E270" s="126" t="s">
        <v>544</v>
      </c>
      <c r="F270" s="127" t="s">
        <v>545</v>
      </c>
      <c r="G270" s="128" t="s">
        <v>287</v>
      </c>
      <c r="H270" s="129">
        <v>20.25</v>
      </c>
      <c r="I270" s="130">
        <v>18.105699236185</v>
      </c>
      <c r="J270" s="131">
        <f>ROUND(I270*H270,2)</f>
        <v>366.64</v>
      </c>
      <c r="K270" s="127" t="s">
        <v>293</v>
      </c>
      <c r="L270" s="268">
        <f>S270</f>
        <v>0</v>
      </c>
      <c r="M270" s="272">
        <f>ROUND(L270*I270,2)</f>
        <v>0</v>
      </c>
      <c r="N270" s="243"/>
      <c r="O270" s="294">
        <f>ROUND(N270*I270,2)</f>
        <v>0</v>
      </c>
      <c r="P270" s="273">
        <f>H270-L270-N270</f>
        <v>20.25</v>
      </c>
      <c r="Q270" s="287">
        <f>ROUND(P270*I270,2)</f>
        <v>366.64</v>
      </c>
      <c r="R270" s="137"/>
      <c r="S270" s="269">
        <f>W270+Y270+AA270+AC270+AE270+AG270+AI270</f>
        <v>0</v>
      </c>
      <c r="T270" s="269">
        <f>ROUND(S270*I270,2)</f>
        <v>0</v>
      </c>
      <c r="U270" s="269">
        <f>H270-S270</f>
        <v>20.25</v>
      </c>
      <c r="V270" s="269">
        <f>ROUND(U270*I270,2)</f>
        <v>366.64</v>
      </c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CN270" s="132" t="s">
        <v>1</v>
      </c>
      <c r="CO270" s="133" t="s">
        <v>40</v>
      </c>
      <c r="CQ270" s="134">
        <f>CP270*H270</f>
        <v>0</v>
      </c>
      <c r="CR270" s="134">
        <v>0</v>
      </c>
      <c r="CS270" s="134">
        <f>CR270*H270</f>
        <v>0</v>
      </c>
      <c r="CT270" s="134">
        <v>0</v>
      </c>
      <c r="CU270" s="135">
        <f>CT270*H270</f>
        <v>0</v>
      </c>
      <c r="DS270" s="136" t="s">
        <v>95</v>
      </c>
      <c r="DU270" s="136" t="s">
        <v>284</v>
      </c>
      <c r="DV270" s="136" t="s">
        <v>83</v>
      </c>
      <c r="DZ270" s="16" t="s">
        <v>282</v>
      </c>
      <c r="EF270" s="137">
        <f>IF(CO270="základní",J270,0)</f>
        <v>366.64</v>
      </c>
      <c r="EG270" s="137">
        <f>IF(CO270="snížená",J270,0)</f>
        <v>0</v>
      </c>
      <c r="EH270" s="137">
        <f>IF(CO270="zákl. přenesená",J270,0)</f>
        <v>0</v>
      </c>
      <c r="EI270" s="137">
        <f>IF(CO270="sníž. přenesená",J270,0)</f>
        <v>0</v>
      </c>
      <c r="EJ270" s="137">
        <f>IF(CO270="nulová",J270,0)</f>
        <v>0</v>
      </c>
      <c r="EK270" s="16" t="s">
        <v>81</v>
      </c>
      <c r="EL270" s="137">
        <f>ROUND(I270*H270,2)</f>
        <v>366.64</v>
      </c>
      <c r="EM270" s="16" t="s">
        <v>95</v>
      </c>
      <c r="EN270" s="136" t="s">
        <v>2111</v>
      </c>
    </row>
    <row r="271" spans="2:144" s="1" customFormat="1" ht="19.5" x14ac:dyDescent="0.2">
      <c r="B271" s="31"/>
      <c r="D271" s="138" t="s">
        <v>289</v>
      </c>
      <c r="F271" s="139" t="s">
        <v>547</v>
      </c>
      <c r="I271" s="140"/>
      <c r="L271" s="31"/>
      <c r="N271" s="213"/>
      <c r="O271" s="214"/>
      <c r="Q271" s="229"/>
      <c r="CN271" s="141"/>
      <c r="CU271" s="50"/>
      <c r="DU271" s="16" t="s">
        <v>289</v>
      </c>
      <c r="DV271" s="16" t="s">
        <v>83</v>
      </c>
    </row>
    <row r="272" spans="2:144" s="1" customFormat="1" ht="24.2" customHeight="1" x14ac:dyDescent="0.2">
      <c r="B272" s="124"/>
      <c r="C272" s="125" t="s">
        <v>531</v>
      </c>
      <c r="D272" s="125" t="s">
        <v>284</v>
      </c>
      <c r="E272" s="126" t="s">
        <v>549</v>
      </c>
      <c r="F272" s="127" t="s">
        <v>550</v>
      </c>
      <c r="G272" s="128" t="s">
        <v>287</v>
      </c>
      <c r="H272" s="129">
        <v>20.25</v>
      </c>
      <c r="I272" s="130">
        <v>388.96896513366403</v>
      </c>
      <c r="J272" s="131">
        <f>ROUND(I272*H272,2)</f>
        <v>7876.62</v>
      </c>
      <c r="K272" s="127" t="s">
        <v>293</v>
      </c>
      <c r="L272" s="268">
        <f>S272</f>
        <v>0</v>
      </c>
      <c r="M272" s="272">
        <f>ROUND(L272*I272,2)</f>
        <v>0</v>
      </c>
      <c r="N272" s="243"/>
      <c r="O272" s="294">
        <f>ROUND(N272*I272,2)</f>
        <v>0</v>
      </c>
      <c r="P272" s="273">
        <f>H272-L272-N272</f>
        <v>20.25</v>
      </c>
      <c r="Q272" s="287">
        <f>ROUND(P272*I272,2)</f>
        <v>7876.62</v>
      </c>
      <c r="R272" s="137"/>
      <c r="S272" s="269">
        <f>W272+Y272+AA272+AC272+AE272+AG272+AI272</f>
        <v>0</v>
      </c>
      <c r="T272" s="269">
        <f>ROUND(S272*I272,2)</f>
        <v>0</v>
      </c>
      <c r="U272" s="269">
        <f>H272-S272</f>
        <v>20.25</v>
      </c>
      <c r="V272" s="269">
        <f>ROUND(U272*I272,2)</f>
        <v>7876.62</v>
      </c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CN272" s="132" t="s">
        <v>1</v>
      </c>
      <c r="CO272" s="133" t="s">
        <v>40</v>
      </c>
      <c r="CQ272" s="134">
        <f>CP272*H272</f>
        <v>0</v>
      </c>
      <c r="CR272" s="134">
        <v>0</v>
      </c>
      <c r="CS272" s="134">
        <f>CR272*H272</f>
        <v>0</v>
      </c>
      <c r="CT272" s="134">
        <v>0</v>
      </c>
      <c r="CU272" s="135">
        <f>CT272*H272</f>
        <v>0</v>
      </c>
      <c r="DS272" s="136" t="s">
        <v>95</v>
      </c>
      <c r="DU272" s="136" t="s">
        <v>284</v>
      </c>
      <c r="DV272" s="136" t="s">
        <v>83</v>
      </c>
      <c r="DZ272" s="16" t="s">
        <v>282</v>
      </c>
      <c r="EF272" s="137">
        <f>IF(CO272="základní",J272,0)</f>
        <v>7876.62</v>
      </c>
      <c r="EG272" s="137">
        <f>IF(CO272="snížená",J272,0)</f>
        <v>0</v>
      </c>
      <c r="EH272" s="137">
        <f>IF(CO272="zákl. přenesená",J272,0)</f>
        <v>0</v>
      </c>
      <c r="EI272" s="137">
        <f>IF(CO272="sníž. přenesená",J272,0)</f>
        <v>0</v>
      </c>
      <c r="EJ272" s="137">
        <f>IF(CO272="nulová",J272,0)</f>
        <v>0</v>
      </c>
      <c r="EK272" s="16" t="s">
        <v>81</v>
      </c>
      <c r="EL272" s="137">
        <f>ROUND(I272*H272,2)</f>
        <v>7876.62</v>
      </c>
      <c r="EM272" s="16" t="s">
        <v>95</v>
      </c>
      <c r="EN272" s="136" t="s">
        <v>2112</v>
      </c>
    </row>
    <row r="273" spans="2:144" s="1" customFormat="1" ht="29.25" x14ac:dyDescent="0.2">
      <c r="B273" s="31"/>
      <c r="D273" s="138" t="s">
        <v>289</v>
      </c>
      <c r="F273" s="139" t="s">
        <v>552</v>
      </c>
      <c r="I273" s="140"/>
      <c r="L273" s="31"/>
      <c r="N273" s="213"/>
      <c r="O273" s="214"/>
      <c r="Q273" s="229"/>
      <c r="CN273" s="141"/>
      <c r="CU273" s="50"/>
      <c r="DU273" s="16" t="s">
        <v>289</v>
      </c>
      <c r="DV273" s="16" t="s">
        <v>83</v>
      </c>
    </row>
    <row r="274" spans="2:144" s="1" customFormat="1" ht="19.5" x14ac:dyDescent="0.2">
      <c r="B274" s="31"/>
      <c r="D274" s="138" t="s">
        <v>299</v>
      </c>
      <c r="F274" s="142" t="s">
        <v>2051</v>
      </c>
      <c r="I274" s="140"/>
      <c r="L274" s="31"/>
      <c r="N274" s="213"/>
      <c r="O274" s="214"/>
      <c r="Q274" s="229"/>
      <c r="CN274" s="141"/>
      <c r="CU274" s="50"/>
      <c r="DU274" s="16" t="s">
        <v>299</v>
      </c>
      <c r="DV274" s="16" t="s">
        <v>83</v>
      </c>
    </row>
    <row r="275" spans="2:144" s="11" customFormat="1" x14ac:dyDescent="0.2">
      <c r="B275" s="143"/>
      <c r="D275" s="138" t="s">
        <v>301</v>
      </c>
      <c r="E275" s="144" t="s">
        <v>1</v>
      </c>
      <c r="F275" s="145" t="s">
        <v>553</v>
      </c>
      <c r="H275" s="144" t="s">
        <v>1</v>
      </c>
      <c r="I275" s="146"/>
      <c r="L275" s="143"/>
      <c r="N275" s="215"/>
      <c r="O275" s="216"/>
      <c r="Q275" s="230"/>
      <c r="CN275" s="147"/>
      <c r="CU275" s="148"/>
      <c r="DU275" s="144" t="s">
        <v>301</v>
      </c>
      <c r="DV275" s="144" t="s">
        <v>83</v>
      </c>
      <c r="DW275" s="11" t="s">
        <v>81</v>
      </c>
      <c r="DX275" s="11" t="s">
        <v>32</v>
      </c>
      <c r="DY275" s="11" t="s">
        <v>74</v>
      </c>
      <c r="DZ275" s="144" t="s">
        <v>282</v>
      </c>
    </row>
    <row r="276" spans="2:144" s="12" customFormat="1" x14ac:dyDescent="0.2">
      <c r="B276" s="149"/>
      <c r="D276" s="138" t="s">
        <v>301</v>
      </c>
      <c r="E276" s="150" t="s">
        <v>1</v>
      </c>
      <c r="F276" s="151" t="s">
        <v>2113</v>
      </c>
      <c r="H276" s="152">
        <v>20.25</v>
      </c>
      <c r="I276" s="153"/>
      <c r="L276" s="149"/>
      <c r="N276" s="217"/>
      <c r="O276" s="218"/>
      <c r="Q276" s="231"/>
      <c r="CN276" s="154"/>
      <c r="CU276" s="155"/>
      <c r="DU276" s="150" t="s">
        <v>301</v>
      </c>
      <c r="DV276" s="150" t="s">
        <v>83</v>
      </c>
      <c r="DW276" s="12" t="s">
        <v>83</v>
      </c>
      <c r="DX276" s="12" t="s">
        <v>32</v>
      </c>
      <c r="DY276" s="12" t="s">
        <v>81</v>
      </c>
      <c r="DZ276" s="150" t="s">
        <v>282</v>
      </c>
    </row>
    <row r="277" spans="2:144" s="10" customFormat="1" ht="22.9" customHeight="1" x14ac:dyDescent="0.2">
      <c r="B277" s="112"/>
      <c r="D277" s="113" t="s">
        <v>73</v>
      </c>
      <c r="E277" s="122" t="s">
        <v>335</v>
      </c>
      <c r="F277" s="122" t="s">
        <v>674</v>
      </c>
      <c r="I277" s="115"/>
      <c r="J277" s="123">
        <f>EL277</f>
        <v>2340509.6999999997</v>
      </c>
      <c r="L277" s="112"/>
      <c r="M277" s="270">
        <f>M278+M283</f>
        <v>0</v>
      </c>
      <c r="N277" s="301"/>
      <c r="O277" s="302">
        <f t="shared" ref="O277:V277" si="6">O278+O283</f>
        <v>0</v>
      </c>
      <c r="P277" s="270"/>
      <c r="Q277" s="288">
        <f t="shared" si="6"/>
        <v>2340509.6999999997</v>
      </c>
      <c r="R277" s="270"/>
      <c r="S277" s="270"/>
      <c r="T277" s="270">
        <f t="shared" si="6"/>
        <v>0</v>
      </c>
      <c r="U277" s="270"/>
      <c r="V277" s="270">
        <f t="shared" si="6"/>
        <v>2340509.6999999997</v>
      </c>
      <c r="CN277" s="117"/>
      <c r="CQ277" s="118">
        <f>SUM(CQ278:CQ286)</f>
        <v>0</v>
      </c>
      <c r="CS277" s="118">
        <f>SUM(CS278:CS286)</f>
        <v>8.2907999999999992E-3</v>
      </c>
      <c r="CU277" s="119">
        <f>SUM(CU278:CU286)</f>
        <v>0</v>
      </c>
      <c r="DS277" s="113" t="s">
        <v>81</v>
      </c>
      <c r="DU277" s="120" t="s">
        <v>73</v>
      </c>
      <c r="DV277" s="120" t="s">
        <v>81</v>
      </c>
      <c r="DZ277" s="113" t="s">
        <v>282</v>
      </c>
      <c r="EL277" s="121">
        <f>SUM(EL278:EL286)</f>
        <v>2340509.6999999997</v>
      </c>
    </row>
    <row r="278" spans="2:144" s="1" customFormat="1" ht="37.9" customHeight="1" x14ac:dyDescent="0.2">
      <c r="B278" s="124"/>
      <c r="C278" s="125" t="s">
        <v>536</v>
      </c>
      <c r="D278" s="125" t="s">
        <v>284</v>
      </c>
      <c r="E278" s="126" t="s">
        <v>676</v>
      </c>
      <c r="F278" s="127" t="s">
        <v>2114</v>
      </c>
      <c r="G278" s="128" t="s">
        <v>1948</v>
      </c>
      <c r="H278" s="129">
        <v>1</v>
      </c>
      <c r="I278" s="130">
        <v>2339622.7790000001</v>
      </c>
      <c r="J278" s="131">
        <f>ROUND(I278*H278,2)</f>
        <v>2339622.7799999998</v>
      </c>
      <c r="K278" s="127" t="s">
        <v>1</v>
      </c>
      <c r="L278" s="268">
        <f>S278</f>
        <v>0</v>
      </c>
      <c r="M278" s="272">
        <f>ROUND(L278*I278,2)</f>
        <v>0</v>
      </c>
      <c r="N278" s="243"/>
      <c r="O278" s="294">
        <f>ROUND(N278*I278,2)</f>
        <v>0</v>
      </c>
      <c r="P278" s="273">
        <f>H278-L278-N278</f>
        <v>1</v>
      </c>
      <c r="Q278" s="287">
        <f>ROUND(P278*I278,2)</f>
        <v>2339622.7799999998</v>
      </c>
      <c r="R278" s="137"/>
      <c r="S278" s="269">
        <f>W278+Y278+AA278+AC278+AE278+AG278+AI278</f>
        <v>0</v>
      </c>
      <c r="T278" s="269">
        <f>ROUND(S278*I278,2)</f>
        <v>0</v>
      </c>
      <c r="U278" s="269">
        <f>H278-S278</f>
        <v>1</v>
      </c>
      <c r="V278" s="269">
        <f>ROUND(U278*I278,2)</f>
        <v>2339622.7799999998</v>
      </c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CN278" s="132" t="s">
        <v>1</v>
      </c>
      <c r="CO278" s="133" t="s">
        <v>40</v>
      </c>
      <c r="CQ278" s="134">
        <f>CP278*H278</f>
        <v>0</v>
      </c>
      <c r="CR278" s="134">
        <v>0</v>
      </c>
      <c r="CS278" s="134">
        <f>CR278*H278</f>
        <v>0</v>
      </c>
      <c r="CT278" s="134">
        <v>0</v>
      </c>
      <c r="CU278" s="135">
        <f>CT278*H278</f>
        <v>0</v>
      </c>
      <c r="DS278" s="136" t="s">
        <v>95</v>
      </c>
      <c r="DU278" s="136" t="s">
        <v>284</v>
      </c>
      <c r="DV278" s="136" t="s">
        <v>83</v>
      </c>
      <c r="DZ278" s="16" t="s">
        <v>282</v>
      </c>
      <c r="EF278" s="137">
        <f>IF(CO278="základní",J278,0)</f>
        <v>2339622.7799999998</v>
      </c>
      <c r="EG278" s="137">
        <f>IF(CO278="snížená",J278,0)</f>
        <v>0</v>
      </c>
      <c r="EH278" s="137">
        <f>IF(CO278="zákl. přenesená",J278,0)</f>
        <v>0</v>
      </c>
      <c r="EI278" s="137">
        <f>IF(CO278="sníž. přenesená",J278,0)</f>
        <v>0</v>
      </c>
      <c r="EJ278" s="137">
        <f>IF(CO278="nulová",J278,0)</f>
        <v>0</v>
      </c>
      <c r="EK278" s="16" t="s">
        <v>81</v>
      </c>
      <c r="EL278" s="137">
        <f>ROUND(I278*H278,2)</f>
        <v>2339622.7799999998</v>
      </c>
      <c r="EM278" s="16" t="s">
        <v>95</v>
      </c>
      <c r="EN278" s="136" t="s">
        <v>2115</v>
      </c>
    </row>
    <row r="279" spans="2:144" s="1" customFormat="1" ht="19.5" x14ac:dyDescent="0.2">
      <c r="B279" s="31"/>
      <c r="D279" s="138" t="s">
        <v>289</v>
      </c>
      <c r="F279" s="139" t="s">
        <v>2114</v>
      </c>
      <c r="I279" s="140"/>
      <c r="L279" s="31"/>
      <c r="N279" s="213"/>
      <c r="O279" s="214"/>
      <c r="Q279" s="229"/>
      <c r="CN279" s="141"/>
      <c r="CU279" s="50"/>
      <c r="DU279" s="16" t="s">
        <v>289</v>
      </c>
      <c r="DV279" s="16" t="s">
        <v>83</v>
      </c>
    </row>
    <row r="280" spans="2:144" s="1" customFormat="1" ht="19.5" x14ac:dyDescent="0.2">
      <c r="B280" s="31"/>
      <c r="D280" s="138" t="s">
        <v>299</v>
      </c>
      <c r="F280" s="142" t="s">
        <v>2051</v>
      </c>
      <c r="I280" s="140"/>
      <c r="L280" s="31"/>
      <c r="N280" s="213"/>
      <c r="O280" s="214"/>
      <c r="Q280" s="229"/>
      <c r="CN280" s="141"/>
      <c r="CU280" s="50"/>
      <c r="DU280" s="16" t="s">
        <v>299</v>
      </c>
      <c r="DV280" s="16" t="s">
        <v>83</v>
      </c>
    </row>
    <row r="281" spans="2:144" s="11" customFormat="1" x14ac:dyDescent="0.2">
      <c r="B281" s="143"/>
      <c r="D281" s="138" t="s">
        <v>301</v>
      </c>
      <c r="E281" s="144" t="s">
        <v>1</v>
      </c>
      <c r="F281" s="145" t="s">
        <v>1950</v>
      </c>
      <c r="H281" s="144" t="s">
        <v>1</v>
      </c>
      <c r="I281" s="146"/>
      <c r="L281" s="143"/>
      <c r="N281" s="215"/>
      <c r="O281" s="216"/>
      <c r="Q281" s="230"/>
      <c r="CN281" s="147"/>
      <c r="CU281" s="148"/>
      <c r="DU281" s="144" t="s">
        <v>301</v>
      </c>
      <c r="DV281" s="144" t="s">
        <v>83</v>
      </c>
      <c r="DW281" s="11" t="s">
        <v>81</v>
      </c>
      <c r="DX281" s="11" t="s">
        <v>32</v>
      </c>
      <c r="DY281" s="11" t="s">
        <v>74</v>
      </c>
      <c r="DZ281" s="144" t="s">
        <v>282</v>
      </c>
    </row>
    <row r="282" spans="2:144" s="12" customFormat="1" x14ac:dyDescent="0.2">
      <c r="B282" s="149"/>
      <c r="D282" s="138" t="s">
        <v>301</v>
      </c>
      <c r="E282" s="150" t="s">
        <v>1</v>
      </c>
      <c r="F282" s="151" t="s">
        <v>2116</v>
      </c>
      <c r="H282" s="152">
        <v>1</v>
      </c>
      <c r="I282" s="153"/>
      <c r="L282" s="149"/>
      <c r="N282" s="217"/>
      <c r="O282" s="218"/>
      <c r="Q282" s="231"/>
      <c r="CN282" s="154"/>
      <c r="CU282" s="155"/>
      <c r="DU282" s="150" t="s">
        <v>301</v>
      </c>
      <c r="DV282" s="150" t="s">
        <v>83</v>
      </c>
      <c r="DW282" s="12" t="s">
        <v>83</v>
      </c>
      <c r="DX282" s="12" t="s">
        <v>32</v>
      </c>
      <c r="DY282" s="12" t="s">
        <v>81</v>
      </c>
      <c r="DZ282" s="150" t="s">
        <v>282</v>
      </c>
    </row>
    <row r="283" spans="2:144" s="1" customFormat="1" ht="24.2" customHeight="1" x14ac:dyDescent="0.2">
      <c r="B283" s="124"/>
      <c r="C283" s="125" t="s">
        <v>543</v>
      </c>
      <c r="D283" s="125" t="s">
        <v>284</v>
      </c>
      <c r="E283" s="126" t="s">
        <v>1952</v>
      </c>
      <c r="F283" s="127" t="s">
        <v>1953</v>
      </c>
      <c r="G283" s="128" t="s">
        <v>287</v>
      </c>
      <c r="H283" s="129">
        <v>17.64</v>
      </c>
      <c r="I283" s="130">
        <v>50.278961448296904</v>
      </c>
      <c r="J283" s="131">
        <f>ROUND(I283*H283,2)</f>
        <v>886.92</v>
      </c>
      <c r="K283" s="127" t="s">
        <v>293</v>
      </c>
      <c r="L283" s="268">
        <f>S283</f>
        <v>0</v>
      </c>
      <c r="M283" s="272">
        <f>ROUND(L283*I283,2)</f>
        <v>0</v>
      </c>
      <c r="N283" s="243"/>
      <c r="O283" s="294">
        <f>ROUND(N283*I283,2)</f>
        <v>0</v>
      </c>
      <c r="P283" s="273">
        <f>H283-L283-N283</f>
        <v>17.64</v>
      </c>
      <c r="Q283" s="287">
        <f>ROUND(P283*I283,2)</f>
        <v>886.92</v>
      </c>
      <c r="R283" s="137"/>
      <c r="S283" s="269">
        <f>W283+Y283+AA283+AC283+AE283+AG283+AI283</f>
        <v>0</v>
      </c>
      <c r="T283" s="269">
        <f>ROUND(S283*I283,2)</f>
        <v>0</v>
      </c>
      <c r="U283" s="269">
        <f>H283-S283</f>
        <v>17.64</v>
      </c>
      <c r="V283" s="269">
        <f>ROUND(U283*I283,2)</f>
        <v>886.92</v>
      </c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CN283" s="132" t="s">
        <v>1</v>
      </c>
      <c r="CO283" s="133" t="s">
        <v>40</v>
      </c>
      <c r="CQ283" s="134">
        <f>CP283*H283</f>
        <v>0</v>
      </c>
      <c r="CR283" s="134">
        <v>4.6999999999999999E-4</v>
      </c>
      <c r="CS283" s="134">
        <f>CR283*H283</f>
        <v>8.2907999999999992E-3</v>
      </c>
      <c r="CT283" s="134">
        <v>0</v>
      </c>
      <c r="CU283" s="135">
        <f>CT283*H283</f>
        <v>0</v>
      </c>
      <c r="DS283" s="136" t="s">
        <v>95</v>
      </c>
      <c r="DU283" s="136" t="s">
        <v>284</v>
      </c>
      <c r="DV283" s="136" t="s">
        <v>83</v>
      </c>
      <c r="DZ283" s="16" t="s">
        <v>282</v>
      </c>
      <c r="EF283" s="137">
        <f>IF(CO283="základní",J283,0)</f>
        <v>886.92</v>
      </c>
      <c r="EG283" s="137">
        <f>IF(CO283="snížená",J283,0)</f>
        <v>0</v>
      </c>
      <c r="EH283" s="137">
        <f>IF(CO283="zákl. přenesená",J283,0)</f>
        <v>0</v>
      </c>
      <c r="EI283" s="137">
        <f>IF(CO283="sníž. přenesená",J283,0)</f>
        <v>0</v>
      </c>
      <c r="EJ283" s="137">
        <f>IF(CO283="nulová",J283,0)</f>
        <v>0</v>
      </c>
      <c r="EK283" s="16" t="s">
        <v>81</v>
      </c>
      <c r="EL283" s="137">
        <f>ROUND(I283*H283,2)</f>
        <v>886.92</v>
      </c>
      <c r="EM283" s="16" t="s">
        <v>95</v>
      </c>
      <c r="EN283" s="136" t="s">
        <v>2117</v>
      </c>
    </row>
    <row r="284" spans="2:144" s="1" customFormat="1" ht="19.5" x14ac:dyDescent="0.2">
      <c r="B284" s="31"/>
      <c r="D284" s="138" t="s">
        <v>289</v>
      </c>
      <c r="F284" s="139" t="s">
        <v>1955</v>
      </c>
      <c r="I284" s="140"/>
      <c r="L284" s="31"/>
      <c r="N284" s="213"/>
      <c r="O284" s="214"/>
      <c r="Q284" s="229"/>
      <c r="CN284" s="141"/>
      <c r="CU284" s="50"/>
      <c r="DU284" s="16" t="s">
        <v>289</v>
      </c>
      <c r="DV284" s="16" t="s">
        <v>83</v>
      </c>
    </row>
    <row r="285" spans="2:144" s="1" customFormat="1" ht="19.5" x14ac:dyDescent="0.2">
      <c r="B285" s="31"/>
      <c r="D285" s="138" t="s">
        <v>299</v>
      </c>
      <c r="F285" s="142" t="s">
        <v>2051</v>
      </c>
      <c r="I285" s="140"/>
      <c r="L285" s="31"/>
      <c r="N285" s="213"/>
      <c r="O285" s="214"/>
      <c r="Q285" s="229"/>
      <c r="CN285" s="141"/>
      <c r="CU285" s="50"/>
      <c r="DU285" s="16" t="s">
        <v>299</v>
      </c>
      <c r="DV285" s="16" t="s">
        <v>83</v>
      </c>
    </row>
    <row r="286" spans="2:144" s="12" customFormat="1" x14ac:dyDescent="0.2">
      <c r="B286" s="149"/>
      <c r="D286" s="138" t="s">
        <v>301</v>
      </c>
      <c r="E286" s="150" t="s">
        <v>1</v>
      </c>
      <c r="F286" s="151" t="s">
        <v>2052</v>
      </c>
      <c r="H286" s="152">
        <v>17.64</v>
      </c>
      <c r="I286" s="153"/>
      <c r="L286" s="149"/>
      <c r="N286" s="217"/>
      <c r="O286" s="218"/>
      <c r="Q286" s="231"/>
      <c r="CN286" s="154"/>
      <c r="CU286" s="155"/>
      <c r="DU286" s="150" t="s">
        <v>301</v>
      </c>
      <c r="DV286" s="150" t="s">
        <v>83</v>
      </c>
      <c r="DW286" s="12" t="s">
        <v>83</v>
      </c>
      <c r="DX286" s="12" t="s">
        <v>32</v>
      </c>
      <c r="DY286" s="12" t="s">
        <v>81</v>
      </c>
      <c r="DZ286" s="150" t="s">
        <v>282</v>
      </c>
    </row>
    <row r="287" spans="2:144" s="10" customFormat="1" ht="22.9" customHeight="1" x14ac:dyDescent="0.2">
      <c r="B287" s="112"/>
      <c r="D287" s="113" t="s">
        <v>73</v>
      </c>
      <c r="E287" s="122" t="s">
        <v>695</v>
      </c>
      <c r="F287" s="122" t="s">
        <v>696</v>
      </c>
      <c r="I287" s="115"/>
      <c r="J287" s="123">
        <f>EL287</f>
        <v>9167.92</v>
      </c>
      <c r="L287" s="112"/>
      <c r="M287" s="270">
        <f>SUM(M288:M304)</f>
        <v>0</v>
      </c>
      <c r="N287" s="301"/>
      <c r="O287" s="302">
        <f t="shared" ref="O287:V287" si="7">SUM(O288:O304)</f>
        <v>0</v>
      </c>
      <c r="P287" s="270"/>
      <c r="Q287" s="288">
        <f t="shared" si="7"/>
        <v>9167.92</v>
      </c>
      <c r="R287" s="270"/>
      <c r="S287" s="270"/>
      <c r="T287" s="270">
        <f t="shared" si="7"/>
        <v>0</v>
      </c>
      <c r="U287" s="270"/>
      <c r="V287" s="270">
        <f t="shared" si="7"/>
        <v>9167.92</v>
      </c>
      <c r="CN287" s="117"/>
      <c r="CQ287" s="118">
        <f>SUM(CQ288:CQ306)</f>
        <v>0</v>
      </c>
      <c r="CS287" s="118">
        <f>SUM(CS288:CS306)</f>
        <v>0</v>
      </c>
      <c r="CU287" s="119">
        <f>SUM(CU288:CU306)</f>
        <v>0</v>
      </c>
      <c r="DS287" s="113" t="s">
        <v>81</v>
      </c>
      <c r="DU287" s="120" t="s">
        <v>73</v>
      </c>
      <c r="DV287" s="120" t="s">
        <v>81</v>
      </c>
      <c r="DZ287" s="113" t="s">
        <v>282</v>
      </c>
      <c r="EL287" s="121">
        <f>SUM(EL288:EL306)</f>
        <v>9167.92</v>
      </c>
    </row>
    <row r="288" spans="2:144" s="1" customFormat="1" ht="14.45" customHeight="1" x14ac:dyDescent="0.2">
      <c r="B288" s="124"/>
      <c r="C288" s="125" t="s">
        <v>548</v>
      </c>
      <c r="D288" s="125" t="s">
        <v>284</v>
      </c>
      <c r="E288" s="126" t="s">
        <v>698</v>
      </c>
      <c r="F288" s="127" t="s">
        <v>699</v>
      </c>
      <c r="G288" s="128" t="s">
        <v>418</v>
      </c>
      <c r="H288" s="129">
        <v>24.52</v>
      </c>
      <c r="I288" s="130">
        <v>40.477390926043419</v>
      </c>
      <c r="J288" s="131">
        <f>ROUND(I288*H288,2)</f>
        <v>992.51</v>
      </c>
      <c r="K288" s="127" t="s">
        <v>293</v>
      </c>
      <c r="L288" s="268">
        <f>S288</f>
        <v>0</v>
      </c>
      <c r="M288" s="272">
        <f>ROUND(L288*I288,2)</f>
        <v>0</v>
      </c>
      <c r="N288" s="243"/>
      <c r="O288" s="294">
        <f>ROUND(N288*I288,2)</f>
        <v>0</v>
      </c>
      <c r="P288" s="273">
        <f>H288-L288-N288</f>
        <v>24.52</v>
      </c>
      <c r="Q288" s="287">
        <f>ROUND(P288*I288,2)</f>
        <v>992.51</v>
      </c>
      <c r="R288" s="137"/>
      <c r="S288" s="269">
        <f>W288+Y288+AA288+AC288+AE288+AG288+AI288</f>
        <v>0</v>
      </c>
      <c r="T288" s="269">
        <f>ROUND(S288*I288,2)</f>
        <v>0</v>
      </c>
      <c r="U288" s="269">
        <f>H288-S288</f>
        <v>24.52</v>
      </c>
      <c r="V288" s="269">
        <f>ROUND(U288*I288,2)</f>
        <v>992.51</v>
      </c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CN288" s="132" t="s">
        <v>1</v>
      </c>
      <c r="CO288" s="133" t="s">
        <v>40</v>
      </c>
      <c r="CQ288" s="134">
        <f>CP288*H288</f>
        <v>0</v>
      </c>
      <c r="CR288" s="134">
        <v>0</v>
      </c>
      <c r="CS288" s="134">
        <f>CR288*H288</f>
        <v>0</v>
      </c>
      <c r="CT288" s="134">
        <v>0</v>
      </c>
      <c r="CU288" s="135">
        <f>CT288*H288</f>
        <v>0</v>
      </c>
      <c r="DS288" s="136" t="s">
        <v>95</v>
      </c>
      <c r="DU288" s="136" t="s">
        <v>284</v>
      </c>
      <c r="DV288" s="136" t="s">
        <v>83</v>
      </c>
      <c r="DZ288" s="16" t="s">
        <v>282</v>
      </c>
      <c r="EF288" s="137">
        <f>IF(CO288="základní",J288,0)</f>
        <v>992.51</v>
      </c>
      <c r="EG288" s="137">
        <f>IF(CO288="snížená",J288,0)</f>
        <v>0</v>
      </c>
      <c r="EH288" s="137">
        <f>IF(CO288="zákl. přenesená",J288,0)</f>
        <v>0</v>
      </c>
      <c r="EI288" s="137">
        <f>IF(CO288="sníž. přenesená",J288,0)</f>
        <v>0</v>
      </c>
      <c r="EJ288" s="137">
        <f>IF(CO288="nulová",J288,0)</f>
        <v>0</v>
      </c>
      <c r="EK288" s="16" t="s">
        <v>81</v>
      </c>
      <c r="EL288" s="137">
        <f>ROUND(I288*H288,2)</f>
        <v>992.51</v>
      </c>
      <c r="EM288" s="16" t="s">
        <v>95</v>
      </c>
      <c r="EN288" s="136" t="s">
        <v>2118</v>
      </c>
    </row>
    <row r="289" spans="2:144" s="1" customFormat="1" ht="19.5" x14ac:dyDescent="0.2">
      <c r="B289" s="31"/>
      <c r="D289" s="138" t="s">
        <v>289</v>
      </c>
      <c r="F289" s="139" t="s">
        <v>701</v>
      </c>
      <c r="I289" s="140"/>
      <c r="L289" s="31"/>
      <c r="N289" s="213"/>
      <c r="O289" s="214"/>
      <c r="Q289" s="229"/>
      <c r="CN289" s="141"/>
      <c r="CU289" s="50"/>
      <c r="DU289" s="16" t="s">
        <v>289</v>
      </c>
      <c r="DV289" s="16" t="s">
        <v>83</v>
      </c>
    </row>
    <row r="290" spans="2:144" s="12" customFormat="1" x14ac:dyDescent="0.2">
      <c r="B290" s="149"/>
      <c r="D290" s="138" t="s">
        <v>301</v>
      </c>
      <c r="E290" s="150" t="s">
        <v>1</v>
      </c>
      <c r="F290" s="151" t="s">
        <v>2119</v>
      </c>
      <c r="H290" s="152">
        <v>20.462</v>
      </c>
      <c r="I290" s="153"/>
      <c r="L290" s="149"/>
      <c r="N290" s="217"/>
      <c r="O290" s="218"/>
      <c r="Q290" s="231"/>
      <c r="CN290" s="154"/>
      <c r="CU290" s="155"/>
      <c r="DU290" s="150" t="s">
        <v>301</v>
      </c>
      <c r="DV290" s="150" t="s">
        <v>83</v>
      </c>
      <c r="DW290" s="12" t="s">
        <v>83</v>
      </c>
      <c r="DX290" s="12" t="s">
        <v>32</v>
      </c>
      <c r="DY290" s="12" t="s">
        <v>74</v>
      </c>
      <c r="DZ290" s="150" t="s">
        <v>282</v>
      </c>
    </row>
    <row r="291" spans="2:144" s="12" customFormat="1" x14ac:dyDescent="0.2">
      <c r="B291" s="149"/>
      <c r="D291" s="138" t="s">
        <v>301</v>
      </c>
      <c r="E291" s="150" t="s">
        <v>1</v>
      </c>
      <c r="F291" s="151" t="s">
        <v>2120</v>
      </c>
      <c r="H291" s="152">
        <v>4.0579999999999998</v>
      </c>
      <c r="I291" s="153"/>
      <c r="L291" s="149"/>
      <c r="N291" s="217"/>
      <c r="O291" s="218"/>
      <c r="Q291" s="231"/>
      <c r="CN291" s="154"/>
      <c r="CU291" s="155"/>
      <c r="DU291" s="150" t="s">
        <v>301</v>
      </c>
      <c r="DV291" s="150" t="s">
        <v>83</v>
      </c>
      <c r="DW291" s="12" t="s">
        <v>83</v>
      </c>
      <c r="DX291" s="12" t="s">
        <v>32</v>
      </c>
      <c r="DY291" s="12" t="s">
        <v>74</v>
      </c>
      <c r="DZ291" s="150" t="s">
        <v>282</v>
      </c>
    </row>
    <row r="292" spans="2:144" s="13" customFormat="1" x14ac:dyDescent="0.2">
      <c r="B292" s="156"/>
      <c r="D292" s="138" t="s">
        <v>301</v>
      </c>
      <c r="E292" s="157" t="s">
        <v>1</v>
      </c>
      <c r="F292" s="158" t="s">
        <v>305</v>
      </c>
      <c r="H292" s="159">
        <v>24.52</v>
      </c>
      <c r="I292" s="160"/>
      <c r="L292" s="156"/>
      <c r="N292" s="219"/>
      <c r="O292" s="220"/>
      <c r="Q292" s="232"/>
      <c r="CN292" s="161"/>
      <c r="CU292" s="162"/>
      <c r="DU292" s="157" t="s">
        <v>301</v>
      </c>
      <c r="DV292" s="157" t="s">
        <v>83</v>
      </c>
      <c r="DW292" s="13" t="s">
        <v>95</v>
      </c>
      <c r="DX292" s="13" t="s">
        <v>32</v>
      </c>
      <c r="DY292" s="13" t="s">
        <v>81</v>
      </c>
      <c r="DZ292" s="157" t="s">
        <v>282</v>
      </c>
    </row>
    <row r="293" spans="2:144" s="1" customFormat="1" ht="24.2" customHeight="1" x14ac:dyDescent="0.2">
      <c r="B293" s="124"/>
      <c r="C293" s="125" t="s">
        <v>556</v>
      </c>
      <c r="D293" s="125" t="s">
        <v>284</v>
      </c>
      <c r="E293" s="126" t="s">
        <v>705</v>
      </c>
      <c r="F293" s="127" t="s">
        <v>706</v>
      </c>
      <c r="G293" s="128" t="s">
        <v>418</v>
      </c>
      <c r="H293" s="129">
        <v>343.28</v>
      </c>
      <c r="I293" s="130">
        <v>3.1192340975392101</v>
      </c>
      <c r="J293" s="131">
        <f>ROUND(I293*H293,2)</f>
        <v>1070.77</v>
      </c>
      <c r="K293" s="127" t="s">
        <v>293</v>
      </c>
      <c r="L293" s="268">
        <f>S293</f>
        <v>0</v>
      </c>
      <c r="M293" s="272">
        <f>ROUND(L293*I293,2)</f>
        <v>0</v>
      </c>
      <c r="N293" s="243"/>
      <c r="O293" s="294">
        <f>ROUND(N293*I293,2)</f>
        <v>0</v>
      </c>
      <c r="P293" s="273">
        <f>H293-L293-N293</f>
        <v>343.28</v>
      </c>
      <c r="Q293" s="287">
        <f>ROUND(P293*I293,2)</f>
        <v>1070.77</v>
      </c>
      <c r="R293" s="137"/>
      <c r="S293" s="269">
        <f>W293+Y293+AA293+AC293+AE293+AG293+AI293</f>
        <v>0</v>
      </c>
      <c r="T293" s="269">
        <f>ROUND(S293*I293,2)</f>
        <v>0</v>
      </c>
      <c r="U293" s="269">
        <f>H293-S293</f>
        <v>343.28</v>
      </c>
      <c r="V293" s="269">
        <f>ROUND(U293*I293,2)</f>
        <v>1070.77</v>
      </c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CN293" s="132" t="s">
        <v>1</v>
      </c>
      <c r="CO293" s="133" t="s">
        <v>40</v>
      </c>
      <c r="CQ293" s="134">
        <f>CP293*H293</f>
        <v>0</v>
      </c>
      <c r="CR293" s="134">
        <v>0</v>
      </c>
      <c r="CS293" s="134">
        <f>CR293*H293</f>
        <v>0</v>
      </c>
      <c r="CT293" s="134">
        <v>0</v>
      </c>
      <c r="CU293" s="135">
        <f>CT293*H293</f>
        <v>0</v>
      </c>
      <c r="DS293" s="136" t="s">
        <v>95</v>
      </c>
      <c r="DU293" s="136" t="s">
        <v>284</v>
      </c>
      <c r="DV293" s="136" t="s">
        <v>83</v>
      </c>
      <c r="DZ293" s="16" t="s">
        <v>282</v>
      </c>
      <c r="EF293" s="137">
        <f>IF(CO293="základní",J293,0)</f>
        <v>1070.77</v>
      </c>
      <c r="EG293" s="137">
        <f>IF(CO293="snížená",J293,0)</f>
        <v>0</v>
      </c>
      <c r="EH293" s="137">
        <f>IF(CO293="zákl. přenesená",J293,0)</f>
        <v>0</v>
      </c>
      <c r="EI293" s="137">
        <f>IF(CO293="sníž. přenesená",J293,0)</f>
        <v>0</v>
      </c>
      <c r="EJ293" s="137">
        <f>IF(CO293="nulová",J293,0)</f>
        <v>0</v>
      </c>
      <c r="EK293" s="16" t="s">
        <v>81</v>
      </c>
      <c r="EL293" s="137">
        <f>ROUND(I293*H293,2)</f>
        <v>1070.77</v>
      </c>
      <c r="EM293" s="16" t="s">
        <v>95</v>
      </c>
      <c r="EN293" s="136" t="s">
        <v>2121</v>
      </c>
    </row>
    <row r="294" spans="2:144" s="1" customFormat="1" ht="29.25" x14ac:dyDescent="0.2">
      <c r="B294" s="31"/>
      <c r="D294" s="138" t="s">
        <v>289</v>
      </c>
      <c r="F294" s="139" t="s">
        <v>708</v>
      </c>
      <c r="I294" s="140"/>
      <c r="L294" s="31"/>
      <c r="N294" s="213"/>
      <c r="O294" s="214"/>
      <c r="Q294" s="229"/>
      <c r="CN294" s="141"/>
      <c r="CU294" s="50"/>
      <c r="DU294" s="16" t="s">
        <v>289</v>
      </c>
      <c r="DV294" s="16" t="s">
        <v>83</v>
      </c>
    </row>
    <row r="295" spans="2:144" s="12" customFormat="1" x14ac:dyDescent="0.2">
      <c r="B295" s="149"/>
      <c r="D295" s="138" t="s">
        <v>301</v>
      </c>
      <c r="E295" s="150" t="s">
        <v>1</v>
      </c>
      <c r="F295" s="151" t="s">
        <v>2119</v>
      </c>
      <c r="H295" s="152">
        <v>20.462</v>
      </c>
      <c r="I295" s="153"/>
      <c r="L295" s="149"/>
      <c r="N295" s="217"/>
      <c r="O295" s="218"/>
      <c r="Q295" s="231"/>
      <c r="CN295" s="154"/>
      <c r="CU295" s="155"/>
      <c r="DU295" s="150" t="s">
        <v>301</v>
      </c>
      <c r="DV295" s="150" t="s">
        <v>83</v>
      </c>
      <c r="DW295" s="12" t="s">
        <v>83</v>
      </c>
      <c r="DX295" s="12" t="s">
        <v>32</v>
      </c>
      <c r="DY295" s="12" t="s">
        <v>74</v>
      </c>
      <c r="DZ295" s="150" t="s">
        <v>282</v>
      </c>
    </row>
    <row r="296" spans="2:144" s="12" customFormat="1" x14ac:dyDescent="0.2">
      <c r="B296" s="149"/>
      <c r="D296" s="138" t="s">
        <v>301</v>
      </c>
      <c r="E296" s="150" t="s">
        <v>1</v>
      </c>
      <c r="F296" s="151" t="s">
        <v>2120</v>
      </c>
      <c r="H296" s="152">
        <v>4.0579999999999998</v>
      </c>
      <c r="I296" s="153"/>
      <c r="L296" s="149"/>
      <c r="N296" s="217"/>
      <c r="O296" s="218"/>
      <c r="Q296" s="231"/>
      <c r="CN296" s="154"/>
      <c r="CU296" s="155"/>
      <c r="DU296" s="150" t="s">
        <v>301</v>
      </c>
      <c r="DV296" s="150" t="s">
        <v>83</v>
      </c>
      <c r="DW296" s="12" t="s">
        <v>83</v>
      </c>
      <c r="DX296" s="12" t="s">
        <v>32</v>
      </c>
      <c r="DY296" s="12" t="s">
        <v>74</v>
      </c>
      <c r="DZ296" s="150" t="s">
        <v>282</v>
      </c>
    </row>
    <row r="297" spans="2:144" s="13" customFormat="1" x14ac:dyDescent="0.2">
      <c r="B297" s="156"/>
      <c r="D297" s="138" t="s">
        <v>301</v>
      </c>
      <c r="E297" s="157" t="s">
        <v>1</v>
      </c>
      <c r="F297" s="158" t="s">
        <v>305</v>
      </c>
      <c r="H297" s="159">
        <v>24.52</v>
      </c>
      <c r="I297" s="160"/>
      <c r="L297" s="156"/>
      <c r="N297" s="219"/>
      <c r="O297" s="220"/>
      <c r="Q297" s="232"/>
      <c r="CN297" s="161"/>
      <c r="CU297" s="162"/>
      <c r="DU297" s="157" t="s">
        <v>301</v>
      </c>
      <c r="DV297" s="157" t="s">
        <v>83</v>
      </c>
      <c r="DW297" s="13" t="s">
        <v>95</v>
      </c>
      <c r="DX297" s="13" t="s">
        <v>32</v>
      </c>
      <c r="DY297" s="13" t="s">
        <v>81</v>
      </c>
      <c r="DZ297" s="157" t="s">
        <v>282</v>
      </c>
    </row>
    <row r="298" spans="2:144" s="12" customFormat="1" x14ac:dyDescent="0.2">
      <c r="B298" s="149"/>
      <c r="D298" s="138" t="s">
        <v>301</v>
      </c>
      <c r="F298" s="151" t="s">
        <v>2122</v>
      </c>
      <c r="H298" s="152">
        <v>343.28</v>
      </c>
      <c r="I298" s="153"/>
      <c r="L298" s="149"/>
      <c r="N298" s="217"/>
      <c r="O298" s="218"/>
      <c r="Q298" s="231"/>
      <c r="CN298" s="154"/>
      <c r="CU298" s="155"/>
      <c r="DU298" s="150" t="s">
        <v>301</v>
      </c>
      <c r="DV298" s="150" t="s">
        <v>83</v>
      </c>
      <c r="DW298" s="12" t="s">
        <v>83</v>
      </c>
      <c r="DX298" s="12" t="s">
        <v>3</v>
      </c>
      <c r="DY298" s="12" t="s">
        <v>81</v>
      </c>
      <c r="DZ298" s="150" t="s">
        <v>282</v>
      </c>
    </row>
    <row r="299" spans="2:144" s="1" customFormat="1" ht="24.2" customHeight="1" x14ac:dyDescent="0.2">
      <c r="B299" s="124"/>
      <c r="C299" s="125" t="s">
        <v>562</v>
      </c>
      <c r="D299" s="125" t="s">
        <v>284</v>
      </c>
      <c r="E299" s="126" t="s">
        <v>711</v>
      </c>
      <c r="F299" s="127" t="s">
        <v>712</v>
      </c>
      <c r="G299" s="128" t="s">
        <v>418</v>
      </c>
      <c r="H299" s="129">
        <v>24.52</v>
      </c>
      <c r="I299" s="130">
        <v>155.98322812074767</v>
      </c>
      <c r="J299" s="131">
        <f>ROUND(I299*H299,2)</f>
        <v>3824.71</v>
      </c>
      <c r="K299" s="127" t="s">
        <v>293</v>
      </c>
      <c r="L299" s="268">
        <f>S299</f>
        <v>0</v>
      </c>
      <c r="M299" s="272">
        <f>ROUND(L299*I299,2)</f>
        <v>0</v>
      </c>
      <c r="N299" s="243"/>
      <c r="O299" s="294">
        <f>ROUND(N299*I299,2)</f>
        <v>0</v>
      </c>
      <c r="P299" s="273">
        <f>H299-L299-N299</f>
        <v>24.52</v>
      </c>
      <c r="Q299" s="287">
        <f>ROUND(P299*I299,2)</f>
        <v>3824.71</v>
      </c>
      <c r="R299" s="137"/>
      <c r="S299" s="269">
        <f>W299+Y299+AA299+AC299+AE299+AG299+AI299</f>
        <v>0</v>
      </c>
      <c r="T299" s="269">
        <f>ROUND(S299*I299,2)</f>
        <v>0</v>
      </c>
      <c r="U299" s="269">
        <f>H299-S299</f>
        <v>24.52</v>
      </c>
      <c r="V299" s="269">
        <f>ROUND(U299*I299,2)</f>
        <v>3824.71</v>
      </c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CN299" s="132" t="s">
        <v>1</v>
      </c>
      <c r="CO299" s="133" t="s">
        <v>40</v>
      </c>
      <c r="CQ299" s="134">
        <f>CP299*H299</f>
        <v>0</v>
      </c>
      <c r="CR299" s="134">
        <v>0</v>
      </c>
      <c r="CS299" s="134">
        <f>CR299*H299</f>
        <v>0</v>
      </c>
      <c r="CT299" s="134">
        <v>0</v>
      </c>
      <c r="CU299" s="135">
        <f>CT299*H299</f>
        <v>0</v>
      </c>
      <c r="DS299" s="136" t="s">
        <v>95</v>
      </c>
      <c r="DU299" s="136" t="s">
        <v>284</v>
      </c>
      <c r="DV299" s="136" t="s">
        <v>83</v>
      </c>
      <c r="DZ299" s="16" t="s">
        <v>282</v>
      </c>
      <c r="EF299" s="137">
        <f>IF(CO299="základní",J299,0)</f>
        <v>3824.71</v>
      </c>
      <c r="EG299" s="137">
        <f>IF(CO299="snížená",J299,0)</f>
        <v>0</v>
      </c>
      <c r="EH299" s="137">
        <f>IF(CO299="zákl. přenesená",J299,0)</f>
        <v>0</v>
      </c>
      <c r="EI299" s="137">
        <f>IF(CO299="sníž. přenesená",J299,0)</f>
        <v>0</v>
      </c>
      <c r="EJ299" s="137">
        <f>IF(CO299="nulová",J299,0)</f>
        <v>0</v>
      </c>
      <c r="EK299" s="16" t="s">
        <v>81</v>
      </c>
      <c r="EL299" s="137">
        <f>ROUND(I299*H299,2)</f>
        <v>3824.71</v>
      </c>
      <c r="EM299" s="16" t="s">
        <v>95</v>
      </c>
      <c r="EN299" s="136" t="s">
        <v>2123</v>
      </c>
    </row>
    <row r="300" spans="2:144" s="1" customFormat="1" x14ac:dyDescent="0.2">
      <c r="B300" s="31"/>
      <c r="D300" s="138" t="s">
        <v>289</v>
      </c>
      <c r="F300" s="139" t="s">
        <v>714</v>
      </c>
      <c r="I300" s="140"/>
      <c r="L300" s="31"/>
      <c r="N300" s="213"/>
      <c r="O300" s="214"/>
      <c r="Q300" s="229"/>
      <c r="CN300" s="141"/>
      <c r="CU300" s="50"/>
      <c r="DU300" s="16" t="s">
        <v>289</v>
      </c>
      <c r="DV300" s="16" t="s">
        <v>83</v>
      </c>
    </row>
    <row r="301" spans="2:144" s="1" customFormat="1" ht="37.9" customHeight="1" x14ac:dyDescent="0.2">
      <c r="B301" s="124"/>
      <c r="C301" s="125" t="s">
        <v>568</v>
      </c>
      <c r="D301" s="125" t="s">
        <v>284</v>
      </c>
      <c r="E301" s="126" t="s">
        <v>716</v>
      </c>
      <c r="F301" s="127" t="s">
        <v>420</v>
      </c>
      <c r="G301" s="128" t="s">
        <v>418</v>
      </c>
      <c r="H301" s="129">
        <v>20.462</v>
      </c>
      <c r="I301" s="130">
        <v>110.6455721</v>
      </c>
      <c r="J301" s="131">
        <f>ROUND(I301*H301,2)</f>
        <v>2264.0300000000002</v>
      </c>
      <c r="K301" s="127" t="s">
        <v>293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20.462</v>
      </c>
      <c r="Q301" s="287">
        <f>ROUND(P301*I301,2)</f>
        <v>2264.0300000000002</v>
      </c>
      <c r="R301" s="137"/>
      <c r="S301" s="269">
        <f>W301+Y301+AA301+AC301+AE301+AG301+AI301</f>
        <v>0</v>
      </c>
      <c r="T301" s="269">
        <f>ROUND(S301*I301,2)</f>
        <v>0</v>
      </c>
      <c r="U301" s="269">
        <f>H301-S301</f>
        <v>20.462</v>
      </c>
      <c r="V301" s="269">
        <f>ROUND(U301*I301,2)</f>
        <v>2264.0300000000002</v>
      </c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CN301" s="132" t="s">
        <v>1</v>
      </c>
      <c r="CO301" s="133" t="s">
        <v>40</v>
      </c>
      <c r="CQ301" s="134">
        <f>CP301*H301</f>
        <v>0</v>
      </c>
      <c r="CR301" s="134">
        <v>0</v>
      </c>
      <c r="CS301" s="134">
        <f>CR301*H301</f>
        <v>0</v>
      </c>
      <c r="CT301" s="134">
        <v>0</v>
      </c>
      <c r="CU301" s="135">
        <f>CT301*H301</f>
        <v>0</v>
      </c>
      <c r="DS301" s="136" t="s">
        <v>95</v>
      </c>
      <c r="DU301" s="136" t="s">
        <v>284</v>
      </c>
      <c r="DV301" s="136" t="s">
        <v>83</v>
      </c>
      <c r="DZ301" s="16" t="s">
        <v>282</v>
      </c>
      <c r="EF301" s="137">
        <f>IF(CO301="základní",J301,0)</f>
        <v>2264.0300000000002</v>
      </c>
      <c r="EG301" s="137">
        <f>IF(CO301="snížená",J301,0)</f>
        <v>0</v>
      </c>
      <c r="EH301" s="137">
        <f>IF(CO301="zákl. přenesená",J301,0)</f>
        <v>0</v>
      </c>
      <c r="EI301" s="137">
        <f>IF(CO301="sníž. přenesená",J301,0)</f>
        <v>0</v>
      </c>
      <c r="EJ301" s="137">
        <f>IF(CO301="nulová",J301,0)</f>
        <v>0</v>
      </c>
      <c r="EK301" s="16" t="s">
        <v>81</v>
      </c>
      <c r="EL301" s="137">
        <f>ROUND(I301*H301,2)</f>
        <v>2264.0300000000002</v>
      </c>
      <c r="EM301" s="16" t="s">
        <v>95</v>
      </c>
      <c r="EN301" s="136" t="s">
        <v>2124</v>
      </c>
    </row>
    <row r="302" spans="2:144" s="1" customFormat="1" ht="29.25" x14ac:dyDescent="0.2">
      <c r="B302" s="31"/>
      <c r="D302" s="138" t="s">
        <v>289</v>
      </c>
      <c r="F302" s="139" t="s">
        <v>420</v>
      </c>
      <c r="I302" s="140"/>
      <c r="L302" s="31"/>
      <c r="N302" s="213"/>
      <c r="O302" s="214"/>
      <c r="Q302" s="229"/>
      <c r="CN302" s="141"/>
      <c r="CU302" s="50"/>
      <c r="DU302" s="16" t="s">
        <v>289</v>
      </c>
      <c r="DV302" s="16" t="s">
        <v>83</v>
      </c>
    </row>
    <row r="303" spans="2:144" s="12" customFormat="1" x14ac:dyDescent="0.2">
      <c r="B303" s="149"/>
      <c r="D303" s="138" t="s">
        <v>301</v>
      </c>
      <c r="E303" s="150" t="s">
        <v>1</v>
      </c>
      <c r="F303" s="151" t="s">
        <v>2119</v>
      </c>
      <c r="H303" s="152">
        <v>20.462</v>
      </c>
      <c r="I303" s="153"/>
      <c r="L303" s="149"/>
      <c r="N303" s="217"/>
      <c r="O303" s="218"/>
      <c r="Q303" s="231"/>
      <c r="CN303" s="154"/>
      <c r="CU303" s="155"/>
      <c r="DU303" s="150" t="s">
        <v>301</v>
      </c>
      <c r="DV303" s="150" t="s">
        <v>83</v>
      </c>
      <c r="DW303" s="12" t="s">
        <v>83</v>
      </c>
      <c r="DX303" s="12" t="s">
        <v>32</v>
      </c>
      <c r="DY303" s="12" t="s">
        <v>81</v>
      </c>
      <c r="DZ303" s="150" t="s">
        <v>282</v>
      </c>
    </row>
    <row r="304" spans="2:144" s="1" customFormat="1" ht="37.9" customHeight="1" x14ac:dyDescent="0.2">
      <c r="B304" s="124"/>
      <c r="C304" s="125" t="s">
        <v>572</v>
      </c>
      <c r="D304" s="125" t="s">
        <v>284</v>
      </c>
      <c r="E304" s="126" t="s">
        <v>719</v>
      </c>
      <c r="F304" s="127" t="s">
        <v>720</v>
      </c>
      <c r="G304" s="128" t="s">
        <v>418</v>
      </c>
      <c r="H304" s="129">
        <v>4.0579999999999998</v>
      </c>
      <c r="I304" s="130">
        <v>250.3439285</v>
      </c>
      <c r="J304" s="131">
        <f>ROUND(I304*H304,2)</f>
        <v>1015.9</v>
      </c>
      <c r="K304" s="127" t="s">
        <v>293</v>
      </c>
      <c r="L304" s="268">
        <f>S304</f>
        <v>0</v>
      </c>
      <c r="M304" s="272">
        <f>ROUND(L304*I304,2)</f>
        <v>0</v>
      </c>
      <c r="N304" s="243"/>
      <c r="O304" s="294">
        <f>ROUND(N304*I304,2)</f>
        <v>0</v>
      </c>
      <c r="P304" s="273">
        <f>H304-L304-N304</f>
        <v>4.0579999999999998</v>
      </c>
      <c r="Q304" s="287">
        <f>ROUND(P304*I304,2)</f>
        <v>1015.9</v>
      </c>
      <c r="R304" s="137"/>
      <c r="S304" s="269">
        <f>W304+Y304+AA304+AC304+AE304+AG304+AI304</f>
        <v>0</v>
      </c>
      <c r="T304" s="269">
        <f>ROUND(S304*I304,2)</f>
        <v>0</v>
      </c>
      <c r="U304" s="269">
        <f>H304-S304</f>
        <v>4.0579999999999998</v>
      </c>
      <c r="V304" s="269">
        <f>ROUND(U304*I304,2)</f>
        <v>1015.9</v>
      </c>
      <c r="W304" s="269"/>
      <c r="X304" s="269"/>
      <c r="Y304" s="269"/>
      <c r="Z304" s="269"/>
      <c r="AA304" s="269"/>
      <c r="AB304" s="269"/>
      <c r="AC304" s="269"/>
      <c r="AD304" s="269"/>
      <c r="AE304" s="269"/>
      <c r="AF304" s="269"/>
      <c r="AG304" s="269"/>
      <c r="AH304" s="269"/>
      <c r="AI304" s="269"/>
      <c r="AJ304" s="269"/>
      <c r="CN304" s="132" t="s">
        <v>1</v>
      </c>
      <c r="CO304" s="133" t="s">
        <v>40</v>
      </c>
      <c r="CQ304" s="134">
        <f>CP304*H304</f>
        <v>0</v>
      </c>
      <c r="CR304" s="134">
        <v>0</v>
      </c>
      <c r="CS304" s="134">
        <f>CR304*H304</f>
        <v>0</v>
      </c>
      <c r="CT304" s="134">
        <v>0</v>
      </c>
      <c r="CU304" s="135">
        <f>CT304*H304</f>
        <v>0</v>
      </c>
      <c r="DS304" s="136" t="s">
        <v>95</v>
      </c>
      <c r="DU304" s="136" t="s">
        <v>284</v>
      </c>
      <c r="DV304" s="136" t="s">
        <v>83</v>
      </c>
      <c r="DZ304" s="16" t="s">
        <v>282</v>
      </c>
      <c r="EF304" s="137">
        <f>IF(CO304="základní",J304,0)</f>
        <v>1015.9</v>
      </c>
      <c r="EG304" s="137">
        <f>IF(CO304="snížená",J304,0)</f>
        <v>0</v>
      </c>
      <c r="EH304" s="137">
        <f>IF(CO304="zákl. přenesená",J304,0)</f>
        <v>0</v>
      </c>
      <c r="EI304" s="137">
        <f>IF(CO304="sníž. přenesená",J304,0)</f>
        <v>0</v>
      </c>
      <c r="EJ304" s="137">
        <f>IF(CO304="nulová",J304,0)</f>
        <v>0</v>
      </c>
      <c r="EK304" s="16" t="s">
        <v>81</v>
      </c>
      <c r="EL304" s="137">
        <f>ROUND(I304*H304,2)</f>
        <v>1015.9</v>
      </c>
      <c r="EM304" s="16" t="s">
        <v>95</v>
      </c>
      <c r="EN304" s="136" t="s">
        <v>2125</v>
      </c>
    </row>
    <row r="305" spans="2:144" s="1" customFormat="1" ht="29.25" x14ac:dyDescent="0.2">
      <c r="B305" s="31"/>
      <c r="D305" s="138" t="s">
        <v>289</v>
      </c>
      <c r="F305" s="139" t="s">
        <v>720</v>
      </c>
      <c r="I305" s="140"/>
      <c r="L305" s="31"/>
      <c r="N305" s="213"/>
      <c r="O305" s="214"/>
      <c r="Q305" s="229"/>
      <c r="CN305" s="141"/>
      <c r="CU305" s="50"/>
      <c r="DU305" s="16" t="s">
        <v>289</v>
      </c>
      <c r="DV305" s="16" t="s">
        <v>83</v>
      </c>
    </row>
    <row r="306" spans="2:144" s="12" customFormat="1" x14ac:dyDescent="0.2">
      <c r="B306" s="149"/>
      <c r="D306" s="138" t="s">
        <v>301</v>
      </c>
      <c r="E306" s="150" t="s">
        <v>1</v>
      </c>
      <c r="F306" s="151" t="s">
        <v>2120</v>
      </c>
      <c r="H306" s="152">
        <v>4.0579999999999998</v>
      </c>
      <c r="I306" s="153"/>
      <c r="L306" s="149"/>
      <c r="N306" s="217"/>
      <c r="O306" s="218"/>
      <c r="Q306" s="231"/>
      <c r="CN306" s="154"/>
      <c r="CU306" s="155"/>
      <c r="DU306" s="150" t="s">
        <v>301</v>
      </c>
      <c r="DV306" s="150" t="s">
        <v>83</v>
      </c>
      <c r="DW306" s="12" t="s">
        <v>83</v>
      </c>
      <c r="DX306" s="12" t="s">
        <v>32</v>
      </c>
      <c r="DY306" s="12" t="s">
        <v>81</v>
      </c>
      <c r="DZ306" s="150" t="s">
        <v>282</v>
      </c>
    </row>
    <row r="307" spans="2:144" s="10" customFormat="1" ht="22.9" customHeight="1" x14ac:dyDescent="0.2">
      <c r="B307" s="112"/>
      <c r="D307" s="113" t="s">
        <v>73</v>
      </c>
      <c r="E307" s="122" t="s">
        <v>722</v>
      </c>
      <c r="F307" s="122" t="s">
        <v>723</v>
      </c>
      <c r="I307" s="115"/>
      <c r="J307" s="123">
        <f>EL307</f>
        <v>13703.63</v>
      </c>
      <c r="L307" s="112"/>
      <c r="M307" s="270">
        <f>M308</f>
        <v>0</v>
      </c>
      <c r="N307" s="301"/>
      <c r="O307" s="302">
        <f t="shared" ref="O307:V307" si="8">O308</f>
        <v>0</v>
      </c>
      <c r="P307" s="270"/>
      <c r="Q307" s="288">
        <f t="shared" si="8"/>
        <v>13703.63</v>
      </c>
      <c r="R307" s="270"/>
      <c r="S307" s="270"/>
      <c r="T307" s="270">
        <f t="shared" si="8"/>
        <v>0</v>
      </c>
      <c r="U307" s="270"/>
      <c r="V307" s="270">
        <f t="shared" si="8"/>
        <v>13703.63</v>
      </c>
      <c r="CN307" s="117"/>
      <c r="CQ307" s="118">
        <f>SUM(CQ308:CQ311)</f>
        <v>0</v>
      </c>
      <c r="CS307" s="118">
        <f>SUM(CS308:CS311)</f>
        <v>0</v>
      </c>
      <c r="CU307" s="119">
        <f>SUM(CU308:CU311)</f>
        <v>0</v>
      </c>
      <c r="DS307" s="113" t="s">
        <v>81</v>
      </c>
      <c r="DU307" s="120" t="s">
        <v>73</v>
      </c>
      <c r="DV307" s="120" t="s">
        <v>81</v>
      </c>
      <c r="DZ307" s="113" t="s">
        <v>282</v>
      </c>
      <c r="EL307" s="121">
        <f>SUM(EL308:EL311)</f>
        <v>13703.63</v>
      </c>
    </row>
    <row r="308" spans="2:144" s="1" customFormat="1" ht="24.2" customHeight="1" x14ac:dyDescent="0.2">
      <c r="B308" s="124"/>
      <c r="C308" s="125" t="s">
        <v>576</v>
      </c>
      <c r="D308" s="125" t="s">
        <v>284</v>
      </c>
      <c r="E308" s="126" t="s">
        <v>1964</v>
      </c>
      <c r="F308" s="127" t="s">
        <v>1965</v>
      </c>
      <c r="G308" s="128" t="s">
        <v>418</v>
      </c>
      <c r="H308" s="129">
        <v>21.966000000000001</v>
      </c>
      <c r="I308" s="130">
        <v>623.85641047656759</v>
      </c>
      <c r="J308" s="131">
        <f>ROUND(I308*H308,2)</f>
        <v>13703.63</v>
      </c>
      <c r="K308" s="127" t="s">
        <v>293</v>
      </c>
      <c r="L308" s="268">
        <f>S308</f>
        <v>0</v>
      </c>
      <c r="M308" s="272">
        <f>ROUND(L308*I308,2)</f>
        <v>0</v>
      </c>
      <c r="N308" s="243"/>
      <c r="O308" s="294">
        <f>ROUND(N308*I308,2)</f>
        <v>0</v>
      </c>
      <c r="P308" s="273">
        <f>H308-L308-N308</f>
        <v>21.966000000000001</v>
      </c>
      <c r="Q308" s="287">
        <f>ROUND(P308*I308,2)</f>
        <v>13703.63</v>
      </c>
      <c r="R308" s="137"/>
      <c r="S308" s="269">
        <f>W308+Y308+AA308+AC308+AE308+AG308+AI308</f>
        <v>0</v>
      </c>
      <c r="T308" s="269">
        <f>ROUND(S308*I308,2)</f>
        <v>0</v>
      </c>
      <c r="U308" s="269">
        <f>H308-S308</f>
        <v>21.966000000000001</v>
      </c>
      <c r="V308" s="269">
        <f>ROUND(U308*I308,2)</f>
        <v>13703.63</v>
      </c>
      <c r="W308" s="269"/>
      <c r="X308" s="269"/>
      <c r="Y308" s="269"/>
      <c r="Z308" s="269"/>
      <c r="AA308" s="269"/>
      <c r="AB308" s="269"/>
      <c r="AC308" s="269"/>
      <c r="AD308" s="269"/>
      <c r="AE308" s="269"/>
      <c r="AF308" s="269"/>
      <c r="AG308" s="269"/>
      <c r="AH308" s="269"/>
      <c r="AI308" s="269"/>
      <c r="AJ308" s="269"/>
      <c r="CN308" s="132" t="s">
        <v>1</v>
      </c>
      <c r="CO308" s="133" t="s">
        <v>40</v>
      </c>
      <c r="CQ308" s="134">
        <f>CP308*H308</f>
        <v>0</v>
      </c>
      <c r="CR308" s="134">
        <v>0</v>
      </c>
      <c r="CS308" s="134">
        <f>CR308*H308</f>
        <v>0</v>
      </c>
      <c r="CT308" s="134">
        <v>0</v>
      </c>
      <c r="CU308" s="135">
        <f>CT308*H308</f>
        <v>0</v>
      </c>
      <c r="DS308" s="136" t="s">
        <v>95</v>
      </c>
      <c r="DU308" s="136" t="s">
        <v>284</v>
      </c>
      <c r="DV308" s="136" t="s">
        <v>83</v>
      </c>
      <c r="DZ308" s="16" t="s">
        <v>282</v>
      </c>
      <c r="EF308" s="137">
        <f>IF(CO308="základní",J308,0)</f>
        <v>13703.63</v>
      </c>
      <c r="EG308" s="137">
        <f>IF(CO308="snížená",J308,0)</f>
        <v>0</v>
      </c>
      <c r="EH308" s="137">
        <f>IF(CO308="zákl. přenesená",J308,0)</f>
        <v>0</v>
      </c>
      <c r="EI308" s="137">
        <f>IF(CO308="sníž. přenesená",J308,0)</f>
        <v>0</v>
      </c>
      <c r="EJ308" s="137">
        <f>IF(CO308="nulová",J308,0)</f>
        <v>0</v>
      </c>
      <c r="EK308" s="16" t="s">
        <v>81</v>
      </c>
      <c r="EL308" s="137">
        <f>ROUND(I308*H308,2)</f>
        <v>13703.63</v>
      </c>
      <c r="EM308" s="16" t="s">
        <v>95</v>
      </c>
      <c r="EN308" s="136" t="s">
        <v>2126</v>
      </c>
    </row>
    <row r="309" spans="2:144" s="1" customFormat="1" ht="39" x14ac:dyDescent="0.2">
      <c r="B309" s="31"/>
      <c r="D309" s="138" t="s">
        <v>289</v>
      </c>
      <c r="F309" s="139" t="s">
        <v>1967</v>
      </c>
      <c r="I309" s="140"/>
      <c r="L309" s="31"/>
      <c r="N309" s="213"/>
      <c r="O309" s="214"/>
      <c r="Q309" s="229"/>
      <c r="CN309" s="141"/>
      <c r="CU309" s="50"/>
      <c r="DU309" s="16" t="s">
        <v>289</v>
      </c>
      <c r="DV309" s="16" t="s">
        <v>83</v>
      </c>
    </row>
    <row r="310" spans="2:144" s="11" customFormat="1" x14ac:dyDescent="0.2">
      <c r="B310" s="143"/>
      <c r="D310" s="138" t="s">
        <v>301</v>
      </c>
      <c r="E310" s="144" t="s">
        <v>1</v>
      </c>
      <c r="F310" s="145" t="s">
        <v>729</v>
      </c>
      <c r="H310" s="144" t="s">
        <v>1</v>
      </c>
      <c r="I310" s="146"/>
      <c r="L310" s="143"/>
      <c r="N310" s="215"/>
      <c r="O310" s="216"/>
      <c r="Q310" s="230"/>
      <c r="CN310" s="147"/>
      <c r="CU310" s="148"/>
      <c r="DU310" s="144" t="s">
        <v>301</v>
      </c>
      <c r="DV310" s="144" t="s">
        <v>83</v>
      </c>
      <c r="DW310" s="11" t="s">
        <v>81</v>
      </c>
      <c r="DX310" s="11" t="s">
        <v>32</v>
      </c>
      <c r="DY310" s="11" t="s">
        <v>74</v>
      </c>
      <c r="DZ310" s="144" t="s">
        <v>282</v>
      </c>
    </row>
    <row r="311" spans="2:144" s="12" customFormat="1" x14ac:dyDescent="0.2">
      <c r="B311" s="149"/>
      <c r="D311" s="138" t="s">
        <v>301</v>
      </c>
      <c r="E311" s="150" t="s">
        <v>1</v>
      </c>
      <c r="F311" s="151" t="s">
        <v>2127</v>
      </c>
      <c r="H311" s="152">
        <v>21.966000000000001</v>
      </c>
      <c r="I311" s="153"/>
      <c r="L311" s="149"/>
      <c r="N311" s="217"/>
      <c r="O311" s="218"/>
      <c r="Q311" s="231"/>
      <c r="CN311" s="179"/>
      <c r="CO311" s="180"/>
      <c r="CP311" s="180"/>
      <c r="CQ311" s="180"/>
      <c r="CR311" s="180"/>
      <c r="CS311" s="180"/>
      <c r="CT311" s="180"/>
      <c r="CU311" s="181"/>
      <c r="DU311" s="150" t="s">
        <v>301</v>
      </c>
      <c r="DV311" s="150" t="s">
        <v>83</v>
      </c>
      <c r="DW311" s="12" t="s">
        <v>83</v>
      </c>
      <c r="DX311" s="12" t="s">
        <v>32</v>
      </c>
      <c r="DY311" s="12" t="s">
        <v>81</v>
      </c>
      <c r="DZ311" s="150" t="s">
        <v>282</v>
      </c>
    </row>
    <row r="312" spans="2:144" s="1" customFormat="1" ht="6.95" customHeight="1" thickBot="1" x14ac:dyDescent="0.25">
      <c r="B312" s="43"/>
      <c r="C312" s="44"/>
      <c r="D312" s="44"/>
      <c r="E312" s="44"/>
      <c r="F312" s="44"/>
      <c r="G312" s="44"/>
      <c r="H312" s="44"/>
      <c r="I312" s="44"/>
      <c r="J312" s="44"/>
      <c r="K312" s="44"/>
      <c r="L312" s="268"/>
      <c r="M312" s="272"/>
      <c r="N312" s="304"/>
      <c r="O312" s="305"/>
      <c r="P312" s="273"/>
      <c r="Q312" s="287"/>
      <c r="R312" s="137"/>
      <c r="S312" s="269"/>
      <c r="T312" s="269"/>
      <c r="U312" s="269"/>
      <c r="V312" s="269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</row>
  </sheetData>
  <autoFilter ref="C121:K311"/>
  <mergeCells count="26">
    <mergeCell ref="AE122:AF122"/>
    <mergeCell ref="AG122:AH122"/>
    <mergeCell ref="AI122:AJ122"/>
    <mergeCell ref="U122:V122"/>
    <mergeCell ref="W122:X122"/>
    <mergeCell ref="Y122:Z122"/>
    <mergeCell ref="AA122:AB122"/>
    <mergeCell ref="AC122:AD122"/>
    <mergeCell ref="L121:Q121"/>
    <mergeCell ref="L122:M122"/>
    <mergeCell ref="N122:O122"/>
    <mergeCell ref="P122:Q122"/>
    <mergeCell ref="S122:T122"/>
    <mergeCell ref="H120:K120"/>
    <mergeCell ref="E117:H117"/>
    <mergeCell ref="L2:CW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windowProtection="1" showGridLines="0" topLeftCell="A105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166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2046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24.75" customHeight="1" x14ac:dyDescent="0.2">
      <c r="B13" s="31"/>
      <c r="E13" s="432" t="s">
        <v>2128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ROUND(J126, 2)</f>
        <v>0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ROUND((SUM(BE126:BE129)),  2)</f>
        <v>0</v>
      </c>
      <c r="I37" s="84">
        <v>0.21</v>
      </c>
      <c r="J37" s="71">
        <f>ROUND(((SUM(BE126:BE129))*I37),  2)</f>
        <v>0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ROUND((SUM(BF126:BF129)),  2)</f>
        <v>0</v>
      </c>
      <c r="I38" s="84">
        <v>0.15</v>
      </c>
      <c r="J38" s="71">
        <f>ROUND(((SUM(BF126:BF129))*I38),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ROUND((SUM(BG126:BG129)),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ROUND((SUM(BH126:BH129)),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ROUND((SUM(BI126:BI129)),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0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2046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24.75" customHeight="1" x14ac:dyDescent="0.2">
      <c r="B91" s="31"/>
      <c r="E91" s="432" t="str">
        <f>E13</f>
        <v>0002 - DSO 05.2 Čerpací stanice ČS5 - zpevněná plocha - součástí dílčího stavebního objektu DSO 05.1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J126</f>
        <v>0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J127</f>
        <v>0</v>
      </c>
      <c r="L101" s="96"/>
    </row>
    <row r="102" spans="2:47" s="8" customFormat="1" ht="19.899999999999999" customHeight="1" x14ac:dyDescent="0.2">
      <c r="B102" s="100"/>
      <c r="D102" s="101" t="s">
        <v>262</v>
      </c>
      <c r="E102" s="102"/>
      <c r="F102" s="102"/>
      <c r="G102" s="102"/>
      <c r="H102" s="102"/>
      <c r="I102" s="102"/>
      <c r="J102" s="103">
        <f>J128</f>
        <v>0</v>
      </c>
      <c r="L102" s="100"/>
    </row>
    <row r="103" spans="2:47" s="1" customFormat="1" ht="21.75" customHeight="1" x14ac:dyDescent="0.2">
      <c r="B103" s="31"/>
      <c r="L103" s="31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 x14ac:dyDescent="0.2">
      <c r="B109" s="31"/>
      <c r="C109" s="20" t="s">
        <v>267</v>
      </c>
      <c r="L109" s="31"/>
    </row>
    <row r="110" spans="2:47" s="1" customFormat="1" ht="6.95" customHeight="1" x14ac:dyDescent="0.2">
      <c r="B110" s="31"/>
      <c r="L110" s="31"/>
    </row>
    <row r="111" spans="2:47" s="1" customFormat="1" ht="12" customHeight="1" x14ac:dyDescent="0.2">
      <c r="B111" s="31"/>
      <c r="C111" s="26" t="s">
        <v>16</v>
      </c>
      <c r="L111" s="31"/>
    </row>
    <row r="112" spans="2:47" s="1" customFormat="1" ht="16.5" customHeight="1" x14ac:dyDescent="0.2">
      <c r="B112" s="31"/>
      <c r="E112" s="434" t="str">
        <f>E7</f>
        <v>Kanalizace Podlesí - I.Etapa</v>
      </c>
      <c r="F112" s="435"/>
      <c r="G112" s="435"/>
      <c r="H112" s="435"/>
      <c r="L112" s="31"/>
    </row>
    <row r="113" spans="2:63" ht="12" customHeight="1" x14ac:dyDescent="0.2">
      <c r="B113" s="19"/>
      <c r="C113" s="26" t="s">
        <v>244</v>
      </c>
      <c r="L113" s="19"/>
    </row>
    <row r="114" spans="2:63" ht="16.5" customHeight="1" x14ac:dyDescent="0.2">
      <c r="B114" s="19"/>
      <c r="E114" s="434" t="s">
        <v>245</v>
      </c>
      <c r="F114" s="399"/>
      <c r="G114" s="399"/>
      <c r="H114" s="399"/>
      <c r="L114" s="19"/>
    </row>
    <row r="115" spans="2:63" ht="12" customHeight="1" x14ac:dyDescent="0.2">
      <c r="B115" s="19"/>
      <c r="C115" s="26" t="s">
        <v>246</v>
      </c>
      <c r="L115" s="19"/>
    </row>
    <row r="116" spans="2:63" s="1" customFormat="1" ht="16.5" customHeight="1" x14ac:dyDescent="0.2">
      <c r="B116" s="31"/>
      <c r="E116" s="401" t="s">
        <v>2046</v>
      </c>
      <c r="F116" s="433"/>
      <c r="G116" s="433"/>
      <c r="H116" s="433"/>
      <c r="L116" s="31"/>
    </row>
    <row r="117" spans="2:63" s="1" customFormat="1" ht="12" customHeight="1" x14ac:dyDescent="0.2">
      <c r="B117" s="31"/>
      <c r="C117" s="26" t="s">
        <v>1790</v>
      </c>
      <c r="L117" s="31"/>
    </row>
    <row r="118" spans="2:63" s="1" customFormat="1" ht="24.75" customHeight="1" x14ac:dyDescent="0.2">
      <c r="B118" s="31"/>
      <c r="E118" s="432" t="str">
        <f>E13</f>
        <v>0002 - DSO 05.2 Čerpací stanice ČS5 - zpevněná plocha - součástí dílčího stavebního objektu DSO 05.1</v>
      </c>
      <c r="F118" s="433"/>
      <c r="G118" s="433"/>
      <c r="H118" s="433"/>
      <c r="L118" s="31"/>
    </row>
    <row r="119" spans="2:63" s="1" customFormat="1" ht="6.95" customHeight="1" x14ac:dyDescent="0.2">
      <c r="B119" s="31"/>
      <c r="L119" s="31"/>
    </row>
    <row r="120" spans="2:63" s="1" customFormat="1" ht="12" customHeight="1" x14ac:dyDescent="0.2">
      <c r="B120" s="31"/>
      <c r="C120" s="26" t="s">
        <v>20</v>
      </c>
      <c r="F120" s="24" t="str">
        <f>F16</f>
        <v xml:space="preserve"> </v>
      </c>
      <c r="I120" s="26" t="s">
        <v>22</v>
      </c>
      <c r="J120" s="48" t="str">
        <f>IF(J16="","",J16)</f>
        <v>18. 11. 2020</v>
      </c>
      <c r="L120" s="31"/>
    </row>
    <row r="121" spans="2:63" s="1" customFormat="1" ht="6.95" customHeight="1" x14ac:dyDescent="0.2">
      <c r="B121" s="31"/>
      <c r="L121" s="31"/>
    </row>
    <row r="122" spans="2:63" s="1" customFormat="1" ht="40.15" customHeight="1" x14ac:dyDescent="0.2">
      <c r="B122" s="31"/>
      <c r="C122" s="26" t="s">
        <v>24</v>
      </c>
      <c r="F122" s="24" t="str">
        <f>E19</f>
        <v>Město Petřvald</v>
      </c>
      <c r="I122" s="26" t="s">
        <v>30</v>
      </c>
      <c r="J122" s="29" t="str">
        <f>E25</f>
        <v>Sweco Hydroprojekt a.s., divize Morava</v>
      </c>
      <c r="L122" s="31"/>
    </row>
    <row r="123" spans="2:63" s="1" customFormat="1" ht="15.2" customHeight="1" x14ac:dyDescent="0.2">
      <c r="B123" s="31"/>
      <c r="C123" s="26" t="s">
        <v>28</v>
      </c>
      <c r="F123" s="24" t="str">
        <f>IF(E22="","",E22)</f>
        <v>Společnost Podlesí se sídlem Žitenická 871/1, 190 00 Praha 9</v>
      </c>
      <c r="I123" s="26" t="s">
        <v>33</v>
      </c>
      <c r="J123" s="29" t="str">
        <f>E28</f>
        <v xml:space="preserve"> </v>
      </c>
      <c r="L123" s="31"/>
    </row>
    <row r="124" spans="2:63" s="1" customFormat="1" ht="10.35" customHeight="1" x14ac:dyDescent="0.2">
      <c r="B124" s="31"/>
      <c r="L124" s="31"/>
    </row>
    <row r="125" spans="2:63" s="9" customFormat="1" ht="29.25" customHeight="1" x14ac:dyDescent="0.2">
      <c r="B125" s="104"/>
      <c r="C125" s="105" t="s">
        <v>268</v>
      </c>
      <c r="D125" s="106" t="s">
        <v>59</v>
      </c>
      <c r="E125" s="106" t="s">
        <v>55</v>
      </c>
      <c r="F125" s="106" t="s">
        <v>56</v>
      </c>
      <c r="G125" s="106" t="s">
        <v>269</v>
      </c>
      <c r="H125" s="106" t="s">
        <v>270</v>
      </c>
      <c r="I125" s="106" t="s">
        <v>271</v>
      </c>
      <c r="J125" s="106" t="s">
        <v>255</v>
      </c>
      <c r="K125" s="107" t="s">
        <v>272</v>
      </c>
      <c r="L125" s="104"/>
      <c r="M125" s="52" t="s">
        <v>1</v>
      </c>
      <c r="N125" s="53" t="s">
        <v>39</v>
      </c>
      <c r="O125" s="53" t="s">
        <v>273</v>
      </c>
      <c r="P125" s="53" t="s">
        <v>274</v>
      </c>
      <c r="Q125" s="53" t="s">
        <v>275</v>
      </c>
      <c r="R125" s="53" t="s">
        <v>276</v>
      </c>
      <c r="S125" s="53" t="s">
        <v>277</v>
      </c>
      <c r="T125" s="54" t="s">
        <v>278</v>
      </c>
    </row>
    <row r="126" spans="2:63" s="1" customFormat="1" ht="22.9" customHeight="1" x14ac:dyDescent="0.25">
      <c r="B126" s="31"/>
      <c r="C126" s="57" t="s">
        <v>279</v>
      </c>
      <c r="J126" s="108">
        <f>BK126</f>
        <v>0</v>
      </c>
      <c r="L126" s="31"/>
      <c r="M126" s="55"/>
      <c r="N126" s="49"/>
      <c r="O126" s="49"/>
      <c r="P126" s="109">
        <f>P127</f>
        <v>0</v>
      </c>
      <c r="Q126" s="49"/>
      <c r="R126" s="109">
        <f>R127</f>
        <v>0</v>
      </c>
      <c r="S126" s="49"/>
      <c r="T126" s="110">
        <f>T127</f>
        <v>0</v>
      </c>
      <c r="AT126" s="16" t="s">
        <v>73</v>
      </c>
      <c r="AU126" s="16" t="s">
        <v>257</v>
      </c>
      <c r="BK126" s="111">
        <f>BK127</f>
        <v>0</v>
      </c>
    </row>
    <row r="127" spans="2:63" s="10" customFormat="1" ht="25.9" customHeight="1" x14ac:dyDescent="0.2">
      <c r="B127" s="112"/>
      <c r="D127" s="113" t="s">
        <v>73</v>
      </c>
      <c r="E127" s="114" t="s">
        <v>280</v>
      </c>
      <c r="F127" s="114" t="s">
        <v>281</v>
      </c>
      <c r="I127" s="115"/>
      <c r="J127" s="116">
        <f>BK127</f>
        <v>0</v>
      </c>
      <c r="L127" s="112"/>
      <c r="M127" s="117"/>
      <c r="P127" s="118">
        <f>P128</f>
        <v>0</v>
      </c>
      <c r="R127" s="118">
        <f>R128</f>
        <v>0</v>
      </c>
      <c r="T127" s="119">
        <f>T128</f>
        <v>0</v>
      </c>
      <c r="AR127" s="113" t="s">
        <v>81</v>
      </c>
      <c r="AT127" s="120" t="s">
        <v>73</v>
      </c>
      <c r="AU127" s="120" t="s">
        <v>74</v>
      </c>
      <c r="AY127" s="113" t="s">
        <v>282</v>
      </c>
      <c r="BK127" s="121">
        <f>BK128</f>
        <v>0</v>
      </c>
    </row>
    <row r="128" spans="2:63" s="10" customFormat="1" ht="22.9" customHeight="1" x14ac:dyDescent="0.2">
      <c r="B128" s="112"/>
      <c r="D128" s="113" t="s">
        <v>73</v>
      </c>
      <c r="E128" s="122" t="s">
        <v>312</v>
      </c>
      <c r="F128" s="122" t="s">
        <v>520</v>
      </c>
      <c r="I128" s="115"/>
      <c r="J128" s="123">
        <f>BK128</f>
        <v>0</v>
      </c>
      <c r="L128" s="112"/>
      <c r="M128" s="117"/>
      <c r="P128" s="118">
        <f>P129</f>
        <v>0</v>
      </c>
      <c r="R128" s="118">
        <f>R129</f>
        <v>0</v>
      </c>
      <c r="T128" s="119">
        <f>T129</f>
        <v>0</v>
      </c>
      <c r="AR128" s="113" t="s">
        <v>81</v>
      </c>
      <c r="AT128" s="120" t="s">
        <v>73</v>
      </c>
      <c r="AU128" s="120" t="s">
        <v>81</v>
      </c>
      <c r="AY128" s="113" t="s">
        <v>282</v>
      </c>
      <c r="BK128" s="121">
        <f>BK129</f>
        <v>0</v>
      </c>
    </row>
    <row r="129" spans="2:65" s="1" customFormat="1" ht="37.9" customHeight="1" x14ac:dyDescent="0.2">
      <c r="B129" s="124"/>
      <c r="C129" s="125" t="s">
        <v>81</v>
      </c>
      <c r="D129" s="125" t="s">
        <v>284</v>
      </c>
      <c r="E129" s="126" t="s">
        <v>1970</v>
      </c>
      <c r="F129" s="127" t="s">
        <v>2129</v>
      </c>
      <c r="G129" s="128" t="s">
        <v>1948</v>
      </c>
      <c r="H129" s="129">
        <v>0</v>
      </c>
      <c r="I129" s="130"/>
      <c r="J129" s="131">
        <f>ROUND(I129*H129,2)</f>
        <v>0</v>
      </c>
      <c r="K129" s="127" t="s">
        <v>1</v>
      </c>
      <c r="L129" s="31"/>
      <c r="M129" s="182" t="s">
        <v>1</v>
      </c>
      <c r="N129" s="183" t="s">
        <v>40</v>
      </c>
      <c r="O129" s="1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36" t="s">
        <v>95</v>
      </c>
      <c r="AT129" s="136" t="s">
        <v>284</v>
      </c>
      <c r="AU129" s="136" t="s">
        <v>83</v>
      </c>
      <c r="AY129" s="16" t="s">
        <v>282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6" t="s">
        <v>81</v>
      </c>
      <c r="BK129" s="137">
        <f>ROUND(I129*H129,2)</f>
        <v>0</v>
      </c>
      <c r="BL129" s="16" t="s">
        <v>95</v>
      </c>
      <c r="BM129" s="136" t="s">
        <v>2130</v>
      </c>
    </row>
    <row r="130" spans="2:65" s="1" customFormat="1" ht="6.95" customHeight="1" x14ac:dyDescent="0.2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162"/>
  <sheetViews>
    <sheetView windowProtection="1" showGridLines="0" topLeftCell="A110" zoomScale="80" zoomScaleNormal="80" workbookViewId="0">
      <selection activeCell="N123" sqref="N123:N15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75" width="13.33203125" customWidth="1"/>
    <col min="76" max="76" width="10.83203125" customWidth="1"/>
    <col min="78" max="83" width="14.1640625" customWidth="1"/>
    <col min="84" max="84" width="16.33203125" customWidth="1"/>
    <col min="85" max="85" width="12.33203125" customWidth="1"/>
    <col min="86" max="86" width="16.33203125" customWidth="1"/>
    <col min="87" max="87" width="12.33203125" customWidth="1"/>
    <col min="88" max="88" width="15" customWidth="1"/>
    <col min="89" max="89" width="11" customWidth="1"/>
    <col min="90" max="90" width="15" customWidth="1"/>
    <col min="91" max="91" width="16.33203125" customWidth="1"/>
    <col min="92" max="92" width="11" customWidth="1"/>
    <col min="93" max="93" width="15" customWidth="1"/>
    <col min="94" max="94" width="16.33203125" customWidth="1"/>
    <col min="107" max="128" width="9.33203125" hidden="1"/>
  </cols>
  <sheetData>
    <row r="1" spans="2:109" hidden="1" x14ac:dyDescent="0.2"/>
    <row r="2" spans="2:109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DE2" s="16" t="s">
        <v>168</v>
      </c>
    </row>
    <row r="3" spans="2:109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E3" s="16" t="s">
        <v>83</v>
      </c>
    </row>
    <row r="4" spans="2:109" ht="24.95" hidden="1" customHeight="1" x14ac:dyDescent="0.2">
      <c r="B4" s="19"/>
      <c r="D4" s="20" t="s">
        <v>243</v>
      </c>
      <c r="L4" s="19"/>
      <c r="BX4" s="79" t="s">
        <v>10</v>
      </c>
      <c r="DE4" s="16" t="s">
        <v>3</v>
      </c>
    </row>
    <row r="5" spans="2:109" ht="6.95" hidden="1" customHeight="1" x14ac:dyDescent="0.2">
      <c r="B5" s="19"/>
      <c r="L5" s="19"/>
    </row>
    <row r="6" spans="2:109" ht="12" hidden="1" customHeight="1" x14ac:dyDescent="0.2">
      <c r="B6" s="19"/>
      <c r="D6" s="26" t="s">
        <v>16</v>
      </c>
      <c r="L6" s="19"/>
    </row>
    <row r="7" spans="2:109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09" ht="12.75" hidden="1" x14ac:dyDescent="0.2">
      <c r="B8" s="19"/>
      <c r="D8" s="26" t="s">
        <v>244</v>
      </c>
      <c r="L8" s="19"/>
    </row>
    <row r="9" spans="2:109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09" ht="12" hidden="1" customHeight="1" x14ac:dyDescent="0.2">
      <c r="B10" s="19"/>
      <c r="D10" s="26" t="s">
        <v>246</v>
      </c>
      <c r="L10" s="19"/>
    </row>
    <row r="11" spans="2:109" s="1" customFormat="1" ht="16.5" hidden="1" customHeight="1" x14ac:dyDescent="0.2">
      <c r="B11" s="31"/>
      <c r="E11" s="401" t="s">
        <v>2046</v>
      </c>
      <c r="F11" s="433"/>
      <c r="G11" s="433"/>
      <c r="H11" s="433"/>
      <c r="L11" s="31"/>
    </row>
    <row r="12" spans="2:109" s="1" customFormat="1" ht="12" hidden="1" customHeight="1" x14ac:dyDescent="0.2">
      <c r="B12" s="31"/>
      <c r="D12" s="26" t="s">
        <v>1790</v>
      </c>
      <c r="L12" s="31"/>
    </row>
    <row r="13" spans="2:109" s="1" customFormat="1" ht="16.5" hidden="1" customHeight="1" x14ac:dyDescent="0.2">
      <c r="B13" s="31"/>
      <c r="E13" s="432" t="s">
        <v>2131</v>
      </c>
      <c r="F13" s="433"/>
      <c r="G13" s="433"/>
      <c r="H13" s="433"/>
      <c r="L13" s="31"/>
    </row>
    <row r="14" spans="2:109" s="1" customFormat="1" hidden="1" x14ac:dyDescent="0.2">
      <c r="B14" s="31"/>
      <c r="L14" s="31"/>
    </row>
    <row r="15" spans="2:109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109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hidden="1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hidden="1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ROUND(J119, 2)</f>
        <v>64869.11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ROUND((SUM(DP119:DP161)),  2)</f>
        <v>64869.11</v>
      </c>
      <c r="I37" s="84">
        <v>0.21</v>
      </c>
      <c r="J37" s="71">
        <f>ROUND(((SUM(DP119:DP161))*I37),  2)</f>
        <v>13622.51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ROUND((SUM(DQ119:DQ161)),  2)</f>
        <v>0</v>
      </c>
      <c r="I38" s="84">
        <v>0.15</v>
      </c>
      <c r="J38" s="71">
        <f>ROUND(((SUM(DQ119:DQ161))*I38),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ROUND((SUM(DR119:DR161)),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ROUND((SUM(DS119:DS161)),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ROUND((SUM(DT119:DT161)),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78491.62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2046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0003 - DSO 05.3 Čerpací stanice ČS5 - přípojka NN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110" s="1" customFormat="1" ht="10.35" hidden="1" customHeight="1" x14ac:dyDescent="0.2">
      <c r="B97" s="31"/>
      <c r="L97" s="31"/>
    </row>
    <row r="98" spans="2:110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110" s="1" customFormat="1" ht="10.35" hidden="1" customHeight="1" x14ac:dyDescent="0.2">
      <c r="B99" s="31"/>
      <c r="L99" s="31"/>
    </row>
    <row r="100" spans="2:110" s="1" customFormat="1" ht="22.9" hidden="1" customHeight="1" x14ac:dyDescent="0.2">
      <c r="B100" s="31"/>
      <c r="C100" s="95" t="s">
        <v>256</v>
      </c>
      <c r="J100" s="58">
        <f>J119</f>
        <v>64869.11</v>
      </c>
      <c r="L100" s="31"/>
      <c r="DF100" s="16" t="s">
        <v>257</v>
      </c>
    </row>
    <row r="101" spans="2:110" s="7" customFormat="1" ht="24.95" hidden="1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J120</f>
        <v>64869.11</v>
      </c>
      <c r="L101" s="96"/>
    </row>
    <row r="102" spans="2:110" s="8" customFormat="1" ht="19.899999999999999" hidden="1" customHeight="1" x14ac:dyDescent="0.2">
      <c r="B102" s="100"/>
      <c r="D102" s="101" t="s">
        <v>1975</v>
      </c>
      <c r="E102" s="102"/>
      <c r="F102" s="102"/>
      <c r="G102" s="102"/>
      <c r="H102" s="102"/>
      <c r="I102" s="102"/>
      <c r="J102" s="103">
        <f>J122</f>
        <v>14436.94</v>
      </c>
      <c r="L102" s="100"/>
    </row>
    <row r="103" spans="2:110" s="8" customFormat="1" ht="19.899999999999999" hidden="1" customHeight="1" x14ac:dyDescent="0.2">
      <c r="B103" s="100"/>
      <c r="D103" s="101" t="s">
        <v>1976</v>
      </c>
      <c r="E103" s="102"/>
      <c r="F103" s="102"/>
      <c r="G103" s="102"/>
      <c r="H103" s="102"/>
      <c r="I103" s="102"/>
      <c r="J103" s="103">
        <f>J125</f>
        <v>12780.3</v>
      </c>
      <c r="L103" s="100"/>
    </row>
    <row r="104" spans="2:110" s="8" customFormat="1" ht="19.899999999999999" hidden="1" customHeight="1" x14ac:dyDescent="0.2">
      <c r="B104" s="100"/>
      <c r="D104" s="101" t="s">
        <v>1977</v>
      </c>
      <c r="E104" s="102"/>
      <c r="F104" s="102"/>
      <c r="G104" s="102"/>
      <c r="H104" s="102"/>
      <c r="I104" s="102"/>
      <c r="J104" s="103">
        <f>J144</f>
        <v>22941.61</v>
      </c>
      <c r="L104" s="100"/>
    </row>
    <row r="105" spans="2:110" s="8" customFormat="1" ht="19.899999999999999" hidden="1" customHeight="1" x14ac:dyDescent="0.2">
      <c r="B105" s="100"/>
      <c r="D105" s="101" t="s">
        <v>1978</v>
      </c>
      <c r="E105" s="102"/>
      <c r="F105" s="102"/>
      <c r="G105" s="102"/>
      <c r="H105" s="102"/>
      <c r="I105" s="102"/>
      <c r="J105" s="103">
        <f>J153</f>
        <v>14710.26</v>
      </c>
      <c r="L105" s="100"/>
    </row>
    <row r="106" spans="2:110" s="1" customFormat="1" ht="21.75" hidden="1" customHeight="1" x14ac:dyDescent="0.2">
      <c r="B106" s="31"/>
      <c r="L106" s="31"/>
    </row>
    <row r="107" spans="2:110" s="1" customFormat="1" ht="6.95" hidden="1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08" spans="2:110" hidden="1" x14ac:dyDescent="0.2"/>
    <row r="109" spans="2:110" hidden="1" x14ac:dyDescent="0.2"/>
    <row r="111" spans="2:110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10" s="1" customFormat="1" ht="24.95" customHeight="1" x14ac:dyDescent="0.2">
      <c r="B112" s="31"/>
      <c r="C112" s="20" t="s">
        <v>267</v>
      </c>
      <c r="L112" s="31"/>
    </row>
    <row r="113" spans="2:128" s="1" customFormat="1" ht="6.95" customHeight="1" x14ac:dyDescent="0.2">
      <c r="B113" s="31"/>
      <c r="L113" s="31"/>
    </row>
    <row r="114" spans="2:128" s="1" customFormat="1" ht="16.5" customHeight="1" x14ac:dyDescent="0.2">
      <c r="B114" s="31"/>
      <c r="E114" s="432" t="str">
        <f>E13</f>
        <v>0003 - DSO 05.3 Čerpací stanice ČS5 - přípojka NN</v>
      </c>
      <c r="F114" s="433"/>
      <c r="G114" s="433"/>
      <c r="H114" s="433"/>
      <c r="L114" s="31"/>
    </row>
    <row r="115" spans="2:128" s="1" customFormat="1" ht="6.95" customHeight="1" x14ac:dyDescent="0.2">
      <c r="B115" s="31"/>
      <c r="L115" s="31"/>
    </row>
    <row r="116" spans="2:128" s="1" customFormat="1" ht="15.2" customHeight="1" x14ac:dyDescent="0.2">
      <c r="B116" s="31"/>
      <c r="C116" s="26"/>
      <c r="F116" s="24"/>
      <c r="I116" s="26"/>
      <c r="J116" s="29"/>
      <c r="L116" s="31"/>
    </row>
    <row r="117" spans="2:128" s="1" customFormat="1" ht="22.5" customHeight="1" x14ac:dyDescent="0.2">
      <c r="B117" s="31"/>
      <c r="G117" s="446" t="s">
        <v>3305</v>
      </c>
      <c r="H117" s="446"/>
      <c r="I117" s="446"/>
      <c r="J117" s="446"/>
      <c r="K117" s="447"/>
      <c r="L117" s="31"/>
    </row>
    <row r="118" spans="2:128" s="9" customFormat="1" ht="29.25" customHeight="1" thickBot="1" x14ac:dyDescent="0.25">
      <c r="B118" s="104"/>
      <c r="C118" s="105" t="s">
        <v>268</v>
      </c>
      <c r="D118" s="106" t="s">
        <v>59</v>
      </c>
      <c r="E118" s="106" t="s">
        <v>55</v>
      </c>
      <c r="F118" s="106" t="s">
        <v>56</v>
      </c>
      <c r="G118" s="106" t="s">
        <v>269</v>
      </c>
      <c r="H118" s="106" t="s">
        <v>270</v>
      </c>
      <c r="I118" s="106" t="s">
        <v>271</v>
      </c>
      <c r="J118" s="106" t="s">
        <v>255</v>
      </c>
      <c r="K118" s="107" t="s">
        <v>272</v>
      </c>
      <c r="L118" s="437" t="s">
        <v>3307</v>
      </c>
      <c r="M118" s="438"/>
      <c r="N118" s="438"/>
      <c r="O118" s="438"/>
      <c r="P118" s="438"/>
      <c r="Q118" s="439"/>
      <c r="BX118" s="52" t="s">
        <v>1</v>
      </c>
      <c r="BY118" s="53" t="s">
        <v>39</v>
      </c>
      <c r="BZ118" s="53" t="s">
        <v>273</v>
      </c>
      <c r="CA118" s="53" t="s">
        <v>274</v>
      </c>
      <c r="CB118" s="53" t="s">
        <v>275</v>
      </c>
      <c r="CC118" s="53" t="s">
        <v>276</v>
      </c>
      <c r="CD118" s="53" t="s">
        <v>277</v>
      </c>
      <c r="CE118" s="54" t="s">
        <v>278</v>
      </c>
    </row>
    <row r="119" spans="2:128" s="1" customFormat="1" ht="22.9" customHeight="1" x14ac:dyDescent="0.25">
      <c r="B119" s="31"/>
      <c r="C119" s="57" t="s">
        <v>279</v>
      </c>
      <c r="G119" s="1" t="s">
        <v>3306</v>
      </c>
      <c r="J119" s="108">
        <f>DV119</f>
        <v>64869.11</v>
      </c>
      <c r="L119" s="440" t="s">
        <v>3308</v>
      </c>
      <c r="M119" s="441"/>
      <c r="N119" s="440" t="s">
        <v>3348</v>
      </c>
      <c r="O119" s="441"/>
      <c r="P119" s="440" t="s">
        <v>3309</v>
      </c>
      <c r="Q119" s="441"/>
      <c r="S119" s="442" t="s">
        <v>3312</v>
      </c>
      <c r="T119" s="443"/>
      <c r="U119" s="443" t="s">
        <v>3313</v>
      </c>
      <c r="V119" s="443"/>
      <c r="W119" s="444" t="s">
        <v>3324</v>
      </c>
      <c r="X119" s="444"/>
      <c r="Y119" s="444" t="s">
        <v>3325</v>
      </c>
      <c r="Z119" s="444"/>
      <c r="AA119" s="444" t="s">
        <v>3326</v>
      </c>
      <c r="AB119" s="444"/>
      <c r="AC119" s="444" t="s">
        <v>3327</v>
      </c>
      <c r="AD119" s="445"/>
      <c r="BX119" s="55"/>
      <c r="BY119" s="49"/>
      <c r="BZ119" s="49"/>
      <c r="CA119" s="109">
        <f>CA120</f>
        <v>0</v>
      </c>
      <c r="CB119" s="49"/>
      <c r="CC119" s="109">
        <f>CC120</f>
        <v>0</v>
      </c>
      <c r="CD119" s="49"/>
      <c r="CE119" s="110">
        <f>CE120</f>
        <v>0</v>
      </c>
      <c r="DE119" s="16" t="s">
        <v>73</v>
      </c>
      <c r="DF119" s="16" t="s">
        <v>257</v>
      </c>
      <c r="DV119" s="111">
        <f>DV120</f>
        <v>64869.11</v>
      </c>
    </row>
    <row r="120" spans="2:128" s="10" customFormat="1" ht="25.9" customHeight="1" thickBot="1" x14ac:dyDescent="0.25">
      <c r="B120" s="112"/>
      <c r="D120" s="113" t="s">
        <v>73</v>
      </c>
      <c r="E120" s="114" t="s">
        <v>439</v>
      </c>
      <c r="F120" s="114" t="s">
        <v>1979</v>
      </c>
      <c r="G120" s="10" t="s">
        <v>3306</v>
      </c>
      <c r="I120" s="115"/>
      <c r="J120" s="116">
        <f>DV120</f>
        <v>64869.11</v>
      </c>
      <c r="L120" s="190" t="s">
        <v>270</v>
      </c>
      <c r="M120" s="190" t="s">
        <v>3310</v>
      </c>
      <c r="N120" s="190" t="s">
        <v>270</v>
      </c>
      <c r="O120" s="190" t="s">
        <v>3310</v>
      </c>
      <c r="P120" s="190" t="s">
        <v>3311</v>
      </c>
      <c r="Q120" s="190" t="s">
        <v>3310</v>
      </c>
      <c r="S120" s="193" t="s">
        <v>270</v>
      </c>
      <c r="T120" s="194" t="s">
        <v>3310</v>
      </c>
      <c r="U120" s="194" t="s">
        <v>270</v>
      </c>
      <c r="V120" s="194" t="s">
        <v>3310</v>
      </c>
      <c r="W120" s="194" t="s">
        <v>270</v>
      </c>
      <c r="X120" s="194" t="s">
        <v>3328</v>
      </c>
      <c r="Y120" s="194" t="s">
        <v>270</v>
      </c>
      <c r="Z120" s="194" t="s">
        <v>3328</v>
      </c>
      <c r="AA120" s="194" t="s">
        <v>270</v>
      </c>
      <c r="AB120" s="194" t="s">
        <v>3328</v>
      </c>
      <c r="AC120" s="194" t="s">
        <v>270</v>
      </c>
      <c r="AD120" s="195" t="s">
        <v>3328</v>
      </c>
      <c r="BX120" s="117"/>
      <c r="CA120" s="118">
        <f>CA122+CA125+CA144+CA153</f>
        <v>0</v>
      </c>
      <c r="CC120" s="118">
        <f>CC122+CC125+CC144+CC153</f>
        <v>0</v>
      </c>
      <c r="CE120" s="119">
        <f>CE122+CE125+CE144+CE153</f>
        <v>0</v>
      </c>
      <c r="DC120" s="113" t="s">
        <v>90</v>
      </c>
      <c r="DE120" s="120" t="s">
        <v>73</v>
      </c>
      <c r="DF120" s="120" t="s">
        <v>74</v>
      </c>
      <c r="DJ120" s="113" t="s">
        <v>282</v>
      </c>
      <c r="DV120" s="121">
        <f>DV122+DV125+DV144+DV153</f>
        <v>64869.11</v>
      </c>
    </row>
    <row r="121" spans="2:128" s="10" customFormat="1" ht="25.9" customHeight="1" thickBot="1" x14ac:dyDescent="0.25">
      <c r="B121" s="112"/>
      <c r="D121" s="113"/>
      <c r="E121" s="114"/>
      <c r="F121" s="114"/>
      <c r="G121" s="10" t="s">
        <v>3306</v>
      </c>
      <c r="I121" s="115"/>
      <c r="J121" s="116" t="s">
        <v>3306</v>
      </c>
      <c r="L121" s="191"/>
      <c r="M121" s="192">
        <f>M122+M125+M144+M153</f>
        <v>0</v>
      </c>
      <c r="N121" s="208"/>
      <c r="O121" s="208">
        <f t="shared" ref="O121:Q121" si="0">O122+O125+O144+O153</f>
        <v>0</v>
      </c>
      <c r="P121" s="192"/>
      <c r="Q121" s="192">
        <f t="shared" si="0"/>
        <v>64869.11</v>
      </c>
      <c r="S121" s="196"/>
      <c r="T121" s="197">
        <f>T122+T125+T144+T153</f>
        <v>0</v>
      </c>
      <c r="U121" s="197">
        <f t="shared" ref="U121:AD121" si="1">U122+U125+U144+U153</f>
        <v>0</v>
      </c>
      <c r="V121" s="197">
        <f t="shared" si="1"/>
        <v>64869.11</v>
      </c>
      <c r="W121" s="197"/>
      <c r="X121" s="197">
        <f t="shared" si="1"/>
        <v>0</v>
      </c>
      <c r="Y121" s="197"/>
      <c r="Z121" s="197">
        <f t="shared" si="1"/>
        <v>0</v>
      </c>
      <c r="AA121" s="197"/>
      <c r="AB121" s="197">
        <f t="shared" si="1"/>
        <v>0</v>
      </c>
      <c r="AC121" s="197"/>
      <c r="AD121" s="197">
        <f t="shared" si="1"/>
        <v>0</v>
      </c>
      <c r="BX121" s="117"/>
      <c r="CA121" s="118"/>
      <c r="CC121" s="118"/>
      <c r="CE121" s="119"/>
      <c r="DC121" s="113"/>
      <c r="DE121" s="120"/>
      <c r="DF121" s="120"/>
      <c r="DJ121" s="113"/>
      <c r="DV121" s="121"/>
    </row>
    <row r="122" spans="2:128" s="10" customFormat="1" ht="22.9" customHeight="1" x14ac:dyDescent="0.2">
      <c r="B122" s="112"/>
      <c r="D122" s="113" t="s">
        <v>73</v>
      </c>
      <c r="E122" s="122" t="s">
        <v>1980</v>
      </c>
      <c r="F122" s="122" t="s">
        <v>1981</v>
      </c>
      <c r="G122" s="10" t="s">
        <v>3306</v>
      </c>
      <c r="I122" s="115"/>
      <c r="J122" s="123">
        <f>DV122</f>
        <v>14436.94</v>
      </c>
      <c r="L122" s="112"/>
      <c r="M122" s="270">
        <f>M123</f>
        <v>0</v>
      </c>
      <c r="N122" s="299"/>
      <c r="O122" s="300">
        <f t="shared" ref="O122:V122" si="2">O123</f>
        <v>0</v>
      </c>
      <c r="P122" s="270"/>
      <c r="Q122" s="286">
        <f t="shared" si="2"/>
        <v>14436.94</v>
      </c>
      <c r="R122" s="270"/>
      <c r="S122" s="270"/>
      <c r="T122" s="270">
        <f t="shared" si="2"/>
        <v>0</v>
      </c>
      <c r="U122" s="270"/>
      <c r="V122" s="270">
        <f t="shared" si="2"/>
        <v>14436.94</v>
      </c>
      <c r="BX122" s="117"/>
      <c r="CA122" s="118">
        <f>SUM(CA123:CA124)</f>
        <v>0</v>
      </c>
      <c r="CC122" s="118">
        <f>SUM(CC123:CC124)</f>
        <v>0</v>
      </c>
      <c r="CE122" s="119">
        <f>SUM(CE123:CE124)</f>
        <v>0</v>
      </c>
      <c r="DC122" s="113" t="s">
        <v>81</v>
      </c>
      <c r="DE122" s="120" t="s">
        <v>73</v>
      </c>
      <c r="DF122" s="120" t="s">
        <v>81</v>
      </c>
      <c r="DJ122" s="113" t="s">
        <v>282</v>
      </c>
      <c r="DV122" s="121">
        <f>SUM(DV123:DV124)</f>
        <v>14436.94</v>
      </c>
    </row>
    <row r="123" spans="2:128" s="1" customFormat="1" ht="51.75" customHeight="1" x14ac:dyDescent="0.2">
      <c r="B123" s="124"/>
      <c r="C123" s="125" t="s">
        <v>81</v>
      </c>
      <c r="D123" s="125" t="s">
        <v>284</v>
      </c>
      <c r="E123" s="126" t="s">
        <v>1982</v>
      </c>
      <c r="F123" s="127" t="s">
        <v>1983</v>
      </c>
      <c r="G123" s="128" t="s">
        <v>315</v>
      </c>
      <c r="H123" s="129">
        <v>1</v>
      </c>
      <c r="I123" s="130">
        <v>14436.940730765</v>
      </c>
      <c r="J123" s="131">
        <f>ROUND(I123*H123,2)</f>
        <v>14436.94</v>
      </c>
      <c r="K123" s="127" t="s">
        <v>1</v>
      </c>
      <c r="L123" s="268">
        <f>S123</f>
        <v>0</v>
      </c>
      <c r="M123" s="272">
        <f>ROUND(L123*I123,2)</f>
        <v>0</v>
      </c>
      <c r="N123" s="243"/>
      <c r="O123" s="294">
        <f>ROUND(N123*I123,2)</f>
        <v>0</v>
      </c>
      <c r="P123" s="273">
        <f>H123-L123-N123</f>
        <v>1</v>
      </c>
      <c r="Q123" s="287">
        <f>ROUND(P123*I123,2)</f>
        <v>14436.94</v>
      </c>
      <c r="R123" s="137"/>
      <c r="S123" s="269">
        <f>W123+Y123+AA123+AC123</f>
        <v>0</v>
      </c>
      <c r="T123" s="269">
        <f>ROUND(S123*I123,2)</f>
        <v>0</v>
      </c>
      <c r="U123" s="269">
        <f>H123-S123</f>
        <v>1</v>
      </c>
      <c r="V123" s="269">
        <f>ROUND(U123*I123,2)</f>
        <v>14436.94</v>
      </c>
      <c r="W123" s="269"/>
      <c r="X123" s="269"/>
      <c r="Y123" s="269"/>
      <c r="Z123" s="269"/>
      <c r="AA123" s="269"/>
      <c r="AB123" s="269"/>
      <c r="AC123" s="269"/>
      <c r="AD123" s="269"/>
      <c r="BX123" s="132" t="s">
        <v>1</v>
      </c>
      <c r="BY123" s="133" t="s">
        <v>40</v>
      </c>
      <c r="CA123" s="134">
        <f>BZ123*H123</f>
        <v>0</v>
      </c>
      <c r="CB123" s="134">
        <v>0</v>
      </c>
      <c r="CC123" s="134">
        <f>CB123*H123</f>
        <v>0</v>
      </c>
      <c r="CD123" s="134">
        <v>0</v>
      </c>
      <c r="CE123" s="135">
        <f>CD123*H123</f>
        <v>0</v>
      </c>
      <c r="DC123" s="136" t="s">
        <v>95</v>
      </c>
      <c r="DE123" s="136" t="s">
        <v>284</v>
      </c>
      <c r="DF123" s="136" t="s">
        <v>83</v>
      </c>
      <c r="DJ123" s="16" t="s">
        <v>282</v>
      </c>
      <c r="DP123" s="137">
        <f>IF(BY123="základní",J123,0)</f>
        <v>14436.94</v>
      </c>
      <c r="DQ123" s="137">
        <f>IF(BY123="snížená",J123,0)</f>
        <v>0</v>
      </c>
      <c r="DR123" s="137">
        <f>IF(BY123="zákl. přenesená",J123,0)</f>
        <v>0</v>
      </c>
      <c r="DS123" s="137">
        <f>IF(BY123="sníž. přenesená",J123,0)</f>
        <v>0</v>
      </c>
      <c r="DT123" s="137">
        <f>IF(BY123="nulová",J123,0)</f>
        <v>0</v>
      </c>
      <c r="DU123" s="16" t="s">
        <v>81</v>
      </c>
      <c r="DV123" s="137">
        <f>ROUND(I123*H123,2)</f>
        <v>14436.94</v>
      </c>
      <c r="DW123" s="16" t="s">
        <v>95</v>
      </c>
      <c r="DX123" s="136" t="s">
        <v>83</v>
      </c>
    </row>
    <row r="124" spans="2:128" s="1" customFormat="1" ht="29.25" x14ac:dyDescent="0.2">
      <c r="B124" s="31"/>
      <c r="D124" s="138" t="s">
        <v>289</v>
      </c>
      <c r="F124" s="139" t="s">
        <v>1984</v>
      </c>
      <c r="I124" s="140"/>
      <c r="L124" s="31"/>
      <c r="N124" s="213"/>
      <c r="O124" s="214"/>
      <c r="Q124" s="229"/>
      <c r="BX124" s="141"/>
      <c r="CE124" s="50"/>
      <c r="DE124" s="16" t="s">
        <v>289</v>
      </c>
      <c r="DF124" s="16" t="s">
        <v>83</v>
      </c>
    </row>
    <row r="125" spans="2:128" s="10" customFormat="1" ht="22.9" customHeight="1" x14ac:dyDescent="0.2">
      <c r="B125" s="112"/>
      <c r="D125" s="113" t="s">
        <v>73</v>
      </c>
      <c r="E125" s="122" t="s">
        <v>1985</v>
      </c>
      <c r="F125" s="122" t="s">
        <v>1986</v>
      </c>
      <c r="I125" s="115"/>
      <c r="J125" s="123">
        <f>DV125</f>
        <v>12780.3</v>
      </c>
      <c r="L125" s="112"/>
      <c r="M125" s="270">
        <f>SUM(M126:M142)</f>
        <v>0</v>
      </c>
      <c r="N125" s="301"/>
      <c r="O125" s="302">
        <f t="shared" ref="O125:V125" si="3">SUM(O126:O142)</f>
        <v>0</v>
      </c>
      <c r="P125" s="270"/>
      <c r="Q125" s="288">
        <f t="shared" si="3"/>
        <v>12780.3</v>
      </c>
      <c r="R125" s="270"/>
      <c r="S125" s="270"/>
      <c r="T125" s="270">
        <f t="shared" si="3"/>
        <v>0</v>
      </c>
      <c r="U125" s="270"/>
      <c r="V125" s="270">
        <f t="shared" si="3"/>
        <v>12780.3</v>
      </c>
      <c r="BX125" s="117"/>
      <c r="CA125" s="118">
        <f>SUM(CA126:CA143)</f>
        <v>0</v>
      </c>
      <c r="CC125" s="118">
        <f>SUM(CC126:CC143)</f>
        <v>0</v>
      </c>
      <c r="CE125" s="119">
        <f>SUM(CE126:CE143)</f>
        <v>0</v>
      </c>
      <c r="DC125" s="113" t="s">
        <v>81</v>
      </c>
      <c r="DE125" s="120" t="s">
        <v>73</v>
      </c>
      <c r="DF125" s="120" t="s">
        <v>81</v>
      </c>
      <c r="DJ125" s="113" t="s">
        <v>282</v>
      </c>
      <c r="DV125" s="121">
        <f>SUM(DV126:DV143)</f>
        <v>12780.3</v>
      </c>
    </row>
    <row r="126" spans="2:128" s="1" customFormat="1" ht="14.45" customHeight="1" x14ac:dyDescent="0.2">
      <c r="B126" s="124"/>
      <c r="C126" s="125" t="s">
        <v>83</v>
      </c>
      <c r="D126" s="125" t="s">
        <v>284</v>
      </c>
      <c r="E126" s="126" t="s">
        <v>1987</v>
      </c>
      <c r="F126" s="127" t="s">
        <v>1988</v>
      </c>
      <c r="G126" s="128" t="s">
        <v>344</v>
      </c>
      <c r="H126" s="129">
        <v>15</v>
      </c>
      <c r="I126" s="130">
        <v>200.77183977199999</v>
      </c>
      <c r="J126" s="131">
        <f>ROUND(I126*H126,2)</f>
        <v>3011.58</v>
      </c>
      <c r="K126" s="127" t="s">
        <v>1</v>
      </c>
      <c r="L126" s="268">
        <f>S126</f>
        <v>0</v>
      </c>
      <c r="M126" s="272">
        <f>ROUND(L126*I126,2)</f>
        <v>0</v>
      </c>
      <c r="N126" s="243"/>
      <c r="O126" s="294">
        <f>ROUND(N126*I126,2)</f>
        <v>0</v>
      </c>
      <c r="P126" s="273">
        <f>H126-L126-N126</f>
        <v>15</v>
      </c>
      <c r="Q126" s="287">
        <f>ROUND(P126*I126,2)</f>
        <v>3011.58</v>
      </c>
      <c r="R126" s="137"/>
      <c r="S126" s="269">
        <f>W126+Y126+AA126+AC126</f>
        <v>0</v>
      </c>
      <c r="T126" s="269">
        <f>ROUND(S126*I126,2)</f>
        <v>0</v>
      </c>
      <c r="U126" s="269">
        <f>H126-S126</f>
        <v>15</v>
      </c>
      <c r="V126" s="269">
        <f>ROUND(U126*I126,2)</f>
        <v>3011.58</v>
      </c>
      <c r="W126" s="269"/>
      <c r="X126" s="269"/>
      <c r="Y126" s="269"/>
      <c r="Z126" s="269"/>
      <c r="AA126" s="269"/>
      <c r="AB126" s="269"/>
      <c r="AC126" s="269"/>
      <c r="AD126" s="269"/>
      <c r="BX126" s="132" t="s">
        <v>1</v>
      </c>
      <c r="BY126" s="133" t="s">
        <v>40</v>
      </c>
      <c r="CA126" s="134">
        <f>BZ126*H126</f>
        <v>0</v>
      </c>
      <c r="CB126" s="134">
        <v>0</v>
      </c>
      <c r="CC126" s="134">
        <f>CB126*H126</f>
        <v>0</v>
      </c>
      <c r="CD126" s="134">
        <v>0</v>
      </c>
      <c r="CE126" s="135">
        <f>CD126*H126</f>
        <v>0</v>
      </c>
      <c r="DC126" s="136" t="s">
        <v>95</v>
      </c>
      <c r="DE126" s="136" t="s">
        <v>284</v>
      </c>
      <c r="DF126" s="136" t="s">
        <v>83</v>
      </c>
      <c r="DJ126" s="16" t="s">
        <v>282</v>
      </c>
      <c r="DP126" s="137">
        <f>IF(BY126="základní",J126,0)</f>
        <v>3011.58</v>
      </c>
      <c r="DQ126" s="137">
        <f>IF(BY126="snížená",J126,0)</f>
        <v>0</v>
      </c>
      <c r="DR126" s="137">
        <f>IF(BY126="zákl. přenesená",J126,0)</f>
        <v>0</v>
      </c>
      <c r="DS126" s="137">
        <f>IF(BY126="sníž. přenesená",J126,0)</f>
        <v>0</v>
      </c>
      <c r="DT126" s="137">
        <f>IF(BY126="nulová",J126,0)</f>
        <v>0</v>
      </c>
      <c r="DU126" s="16" t="s">
        <v>81</v>
      </c>
      <c r="DV126" s="137">
        <f>ROUND(I126*H126,2)</f>
        <v>3011.58</v>
      </c>
      <c r="DW126" s="16" t="s">
        <v>95</v>
      </c>
      <c r="DX126" s="136" t="s">
        <v>318</v>
      </c>
    </row>
    <row r="127" spans="2:128" s="1" customFormat="1" x14ac:dyDescent="0.2">
      <c r="B127" s="31"/>
      <c r="D127" s="138" t="s">
        <v>289</v>
      </c>
      <c r="F127" s="139" t="s">
        <v>1989</v>
      </c>
      <c r="I127" s="140"/>
      <c r="L127" s="31"/>
      <c r="N127" s="213"/>
      <c r="O127" s="214"/>
      <c r="Q127" s="229"/>
      <c r="BX127" s="141"/>
      <c r="CE127" s="50"/>
      <c r="DE127" s="16" t="s">
        <v>289</v>
      </c>
      <c r="DF127" s="16" t="s">
        <v>83</v>
      </c>
    </row>
    <row r="128" spans="2:128" s="1" customFormat="1" ht="14.45" customHeight="1" x14ac:dyDescent="0.2">
      <c r="B128" s="124"/>
      <c r="C128" s="125" t="s">
        <v>90</v>
      </c>
      <c r="D128" s="125" t="s">
        <v>284</v>
      </c>
      <c r="E128" s="126" t="s">
        <v>1990</v>
      </c>
      <c r="F128" s="127" t="s">
        <v>1991</v>
      </c>
      <c r="G128" s="128" t="s">
        <v>344</v>
      </c>
      <c r="H128" s="129">
        <v>10</v>
      </c>
      <c r="I128" s="130">
        <v>172.92369819199999</v>
      </c>
      <c r="J128" s="131">
        <f>ROUND(I128*H128,2)</f>
        <v>1729.24</v>
      </c>
      <c r="K128" s="127" t="s">
        <v>1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10</v>
      </c>
      <c r="Q128" s="287">
        <f>ROUND(P128*I128,2)</f>
        <v>1729.24</v>
      </c>
      <c r="R128" s="137"/>
      <c r="S128" s="269">
        <f>W128+Y128+AA128+AC128</f>
        <v>0</v>
      </c>
      <c r="T128" s="269">
        <f>ROUND(S128*I128,2)</f>
        <v>0</v>
      </c>
      <c r="U128" s="269">
        <f>H128-S128</f>
        <v>10</v>
      </c>
      <c r="V128" s="269">
        <f>ROUND(U128*I128,2)</f>
        <v>1729.24</v>
      </c>
      <c r="W128" s="269"/>
      <c r="X128" s="269"/>
      <c r="Y128" s="269"/>
      <c r="Z128" s="269"/>
      <c r="AA128" s="269"/>
      <c r="AB128" s="269"/>
      <c r="AC128" s="269"/>
      <c r="AD128" s="269"/>
      <c r="BX128" s="132" t="s">
        <v>1</v>
      </c>
      <c r="BY128" s="133" t="s">
        <v>40</v>
      </c>
      <c r="CA128" s="134">
        <f>BZ128*H128</f>
        <v>0</v>
      </c>
      <c r="CB128" s="134">
        <v>0</v>
      </c>
      <c r="CC128" s="134">
        <f>CB128*H128</f>
        <v>0</v>
      </c>
      <c r="CD128" s="134">
        <v>0</v>
      </c>
      <c r="CE128" s="135">
        <f>CD128*H128</f>
        <v>0</v>
      </c>
      <c r="DC128" s="136" t="s">
        <v>95</v>
      </c>
      <c r="DE128" s="136" t="s">
        <v>284</v>
      </c>
      <c r="DF128" s="136" t="s">
        <v>83</v>
      </c>
      <c r="DJ128" s="16" t="s">
        <v>282</v>
      </c>
      <c r="DP128" s="137">
        <f>IF(BY128="základní",J128,0)</f>
        <v>1729.24</v>
      </c>
      <c r="DQ128" s="137">
        <f>IF(BY128="snížená",J128,0)</f>
        <v>0</v>
      </c>
      <c r="DR128" s="137">
        <f>IF(BY128="zákl. přenesená",J128,0)</f>
        <v>0</v>
      </c>
      <c r="DS128" s="137">
        <f>IF(BY128="sníž. přenesená",J128,0)</f>
        <v>0</v>
      </c>
      <c r="DT128" s="137">
        <f>IF(BY128="nulová",J128,0)</f>
        <v>0</v>
      </c>
      <c r="DU128" s="16" t="s">
        <v>81</v>
      </c>
      <c r="DV128" s="137">
        <f>ROUND(I128*H128,2)</f>
        <v>1729.24</v>
      </c>
      <c r="DW128" s="16" t="s">
        <v>95</v>
      </c>
      <c r="DX128" s="136" t="s">
        <v>328</v>
      </c>
    </row>
    <row r="129" spans="2:128" s="1" customFormat="1" x14ac:dyDescent="0.2">
      <c r="B129" s="31"/>
      <c r="D129" s="138" t="s">
        <v>289</v>
      </c>
      <c r="F129" s="139" t="s">
        <v>1992</v>
      </c>
      <c r="I129" s="140"/>
      <c r="L129" s="31"/>
      <c r="N129" s="213"/>
      <c r="O129" s="214"/>
      <c r="Q129" s="229"/>
      <c r="BX129" s="141"/>
      <c r="CE129" s="50"/>
      <c r="DE129" s="16" t="s">
        <v>289</v>
      </c>
      <c r="DF129" s="16" t="s">
        <v>83</v>
      </c>
    </row>
    <row r="130" spans="2:128" s="1" customFormat="1" ht="24.2" customHeight="1" x14ac:dyDescent="0.2">
      <c r="B130" s="124"/>
      <c r="C130" s="125" t="s">
        <v>95</v>
      </c>
      <c r="D130" s="125" t="s">
        <v>284</v>
      </c>
      <c r="E130" s="126" t="s">
        <v>1993</v>
      </c>
      <c r="F130" s="127" t="s">
        <v>1994</v>
      </c>
      <c r="G130" s="128" t="s">
        <v>315</v>
      </c>
      <c r="H130" s="129">
        <v>2</v>
      </c>
      <c r="I130" s="130">
        <v>124.388365724</v>
      </c>
      <c r="J130" s="131">
        <f>ROUND(I130*H130,2)</f>
        <v>248.78</v>
      </c>
      <c r="K130" s="127" t="s">
        <v>1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2</v>
      </c>
      <c r="Q130" s="287">
        <f>ROUND(P130*I130,2)</f>
        <v>248.78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2</v>
      </c>
      <c r="V130" s="269">
        <f>ROUND(U130*I130,2)</f>
        <v>248.78</v>
      </c>
      <c r="W130" s="269"/>
      <c r="X130" s="269"/>
      <c r="Y130" s="269"/>
      <c r="Z130" s="269"/>
      <c r="AA130" s="269"/>
      <c r="AB130" s="269"/>
      <c r="AC130" s="269"/>
      <c r="AD130" s="269"/>
      <c r="BX130" s="132" t="s">
        <v>1</v>
      </c>
      <c r="BY130" s="133" t="s">
        <v>40</v>
      </c>
      <c r="CA130" s="134">
        <f>BZ130*H130</f>
        <v>0</v>
      </c>
      <c r="CB130" s="134">
        <v>0</v>
      </c>
      <c r="CC130" s="134">
        <f>CB130*H130</f>
        <v>0</v>
      </c>
      <c r="CD130" s="134">
        <v>0</v>
      </c>
      <c r="CE130" s="135">
        <f>CD130*H130</f>
        <v>0</v>
      </c>
      <c r="DC130" s="136" t="s">
        <v>95</v>
      </c>
      <c r="DE130" s="136" t="s">
        <v>284</v>
      </c>
      <c r="DF130" s="136" t="s">
        <v>83</v>
      </c>
      <c r="DJ130" s="16" t="s">
        <v>282</v>
      </c>
      <c r="DP130" s="137">
        <f>IF(BY130="základní",J130,0)</f>
        <v>248.78</v>
      </c>
      <c r="DQ130" s="137">
        <f>IF(BY130="snížená",J130,0)</f>
        <v>0</v>
      </c>
      <c r="DR130" s="137">
        <f>IF(BY130="zákl. přenesená",J130,0)</f>
        <v>0</v>
      </c>
      <c r="DS130" s="137">
        <f>IF(BY130="sníž. přenesená",J130,0)</f>
        <v>0</v>
      </c>
      <c r="DT130" s="137">
        <f>IF(BY130="nulová",J130,0)</f>
        <v>0</v>
      </c>
      <c r="DU130" s="16" t="s">
        <v>81</v>
      </c>
      <c r="DV130" s="137">
        <f>ROUND(I130*H130,2)</f>
        <v>248.78</v>
      </c>
      <c r="DW130" s="16" t="s">
        <v>95</v>
      </c>
      <c r="DX130" s="136" t="s">
        <v>341</v>
      </c>
    </row>
    <row r="131" spans="2:128" s="1" customFormat="1" x14ac:dyDescent="0.2">
      <c r="B131" s="31"/>
      <c r="D131" s="138" t="s">
        <v>289</v>
      </c>
      <c r="F131" s="139" t="s">
        <v>1995</v>
      </c>
      <c r="I131" s="140"/>
      <c r="L131" s="31"/>
      <c r="N131" s="213"/>
      <c r="O131" s="214"/>
      <c r="Q131" s="229"/>
      <c r="BX131" s="141"/>
      <c r="CE131" s="50"/>
      <c r="DE131" s="16" t="s">
        <v>289</v>
      </c>
      <c r="DF131" s="16" t="s">
        <v>83</v>
      </c>
    </row>
    <row r="132" spans="2:128" s="1" customFormat="1" ht="24.2" customHeight="1" x14ac:dyDescent="0.2">
      <c r="B132" s="124"/>
      <c r="C132" s="125" t="s">
        <v>312</v>
      </c>
      <c r="D132" s="125" t="s">
        <v>284</v>
      </c>
      <c r="E132" s="126" t="s">
        <v>1996</v>
      </c>
      <c r="F132" s="127" t="s">
        <v>1997</v>
      </c>
      <c r="G132" s="128" t="s">
        <v>344</v>
      </c>
      <c r="H132" s="129">
        <v>20</v>
      </c>
      <c r="I132" s="130">
        <v>227.596988396</v>
      </c>
      <c r="J132" s="131">
        <f>ROUND(I132*H132,2)</f>
        <v>4551.9399999999996</v>
      </c>
      <c r="K132" s="127" t="s">
        <v>1</v>
      </c>
      <c r="L132" s="268">
        <f>S132</f>
        <v>0</v>
      </c>
      <c r="M132" s="272">
        <f>ROUND(L132*I132,2)</f>
        <v>0</v>
      </c>
      <c r="N132" s="243"/>
      <c r="O132" s="294">
        <f>ROUND(N132*I132,2)</f>
        <v>0</v>
      </c>
      <c r="P132" s="273">
        <f>H132-L132-N132</f>
        <v>20</v>
      </c>
      <c r="Q132" s="287">
        <f>ROUND(P132*I132,2)</f>
        <v>4551.9399999999996</v>
      </c>
      <c r="R132" s="137"/>
      <c r="S132" s="269">
        <f>W132+Y132+AA132+AC132</f>
        <v>0</v>
      </c>
      <c r="T132" s="269">
        <f>ROUND(S132*I132,2)</f>
        <v>0</v>
      </c>
      <c r="U132" s="269">
        <f>H132-S132</f>
        <v>20</v>
      </c>
      <c r="V132" s="269">
        <f>ROUND(U132*I132,2)</f>
        <v>4551.9399999999996</v>
      </c>
      <c r="W132" s="269"/>
      <c r="X132" s="269"/>
      <c r="Y132" s="269"/>
      <c r="Z132" s="269"/>
      <c r="AA132" s="269"/>
      <c r="AB132" s="269"/>
      <c r="AC132" s="269"/>
      <c r="AD132" s="269"/>
      <c r="BX132" s="132" t="s">
        <v>1</v>
      </c>
      <c r="BY132" s="133" t="s">
        <v>40</v>
      </c>
      <c r="CA132" s="134">
        <f>BZ132*H132</f>
        <v>0</v>
      </c>
      <c r="CB132" s="134">
        <v>0</v>
      </c>
      <c r="CC132" s="134">
        <f>CB132*H132</f>
        <v>0</v>
      </c>
      <c r="CD132" s="134">
        <v>0</v>
      </c>
      <c r="CE132" s="135">
        <f>CD132*H132</f>
        <v>0</v>
      </c>
      <c r="DC132" s="136" t="s">
        <v>95</v>
      </c>
      <c r="DE132" s="136" t="s">
        <v>284</v>
      </c>
      <c r="DF132" s="136" t="s">
        <v>83</v>
      </c>
      <c r="DJ132" s="16" t="s">
        <v>282</v>
      </c>
      <c r="DP132" s="137">
        <f>IF(BY132="základní",J132,0)</f>
        <v>4551.9399999999996</v>
      </c>
      <c r="DQ132" s="137">
        <f>IF(BY132="snížená",J132,0)</f>
        <v>0</v>
      </c>
      <c r="DR132" s="137">
        <f>IF(BY132="zákl. přenesená",J132,0)</f>
        <v>0</v>
      </c>
      <c r="DS132" s="137">
        <f>IF(BY132="sníž. přenesená",J132,0)</f>
        <v>0</v>
      </c>
      <c r="DT132" s="137">
        <f>IF(BY132="nulová",J132,0)</f>
        <v>0</v>
      </c>
      <c r="DU132" s="16" t="s">
        <v>81</v>
      </c>
      <c r="DV132" s="137">
        <f>ROUND(I132*H132,2)</f>
        <v>4551.9399999999996</v>
      </c>
      <c r="DW132" s="16" t="s">
        <v>95</v>
      </c>
      <c r="DX132" s="136" t="s">
        <v>327</v>
      </c>
    </row>
    <row r="133" spans="2:128" s="1" customFormat="1" ht="19.5" x14ac:dyDescent="0.2">
      <c r="B133" s="31"/>
      <c r="D133" s="138" t="s">
        <v>289</v>
      </c>
      <c r="F133" s="139" t="s">
        <v>1998</v>
      </c>
      <c r="I133" s="140"/>
      <c r="L133" s="31"/>
      <c r="N133" s="213"/>
      <c r="O133" s="214"/>
      <c r="Q133" s="229"/>
      <c r="BX133" s="141"/>
      <c r="CE133" s="50"/>
      <c r="DE133" s="16" t="s">
        <v>289</v>
      </c>
      <c r="DF133" s="16" t="s">
        <v>83</v>
      </c>
    </row>
    <row r="134" spans="2:128" s="1" customFormat="1" ht="14.45" customHeight="1" x14ac:dyDescent="0.2">
      <c r="B134" s="124"/>
      <c r="C134" s="125" t="s">
        <v>318</v>
      </c>
      <c r="D134" s="125" t="s">
        <v>284</v>
      </c>
      <c r="E134" s="126" t="s">
        <v>1999</v>
      </c>
      <c r="F134" s="127" t="s">
        <v>2000</v>
      </c>
      <c r="G134" s="128" t="s">
        <v>344</v>
      </c>
      <c r="H134" s="129">
        <v>15</v>
      </c>
      <c r="I134" s="130">
        <v>76.250863850000002</v>
      </c>
      <c r="J134" s="131">
        <f>ROUND(I134*H134,2)</f>
        <v>1143.76</v>
      </c>
      <c r="K134" s="127" t="s">
        <v>1</v>
      </c>
      <c r="L134" s="268">
        <f>S134</f>
        <v>0</v>
      </c>
      <c r="M134" s="272">
        <f>ROUND(L134*I134,2)</f>
        <v>0</v>
      </c>
      <c r="N134" s="243"/>
      <c r="O134" s="294">
        <f>ROUND(N134*I134,2)</f>
        <v>0</v>
      </c>
      <c r="P134" s="273">
        <f>H134-L134-N134</f>
        <v>15</v>
      </c>
      <c r="Q134" s="287">
        <f>ROUND(P134*I134,2)</f>
        <v>1143.76</v>
      </c>
      <c r="R134" s="137"/>
      <c r="S134" s="269">
        <f>W134+Y134+AA134+AC134</f>
        <v>0</v>
      </c>
      <c r="T134" s="269">
        <f>ROUND(S134*I134,2)</f>
        <v>0</v>
      </c>
      <c r="U134" s="269">
        <f>H134-S134</f>
        <v>15</v>
      </c>
      <c r="V134" s="269">
        <f>ROUND(U134*I134,2)</f>
        <v>1143.76</v>
      </c>
      <c r="W134" s="269"/>
      <c r="X134" s="269"/>
      <c r="Y134" s="269"/>
      <c r="Z134" s="269"/>
      <c r="AA134" s="269"/>
      <c r="AB134" s="269"/>
      <c r="AC134" s="269"/>
      <c r="AD134" s="269"/>
      <c r="BX134" s="132" t="s">
        <v>1</v>
      </c>
      <c r="BY134" s="133" t="s">
        <v>40</v>
      </c>
      <c r="CA134" s="134">
        <f>BZ134*H134</f>
        <v>0</v>
      </c>
      <c r="CB134" s="134">
        <v>0</v>
      </c>
      <c r="CC134" s="134">
        <f>CB134*H134</f>
        <v>0</v>
      </c>
      <c r="CD134" s="134">
        <v>0</v>
      </c>
      <c r="CE134" s="135">
        <f>CD134*H134</f>
        <v>0</v>
      </c>
      <c r="DC134" s="136" t="s">
        <v>95</v>
      </c>
      <c r="DE134" s="136" t="s">
        <v>284</v>
      </c>
      <c r="DF134" s="136" t="s">
        <v>83</v>
      </c>
      <c r="DJ134" s="16" t="s">
        <v>282</v>
      </c>
      <c r="DP134" s="137">
        <f>IF(BY134="základní",J134,0)</f>
        <v>1143.76</v>
      </c>
      <c r="DQ134" s="137">
        <f>IF(BY134="snížená",J134,0)</f>
        <v>0</v>
      </c>
      <c r="DR134" s="137">
        <f>IF(BY134="zákl. přenesená",J134,0)</f>
        <v>0</v>
      </c>
      <c r="DS134" s="137">
        <f>IF(BY134="sníž. přenesená",J134,0)</f>
        <v>0</v>
      </c>
      <c r="DT134" s="137">
        <f>IF(BY134="nulová",J134,0)</f>
        <v>0</v>
      </c>
      <c r="DU134" s="16" t="s">
        <v>81</v>
      </c>
      <c r="DV134" s="137">
        <f>ROUND(I134*H134,2)</f>
        <v>1143.76</v>
      </c>
      <c r="DW134" s="16" t="s">
        <v>95</v>
      </c>
      <c r="DX134" s="136" t="s">
        <v>363</v>
      </c>
    </row>
    <row r="135" spans="2:128" s="1" customFormat="1" x14ac:dyDescent="0.2">
      <c r="B135" s="31"/>
      <c r="D135" s="138" t="s">
        <v>289</v>
      </c>
      <c r="F135" s="139" t="s">
        <v>2001</v>
      </c>
      <c r="I135" s="140"/>
      <c r="L135" s="31"/>
      <c r="N135" s="213"/>
      <c r="O135" s="214"/>
      <c r="Q135" s="229"/>
      <c r="BX135" s="141"/>
      <c r="CE135" s="50"/>
      <c r="DE135" s="16" t="s">
        <v>289</v>
      </c>
      <c r="DF135" s="16" t="s">
        <v>83</v>
      </c>
    </row>
    <row r="136" spans="2:128" s="1" customFormat="1" ht="14.45" customHeight="1" x14ac:dyDescent="0.2">
      <c r="B136" s="124"/>
      <c r="C136" s="125" t="s">
        <v>323</v>
      </c>
      <c r="D136" s="125" t="s">
        <v>284</v>
      </c>
      <c r="E136" s="126" t="s">
        <v>2002</v>
      </c>
      <c r="F136" s="127" t="s">
        <v>2003</v>
      </c>
      <c r="G136" s="128" t="s">
        <v>344</v>
      </c>
      <c r="H136" s="129">
        <v>20</v>
      </c>
      <c r="I136" s="130">
        <v>23.869835639999998</v>
      </c>
      <c r="J136" s="131">
        <f>ROUND(I136*H136,2)</f>
        <v>477.4</v>
      </c>
      <c r="K136" s="127" t="s">
        <v>1</v>
      </c>
      <c r="L136" s="268">
        <f>S136</f>
        <v>0</v>
      </c>
      <c r="M136" s="272">
        <f>ROUND(L136*I136,2)</f>
        <v>0</v>
      </c>
      <c r="N136" s="243"/>
      <c r="O136" s="294">
        <f>ROUND(N136*I136,2)</f>
        <v>0</v>
      </c>
      <c r="P136" s="273">
        <f>H136-L136-N136</f>
        <v>20</v>
      </c>
      <c r="Q136" s="287">
        <f>ROUND(P136*I136,2)</f>
        <v>477.4</v>
      </c>
      <c r="R136" s="137"/>
      <c r="S136" s="269">
        <f>W136+Y136+AA136+AC136</f>
        <v>0</v>
      </c>
      <c r="T136" s="269">
        <f>ROUND(S136*I136,2)</f>
        <v>0</v>
      </c>
      <c r="U136" s="269">
        <f>H136-S136</f>
        <v>20</v>
      </c>
      <c r="V136" s="269">
        <f>ROUND(U136*I136,2)</f>
        <v>477.4</v>
      </c>
      <c r="W136" s="269"/>
      <c r="X136" s="269"/>
      <c r="Y136" s="269"/>
      <c r="Z136" s="269"/>
      <c r="AA136" s="269"/>
      <c r="AB136" s="269"/>
      <c r="AC136" s="269"/>
      <c r="AD136" s="269"/>
      <c r="BX136" s="132" t="s">
        <v>1</v>
      </c>
      <c r="BY136" s="133" t="s">
        <v>40</v>
      </c>
      <c r="CA136" s="134">
        <f>BZ136*H136</f>
        <v>0</v>
      </c>
      <c r="CB136" s="134">
        <v>0</v>
      </c>
      <c r="CC136" s="134">
        <f>CB136*H136</f>
        <v>0</v>
      </c>
      <c r="CD136" s="134">
        <v>0</v>
      </c>
      <c r="CE136" s="135">
        <f>CD136*H136</f>
        <v>0</v>
      </c>
      <c r="DC136" s="136" t="s">
        <v>95</v>
      </c>
      <c r="DE136" s="136" t="s">
        <v>284</v>
      </c>
      <c r="DF136" s="136" t="s">
        <v>83</v>
      </c>
      <c r="DJ136" s="16" t="s">
        <v>282</v>
      </c>
      <c r="DP136" s="137">
        <f>IF(BY136="základní",J136,0)</f>
        <v>477.4</v>
      </c>
      <c r="DQ136" s="137">
        <f>IF(BY136="snížená",J136,0)</f>
        <v>0</v>
      </c>
      <c r="DR136" s="137">
        <f>IF(BY136="zákl. přenesená",J136,0)</f>
        <v>0</v>
      </c>
      <c r="DS136" s="137">
        <f>IF(BY136="sníž. přenesená",J136,0)</f>
        <v>0</v>
      </c>
      <c r="DT136" s="137">
        <f>IF(BY136="nulová",J136,0)</f>
        <v>0</v>
      </c>
      <c r="DU136" s="16" t="s">
        <v>81</v>
      </c>
      <c r="DV136" s="137">
        <f>ROUND(I136*H136,2)</f>
        <v>477.4</v>
      </c>
      <c r="DW136" s="16" t="s">
        <v>95</v>
      </c>
      <c r="DX136" s="136" t="s">
        <v>379</v>
      </c>
    </row>
    <row r="137" spans="2:128" s="1" customFormat="1" x14ac:dyDescent="0.2">
      <c r="B137" s="31"/>
      <c r="D137" s="138" t="s">
        <v>289</v>
      </c>
      <c r="F137" s="139" t="s">
        <v>2004</v>
      </c>
      <c r="I137" s="140"/>
      <c r="L137" s="31"/>
      <c r="N137" s="213"/>
      <c r="O137" s="214"/>
      <c r="Q137" s="229"/>
      <c r="BX137" s="141"/>
      <c r="CE137" s="50"/>
      <c r="DE137" s="16" t="s">
        <v>289</v>
      </c>
      <c r="DF137" s="16" t="s">
        <v>83</v>
      </c>
    </row>
    <row r="138" spans="2:128" s="1" customFormat="1" ht="14.45" customHeight="1" x14ac:dyDescent="0.2">
      <c r="B138" s="124"/>
      <c r="C138" s="125" t="s">
        <v>328</v>
      </c>
      <c r="D138" s="125" t="s">
        <v>284</v>
      </c>
      <c r="E138" s="126" t="s">
        <v>2005</v>
      </c>
      <c r="F138" s="127" t="s">
        <v>2006</v>
      </c>
      <c r="G138" s="128" t="s">
        <v>315</v>
      </c>
      <c r="H138" s="129">
        <v>6</v>
      </c>
      <c r="I138" s="130">
        <v>116.03392325</v>
      </c>
      <c r="J138" s="131">
        <f>ROUND(I138*H138,2)</f>
        <v>696.2</v>
      </c>
      <c r="K138" s="127" t="s">
        <v>1</v>
      </c>
      <c r="L138" s="268">
        <f>S138</f>
        <v>0</v>
      </c>
      <c r="M138" s="272">
        <f>ROUND(L138*I138,2)</f>
        <v>0</v>
      </c>
      <c r="N138" s="243"/>
      <c r="O138" s="294">
        <f>ROUND(N138*I138,2)</f>
        <v>0</v>
      </c>
      <c r="P138" s="273">
        <f>H138-L138-N138</f>
        <v>6</v>
      </c>
      <c r="Q138" s="287">
        <f>ROUND(P138*I138,2)</f>
        <v>696.2</v>
      </c>
      <c r="R138" s="137"/>
      <c r="S138" s="269">
        <f>W138+Y138+AA138+AC138</f>
        <v>0</v>
      </c>
      <c r="T138" s="269">
        <f>ROUND(S138*I138,2)</f>
        <v>0</v>
      </c>
      <c r="U138" s="269">
        <f>H138-S138</f>
        <v>6</v>
      </c>
      <c r="V138" s="269">
        <f>ROUND(U138*I138,2)</f>
        <v>696.2</v>
      </c>
      <c r="W138" s="269"/>
      <c r="X138" s="269"/>
      <c r="Y138" s="269"/>
      <c r="Z138" s="269"/>
      <c r="AA138" s="269"/>
      <c r="AB138" s="269"/>
      <c r="AC138" s="269"/>
      <c r="AD138" s="269"/>
      <c r="BX138" s="132" t="s">
        <v>1</v>
      </c>
      <c r="BY138" s="133" t="s">
        <v>40</v>
      </c>
      <c r="CA138" s="134">
        <f>BZ138*H138</f>
        <v>0</v>
      </c>
      <c r="CB138" s="134">
        <v>0</v>
      </c>
      <c r="CC138" s="134">
        <f>CB138*H138</f>
        <v>0</v>
      </c>
      <c r="CD138" s="134">
        <v>0</v>
      </c>
      <c r="CE138" s="135">
        <f>CD138*H138</f>
        <v>0</v>
      </c>
      <c r="DC138" s="136" t="s">
        <v>95</v>
      </c>
      <c r="DE138" s="136" t="s">
        <v>284</v>
      </c>
      <c r="DF138" s="136" t="s">
        <v>83</v>
      </c>
      <c r="DJ138" s="16" t="s">
        <v>282</v>
      </c>
      <c r="DP138" s="137">
        <f>IF(BY138="základní",J138,0)</f>
        <v>696.2</v>
      </c>
      <c r="DQ138" s="137">
        <f>IF(BY138="snížená",J138,0)</f>
        <v>0</v>
      </c>
      <c r="DR138" s="137">
        <f>IF(BY138="zákl. přenesená",J138,0)</f>
        <v>0</v>
      </c>
      <c r="DS138" s="137">
        <f>IF(BY138="sníž. přenesená",J138,0)</f>
        <v>0</v>
      </c>
      <c r="DT138" s="137">
        <f>IF(BY138="nulová",J138,0)</f>
        <v>0</v>
      </c>
      <c r="DU138" s="16" t="s">
        <v>81</v>
      </c>
      <c r="DV138" s="137">
        <f>ROUND(I138*H138,2)</f>
        <v>696.2</v>
      </c>
      <c r="DW138" s="16" t="s">
        <v>95</v>
      </c>
      <c r="DX138" s="136" t="s">
        <v>392</v>
      </c>
    </row>
    <row r="139" spans="2:128" s="1" customFormat="1" x14ac:dyDescent="0.2">
      <c r="B139" s="31"/>
      <c r="D139" s="138" t="s">
        <v>289</v>
      </c>
      <c r="F139" s="139" t="s">
        <v>2007</v>
      </c>
      <c r="I139" s="140"/>
      <c r="L139" s="31"/>
      <c r="N139" s="213"/>
      <c r="O139" s="214"/>
      <c r="Q139" s="229"/>
      <c r="BX139" s="141"/>
      <c r="CE139" s="50"/>
      <c r="DE139" s="16" t="s">
        <v>289</v>
      </c>
      <c r="DF139" s="16" t="s">
        <v>83</v>
      </c>
    </row>
    <row r="140" spans="2:128" s="1" customFormat="1" ht="14.45" customHeight="1" x14ac:dyDescent="0.2">
      <c r="B140" s="124"/>
      <c r="C140" s="125" t="s">
        <v>335</v>
      </c>
      <c r="D140" s="125" t="s">
        <v>284</v>
      </c>
      <c r="E140" s="126" t="s">
        <v>2008</v>
      </c>
      <c r="F140" s="127" t="s">
        <v>2009</v>
      </c>
      <c r="G140" s="128" t="s">
        <v>315</v>
      </c>
      <c r="H140" s="129">
        <v>4</v>
      </c>
      <c r="I140" s="130">
        <v>32.527387138000002</v>
      </c>
      <c r="J140" s="131">
        <f>ROUND(I140*H140,2)</f>
        <v>130.11000000000001</v>
      </c>
      <c r="K140" s="127" t="s">
        <v>1</v>
      </c>
      <c r="L140" s="268">
        <f>S140</f>
        <v>0</v>
      </c>
      <c r="M140" s="272">
        <f>ROUND(L140*I140,2)</f>
        <v>0</v>
      </c>
      <c r="N140" s="243"/>
      <c r="O140" s="294">
        <f>ROUND(N140*I140,2)</f>
        <v>0</v>
      </c>
      <c r="P140" s="273">
        <f>H140-L140-N140</f>
        <v>4</v>
      </c>
      <c r="Q140" s="287">
        <f>ROUND(P140*I140,2)</f>
        <v>130.11000000000001</v>
      </c>
      <c r="R140" s="137"/>
      <c r="S140" s="269">
        <f>W140+Y140+AA140+AC140</f>
        <v>0</v>
      </c>
      <c r="T140" s="269">
        <f>ROUND(S140*I140,2)</f>
        <v>0</v>
      </c>
      <c r="U140" s="269">
        <f>H140-S140</f>
        <v>4</v>
      </c>
      <c r="V140" s="269">
        <f>ROUND(U140*I140,2)</f>
        <v>130.11000000000001</v>
      </c>
      <c r="W140" s="269"/>
      <c r="X140" s="269"/>
      <c r="Y140" s="269"/>
      <c r="Z140" s="269"/>
      <c r="AA140" s="269"/>
      <c r="AB140" s="269"/>
      <c r="AC140" s="269"/>
      <c r="AD140" s="269"/>
      <c r="BX140" s="132" t="s">
        <v>1</v>
      </c>
      <c r="BY140" s="133" t="s">
        <v>40</v>
      </c>
      <c r="CA140" s="134">
        <f>BZ140*H140</f>
        <v>0</v>
      </c>
      <c r="CB140" s="134">
        <v>0</v>
      </c>
      <c r="CC140" s="134">
        <f>CB140*H140</f>
        <v>0</v>
      </c>
      <c r="CD140" s="134">
        <v>0</v>
      </c>
      <c r="CE140" s="135">
        <f>CD140*H140</f>
        <v>0</v>
      </c>
      <c r="DC140" s="136" t="s">
        <v>95</v>
      </c>
      <c r="DE140" s="136" t="s">
        <v>284</v>
      </c>
      <c r="DF140" s="136" t="s">
        <v>83</v>
      </c>
      <c r="DJ140" s="16" t="s">
        <v>282</v>
      </c>
      <c r="DP140" s="137">
        <f>IF(BY140="základní",J140,0)</f>
        <v>130.11000000000001</v>
      </c>
      <c r="DQ140" s="137">
        <f>IF(BY140="snížená",J140,0)</f>
        <v>0</v>
      </c>
      <c r="DR140" s="137">
        <f>IF(BY140="zákl. přenesená",J140,0)</f>
        <v>0</v>
      </c>
      <c r="DS140" s="137">
        <f>IF(BY140="sníž. přenesená",J140,0)</f>
        <v>0</v>
      </c>
      <c r="DT140" s="137">
        <f>IF(BY140="nulová",J140,0)</f>
        <v>0</v>
      </c>
      <c r="DU140" s="16" t="s">
        <v>81</v>
      </c>
      <c r="DV140" s="137">
        <f>ROUND(I140*H140,2)</f>
        <v>130.11000000000001</v>
      </c>
      <c r="DW140" s="16" t="s">
        <v>95</v>
      </c>
      <c r="DX140" s="136" t="s">
        <v>404</v>
      </c>
    </row>
    <row r="141" spans="2:128" s="1" customFormat="1" x14ac:dyDescent="0.2">
      <c r="B141" s="31"/>
      <c r="D141" s="138" t="s">
        <v>289</v>
      </c>
      <c r="F141" s="139" t="s">
        <v>2009</v>
      </c>
      <c r="I141" s="140"/>
      <c r="L141" s="31"/>
      <c r="N141" s="213"/>
      <c r="O141" s="214"/>
      <c r="Q141" s="229"/>
      <c r="BX141" s="141"/>
      <c r="CE141" s="50"/>
      <c r="DE141" s="16" t="s">
        <v>289</v>
      </c>
      <c r="DF141" s="16" t="s">
        <v>83</v>
      </c>
    </row>
    <row r="142" spans="2:128" s="1" customFormat="1" ht="14.45" customHeight="1" x14ac:dyDescent="0.2">
      <c r="B142" s="124"/>
      <c r="C142" s="125" t="s">
        <v>341</v>
      </c>
      <c r="D142" s="125" t="s">
        <v>284</v>
      </c>
      <c r="E142" s="126" t="s">
        <v>2010</v>
      </c>
      <c r="F142" s="127" t="s">
        <v>2011</v>
      </c>
      <c r="G142" s="128" t="s">
        <v>315</v>
      </c>
      <c r="H142" s="129">
        <v>18</v>
      </c>
      <c r="I142" s="130">
        <v>43.960280636999997</v>
      </c>
      <c r="J142" s="131">
        <f>ROUND(I142*H142,2)</f>
        <v>791.29</v>
      </c>
      <c r="K142" s="127" t="s">
        <v>1</v>
      </c>
      <c r="L142" s="268">
        <f>S142</f>
        <v>0</v>
      </c>
      <c r="M142" s="272">
        <f>ROUND(L142*I142,2)</f>
        <v>0</v>
      </c>
      <c r="N142" s="243"/>
      <c r="O142" s="294">
        <f>ROUND(N142*I142,2)</f>
        <v>0</v>
      </c>
      <c r="P142" s="273">
        <f>H142-L142-N142</f>
        <v>18</v>
      </c>
      <c r="Q142" s="287">
        <f>ROUND(P142*I142,2)</f>
        <v>791.29</v>
      </c>
      <c r="R142" s="137"/>
      <c r="S142" s="269">
        <f>W142+Y142+AA142+AC142</f>
        <v>0</v>
      </c>
      <c r="T142" s="269">
        <f>ROUND(S142*I142,2)</f>
        <v>0</v>
      </c>
      <c r="U142" s="269">
        <f>H142-S142</f>
        <v>18</v>
      </c>
      <c r="V142" s="269">
        <f>ROUND(U142*I142,2)</f>
        <v>791.29</v>
      </c>
      <c r="W142" s="269"/>
      <c r="X142" s="269"/>
      <c r="Y142" s="269"/>
      <c r="Z142" s="269"/>
      <c r="AA142" s="269"/>
      <c r="AB142" s="269"/>
      <c r="AC142" s="269"/>
      <c r="AD142" s="269"/>
      <c r="BX142" s="132" t="s">
        <v>1</v>
      </c>
      <c r="BY142" s="133" t="s">
        <v>40</v>
      </c>
      <c r="CA142" s="134">
        <f>BZ142*H142</f>
        <v>0</v>
      </c>
      <c r="CB142" s="134">
        <v>0</v>
      </c>
      <c r="CC142" s="134">
        <f>CB142*H142</f>
        <v>0</v>
      </c>
      <c r="CD142" s="134">
        <v>0</v>
      </c>
      <c r="CE142" s="135">
        <f>CD142*H142</f>
        <v>0</v>
      </c>
      <c r="DC142" s="136" t="s">
        <v>95</v>
      </c>
      <c r="DE142" s="136" t="s">
        <v>284</v>
      </c>
      <c r="DF142" s="136" t="s">
        <v>83</v>
      </c>
      <c r="DJ142" s="16" t="s">
        <v>282</v>
      </c>
      <c r="DP142" s="137">
        <f>IF(BY142="základní",J142,0)</f>
        <v>791.29</v>
      </c>
      <c r="DQ142" s="137">
        <f>IF(BY142="snížená",J142,0)</f>
        <v>0</v>
      </c>
      <c r="DR142" s="137">
        <f>IF(BY142="zákl. přenesená",J142,0)</f>
        <v>0</v>
      </c>
      <c r="DS142" s="137">
        <f>IF(BY142="sníž. přenesená",J142,0)</f>
        <v>0</v>
      </c>
      <c r="DT142" s="137">
        <f>IF(BY142="nulová",J142,0)</f>
        <v>0</v>
      </c>
      <c r="DU142" s="16" t="s">
        <v>81</v>
      </c>
      <c r="DV142" s="137">
        <f>ROUND(I142*H142,2)</f>
        <v>791.29</v>
      </c>
      <c r="DW142" s="16" t="s">
        <v>95</v>
      </c>
      <c r="DX142" s="136" t="s">
        <v>415</v>
      </c>
    </row>
    <row r="143" spans="2:128" s="1" customFormat="1" x14ac:dyDescent="0.2">
      <c r="B143" s="31"/>
      <c r="D143" s="138" t="s">
        <v>289</v>
      </c>
      <c r="F143" s="139" t="s">
        <v>2011</v>
      </c>
      <c r="I143" s="140"/>
      <c r="L143" s="31"/>
      <c r="N143" s="213"/>
      <c r="O143" s="214"/>
      <c r="Q143" s="229"/>
      <c r="BX143" s="141"/>
      <c r="CE143" s="50"/>
      <c r="DE143" s="16" t="s">
        <v>289</v>
      </c>
      <c r="DF143" s="16" t="s">
        <v>83</v>
      </c>
    </row>
    <row r="144" spans="2:128" s="10" customFormat="1" ht="22.9" customHeight="1" x14ac:dyDescent="0.2">
      <c r="B144" s="112"/>
      <c r="D144" s="113" t="s">
        <v>73</v>
      </c>
      <c r="E144" s="122" t="s">
        <v>2012</v>
      </c>
      <c r="F144" s="122" t="s">
        <v>2013</v>
      </c>
      <c r="I144" s="115"/>
      <c r="J144" s="123">
        <f>DV144</f>
        <v>22941.61</v>
      </c>
      <c r="L144" s="112"/>
      <c r="M144" s="270">
        <f>SUM(M145:M151)</f>
        <v>0</v>
      </c>
      <c r="N144" s="301"/>
      <c r="O144" s="302">
        <f t="shared" ref="O144:V144" si="4">SUM(O145:O151)</f>
        <v>0</v>
      </c>
      <c r="P144" s="270"/>
      <c r="Q144" s="288">
        <f t="shared" si="4"/>
        <v>22941.61</v>
      </c>
      <c r="R144" s="270"/>
      <c r="S144" s="270"/>
      <c r="T144" s="270">
        <f t="shared" si="4"/>
        <v>0</v>
      </c>
      <c r="U144" s="270"/>
      <c r="V144" s="270">
        <f t="shared" si="4"/>
        <v>22941.61</v>
      </c>
      <c r="BX144" s="117"/>
      <c r="CA144" s="118">
        <f>SUM(CA145:CA152)</f>
        <v>0</v>
      </c>
      <c r="CC144" s="118">
        <f>SUM(CC145:CC152)</f>
        <v>0</v>
      </c>
      <c r="CE144" s="119">
        <f>SUM(CE145:CE152)</f>
        <v>0</v>
      </c>
      <c r="DC144" s="113" t="s">
        <v>81</v>
      </c>
      <c r="DE144" s="120" t="s">
        <v>73</v>
      </c>
      <c r="DF144" s="120" t="s">
        <v>81</v>
      </c>
      <c r="DJ144" s="113" t="s">
        <v>282</v>
      </c>
      <c r="DV144" s="121">
        <f>SUM(DV145:DV152)</f>
        <v>22941.61</v>
      </c>
    </row>
    <row r="145" spans="2:128" s="1" customFormat="1" ht="14.45" customHeight="1" x14ac:dyDescent="0.2">
      <c r="B145" s="124"/>
      <c r="C145" s="125" t="s">
        <v>348</v>
      </c>
      <c r="D145" s="125" t="s">
        <v>284</v>
      </c>
      <c r="E145" s="126" t="s">
        <v>2014</v>
      </c>
      <c r="F145" s="127" t="s">
        <v>2015</v>
      </c>
      <c r="G145" s="128" t="s">
        <v>344</v>
      </c>
      <c r="H145" s="129">
        <v>15</v>
      </c>
      <c r="I145" s="130">
        <v>842.07475729999999</v>
      </c>
      <c r="J145" s="131">
        <f>ROUND(I145*H145,2)</f>
        <v>12631.12</v>
      </c>
      <c r="K145" s="127" t="s">
        <v>1</v>
      </c>
      <c r="L145" s="268">
        <f>S145</f>
        <v>0</v>
      </c>
      <c r="M145" s="272">
        <f>ROUND(L145*I145,2)</f>
        <v>0</v>
      </c>
      <c r="N145" s="243"/>
      <c r="O145" s="294">
        <f>ROUND(N145*I145,2)</f>
        <v>0</v>
      </c>
      <c r="P145" s="273">
        <f>H145-L145-N145</f>
        <v>15</v>
      </c>
      <c r="Q145" s="287">
        <f>ROUND(P145*I145,2)</f>
        <v>12631.12</v>
      </c>
      <c r="R145" s="137"/>
      <c r="S145" s="269">
        <f>W145+Y145+AA145+AC145</f>
        <v>0</v>
      </c>
      <c r="T145" s="269">
        <f>ROUND(S145*I145,2)</f>
        <v>0</v>
      </c>
      <c r="U145" s="269">
        <f>H145-S145</f>
        <v>15</v>
      </c>
      <c r="V145" s="269">
        <f>ROUND(U145*I145,2)</f>
        <v>12631.12</v>
      </c>
      <c r="W145" s="269"/>
      <c r="X145" s="269"/>
      <c r="Y145" s="269"/>
      <c r="Z145" s="269"/>
      <c r="AA145" s="269"/>
      <c r="AB145" s="269"/>
      <c r="AC145" s="269"/>
      <c r="AD145" s="269"/>
      <c r="BX145" s="132" t="s">
        <v>1</v>
      </c>
      <c r="BY145" s="133" t="s">
        <v>40</v>
      </c>
      <c r="CA145" s="134">
        <f>BZ145*H145</f>
        <v>0</v>
      </c>
      <c r="CB145" s="134">
        <v>0</v>
      </c>
      <c r="CC145" s="134">
        <f>CB145*H145</f>
        <v>0</v>
      </c>
      <c r="CD145" s="134">
        <v>0</v>
      </c>
      <c r="CE145" s="135">
        <f>CD145*H145</f>
        <v>0</v>
      </c>
      <c r="DC145" s="136" t="s">
        <v>95</v>
      </c>
      <c r="DE145" s="136" t="s">
        <v>284</v>
      </c>
      <c r="DF145" s="136" t="s">
        <v>83</v>
      </c>
      <c r="DJ145" s="16" t="s">
        <v>282</v>
      </c>
      <c r="DP145" s="137">
        <f>IF(BY145="základní",J145,0)</f>
        <v>12631.12</v>
      </c>
      <c r="DQ145" s="137">
        <f>IF(BY145="snížená",J145,0)</f>
        <v>0</v>
      </c>
      <c r="DR145" s="137">
        <f>IF(BY145="zákl. přenesená",J145,0)</f>
        <v>0</v>
      </c>
      <c r="DS145" s="137">
        <f>IF(BY145="sníž. přenesená",J145,0)</f>
        <v>0</v>
      </c>
      <c r="DT145" s="137">
        <f>IF(BY145="nulová",J145,0)</f>
        <v>0</v>
      </c>
      <c r="DU145" s="16" t="s">
        <v>81</v>
      </c>
      <c r="DV145" s="137">
        <f>ROUND(I145*H145,2)</f>
        <v>12631.12</v>
      </c>
      <c r="DW145" s="16" t="s">
        <v>95</v>
      </c>
      <c r="DX145" s="136" t="s">
        <v>438</v>
      </c>
    </row>
    <row r="146" spans="2:128" s="1" customFormat="1" x14ac:dyDescent="0.2">
      <c r="B146" s="31"/>
      <c r="D146" s="138" t="s">
        <v>289</v>
      </c>
      <c r="F146" s="139" t="s">
        <v>2015</v>
      </c>
      <c r="I146" s="140"/>
      <c r="L146" s="31"/>
      <c r="N146" s="213"/>
      <c r="O146" s="214"/>
      <c r="Q146" s="229"/>
      <c r="BX146" s="141"/>
      <c r="CE146" s="50"/>
      <c r="DE146" s="16" t="s">
        <v>289</v>
      </c>
      <c r="DF146" s="16" t="s">
        <v>83</v>
      </c>
    </row>
    <row r="147" spans="2:128" s="1" customFormat="1" ht="14.45" customHeight="1" x14ac:dyDescent="0.2">
      <c r="B147" s="124"/>
      <c r="C147" s="125" t="s">
        <v>327</v>
      </c>
      <c r="D147" s="125" t="s">
        <v>284</v>
      </c>
      <c r="E147" s="126" t="s">
        <v>2016</v>
      </c>
      <c r="F147" s="127" t="s">
        <v>2017</v>
      </c>
      <c r="G147" s="128" t="s">
        <v>2018</v>
      </c>
      <c r="H147" s="129">
        <v>15</v>
      </c>
      <c r="I147" s="130">
        <v>199.360488379</v>
      </c>
      <c r="J147" s="131">
        <f>ROUND(I147*H147,2)</f>
        <v>2990.41</v>
      </c>
      <c r="K147" s="127" t="s">
        <v>1</v>
      </c>
      <c r="L147" s="268">
        <f>S147</f>
        <v>0</v>
      </c>
      <c r="M147" s="272">
        <f>ROUND(L147*I147,2)</f>
        <v>0</v>
      </c>
      <c r="N147" s="243"/>
      <c r="O147" s="294">
        <f>ROUND(N147*I147,2)</f>
        <v>0</v>
      </c>
      <c r="P147" s="273">
        <f>H147-L147-N147</f>
        <v>15</v>
      </c>
      <c r="Q147" s="287">
        <f>ROUND(P147*I147,2)</f>
        <v>2990.41</v>
      </c>
      <c r="R147" s="137"/>
      <c r="S147" s="269">
        <f>W147+Y147+AA147+AC147</f>
        <v>0</v>
      </c>
      <c r="T147" s="269">
        <f>ROUND(S147*I147,2)</f>
        <v>0</v>
      </c>
      <c r="U147" s="269">
        <f>H147-S147</f>
        <v>15</v>
      </c>
      <c r="V147" s="269">
        <f>ROUND(U147*I147,2)</f>
        <v>2990.41</v>
      </c>
      <c r="W147" s="269"/>
      <c r="X147" s="269"/>
      <c r="Y147" s="269"/>
      <c r="Z147" s="269"/>
      <c r="AA147" s="269"/>
      <c r="AB147" s="269"/>
      <c r="AC147" s="269"/>
      <c r="AD147" s="269"/>
      <c r="BX147" s="132" t="s">
        <v>1</v>
      </c>
      <c r="BY147" s="133" t="s">
        <v>40</v>
      </c>
      <c r="CA147" s="134">
        <f>BZ147*H147</f>
        <v>0</v>
      </c>
      <c r="CB147" s="134">
        <v>0</v>
      </c>
      <c r="CC147" s="134">
        <f>CB147*H147</f>
        <v>0</v>
      </c>
      <c r="CD147" s="134">
        <v>0</v>
      </c>
      <c r="CE147" s="135">
        <f>CD147*H147</f>
        <v>0</v>
      </c>
      <c r="DC147" s="136" t="s">
        <v>95</v>
      </c>
      <c r="DE147" s="136" t="s">
        <v>284</v>
      </c>
      <c r="DF147" s="136" t="s">
        <v>83</v>
      </c>
      <c r="DJ147" s="16" t="s">
        <v>282</v>
      </c>
      <c r="DP147" s="137">
        <f>IF(BY147="základní",J147,0)</f>
        <v>2990.41</v>
      </c>
      <c r="DQ147" s="137">
        <f>IF(BY147="snížená",J147,0)</f>
        <v>0</v>
      </c>
      <c r="DR147" s="137">
        <f>IF(BY147="zákl. přenesená",J147,0)</f>
        <v>0</v>
      </c>
      <c r="DS147" s="137">
        <f>IF(BY147="sníž. přenesená",J147,0)</f>
        <v>0</v>
      </c>
      <c r="DT147" s="137">
        <f>IF(BY147="nulová",J147,0)</f>
        <v>0</v>
      </c>
      <c r="DU147" s="16" t="s">
        <v>81</v>
      </c>
      <c r="DV147" s="137">
        <f>ROUND(I147*H147,2)</f>
        <v>2990.41</v>
      </c>
      <c r="DW147" s="16" t="s">
        <v>95</v>
      </c>
      <c r="DX147" s="136" t="s">
        <v>451</v>
      </c>
    </row>
    <row r="148" spans="2:128" s="1" customFormat="1" x14ac:dyDescent="0.2">
      <c r="B148" s="31"/>
      <c r="D148" s="138" t="s">
        <v>289</v>
      </c>
      <c r="F148" s="139" t="s">
        <v>2017</v>
      </c>
      <c r="I148" s="140"/>
      <c r="L148" s="31"/>
      <c r="N148" s="213"/>
      <c r="O148" s="214"/>
      <c r="Q148" s="229"/>
      <c r="BX148" s="141"/>
      <c r="CE148" s="50"/>
      <c r="DE148" s="16" t="s">
        <v>289</v>
      </c>
      <c r="DF148" s="16" t="s">
        <v>83</v>
      </c>
    </row>
    <row r="149" spans="2:128" s="1" customFormat="1" ht="24.2" customHeight="1" x14ac:dyDescent="0.2">
      <c r="B149" s="124"/>
      <c r="C149" s="125" t="s">
        <v>359</v>
      </c>
      <c r="D149" s="125" t="s">
        <v>284</v>
      </c>
      <c r="E149" s="126" t="s">
        <v>2019</v>
      </c>
      <c r="F149" s="127" t="s">
        <v>2020</v>
      </c>
      <c r="G149" s="128" t="s">
        <v>2018</v>
      </c>
      <c r="H149" s="129">
        <v>15</v>
      </c>
      <c r="I149" s="130">
        <v>311.6339653</v>
      </c>
      <c r="J149" s="131">
        <f>ROUND(I149*H149,2)</f>
        <v>4674.51</v>
      </c>
      <c r="K149" s="127" t="s">
        <v>1</v>
      </c>
      <c r="L149" s="268">
        <f>S149</f>
        <v>0</v>
      </c>
      <c r="M149" s="272">
        <f>ROUND(L149*I149,2)</f>
        <v>0</v>
      </c>
      <c r="N149" s="243"/>
      <c r="O149" s="294">
        <f>ROUND(N149*I149,2)</f>
        <v>0</v>
      </c>
      <c r="P149" s="273">
        <f>H149-L149-N149</f>
        <v>15</v>
      </c>
      <c r="Q149" s="287">
        <f>ROUND(P149*I149,2)</f>
        <v>4674.51</v>
      </c>
      <c r="R149" s="137"/>
      <c r="S149" s="269">
        <f>W149+Y149+AA149+AC149</f>
        <v>0</v>
      </c>
      <c r="T149" s="269">
        <f>ROUND(S149*I149,2)</f>
        <v>0</v>
      </c>
      <c r="U149" s="269">
        <f>H149-S149</f>
        <v>15</v>
      </c>
      <c r="V149" s="269">
        <f>ROUND(U149*I149,2)</f>
        <v>4674.51</v>
      </c>
      <c r="W149" s="269"/>
      <c r="X149" s="269"/>
      <c r="Y149" s="269"/>
      <c r="Z149" s="269"/>
      <c r="AA149" s="269"/>
      <c r="AB149" s="269"/>
      <c r="AC149" s="269"/>
      <c r="AD149" s="269"/>
      <c r="BX149" s="132" t="s">
        <v>1</v>
      </c>
      <c r="BY149" s="133" t="s">
        <v>40</v>
      </c>
      <c r="CA149" s="134">
        <f>BZ149*H149</f>
        <v>0</v>
      </c>
      <c r="CB149" s="134">
        <v>0</v>
      </c>
      <c r="CC149" s="134">
        <f>CB149*H149</f>
        <v>0</v>
      </c>
      <c r="CD149" s="134">
        <v>0</v>
      </c>
      <c r="CE149" s="135">
        <f>CD149*H149</f>
        <v>0</v>
      </c>
      <c r="DC149" s="136" t="s">
        <v>95</v>
      </c>
      <c r="DE149" s="136" t="s">
        <v>284</v>
      </c>
      <c r="DF149" s="136" t="s">
        <v>83</v>
      </c>
      <c r="DJ149" s="16" t="s">
        <v>282</v>
      </c>
      <c r="DP149" s="137">
        <f>IF(BY149="základní",J149,0)</f>
        <v>4674.51</v>
      </c>
      <c r="DQ149" s="137">
        <f>IF(BY149="snížená",J149,0)</f>
        <v>0</v>
      </c>
      <c r="DR149" s="137">
        <f>IF(BY149="zákl. přenesená",J149,0)</f>
        <v>0</v>
      </c>
      <c r="DS149" s="137">
        <f>IF(BY149="sníž. přenesená",J149,0)</f>
        <v>0</v>
      </c>
      <c r="DT149" s="137">
        <f>IF(BY149="nulová",J149,0)</f>
        <v>0</v>
      </c>
      <c r="DU149" s="16" t="s">
        <v>81</v>
      </c>
      <c r="DV149" s="137">
        <f>ROUND(I149*H149,2)</f>
        <v>4674.51</v>
      </c>
      <c r="DW149" s="16" t="s">
        <v>95</v>
      </c>
      <c r="DX149" s="136" t="s">
        <v>463</v>
      </c>
    </row>
    <row r="150" spans="2:128" s="1" customFormat="1" x14ac:dyDescent="0.2">
      <c r="B150" s="31"/>
      <c r="D150" s="138" t="s">
        <v>289</v>
      </c>
      <c r="F150" s="139" t="s">
        <v>2020</v>
      </c>
      <c r="I150" s="140"/>
      <c r="L150" s="31"/>
      <c r="N150" s="213"/>
      <c r="O150" s="214"/>
      <c r="Q150" s="229"/>
      <c r="BX150" s="141"/>
      <c r="CE150" s="50"/>
      <c r="DE150" s="16" t="s">
        <v>289</v>
      </c>
      <c r="DF150" s="16" t="s">
        <v>83</v>
      </c>
    </row>
    <row r="151" spans="2:128" s="1" customFormat="1" ht="14.45" customHeight="1" x14ac:dyDescent="0.2">
      <c r="B151" s="124"/>
      <c r="C151" s="125" t="s">
        <v>363</v>
      </c>
      <c r="D151" s="125" t="s">
        <v>284</v>
      </c>
      <c r="E151" s="126" t="s">
        <v>2021</v>
      </c>
      <c r="F151" s="127" t="s">
        <v>2022</v>
      </c>
      <c r="G151" s="128" t="s">
        <v>2018</v>
      </c>
      <c r="H151" s="129">
        <v>15</v>
      </c>
      <c r="I151" s="130">
        <v>176.37156333999999</v>
      </c>
      <c r="J151" s="131">
        <f>ROUND(I151*H151,2)</f>
        <v>2645.57</v>
      </c>
      <c r="K151" s="127" t="s">
        <v>1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15</v>
      </c>
      <c r="Q151" s="287">
        <f>ROUND(P151*I151,2)</f>
        <v>2645.57</v>
      </c>
      <c r="R151" s="137"/>
      <c r="S151" s="269">
        <f>W151+Y151+AA151+AC151</f>
        <v>0</v>
      </c>
      <c r="T151" s="269">
        <f>ROUND(S151*I151,2)</f>
        <v>0</v>
      </c>
      <c r="U151" s="269">
        <f>H151-S151</f>
        <v>15</v>
      </c>
      <c r="V151" s="269">
        <f>ROUND(U151*I151,2)</f>
        <v>2645.57</v>
      </c>
      <c r="W151" s="269"/>
      <c r="X151" s="269"/>
      <c r="Y151" s="269"/>
      <c r="Z151" s="269"/>
      <c r="AA151" s="269"/>
      <c r="AB151" s="269"/>
      <c r="AC151" s="269"/>
      <c r="AD151" s="269"/>
      <c r="BX151" s="132" t="s">
        <v>1</v>
      </c>
      <c r="BY151" s="133" t="s">
        <v>40</v>
      </c>
      <c r="CA151" s="134">
        <f>BZ151*H151</f>
        <v>0</v>
      </c>
      <c r="CB151" s="134">
        <v>0</v>
      </c>
      <c r="CC151" s="134">
        <f>CB151*H151</f>
        <v>0</v>
      </c>
      <c r="CD151" s="134">
        <v>0</v>
      </c>
      <c r="CE151" s="135">
        <f>CD151*H151</f>
        <v>0</v>
      </c>
      <c r="DC151" s="136" t="s">
        <v>95</v>
      </c>
      <c r="DE151" s="136" t="s">
        <v>284</v>
      </c>
      <c r="DF151" s="136" t="s">
        <v>83</v>
      </c>
      <c r="DJ151" s="16" t="s">
        <v>282</v>
      </c>
      <c r="DP151" s="137">
        <f>IF(BY151="základní",J151,0)</f>
        <v>2645.57</v>
      </c>
      <c r="DQ151" s="137">
        <f>IF(BY151="snížená",J151,0)</f>
        <v>0</v>
      </c>
      <c r="DR151" s="137">
        <f>IF(BY151="zákl. přenesená",J151,0)</f>
        <v>0</v>
      </c>
      <c r="DS151" s="137">
        <f>IF(BY151="sníž. přenesená",J151,0)</f>
        <v>0</v>
      </c>
      <c r="DT151" s="137">
        <f>IF(BY151="nulová",J151,0)</f>
        <v>0</v>
      </c>
      <c r="DU151" s="16" t="s">
        <v>81</v>
      </c>
      <c r="DV151" s="137">
        <f>ROUND(I151*H151,2)</f>
        <v>2645.57</v>
      </c>
      <c r="DW151" s="16" t="s">
        <v>95</v>
      </c>
      <c r="DX151" s="136" t="s">
        <v>476</v>
      </c>
    </row>
    <row r="152" spans="2:128" s="1" customFormat="1" x14ac:dyDescent="0.2">
      <c r="B152" s="31"/>
      <c r="D152" s="138" t="s">
        <v>289</v>
      </c>
      <c r="F152" s="139" t="s">
        <v>2022</v>
      </c>
      <c r="I152" s="140"/>
      <c r="L152" s="31"/>
      <c r="N152" s="213"/>
      <c r="O152" s="214"/>
      <c r="Q152" s="229"/>
      <c r="BX152" s="141"/>
      <c r="CE152" s="50"/>
      <c r="DE152" s="16" t="s">
        <v>289</v>
      </c>
      <c r="DF152" s="16" t="s">
        <v>83</v>
      </c>
    </row>
    <row r="153" spans="2:128" s="10" customFormat="1" ht="22.9" customHeight="1" x14ac:dyDescent="0.2">
      <c r="B153" s="112"/>
      <c r="D153" s="113" t="s">
        <v>73</v>
      </c>
      <c r="E153" s="122" t="s">
        <v>2034</v>
      </c>
      <c r="F153" s="122" t="s">
        <v>2035</v>
      </c>
      <c r="I153" s="115"/>
      <c r="J153" s="123">
        <f>DV153</f>
        <v>14710.26</v>
      </c>
      <c r="L153" s="112"/>
      <c r="M153" s="270">
        <f>SUM(M154:M160)</f>
        <v>0</v>
      </c>
      <c r="N153" s="301"/>
      <c r="O153" s="302">
        <f t="shared" ref="O153:V153" si="5">SUM(O154:O160)</f>
        <v>0</v>
      </c>
      <c r="P153" s="270"/>
      <c r="Q153" s="288">
        <f t="shared" si="5"/>
        <v>14710.26</v>
      </c>
      <c r="R153" s="270"/>
      <c r="S153" s="270"/>
      <c r="T153" s="270">
        <f t="shared" si="5"/>
        <v>0</v>
      </c>
      <c r="U153" s="270"/>
      <c r="V153" s="270">
        <f t="shared" si="5"/>
        <v>14710.26</v>
      </c>
      <c r="W153" s="270"/>
      <c r="BX153" s="117"/>
      <c r="CA153" s="118">
        <f>SUM(CA154:CA161)</f>
        <v>0</v>
      </c>
      <c r="CC153" s="118">
        <f>SUM(CC154:CC161)</f>
        <v>0</v>
      </c>
      <c r="CE153" s="119">
        <f>SUM(CE154:CE161)</f>
        <v>0</v>
      </c>
      <c r="DC153" s="113" t="s">
        <v>81</v>
      </c>
      <c r="DE153" s="120" t="s">
        <v>73</v>
      </c>
      <c r="DF153" s="120" t="s">
        <v>81</v>
      </c>
      <c r="DJ153" s="113" t="s">
        <v>282</v>
      </c>
      <c r="DV153" s="121">
        <f>SUM(DV154:DV161)</f>
        <v>14710.26</v>
      </c>
    </row>
    <row r="154" spans="2:128" s="1" customFormat="1" ht="14.45" customHeight="1" x14ac:dyDescent="0.2">
      <c r="B154" s="124"/>
      <c r="C154" s="125" t="s">
        <v>8</v>
      </c>
      <c r="D154" s="125" t="s">
        <v>284</v>
      </c>
      <c r="E154" s="126" t="s">
        <v>2036</v>
      </c>
      <c r="F154" s="127" t="s">
        <v>2037</v>
      </c>
      <c r="G154" s="128" t="s">
        <v>331</v>
      </c>
      <c r="H154" s="129">
        <v>12</v>
      </c>
      <c r="I154" s="130">
        <v>568.32942000000003</v>
      </c>
      <c r="J154" s="131">
        <f>ROUND(I154*H154,2)</f>
        <v>6819.95</v>
      </c>
      <c r="K154" s="127" t="s">
        <v>1</v>
      </c>
      <c r="L154" s="268">
        <f>S154</f>
        <v>0</v>
      </c>
      <c r="M154" s="272">
        <f>ROUND(L154*I154,2)</f>
        <v>0</v>
      </c>
      <c r="N154" s="243"/>
      <c r="O154" s="294">
        <f>ROUND(N154*I154,2)</f>
        <v>0</v>
      </c>
      <c r="P154" s="273">
        <f>H154-L154-N154</f>
        <v>12</v>
      </c>
      <c r="Q154" s="287">
        <f>ROUND(P154*I154,2)</f>
        <v>6819.95</v>
      </c>
      <c r="R154" s="137"/>
      <c r="S154" s="269">
        <f>W154+Y154+AA154+AC154</f>
        <v>0</v>
      </c>
      <c r="T154" s="269">
        <f>ROUND(S154*I154,2)</f>
        <v>0</v>
      </c>
      <c r="U154" s="269">
        <f>H154-S154</f>
        <v>12</v>
      </c>
      <c r="V154" s="269">
        <f>ROUND(U154*I154,2)</f>
        <v>6819.95</v>
      </c>
      <c r="W154" s="269"/>
      <c r="X154" s="269"/>
      <c r="Y154" s="269"/>
      <c r="Z154" s="269"/>
      <c r="AA154" s="269"/>
      <c r="AB154" s="269"/>
      <c r="AC154" s="269"/>
      <c r="AD154" s="269"/>
      <c r="BX154" s="132" t="s">
        <v>1</v>
      </c>
      <c r="BY154" s="133" t="s">
        <v>40</v>
      </c>
      <c r="CA154" s="134">
        <f>BZ154*H154</f>
        <v>0</v>
      </c>
      <c r="CB154" s="134">
        <v>0</v>
      </c>
      <c r="CC154" s="134">
        <f>CB154*H154</f>
        <v>0</v>
      </c>
      <c r="CD154" s="134">
        <v>0</v>
      </c>
      <c r="CE154" s="135">
        <f>CD154*H154</f>
        <v>0</v>
      </c>
      <c r="DC154" s="136" t="s">
        <v>95</v>
      </c>
      <c r="DE154" s="136" t="s">
        <v>284</v>
      </c>
      <c r="DF154" s="136" t="s">
        <v>83</v>
      </c>
      <c r="DJ154" s="16" t="s">
        <v>282</v>
      </c>
      <c r="DP154" s="137">
        <f>IF(BY154="základní",J154,0)</f>
        <v>6819.95</v>
      </c>
      <c r="DQ154" s="137">
        <f>IF(BY154="snížená",J154,0)</f>
        <v>0</v>
      </c>
      <c r="DR154" s="137">
        <f>IF(BY154="zákl. přenesená",J154,0)</f>
        <v>0</v>
      </c>
      <c r="DS154" s="137">
        <f>IF(BY154="sníž. přenesená",J154,0)</f>
        <v>0</v>
      </c>
      <c r="DT154" s="137">
        <f>IF(BY154="nulová",J154,0)</f>
        <v>0</v>
      </c>
      <c r="DU154" s="16" t="s">
        <v>81</v>
      </c>
      <c r="DV154" s="137">
        <f>ROUND(I154*H154,2)</f>
        <v>6819.95</v>
      </c>
      <c r="DW154" s="16" t="s">
        <v>95</v>
      </c>
      <c r="DX154" s="136" t="s">
        <v>548</v>
      </c>
    </row>
    <row r="155" spans="2:128" s="1" customFormat="1" x14ac:dyDescent="0.2">
      <c r="B155" s="31"/>
      <c r="D155" s="138" t="s">
        <v>289</v>
      </c>
      <c r="F155" s="139" t="s">
        <v>2037</v>
      </c>
      <c r="I155" s="140"/>
      <c r="L155" s="31"/>
      <c r="N155" s="213"/>
      <c r="O155" s="214"/>
      <c r="Q155" s="229"/>
      <c r="BX155" s="141"/>
      <c r="CE155" s="50"/>
      <c r="DE155" s="16" t="s">
        <v>289</v>
      </c>
      <c r="DF155" s="16" t="s">
        <v>83</v>
      </c>
    </row>
    <row r="156" spans="2:128" s="1" customFormat="1" ht="14.45" customHeight="1" x14ac:dyDescent="0.2">
      <c r="B156" s="124"/>
      <c r="C156" s="125" t="s">
        <v>379</v>
      </c>
      <c r="D156" s="125" t="s">
        <v>284</v>
      </c>
      <c r="E156" s="126" t="s">
        <v>2038</v>
      </c>
      <c r="F156" s="127" t="s">
        <v>2039</v>
      </c>
      <c r="G156" s="128" t="s">
        <v>331</v>
      </c>
      <c r="H156" s="129">
        <v>10</v>
      </c>
      <c r="I156" s="130">
        <v>520.96863499999995</v>
      </c>
      <c r="J156" s="131">
        <f>ROUND(I156*H156,2)</f>
        <v>5209.6899999999996</v>
      </c>
      <c r="K156" s="127" t="s">
        <v>1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10</v>
      </c>
      <c r="Q156" s="287">
        <f>ROUND(P156*I156,2)</f>
        <v>5209.6899999999996</v>
      </c>
      <c r="R156" s="137"/>
      <c r="S156" s="269">
        <f>W156+Y156+AA156+AC156</f>
        <v>0</v>
      </c>
      <c r="T156" s="269">
        <f>ROUND(S156*I156,2)</f>
        <v>0</v>
      </c>
      <c r="U156" s="269">
        <f>H156-S156</f>
        <v>10</v>
      </c>
      <c r="V156" s="269">
        <f>ROUND(U156*I156,2)</f>
        <v>5209.6899999999996</v>
      </c>
      <c r="W156" s="269"/>
      <c r="X156" s="269"/>
      <c r="Y156" s="269"/>
      <c r="Z156" s="269"/>
      <c r="AA156" s="269"/>
      <c r="AB156" s="269"/>
      <c r="AC156" s="269"/>
      <c r="AD156" s="269"/>
      <c r="BX156" s="132" t="s">
        <v>1</v>
      </c>
      <c r="BY156" s="133" t="s">
        <v>40</v>
      </c>
      <c r="CA156" s="134">
        <f>BZ156*H156</f>
        <v>0</v>
      </c>
      <c r="CB156" s="134">
        <v>0</v>
      </c>
      <c r="CC156" s="134">
        <f>CB156*H156</f>
        <v>0</v>
      </c>
      <c r="CD156" s="134">
        <v>0</v>
      </c>
      <c r="CE156" s="135">
        <f>CD156*H156</f>
        <v>0</v>
      </c>
      <c r="DC156" s="136" t="s">
        <v>95</v>
      </c>
      <c r="DE156" s="136" t="s">
        <v>284</v>
      </c>
      <c r="DF156" s="136" t="s">
        <v>83</v>
      </c>
      <c r="DJ156" s="16" t="s">
        <v>282</v>
      </c>
      <c r="DP156" s="137">
        <f>IF(BY156="základní",J156,0)</f>
        <v>5209.6899999999996</v>
      </c>
      <c r="DQ156" s="137">
        <f>IF(BY156="snížená",J156,0)</f>
        <v>0</v>
      </c>
      <c r="DR156" s="137">
        <f>IF(BY156="zákl. přenesená",J156,0)</f>
        <v>0</v>
      </c>
      <c r="DS156" s="137">
        <f>IF(BY156="sníž. přenesená",J156,0)</f>
        <v>0</v>
      </c>
      <c r="DT156" s="137">
        <f>IF(BY156="nulová",J156,0)</f>
        <v>0</v>
      </c>
      <c r="DU156" s="16" t="s">
        <v>81</v>
      </c>
      <c r="DV156" s="137">
        <f>ROUND(I156*H156,2)</f>
        <v>5209.6899999999996</v>
      </c>
      <c r="DW156" s="16" t="s">
        <v>95</v>
      </c>
      <c r="DX156" s="136" t="s">
        <v>562</v>
      </c>
    </row>
    <row r="157" spans="2:128" s="1" customFormat="1" x14ac:dyDescent="0.2">
      <c r="B157" s="31"/>
      <c r="D157" s="138" t="s">
        <v>289</v>
      </c>
      <c r="F157" s="139" t="s">
        <v>2039</v>
      </c>
      <c r="I157" s="140"/>
      <c r="L157" s="31"/>
      <c r="N157" s="213"/>
      <c r="O157" s="214"/>
      <c r="Q157" s="229"/>
      <c r="BX157" s="141"/>
      <c r="CE157" s="50"/>
      <c r="DE157" s="16" t="s">
        <v>289</v>
      </c>
      <c r="DF157" s="16" t="s">
        <v>83</v>
      </c>
    </row>
    <row r="158" spans="2:128" s="1" customFormat="1" ht="14.45" customHeight="1" x14ac:dyDescent="0.2">
      <c r="B158" s="124"/>
      <c r="C158" s="125" t="s">
        <v>386</v>
      </c>
      <c r="D158" s="125" t="s">
        <v>284</v>
      </c>
      <c r="E158" s="126" t="s">
        <v>2040</v>
      </c>
      <c r="F158" s="127" t="s">
        <v>2041</v>
      </c>
      <c r="G158" s="128" t="s">
        <v>331</v>
      </c>
      <c r="H158" s="129">
        <v>5</v>
      </c>
      <c r="I158" s="130">
        <v>473.60784999999998</v>
      </c>
      <c r="J158" s="131">
        <f>ROUND(I158*H158,2)</f>
        <v>2368.04</v>
      </c>
      <c r="K158" s="127" t="s">
        <v>1</v>
      </c>
      <c r="L158" s="268">
        <f>S158</f>
        <v>0</v>
      </c>
      <c r="M158" s="272">
        <f>ROUND(L158*I158,2)</f>
        <v>0</v>
      </c>
      <c r="N158" s="243"/>
      <c r="O158" s="294">
        <f>ROUND(N158*I158,2)</f>
        <v>0</v>
      </c>
      <c r="P158" s="273">
        <f>H158-L158-N158</f>
        <v>5</v>
      </c>
      <c r="Q158" s="287">
        <f>ROUND(P158*I158,2)</f>
        <v>2368.04</v>
      </c>
      <c r="R158" s="137"/>
      <c r="S158" s="269">
        <f>W158+Y158+AA158+AC158</f>
        <v>0</v>
      </c>
      <c r="T158" s="269">
        <f>ROUND(S158*I158,2)</f>
        <v>0</v>
      </c>
      <c r="U158" s="269">
        <f>H158-S158</f>
        <v>5</v>
      </c>
      <c r="V158" s="269">
        <f>ROUND(U158*I158,2)</f>
        <v>2368.04</v>
      </c>
      <c r="W158" s="269"/>
      <c r="X158" s="269"/>
      <c r="Y158" s="269"/>
      <c r="Z158" s="269"/>
      <c r="AA158" s="269"/>
      <c r="AB158" s="269"/>
      <c r="AC158" s="269"/>
      <c r="AD158" s="269"/>
      <c r="BX158" s="132" t="s">
        <v>1</v>
      </c>
      <c r="BY158" s="133" t="s">
        <v>40</v>
      </c>
      <c r="CA158" s="134">
        <f>BZ158*H158</f>
        <v>0</v>
      </c>
      <c r="CB158" s="134">
        <v>0</v>
      </c>
      <c r="CC158" s="134">
        <f>CB158*H158</f>
        <v>0</v>
      </c>
      <c r="CD158" s="134">
        <v>0</v>
      </c>
      <c r="CE158" s="135">
        <f>CD158*H158</f>
        <v>0</v>
      </c>
      <c r="DC158" s="136" t="s">
        <v>95</v>
      </c>
      <c r="DE158" s="136" t="s">
        <v>284</v>
      </c>
      <c r="DF158" s="136" t="s">
        <v>83</v>
      </c>
      <c r="DJ158" s="16" t="s">
        <v>282</v>
      </c>
      <c r="DP158" s="137">
        <f>IF(BY158="základní",J158,0)</f>
        <v>2368.04</v>
      </c>
      <c r="DQ158" s="137">
        <f>IF(BY158="snížená",J158,0)</f>
        <v>0</v>
      </c>
      <c r="DR158" s="137">
        <f>IF(BY158="zákl. přenesená",J158,0)</f>
        <v>0</v>
      </c>
      <c r="DS158" s="137">
        <f>IF(BY158="sníž. přenesená",J158,0)</f>
        <v>0</v>
      </c>
      <c r="DT158" s="137">
        <f>IF(BY158="nulová",J158,0)</f>
        <v>0</v>
      </c>
      <c r="DU158" s="16" t="s">
        <v>81</v>
      </c>
      <c r="DV158" s="137">
        <f>ROUND(I158*H158,2)</f>
        <v>2368.04</v>
      </c>
      <c r="DW158" s="16" t="s">
        <v>95</v>
      </c>
      <c r="DX158" s="136" t="s">
        <v>572</v>
      </c>
    </row>
    <row r="159" spans="2:128" s="1" customFormat="1" x14ac:dyDescent="0.2">
      <c r="B159" s="31"/>
      <c r="D159" s="138" t="s">
        <v>289</v>
      </c>
      <c r="F159" s="139" t="s">
        <v>2041</v>
      </c>
      <c r="I159" s="140"/>
      <c r="L159" s="31"/>
      <c r="N159" s="213"/>
      <c r="O159" s="214"/>
      <c r="Q159" s="229"/>
      <c r="BX159" s="141"/>
      <c r="CE159" s="50"/>
      <c r="DE159" s="16" t="s">
        <v>289</v>
      </c>
      <c r="DF159" s="16" t="s">
        <v>83</v>
      </c>
    </row>
    <row r="160" spans="2:128" s="1" customFormat="1" ht="14.45" customHeight="1" x14ac:dyDescent="0.2">
      <c r="B160" s="124"/>
      <c r="C160" s="125" t="s">
        <v>392</v>
      </c>
      <c r="D160" s="125" t="s">
        <v>284</v>
      </c>
      <c r="E160" s="126" t="s">
        <v>2042</v>
      </c>
      <c r="F160" s="127" t="s">
        <v>2043</v>
      </c>
      <c r="G160" s="128" t="s">
        <v>1948</v>
      </c>
      <c r="H160" s="129">
        <v>1</v>
      </c>
      <c r="I160" s="130">
        <v>312.58118100000002</v>
      </c>
      <c r="J160" s="131">
        <f>ROUND(I160*H160,2)</f>
        <v>312.58</v>
      </c>
      <c r="K160" s="127" t="s">
        <v>1</v>
      </c>
      <c r="L160" s="268">
        <f>S160</f>
        <v>0</v>
      </c>
      <c r="M160" s="272">
        <f>ROUND(L160*I160,2)</f>
        <v>0</v>
      </c>
      <c r="N160" s="243"/>
      <c r="O160" s="294">
        <f>ROUND(N160*I160,2)</f>
        <v>0</v>
      </c>
      <c r="P160" s="273">
        <f>H160-L160-N160</f>
        <v>1</v>
      </c>
      <c r="Q160" s="287">
        <f>ROUND(P160*I160,2)</f>
        <v>312.58</v>
      </c>
      <c r="R160" s="137"/>
      <c r="S160" s="269">
        <f>W160+Y160+AA160+AC160</f>
        <v>0</v>
      </c>
      <c r="T160" s="269">
        <f>ROUND(S160*I160,2)</f>
        <v>0</v>
      </c>
      <c r="U160" s="269">
        <f>H160-S160</f>
        <v>1</v>
      </c>
      <c r="V160" s="269">
        <f>ROUND(U160*I160,2)</f>
        <v>312.58</v>
      </c>
      <c r="W160" s="269"/>
      <c r="X160" s="269"/>
      <c r="Y160" s="269"/>
      <c r="Z160" s="269"/>
      <c r="AA160" s="269"/>
      <c r="AB160" s="269"/>
      <c r="AC160" s="269"/>
      <c r="AD160" s="269"/>
      <c r="BX160" s="132" t="s">
        <v>1</v>
      </c>
      <c r="BY160" s="133" t="s">
        <v>40</v>
      </c>
      <c r="CA160" s="134">
        <f>BZ160*H160</f>
        <v>0</v>
      </c>
      <c r="CB160" s="134">
        <v>0</v>
      </c>
      <c r="CC160" s="134">
        <f>CB160*H160</f>
        <v>0</v>
      </c>
      <c r="CD160" s="134">
        <v>0</v>
      </c>
      <c r="CE160" s="135">
        <f>CD160*H160</f>
        <v>0</v>
      </c>
      <c r="DC160" s="136" t="s">
        <v>95</v>
      </c>
      <c r="DE160" s="136" t="s">
        <v>284</v>
      </c>
      <c r="DF160" s="136" t="s">
        <v>83</v>
      </c>
      <c r="DJ160" s="16" t="s">
        <v>282</v>
      </c>
      <c r="DP160" s="137">
        <f>IF(BY160="základní",J160,0)</f>
        <v>312.58</v>
      </c>
      <c r="DQ160" s="137">
        <f>IF(BY160="snížená",J160,0)</f>
        <v>0</v>
      </c>
      <c r="DR160" s="137">
        <f>IF(BY160="zákl. přenesená",J160,0)</f>
        <v>0</v>
      </c>
      <c r="DS160" s="137">
        <f>IF(BY160="sníž. přenesená",J160,0)</f>
        <v>0</v>
      </c>
      <c r="DT160" s="137">
        <f>IF(BY160="nulová",J160,0)</f>
        <v>0</v>
      </c>
      <c r="DU160" s="16" t="s">
        <v>81</v>
      </c>
      <c r="DV160" s="137">
        <f>ROUND(I160*H160,2)</f>
        <v>312.58</v>
      </c>
      <c r="DW160" s="16" t="s">
        <v>95</v>
      </c>
      <c r="DX160" s="136" t="s">
        <v>2044</v>
      </c>
    </row>
    <row r="161" spans="2:110" s="1" customFormat="1" x14ac:dyDescent="0.2">
      <c r="B161" s="31"/>
      <c r="D161" s="138" t="s">
        <v>289</v>
      </c>
      <c r="F161" s="139" t="s">
        <v>2045</v>
      </c>
      <c r="I161" s="140"/>
      <c r="L161" s="31"/>
      <c r="N161" s="213"/>
      <c r="O161" s="214"/>
      <c r="Q161" s="229"/>
      <c r="BX161" s="187"/>
      <c r="BY161" s="184"/>
      <c r="BZ161" s="184"/>
      <c r="CA161" s="184"/>
      <c r="CB161" s="184"/>
      <c r="CC161" s="184"/>
      <c r="CD161" s="184"/>
      <c r="CE161" s="188"/>
      <c r="DE161" s="16" t="s">
        <v>289</v>
      </c>
      <c r="DF161" s="16" t="s">
        <v>83</v>
      </c>
    </row>
    <row r="162" spans="2:110" s="1" customFormat="1" ht="6.95" customHeight="1" thickBot="1" x14ac:dyDescent="0.25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35"/>
      <c r="M162" s="237"/>
      <c r="N162" s="239"/>
      <c r="O162" s="240"/>
      <c r="P162" s="238"/>
      <c r="Q162" s="241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</row>
  </sheetData>
  <autoFilter ref="C118:K161"/>
  <mergeCells count="23">
    <mergeCell ref="U119:V119"/>
    <mergeCell ref="W119:X119"/>
    <mergeCell ref="Y119:Z119"/>
    <mergeCell ref="AA119:AB119"/>
    <mergeCell ref="AC119:AD119"/>
    <mergeCell ref="L118:Q118"/>
    <mergeCell ref="L119:M119"/>
    <mergeCell ref="N119:O119"/>
    <mergeCell ref="P119:Q119"/>
    <mergeCell ref="S119:T119"/>
    <mergeCell ref="G117:K117"/>
    <mergeCell ref="E114:H114"/>
    <mergeCell ref="L2:CG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N314"/>
  <sheetViews>
    <sheetView windowProtection="1" showGridLines="0" topLeftCell="A113" zoomScale="80" zoomScaleNormal="80" workbookViewId="0">
      <selection activeCell="W127" sqref="W127:AJ31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6640625" customWidth="1"/>
    <col min="13" max="13" width="16.5" customWidth="1"/>
    <col min="14" max="14" width="12.6640625" customWidth="1"/>
    <col min="15" max="15" width="16" customWidth="1"/>
    <col min="16" max="16" width="12.6640625" customWidth="1"/>
    <col min="17" max="17" width="18" customWidth="1"/>
    <col min="18" max="19" width="12.6640625" customWidth="1"/>
    <col min="20" max="20" width="15" customWidth="1"/>
    <col min="21" max="21" width="12.6640625" customWidth="1"/>
    <col min="22" max="22" width="16.6640625" customWidth="1"/>
    <col min="23" max="23" width="12.6640625" customWidth="1"/>
    <col min="24" max="24" width="18.33203125" customWidth="1"/>
    <col min="25" max="25" width="12.6640625" customWidth="1"/>
    <col min="26" max="26" width="14.83203125" customWidth="1"/>
    <col min="27" max="91" width="12.6640625" customWidth="1"/>
    <col min="92" max="92" width="10.83203125" customWidth="1"/>
    <col min="94" max="99" width="14.1640625" customWidth="1"/>
    <col min="100" max="100" width="16.33203125" customWidth="1"/>
    <col min="101" max="101" width="12.33203125" customWidth="1"/>
    <col min="102" max="102" width="16.33203125" customWidth="1"/>
    <col min="103" max="103" width="12.33203125" customWidth="1"/>
    <col min="104" max="104" width="15" customWidth="1"/>
    <col min="105" max="105" width="11" customWidth="1"/>
    <col min="106" max="106" width="15" customWidth="1"/>
    <col min="107" max="107" width="16.33203125" customWidth="1"/>
    <col min="108" max="108" width="11" customWidth="1"/>
    <col min="109" max="109" width="15" customWidth="1"/>
    <col min="110" max="110" width="16.33203125" customWidth="1"/>
    <col min="123" max="144" width="9.33203125" hidden="1"/>
  </cols>
  <sheetData>
    <row r="1" spans="2:125" hidden="1" x14ac:dyDescent="0.2"/>
    <row r="2" spans="2:125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9"/>
      <c r="CO2" s="399"/>
      <c r="CP2" s="399"/>
      <c r="CQ2" s="399"/>
      <c r="CR2" s="399"/>
      <c r="CS2" s="399"/>
      <c r="CT2" s="399"/>
      <c r="CU2" s="399"/>
      <c r="CV2" s="399"/>
      <c r="CW2" s="399"/>
      <c r="DU2" s="16" t="s">
        <v>173</v>
      </c>
    </row>
    <row r="3" spans="2:125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U3" s="16" t="s">
        <v>83</v>
      </c>
    </row>
    <row r="4" spans="2:125" ht="24.95" hidden="1" customHeight="1" x14ac:dyDescent="0.2">
      <c r="B4" s="19"/>
      <c r="D4" s="20" t="s">
        <v>243</v>
      </c>
      <c r="L4" s="19"/>
      <c r="CN4" s="79" t="s">
        <v>10</v>
      </c>
      <c r="DU4" s="16" t="s">
        <v>3</v>
      </c>
    </row>
    <row r="5" spans="2:125" ht="6.95" hidden="1" customHeight="1" x14ac:dyDescent="0.2">
      <c r="B5" s="19"/>
      <c r="L5" s="19"/>
    </row>
    <row r="6" spans="2:125" ht="12" hidden="1" customHeight="1" x14ac:dyDescent="0.2">
      <c r="B6" s="19"/>
      <c r="D6" s="26" t="s">
        <v>16</v>
      </c>
      <c r="L6" s="19"/>
    </row>
    <row r="7" spans="2:125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25" ht="12.75" hidden="1" x14ac:dyDescent="0.2">
      <c r="B8" s="19"/>
      <c r="D8" s="26" t="s">
        <v>244</v>
      </c>
      <c r="L8" s="19"/>
    </row>
    <row r="9" spans="2:125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25" ht="12" hidden="1" customHeight="1" x14ac:dyDescent="0.2">
      <c r="B10" s="19"/>
      <c r="D10" s="26" t="s">
        <v>246</v>
      </c>
      <c r="L10" s="19"/>
    </row>
    <row r="11" spans="2:125" s="1" customFormat="1" ht="16.5" hidden="1" customHeight="1" x14ac:dyDescent="0.2">
      <c r="B11" s="31"/>
      <c r="E11" s="401" t="s">
        <v>2132</v>
      </c>
      <c r="F11" s="433"/>
      <c r="G11" s="433"/>
      <c r="H11" s="433"/>
      <c r="L11" s="31"/>
    </row>
    <row r="12" spans="2:125" s="1" customFormat="1" ht="12" hidden="1" customHeight="1" x14ac:dyDescent="0.2">
      <c r="B12" s="31"/>
      <c r="D12" s="26" t="s">
        <v>1790</v>
      </c>
      <c r="L12" s="31"/>
    </row>
    <row r="13" spans="2:125" s="1" customFormat="1" ht="16.5" hidden="1" customHeight="1" x14ac:dyDescent="0.2">
      <c r="B13" s="31"/>
      <c r="E13" s="432" t="s">
        <v>2133</v>
      </c>
      <c r="F13" s="433"/>
      <c r="G13" s="433"/>
      <c r="H13" s="433"/>
      <c r="L13" s="31"/>
    </row>
    <row r="14" spans="2:125" s="1" customFormat="1" hidden="1" x14ac:dyDescent="0.2">
      <c r="B14" s="31"/>
      <c r="L14" s="31"/>
    </row>
    <row r="15" spans="2:125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125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ROUND(J124, 2)</f>
        <v>2901856.95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ROUND((SUM(EF124:EF313)),  2)</f>
        <v>2901856.95</v>
      </c>
      <c r="I37" s="84">
        <v>0.21</v>
      </c>
      <c r="J37" s="71">
        <f>ROUND(((SUM(EF124:EF313))*I37),  2)</f>
        <v>609389.96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ROUND((SUM(EG124:EG313)),  2)</f>
        <v>0</v>
      </c>
      <c r="I38" s="84">
        <v>0.15</v>
      </c>
      <c r="J38" s="71">
        <f>ROUND(((SUM(EG124:EG313))*I38),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ROUND((SUM(EH124:EH313)),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ROUND((SUM(EI124:EI313)),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ROUND((SUM(EJ124:EJ313)),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3511246.91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2132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DSO 07.1 Čerpací stanice ČS8 - stavební část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126" s="1" customFormat="1" ht="10.35" hidden="1" customHeight="1" x14ac:dyDescent="0.2">
      <c r="B97" s="31"/>
      <c r="L97" s="31"/>
    </row>
    <row r="98" spans="2:126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126" s="1" customFormat="1" ht="10.35" hidden="1" customHeight="1" x14ac:dyDescent="0.2">
      <c r="B99" s="31"/>
      <c r="L99" s="31"/>
    </row>
    <row r="100" spans="2:126" s="1" customFormat="1" ht="22.9" hidden="1" customHeight="1" x14ac:dyDescent="0.2">
      <c r="B100" s="31"/>
      <c r="C100" s="95" t="s">
        <v>256</v>
      </c>
      <c r="J100" s="58">
        <f>J124</f>
        <v>2901856.95</v>
      </c>
      <c r="L100" s="31"/>
      <c r="DV100" s="16" t="s">
        <v>257</v>
      </c>
    </row>
    <row r="101" spans="2:126" s="7" customFormat="1" ht="24.95" hidden="1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J125</f>
        <v>2901856.95</v>
      </c>
      <c r="L101" s="96"/>
    </row>
    <row r="102" spans="2:126" s="8" customFormat="1" ht="19.899999999999999" hidden="1" customHeight="1" x14ac:dyDescent="0.2">
      <c r="B102" s="100"/>
      <c r="D102" s="101" t="s">
        <v>259</v>
      </c>
      <c r="E102" s="102"/>
      <c r="F102" s="102"/>
      <c r="G102" s="102"/>
      <c r="H102" s="102"/>
      <c r="I102" s="102"/>
      <c r="J102" s="103">
        <f>J127</f>
        <v>299901.73</v>
      </c>
      <c r="L102" s="100"/>
    </row>
    <row r="103" spans="2:126" s="8" customFormat="1" ht="19.899999999999999" hidden="1" customHeight="1" x14ac:dyDescent="0.2">
      <c r="B103" s="100"/>
      <c r="D103" s="101" t="s">
        <v>260</v>
      </c>
      <c r="E103" s="102"/>
      <c r="F103" s="102"/>
      <c r="G103" s="102"/>
      <c r="H103" s="102"/>
      <c r="I103" s="102"/>
      <c r="J103" s="103">
        <f>J211</f>
        <v>203533.76</v>
      </c>
      <c r="L103" s="100"/>
    </row>
    <row r="104" spans="2:126" s="8" customFormat="1" ht="19.899999999999999" hidden="1" customHeight="1" x14ac:dyDescent="0.2">
      <c r="B104" s="100"/>
      <c r="D104" s="101" t="s">
        <v>261</v>
      </c>
      <c r="E104" s="102"/>
      <c r="F104" s="102"/>
      <c r="G104" s="102"/>
      <c r="H104" s="102"/>
      <c r="I104" s="102"/>
      <c r="J104" s="103">
        <f>J250</f>
        <v>4812.2299999999996</v>
      </c>
      <c r="L104" s="100"/>
    </row>
    <row r="105" spans="2:126" s="8" customFormat="1" ht="19.899999999999999" hidden="1" customHeight="1" x14ac:dyDescent="0.2">
      <c r="B105" s="100"/>
      <c r="D105" s="101" t="s">
        <v>262</v>
      </c>
      <c r="E105" s="102"/>
      <c r="F105" s="102"/>
      <c r="G105" s="102"/>
      <c r="H105" s="102"/>
      <c r="I105" s="102"/>
      <c r="J105" s="103">
        <f>J260</f>
        <v>21203.75</v>
      </c>
      <c r="L105" s="100"/>
    </row>
    <row r="106" spans="2:126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J279</f>
        <v>2349981.86</v>
      </c>
      <c r="L106" s="100"/>
    </row>
    <row r="107" spans="2:126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J289</f>
        <v>9167.92</v>
      </c>
      <c r="L107" s="100"/>
    </row>
    <row r="108" spans="2:126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J309</f>
        <v>13255.7</v>
      </c>
      <c r="L108" s="100"/>
    </row>
    <row r="109" spans="2:126" s="1" customFormat="1" ht="21.75" hidden="1" customHeight="1" x14ac:dyDescent="0.2">
      <c r="B109" s="31"/>
      <c r="L109" s="31"/>
    </row>
    <row r="110" spans="2:126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26" hidden="1" x14ac:dyDescent="0.2"/>
    <row r="112" spans="2:126" hidden="1" x14ac:dyDescent="0.2"/>
    <row r="114" spans="2:144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44" s="1" customFormat="1" ht="24.95" customHeight="1" x14ac:dyDescent="0.2">
      <c r="B115" s="31"/>
      <c r="C115" s="20" t="s">
        <v>267</v>
      </c>
      <c r="L115" s="31"/>
    </row>
    <row r="116" spans="2:144" s="1" customFormat="1" ht="10.5" customHeight="1" x14ac:dyDescent="0.2">
      <c r="B116" s="31"/>
      <c r="L116" s="31"/>
    </row>
    <row r="117" spans="2:144" s="1" customFormat="1" ht="16.5" customHeight="1" x14ac:dyDescent="0.2">
      <c r="B117" s="31"/>
      <c r="E117" s="432" t="str">
        <f>E13</f>
        <v>0001 - DSO 07.1 Čerpací stanice ČS8 - stavební část</v>
      </c>
      <c r="F117" s="433"/>
      <c r="G117" s="433"/>
      <c r="H117" s="433"/>
      <c r="L117" s="31"/>
    </row>
    <row r="118" spans="2:144" s="1" customFormat="1" ht="6.95" customHeight="1" x14ac:dyDescent="0.2">
      <c r="B118" s="31"/>
      <c r="L118" s="31"/>
    </row>
    <row r="119" spans="2:144" s="1" customFormat="1" ht="12" customHeight="1" x14ac:dyDescent="0.2">
      <c r="B119" s="31"/>
      <c r="C119" s="26"/>
      <c r="F119" s="24"/>
      <c r="I119" s="26"/>
      <c r="J119" s="48"/>
      <c r="L119" s="31"/>
    </row>
    <row r="120" spans="2:144" s="1" customFormat="1" ht="6.95" customHeight="1" x14ac:dyDescent="0.2">
      <c r="B120" s="31"/>
      <c r="L120" s="31"/>
    </row>
    <row r="121" spans="2:144" s="1" customFormat="1" ht="15.2" customHeight="1" x14ac:dyDescent="0.2">
      <c r="B121" s="31"/>
      <c r="C121" s="26"/>
      <c r="F121" s="24"/>
      <c r="I121" s="26"/>
      <c r="J121" s="29"/>
      <c r="L121" s="31"/>
    </row>
    <row r="122" spans="2:144" s="1" customFormat="1" ht="25.5" customHeight="1" x14ac:dyDescent="0.2">
      <c r="B122" s="31"/>
      <c r="H122" s="430" t="s">
        <v>3305</v>
      </c>
      <c r="I122" s="430"/>
      <c r="J122" s="430"/>
      <c r="K122" s="431"/>
      <c r="L122" s="31"/>
    </row>
    <row r="123" spans="2:144" s="9" customFormat="1" ht="29.25" customHeight="1" thickBot="1" x14ac:dyDescent="0.25">
      <c r="B123" s="104"/>
      <c r="C123" s="105" t="s">
        <v>268</v>
      </c>
      <c r="D123" s="106" t="s">
        <v>59</v>
      </c>
      <c r="E123" s="106" t="s">
        <v>55</v>
      </c>
      <c r="F123" s="106" t="s">
        <v>56</v>
      </c>
      <c r="G123" s="106" t="s">
        <v>269</v>
      </c>
      <c r="H123" s="106" t="s">
        <v>270</v>
      </c>
      <c r="I123" s="106" t="s">
        <v>271</v>
      </c>
      <c r="J123" s="106" t="s">
        <v>255</v>
      </c>
      <c r="K123" s="107" t="s">
        <v>272</v>
      </c>
      <c r="L123" s="437" t="s">
        <v>3307</v>
      </c>
      <c r="M123" s="438"/>
      <c r="N123" s="438"/>
      <c r="O123" s="438"/>
      <c r="P123" s="438"/>
      <c r="Q123" s="439"/>
      <c r="CN123" s="52" t="s">
        <v>1</v>
      </c>
      <c r="CO123" s="53" t="s">
        <v>39</v>
      </c>
      <c r="CP123" s="53" t="s">
        <v>273</v>
      </c>
      <c r="CQ123" s="53" t="s">
        <v>274</v>
      </c>
      <c r="CR123" s="53" t="s">
        <v>275</v>
      </c>
      <c r="CS123" s="53" t="s">
        <v>276</v>
      </c>
      <c r="CT123" s="53" t="s">
        <v>277</v>
      </c>
      <c r="CU123" s="54" t="s">
        <v>278</v>
      </c>
    </row>
    <row r="124" spans="2:144" s="1" customFormat="1" ht="22.9" customHeight="1" x14ac:dyDescent="0.25">
      <c r="B124" s="31"/>
      <c r="C124" s="57" t="s">
        <v>279</v>
      </c>
      <c r="G124" s="1" t="s">
        <v>3306</v>
      </c>
      <c r="J124" s="108">
        <f>EL124</f>
        <v>2901856.95</v>
      </c>
      <c r="L124" s="440" t="s">
        <v>3308</v>
      </c>
      <c r="M124" s="441"/>
      <c r="N124" s="440" t="s">
        <v>3343</v>
      </c>
      <c r="O124" s="441"/>
      <c r="P124" s="440" t="s">
        <v>3309</v>
      </c>
      <c r="Q124" s="441"/>
      <c r="S124" s="442" t="s">
        <v>3312</v>
      </c>
      <c r="T124" s="443"/>
      <c r="U124" s="443" t="s">
        <v>3313</v>
      </c>
      <c r="V124" s="443"/>
      <c r="W124" s="444" t="s">
        <v>3321</v>
      </c>
      <c r="X124" s="444"/>
      <c r="Y124" s="444" t="s">
        <v>3322</v>
      </c>
      <c r="Z124" s="444"/>
      <c r="AA124" s="444" t="s">
        <v>3323</v>
      </c>
      <c r="AB124" s="444"/>
      <c r="AC124" s="444" t="s">
        <v>3324</v>
      </c>
      <c r="AD124" s="444"/>
      <c r="AE124" s="444" t="s">
        <v>3325</v>
      </c>
      <c r="AF124" s="444"/>
      <c r="AG124" s="444" t="s">
        <v>3326</v>
      </c>
      <c r="AH124" s="444"/>
      <c r="AI124" s="444" t="s">
        <v>3327</v>
      </c>
      <c r="AJ124" s="445"/>
      <c r="CN124" s="55"/>
      <c r="CO124" s="49"/>
      <c r="CP124" s="49"/>
      <c r="CQ124" s="109">
        <f>CQ125</f>
        <v>0</v>
      </c>
      <c r="CR124" s="49"/>
      <c r="CS124" s="109">
        <f>CS125</f>
        <v>122.54053691</v>
      </c>
      <c r="CT124" s="49"/>
      <c r="CU124" s="110">
        <f>CU125</f>
        <v>24.519869999999997</v>
      </c>
      <c r="DU124" s="16" t="s">
        <v>73</v>
      </c>
      <c r="DV124" s="16" t="s">
        <v>257</v>
      </c>
      <c r="EL124" s="111">
        <f>EL125</f>
        <v>2901856.95</v>
      </c>
    </row>
    <row r="125" spans="2:144" s="10" customFormat="1" ht="25.9" customHeight="1" thickBot="1" x14ac:dyDescent="0.25">
      <c r="B125" s="112"/>
      <c r="D125" s="113" t="s">
        <v>73</v>
      </c>
      <c r="E125" s="114" t="s">
        <v>280</v>
      </c>
      <c r="F125" s="114" t="s">
        <v>281</v>
      </c>
      <c r="G125" s="10" t="s">
        <v>3306</v>
      </c>
      <c r="I125" s="115"/>
      <c r="J125" s="116">
        <f>EL125</f>
        <v>2901856.95</v>
      </c>
      <c r="L125" s="190" t="s">
        <v>270</v>
      </c>
      <c r="M125" s="190" t="s">
        <v>3310</v>
      </c>
      <c r="N125" s="190" t="s">
        <v>270</v>
      </c>
      <c r="O125" s="190" t="s">
        <v>3310</v>
      </c>
      <c r="P125" s="190" t="s">
        <v>3311</v>
      </c>
      <c r="Q125" s="190" t="s">
        <v>3310</v>
      </c>
      <c r="S125" s="193" t="s">
        <v>270</v>
      </c>
      <c r="T125" s="194" t="s">
        <v>3310</v>
      </c>
      <c r="U125" s="194" t="s">
        <v>270</v>
      </c>
      <c r="V125" s="194" t="s">
        <v>3310</v>
      </c>
      <c r="W125" s="194" t="s">
        <v>270</v>
      </c>
      <c r="X125" s="194" t="s">
        <v>3328</v>
      </c>
      <c r="Y125" s="194" t="s">
        <v>270</v>
      </c>
      <c r="Z125" s="194" t="s">
        <v>3328</v>
      </c>
      <c r="AA125" s="194" t="s">
        <v>270</v>
      </c>
      <c r="AB125" s="194" t="s">
        <v>3328</v>
      </c>
      <c r="AC125" s="194" t="s">
        <v>270</v>
      </c>
      <c r="AD125" s="194" t="s">
        <v>3328</v>
      </c>
      <c r="AE125" s="194" t="s">
        <v>270</v>
      </c>
      <c r="AF125" s="194" t="s">
        <v>3328</v>
      </c>
      <c r="AG125" s="194" t="s">
        <v>270</v>
      </c>
      <c r="AH125" s="194" t="s">
        <v>3328</v>
      </c>
      <c r="AI125" s="194" t="s">
        <v>270</v>
      </c>
      <c r="AJ125" s="195" t="s">
        <v>3328</v>
      </c>
      <c r="CN125" s="117"/>
      <c r="CQ125" s="118">
        <f>CQ127+CQ211+CQ250+CQ260+CQ279+CQ289+CQ309</f>
        <v>0</v>
      </c>
      <c r="CS125" s="118">
        <f>CS127+CS211+CS250+CS260+CS279+CS289+CS309</f>
        <v>122.54053691</v>
      </c>
      <c r="CU125" s="119">
        <f>CU127+CU211+CU250+CU260+CU279+CU289+CU309</f>
        <v>24.519869999999997</v>
      </c>
      <c r="DS125" s="113" t="s">
        <v>81</v>
      </c>
      <c r="DU125" s="120" t="s">
        <v>73</v>
      </c>
      <c r="DV125" s="120" t="s">
        <v>74</v>
      </c>
      <c r="DZ125" s="113" t="s">
        <v>282</v>
      </c>
      <c r="EL125" s="121">
        <f>EL127+EL211+EL250+EL260+EL279+EL289+EL309</f>
        <v>2901856.95</v>
      </c>
    </row>
    <row r="126" spans="2:144" s="10" customFormat="1" ht="25.9" customHeight="1" thickBot="1" x14ac:dyDescent="0.25">
      <c r="B126" s="112"/>
      <c r="D126" s="113"/>
      <c r="E126" s="114"/>
      <c r="F126" s="114"/>
      <c r="G126" s="10" t="s">
        <v>3306</v>
      </c>
      <c r="I126" s="115"/>
      <c r="J126" s="116" t="s">
        <v>3306</v>
      </c>
      <c r="L126" s="191"/>
      <c r="M126" s="192">
        <f>M127+M211+M250+M260+M279+M289+M309</f>
        <v>0</v>
      </c>
      <c r="N126" s="208"/>
      <c r="O126" s="208">
        <f t="shared" ref="O126:Q126" si="0">O127+O211+O250+O260+O279+O289+O309</f>
        <v>0</v>
      </c>
      <c r="P126" s="192"/>
      <c r="Q126" s="192">
        <f t="shared" si="0"/>
        <v>2901856.95</v>
      </c>
      <c r="S126" s="196"/>
      <c r="T126" s="197">
        <f>T127+T211+T250+T260+T279+T289+T309</f>
        <v>0</v>
      </c>
      <c r="U126" s="197"/>
      <c r="V126" s="197">
        <f t="shared" ref="V126:AJ126" si="1">V127+V211+V250+V260+V279+V289+V309</f>
        <v>2901856.95</v>
      </c>
      <c r="W126" s="197"/>
      <c r="X126" s="197">
        <f t="shared" si="1"/>
        <v>0</v>
      </c>
      <c r="Y126" s="197"/>
      <c r="Z126" s="197">
        <f t="shared" si="1"/>
        <v>0</v>
      </c>
      <c r="AA126" s="197"/>
      <c r="AB126" s="197">
        <f t="shared" si="1"/>
        <v>0</v>
      </c>
      <c r="AC126" s="197"/>
      <c r="AD126" s="197">
        <f t="shared" si="1"/>
        <v>0</v>
      </c>
      <c r="AE126" s="197"/>
      <c r="AF126" s="197">
        <f t="shared" si="1"/>
        <v>0</v>
      </c>
      <c r="AG126" s="197"/>
      <c r="AH126" s="197">
        <f t="shared" si="1"/>
        <v>0</v>
      </c>
      <c r="AI126" s="197"/>
      <c r="AJ126" s="197">
        <f t="shared" si="1"/>
        <v>0</v>
      </c>
      <c r="CN126" s="117"/>
      <c r="CQ126" s="118"/>
      <c r="CS126" s="118"/>
      <c r="CU126" s="119"/>
      <c r="DS126" s="113"/>
      <c r="DU126" s="120"/>
      <c r="DV126" s="120"/>
      <c r="DZ126" s="113"/>
      <c r="EL126" s="121"/>
    </row>
    <row r="127" spans="2:144" s="10" customFormat="1" ht="22.9" customHeight="1" x14ac:dyDescent="0.2">
      <c r="B127" s="112"/>
      <c r="D127" s="113" t="s">
        <v>73</v>
      </c>
      <c r="E127" s="122" t="s">
        <v>81</v>
      </c>
      <c r="F127" s="122" t="s">
        <v>283</v>
      </c>
      <c r="G127" s="10" t="s">
        <v>3306</v>
      </c>
      <c r="I127" s="115"/>
      <c r="J127" s="123">
        <f>EL127</f>
        <v>299901.73</v>
      </c>
      <c r="L127" s="112"/>
      <c r="M127" s="270">
        <f>SUM(M128:M208)</f>
        <v>0</v>
      </c>
      <c r="N127" s="299"/>
      <c r="O127" s="300">
        <f t="shared" ref="O127:V127" si="2">SUM(O128:O208)</f>
        <v>0</v>
      </c>
      <c r="P127" s="270"/>
      <c r="Q127" s="286">
        <f t="shared" si="2"/>
        <v>299901.73</v>
      </c>
      <c r="R127" s="270"/>
      <c r="S127" s="270"/>
      <c r="T127" s="270">
        <f t="shared" si="2"/>
        <v>0</v>
      </c>
      <c r="U127" s="270"/>
      <c r="V127" s="270">
        <f t="shared" si="2"/>
        <v>299901.73</v>
      </c>
      <c r="CN127" s="117"/>
      <c r="CQ127" s="118">
        <f>SUM(CQ128:CQ210)</f>
        <v>0</v>
      </c>
      <c r="CS127" s="118">
        <f>SUM(CS128:CS210)</f>
        <v>101.63025472</v>
      </c>
      <c r="CU127" s="119">
        <f>SUM(CU128:CU210)</f>
        <v>24.519869999999997</v>
      </c>
      <c r="DS127" s="113" t="s">
        <v>81</v>
      </c>
      <c r="DU127" s="120" t="s">
        <v>73</v>
      </c>
      <c r="DV127" s="120" t="s">
        <v>81</v>
      </c>
      <c r="DZ127" s="113" t="s">
        <v>282</v>
      </c>
      <c r="EL127" s="121">
        <f>SUM(EL128:EL210)</f>
        <v>299901.73</v>
      </c>
    </row>
    <row r="128" spans="2:144" s="1" customFormat="1" ht="24.2" customHeight="1" x14ac:dyDescent="0.2">
      <c r="B128" s="124"/>
      <c r="C128" s="125" t="s">
        <v>81</v>
      </c>
      <c r="D128" s="125" t="s">
        <v>284</v>
      </c>
      <c r="E128" s="126" t="s">
        <v>291</v>
      </c>
      <c r="F128" s="127" t="s">
        <v>292</v>
      </c>
      <c r="G128" s="128" t="s">
        <v>287</v>
      </c>
      <c r="H128" s="129">
        <v>17.64</v>
      </c>
      <c r="I128" s="130">
        <v>68.767172335543137</v>
      </c>
      <c r="J128" s="131">
        <f>ROUND(I128*H128,2)</f>
        <v>1213.05</v>
      </c>
      <c r="K128" s="127" t="s">
        <v>293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17.64</v>
      </c>
      <c r="Q128" s="287">
        <f>ROUND(P128*I128,2)</f>
        <v>1213.05</v>
      </c>
      <c r="R128" s="137"/>
      <c r="S128" s="269">
        <f>W128+Y128+AA128+AC128+AE128+AG128+AI128</f>
        <v>0</v>
      </c>
      <c r="T128" s="269">
        <f>ROUND(S128*I128,2)</f>
        <v>0</v>
      </c>
      <c r="U128" s="269">
        <f>H128-S128</f>
        <v>17.64</v>
      </c>
      <c r="V128" s="269">
        <f>ROUND(U128*I128,2)</f>
        <v>1213.05</v>
      </c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CN128" s="132" t="s">
        <v>1</v>
      </c>
      <c r="CO128" s="133" t="s">
        <v>40</v>
      </c>
      <c r="CQ128" s="134">
        <f>CP128*H128</f>
        <v>0</v>
      </c>
      <c r="CR128" s="134">
        <v>0</v>
      </c>
      <c r="CS128" s="134">
        <f>CR128*H128</f>
        <v>0</v>
      </c>
      <c r="CT128" s="134">
        <v>0.57999999999999996</v>
      </c>
      <c r="CU128" s="135">
        <f>CT128*H128</f>
        <v>10.231199999999999</v>
      </c>
      <c r="DS128" s="136" t="s">
        <v>95</v>
      </c>
      <c r="DU128" s="136" t="s">
        <v>284</v>
      </c>
      <c r="DV128" s="136" t="s">
        <v>83</v>
      </c>
      <c r="DZ128" s="16" t="s">
        <v>282</v>
      </c>
      <c r="EF128" s="137">
        <f>IF(CO128="základní",J128,0)</f>
        <v>1213.05</v>
      </c>
      <c r="EG128" s="137">
        <f>IF(CO128="snížená",J128,0)</f>
        <v>0</v>
      </c>
      <c r="EH128" s="137">
        <f>IF(CO128="zákl. přenesená",J128,0)</f>
        <v>0</v>
      </c>
      <c r="EI128" s="137">
        <f>IF(CO128="sníž. přenesená",J128,0)</f>
        <v>0</v>
      </c>
      <c r="EJ128" s="137">
        <f>IF(CO128="nulová",J128,0)</f>
        <v>0</v>
      </c>
      <c r="EK128" s="16" t="s">
        <v>81</v>
      </c>
      <c r="EL128" s="137">
        <f>ROUND(I128*H128,2)</f>
        <v>1213.05</v>
      </c>
      <c r="EM128" s="16" t="s">
        <v>95</v>
      </c>
      <c r="EN128" s="136" t="s">
        <v>2134</v>
      </c>
    </row>
    <row r="129" spans="2:144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CN129" s="141"/>
      <c r="CU129" s="50"/>
      <c r="DU129" s="16" t="s">
        <v>289</v>
      </c>
      <c r="DV129" s="16" t="s">
        <v>83</v>
      </c>
    </row>
    <row r="130" spans="2:144" s="1" customFormat="1" ht="24.2" customHeight="1" x14ac:dyDescent="0.2">
      <c r="B130" s="124"/>
      <c r="C130" s="125" t="s">
        <v>83</v>
      </c>
      <c r="D130" s="125" t="s">
        <v>284</v>
      </c>
      <c r="E130" s="126" t="s">
        <v>285</v>
      </c>
      <c r="F130" s="127" t="s">
        <v>286</v>
      </c>
      <c r="G130" s="128" t="s">
        <v>287</v>
      </c>
      <c r="H130" s="129">
        <v>17.64</v>
      </c>
      <c r="I130" s="130">
        <v>68.767172335543137</v>
      </c>
      <c r="J130" s="131">
        <f>ROUND(I130*H130,2)</f>
        <v>1213.05</v>
      </c>
      <c r="K130" s="127" t="s">
        <v>1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17.64</v>
      </c>
      <c r="Q130" s="287">
        <f>ROUND(P130*I130,2)</f>
        <v>1213.05</v>
      </c>
      <c r="R130" s="137"/>
      <c r="S130" s="269">
        <f>W130+Y130+AA130+AC130+AE130+AG130+AI130</f>
        <v>0</v>
      </c>
      <c r="T130" s="269">
        <f>ROUND(S130*I130,2)</f>
        <v>0</v>
      </c>
      <c r="U130" s="269">
        <f>H130-S130</f>
        <v>17.64</v>
      </c>
      <c r="V130" s="269">
        <f>ROUND(U130*I130,2)</f>
        <v>1213.05</v>
      </c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CN130" s="132" t="s">
        <v>1</v>
      </c>
      <c r="CO130" s="133" t="s">
        <v>40</v>
      </c>
      <c r="CQ130" s="134">
        <f>CP130*H130</f>
        <v>0</v>
      </c>
      <c r="CR130" s="134">
        <v>0</v>
      </c>
      <c r="CS130" s="134">
        <f>CR130*H130</f>
        <v>0</v>
      </c>
      <c r="CT130" s="134">
        <v>0.57999999999999996</v>
      </c>
      <c r="CU130" s="135">
        <f>CT130*H130</f>
        <v>10.231199999999999</v>
      </c>
      <c r="DS130" s="136" t="s">
        <v>95</v>
      </c>
      <c r="DU130" s="136" t="s">
        <v>284</v>
      </c>
      <c r="DV130" s="136" t="s">
        <v>83</v>
      </c>
      <c r="DZ130" s="16" t="s">
        <v>282</v>
      </c>
      <c r="EF130" s="137">
        <f>IF(CO130="základní",J130,0)</f>
        <v>1213.05</v>
      </c>
      <c r="EG130" s="137">
        <f>IF(CO130="snížená",J130,0)</f>
        <v>0</v>
      </c>
      <c r="EH130" s="137">
        <f>IF(CO130="zákl. přenesená",J130,0)</f>
        <v>0</v>
      </c>
      <c r="EI130" s="137">
        <f>IF(CO130="sníž. přenesená",J130,0)</f>
        <v>0</v>
      </c>
      <c r="EJ130" s="137">
        <f>IF(CO130="nulová",J130,0)</f>
        <v>0</v>
      </c>
      <c r="EK130" s="16" t="s">
        <v>81</v>
      </c>
      <c r="EL130" s="137">
        <f>ROUND(I130*H130,2)</f>
        <v>1213.05</v>
      </c>
      <c r="EM130" s="16" t="s">
        <v>95</v>
      </c>
      <c r="EN130" s="136" t="s">
        <v>2135</v>
      </c>
    </row>
    <row r="131" spans="2:144" s="1" customFormat="1" ht="39" x14ac:dyDescent="0.2">
      <c r="B131" s="31"/>
      <c r="D131" s="138" t="s">
        <v>289</v>
      </c>
      <c r="F131" s="139" t="s">
        <v>290</v>
      </c>
      <c r="I131" s="140"/>
      <c r="L131" s="31"/>
      <c r="N131" s="213"/>
      <c r="O131" s="214"/>
      <c r="Q131" s="229"/>
      <c r="CN131" s="141"/>
      <c r="CU131" s="50"/>
      <c r="DU131" s="16" t="s">
        <v>289</v>
      </c>
      <c r="DV131" s="16" t="s">
        <v>83</v>
      </c>
    </row>
    <row r="132" spans="2:144" s="1" customFormat="1" ht="24.2" customHeight="1" x14ac:dyDescent="0.2">
      <c r="B132" s="124"/>
      <c r="C132" s="125" t="s">
        <v>90</v>
      </c>
      <c r="D132" s="125" t="s">
        <v>284</v>
      </c>
      <c r="E132" s="126" t="s">
        <v>295</v>
      </c>
      <c r="F132" s="127" t="s">
        <v>296</v>
      </c>
      <c r="G132" s="128" t="s">
        <v>287</v>
      </c>
      <c r="H132" s="129">
        <v>17.64</v>
      </c>
      <c r="I132" s="130">
        <v>27.886826761540966</v>
      </c>
      <c r="J132" s="131">
        <f>ROUND(I132*H132,2)</f>
        <v>491.92</v>
      </c>
      <c r="K132" s="127" t="s">
        <v>293</v>
      </c>
      <c r="L132" s="268">
        <f>S132</f>
        <v>0</v>
      </c>
      <c r="M132" s="272">
        <f>ROUND(L132*I132,2)</f>
        <v>0</v>
      </c>
      <c r="N132" s="243"/>
      <c r="O132" s="294">
        <f>ROUND(N132*I132,2)</f>
        <v>0</v>
      </c>
      <c r="P132" s="273">
        <f>H132-L132-N132</f>
        <v>17.64</v>
      </c>
      <c r="Q132" s="287">
        <f>ROUND(P132*I132,2)</f>
        <v>491.92</v>
      </c>
      <c r="R132" s="137"/>
      <c r="S132" s="269">
        <f>W132+Y132+AA132+AC132+AE132+AG132+AI132</f>
        <v>0</v>
      </c>
      <c r="T132" s="269">
        <f>ROUND(S132*I132,2)</f>
        <v>0</v>
      </c>
      <c r="U132" s="269">
        <f>H132-S132</f>
        <v>17.64</v>
      </c>
      <c r="V132" s="269">
        <f>ROUND(U132*I132,2)</f>
        <v>491.92</v>
      </c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CN132" s="132" t="s">
        <v>1</v>
      </c>
      <c r="CO132" s="133" t="s">
        <v>40</v>
      </c>
      <c r="CQ132" s="134">
        <f>CP132*H132</f>
        <v>0</v>
      </c>
      <c r="CR132" s="134">
        <v>0</v>
      </c>
      <c r="CS132" s="134">
        <f>CR132*H132</f>
        <v>0</v>
      </c>
      <c r="CT132" s="134">
        <v>9.8000000000000004E-2</v>
      </c>
      <c r="CU132" s="135">
        <f>CT132*H132</f>
        <v>1.72872</v>
      </c>
      <c r="DS132" s="136" t="s">
        <v>95</v>
      </c>
      <c r="DU132" s="136" t="s">
        <v>284</v>
      </c>
      <c r="DV132" s="136" t="s">
        <v>83</v>
      </c>
      <c r="DZ132" s="16" t="s">
        <v>282</v>
      </c>
      <c r="EF132" s="137">
        <f>IF(CO132="základní",J132,0)</f>
        <v>491.92</v>
      </c>
      <c r="EG132" s="137">
        <f>IF(CO132="snížená",J132,0)</f>
        <v>0</v>
      </c>
      <c r="EH132" s="137">
        <f>IF(CO132="zákl. přenesená",J132,0)</f>
        <v>0</v>
      </c>
      <c r="EI132" s="137">
        <f>IF(CO132="sníž. přenesená",J132,0)</f>
        <v>0</v>
      </c>
      <c r="EJ132" s="137">
        <f>IF(CO132="nulová",J132,0)</f>
        <v>0</v>
      </c>
      <c r="EK132" s="16" t="s">
        <v>81</v>
      </c>
      <c r="EL132" s="137">
        <f>ROUND(I132*H132,2)</f>
        <v>491.92</v>
      </c>
      <c r="EM132" s="16" t="s">
        <v>95</v>
      </c>
      <c r="EN132" s="136" t="s">
        <v>2136</v>
      </c>
    </row>
    <row r="133" spans="2:144" s="1" customFormat="1" ht="29.25" x14ac:dyDescent="0.2">
      <c r="B133" s="31"/>
      <c r="D133" s="138" t="s">
        <v>289</v>
      </c>
      <c r="F133" s="139" t="s">
        <v>298</v>
      </c>
      <c r="I133" s="140"/>
      <c r="L133" s="31"/>
      <c r="N133" s="213"/>
      <c r="O133" s="214"/>
      <c r="Q133" s="229"/>
      <c r="CN133" s="141"/>
      <c r="CU133" s="50"/>
      <c r="DU133" s="16" t="s">
        <v>289</v>
      </c>
      <c r="DV133" s="16" t="s">
        <v>83</v>
      </c>
    </row>
    <row r="134" spans="2:144" s="1" customFormat="1" ht="19.5" x14ac:dyDescent="0.2">
      <c r="B134" s="31"/>
      <c r="D134" s="138" t="s">
        <v>299</v>
      </c>
      <c r="F134" s="142" t="s">
        <v>2137</v>
      </c>
      <c r="I134" s="140"/>
      <c r="L134" s="31"/>
      <c r="N134" s="213"/>
      <c r="O134" s="214"/>
      <c r="Q134" s="229"/>
      <c r="CN134" s="141"/>
      <c r="CU134" s="50"/>
      <c r="DU134" s="16" t="s">
        <v>299</v>
      </c>
      <c r="DV134" s="16" t="s">
        <v>83</v>
      </c>
    </row>
    <row r="135" spans="2:144" s="11" customFormat="1" x14ac:dyDescent="0.2">
      <c r="B135" s="143"/>
      <c r="D135" s="138" t="s">
        <v>301</v>
      </c>
      <c r="E135" s="144" t="s">
        <v>1</v>
      </c>
      <c r="F135" s="145" t="s">
        <v>1796</v>
      </c>
      <c r="H135" s="144" t="s">
        <v>1</v>
      </c>
      <c r="I135" s="146"/>
      <c r="L135" s="143"/>
      <c r="N135" s="215"/>
      <c r="O135" s="216"/>
      <c r="Q135" s="230"/>
      <c r="CN135" s="147"/>
      <c r="CU135" s="148"/>
      <c r="DU135" s="144" t="s">
        <v>301</v>
      </c>
      <c r="DV135" s="144" t="s">
        <v>83</v>
      </c>
      <c r="DW135" s="11" t="s">
        <v>81</v>
      </c>
      <c r="DX135" s="11" t="s">
        <v>32</v>
      </c>
      <c r="DY135" s="11" t="s">
        <v>74</v>
      </c>
      <c r="DZ135" s="144" t="s">
        <v>282</v>
      </c>
    </row>
    <row r="136" spans="2:144" s="12" customFormat="1" x14ac:dyDescent="0.2">
      <c r="B136" s="149"/>
      <c r="D136" s="138" t="s">
        <v>301</v>
      </c>
      <c r="E136" s="150" t="s">
        <v>1</v>
      </c>
      <c r="F136" s="151" t="s">
        <v>2052</v>
      </c>
      <c r="H136" s="152">
        <v>17.64</v>
      </c>
      <c r="I136" s="153"/>
      <c r="L136" s="149"/>
      <c r="N136" s="217"/>
      <c r="O136" s="218"/>
      <c r="Q136" s="231"/>
      <c r="CN136" s="154"/>
      <c r="CU136" s="155"/>
      <c r="DU136" s="150" t="s">
        <v>301</v>
      </c>
      <c r="DV136" s="150" t="s">
        <v>83</v>
      </c>
      <c r="DW136" s="12" t="s">
        <v>83</v>
      </c>
      <c r="DX136" s="12" t="s">
        <v>32</v>
      </c>
      <c r="DY136" s="12" t="s">
        <v>81</v>
      </c>
      <c r="DZ136" s="150" t="s">
        <v>282</v>
      </c>
    </row>
    <row r="137" spans="2:144" s="1" customFormat="1" ht="24.2" customHeight="1" x14ac:dyDescent="0.2">
      <c r="B137" s="124"/>
      <c r="C137" s="125" t="s">
        <v>95</v>
      </c>
      <c r="D137" s="125" t="s">
        <v>284</v>
      </c>
      <c r="E137" s="126" t="s">
        <v>306</v>
      </c>
      <c r="F137" s="127" t="s">
        <v>307</v>
      </c>
      <c r="G137" s="128" t="s">
        <v>287</v>
      </c>
      <c r="H137" s="129">
        <v>20.25</v>
      </c>
      <c r="I137" s="130">
        <v>55.314624729404002</v>
      </c>
      <c r="J137" s="131">
        <f>ROUND(I137*H137,2)</f>
        <v>1120.1199999999999</v>
      </c>
      <c r="K137" s="127" t="s">
        <v>293</v>
      </c>
      <c r="L137" s="268">
        <f>S137</f>
        <v>0</v>
      </c>
      <c r="M137" s="272">
        <f>ROUND(L137*I137,2)</f>
        <v>0</v>
      </c>
      <c r="N137" s="243"/>
      <c r="O137" s="294">
        <f>ROUND(N137*I137,2)</f>
        <v>0</v>
      </c>
      <c r="P137" s="273">
        <f>H137-L137-N137</f>
        <v>20.25</v>
      </c>
      <c r="Q137" s="287">
        <f>ROUND(P137*I137,2)</f>
        <v>1120.1199999999999</v>
      </c>
      <c r="R137" s="137"/>
      <c r="S137" s="269">
        <f>W137+Y137+AA137+AC137+AE137+AG137+AI137</f>
        <v>0</v>
      </c>
      <c r="T137" s="269">
        <f>ROUND(S137*I137,2)</f>
        <v>0</v>
      </c>
      <c r="U137" s="269">
        <f>H137-S137</f>
        <v>20.25</v>
      </c>
      <c r="V137" s="269">
        <f>ROUND(U137*I137,2)</f>
        <v>1120.1199999999999</v>
      </c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CN137" s="132" t="s">
        <v>1</v>
      </c>
      <c r="CO137" s="133" t="s">
        <v>40</v>
      </c>
      <c r="CQ137" s="134">
        <f>CP137*H137</f>
        <v>0</v>
      </c>
      <c r="CR137" s="134">
        <v>6.9999999999999994E-5</v>
      </c>
      <c r="CS137" s="134">
        <f>CR137*H137</f>
        <v>1.4174999999999999E-3</v>
      </c>
      <c r="CT137" s="134">
        <v>0.115</v>
      </c>
      <c r="CU137" s="135">
        <f>CT137*H137</f>
        <v>2.3287500000000003</v>
      </c>
      <c r="DS137" s="136" t="s">
        <v>95</v>
      </c>
      <c r="DU137" s="136" t="s">
        <v>284</v>
      </c>
      <c r="DV137" s="136" t="s">
        <v>83</v>
      </c>
      <c r="DZ137" s="16" t="s">
        <v>282</v>
      </c>
      <c r="EF137" s="137">
        <f>IF(CO137="základní",J137,0)</f>
        <v>1120.1199999999999</v>
      </c>
      <c r="EG137" s="137">
        <f>IF(CO137="snížená",J137,0)</f>
        <v>0</v>
      </c>
      <c r="EH137" s="137">
        <f>IF(CO137="zákl. přenesená",J137,0)</f>
        <v>0</v>
      </c>
      <c r="EI137" s="137">
        <f>IF(CO137="sníž. přenesená",J137,0)</f>
        <v>0</v>
      </c>
      <c r="EJ137" s="137">
        <f>IF(CO137="nulová",J137,0)</f>
        <v>0</v>
      </c>
      <c r="EK137" s="16" t="s">
        <v>81</v>
      </c>
      <c r="EL137" s="137">
        <f>ROUND(I137*H137,2)</f>
        <v>1120.1199999999999</v>
      </c>
      <c r="EM137" s="16" t="s">
        <v>95</v>
      </c>
      <c r="EN137" s="136" t="s">
        <v>2138</v>
      </c>
    </row>
    <row r="138" spans="2:144" s="1" customFormat="1" ht="29.25" x14ac:dyDescent="0.2">
      <c r="B138" s="31"/>
      <c r="D138" s="138" t="s">
        <v>289</v>
      </c>
      <c r="F138" s="139" t="s">
        <v>309</v>
      </c>
      <c r="I138" s="140"/>
      <c r="L138" s="31"/>
      <c r="N138" s="213"/>
      <c r="O138" s="214"/>
      <c r="Q138" s="229"/>
      <c r="CN138" s="141"/>
      <c r="CU138" s="50"/>
      <c r="DU138" s="16" t="s">
        <v>289</v>
      </c>
      <c r="DV138" s="16" t="s">
        <v>83</v>
      </c>
    </row>
    <row r="139" spans="2:144" s="1" customFormat="1" ht="19.5" x14ac:dyDescent="0.2">
      <c r="B139" s="31"/>
      <c r="D139" s="138" t="s">
        <v>299</v>
      </c>
      <c r="F139" s="142" t="s">
        <v>2137</v>
      </c>
      <c r="I139" s="140"/>
      <c r="L139" s="31"/>
      <c r="N139" s="213"/>
      <c r="O139" s="214"/>
      <c r="Q139" s="229"/>
      <c r="CN139" s="141"/>
      <c r="CU139" s="50"/>
      <c r="DU139" s="16" t="s">
        <v>299</v>
      </c>
      <c r="DV139" s="16" t="s">
        <v>83</v>
      </c>
    </row>
    <row r="140" spans="2:144" s="11" customFormat="1" x14ac:dyDescent="0.2">
      <c r="B140" s="143"/>
      <c r="D140" s="138" t="s">
        <v>301</v>
      </c>
      <c r="E140" s="144" t="s">
        <v>1</v>
      </c>
      <c r="F140" s="145" t="s">
        <v>310</v>
      </c>
      <c r="H140" s="144" t="s">
        <v>1</v>
      </c>
      <c r="I140" s="146"/>
      <c r="L140" s="143"/>
      <c r="N140" s="215"/>
      <c r="O140" s="216"/>
      <c r="Q140" s="230"/>
      <c r="CN140" s="147"/>
      <c r="CU140" s="148"/>
      <c r="DU140" s="144" t="s">
        <v>301</v>
      </c>
      <c r="DV140" s="144" t="s">
        <v>83</v>
      </c>
      <c r="DW140" s="11" t="s">
        <v>81</v>
      </c>
      <c r="DX140" s="11" t="s">
        <v>32</v>
      </c>
      <c r="DY140" s="11" t="s">
        <v>74</v>
      </c>
      <c r="DZ140" s="144" t="s">
        <v>282</v>
      </c>
    </row>
    <row r="141" spans="2:144" s="12" customFormat="1" x14ac:dyDescent="0.2">
      <c r="B141" s="149"/>
      <c r="D141" s="138" t="s">
        <v>301</v>
      </c>
      <c r="E141" s="150" t="s">
        <v>1</v>
      </c>
      <c r="F141" s="151" t="s">
        <v>2054</v>
      </c>
      <c r="H141" s="152">
        <v>20.25</v>
      </c>
      <c r="I141" s="153"/>
      <c r="L141" s="149"/>
      <c r="N141" s="217"/>
      <c r="O141" s="218"/>
      <c r="Q141" s="231"/>
      <c r="CN141" s="154"/>
      <c r="CU141" s="155"/>
      <c r="DU141" s="150" t="s">
        <v>301</v>
      </c>
      <c r="DV141" s="150" t="s">
        <v>83</v>
      </c>
      <c r="DW141" s="12" t="s">
        <v>83</v>
      </c>
      <c r="DX141" s="12" t="s">
        <v>32</v>
      </c>
      <c r="DY141" s="12" t="s">
        <v>81</v>
      </c>
      <c r="DZ141" s="150" t="s">
        <v>282</v>
      </c>
    </row>
    <row r="142" spans="2:144" s="1" customFormat="1" ht="24.2" customHeight="1" x14ac:dyDescent="0.2">
      <c r="B142" s="124"/>
      <c r="C142" s="125" t="s">
        <v>312</v>
      </c>
      <c r="D142" s="125" t="s">
        <v>284</v>
      </c>
      <c r="E142" s="126" t="s">
        <v>1800</v>
      </c>
      <c r="F142" s="127" t="s">
        <v>1801</v>
      </c>
      <c r="G142" s="128" t="s">
        <v>315</v>
      </c>
      <c r="H142" s="129">
        <v>1</v>
      </c>
      <c r="I142" s="130">
        <v>5493.85106</v>
      </c>
      <c r="J142" s="131">
        <f>ROUND(I142*H142,2)</f>
        <v>5493.85</v>
      </c>
      <c r="K142" s="127" t="s">
        <v>1</v>
      </c>
      <c r="L142" s="268">
        <f>S142</f>
        <v>0</v>
      </c>
      <c r="M142" s="272">
        <f>ROUND(L142*I142,2)</f>
        <v>0</v>
      </c>
      <c r="N142" s="243"/>
      <c r="O142" s="294">
        <f>ROUND(N142*I142,2)</f>
        <v>0</v>
      </c>
      <c r="P142" s="273">
        <f>H142-L142-N142</f>
        <v>1</v>
      </c>
      <c r="Q142" s="287">
        <f>ROUND(P142*I142,2)</f>
        <v>5493.85</v>
      </c>
      <c r="R142" s="137"/>
      <c r="S142" s="269">
        <f>W142+Y142+AA142+AC142+AE142+AG142+AI142</f>
        <v>0</v>
      </c>
      <c r="T142" s="269">
        <f>ROUND(S142*I142,2)</f>
        <v>0</v>
      </c>
      <c r="U142" s="269">
        <f>H142-S142</f>
        <v>1</v>
      </c>
      <c r="V142" s="269">
        <f>ROUND(U142*I142,2)</f>
        <v>5493.85</v>
      </c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CN142" s="132" t="s">
        <v>1</v>
      </c>
      <c r="CO142" s="133" t="s">
        <v>40</v>
      </c>
      <c r="CQ142" s="134">
        <f>CP142*H142</f>
        <v>0</v>
      </c>
      <c r="CR142" s="134">
        <v>0</v>
      </c>
      <c r="CS142" s="134">
        <f>CR142*H142</f>
        <v>0</v>
      </c>
      <c r="CT142" s="134">
        <v>0</v>
      </c>
      <c r="CU142" s="135">
        <f>CT142*H142</f>
        <v>0</v>
      </c>
      <c r="DS142" s="136" t="s">
        <v>95</v>
      </c>
      <c r="DU142" s="136" t="s">
        <v>284</v>
      </c>
      <c r="DV142" s="136" t="s">
        <v>83</v>
      </c>
      <c r="DZ142" s="16" t="s">
        <v>282</v>
      </c>
      <c r="EF142" s="137">
        <f>IF(CO142="základní",J142,0)</f>
        <v>5493.85</v>
      </c>
      <c r="EG142" s="137">
        <f>IF(CO142="snížená",J142,0)</f>
        <v>0</v>
      </c>
      <c r="EH142" s="137">
        <f>IF(CO142="zákl. přenesená",J142,0)</f>
        <v>0</v>
      </c>
      <c r="EI142" s="137">
        <f>IF(CO142="sníž. přenesená",J142,0)</f>
        <v>0</v>
      </c>
      <c r="EJ142" s="137">
        <f>IF(CO142="nulová",J142,0)</f>
        <v>0</v>
      </c>
      <c r="EK142" s="16" t="s">
        <v>81</v>
      </c>
      <c r="EL142" s="137">
        <f>ROUND(I142*H142,2)</f>
        <v>5493.85</v>
      </c>
      <c r="EM142" s="16" t="s">
        <v>95</v>
      </c>
      <c r="EN142" s="136" t="s">
        <v>2139</v>
      </c>
    </row>
    <row r="143" spans="2:144" s="1" customFormat="1" ht="19.5" x14ac:dyDescent="0.2">
      <c r="B143" s="31"/>
      <c r="D143" s="138" t="s">
        <v>289</v>
      </c>
      <c r="F143" s="139" t="s">
        <v>1801</v>
      </c>
      <c r="I143" s="140"/>
      <c r="L143" s="31"/>
      <c r="N143" s="213"/>
      <c r="O143" s="214"/>
      <c r="Q143" s="229"/>
      <c r="CN143" s="141"/>
      <c r="CU143" s="50"/>
      <c r="DU143" s="16" t="s">
        <v>289</v>
      </c>
      <c r="DV143" s="16" t="s">
        <v>83</v>
      </c>
    </row>
    <row r="144" spans="2:144" s="1" customFormat="1" ht="19.5" x14ac:dyDescent="0.2">
      <c r="B144" s="31"/>
      <c r="D144" s="138" t="s">
        <v>299</v>
      </c>
      <c r="F144" s="142" t="s">
        <v>2137</v>
      </c>
      <c r="I144" s="140"/>
      <c r="L144" s="31"/>
      <c r="N144" s="213"/>
      <c r="O144" s="214"/>
      <c r="Q144" s="229"/>
      <c r="CN144" s="141"/>
      <c r="CU144" s="50"/>
      <c r="DU144" s="16" t="s">
        <v>299</v>
      </c>
      <c r="DV144" s="16" t="s">
        <v>83</v>
      </c>
    </row>
    <row r="145" spans="2:144" s="12" customFormat="1" x14ac:dyDescent="0.2">
      <c r="B145" s="149"/>
      <c r="D145" s="138" t="s">
        <v>301</v>
      </c>
      <c r="E145" s="150" t="s">
        <v>1</v>
      </c>
      <c r="F145" s="151" t="s">
        <v>81</v>
      </c>
      <c r="H145" s="152">
        <v>1</v>
      </c>
      <c r="I145" s="153"/>
      <c r="L145" s="149"/>
      <c r="N145" s="217"/>
      <c r="O145" s="218"/>
      <c r="Q145" s="231"/>
      <c r="CN145" s="154"/>
      <c r="CU145" s="155"/>
      <c r="DU145" s="150" t="s">
        <v>301</v>
      </c>
      <c r="DV145" s="150" t="s">
        <v>83</v>
      </c>
      <c r="DW145" s="12" t="s">
        <v>83</v>
      </c>
      <c r="DX145" s="12" t="s">
        <v>32</v>
      </c>
      <c r="DY145" s="12" t="s">
        <v>81</v>
      </c>
      <c r="DZ145" s="150" t="s">
        <v>282</v>
      </c>
    </row>
    <row r="146" spans="2:144" s="1" customFormat="1" ht="24.2" customHeight="1" x14ac:dyDescent="0.2">
      <c r="B146" s="124"/>
      <c r="C146" s="125" t="s">
        <v>318</v>
      </c>
      <c r="D146" s="125" t="s">
        <v>284</v>
      </c>
      <c r="E146" s="126" t="s">
        <v>329</v>
      </c>
      <c r="F146" s="127" t="s">
        <v>330</v>
      </c>
      <c r="G146" s="128" t="s">
        <v>331</v>
      </c>
      <c r="H146" s="129">
        <v>360</v>
      </c>
      <c r="I146" s="130">
        <v>70.957591385341729</v>
      </c>
      <c r="J146" s="131">
        <f>ROUND(I146*H146,2)</f>
        <v>25544.73</v>
      </c>
      <c r="K146" s="127" t="s">
        <v>293</v>
      </c>
      <c r="L146" s="268">
        <f>S146</f>
        <v>0</v>
      </c>
      <c r="M146" s="272">
        <f>ROUND(L146*I146,2)</f>
        <v>0</v>
      </c>
      <c r="N146" s="243"/>
      <c r="O146" s="294">
        <f>ROUND(N146*I146,2)</f>
        <v>0</v>
      </c>
      <c r="P146" s="273">
        <f>H146-L146-N146</f>
        <v>360</v>
      </c>
      <c r="Q146" s="287">
        <f>ROUND(P146*I146,2)</f>
        <v>25544.73</v>
      </c>
      <c r="R146" s="137"/>
      <c r="S146" s="269">
        <f>W146+Y146+AA146+AC146+AE146+AG146+AI146</f>
        <v>0</v>
      </c>
      <c r="T146" s="269">
        <f>ROUND(S146*I146,2)</f>
        <v>0</v>
      </c>
      <c r="U146" s="269">
        <f>H146-S146</f>
        <v>360</v>
      </c>
      <c r="V146" s="269">
        <f>ROUND(U146*I146,2)</f>
        <v>25544.73</v>
      </c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CN146" s="132" t="s">
        <v>1</v>
      </c>
      <c r="CO146" s="133" t="s">
        <v>40</v>
      </c>
      <c r="CQ146" s="134">
        <f>CP146*H146</f>
        <v>0</v>
      </c>
      <c r="CR146" s="134">
        <v>3.0000000000000001E-5</v>
      </c>
      <c r="CS146" s="134">
        <f>CR146*H146</f>
        <v>1.0800000000000001E-2</v>
      </c>
      <c r="CT146" s="134">
        <v>0</v>
      </c>
      <c r="CU146" s="135">
        <f>CT146*H146</f>
        <v>0</v>
      </c>
      <c r="DS146" s="136" t="s">
        <v>95</v>
      </c>
      <c r="DU146" s="136" t="s">
        <v>284</v>
      </c>
      <c r="DV146" s="136" t="s">
        <v>83</v>
      </c>
      <c r="DZ146" s="16" t="s">
        <v>282</v>
      </c>
      <c r="EF146" s="137">
        <f>IF(CO146="základní",J146,0)</f>
        <v>25544.73</v>
      </c>
      <c r="EG146" s="137">
        <f>IF(CO146="snížená",J146,0)</f>
        <v>0</v>
      </c>
      <c r="EH146" s="137">
        <f>IF(CO146="zákl. přenesená",J146,0)</f>
        <v>0</v>
      </c>
      <c r="EI146" s="137">
        <f>IF(CO146="sníž. přenesená",J146,0)</f>
        <v>0</v>
      </c>
      <c r="EJ146" s="137">
        <f>IF(CO146="nulová",J146,0)</f>
        <v>0</v>
      </c>
      <c r="EK146" s="16" t="s">
        <v>81</v>
      </c>
      <c r="EL146" s="137">
        <f>ROUND(I146*H146,2)</f>
        <v>25544.73</v>
      </c>
      <c r="EM146" s="16" t="s">
        <v>95</v>
      </c>
      <c r="EN146" s="136" t="s">
        <v>2140</v>
      </c>
    </row>
    <row r="147" spans="2:144" s="1" customFormat="1" ht="19.5" x14ac:dyDescent="0.2">
      <c r="B147" s="31"/>
      <c r="D147" s="138" t="s">
        <v>289</v>
      </c>
      <c r="F147" s="139" t="s">
        <v>333</v>
      </c>
      <c r="I147" s="140"/>
      <c r="L147" s="31"/>
      <c r="N147" s="213"/>
      <c r="O147" s="214"/>
      <c r="Q147" s="229"/>
      <c r="CN147" s="141"/>
      <c r="CU147" s="50"/>
      <c r="DU147" s="16" t="s">
        <v>289</v>
      </c>
      <c r="DV147" s="16" t="s">
        <v>83</v>
      </c>
    </row>
    <row r="148" spans="2:144" s="12" customFormat="1" x14ac:dyDescent="0.2">
      <c r="B148" s="149"/>
      <c r="D148" s="138" t="s">
        <v>301</v>
      </c>
      <c r="E148" s="150" t="s">
        <v>1</v>
      </c>
      <c r="F148" s="151" t="s">
        <v>847</v>
      </c>
      <c r="H148" s="152">
        <v>360</v>
      </c>
      <c r="I148" s="153"/>
      <c r="L148" s="149"/>
      <c r="N148" s="217"/>
      <c r="O148" s="218"/>
      <c r="Q148" s="231"/>
      <c r="CN148" s="154"/>
      <c r="CU148" s="155"/>
      <c r="DU148" s="150" t="s">
        <v>301</v>
      </c>
      <c r="DV148" s="150" t="s">
        <v>83</v>
      </c>
      <c r="DW148" s="12" t="s">
        <v>83</v>
      </c>
      <c r="DX148" s="12" t="s">
        <v>32</v>
      </c>
      <c r="DY148" s="12" t="s">
        <v>81</v>
      </c>
      <c r="DZ148" s="150" t="s">
        <v>282</v>
      </c>
    </row>
    <row r="149" spans="2:144" s="1" customFormat="1" ht="24.2" customHeight="1" x14ac:dyDescent="0.2">
      <c r="B149" s="124"/>
      <c r="C149" s="125" t="s">
        <v>323</v>
      </c>
      <c r="D149" s="125" t="s">
        <v>284</v>
      </c>
      <c r="E149" s="126" t="s">
        <v>336</v>
      </c>
      <c r="F149" s="127" t="s">
        <v>337</v>
      </c>
      <c r="G149" s="128" t="s">
        <v>338</v>
      </c>
      <c r="H149" s="129">
        <v>45</v>
      </c>
      <c r="I149" s="130">
        <v>41.621835247115101</v>
      </c>
      <c r="J149" s="131">
        <f>ROUND(I149*H149,2)</f>
        <v>1872.98</v>
      </c>
      <c r="K149" s="127" t="s">
        <v>293</v>
      </c>
      <c r="L149" s="268">
        <f>S149</f>
        <v>0</v>
      </c>
      <c r="M149" s="272">
        <f>ROUND(L149*I149,2)</f>
        <v>0</v>
      </c>
      <c r="N149" s="243"/>
      <c r="O149" s="294">
        <f>ROUND(N149*I149,2)</f>
        <v>0</v>
      </c>
      <c r="P149" s="273">
        <f>H149-L149-N149</f>
        <v>45</v>
      </c>
      <c r="Q149" s="287">
        <f>ROUND(P149*I149,2)</f>
        <v>1872.98</v>
      </c>
      <c r="R149" s="137"/>
      <c r="S149" s="269">
        <f>W149+Y149+AA149+AC149+AE149+AG149+AI149</f>
        <v>0</v>
      </c>
      <c r="T149" s="269">
        <f>ROUND(S149*I149,2)</f>
        <v>0</v>
      </c>
      <c r="U149" s="269">
        <f>H149-S149</f>
        <v>45</v>
      </c>
      <c r="V149" s="269">
        <f>ROUND(U149*I149,2)</f>
        <v>1872.98</v>
      </c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CN149" s="132" t="s">
        <v>1</v>
      </c>
      <c r="CO149" s="133" t="s">
        <v>40</v>
      </c>
      <c r="CQ149" s="134">
        <f>CP149*H149</f>
        <v>0</v>
      </c>
      <c r="CR149" s="134">
        <v>0</v>
      </c>
      <c r="CS149" s="134">
        <f>CR149*H149</f>
        <v>0</v>
      </c>
      <c r="CT149" s="134">
        <v>0</v>
      </c>
      <c r="CU149" s="135">
        <f>CT149*H149</f>
        <v>0</v>
      </c>
      <c r="DS149" s="136" t="s">
        <v>95</v>
      </c>
      <c r="DU149" s="136" t="s">
        <v>284</v>
      </c>
      <c r="DV149" s="136" t="s">
        <v>83</v>
      </c>
      <c r="DZ149" s="16" t="s">
        <v>282</v>
      </c>
      <c r="EF149" s="137">
        <f>IF(CO149="základní",J149,0)</f>
        <v>1872.98</v>
      </c>
      <c r="EG149" s="137">
        <f>IF(CO149="snížená",J149,0)</f>
        <v>0</v>
      </c>
      <c r="EH149" s="137">
        <f>IF(CO149="zákl. přenesená",J149,0)</f>
        <v>0</v>
      </c>
      <c r="EI149" s="137">
        <f>IF(CO149="sníž. přenesená",J149,0)</f>
        <v>0</v>
      </c>
      <c r="EJ149" s="137">
        <f>IF(CO149="nulová",J149,0)</f>
        <v>0</v>
      </c>
      <c r="EK149" s="16" t="s">
        <v>81</v>
      </c>
      <c r="EL149" s="137">
        <f>ROUND(I149*H149,2)</f>
        <v>1872.98</v>
      </c>
      <c r="EM149" s="16" t="s">
        <v>95</v>
      </c>
      <c r="EN149" s="136" t="s">
        <v>2141</v>
      </c>
    </row>
    <row r="150" spans="2:144" s="1" customFormat="1" ht="19.5" x14ac:dyDescent="0.2">
      <c r="B150" s="31"/>
      <c r="D150" s="138" t="s">
        <v>289</v>
      </c>
      <c r="F150" s="139" t="s">
        <v>340</v>
      </c>
      <c r="I150" s="140"/>
      <c r="L150" s="31"/>
      <c r="N150" s="213"/>
      <c r="O150" s="214"/>
      <c r="Q150" s="229"/>
      <c r="CN150" s="141"/>
      <c r="CU150" s="50"/>
      <c r="DU150" s="16" t="s">
        <v>289</v>
      </c>
      <c r="DV150" s="16" t="s">
        <v>83</v>
      </c>
    </row>
    <row r="151" spans="2:144" s="1" customFormat="1" ht="24.2" customHeight="1" x14ac:dyDescent="0.2">
      <c r="B151" s="124"/>
      <c r="C151" s="125" t="s">
        <v>328</v>
      </c>
      <c r="D151" s="125" t="s">
        <v>284</v>
      </c>
      <c r="E151" s="126" t="s">
        <v>1818</v>
      </c>
      <c r="F151" s="127" t="s">
        <v>1819</v>
      </c>
      <c r="G151" s="128" t="s">
        <v>344</v>
      </c>
      <c r="H151" s="129">
        <v>16.8</v>
      </c>
      <c r="I151" s="130">
        <v>64.561174834479445</v>
      </c>
      <c r="J151" s="131">
        <f>ROUND(I151*H151,2)</f>
        <v>1084.6300000000001</v>
      </c>
      <c r="K151" s="127" t="s">
        <v>293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16.8</v>
      </c>
      <c r="Q151" s="287">
        <f>ROUND(P151*I151,2)</f>
        <v>1084.6300000000001</v>
      </c>
      <c r="R151" s="137"/>
      <c r="S151" s="269">
        <f>W151+Y151+AA151+AC151+AE151+AG151+AI151</f>
        <v>0</v>
      </c>
      <c r="T151" s="269">
        <f>ROUND(S151*I151,2)</f>
        <v>0</v>
      </c>
      <c r="U151" s="269">
        <f>H151-S151</f>
        <v>16.8</v>
      </c>
      <c r="V151" s="269">
        <f>ROUND(U151*I151,2)</f>
        <v>1084.6300000000001</v>
      </c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CN151" s="132" t="s">
        <v>1</v>
      </c>
      <c r="CO151" s="133" t="s">
        <v>40</v>
      </c>
      <c r="CQ151" s="134">
        <f>CP151*H151</f>
        <v>0</v>
      </c>
      <c r="CR151" s="134">
        <v>1.4999999999999999E-4</v>
      </c>
      <c r="CS151" s="134">
        <f>CR151*H151</f>
        <v>2.5199999999999997E-3</v>
      </c>
      <c r="CT151" s="134">
        <v>0</v>
      </c>
      <c r="CU151" s="135">
        <f>CT151*H151</f>
        <v>0</v>
      </c>
      <c r="DS151" s="136" t="s">
        <v>95</v>
      </c>
      <c r="DU151" s="136" t="s">
        <v>284</v>
      </c>
      <c r="DV151" s="136" t="s">
        <v>83</v>
      </c>
      <c r="DZ151" s="16" t="s">
        <v>282</v>
      </c>
      <c r="EF151" s="137">
        <f>IF(CO151="základní",J151,0)</f>
        <v>1084.6300000000001</v>
      </c>
      <c r="EG151" s="137">
        <f>IF(CO151="snížená",J151,0)</f>
        <v>0</v>
      </c>
      <c r="EH151" s="137">
        <f>IF(CO151="zákl. přenesená",J151,0)</f>
        <v>0</v>
      </c>
      <c r="EI151" s="137">
        <f>IF(CO151="sníž. přenesená",J151,0)</f>
        <v>0</v>
      </c>
      <c r="EJ151" s="137">
        <f>IF(CO151="nulová",J151,0)</f>
        <v>0</v>
      </c>
      <c r="EK151" s="16" t="s">
        <v>81</v>
      </c>
      <c r="EL151" s="137">
        <f>ROUND(I151*H151,2)</f>
        <v>1084.6300000000001</v>
      </c>
      <c r="EM151" s="16" t="s">
        <v>95</v>
      </c>
      <c r="EN151" s="136" t="s">
        <v>2142</v>
      </c>
    </row>
    <row r="152" spans="2:144" s="1" customFormat="1" ht="29.25" x14ac:dyDescent="0.2">
      <c r="B152" s="31"/>
      <c r="D152" s="138" t="s">
        <v>289</v>
      </c>
      <c r="F152" s="139" t="s">
        <v>1821</v>
      </c>
      <c r="I152" s="140"/>
      <c r="L152" s="31"/>
      <c r="N152" s="213"/>
      <c r="O152" s="214"/>
      <c r="Q152" s="229"/>
      <c r="CN152" s="141"/>
      <c r="CU152" s="50"/>
      <c r="DU152" s="16" t="s">
        <v>289</v>
      </c>
      <c r="DV152" s="16" t="s">
        <v>83</v>
      </c>
    </row>
    <row r="153" spans="2:144" s="1" customFormat="1" ht="19.5" x14ac:dyDescent="0.2">
      <c r="B153" s="31"/>
      <c r="D153" s="138" t="s">
        <v>299</v>
      </c>
      <c r="F153" s="142" t="s">
        <v>2137</v>
      </c>
      <c r="I153" s="140"/>
      <c r="L153" s="31"/>
      <c r="N153" s="213"/>
      <c r="O153" s="214"/>
      <c r="Q153" s="229"/>
      <c r="CN153" s="141"/>
      <c r="CU153" s="50"/>
      <c r="DU153" s="16" t="s">
        <v>299</v>
      </c>
      <c r="DV153" s="16" t="s">
        <v>83</v>
      </c>
    </row>
    <row r="154" spans="2:144" s="12" customFormat="1" x14ac:dyDescent="0.2">
      <c r="B154" s="149"/>
      <c r="D154" s="138" t="s">
        <v>301</v>
      </c>
      <c r="E154" s="150" t="s">
        <v>1</v>
      </c>
      <c r="F154" s="151" t="s">
        <v>2059</v>
      </c>
      <c r="H154" s="152">
        <v>16.8</v>
      </c>
      <c r="I154" s="153"/>
      <c r="L154" s="149"/>
      <c r="N154" s="217"/>
      <c r="O154" s="218"/>
      <c r="Q154" s="231"/>
      <c r="CN154" s="154"/>
      <c r="CU154" s="155"/>
      <c r="DU154" s="150" t="s">
        <v>301</v>
      </c>
      <c r="DV154" s="150" t="s">
        <v>83</v>
      </c>
      <c r="DW154" s="12" t="s">
        <v>83</v>
      </c>
      <c r="DX154" s="12" t="s">
        <v>32</v>
      </c>
      <c r="DY154" s="12" t="s">
        <v>81</v>
      </c>
      <c r="DZ154" s="150" t="s">
        <v>282</v>
      </c>
    </row>
    <row r="155" spans="2:144" s="1" customFormat="1" ht="24.2" customHeight="1" x14ac:dyDescent="0.2">
      <c r="B155" s="124"/>
      <c r="C155" s="125" t="s">
        <v>335</v>
      </c>
      <c r="D155" s="125" t="s">
        <v>284</v>
      </c>
      <c r="E155" s="126" t="s">
        <v>1823</v>
      </c>
      <c r="F155" s="127" t="s">
        <v>1824</v>
      </c>
      <c r="G155" s="128" t="s">
        <v>344</v>
      </c>
      <c r="H155" s="129">
        <v>16.8</v>
      </c>
      <c r="I155" s="130">
        <v>39.716875079109904</v>
      </c>
      <c r="J155" s="131">
        <f>ROUND(I155*H155,2)</f>
        <v>667.24</v>
      </c>
      <c r="K155" s="127" t="s">
        <v>293</v>
      </c>
      <c r="L155" s="268">
        <f>S155</f>
        <v>0</v>
      </c>
      <c r="M155" s="272">
        <f>ROUND(L155*I155,2)</f>
        <v>0</v>
      </c>
      <c r="N155" s="243"/>
      <c r="O155" s="294">
        <f>ROUND(N155*I155,2)</f>
        <v>0</v>
      </c>
      <c r="P155" s="273">
        <f>H155-L155-N155</f>
        <v>16.8</v>
      </c>
      <c r="Q155" s="287">
        <f>ROUND(P155*I155,2)</f>
        <v>667.24</v>
      </c>
      <c r="R155" s="137"/>
      <c r="S155" s="269">
        <f>W155+Y155+AA155+AC155+AE155+AG155+AI155</f>
        <v>0</v>
      </c>
      <c r="T155" s="269">
        <f>ROUND(S155*I155,2)</f>
        <v>0</v>
      </c>
      <c r="U155" s="269">
        <f>H155-S155</f>
        <v>16.8</v>
      </c>
      <c r="V155" s="269">
        <f>ROUND(U155*I155,2)</f>
        <v>667.24</v>
      </c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CN155" s="132" t="s">
        <v>1</v>
      </c>
      <c r="CO155" s="133" t="s">
        <v>40</v>
      </c>
      <c r="CQ155" s="134">
        <f>CP155*H155</f>
        <v>0</v>
      </c>
      <c r="CR155" s="134">
        <v>0</v>
      </c>
      <c r="CS155" s="134">
        <f>CR155*H155</f>
        <v>0</v>
      </c>
      <c r="CT155" s="134">
        <v>0</v>
      </c>
      <c r="CU155" s="135">
        <f>CT155*H155</f>
        <v>0</v>
      </c>
      <c r="DS155" s="136" t="s">
        <v>95</v>
      </c>
      <c r="DU155" s="136" t="s">
        <v>284</v>
      </c>
      <c r="DV155" s="136" t="s">
        <v>83</v>
      </c>
      <c r="DZ155" s="16" t="s">
        <v>282</v>
      </c>
      <c r="EF155" s="137">
        <f>IF(CO155="základní",J155,0)</f>
        <v>667.24</v>
      </c>
      <c r="EG155" s="137">
        <f>IF(CO155="snížená",J155,0)</f>
        <v>0</v>
      </c>
      <c r="EH155" s="137">
        <f>IF(CO155="zákl. přenesená",J155,0)</f>
        <v>0</v>
      </c>
      <c r="EI155" s="137">
        <f>IF(CO155="sníž. přenesená",J155,0)</f>
        <v>0</v>
      </c>
      <c r="EJ155" s="137">
        <f>IF(CO155="nulová",J155,0)</f>
        <v>0</v>
      </c>
      <c r="EK155" s="16" t="s">
        <v>81</v>
      </c>
      <c r="EL155" s="137">
        <f>ROUND(I155*H155,2)</f>
        <v>667.24</v>
      </c>
      <c r="EM155" s="16" t="s">
        <v>95</v>
      </c>
      <c r="EN155" s="136" t="s">
        <v>2143</v>
      </c>
    </row>
    <row r="156" spans="2:144" s="1" customFormat="1" ht="29.25" x14ac:dyDescent="0.2">
      <c r="B156" s="31"/>
      <c r="D156" s="138" t="s">
        <v>289</v>
      </c>
      <c r="F156" s="139" t="s">
        <v>1826</v>
      </c>
      <c r="I156" s="140"/>
      <c r="L156" s="31"/>
      <c r="N156" s="213"/>
      <c r="O156" s="214"/>
      <c r="Q156" s="229"/>
      <c r="CN156" s="141"/>
      <c r="CU156" s="50"/>
      <c r="DU156" s="16" t="s">
        <v>289</v>
      </c>
      <c r="DV156" s="16" t="s">
        <v>83</v>
      </c>
    </row>
    <row r="157" spans="2:144" s="1" customFormat="1" ht="24.2" customHeight="1" x14ac:dyDescent="0.2">
      <c r="B157" s="124"/>
      <c r="C157" s="125" t="s">
        <v>341</v>
      </c>
      <c r="D157" s="125" t="s">
        <v>284</v>
      </c>
      <c r="E157" s="126" t="s">
        <v>1827</v>
      </c>
      <c r="F157" s="127" t="s">
        <v>1828</v>
      </c>
      <c r="G157" s="128" t="s">
        <v>344</v>
      </c>
      <c r="H157" s="129">
        <v>4.3099999999999996</v>
      </c>
      <c r="I157" s="130">
        <v>162.37099591398675</v>
      </c>
      <c r="J157" s="131">
        <f>ROUND(I157*H157,2)</f>
        <v>699.82</v>
      </c>
      <c r="K157" s="127" t="s">
        <v>293</v>
      </c>
      <c r="L157" s="268">
        <f>S157</f>
        <v>0</v>
      </c>
      <c r="M157" s="272">
        <f>ROUND(L157*I157,2)</f>
        <v>0</v>
      </c>
      <c r="N157" s="243"/>
      <c r="O157" s="294">
        <f>ROUND(N157*I157,2)</f>
        <v>0</v>
      </c>
      <c r="P157" s="273">
        <f>H157-L157-N157</f>
        <v>4.3099999999999996</v>
      </c>
      <c r="Q157" s="287">
        <f>ROUND(P157*I157,2)</f>
        <v>699.82</v>
      </c>
      <c r="R157" s="137"/>
      <c r="S157" s="269">
        <f>W157+Y157+AA157+AC157+AE157+AG157+AI157</f>
        <v>0</v>
      </c>
      <c r="T157" s="269">
        <f>ROUND(S157*I157,2)</f>
        <v>0</v>
      </c>
      <c r="U157" s="269">
        <f>H157-S157</f>
        <v>4.3099999999999996</v>
      </c>
      <c r="V157" s="269">
        <f>ROUND(U157*I157,2)</f>
        <v>699.82</v>
      </c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CN157" s="132" t="s">
        <v>1</v>
      </c>
      <c r="CO157" s="133" t="s">
        <v>40</v>
      </c>
      <c r="CQ157" s="134">
        <f>CP157*H157</f>
        <v>0</v>
      </c>
      <c r="CR157" s="134">
        <v>4.6999999999999999E-4</v>
      </c>
      <c r="CS157" s="134">
        <f>CR157*H157</f>
        <v>2.0256999999999996E-3</v>
      </c>
      <c r="CT157" s="134">
        <v>0</v>
      </c>
      <c r="CU157" s="135">
        <f>CT157*H157</f>
        <v>0</v>
      </c>
      <c r="DS157" s="136" t="s">
        <v>95</v>
      </c>
      <c r="DU157" s="136" t="s">
        <v>284</v>
      </c>
      <c r="DV157" s="136" t="s">
        <v>83</v>
      </c>
      <c r="DZ157" s="16" t="s">
        <v>282</v>
      </c>
      <c r="EF157" s="137">
        <f>IF(CO157="základní",J157,0)</f>
        <v>699.82</v>
      </c>
      <c r="EG157" s="137">
        <f>IF(CO157="snížená",J157,0)</f>
        <v>0</v>
      </c>
      <c r="EH157" s="137">
        <f>IF(CO157="zákl. přenesená",J157,0)</f>
        <v>0</v>
      </c>
      <c r="EI157" s="137">
        <f>IF(CO157="sníž. přenesená",J157,0)</f>
        <v>0</v>
      </c>
      <c r="EJ157" s="137">
        <f>IF(CO157="nulová",J157,0)</f>
        <v>0</v>
      </c>
      <c r="EK157" s="16" t="s">
        <v>81</v>
      </c>
      <c r="EL157" s="137">
        <f>ROUND(I157*H157,2)</f>
        <v>699.82</v>
      </c>
      <c r="EM157" s="16" t="s">
        <v>95</v>
      </c>
      <c r="EN157" s="136" t="s">
        <v>2144</v>
      </c>
    </row>
    <row r="158" spans="2:144" s="1" customFormat="1" ht="19.5" x14ac:dyDescent="0.2">
      <c r="B158" s="31"/>
      <c r="D158" s="138" t="s">
        <v>289</v>
      </c>
      <c r="F158" s="139" t="s">
        <v>1830</v>
      </c>
      <c r="I158" s="140"/>
      <c r="L158" s="31"/>
      <c r="N158" s="213"/>
      <c r="O158" s="214"/>
      <c r="Q158" s="229"/>
      <c r="CN158" s="141"/>
      <c r="CU158" s="50"/>
      <c r="DU158" s="16" t="s">
        <v>289</v>
      </c>
      <c r="DV158" s="16" t="s">
        <v>83</v>
      </c>
    </row>
    <row r="159" spans="2:144" s="1" customFormat="1" ht="19.5" x14ac:dyDescent="0.2">
      <c r="B159" s="31"/>
      <c r="D159" s="138" t="s">
        <v>299</v>
      </c>
      <c r="F159" s="142" t="s">
        <v>2137</v>
      </c>
      <c r="I159" s="140"/>
      <c r="L159" s="31"/>
      <c r="N159" s="213"/>
      <c r="O159" s="214"/>
      <c r="Q159" s="229"/>
      <c r="CN159" s="141"/>
      <c r="CU159" s="50"/>
      <c r="DU159" s="16" t="s">
        <v>299</v>
      </c>
      <c r="DV159" s="16" t="s">
        <v>83</v>
      </c>
    </row>
    <row r="160" spans="2:144" s="12" customFormat="1" x14ac:dyDescent="0.2">
      <c r="B160" s="149"/>
      <c r="D160" s="138" t="s">
        <v>301</v>
      </c>
      <c r="E160" s="150" t="s">
        <v>1</v>
      </c>
      <c r="F160" s="151" t="s">
        <v>2145</v>
      </c>
      <c r="H160" s="152">
        <v>4.3099999999999996</v>
      </c>
      <c r="I160" s="153"/>
      <c r="L160" s="149"/>
      <c r="N160" s="217"/>
      <c r="O160" s="218"/>
      <c r="Q160" s="231"/>
      <c r="CN160" s="154"/>
      <c r="CU160" s="155"/>
      <c r="DU160" s="150" t="s">
        <v>301</v>
      </c>
      <c r="DV160" s="150" t="s">
        <v>83</v>
      </c>
      <c r="DW160" s="12" t="s">
        <v>83</v>
      </c>
      <c r="DX160" s="12" t="s">
        <v>32</v>
      </c>
      <c r="DY160" s="12" t="s">
        <v>81</v>
      </c>
      <c r="DZ160" s="150" t="s">
        <v>282</v>
      </c>
    </row>
    <row r="161" spans="2:144" s="1" customFormat="1" ht="24.2" customHeight="1" x14ac:dyDescent="0.2">
      <c r="B161" s="124"/>
      <c r="C161" s="125" t="s">
        <v>348</v>
      </c>
      <c r="D161" s="125" t="s">
        <v>284</v>
      </c>
      <c r="E161" s="126" t="s">
        <v>1832</v>
      </c>
      <c r="F161" s="127" t="s">
        <v>1833</v>
      </c>
      <c r="G161" s="128" t="s">
        <v>344</v>
      </c>
      <c r="H161" s="129">
        <v>4.3099999999999996</v>
      </c>
      <c r="I161" s="130">
        <v>47.324340004731368</v>
      </c>
      <c r="J161" s="131">
        <f>ROUND(I161*H161,2)</f>
        <v>203.97</v>
      </c>
      <c r="K161" s="127" t="s">
        <v>293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4.3099999999999996</v>
      </c>
      <c r="Q161" s="287">
        <f>ROUND(P161*I161,2)</f>
        <v>203.97</v>
      </c>
      <c r="R161" s="137"/>
      <c r="S161" s="269">
        <f>W161+Y161+AA161+AC161+AE161+AG161+AI161</f>
        <v>0</v>
      </c>
      <c r="T161" s="269">
        <f>ROUND(S161*I161,2)</f>
        <v>0</v>
      </c>
      <c r="U161" s="269">
        <f>H161-S161</f>
        <v>4.3099999999999996</v>
      </c>
      <c r="V161" s="269">
        <f>ROUND(U161*I161,2)</f>
        <v>203.97</v>
      </c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CN161" s="132" t="s">
        <v>1</v>
      </c>
      <c r="CO161" s="133" t="s">
        <v>40</v>
      </c>
      <c r="CQ161" s="134">
        <f>CP161*H161</f>
        <v>0</v>
      </c>
      <c r="CR161" s="134">
        <v>0</v>
      </c>
      <c r="CS161" s="134">
        <f>CR161*H161</f>
        <v>0</v>
      </c>
      <c r="CT161" s="134">
        <v>0</v>
      </c>
      <c r="CU161" s="135">
        <f>CT161*H161</f>
        <v>0</v>
      </c>
      <c r="DS161" s="136" t="s">
        <v>95</v>
      </c>
      <c r="DU161" s="136" t="s">
        <v>284</v>
      </c>
      <c r="DV161" s="136" t="s">
        <v>83</v>
      </c>
      <c r="DZ161" s="16" t="s">
        <v>282</v>
      </c>
      <c r="EF161" s="137">
        <f>IF(CO161="základní",J161,0)</f>
        <v>203.97</v>
      </c>
      <c r="EG161" s="137">
        <f>IF(CO161="snížená",J161,0)</f>
        <v>0</v>
      </c>
      <c r="EH161" s="137">
        <f>IF(CO161="zákl. přenesená",J161,0)</f>
        <v>0</v>
      </c>
      <c r="EI161" s="137">
        <f>IF(CO161="sníž. přenesená",J161,0)</f>
        <v>0</v>
      </c>
      <c r="EJ161" s="137">
        <f>IF(CO161="nulová",J161,0)</f>
        <v>0</v>
      </c>
      <c r="EK161" s="16" t="s">
        <v>81</v>
      </c>
      <c r="EL161" s="137">
        <f>ROUND(I161*H161,2)</f>
        <v>203.97</v>
      </c>
      <c r="EM161" s="16" t="s">
        <v>95</v>
      </c>
      <c r="EN161" s="136" t="s">
        <v>2146</v>
      </c>
    </row>
    <row r="162" spans="2:144" s="1" customFormat="1" ht="19.5" x14ac:dyDescent="0.2">
      <c r="B162" s="31"/>
      <c r="D162" s="138" t="s">
        <v>289</v>
      </c>
      <c r="F162" s="139" t="s">
        <v>1835</v>
      </c>
      <c r="I162" s="140"/>
      <c r="L162" s="31"/>
      <c r="N162" s="213"/>
      <c r="O162" s="214"/>
      <c r="Q162" s="229"/>
      <c r="CN162" s="141"/>
      <c r="CU162" s="50"/>
      <c r="DU162" s="16" t="s">
        <v>289</v>
      </c>
      <c r="DV162" s="16" t="s">
        <v>83</v>
      </c>
    </row>
    <row r="163" spans="2:144" s="1" customFormat="1" ht="24.2" customHeight="1" x14ac:dyDescent="0.2">
      <c r="B163" s="124"/>
      <c r="C163" s="125" t="s">
        <v>327</v>
      </c>
      <c r="D163" s="125" t="s">
        <v>284</v>
      </c>
      <c r="E163" s="126" t="s">
        <v>1836</v>
      </c>
      <c r="F163" s="127" t="s">
        <v>1837</v>
      </c>
      <c r="G163" s="128" t="s">
        <v>366</v>
      </c>
      <c r="H163" s="129">
        <v>34.045000000000002</v>
      </c>
      <c r="I163" s="130">
        <v>1176.19125848302</v>
      </c>
      <c r="J163" s="131">
        <f>ROUND(I163*H163,2)</f>
        <v>40043.43</v>
      </c>
      <c r="K163" s="127" t="s">
        <v>293</v>
      </c>
      <c r="L163" s="268">
        <f>S163</f>
        <v>0</v>
      </c>
      <c r="M163" s="272">
        <f>ROUND(L163*I163,2)</f>
        <v>0</v>
      </c>
      <c r="N163" s="243"/>
      <c r="O163" s="294">
        <f>ROUND(N163*I163,2)</f>
        <v>0</v>
      </c>
      <c r="P163" s="273">
        <f>H163-L163-N163</f>
        <v>34.045000000000002</v>
      </c>
      <c r="Q163" s="287">
        <f>ROUND(P163*I163,2)</f>
        <v>40043.43</v>
      </c>
      <c r="R163" s="137"/>
      <c r="S163" s="269">
        <f>W163+Y163+AA163+AC163+AE163+AG163+AI163</f>
        <v>0</v>
      </c>
      <c r="T163" s="269">
        <f>ROUND(S163*I163,2)</f>
        <v>0</v>
      </c>
      <c r="U163" s="269">
        <f>H163-S163</f>
        <v>34.045000000000002</v>
      </c>
      <c r="V163" s="269">
        <f>ROUND(U163*I163,2)</f>
        <v>40043.43</v>
      </c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CN163" s="132" t="s">
        <v>1</v>
      </c>
      <c r="CO163" s="133" t="s">
        <v>40</v>
      </c>
      <c r="CQ163" s="134">
        <f>CP163*H163</f>
        <v>0</v>
      </c>
      <c r="CR163" s="134">
        <v>0</v>
      </c>
      <c r="CS163" s="134">
        <f>CR163*H163</f>
        <v>0</v>
      </c>
      <c r="CT163" s="134">
        <v>0</v>
      </c>
      <c r="CU163" s="135">
        <f>CT163*H163</f>
        <v>0</v>
      </c>
      <c r="DS163" s="136" t="s">
        <v>95</v>
      </c>
      <c r="DU163" s="136" t="s">
        <v>284</v>
      </c>
      <c r="DV163" s="136" t="s">
        <v>83</v>
      </c>
      <c r="DZ163" s="16" t="s">
        <v>282</v>
      </c>
      <c r="EF163" s="137">
        <f>IF(CO163="základní",J163,0)</f>
        <v>40043.43</v>
      </c>
      <c r="EG163" s="137">
        <f>IF(CO163="snížená",J163,0)</f>
        <v>0</v>
      </c>
      <c r="EH163" s="137">
        <f>IF(CO163="zákl. přenesená",J163,0)</f>
        <v>0</v>
      </c>
      <c r="EI163" s="137">
        <f>IF(CO163="sníž. přenesená",J163,0)</f>
        <v>0</v>
      </c>
      <c r="EJ163" s="137">
        <f>IF(CO163="nulová",J163,0)</f>
        <v>0</v>
      </c>
      <c r="EK163" s="16" t="s">
        <v>81</v>
      </c>
      <c r="EL163" s="137">
        <f>ROUND(I163*H163,2)</f>
        <v>40043.43</v>
      </c>
      <c r="EM163" s="16" t="s">
        <v>95</v>
      </c>
      <c r="EN163" s="136" t="s">
        <v>2147</v>
      </c>
    </row>
    <row r="164" spans="2:144" s="1" customFormat="1" ht="29.25" x14ac:dyDescent="0.2">
      <c r="B164" s="31"/>
      <c r="D164" s="138" t="s">
        <v>289</v>
      </c>
      <c r="F164" s="139" t="s">
        <v>1839</v>
      </c>
      <c r="I164" s="140"/>
      <c r="L164" s="31"/>
      <c r="N164" s="213"/>
      <c r="O164" s="214"/>
      <c r="Q164" s="229"/>
      <c r="CN164" s="141"/>
      <c r="CU164" s="50"/>
      <c r="DU164" s="16" t="s">
        <v>289</v>
      </c>
      <c r="DV164" s="16" t="s">
        <v>83</v>
      </c>
    </row>
    <row r="165" spans="2:144" s="1" customFormat="1" ht="29.25" x14ac:dyDescent="0.2">
      <c r="B165" s="31"/>
      <c r="D165" s="138" t="s">
        <v>299</v>
      </c>
      <c r="F165" s="142" t="s">
        <v>2148</v>
      </c>
      <c r="I165" s="140"/>
      <c r="L165" s="31"/>
      <c r="N165" s="213"/>
      <c r="O165" s="214"/>
      <c r="Q165" s="229"/>
      <c r="CN165" s="141"/>
      <c r="CU165" s="50"/>
      <c r="DU165" s="16" t="s">
        <v>299</v>
      </c>
      <c r="DV165" s="16" t="s">
        <v>83</v>
      </c>
    </row>
    <row r="166" spans="2:144" s="11" customFormat="1" ht="22.5" x14ac:dyDescent="0.2">
      <c r="B166" s="143"/>
      <c r="D166" s="138" t="s">
        <v>301</v>
      </c>
      <c r="E166" s="144" t="s">
        <v>1</v>
      </c>
      <c r="F166" s="145" t="s">
        <v>370</v>
      </c>
      <c r="H166" s="144" t="s">
        <v>1</v>
      </c>
      <c r="I166" s="146"/>
      <c r="L166" s="143"/>
      <c r="N166" s="215"/>
      <c r="O166" s="216"/>
      <c r="Q166" s="230"/>
      <c r="CN166" s="147"/>
      <c r="CU166" s="148"/>
      <c r="DU166" s="144" t="s">
        <v>301</v>
      </c>
      <c r="DV166" s="144" t="s">
        <v>83</v>
      </c>
      <c r="DW166" s="11" t="s">
        <v>81</v>
      </c>
      <c r="DX166" s="11" t="s">
        <v>32</v>
      </c>
      <c r="DY166" s="11" t="s">
        <v>74</v>
      </c>
      <c r="DZ166" s="144" t="s">
        <v>282</v>
      </c>
    </row>
    <row r="167" spans="2:144" s="12" customFormat="1" x14ac:dyDescent="0.2">
      <c r="B167" s="149"/>
      <c r="D167" s="138" t="s">
        <v>301</v>
      </c>
      <c r="E167" s="150" t="s">
        <v>1</v>
      </c>
      <c r="F167" s="151" t="s">
        <v>2149</v>
      </c>
      <c r="H167" s="152">
        <v>68.09</v>
      </c>
      <c r="I167" s="153"/>
      <c r="L167" s="149"/>
      <c r="N167" s="217"/>
      <c r="O167" s="218"/>
      <c r="Q167" s="231"/>
      <c r="CN167" s="154"/>
      <c r="CU167" s="155"/>
      <c r="DU167" s="150" t="s">
        <v>301</v>
      </c>
      <c r="DV167" s="150" t="s">
        <v>83</v>
      </c>
      <c r="DW167" s="12" t="s">
        <v>83</v>
      </c>
      <c r="DX167" s="12" t="s">
        <v>32</v>
      </c>
      <c r="DY167" s="12" t="s">
        <v>74</v>
      </c>
      <c r="DZ167" s="150" t="s">
        <v>282</v>
      </c>
    </row>
    <row r="168" spans="2:144" s="14" customFormat="1" x14ac:dyDescent="0.2">
      <c r="B168" s="163"/>
      <c r="D168" s="138" t="s">
        <v>301</v>
      </c>
      <c r="E168" s="164" t="s">
        <v>1</v>
      </c>
      <c r="F168" s="165" t="s">
        <v>373</v>
      </c>
      <c r="H168" s="166">
        <v>68.09</v>
      </c>
      <c r="I168" s="167"/>
      <c r="L168" s="163"/>
      <c r="N168" s="221"/>
      <c r="O168" s="222"/>
      <c r="Q168" s="233"/>
      <c r="CN168" s="168"/>
      <c r="CU168" s="169"/>
      <c r="DU168" s="164" t="s">
        <v>301</v>
      </c>
      <c r="DV168" s="164" t="s">
        <v>83</v>
      </c>
      <c r="DW168" s="14" t="s">
        <v>90</v>
      </c>
      <c r="DX168" s="14" t="s">
        <v>32</v>
      </c>
      <c r="DY168" s="14" t="s">
        <v>74</v>
      </c>
      <c r="DZ168" s="164" t="s">
        <v>282</v>
      </c>
    </row>
    <row r="169" spans="2:144" s="12" customFormat="1" x14ac:dyDescent="0.2">
      <c r="B169" s="149"/>
      <c r="D169" s="138" t="s">
        <v>301</v>
      </c>
      <c r="E169" s="150" t="s">
        <v>1</v>
      </c>
      <c r="F169" s="151" t="s">
        <v>2150</v>
      </c>
      <c r="H169" s="152">
        <v>34.045000000000002</v>
      </c>
      <c r="I169" s="153"/>
      <c r="L169" s="149"/>
      <c r="N169" s="217"/>
      <c r="O169" s="218"/>
      <c r="Q169" s="231"/>
      <c r="CN169" s="154"/>
      <c r="CU169" s="155"/>
      <c r="DU169" s="150" t="s">
        <v>301</v>
      </c>
      <c r="DV169" s="150" t="s">
        <v>83</v>
      </c>
      <c r="DW169" s="12" t="s">
        <v>83</v>
      </c>
      <c r="DX169" s="12" t="s">
        <v>32</v>
      </c>
      <c r="DY169" s="12" t="s">
        <v>81</v>
      </c>
      <c r="DZ169" s="150" t="s">
        <v>282</v>
      </c>
    </row>
    <row r="170" spans="2:144" s="1" customFormat="1" ht="24.2" customHeight="1" x14ac:dyDescent="0.2">
      <c r="B170" s="124"/>
      <c r="C170" s="125" t="s">
        <v>359</v>
      </c>
      <c r="D170" s="125" t="s">
        <v>284</v>
      </c>
      <c r="E170" s="126" t="s">
        <v>1843</v>
      </c>
      <c r="F170" s="127" t="s">
        <v>1844</v>
      </c>
      <c r="G170" s="128" t="s">
        <v>366</v>
      </c>
      <c r="H170" s="129">
        <v>34.045000000000002</v>
      </c>
      <c r="I170" s="130">
        <v>1412.9317984290899</v>
      </c>
      <c r="J170" s="131">
        <f>ROUND(I170*H170,2)</f>
        <v>48103.26</v>
      </c>
      <c r="K170" s="127" t="s">
        <v>293</v>
      </c>
      <c r="L170" s="268">
        <f>S170</f>
        <v>0</v>
      </c>
      <c r="M170" s="272">
        <f>ROUND(L170*I170,2)</f>
        <v>0</v>
      </c>
      <c r="N170" s="243"/>
      <c r="O170" s="294">
        <f>ROUND(N170*I170,2)</f>
        <v>0</v>
      </c>
      <c r="P170" s="273">
        <f>H170-L170-N170</f>
        <v>34.045000000000002</v>
      </c>
      <c r="Q170" s="287">
        <f>ROUND(P170*I170,2)</f>
        <v>48103.26</v>
      </c>
      <c r="R170" s="137"/>
      <c r="S170" s="269">
        <f>W170+Y170+AA170+AC170+AE170+AG170+AI170</f>
        <v>0</v>
      </c>
      <c r="T170" s="269">
        <f>ROUND(S170*I170,2)</f>
        <v>0</v>
      </c>
      <c r="U170" s="269">
        <f>H170-S170</f>
        <v>34.045000000000002</v>
      </c>
      <c r="V170" s="269">
        <f>ROUND(U170*I170,2)</f>
        <v>48103.26</v>
      </c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CN170" s="132" t="s">
        <v>1</v>
      </c>
      <c r="CO170" s="133" t="s">
        <v>40</v>
      </c>
      <c r="CQ170" s="134">
        <f>CP170*H170</f>
        <v>0</v>
      </c>
      <c r="CR170" s="134">
        <v>0</v>
      </c>
      <c r="CS170" s="134">
        <f>CR170*H170</f>
        <v>0</v>
      </c>
      <c r="CT170" s="134">
        <v>0</v>
      </c>
      <c r="CU170" s="135">
        <f>CT170*H170</f>
        <v>0</v>
      </c>
      <c r="DS170" s="136" t="s">
        <v>95</v>
      </c>
      <c r="DU170" s="136" t="s">
        <v>284</v>
      </c>
      <c r="DV170" s="136" t="s">
        <v>83</v>
      </c>
      <c r="DZ170" s="16" t="s">
        <v>282</v>
      </c>
      <c r="EF170" s="137">
        <f>IF(CO170="základní",J170,0)</f>
        <v>48103.26</v>
      </c>
      <c r="EG170" s="137">
        <f>IF(CO170="snížená",J170,0)</f>
        <v>0</v>
      </c>
      <c r="EH170" s="137">
        <f>IF(CO170="zákl. přenesená",J170,0)</f>
        <v>0</v>
      </c>
      <c r="EI170" s="137">
        <f>IF(CO170="sníž. přenesená",J170,0)</f>
        <v>0</v>
      </c>
      <c r="EJ170" s="137">
        <f>IF(CO170="nulová",J170,0)</f>
        <v>0</v>
      </c>
      <c r="EK170" s="16" t="s">
        <v>81</v>
      </c>
      <c r="EL170" s="137">
        <f>ROUND(I170*H170,2)</f>
        <v>48103.26</v>
      </c>
      <c r="EM170" s="16" t="s">
        <v>95</v>
      </c>
      <c r="EN170" s="136" t="s">
        <v>2151</v>
      </c>
    </row>
    <row r="171" spans="2:144" s="1" customFormat="1" ht="29.25" x14ac:dyDescent="0.2">
      <c r="B171" s="31"/>
      <c r="D171" s="138" t="s">
        <v>289</v>
      </c>
      <c r="F171" s="139" t="s">
        <v>1846</v>
      </c>
      <c r="I171" s="140"/>
      <c r="L171" s="31"/>
      <c r="N171" s="213"/>
      <c r="O171" s="214"/>
      <c r="Q171" s="229"/>
      <c r="CN171" s="141"/>
      <c r="CU171" s="50"/>
      <c r="DU171" s="16" t="s">
        <v>289</v>
      </c>
      <c r="DV171" s="16" t="s">
        <v>83</v>
      </c>
    </row>
    <row r="172" spans="2:144" s="1" customFormat="1" ht="29.25" x14ac:dyDescent="0.2">
      <c r="B172" s="31"/>
      <c r="D172" s="138" t="s">
        <v>299</v>
      </c>
      <c r="F172" s="142" t="s">
        <v>2148</v>
      </c>
      <c r="I172" s="140"/>
      <c r="L172" s="31"/>
      <c r="N172" s="213"/>
      <c r="O172" s="214"/>
      <c r="Q172" s="229"/>
      <c r="CN172" s="141"/>
      <c r="CU172" s="50"/>
      <c r="DU172" s="16" t="s">
        <v>299</v>
      </c>
      <c r="DV172" s="16" t="s">
        <v>83</v>
      </c>
    </row>
    <row r="173" spans="2:144" s="1" customFormat="1" ht="14.45" customHeight="1" x14ac:dyDescent="0.2">
      <c r="B173" s="124"/>
      <c r="C173" s="125" t="s">
        <v>363</v>
      </c>
      <c r="D173" s="125" t="s">
        <v>284</v>
      </c>
      <c r="E173" s="126" t="s">
        <v>1848</v>
      </c>
      <c r="F173" s="127" t="s">
        <v>1849</v>
      </c>
      <c r="G173" s="128" t="s">
        <v>287</v>
      </c>
      <c r="H173" s="129">
        <v>72.408000000000001</v>
      </c>
      <c r="I173" s="130">
        <v>1000.41610079359</v>
      </c>
      <c r="J173" s="131">
        <f>ROUND(I173*H173,2)</f>
        <v>72438.13</v>
      </c>
      <c r="K173" s="127" t="s">
        <v>293</v>
      </c>
      <c r="L173" s="268">
        <f>S173</f>
        <v>0</v>
      </c>
      <c r="M173" s="272">
        <f>ROUND(L173*I173,2)</f>
        <v>0</v>
      </c>
      <c r="N173" s="243"/>
      <c r="O173" s="294">
        <f>ROUND(N173*I173,2)</f>
        <v>0</v>
      </c>
      <c r="P173" s="273">
        <f>H173-L173-N173</f>
        <v>72.408000000000001</v>
      </c>
      <c r="Q173" s="287">
        <f>ROUND(P173*I173,2)</f>
        <v>72438.13</v>
      </c>
      <c r="R173" s="137"/>
      <c r="S173" s="269">
        <f>W173+Y173+AA173+AC173+AE173+AG173+AI173</f>
        <v>0</v>
      </c>
      <c r="T173" s="269">
        <f>ROUND(S173*I173,2)</f>
        <v>0</v>
      </c>
      <c r="U173" s="269">
        <f>H173-S173</f>
        <v>72.408000000000001</v>
      </c>
      <c r="V173" s="269">
        <f>ROUND(U173*I173,2)</f>
        <v>72438.13</v>
      </c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CN173" s="132" t="s">
        <v>1</v>
      </c>
      <c r="CO173" s="133" t="s">
        <v>40</v>
      </c>
      <c r="CQ173" s="134">
        <f>CP173*H173</f>
        <v>0</v>
      </c>
      <c r="CR173" s="134">
        <v>4.4400000000000004E-3</v>
      </c>
      <c r="CS173" s="134">
        <f>CR173*H173</f>
        <v>0.32149152000000003</v>
      </c>
      <c r="CT173" s="134">
        <v>0</v>
      </c>
      <c r="CU173" s="135">
        <f>CT173*H173</f>
        <v>0</v>
      </c>
      <c r="DS173" s="136" t="s">
        <v>95</v>
      </c>
      <c r="DU173" s="136" t="s">
        <v>284</v>
      </c>
      <c r="DV173" s="136" t="s">
        <v>83</v>
      </c>
      <c r="DZ173" s="16" t="s">
        <v>282</v>
      </c>
      <c r="EF173" s="137">
        <f>IF(CO173="základní",J173,0)</f>
        <v>72438.13</v>
      </c>
      <c r="EG173" s="137">
        <f>IF(CO173="snížená",J173,0)</f>
        <v>0</v>
      </c>
      <c r="EH173" s="137">
        <f>IF(CO173="zákl. přenesená",J173,0)</f>
        <v>0</v>
      </c>
      <c r="EI173" s="137">
        <f>IF(CO173="sníž. přenesená",J173,0)</f>
        <v>0</v>
      </c>
      <c r="EJ173" s="137">
        <f>IF(CO173="nulová",J173,0)</f>
        <v>0</v>
      </c>
      <c r="EK173" s="16" t="s">
        <v>81</v>
      </c>
      <c r="EL173" s="137">
        <f>ROUND(I173*H173,2)</f>
        <v>72438.13</v>
      </c>
      <c r="EM173" s="16" t="s">
        <v>95</v>
      </c>
      <c r="EN173" s="136" t="s">
        <v>2152</v>
      </c>
    </row>
    <row r="174" spans="2:144" s="1" customFormat="1" ht="19.5" x14ac:dyDescent="0.2">
      <c r="B174" s="31"/>
      <c r="D174" s="138" t="s">
        <v>289</v>
      </c>
      <c r="F174" s="139" t="s">
        <v>1851</v>
      </c>
      <c r="I174" s="140"/>
      <c r="L174" s="31"/>
      <c r="N174" s="213"/>
      <c r="O174" s="214"/>
      <c r="Q174" s="229"/>
      <c r="CN174" s="141"/>
      <c r="CU174" s="50"/>
      <c r="DU174" s="16" t="s">
        <v>289</v>
      </c>
      <c r="DV174" s="16" t="s">
        <v>83</v>
      </c>
    </row>
    <row r="175" spans="2:144" s="1" customFormat="1" ht="19.5" x14ac:dyDescent="0.2">
      <c r="B175" s="31"/>
      <c r="D175" s="138" t="s">
        <v>299</v>
      </c>
      <c r="F175" s="142" t="s">
        <v>2137</v>
      </c>
      <c r="I175" s="140"/>
      <c r="L175" s="31"/>
      <c r="N175" s="213"/>
      <c r="O175" s="214"/>
      <c r="Q175" s="229"/>
      <c r="CN175" s="141"/>
      <c r="CU175" s="50"/>
      <c r="DU175" s="16" t="s">
        <v>299</v>
      </c>
      <c r="DV175" s="16" t="s">
        <v>83</v>
      </c>
    </row>
    <row r="176" spans="2:144" s="12" customFormat="1" x14ac:dyDescent="0.2">
      <c r="B176" s="149"/>
      <c r="D176" s="138" t="s">
        <v>301</v>
      </c>
      <c r="E176" s="150" t="s">
        <v>1</v>
      </c>
      <c r="F176" s="151" t="s">
        <v>2153</v>
      </c>
      <c r="H176" s="152">
        <v>72.408000000000001</v>
      </c>
      <c r="I176" s="153"/>
      <c r="L176" s="149"/>
      <c r="N176" s="217"/>
      <c r="O176" s="218"/>
      <c r="Q176" s="231"/>
      <c r="CN176" s="154"/>
      <c r="CU176" s="155"/>
      <c r="DU176" s="150" t="s">
        <v>301</v>
      </c>
      <c r="DV176" s="150" t="s">
        <v>83</v>
      </c>
      <c r="DW176" s="12" t="s">
        <v>83</v>
      </c>
      <c r="DX176" s="12" t="s">
        <v>32</v>
      </c>
      <c r="DY176" s="12" t="s">
        <v>81</v>
      </c>
      <c r="DZ176" s="150" t="s">
        <v>282</v>
      </c>
    </row>
    <row r="177" spans="2:144" s="1" customFormat="1" ht="14.45" customHeight="1" x14ac:dyDescent="0.2">
      <c r="B177" s="124"/>
      <c r="C177" s="125" t="s">
        <v>8</v>
      </c>
      <c r="D177" s="125" t="s">
        <v>284</v>
      </c>
      <c r="E177" s="126" t="s">
        <v>1853</v>
      </c>
      <c r="F177" s="127" t="s">
        <v>1854</v>
      </c>
      <c r="G177" s="128" t="s">
        <v>287</v>
      </c>
      <c r="H177" s="129">
        <v>72.408000000000001</v>
      </c>
      <c r="I177" s="130">
        <v>176.46630360754</v>
      </c>
      <c r="J177" s="131">
        <f>ROUND(I177*H177,2)</f>
        <v>12777.57</v>
      </c>
      <c r="K177" s="127" t="s">
        <v>293</v>
      </c>
      <c r="L177" s="268">
        <f>S177</f>
        <v>0</v>
      </c>
      <c r="M177" s="272">
        <f>ROUND(L177*I177,2)</f>
        <v>0</v>
      </c>
      <c r="N177" s="243"/>
      <c r="O177" s="294">
        <f>ROUND(N177*I177,2)</f>
        <v>0</v>
      </c>
      <c r="P177" s="273">
        <f>H177-L177-N177</f>
        <v>72.408000000000001</v>
      </c>
      <c r="Q177" s="287">
        <f>ROUND(P177*I177,2)</f>
        <v>12777.57</v>
      </c>
      <c r="R177" s="137"/>
      <c r="S177" s="269">
        <f>W177+Y177+AA177+AC177+AE177+AG177+AI177</f>
        <v>0</v>
      </c>
      <c r="T177" s="269">
        <f>ROUND(S177*I177,2)</f>
        <v>0</v>
      </c>
      <c r="U177" s="269">
        <f>H177-S177</f>
        <v>72.408000000000001</v>
      </c>
      <c r="V177" s="269">
        <f>ROUND(U177*I177,2)</f>
        <v>12777.57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CN177" s="132" t="s">
        <v>1</v>
      </c>
      <c r="CO177" s="133" t="s">
        <v>40</v>
      </c>
      <c r="CQ177" s="134">
        <f>CP177*H177</f>
        <v>0</v>
      </c>
      <c r="CR177" s="134">
        <v>0</v>
      </c>
      <c r="CS177" s="134">
        <f>CR177*H177</f>
        <v>0</v>
      </c>
      <c r="CT177" s="134">
        <v>0</v>
      </c>
      <c r="CU177" s="135">
        <f>CT177*H177</f>
        <v>0</v>
      </c>
      <c r="DS177" s="136" t="s">
        <v>95</v>
      </c>
      <c r="DU177" s="136" t="s">
        <v>284</v>
      </c>
      <c r="DV177" s="136" t="s">
        <v>83</v>
      </c>
      <c r="DZ177" s="16" t="s">
        <v>282</v>
      </c>
      <c r="EF177" s="137">
        <f>IF(CO177="základní",J177,0)</f>
        <v>12777.57</v>
      </c>
      <c r="EG177" s="137">
        <f>IF(CO177="snížená",J177,0)</f>
        <v>0</v>
      </c>
      <c r="EH177" s="137">
        <f>IF(CO177="zákl. přenesená",J177,0)</f>
        <v>0</v>
      </c>
      <c r="EI177" s="137">
        <f>IF(CO177="sníž. přenesená",J177,0)</f>
        <v>0</v>
      </c>
      <c r="EJ177" s="137">
        <f>IF(CO177="nulová",J177,0)</f>
        <v>0</v>
      </c>
      <c r="EK177" s="16" t="s">
        <v>81</v>
      </c>
      <c r="EL177" s="137">
        <f>ROUND(I177*H177,2)</f>
        <v>12777.57</v>
      </c>
      <c r="EM177" s="16" t="s">
        <v>95</v>
      </c>
      <c r="EN177" s="136" t="s">
        <v>2154</v>
      </c>
    </row>
    <row r="178" spans="2:144" s="1" customFormat="1" ht="29.25" x14ac:dyDescent="0.2">
      <c r="B178" s="31"/>
      <c r="D178" s="138" t="s">
        <v>289</v>
      </c>
      <c r="F178" s="139" t="s">
        <v>1856</v>
      </c>
      <c r="I178" s="140"/>
      <c r="L178" s="31"/>
      <c r="N178" s="213"/>
      <c r="O178" s="214"/>
      <c r="Q178" s="229"/>
      <c r="CN178" s="141"/>
      <c r="CU178" s="50"/>
      <c r="DU178" s="16" t="s">
        <v>289</v>
      </c>
      <c r="DV178" s="16" t="s">
        <v>83</v>
      </c>
    </row>
    <row r="179" spans="2:144" s="1" customFormat="1" ht="19.5" x14ac:dyDescent="0.2">
      <c r="B179" s="31"/>
      <c r="D179" s="138" t="s">
        <v>299</v>
      </c>
      <c r="F179" s="142" t="s">
        <v>317</v>
      </c>
      <c r="I179" s="140"/>
      <c r="L179" s="31"/>
      <c r="N179" s="213"/>
      <c r="O179" s="214"/>
      <c r="Q179" s="229"/>
      <c r="CN179" s="141"/>
      <c r="CU179" s="50"/>
      <c r="DU179" s="16" t="s">
        <v>299</v>
      </c>
      <c r="DV179" s="16" t="s">
        <v>83</v>
      </c>
    </row>
    <row r="180" spans="2:144" s="1" customFormat="1" ht="37.9" customHeight="1" x14ac:dyDescent="0.2">
      <c r="B180" s="124"/>
      <c r="C180" s="125" t="s">
        <v>379</v>
      </c>
      <c r="D180" s="125" t="s">
        <v>284</v>
      </c>
      <c r="E180" s="126" t="s">
        <v>398</v>
      </c>
      <c r="F180" s="127" t="s">
        <v>399</v>
      </c>
      <c r="G180" s="128" t="s">
        <v>366</v>
      </c>
      <c r="H180" s="129">
        <v>68.09</v>
      </c>
      <c r="I180" s="130">
        <v>282.06861194786097</v>
      </c>
      <c r="J180" s="131">
        <f>ROUND(I180*H180,2)</f>
        <v>19206.05</v>
      </c>
      <c r="K180" s="127" t="s">
        <v>293</v>
      </c>
      <c r="L180" s="268">
        <f>S180</f>
        <v>0</v>
      </c>
      <c r="M180" s="272">
        <f>ROUND(L180*I180,2)</f>
        <v>0</v>
      </c>
      <c r="N180" s="243"/>
      <c r="O180" s="294">
        <f>ROUND(N180*I180,2)</f>
        <v>0</v>
      </c>
      <c r="P180" s="273">
        <f>H180-L180-N180</f>
        <v>68.09</v>
      </c>
      <c r="Q180" s="287">
        <f>ROUND(P180*I180,2)</f>
        <v>19206.05</v>
      </c>
      <c r="R180" s="137"/>
      <c r="S180" s="269">
        <f>W180+Y180+AA180+AC180+AE180+AG180+AI180</f>
        <v>0</v>
      </c>
      <c r="T180" s="269">
        <f>ROUND(S180*I180,2)</f>
        <v>0</v>
      </c>
      <c r="U180" s="269">
        <f>H180-S180</f>
        <v>68.09</v>
      </c>
      <c r="V180" s="269">
        <f>ROUND(U180*I180,2)</f>
        <v>19206.05</v>
      </c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CN180" s="132" t="s">
        <v>1</v>
      </c>
      <c r="CO180" s="133" t="s">
        <v>40</v>
      </c>
      <c r="CQ180" s="134">
        <f>CP180*H180</f>
        <v>0</v>
      </c>
      <c r="CR180" s="134">
        <v>0</v>
      </c>
      <c r="CS180" s="134">
        <f>CR180*H180</f>
        <v>0</v>
      </c>
      <c r="CT180" s="134">
        <v>0</v>
      </c>
      <c r="CU180" s="135">
        <f>CT180*H180</f>
        <v>0</v>
      </c>
      <c r="DS180" s="136" t="s">
        <v>95</v>
      </c>
      <c r="DU180" s="136" t="s">
        <v>284</v>
      </c>
      <c r="DV180" s="136" t="s">
        <v>83</v>
      </c>
      <c r="DZ180" s="16" t="s">
        <v>282</v>
      </c>
      <c r="EF180" s="137">
        <f>IF(CO180="základní",J180,0)</f>
        <v>19206.05</v>
      </c>
      <c r="EG180" s="137">
        <f>IF(CO180="snížená",J180,0)</f>
        <v>0</v>
      </c>
      <c r="EH180" s="137">
        <f>IF(CO180="zákl. přenesená",J180,0)</f>
        <v>0</v>
      </c>
      <c r="EI180" s="137">
        <f>IF(CO180="sníž. přenesená",J180,0)</f>
        <v>0</v>
      </c>
      <c r="EJ180" s="137">
        <f>IF(CO180="nulová",J180,0)</f>
        <v>0</v>
      </c>
      <c r="EK180" s="16" t="s">
        <v>81</v>
      </c>
      <c r="EL180" s="137">
        <f>ROUND(I180*H180,2)</f>
        <v>19206.05</v>
      </c>
      <c r="EM180" s="16" t="s">
        <v>95</v>
      </c>
      <c r="EN180" s="136" t="s">
        <v>2155</v>
      </c>
    </row>
    <row r="181" spans="2:144" s="1" customFormat="1" ht="39" x14ac:dyDescent="0.2">
      <c r="B181" s="31"/>
      <c r="D181" s="138" t="s">
        <v>289</v>
      </c>
      <c r="F181" s="139" t="s">
        <v>401</v>
      </c>
      <c r="I181" s="140"/>
      <c r="L181" s="31"/>
      <c r="N181" s="213"/>
      <c r="O181" s="214"/>
      <c r="Q181" s="229"/>
      <c r="CN181" s="141"/>
      <c r="CU181" s="50"/>
      <c r="DU181" s="16" t="s">
        <v>289</v>
      </c>
      <c r="DV181" s="16" t="s">
        <v>83</v>
      </c>
    </row>
    <row r="182" spans="2:144" s="11" customFormat="1" x14ac:dyDescent="0.2">
      <c r="B182" s="143"/>
      <c r="D182" s="138" t="s">
        <v>301</v>
      </c>
      <c r="E182" s="144" t="s">
        <v>1</v>
      </c>
      <c r="F182" s="145" t="s">
        <v>1858</v>
      </c>
      <c r="H182" s="144" t="s">
        <v>1</v>
      </c>
      <c r="I182" s="146"/>
      <c r="L182" s="143"/>
      <c r="N182" s="215"/>
      <c r="O182" s="216"/>
      <c r="Q182" s="230"/>
      <c r="CN182" s="147"/>
      <c r="CU182" s="148"/>
      <c r="DU182" s="144" t="s">
        <v>301</v>
      </c>
      <c r="DV182" s="144" t="s">
        <v>83</v>
      </c>
      <c r="DW182" s="11" t="s">
        <v>81</v>
      </c>
      <c r="DX182" s="11" t="s">
        <v>32</v>
      </c>
      <c r="DY182" s="11" t="s">
        <v>74</v>
      </c>
      <c r="DZ182" s="144" t="s">
        <v>282</v>
      </c>
    </row>
    <row r="183" spans="2:144" s="12" customFormat="1" x14ac:dyDescent="0.2">
      <c r="B183" s="149"/>
      <c r="D183" s="138" t="s">
        <v>301</v>
      </c>
      <c r="E183" s="150" t="s">
        <v>1</v>
      </c>
      <c r="F183" s="151" t="s">
        <v>2156</v>
      </c>
      <c r="H183" s="152">
        <v>68.09</v>
      </c>
      <c r="I183" s="153"/>
      <c r="L183" s="149"/>
      <c r="N183" s="217"/>
      <c r="O183" s="218"/>
      <c r="Q183" s="231"/>
      <c r="CN183" s="154"/>
      <c r="CU183" s="155"/>
      <c r="DU183" s="150" t="s">
        <v>301</v>
      </c>
      <c r="DV183" s="150" t="s">
        <v>83</v>
      </c>
      <c r="DW183" s="12" t="s">
        <v>83</v>
      </c>
      <c r="DX183" s="12" t="s">
        <v>32</v>
      </c>
      <c r="DY183" s="12" t="s">
        <v>81</v>
      </c>
      <c r="DZ183" s="150" t="s">
        <v>282</v>
      </c>
    </row>
    <row r="184" spans="2:144" s="1" customFormat="1" ht="37.9" customHeight="1" x14ac:dyDescent="0.2">
      <c r="B184" s="124"/>
      <c r="C184" s="125" t="s">
        <v>386</v>
      </c>
      <c r="D184" s="125" t="s">
        <v>284</v>
      </c>
      <c r="E184" s="126" t="s">
        <v>405</v>
      </c>
      <c r="F184" s="127" t="s">
        <v>406</v>
      </c>
      <c r="G184" s="128" t="s">
        <v>366</v>
      </c>
      <c r="H184" s="129">
        <v>340.45</v>
      </c>
      <c r="I184" s="130">
        <v>3.4208109177592001</v>
      </c>
      <c r="J184" s="131">
        <f>ROUND(I184*H184,2)</f>
        <v>1164.6199999999999</v>
      </c>
      <c r="K184" s="127" t="s">
        <v>293</v>
      </c>
      <c r="L184" s="268">
        <f>S184</f>
        <v>0</v>
      </c>
      <c r="M184" s="272">
        <f>ROUND(L184*I184,2)</f>
        <v>0</v>
      </c>
      <c r="N184" s="243"/>
      <c r="O184" s="294">
        <f>ROUND(N184*I184,2)</f>
        <v>0</v>
      </c>
      <c r="P184" s="273">
        <f>H184-L184-N184</f>
        <v>340.45</v>
      </c>
      <c r="Q184" s="287">
        <f>ROUND(P184*I184,2)</f>
        <v>1164.6199999999999</v>
      </c>
      <c r="R184" s="137"/>
      <c r="S184" s="269">
        <f>W184+Y184+AA184+AC184+AE184+AG184+AI184</f>
        <v>0</v>
      </c>
      <c r="T184" s="269">
        <f>ROUND(S184*I184,2)</f>
        <v>0</v>
      </c>
      <c r="U184" s="269">
        <f>H184-S184</f>
        <v>340.45</v>
      </c>
      <c r="V184" s="269">
        <f>ROUND(U184*I184,2)</f>
        <v>1164.6199999999999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CN184" s="132" t="s">
        <v>1</v>
      </c>
      <c r="CO184" s="133" t="s">
        <v>40</v>
      </c>
      <c r="CQ184" s="134">
        <f>CP184*H184</f>
        <v>0</v>
      </c>
      <c r="CR184" s="134">
        <v>0</v>
      </c>
      <c r="CS184" s="134">
        <f>CR184*H184</f>
        <v>0</v>
      </c>
      <c r="CT184" s="134">
        <v>0</v>
      </c>
      <c r="CU184" s="135">
        <f>CT184*H184</f>
        <v>0</v>
      </c>
      <c r="DS184" s="136" t="s">
        <v>95</v>
      </c>
      <c r="DU184" s="136" t="s">
        <v>284</v>
      </c>
      <c r="DV184" s="136" t="s">
        <v>83</v>
      </c>
      <c r="DZ184" s="16" t="s">
        <v>282</v>
      </c>
      <c r="EF184" s="137">
        <f>IF(CO184="základní",J184,0)</f>
        <v>1164.6199999999999</v>
      </c>
      <c r="EG184" s="137">
        <f>IF(CO184="snížená",J184,0)</f>
        <v>0</v>
      </c>
      <c r="EH184" s="137">
        <f>IF(CO184="zákl. přenesená",J184,0)</f>
        <v>0</v>
      </c>
      <c r="EI184" s="137">
        <f>IF(CO184="sníž. přenesená",J184,0)</f>
        <v>0</v>
      </c>
      <c r="EJ184" s="137">
        <f>IF(CO184="nulová",J184,0)</f>
        <v>0</v>
      </c>
      <c r="EK184" s="16" t="s">
        <v>81</v>
      </c>
      <c r="EL184" s="137">
        <f>ROUND(I184*H184,2)</f>
        <v>1164.6199999999999</v>
      </c>
      <c r="EM184" s="16" t="s">
        <v>95</v>
      </c>
      <c r="EN184" s="136" t="s">
        <v>2157</v>
      </c>
    </row>
    <row r="185" spans="2:144" s="1" customFormat="1" ht="48.75" x14ac:dyDescent="0.2">
      <c r="B185" s="31"/>
      <c r="D185" s="138" t="s">
        <v>289</v>
      </c>
      <c r="F185" s="139" t="s">
        <v>408</v>
      </c>
      <c r="I185" s="140"/>
      <c r="L185" s="31"/>
      <c r="N185" s="213"/>
      <c r="O185" s="214"/>
      <c r="Q185" s="229"/>
      <c r="CN185" s="141"/>
      <c r="CU185" s="50"/>
      <c r="DU185" s="16" t="s">
        <v>289</v>
      </c>
      <c r="DV185" s="16" t="s">
        <v>83</v>
      </c>
    </row>
    <row r="186" spans="2:144" s="12" customFormat="1" x14ac:dyDescent="0.2">
      <c r="B186" s="149"/>
      <c r="D186" s="138" t="s">
        <v>301</v>
      </c>
      <c r="F186" s="151" t="s">
        <v>2158</v>
      </c>
      <c r="H186" s="152">
        <v>340.45</v>
      </c>
      <c r="I186" s="153"/>
      <c r="L186" s="149"/>
      <c r="N186" s="217"/>
      <c r="O186" s="218"/>
      <c r="Q186" s="231"/>
      <c r="CN186" s="154"/>
      <c r="CU186" s="155"/>
      <c r="DU186" s="150" t="s">
        <v>301</v>
      </c>
      <c r="DV186" s="150" t="s">
        <v>83</v>
      </c>
      <c r="DW186" s="12" t="s">
        <v>83</v>
      </c>
      <c r="DX186" s="12" t="s">
        <v>3</v>
      </c>
      <c r="DY186" s="12" t="s">
        <v>81</v>
      </c>
      <c r="DZ186" s="150" t="s">
        <v>282</v>
      </c>
    </row>
    <row r="187" spans="2:144" s="1" customFormat="1" ht="24.2" customHeight="1" x14ac:dyDescent="0.2">
      <c r="B187" s="124"/>
      <c r="C187" s="125" t="s">
        <v>392</v>
      </c>
      <c r="D187" s="125" t="s">
        <v>284</v>
      </c>
      <c r="E187" s="126" t="s">
        <v>410</v>
      </c>
      <c r="F187" s="127" t="s">
        <v>411</v>
      </c>
      <c r="G187" s="128" t="s">
        <v>287</v>
      </c>
      <c r="H187" s="129">
        <v>17.64</v>
      </c>
      <c r="I187" s="130">
        <v>6.3644601414457247</v>
      </c>
      <c r="J187" s="131">
        <f>ROUND(I187*H187,2)</f>
        <v>112.27</v>
      </c>
      <c r="K187" s="127" t="s">
        <v>293</v>
      </c>
      <c r="L187" s="268">
        <f>S187</f>
        <v>0</v>
      </c>
      <c r="M187" s="272">
        <f>ROUND(L187*I187,2)</f>
        <v>0</v>
      </c>
      <c r="N187" s="243"/>
      <c r="O187" s="294">
        <f>ROUND(N187*I187,2)</f>
        <v>0</v>
      </c>
      <c r="P187" s="273">
        <f>H187-L187-N187</f>
        <v>17.64</v>
      </c>
      <c r="Q187" s="287">
        <f>ROUND(P187*I187,2)</f>
        <v>112.27</v>
      </c>
      <c r="R187" s="137"/>
      <c r="S187" s="269">
        <f>W187+Y187+AA187+AC187+AE187+AG187+AI187</f>
        <v>0</v>
      </c>
      <c r="T187" s="269">
        <f>ROUND(S187*I187,2)</f>
        <v>0</v>
      </c>
      <c r="U187" s="269">
        <f>H187-S187</f>
        <v>17.64</v>
      </c>
      <c r="V187" s="269">
        <f>ROUND(U187*I187,2)</f>
        <v>112.27</v>
      </c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CN187" s="132" t="s">
        <v>1</v>
      </c>
      <c r="CO187" s="133" t="s">
        <v>40</v>
      </c>
      <c r="CQ187" s="134">
        <f>CP187*H187</f>
        <v>0</v>
      </c>
      <c r="CR187" s="134">
        <v>0</v>
      </c>
      <c r="CS187" s="134">
        <f>CR187*H187</f>
        <v>0</v>
      </c>
      <c r="CT187" s="134">
        <v>0</v>
      </c>
      <c r="CU187" s="135">
        <f>CT187*H187</f>
        <v>0</v>
      </c>
      <c r="DS187" s="136" t="s">
        <v>95</v>
      </c>
      <c r="DU187" s="136" t="s">
        <v>284</v>
      </c>
      <c r="DV187" s="136" t="s">
        <v>83</v>
      </c>
      <c r="DZ187" s="16" t="s">
        <v>282</v>
      </c>
      <c r="EF187" s="137">
        <f>IF(CO187="základní",J187,0)</f>
        <v>112.27</v>
      </c>
      <c r="EG187" s="137">
        <f>IF(CO187="snížená",J187,0)</f>
        <v>0</v>
      </c>
      <c r="EH187" s="137">
        <f>IF(CO187="zákl. přenesená",J187,0)</f>
        <v>0</v>
      </c>
      <c r="EI187" s="137">
        <f>IF(CO187="sníž. přenesená",J187,0)</f>
        <v>0</v>
      </c>
      <c r="EJ187" s="137">
        <f>IF(CO187="nulová",J187,0)</f>
        <v>0</v>
      </c>
      <c r="EK187" s="16" t="s">
        <v>81</v>
      </c>
      <c r="EL187" s="137">
        <f>ROUND(I187*H187,2)</f>
        <v>112.27</v>
      </c>
      <c r="EM187" s="16" t="s">
        <v>95</v>
      </c>
      <c r="EN187" s="136" t="s">
        <v>2159</v>
      </c>
    </row>
    <row r="188" spans="2:144" s="1" customFormat="1" ht="19.5" x14ac:dyDescent="0.2">
      <c r="B188" s="31"/>
      <c r="D188" s="138" t="s">
        <v>289</v>
      </c>
      <c r="F188" s="139" t="s">
        <v>413</v>
      </c>
      <c r="I188" s="140"/>
      <c r="L188" s="31"/>
      <c r="N188" s="213"/>
      <c r="O188" s="214"/>
      <c r="Q188" s="229"/>
      <c r="CN188" s="141"/>
      <c r="CU188" s="50"/>
      <c r="DU188" s="16" t="s">
        <v>289</v>
      </c>
      <c r="DV188" s="16" t="s">
        <v>83</v>
      </c>
    </row>
    <row r="189" spans="2:144" s="1" customFormat="1" ht="19.5" x14ac:dyDescent="0.2">
      <c r="B189" s="31"/>
      <c r="D189" s="138" t="s">
        <v>299</v>
      </c>
      <c r="F189" s="142" t="s">
        <v>2137</v>
      </c>
      <c r="I189" s="140"/>
      <c r="L189" s="31"/>
      <c r="N189" s="213"/>
      <c r="O189" s="214"/>
      <c r="Q189" s="229"/>
      <c r="CN189" s="141"/>
      <c r="CU189" s="50"/>
      <c r="DU189" s="16" t="s">
        <v>299</v>
      </c>
      <c r="DV189" s="16" t="s">
        <v>83</v>
      </c>
    </row>
    <row r="190" spans="2:144" s="12" customFormat="1" x14ac:dyDescent="0.2">
      <c r="B190" s="149"/>
      <c r="D190" s="138" t="s">
        <v>301</v>
      </c>
      <c r="E190" s="150" t="s">
        <v>1</v>
      </c>
      <c r="F190" s="151" t="s">
        <v>2052</v>
      </c>
      <c r="H190" s="152">
        <v>17.64</v>
      </c>
      <c r="I190" s="153"/>
      <c r="L190" s="149"/>
      <c r="N190" s="217"/>
      <c r="O190" s="218"/>
      <c r="Q190" s="231"/>
      <c r="CN190" s="154"/>
      <c r="CU190" s="155"/>
      <c r="DU190" s="150" t="s">
        <v>301</v>
      </c>
      <c r="DV190" s="150" t="s">
        <v>83</v>
      </c>
      <c r="DW190" s="12" t="s">
        <v>83</v>
      </c>
      <c r="DX190" s="12" t="s">
        <v>32</v>
      </c>
      <c r="DY190" s="12" t="s">
        <v>81</v>
      </c>
      <c r="DZ190" s="150" t="s">
        <v>282</v>
      </c>
    </row>
    <row r="191" spans="2:144" s="1" customFormat="1" ht="24.2" customHeight="1" x14ac:dyDescent="0.2">
      <c r="B191" s="124"/>
      <c r="C191" s="125" t="s">
        <v>397</v>
      </c>
      <c r="D191" s="125" t="s">
        <v>284</v>
      </c>
      <c r="E191" s="126" t="s">
        <v>416</v>
      </c>
      <c r="F191" s="127" t="s">
        <v>417</v>
      </c>
      <c r="G191" s="128" t="s">
        <v>418</v>
      </c>
      <c r="H191" s="129">
        <v>122.562</v>
      </c>
      <c r="I191" s="130">
        <v>110.6455721</v>
      </c>
      <c r="J191" s="131">
        <f>ROUND(I191*H191,2)</f>
        <v>13560.94</v>
      </c>
      <c r="K191" s="127" t="s">
        <v>293</v>
      </c>
      <c r="L191" s="268">
        <f>S191</f>
        <v>0</v>
      </c>
      <c r="M191" s="272">
        <f>ROUND(L191*I191,2)</f>
        <v>0</v>
      </c>
      <c r="N191" s="243"/>
      <c r="O191" s="294">
        <f>ROUND(N191*I191,2)</f>
        <v>0</v>
      </c>
      <c r="P191" s="273">
        <f>H191-L191-N191</f>
        <v>122.562</v>
      </c>
      <c r="Q191" s="287">
        <f>ROUND(P191*I191,2)</f>
        <v>13560.94</v>
      </c>
      <c r="R191" s="137"/>
      <c r="S191" s="269">
        <f>W191+Y191+AA191+AC191+AE191+AG191+AI191</f>
        <v>0</v>
      </c>
      <c r="T191" s="269">
        <f>ROUND(S191*I191,2)</f>
        <v>0</v>
      </c>
      <c r="U191" s="269">
        <f>H191-S191</f>
        <v>122.562</v>
      </c>
      <c r="V191" s="269">
        <f>ROUND(U191*I191,2)</f>
        <v>13560.94</v>
      </c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CN191" s="132" t="s">
        <v>1</v>
      </c>
      <c r="CO191" s="133" t="s">
        <v>40</v>
      </c>
      <c r="CQ191" s="134">
        <f>CP191*H191</f>
        <v>0</v>
      </c>
      <c r="CR191" s="134">
        <v>0</v>
      </c>
      <c r="CS191" s="134">
        <f>CR191*H191</f>
        <v>0</v>
      </c>
      <c r="CT191" s="134">
        <v>0</v>
      </c>
      <c r="CU191" s="135">
        <f>CT191*H191</f>
        <v>0</v>
      </c>
      <c r="DS191" s="136" t="s">
        <v>95</v>
      </c>
      <c r="DU191" s="136" t="s">
        <v>284</v>
      </c>
      <c r="DV191" s="136" t="s">
        <v>83</v>
      </c>
      <c r="DZ191" s="16" t="s">
        <v>282</v>
      </c>
      <c r="EF191" s="137">
        <f>IF(CO191="základní",J191,0)</f>
        <v>13560.94</v>
      </c>
      <c r="EG191" s="137">
        <f>IF(CO191="snížená",J191,0)</f>
        <v>0</v>
      </c>
      <c r="EH191" s="137">
        <f>IF(CO191="zákl. přenesená",J191,0)</f>
        <v>0</v>
      </c>
      <c r="EI191" s="137">
        <f>IF(CO191="sníž. přenesená",J191,0)</f>
        <v>0</v>
      </c>
      <c r="EJ191" s="137">
        <f>IF(CO191="nulová",J191,0)</f>
        <v>0</v>
      </c>
      <c r="EK191" s="16" t="s">
        <v>81</v>
      </c>
      <c r="EL191" s="137">
        <f>ROUND(I191*H191,2)</f>
        <v>13560.94</v>
      </c>
      <c r="EM191" s="16" t="s">
        <v>95</v>
      </c>
      <c r="EN191" s="136" t="s">
        <v>2160</v>
      </c>
    </row>
    <row r="192" spans="2:144" s="1" customFormat="1" ht="29.25" x14ac:dyDescent="0.2">
      <c r="B192" s="31"/>
      <c r="D192" s="138" t="s">
        <v>289</v>
      </c>
      <c r="F192" s="139" t="s">
        <v>420</v>
      </c>
      <c r="I192" s="140"/>
      <c r="L192" s="31"/>
      <c r="N192" s="213"/>
      <c r="O192" s="214"/>
      <c r="Q192" s="229"/>
      <c r="CN192" s="141"/>
      <c r="CU192" s="50"/>
      <c r="DU192" s="16" t="s">
        <v>289</v>
      </c>
      <c r="DV192" s="16" t="s">
        <v>83</v>
      </c>
    </row>
    <row r="193" spans="2:144" s="12" customFormat="1" x14ac:dyDescent="0.2">
      <c r="B193" s="149"/>
      <c r="D193" s="138" t="s">
        <v>301</v>
      </c>
      <c r="F193" s="151" t="s">
        <v>2161</v>
      </c>
      <c r="H193" s="152">
        <v>122.562</v>
      </c>
      <c r="I193" s="153"/>
      <c r="L193" s="149"/>
      <c r="N193" s="217"/>
      <c r="O193" s="218"/>
      <c r="Q193" s="231"/>
      <c r="CN193" s="154"/>
      <c r="CU193" s="155"/>
      <c r="DU193" s="150" t="s">
        <v>301</v>
      </c>
      <c r="DV193" s="150" t="s">
        <v>83</v>
      </c>
      <c r="DW193" s="12" t="s">
        <v>83</v>
      </c>
      <c r="DX193" s="12" t="s">
        <v>3</v>
      </c>
      <c r="DY193" s="12" t="s">
        <v>81</v>
      </c>
      <c r="DZ193" s="150" t="s">
        <v>282</v>
      </c>
    </row>
    <row r="194" spans="2:144" s="1" customFormat="1" ht="24.2" customHeight="1" x14ac:dyDescent="0.2">
      <c r="B194" s="124"/>
      <c r="C194" s="125" t="s">
        <v>404</v>
      </c>
      <c r="D194" s="125" t="s">
        <v>284</v>
      </c>
      <c r="E194" s="126" t="s">
        <v>423</v>
      </c>
      <c r="F194" s="127" t="s">
        <v>424</v>
      </c>
      <c r="G194" s="128" t="s">
        <v>366</v>
      </c>
      <c r="H194" s="129">
        <v>50.646000000000001</v>
      </c>
      <c r="I194" s="130">
        <v>140.64048227116101</v>
      </c>
      <c r="J194" s="131">
        <f>ROUND(I194*H194,2)</f>
        <v>7122.88</v>
      </c>
      <c r="K194" s="127" t="s">
        <v>293</v>
      </c>
      <c r="L194" s="268">
        <f>S194</f>
        <v>0</v>
      </c>
      <c r="M194" s="272">
        <f>ROUND(L194*I194,2)</f>
        <v>0</v>
      </c>
      <c r="N194" s="243"/>
      <c r="O194" s="294">
        <f>ROUND(N194*I194,2)</f>
        <v>0</v>
      </c>
      <c r="P194" s="273">
        <f>H194-L194-N194</f>
        <v>50.646000000000001</v>
      </c>
      <c r="Q194" s="287">
        <f>ROUND(P194*I194,2)</f>
        <v>7122.88</v>
      </c>
      <c r="R194" s="137"/>
      <c r="S194" s="269">
        <f>W194+Y194+AA194+AC194+AE194+AG194+AI194</f>
        <v>0</v>
      </c>
      <c r="T194" s="269">
        <f>ROUND(S194*I194,2)</f>
        <v>0</v>
      </c>
      <c r="U194" s="269">
        <f>H194-S194</f>
        <v>50.646000000000001</v>
      </c>
      <c r="V194" s="269">
        <f>ROUND(U194*I194,2)</f>
        <v>7122.88</v>
      </c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CN194" s="132" t="s">
        <v>1</v>
      </c>
      <c r="CO194" s="133" t="s">
        <v>40</v>
      </c>
      <c r="CQ194" s="134">
        <f>CP194*H194</f>
        <v>0</v>
      </c>
      <c r="CR194" s="134">
        <v>0</v>
      </c>
      <c r="CS194" s="134">
        <f>CR194*H194</f>
        <v>0</v>
      </c>
      <c r="CT194" s="134">
        <v>0</v>
      </c>
      <c r="CU194" s="135">
        <f>CT194*H194</f>
        <v>0</v>
      </c>
      <c r="DS194" s="136" t="s">
        <v>95</v>
      </c>
      <c r="DU194" s="136" t="s">
        <v>284</v>
      </c>
      <c r="DV194" s="136" t="s">
        <v>83</v>
      </c>
      <c r="DZ194" s="16" t="s">
        <v>282</v>
      </c>
      <c r="EF194" s="137">
        <f>IF(CO194="základní",J194,0)</f>
        <v>7122.88</v>
      </c>
      <c r="EG194" s="137">
        <f>IF(CO194="snížená",J194,0)</f>
        <v>0</v>
      </c>
      <c r="EH194" s="137">
        <f>IF(CO194="zákl. přenesená",J194,0)</f>
        <v>0</v>
      </c>
      <c r="EI194" s="137">
        <f>IF(CO194="sníž. přenesená",J194,0)</f>
        <v>0</v>
      </c>
      <c r="EJ194" s="137">
        <f>IF(CO194="nulová",J194,0)</f>
        <v>0</v>
      </c>
      <c r="EK194" s="16" t="s">
        <v>81</v>
      </c>
      <c r="EL194" s="137">
        <f>ROUND(I194*H194,2)</f>
        <v>7122.88</v>
      </c>
      <c r="EM194" s="16" t="s">
        <v>95</v>
      </c>
      <c r="EN194" s="136" t="s">
        <v>2162</v>
      </c>
    </row>
    <row r="195" spans="2:144" s="1" customFormat="1" ht="29.25" x14ac:dyDescent="0.2">
      <c r="B195" s="31"/>
      <c r="D195" s="138" t="s">
        <v>289</v>
      </c>
      <c r="F195" s="139" t="s">
        <v>426</v>
      </c>
      <c r="I195" s="140"/>
      <c r="L195" s="31"/>
      <c r="N195" s="213"/>
      <c r="O195" s="214"/>
      <c r="Q195" s="229"/>
      <c r="CN195" s="141"/>
      <c r="CU195" s="50"/>
      <c r="DU195" s="16" t="s">
        <v>289</v>
      </c>
      <c r="DV195" s="16" t="s">
        <v>83</v>
      </c>
    </row>
    <row r="196" spans="2:144" s="11" customFormat="1" x14ac:dyDescent="0.2">
      <c r="B196" s="143"/>
      <c r="D196" s="138" t="s">
        <v>301</v>
      </c>
      <c r="E196" s="144" t="s">
        <v>1</v>
      </c>
      <c r="F196" s="145" t="s">
        <v>1866</v>
      </c>
      <c r="H196" s="144" t="s">
        <v>1</v>
      </c>
      <c r="I196" s="146"/>
      <c r="L196" s="143"/>
      <c r="N196" s="215"/>
      <c r="O196" s="216"/>
      <c r="Q196" s="230"/>
      <c r="CN196" s="147"/>
      <c r="CU196" s="148"/>
      <c r="DU196" s="144" t="s">
        <v>301</v>
      </c>
      <c r="DV196" s="144" t="s">
        <v>83</v>
      </c>
      <c r="DW196" s="11" t="s">
        <v>81</v>
      </c>
      <c r="DX196" s="11" t="s">
        <v>32</v>
      </c>
      <c r="DY196" s="11" t="s">
        <v>74</v>
      </c>
      <c r="DZ196" s="144" t="s">
        <v>282</v>
      </c>
    </row>
    <row r="197" spans="2:144" s="12" customFormat="1" x14ac:dyDescent="0.2">
      <c r="B197" s="149"/>
      <c r="D197" s="138" t="s">
        <v>301</v>
      </c>
      <c r="E197" s="150" t="s">
        <v>1</v>
      </c>
      <c r="F197" s="151" t="s">
        <v>2156</v>
      </c>
      <c r="H197" s="152">
        <v>68.09</v>
      </c>
      <c r="I197" s="153"/>
      <c r="L197" s="149"/>
      <c r="N197" s="217"/>
      <c r="O197" s="218"/>
      <c r="Q197" s="231"/>
      <c r="CN197" s="154"/>
      <c r="CU197" s="155"/>
      <c r="DU197" s="150" t="s">
        <v>301</v>
      </c>
      <c r="DV197" s="150" t="s">
        <v>83</v>
      </c>
      <c r="DW197" s="12" t="s">
        <v>83</v>
      </c>
      <c r="DX197" s="12" t="s">
        <v>32</v>
      </c>
      <c r="DY197" s="12" t="s">
        <v>74</v>
      </c>
      <c r="DZ197" s="150" t="s">
        <v>282</v>
      </c>
    </row>
    <row r="198" spans="2:144" s="11" customFormat="1" x14ac:dyDescent="0.2">
      <c r="B198" s="143"/>
      <c r="D198" s="138" t="s">
        <v>301</v>
      </c>
      <c r="E198" s="144" t="s">
        <v>1</v>
      </c>
      <c r="F198" s="145" t="s">
        <v>1867</v>
      </c>
      <c r="H198" s="144" t="s">
        <v>1</v>
      </c>
      <c r="I198" s="146"/>
      <c r="L198" s="143"/>
      <c r="N198" s="215"/>
      <c r="O198" s="216"/>
      <c r="Q198" s="230"/>
      <c r="CN198" s="147"/>
      <c r="CU198" s="148"/>
      <c r="DU198" s="144" t="s">
        <v>301</v>
      </c>
      <c r="DV198" s="144" t="s">
        <v>83</v>
      </c>
      <c r="DW198" s="11" t="s">
        <v>81</v>
      </c>
      <c r="DX198" s="11" t="s">
        <v>32</v>
      </c>
      <c r="DY198" s="11" t="s">
        <v>74</v>
      </c>
      <c r="DZ198" s="144" t="s">
        <v>282</v>
      </c>
    </row>
    <row r="199" spans="2:144" s="12" customFormat="1" x14ac:dyDescent="0.2">
      <c r="B199" s="149"/>
      <c r="D199" s="138" t="s">
        <v>301</v>
      </c>
      <c r="E199" s="150" t="s">
        <v>1</v>
      </c>
      <c r="F199" s="151" t="s">
        <v>2081</v>
      </c>
      <c r="H199" s="152">
        <v>-3.528</v>
      </c>
      <c r="I199" s="153"/>
      <c r="L199" s="149"/>
      <c r="N199" s="217"/>
      <c r="O199" s="218"/>
      <c r="Q199" s="231"/>
      <c r="CN199" s="154"/>
      <c r="CU199" s="155"/>
      <c r="DU199" s="150" t="s">
        <v>301</v>
      </c>
      <c r="DV199" s="150" t="s">
        <v>83</v>
      </c>
      <c r="DW199" s="12" t="s">
        <v>83</v>
      </c>
      <c r="DX199" s="12" t="s">
        <v>32</v>
      </c>
      <c r="DY199" s="12" t="s">
        <v>74</v>
      </c>
      <c r="DZ199" s="150" t="s">
        <v>282</v>
      </c>
    </row>
    <row r="200" spans="2:144" s="11" customFormat="1" x14ac:dyDescent="0.2">
      <c r="B200" s="143"/>
      <c r="D200" s="138" t="s">
        <v>301</v>
      </c>
      <c r="E200" s="144" t="s">
        <v>1</v>
      </c>
      <c r="F200" s="145" t="s">
        <v>1869</v>
      </c>
      <c r="H200" s="144" t="s">
        <v>1</v>
      </c>
      <c r="I200" s="146"/>
      <c r="L200" s="143"/>
      <c r="N200" s="215"/>
      <c r="O200" s="216"/>
      <c r="Q200" s="230"/>
      <c r="CN200" s="147"/>
      <c r="CU200" s="148"/>
      <c r="DU200" s="144" t="s">
        <v>301</v>
      </c>
      <c r="DV200" s="144" t="s">
        <v>83</v>
      </c>
      <c r="DW200" s="11" t="s">
        <v>81</v>
      </c>
      <c r="DX200" s="11" t="s">
        <v>32</v>
      </c>
      <c r="DY200" s="11" t="s">
        <v>74</v>
      </c>
      <c r="DZ200" s="144" t="s">
        <v>282</v>
      </c>
    </row>
    <row r="201" spans="2:144" s="12" customFormat="1" x14ac:dyDescent="0.2">
      <c r="B201" s="149"/>
      <c r="D201" s="138" t="s">
        <v>301</v>
      </c>
      <c r="E201" s="150" t="s">
        <v>1</v>
      </c>
      <c r="F201" s="151" t="s">
        <v>2082</v>
      </c>
      <c r="H201" s="152">
        <v>-1.0609999999999999</v>
      </c>
      <c r="I201" s="153"/>
      <c r="L201" s="149"/>
      <c r="N201" s="217"/>
      <c r="O201" s="218"/>
      <c r="Q201" s="231"/>
      <c r="CN201" s="154"/>
      <c r="CU201" s="155"/>
      <c r="DU201" s="150" t="s">
        <v>301</v>
      </c>
      <c r="DV201" s="150" t="s">
        <v>83</v>
      </c>
      <c r="DW201" s="12" t="s">
        <v>83</v>
      </c>
      <c r="DX201" s="12" t="s">
        <v>32</v>
      </c>
      <c r="DY201" s="12" t="s">
        <v>74</v>
      </c>
      <c r="DZ201" s="150" t="s">
        <v>282</v>
      </c>
    </row>
    <row r="202" spans="2:144" s="12" customFormat="1" x14ac:dyDescent="0.2">
      <c r="B202" s="149"/>
      <c r="D202" s="138" t="s">
        <v>301</v>
      </c>
      <c r="E202" s="150" t="s">
        <v>1</v>
      </c>
      <c r="F202" s="151" t="s">
        <v>2163</v>
      </c>
      <c r="H202" s="152">
        <v>-12.855</v>
      </c>
      <c r="I202" s="153"/>
      <c r="L202" s="149"/>
      <c r="N202" s="217"/>
      <c r="O202" s="218"/>
      <c r="Q202" s="231"/>
      <c r="CN202" s="154"/>
      <c r="CU202" s="155"/>
      <c r="DU202" s="150" t="s">
        <v>301</v>
      </c>
      <c r="DV202" s="150" t="s">
        <v>83</v>
      </c>
      <c r="DW202" s="12" t="s">
        <v>83</v>
      </c>
      <c r="DX202" s="12" t="s">
        <v>32</v>
      </c>
      <c r="DY202" s="12" t="s">
        <v>74</v>
      </c>
      <c r="DZ202" s="150" t="s">
        <v>282</v>
      </c>
    </row>
    <row r="203" spans="2:144" s="13" customFormat="1" x14ac:dyDescent="0.2">
      <c r="B203" s="156"/>
      <c r="D203" s="138" t="s">
        <v>301</v>
      </c>
      <c r="E203" s="157" t="s">
        <v>1</v>
      </c>
      <c r="F203" s="158" t="s">
        <v>305</v>
      </c>
      <c r="H203" s="159">
        <v>50.646000000000001</v>
      </c>
      <c r="I203" s="160"/>
      <c r="L203" s="156"/>
      <c r="N203" s="219"/>
      <c r="O203" s="220"/>
      <c r="Q203" s="232"/>
      <c r="CN203" s="161"/>
      <c r="CU203" s="162"/>
      <c r="DU203" s="157" t="s">
        <v>301</v>
      </c>
      <c r="DV203" s="157" t="s">
        <v>83</v>
      </c>
      <c r="DW203" s="13" t="s">
        <v>95</v>
      </c>
      <c r="DX203" s="13" t="s">
        <v>32</v>
      </c>
      <c r="DY203" s="13" t="s">
        <v>81</v>
      </c>
      <c r="DZ203" s="157" t="s">
        <v>282</v>
      </c>
    </row>
    <row r="204" spans="2:144" s="1" customFormat="1" ht="14.45" customHeight="1" x14ac:dyDescent="0.2">
      <c r="B204" s="124"/>
      <c r="C204" s="170" t="s">
        <v>7</v>
      </c>
      <c r="D204" s="170" t="s">
        <v>439</v>
      </c>
      <c r="E204" s="171" t="s">
        <v>440</v>
      </c>
      <c r="F204" s="172" t="s">
        <v>441</v>
      </c>
      <c r="G204" s="173" t="s">
        <v>418</v>
      </c>
      <c r="H204" s="174">
        <v>101.292</v>
      </c>
      <c r="I204" s="175">
        <v>390.0974172</v>
      </c>
      <c r="J204" s="176">
        <f>ROUND(I204*H204,2)</f>
        <v>39513.75</v>
      </c>
      <c r="K204" s="172" t="s">
        <v>293</v>
      </c>
      <c r="L204" s="268">
        <f>S204</f>
        <v>0</v>
      </c>
      <c r="M204" s="272">
        <f>ROUND(L204*I204,2)</f>
        <v>0</v>
      </c>
      <c r="N204" s="243"/>
      <c r="O204" s="294">
        <f>ROUND(N204*I204,2)</f>
        <v>0</v>
      </c>
      <c r="P204" s="273">
        <f>H204-L204-N204</f>
        <v>101.292</v>
      </c>
      <c r="Q204" s="287">
        <f>ROUND(P204*I204,2)</f>
        <v>39513.75</v>
      </c>
      <c r="R204" s="137"/>
      <c r="S204" s="269">
        <f>W204+Y204+AA204+AC204+AE204+AG204+AI204</f>
        <v>0</v>
      </c>
      <c r="T204" s="269">
        <f>ROUND(S204*I204,2)</f>
        <v>0</v>
      </c>
      <c r="U204" s="269">
        <f>H204-S204</f>
        <v>101.292</v>
      </c>
      <c r="V204" s="269">
        <f>ROUND(U204*I204,2)</f>
        <v>39513.75</v>
      </c>
      <c r="W204" s="290"/>
      <c r="X204" s="290"/>
      <c r="Y204" s="290"/>
      <c r="Z204" s="290"/>
      <c r="AA204" s="290"/>
      <c r="AB204" s="290"/>
      <c r="AC204" s="290"/>
      <c r="AD204" s="290"/>
      <c r="AE204" s="290"/>
      <c r="AF204" s="290"/>
      <c r="AG204" s="290"/>
      <c r="AH204" s="290"/>
      <c r="AI204" s="290"/>
      <c r="AJ204" s="290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77" t="s">
        <v>1</v>
      </c>
      <c r="CO204" s="178" t="s">
        <v>40</v>
      </c>
      <c r="CQ204" s="134">
        <f>CP204*H204</f>
        <v>0</v>
      </c>
      <c r="CR204" s="134">
        <v>1</v>
      </c>
      <c r="CS204" s="134">
        <f>CR204*H204</f>
        <v>101.292</v>
      </c>
      <c r="CT204" s="134">
        <v>0</v>
      </c>
      <c r="CU204" s="135">
        <f>CT204*H204</f>
        <v>0</v>
      </c>
      <c r="DS204" s="136" t="s">
        <v>328</v>
      </c>
      <c r="DU204" s="136" t="s">
        <v>439</v>
      </c>
      <c r="DV204" s="136" t="s">
        <v>83</v>
      </c>
      <c r="DZ204" s="16" t="s">
        <v>282</v>
      </c>
      <c r="EF204" s="137">
        <f>IF(CO204="základní",J204,0)</f>
        <v>39513.75</v>
      </c>
      <c r="EG204" s="137">
        <f>IF(CO204="snížená",J204,0)</f>
        <v>0</v>
      </c>
      <c r="EH204" s="137">
        <f>IF(CO204="zákl. přenesená",J204,0)</f>
        <v>0</v>
      </c>
      <c r="EI204" s="137">
        <f>IF(CO204="sníž. přenesená",J204,0)</f>
        <v>0</v>
      </c>
      <c r="EJ204" s="137">
        <f>IF(CO204="nulová",J204,0)</f>
        <v>0</v>
      </c>
      <c r="EK204" s="16" t="s">
        <v>81</v>
      </c>
      <c r="EL204" s="137">
        <f>ROUND(I204*H204,2)</f>
        <v>39513.75</v>
      </c>
      <c r="EM204" s="16" t="s">
        <v>95</v>
      </c>
      <c r="EN204" s="136" t="s">
        <v>2164</v>
      </c>
    </row>
    <row r="205" spans="2:144" s="1" customFormat="1" x14ac:dyDescent="0.2">
      <c r="B205" s="31"/>
      <c r="D205" s="138" t="s">
        <v>289</v>
      </c>
      <c r="F205" s="139" t="s">
        <v>441</v>
      </c>
      <c r="I205" s="140"/>
      <c r="L205" s="31"/>
      <c r="N205" s="213"/>
      <c r="O205" s="214"/>
      <c r="Q205" s="229"/>
      <c r="CN205" s="141"/>
      <c r="CU205" s="50"/>
      <c r="DU205" s="16" t="s">
        <v>289</v>
      </c>
      <c r="DV205" s="16" t="s">
        <v>83</v>
      </c>
    </row>
    <row r="206" spans="2:144" s="1" customFormat="1" ht="19.5" x14ac:dyDescent="0.2">
      <c r="B206" s="31"/>
      <c r="D206" s="138" t="s">
        <v>299</v>
      </c>
      <c r="F206" s="142" t="s">
        <v>443</v>
      </c>
      <c r="I206" s="140"/>
      <c r="L206" s="31"/>
      <c r="N206" s="213"/>
      <c r="O206" s="214"/>
      <c r="Q206" s="229"/>
      <c r="CN206" s="141"/>
      <c r="CU206" s="50"/>
      <c r="DU206" s="16" t="s">
        <v>299</v>
      </c>
      <c r="DV206" s="16" t="s">
        <v>83</v>
      </c>
    </row>
    <row r="207" spans="2:144" s="12" customFormat="1" x14ac:dyDescent="0.2">
      <c r="B207" s="149"/>
      <c r="D207" s="138" t="s">
        <v>301</v>
      </c>
      <c r="F207" s="151" t="s">
        <v>2165</v>
      </c>
      <c r="H207" s="152">
        <v>101.292</v>
      </c>
      <c r="I207" s="153"/>
      <c r="L207" s="149"/>
      <c r="N207" s="217"/>
      <c r="O207" s="218"/>
      <c r="Q207" s="231"/>
      <c r="CN207" s="154"/>
      <c r="CU207" s="155"/>
      <c r="DU207" s="150" t="s">
        <v>301</v>
      </c>
      <c r="DV207" s="150" t="s">
        <v>83</v>
      </c>
      <c r="DW207" s="12" t="s">
        <v>83</v>
      </c>
      <c r="DX207" s="12" t="s">
        <v>3</v>
      </c>
      <c r="DY207" s="12" t="s">
        <v>81</v>
      </c>
      <c r="DZ207" s="150" t="s">
        <v>282</v>
      </c>
    </row>
    <row r="208" spans="2:144" s="1" customFormat="1" ht="24.2" customHeight="1" x14ac:dyDescent="0.2">
      <c r="B208" s="124"/>
      <c r="C208" s="125" t="s">
        <v>415</v>
      </c>
      <c r="D208" s="125" t="s">
        <v>284</v>
      </c>
      <c r="E208" s="126" t="s">
        <v>457</v>
      </c>
      <c r="F208" s="127" t="s">
        <v>458</v>
      </c>
      <c r="G208" s="128" t="s">
        <v>418</v>
      </c>
      <c r="H208" s="129">
        <v>101.292</v>
      </c>
      <c r="I208" s="130">
        <v>61.737071122597108</v>
      </c>
      <c r="J208" s="131">
        <f>ROUND(I208*H208,2)</f>
        <v>6253.47</v>
      </c>
      <c r="K208" s="127" t="s">
        <v>293</v>
      </c>
      <c r="L208" s="268">
        <f>S208</f>
        <v>0</v>
      </c>
      <c r="M208" s="272">
        <f>ROUND(L208*I208,2)</f>
        <v>0</v>
      </c>
      <c r="N208" s="243"/>
      <c r="O208" s="294">
        <f>ROUND(N208*I208,2)</f>
        <v>0</v>
      </c>
      <c r="P208" s="273">
        <f>H208-L208-N208</f>
        <v>101.292</v>
      </c>
      <c r="Q208" s="287">
        <f>ROUND(P208*I208,2)</f>
        <v>6253.47</v>
      </c>
      <c r="R208" s="137"/>
      <c r="S208" s="269">
        <f>W208+Y208+AA208+AC208+AE208+AG208+AI208</f>
        <v>0</v>
      </c>
      <c r="T208" s="269">
        <f>ROUND(S208*I208,2)</f>
        <v>0</v>
      </c>
      <c r="U208" s="269">
        <f>H208-S208</f>
        <v>101.292</v>
      </c>
      <c r="V208" s="269">
        <f>ROUND(U208*I208,2)</f>
        <v>6253.47</v>
      </c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CN208" s="132" t="s">
        <v>1</v>
      </c>
      <c r="CO208" s="133" t="s">
        <v>40</v>
      </c>
      <c r="CQ208" s="134">
        <f>CP208*H208</f>
        <v>0</v>
      </c>
      <c r="CR208" s="134">
        <v>0</v>
      </c>
      <c r="CS208" s="134">
        <f>CR208*H208</f>
        <v>0</v>
      </c>
      <c r="CT208" s="134">
        <v>0</v>
      </c>
      <c r="CU208" s="135">
        <f>CT208*H208</f>
        <v>0</v>
      </c>
      <c r="DS208" s="136" t="s">
        <v>95</v>
      </c>
      <c r="DU208" s="136" t="s">
        <v>284</v>
      </c>
      <c r="DV208" s="136" t="s">
        <v>83</v>
      </c>
      <c r="DZ208" s="16" t="s">
        <v>282</v>
      </c>
      <c r="EF208" s="137">
        <f>IF(CO208="základní",J208,0)</f>
        <v>6253.47</v>
      </c>
      <c r="EG208" s="137">
        <f>IF(CO208="snížená",J208,0)</f>
        <v>0</v>
      </c>
      <c r="EH208" s="137">
        <f>IF(CO208="zákl. přenesená",J208,0)</f>
        <v>0</v>
      </c>
      <c r="EI208" s="137">
        <f>IF(CO208="sníž. přenesená",J208,0)</f>
        <v>0</v>
      </c>
      <c r="EJ208" s="137">
        <f>IF(CO208="nulová",J208,0)</f>
        <v>0</v>
      </c>
      <c r="EK208" s="16" t="s">
        <v>81</v>
      </c>
      <c r="EL208" s="137">
        <f>ROUND(I208*H208,2)</f>
        <v>6253.47</v>
      </c>
      <c r="EM208" s="16" t="s">
        <v>95</v>
      </c>
      <c r="EN208" s="136" t="s">
        <v>2166</v>
      </c>
    </row>
    <row r="209" spans="2:144" s="1" customFormat="1" ht="29.25" x14ac:dyDescent="0.2">
      <c r="B209" s="31"/>
      <c r="D209" s="138" t="s">
        <v>289</v>
      </c>
      <c r="F209" s="139" t="s">
        <v>460</v>
      </c>
      <c r="I209" s="140"/>
      <c r="L209" s="31"/>
      <c r="N209" s="213"/>
      <c r="O209" s="214"/>
      <c r="Q209" s="229"/>
      <c r="CN209" s="141"/>
      <c r="CU209" s="50"/>
      <c r="DU209" s="16" t="s">
        <v>289</v>
      </c>
      <c r="DV209" s="16" t="s">
        <v>83</v>
      </c>
    </row>
    <row r="210" spans="2:144" s="12" customFormat="1" x14ac:dyDescent="0.2">
      <c r="B210" s="149"/>
      <c r="D210" s="138" t="s">
        <v>301</v>
      </c>
      <c r="E210" s="150" t="s">
        <v>1</v>
      </c>
      <c r="F210" s="151" t="s">
        <v>2167</v>
      </c>
      <c r="H210" s="152">
        <v>101.292</v>
      </c>
      <c r="I210" s="153"/>
      <c r="L210" s="149"/>
      <c r="N210" s="217"/>
      <c r="O210" s="218"/>
      <c r="Q210" s="231"/>
      <c r="CN210" s="154"/>
      <c r="CU210" s="155"/>
      <c r="DU210" s="150" t="s">
        <v>301</v>
      </c>
      <c r="DV210" s="150" t="s">
        <v>83</v>
      </c>
      <c r="DW210" s="12" t="s">
        <v>83</v>
      </c>
      <c r="DX210" s="12" t="s">
        <v>32</v>
      </c>
      <c r="DY210" s="12" t="s">
        <v>81</v>
      </c>
      <c r="DZ210" s="150" t="s">
        <v>282</v>
      </c>
    </row>
    <row r="211" spans="2:144" s="10" customFormat="1" ht="22.9" customHeight="1" x14ac:dyDescent="0.2">
      <c r="B211" s="112"/>
      <c r="D211" s="113" t="s">
        <v>73</v>
      </c>
      <c r="E211" s="122" t="s">
        <v>83</v>
      </c>
      <c r="F211" s="122" t="s">
        <v>462</v>
      </c>
      <c r="I211" s="115"/>
      <c r="J211" s="123">
        <f>EL211</f>
        <v>203533.76</v>
      </c>
      <c r="L211" s="112"/>
      <c r="M211" s="270">
        <f>SUM(M212:M248)</f>
        <v>0</v>
      </c>
      <c r="N211" s="301"/>
      <c r="O211" s="302">
        <f t="shared" ref="O211:V211" si="3">SUM(O212:O248)</f>
        <v>0</v>
      </c>
      <c r="P211" s="270"/>
      <c r="Q211" s="288">
        <f t="shared" si="3"/>
        <v>203533.76</v>
      </c>
      <c r="R211" s="270"/>
      <c r="S211" s="270"/>
      <c r="T211" s="270">
        <f t="shared" si="3"/>
        <v>0</v>
      </c>
      <c r="U211" s="270"/>
      <c r="V211" s="270">
        <f t="shared" si="3"/>
        <v>203533.76</v>
      </c>
      <c r="CN211" s="117"/>
      <c r="CQ211" s="118">
        <f>SUM(CQ212:CQ249)</f>
        <v>0</v>
      </c>
      <c r="CS211" s="118">
        <f>SUM(CS212:CS249)</f>
        <v>18.507873679999999</v>
      </c>
      <c r="CU211" s="119">
        <f>SUM(CU212:CU249)</f>
        <v>0</v>
      </c>
      <c r="DS211" s="113" t="s">
        <v>81</v>
      </c>
      <c r="DU211" s="120" t="s">
        <v>73</v>
      </c>
      <c r="DV211" s="120" t="s">
        <v>81</v>
      </c>
      <c r="DZ211" s="113" t="s">
        <v>282</v>
      </c>
      <c r="EL211" s="121">
        <f>SUM(EL212:EL249)</f>
        <v>203533.76</v>
      </c>
    </row>
    <row r="212" spans="2:144" s="1" customFormat="1" ht="37.9" customHeight="1" x14ac:dyDescent="0.2">
      <c r="B212" s="124"/>
      <c r="C212" s="125" t="s">
        <v>422</v>
      </c>
      <c r="D212" s="125" t="s">
        <v>284</v>
      </c>
      <c r="E212" s="126" t="s">
        <v>464</v>
      </c>
      <c r="F212" s="127" t="s">
        <v>465</v>
      </c>
      <c r="G212" s="128" t="s">
        <v>344</v>
      </c>
      <c r="H212" s="129">
        <v>16.8</v>
      </c>
      <c r="I212" s="130">
        <v>264.06831423630393</v>
      </c>
      <c r="J212" s="131">
        <f>ROUND(I212*H212,2)</f>
        <v>4436.3500000000004</v>
      </c>
      <c r="K212" s="127" t="s">
        <v>293</v>
      </c>
      <c r="L212" s="268">
        <f>S212</f>
        <v>0</v>
      </c>
      <c r="M212" s="272">
        <f>ROUND(L212*I212,2)</f>
        <v>0</v>
      </c>
      <c r="N212" s="243"/>
      <c r="O212" s="294">
        <f>ROUND(N212*I212,2)</f>
        <v>0</v>
      </c>
      <c r="P212" s="273">
        <f>H212-L212-N212</f>
        <v>16.8</v>
      </c>
      <c r="Q212" s="287">
        <f>ROUND(P212*I212,2)</f>
        <v>4436.3500000000004</v>
      </c>
      <c r="R212" s="137"/>
      <c r="S212" s="269">
        <f>W212+Y212+AA212+AC212+AE212+AG212+AI212</f>
        <v>0</v>
      </c>
      <c r="T212" s="269">
        <f>ROUND(S212*I212,2)</f>
        <v>0</v>
      </c>
      <c r="U212" s="269">
        <f>H212-S212</f>
        <v>16.8</v>
      </c>
      <c r="V212" s="269">
        <f>ROUND(U212*I212,2)</f>
        <v>4436.3500000000004</v>
      </c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CN212" s="132" t="s">
        <v>1</v>
      </c>
      <c r="CO212" s="133" t="s">
        <v>40</v>
      </c>
      <c r="CQ212" s="134">
        <f>CP212*H212</f>
        <v>0</v>
      </c>
      <c r="CR212" s="134">
        <v>0.20469000000000001</v>
      </c>
      <c r="CS212" s="134">
        <f>CR212*H212</f>
        <v>3.4387920000000003</v>
      </c>
      <c r="CT212" s="134">
        <v>0</v>
      </c>
      <c r="CU212" s="135">
        <f>CT212*H212</f>
        <v>0</v>
      </c>
      <c r="DS212" s="136" t="s">
        <v>95</v>
      </c>
      <c r="DU212" s="136" t="s">
        <v>284</v>
      </c>
      <c r="DV212" s="136" t="s">
        <v>83</v>
      </c>
      <c r="DZ212" s="16" t="s">
        <v>282</v>
      </c>
      <c r="EF212" s="137">
        <f>IF(CO212="základní",J212,0)</f>
        <v>4436.3500000000004</v>
      </c>
      <c r="EG212" s="137">
        <f>IF(CO212="snížená",J212,0)</f>
        <v>0</v>
      </c>
      <c r="EH212" s="137">
        <f>IF(CO212="zákl. přenesená",J212,0)</f>
        <v>0</v>
      </c>
      <c r="EI212" s="137">
        <f>IF(CO212="sníž. přenesená",J212,0)</f>
        <v>0</v>
      </c>
      <c r="EJ212" s="137">
        <f>IF(CO212="nulová",J212,0)</f>
        <v>0</v>
      </c>
      <c r="EK212" s="16" t="s">
        <v>81</v>
      </c>
      <c r="EL212" s="137">
        <f>ROUND(I212*H212,2)</f>
        <v>4436.3500000000004</v>
      </c>
      <c r="EM212" s="16" t="s">
        <v>95</v>
      </c>
      <c r="EN212" s="136" t="s">
        <v>2168</v>
      </c>
    </row>
    <row r="213" spans="2:144" s="1" customFormat="1" ht="39" x14ac:dyDescent="0.2">
      <c r="B213" s="31"/>
      <c r="D213" s="138" t="s">
        <v>289</v>
      </c>
      <c r="F213" s="139" t="s">
        <v>467</v>
      </c>
      <c r="I213" s="140"/>
      <c r="L213" s="31"/>
      <c r="N213" s="213"/>
      <c r="O213" s="214"/>
      <c r="Q213" s="229"/>
      <c r="CN213" s="141"/>
      <c r="CU213" s="50"/>
      <c r="DU213" s="16" t="s">
        <v>289</v>
      </c>
      <c r="DV213" s="16" t="s">
        <v>83</v>
      </c>
    </row>
    <row r="214" spans="2:144" s="1" customFormat="1" ht="19.5" x14ac:dyDescent="0.2">
      <c r="B214" s="31"/>
      <c r="D214" s="138" t="s">
        <v>299</v>
      </c>
      <c r="F214" s="142" t="s">
        <v>2137</v>
      </c>
      <c r="I214" s="140"/>
      <c r="L214" s="31"/>
      <c r="N214" s="213"/>
      <c r="O214" s="214"/>
      <c r="Q214" s="229"/>
      <c r="CN214" s="141"/>
      <c r="CU214" s="50"/>
      <c r="DU214" s="16" t="s">
        <v>299</v>
      </c>
      <c r="DV214" s="16" t="s">
        <v>83</v>
      </c>
    </row>
    <row r="215" spans="2:144" s="12" customFormat="1" x14ac:dyDescent="0.2">
      <c r="B215" s="149"/>
      <c r="D215" s="138" t="s">
        <v>301</v>
      </c>
      <c r="E215" s="150" t="s">
        <v>1</v>
      </c>
      <c r="F215" s="151" t="s">
        <v>2059</v>
      </c>
      <c r="H215" s="152">
        <v>16.8</v>
      </c>
      <c r="I215" s="153"/>
      <c r="L215" s="149"/>
      <c r="N215" s="217"/>
      <c r="O215" s="218"/>
      <c r="Q215" s="231"/>
      <c r="CN215" s="154"/>
      <c r="CU215" s="155"/>
      <c r="DU215" s="150" t="s">
        <v>301</v>
      </c>
      <c r="DV215" s="150" t="s">
        <v>83</v>
      </c>
      <c r="DW215" s="12" t="s">
        <v>83</v>
      </c>
      <c r="DX215" s="12" t="s">
        <v>32</v>
      </c>
      <c r="DY215" s="12" t="s">
        <v>81</v>
      </c>
      <c r="DZ215" s="150" t="s">
        <v>282</v>
      </c>
    </row>
    <row r="216" spans="2:144" s="1" customFormat="1" ht="24.2" customHeight="1" x14ac:dyDescent="0.2">
      <c r="B216" s="124"/>
      <c r="C216" s="125" t="s">
        <v>438</v>
      </c>
      <c r="D216" s="125" t="s">
        <v>284</v>
      </c>
      <c r="E216" s="126" t="s">
        <v>1879</v>
      </c>
      <c r="F216" s="127" t="s">
        <v>1880</v>
      </c>
      <c r="G216" s="128" t="s">
        <v>366</v>
      </c>
      <c r="H216" s="129">
        <v>3.528</v>
      </c>
      <c r="I216" s="130">
        <v>1340.7472201353823</v>
      </c>
      <c r="J216" s="131">
        <f>ROUND(I216*H216,2)</f>
        <v>4730.16</v>
      </c>
      <c r="K216" s="127" t="s">
        <v>293</v>
      </c>
      <c r="L216" s="268">
        <f>S216</f>
        <v>0</v>
      </c>
      <c r="M216" s="272">
        <f>ROUND(L216*I216,2)</f>
        <v>0</v>
      </c>
      <c r="N216" s="243"/>
      <c r="O216" s="294">
        <f>ROUND(N216*I216,2)</f>
        <v>0</v>
      </c>
      <c r="P216" s="273">
        <f>H216-L216-N216</f>
        <v>3.528</v>
      </c>
      <c r="Q216" s="287">
        <f>ROUND(P216*I216,2)</f>
        <v>4730.16</v>
      </c>
      <c r="R216" s="137"/>
      <c r="S216" s="269">
        <f>W216+Y216+AA216+AC216+AE216+AG216+AI216</f>
        <v>0</v>
      </c>
      <c r="T216" s="269">
        <f>ROUND(S216*I216,2)</f>
        <v>0</v>
      </c>
      <c r="U216" s="269">
        <f>H216-S216</f>
        <v>3.528</v>
      </c>
      <c r="V216" s="269">
        <f>ROUND(U216*I216,2)</f>
        <v>4730.16</v>
      </c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CN216" s="132" t="s">
        <v>1</v>
      </c>
      <c r="CO216" s="133" t="s">
        <v>40</v>
      </c>
      <c r="CQ216" s="134">
        <f>CP216*H216</f>
        <v>0</v>
      </c>
      <c r="CR216" s="134">
        <v>2.16</v>
      </c>
      <c r="CS216" s="134">
        <f>CR216*H216</f>
        <v>7.6204800000000006</v>
      </c>
      <c r="CT216" s="134">
        <v>0</v>
      </c>
      <c r="CU216" s="135">
        <f>CT216*H216</f>
        <v>0</v>
      </c>
      <c r="DS216" s="136" t="s">
        <v>95</v>
      </c>
      <c r="DU216" s="136" t="s">
        <v>284</v>
      </c>
      <c r="DV216" s="136" t="s">
        <v>83</v>
      </c>
      <c r="DZ216" s="16" t="s">
        <v>282</v>
      </c>
      <c r="EF216" s="137">
        <f>IF(CO216="základní",J216,0)</f>
        <v>4730.16</v>
      </c>
      <c r="EG216" s="137">
        <f>IF(CO216="snížená",J216,0)</f>
        <v>0</v>
      </c>
      <c r="EH216" s="137">
        <f>IF(CO216="zákl. přenesená",J216,0)</f>
        <v>0</v>
      </c>
      <c r="EI216" s="137">
        <f>IF(CO216="sníž. přenesená",J216,0)</f>
        <v>0</v>
      </c>
      <c r="EJ216" s="137">
        <f>IF(CO216="nulová",J216,0)</f>
        <v>0</v>
      </c>
      <c r="EK216" s="16" t="s">
        <v>81</v>
      </c>
      <c r="EL216" s="137">
        <f>ROUND(I216*H216,2)</f>
        <v>4730.16</v>
      </c>
      <c r="EM216" s="16" t="s">
        <v>95</v>
      </c>
      <c r="EN216" s="136" t="s">
        <v>2169</v>
      </c>
    </row>
    <row r="217" spans="2:144" s="1" customFormat="1" ht="19.5" x14ac:dyDescent="0.2">
      <c r="B217" s="31"/>
      <c r="D217" s="138" t="s">
        <v>289</v>
      </c>
      <c r="F217" s="139" t="s">
        <v>1882</v>
      </c>
      <c r="I217" s="140"/>
      <c r="L217" s="31"/>
      <c r="N217" s="213"/>
      <c r="O217" s="214"/>
      <c r="Q217" s="229"/>
      <c r="CN217" s="141"/>
      <c r="CU217" s="50"/>
      <c r="DU217" s="16" t="s">
        <v>289</v>
      </c>
      <c r="DV217" s="16" t="s">
        <v>83</v>
      </c>
    </row>
    <row r="218" spans="2:144" s="1" customFormat="1" ht="19.5" x14ac:dyDescent="0.2">
      <c r="B218" s="31"/>
      <c r="D218" s="138" t="s">
        <v>299</v>
      </c>
      <c r="F218" s="142" t="s">
        <v>2137</v>
      </c>
      <c r="I218" s="140"/>
      <c r="L218" s="31"/>
      <c r="N218" s="213"/>
      <c r="O218" s="214"/>
      <c r="Q218" s="229"/>
      <c r="CN218" s="141"/>
      <c r="CU218" s="50"/>
      <c r="DU218" s="16" t="s">
        <v>299</v>
      </c>
      <c r="DV218" s="16" t="s">
        <v>83</v>
      </c>
    </row>
    <row r="219" spans="2:144" s="12" customFormat="1" x14ac:dyDescent="0.2">
      <c r="B219" s="149"/>
      <c r="D219" s="138" t="s">
        <v>301</v>
      </c>
      <c r="E219" s="150" t="s">
        <v>1</v>
      </c>
      <c r="F219" s="151" t="s">
        <v>2090</v>
      </c>
      <c r="H219" s="152">
        <v>3.528</v>
      </c>
      <c r="I219" s="153"/>
      <c r="L219" s="149"/>
      <c r="N219" s="217"/>
      <c r="O219" s="218"/>
      <c r="Q219" s="231"/>
      <c r="CN219" s="154"/>
      <c r="CU219" s="155"/>
      <c r="DU219" s="150" t="s">
        <v>301</v>
      </c>
      <c r="DV219" s="150" t="s">
        <v>83</v>
      </c>
      <c r="DW219" s="12" t="s">
        <v>83</v>
      </c>
      <c r="DX219" s="12" t="s">
        <v>32</v>
      </c>
      <c r="DY219" s="12" t="s">
        <v>81</v>
      </c>
      <c r="DZ219" s="150" t="s">
        <v>282</v>
      </c>
    </row>
    <row r="220" spans="2:144" s="1" customFormat="1" ht="24.2" customHeight="1" x14ac:dyDescent="0.2">
      <c r="B220" s="124"/>
      <c r="C220" s="125" t="s">
        <v>445</v>
      </c>
      <c r="D220" s="125" t="s">
        <v>284</v>
      </c>
      <c r="E220" s="126" t="s">
        <v>1884</v>
      </c>
      <c r="F220" s="127" t="s">
        <v>1885</v>
      </c>
      <c r="G220" s="128" t="s">
        <v>366</v>
      </c>
      <c r="H220" s="129">
        <v>1.0609999999999999</v>
      </c>
      <c r="I220" s="130">
        <v>3211.059415589079</v>
      </c>
      <c r="J220" s="131">
        <f>ROUND(I220*H220,2)</f>
        <v>3406.93</v>
      </c>
      <c r="K220" s="127" t="s">
        <v>293</v>
      </c>
      <c r="L220" s="268">
        <f>S220</f>
        <v>0</v>
      </c>
      <c r="M220" s="272">
        <f>ROUND(L220*I220,2)</f>
        <v>0</v>
      </c>
      <c r="N220" s="243"/>
      <c r="O220" s="294">
        <f>ROUND(N220*I220,2)</f>
        <v>0</v>
      </c>
      <c r="P220" s="273">
        <f>H220-L220-N220</f>
        <v>1.0609999999999999</v>
      </c>
      <c r="Q220" s="287">
        <f>ROUND(P220*I220,2)</f>
        <v>3406.93</v>
      </c>
      <c r="R220" s="137"/>
      <c r="S220" s="269">
        <f>W220+Y220+AA220+AC220+AE220+AG220+AI220</f>
        <v>0</v>
      </c>
      <c r="T220" s="269">
        <f>ROUND(S220*I220,2)</f>
        <v>0</v>
      </c>
      <c r="U220" s="269">
        <f>H220-S220</f>
        <v>1.0609999999999999</v>
      </c>
      <c r="V220" s="269">
        <f>ROUND(U220*I220,2)</f>
        <v>3406.93</v>
      </c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CN220" s="132" t="s">
        <v>1</v>
      </c>
      <c r="CO220" s="133" t="s">
        <v>40</v>
      </c>
      <c r="CQ220" s="134">
        <f>CP220*H220</f>
        <v>0</v>
      </c>
      <c r="CR220" s="134">
        <v>2.45329</v>
      </c>
      <c r="CS220" s="134">
        <f>CR220*H220</f>
        <v>2.6029406899999996</v>
      </c>
      <c r="CT220" s="134">
        <v>0</v>
      </c>
      <c r="CU220" s="135">
        <f>CT220*H220</f>
        <v>0</v>
      </c>
      <c r="DS220" s="136" t="s">
        <v>95</v>
      </c>
      <c r="DU220" s="136" t="s">
        <v>284</v>
      </c>
      <c r="DV220" s="136" t="s">
        <v>83</v>
      </c>
      <c r="DZ220" s="16" t="s">
        <v>282</v>
      </c>
      <c r="EF220" s="137">
        <f>IF(CO220="základní",J220,0)</f>
        <v>3406.93</v>
      </c>
      <c r="EG220" s="137">
        <f>IF(CO220="snížená",J220,0)</f>
        <v>0</v>
      </c>
      <c r="EH220" s="137">
        <f>IF(CO220="zákl. přenesená",J220,0)</f>
        <v>0</v>
      </c>
      <c r="EI220" s="137">
        <f>IF(CO220="sníž. přenesená",J220,0)</f>
        <v>0</v>
      </c>
      <c r="EJ220" s="137">
        <f>IF(CO220="nulová",J220,0)</f>
        <v>0</v>
      </c>
      <c r="EK220" s="16" t="s">
        <v>81</v>
      </c>
      <c r="EL220" s="137">
        <f>ROUND(I220*H220,2)</f>
        <v>3406.93</v>
      </c>
      <c r="EM220" s="16" t="s">
        <v>95</v>
      </c>
      <c r="EN220" s="136" t="s">
        <v>2170</v>
      </c>
    </row>
    <row r="221" spans="2:144" s="1" customFormat="1" ht="19.5" x14ac:dyDescent="0.2">
      <c r="B221" s="31"/>
      <c r="D221" s="138" t="s">
        <v>289</v>
      </c>
      <c r="F221" s="139" t="s">
        <v>1887</v>
      </c>
      <c r="I221" s="140"/>
      <c r="L221" s="31"/>
      <c r="N221" s="213"/>
      <c r="O221" s="214"/>
      <c r="Q221" s="229"/>
      <c r="CN221" s="141"/>
      <c r="CU221" s="50"/>
      <c r="DU221" s="16" t="s">
        <v>289</v>
      </c>
      <c r="DV221" s="16" t="s">
        <v>83</v>
      </c>
    </row>
    <row r="222" spans="2:144" s="1" customFormat="1" ht="19.5" x14ac:dyDescent="0.2">
      <c r="B222" s="31"/>
      <c r="D222" s="138" t="s">
        <v>299</v>
      </c>
      <c r="F222" s="142" t="s">
        <v>2137</v>
      </c>
      <c r="I222" s="140"/>
      <c r="L222" s="31"/>
      <c r="N222" s="213"/>
      <c r="O222" s="214"/>
      <c r="Q222" s="229"/>
      <c r="CN222" s="141"/>
      <c r="CU222" s="50"/>
      <c r="DU222" s="16" t="s">
        <v>299</v>
      </c>
      <c r="DV222" s="16" t="s">
        <v>83</v>
      </c>
    </row>
    <row r="223" spans="2:144" s="12" customFormat="1" x14ac:dyDescent="0.2">
      <c r="B223" s="149"/>
      <c r="D223" s="138" t="s">
        <v>301</v>
      </c>
      <c r="E223" s="150" t="s">
        <v>1</v>
      </c>
      <c r="F223" s="151" t="s">
        <v>2092</v>
      </c>
      <c r="H223" s="152">
        <v>1.0609999999999999</v>
      </c>
      <c r="I223" s="153"/>
      <c r="L223" s="149"/>
      <c r="N223" s="217"/>
      <c r="O223" s="218"/>
      <c r="Q223" s="231"/>
      <c r="CN223" s="154"/>
      <c r="CU223" s="155"/>
      <c r="DU223" s="150" t="s">
        <v>301</v>
      </c>
      <c r="DV223" s="150" t="s">
        <v>83</v>
      </c>
      <c r="DW223" s="12" t="s">
        <v>83</v>
      </c>
      <c r="DX223" s="12" t="s">
        <v>32</v>
      </c>
      <c r="DY223" s="12" t="s">
        <v>81</v>
      </c>
      <c r="DZ223" s="150" t="s">
        <v>282</v>
      </c>
    </row>
    <row r="224" spans="2:144" s="1" customFormat="1" ht="14.45" customHeight="1" x14ac:dyDescent="0.2">
      <c r="B224" s="124"/>
      <c r="C224" s="125" t="s">
        <v>451</v>
      </c>
      <c r="D224" s="125" t="s">
        <v>284</v>
      </c>
      <c r="E224" s="126" t="s">
        <v>1893</v>
      </c>
      <c r="F224" s="127" t="s">
        <v>1894</v>
      </c>
      <c r="G224" s="128" t="s">
        <v>287</v>
      </c>
      <c r="H224" s="129">
        <v>1.5960000000000001</v>
      </c>
      <c r="I224" s="130">
        <v>379.79538976632074</v>
      </c>
      <c r="J224" s="131">
        <f>ROUND(I224*H224,2)</f>
        <v>606.15</v>
      </c>
      <c r="K224" s="127" t="s">
        <v>293</v>
      </c>
      <c r="L224" s="268">
        <f>S224</f>
        <v>0</v>
      </c>
      <c r="M224" s="272">
        <f>ROUND(L224*I224,2)</f>
        <v>0</v>
      </c>
      <c r="N224" s="243"/>
      <c r="O224" s="294">
        <f>ROUND(N224*I224,2)</f>
        <v>0</v>
      </c>
      <c r="P224" s="273">
        <f>H224-L224-N224</f>
        <v>1.5960000000000001</v>
      </c>
      <c r="Q224" s="287">
        <f>ROUND(P224*I224,2)</f>
        <v>606.15</v>
      </c>
      <c r="R224" s="137"/>
      <c r="S224" s="269">
        <f>W224+Y224+AA224+AC224+AE224+AG224+AI224</f>
        <v>0</v>
      </c>
      <c r="T224" s="269">
        <f>ROUND(S224*I224,2)</f>
        <v>0</v>
      </c>
      <c r="U224" s="269">
        <f>H224-S224</f>
        <v>1.5960000000000001</v>
      </c>
      <c r="V224" s="269">
        <f>ROUND(U224*I224,2)</f>
        <v>606.15</v>
      </c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CN224" s="132" t="s">
        <v>1</v>
      </c>
      <c r="CO224" s="133" t="s">
        <v>40</v>
      </c>
      <c r="CQ224" s="134">
        <f>CP224*H224</f>
        <v>0</v>
      </c>
      <c r="CR224" s="134">
        <v>2.47E-3</v>
      </c>
      <c r="CS224" s="134">
        <f>CR224*H224</f>
        <v>3.9421200000000003E-3</v>
      </c>
      <c r="CT224" s="134">
        <v>0</v>
      </c>
      <c r="CU224" s="135">
        <f>CT224*H224</f>
        <v>0</v>
      </c>
      <c r="DS224" s="136" t="s">
        <v>95</v>
      </c>
      <c r="DU224" s="136" t="s">
        <v>284</v>
      </c>
      <c r="DV224" s="136" t="s">
        <v>83</v>
      </c>
      <c r="DZ224" s="16" t="s">
        <v>282</v>
      </c>
      <c r="EF224" s="137">
        <f>IF(CO224="základní",J224,0)</f>
        <v>606.15</v>
      </c>
      <c r="EG224" s="137">
        <f>IF(CO224="snížená",J224,0)</f>
        <v>0</v>
      </c>
      <c r="EH224" s="137">
        <f>IF(CO224="zákl. přenesená",J224,0)</f>
        <v>0</v>
      </c>
      <c r="EI224" s="137">
        <f>IF(CO224="sníž. přenesená",J224,0)</f>
        <v>0</v>
      </c>
      <c r="EJ224" s="137">
        <f>IF(CO224="nulová",J224,0)</f>
        <v>0</v>
      </c>
      <c r="EK224" s="16" t="s">
        <v>81</v>
      </c>
      <c r="EL224" s="137">
        <f>ROUND(I224*H224,2)</f>
        <v>606.15</v>
      </c>
      <c r="EM224" s="16" t="s">
        <v>95</v>
      </c>
      <c r="EN224" s="136" t="s">
        <v>2171</v>
      </c>
    </row>
    <row r="225" spans="2:144" s="1" customFormat="1" x14ac:dyDescent="0.2">
      <c r="B225" s="31"/>
      <c r="D225" s="138" t="s">
        <v>289</v>
      </c>
      <c r="F225" s="139" t="s">
        <v>1896</v>
      </c>
      <c r="I225" s="140"/>
      <c r="L225" s="31"/>
      <c r="N225" s="213"/>
      <c r="O225" s="214"/>
      <c r="Q225" s="229"/>
      <c r="CN225" s="141"/>
      <c r="CU225" s="50"/>
      <c r="DU225" s="16" t="s">
        <v>289</v>
      </c>
      <c r="DV225" s="16" t="s">
        <v>83</v>
      </c>
    </row>
    <row r="226" spans="2:144" s="1" customFormat="1" ht="19.5" x14ac:dyDescent="0.2">
      <c r="B226" s="31"/>
      <c r="D226" s="138" t="s">
        <v>299</v>
      </c>
      <c r="F226" s="142" t="s">
        <v>2137</v>
      </c>
      <c r="I226" s="140"/>
      <c r="L226" s="31"/>
      <c r="N226" s="213"/>
      <c r="O226" s="214"/>
      <c r="Q226" s="229"/>
      <c r="CN226" s="141"/>
      <c r="CU226" s="50"/>
      <c r="DU226" s="16" t="s">
        <v>299</v>
      </c>
      <c r="DV226" s="16" t="s">
        <v>83</v>
      </c>
    </row>
    <row r="227" spans="2:144" s="12" customFormat="1" x14ac:dyDescent="0.2">
      <c r="B227" s="149"/>
      <c r="D227" s="138" t="s">
        <v>301</v>
      </c>
      <c r="E227" s="150" t="s">
        <v>1</v>
      </c>
      <c r="F227" s="151" t="s">
        <v>2094</v>
      </c>
      <c r="H227" s="152">
        <v>1.5960000000000001</v>
      </c>
      <c r="I227" s="153"/>
      <c r="L227" s="149"/>
      <c r="N227" s="217"/>
      <c r="O227" s="218"/>
      <c r="Q227" s="231"/>
      <c r="CN227" s="154"/>
      <c r="CU227" s="155"/>
      <c r="DU227" s="150" t="s">
        <v>301</v>
      </c>
      <c r="DV227" s="150" t="s">
        <v>83</v>
      </c>
      <c r="DW227" s="12" t="s">
        <v>83</v>
      </c>
      <c r="DX227" s="12" t="s">
        <v>32</v>
      </c>
      <c r="DY227" s="12" t="s">
        <v>81</v>
      </c>
      <c r="DZ227" s="150" t="s">
        <v>282</v>
      </c>
    </row>
    <row r="228" spans="2:144" s="1" customFormat="1" ht="14.45" customHeight="1" x14ac:dyDescent="0.2">
      <c r="B228" s="124"/>
      <c r="C228" s="125" t="s">
        <v>456</v>
      </c>
      <c r="D228" s="125" t="s">
        <v>284</v>
      </c>
      <c r="E228" s="126" t="s">
        <v>1899</v>
      </c>
      <c r="F228" s="127" t="s">
        <v>1900</v>
      </c>
      <c r="G228" s="128" t="s">
        <v>287</v>
      </c>
      <c r="H228" s="129">
        <v>1.5960000000000001</v>
      </c>
      <c r="I228" s="130">
        <v>102.41615913446736</v>
      </c>
      <c r="J228" s="131">
        <f>ROUND(I228*H228,2)</f>
        <v>163.46</v>
      </c>
      <c r="K228" s="127" t="s">
        <v>293</v>
      </c>
      <c r="L228" s="268">
        <f>S228</f>
        <v>0</v>
      </c>
      <c r="M228" s="272">
        <f>ROUND(L228*I228,2)</f>
        <v>0</v>
      </c>
      <c r="N228" s="243"/>
      <c r="O228" s="294">
        <f>ROUND(N228*I228,2)</f>
        <v>0</v>
      </c>
      <c r="P228" s="273">
        <f>H228-L228-N228</f>
        <v>1.5960000000000001</v>
      </c>
      <c r="Q228" s="287">
        <f>ROUND(P228*I228,2)</f>
        <v>163.46</v>
      </c>
      <c r="R228" s="137"/>
      <c r="S228" s="269">
        <f>W228+Y228+AA228+AC228+AE228+AG228+AI228</f>
        <v>0</v>
      </c>
      <c r="T228" s="269">
        <f>ROUND(S228*I228,2)</f>
        <v>0</v>
      </c>
      <c r="U228" s="269">
        <f>H228-S228</f>
        <v>1.5960000000000001</v>
      </c>
      <c r="V228" s="269">
        <f>ROUND(U228*I228,2)</f>
        <v>163.46</v>
      </c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CN228" s="132" t="s">
        <v>1</v>
      </c>
      <c r="CO228" s="133" t="s">
        <v>40</v>
      </c>
      <c r="CQ228" s="134">
        <f>CP228*H228</f>
        <v>0</v>
      </c>
      <c r="CR228" s="134">
        <v>0</v>
      </c>
      <c r="CS228" s="134">
        <f>CR228*H228</f>
        <v>0</v>
      </c>
      <c r="CT228" s="134">
        <v>0</v>
      </c>
      <c r="CU228" s="135">
        <f>CT228*H228</f>
        <v>0</v>
      </c>
      <c r="DS228" s="136" t="s">
        <v>95</v>
      </c>
      <c r="DU228" s="136" t="s">
        <v>284</v>
      </c>
      <c r="DV228" s="136" t="s">
        <v>83</v>
      </c>
      <c r="DZ228" s="16" t="s">
        <v>282</v>
      </c>
      <c r="EF228" s="137">
        <f>IF(CO228="základní",J228,0)</f>
        <v>163.46</v>
      </c>
      <c r="EG228" s="137">
        <f>IF(CO228="snížená",J228,0)</f>
        <v>0</v>
      </c>
      <c r="EH228" s="137">
        <f>IF(CO228="zákl. přenesená",J228,0)</f>
        <v>0</v>
      </c>
      <c r="EI228" s="137">
        <f>IF(CO228="sníž. přenesená",J228,0)</f>
        <v>0</v>
      </c>
      <c r="EJ228" s="137">
        <f>IF(CO228="nulová",J228,0)</f>
        <v>0</v>
      </c>
      <c r="EK228" s="16" t="s">
        <v>81</v>
      </c>
      <c r="EL228" s="137">
        <f>ROUND(I228*H228,2)</f>
        <v>163.46</v>
      </c>
      <c r="EM228" s="16" t="s">
        <v>95</v>
      </c>
      <c r="EN228" s="136" t="s">
        <v>2172</v>
      </c>
    </row>
    <row r="229" spans="2:144" s="1" customFormat="1" x14ac:dyDescent="0.2">
      <c r="B229" s="31"/>
      <c r="D229" s="138" t="s">
        <v>289</v>
      </c>
      <c r="F229" s="139" t="s">
        <v>1902</v>
      </c>
      <c r="I229" s="140"/>
      <c r="L229" s="31"/>
      <c r="N229" s="213"/>
      <c r="O229" s="214"/>
      <c r="Q229" s="229"/>
      <c r="CN229" s="141"/>
      <c r="CU229" s="50"/>
      <c r="DU229" s="16" t="s">
        <v>289</v>
      </c>
      <c r="DV229" s="16" t="s">
        <v>83</v>
      </c>
    </row>
    <row r="230" spans="2:144" s="1" customFormat="1" ht="14.45" customHeight="1" x14ac:dyDescent="0.2">
      <c r="B230" s="124"/>
      <c r="C230" s="125" t="s">
        <v>463</v>
      </c>
      <c r="D230" s="125" t="s">
        <v>284</v>
      </c>
      <c r="E230" s="126" t="s">
        <v>1903</v>
      </c>
      <c r="F230" s="127" t="s">
        <v>1904</v>
      </c>
      <c r="G230" s="128" t="s">
        <v>418</v>
      </c>
      <c r="H230" s="129">
        <v>0.106</v>
      </c>
      <c r="I230" s="130">
        <v>28099.214400180317</v>
      </c>
      <c r="J230" s="131">
        <f>ROUND(I230*H230,2)</f>
        <v>2978.52</v>
      </c>
      <c r="K230" s="127" t="s">
        <v>293</v>
      </c>
      <c r="L230" s="268">
        <f>S230</f>
        <v>0</v>
      </c>
      <c r="M230" s="272">
        <f>ROUND(L230*I230,2)</f>
        <v>0</v>
      </c>
      <c r="N230" s="243"/>
      <c r="O230" s="294">
        <f>ROUND(N230*I230,2)</f>
        <v>0</v>
      </c>
      <c r="P230" s="273">
        <f>H230-L230-N230</f>
        <v>0.106</v>
      </c>
      <c r="Q230" s="287">
        <f>ROUND(P230*I230,2)</f>
        <v>2978.52</v>
      </c>
      <c r="R230" s="137"/>
      <c r="S230" s="269">
        <f>W230+Y230+AA230+AC230+AE230+AG230+AI230</f>
        <v>0</v>
      </c>
      <c r="T230" s="269">
        <f>ROUND(S230*I230,2)</f>
        <v>0</v>
      </c>
      <c r="U230" s="269">
        <f>H230-S230</f>
        <v>0.106</v>
      </c>
      <c r="V230" s="269">
        <f>ROUND(U230*I230,2)</f>
        <v>2978.52</v>
      </c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CN230" s="132" t="s">
        <v>1</v>
      </c>
      <c r="CO230" s="133" t="s">
        <v>40</v>
      </c>
      <c r="CQ230" s="134">
        <f>CP230*H230</f>
        <v>0</v>
      </c>
      <c r="CR230" s="134">
        <v>1.06277</v>
      </c>
      <c r="CS230" s="134">
        <f>CR230*H230</f>
        <v>0.11265362</v>
      </c>
      <c r="CT230" s="134">
        <v>0</v>
      </c>
      <c r="CU230" s="135">
        <f>CT230*H230</f>
        <v>0</v>
      </c>
      <c r="DS230" s="136" t="s">
        <v>95</v>
      </c>
      <c r="DU230" s="136" t="s">
        <v>284</v>
      </c>
      <c r="DV230" s="136" t="s">
        <v>83</v>
      </c>
      <c r="DZ230" s="16" t="s">
        <v>282</v>
      </c>
      <c r="EF230" s="137">
        <f>IF(CO230="základní",J230,0)</f>
        <v>2978.52</v>
      </c>
      <c r="EG230" s="137">
        <f>IF(CO230="snížená",J230,0)</f>
        <v>0</v>
      </c>
      <c r="EH230" s="137">
        <f>IF(CO230="zákl. přenesená",J230,0)</f>
        <v>0</v>
      </c>
      <c r="EI230" s="137">
        <f>IF(CO230="sníž. přenesená",J230,0)</f>
        <v>0</v>
      </c>
      <c r="EJ230" s="137">
        <f>IF(CO230="nulová",J230,0)</f>
        <v>0</v>
      </c>
      <c r="EK230" s="16" t="s">
        <v>81</v>
      </c>
      <c r="EL230" s="137">
        <f>ROUND(I230*H230,2)</f>
        <v>2978.52</v>
      </c>
      <c r="EM230" s="16" t="s">
        <v>95</v>
      </c>
      <c r="EN230" s="136" t="s">
        <v>2173</v>
      </c>
    </row>
    <row r="231" spans="2:144" s="1" customFormat="1" x14ac:dyDescent="0.2">
      <c r="B231" s="31"/>
      <c r="D231" s="138" t="s">
        <v>289</v>
      </c>
      <c r="F231" s="139" t="s">
        <v>1906</v>
      </c>
      <c r="I231" s="140"/>
      <c r="L231" s="31"/>
      <c r="N231" s="213"/>
      <c r="O231" s="214"/>
      <c r="Q231" s="229"/>
      <c r="CN231" s="141"/>
      <c r="CU231" s="50"/>
      <c r="DU231" s="16" t="s">
        <v>289</v>
      </c>
      <c r="DV231" s="16" t="s">
        <v>83</v>
      </c>
    </row>
    <row r="232" spans="2:144" s="1" customFormat="1" ht="19.5" x14ac:dyDescent="0.2">
      <c r="B232" s="31"/>
      <c r="D232" s="138" t="s">
        <v>299</v>
      </c>
      <c r="F232" s="142" t="s">
        <v>2137</v>
      </c>
      <c r="I232" s="140"/>
      <c r="L232" s="31"/>
      <c r="N232" s="213"/>
      <c r="O232" s="214"/>
      <c r="Q232" s="229"/>
      <c r="CN232" s="141"/>
      <c r="CU232" s="50"/>
      <c r="DU232" s="16" t="s">
        <v>299</v>
      </c>
      <c r="DV232" s="16" t="s">
        <v>83</v>
      </c>
    </row>
    <row r="233" spans="2:144" s="12" customFormat="1" x14ac:dyDescent="0.2">
      <c r="B233" s="149"/>
      <c r="D233" s="138" t="s">
        <v>301</v>
      </c>
      <c r="E233" s="150" t="s">
        <v>1</v>
      </c>
      <c r="F233" s="151" t="s">
        <v>2097</v>
      </c>
      <c r="H233" s="152">
        <v>0.106</v>
      </c>
      <c r="I233" s="153"/>
      <c r="L233" s="149"/>
      <c r="N233" s="217"/>
      <c r="O233" s="218"/>
      <c r="Q233" s="231"/>
      <c r="CN233" s="154"/>
      <c r="CU233" s="155"/>
      <c r="DU233" s="150" t="s">
        <v>301</v>
      </c>
      <c r="DV233" s="150" t="s">
        <v>83</v>
      </c>
      <c r="DW233" s="12" t="s">
        <v>83</v>
      </c>
      <c r="DX233" s="12" t="s">
        <v>32</v>
      </c>
      <c r="DY233" s="12" t="s">
        <v>81</v>
      </c>
      <c r="DZ233" s="150" t="s">
        <v>282</v>
      </c>
    </row>
    <row r="234" spans="2:144" s="1" customFormat="1" ht="24.2" customHeight="1" x14ac:dyDescent="0.2">
      <c r="B234" s="124"/>
      <c r="C234" s="125" t="s">
        <v>470</v>
      </c>
      <c r="D234" s="125" t="s">
        <v>284</v>
      </c>
      <c r="E234" s="126" t="s">
        <v>1908</v>
      </c>
      <c r="F234" s="127" t="s">
        <v>1909</v>
      </c>
      <c r="G234" s="128" t="s">
        <v>366</v>
      </c>
      <c r="H234" s="129">
        <v>7.5</v>
      </c>
      <c r="I234" s="130">
        <v>2941.41966</v>
      </c>
      <c r="J234" s="131">
        <f>ROUND(I234*H234,2)</f>
        <v>22060.65</v>
      </c>
      <c r="K234" s="127" t="s">
        <v>1</v>
      </c>
      <c r="L234" s="268">
        <f>S234</f>
        <v>0</v>
      </c>
      <c r="M234" s="272">
        <f>ROUND(L234*I234,2)</f>
        <v>0</v>
      </c>
      <c r="N234" s="243"/>
      <c r="O234" s="294">
        <f>ROUND(N234*I234,2)</f>
        <v>0</v>
      </c>
      <c r="P234" s="273">
        <f>H234-L234-N234</f>
        <v>7.5</v>
      </c>
      <c r="Q234" s="287">
        <f>ROUND(P234*I234,2)</f>
        <v>22060.65</v>
      </c>
      <c r="R234" s="137"/>
      <c r="S234" s="269">
        <f>W234+Y234+AA234+AC234+AE234+AG234+AI234</f>
        <v>0</v>
      </c>
      <c r="T234" s="269">
        <f>ROUND(S234*I234,2)</f>
        <v>0</v>
      </c>
      <c r="U234" s="269">
        <f>H234-S234</f>
        <v>7.5</v>
      </c>
      <c r="V234" s="269">
        <f>ROUND(U234*I234,2)</f>
        <v>22060.65</v>
      </c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CN234" s="132" t="s">
        <v>1</v>
      </c>
      <c r="CO234" s="133" t="s">
        <v>40</v>
      </c>
      <c r="CQ234" s="134">
        <f>CP234*H234</f>
        <v>0</v>
      </c>
      <c r="CR234" s="134">
        <v>0</v>
      </c>
      <c r="CS234" s="134">
        <f>CR234*H234</f>
        <v>0</v>
      </c>
      <c r="CT234" s="134">
        <v>0</v>
      </c>
      <c r="CU234" s="135">
        <f>CT234*H234</f>
        <v>0</v>
      </c>
      <c r="DS234" s="136" t="s">
        <v>95</v>
      </c>
      <c r="DU234" s="136" t="s">
        <v>284</v>
      </c>
      <c r="DV234" s="136" t="s">
        <v>83</v>
      </c>
      <c r="DZ234" s="16" t="s">
        <v>282</v>
      </c>
      <c r="EF234" s="137">
        <f>IF(CO234="základní",J234,0)</f>
        <v>22060.65</v>
      </c>
      <c r="EG234" s="137">
        <f>IF(CO234="snížená",J234,0)</f>
        <v>0</v>
      </c>
      <c r="EH234" s="137">
        <f>IF(CO234="zákl. přenesená",J234,0)</f>
        <v>0</v>
      </c>
      <c r="EI234" s="137">
        <f>IF(CO234="sníž. přenesená",J234,0)</f>
        <v>0</v>
      </c>
      <c r="EJ234" s="137">
        <f>IF(CO234="nulová",J234,0)</f>
        <v>0</v>
      </c>
      <c r="EK234" s="16" t="s">
        <v>81</v>
      </c>
      <c r="EL234" s="137">
        <f>ROUND(I234*H234,2)</f>
        <v>22060.65</v>
      </c>
      <c r="EM234" s="16" t="s">
        <v>95</v>
      </c>
      <c r="EN234" s="136" t="s">
        <v>2174</v>
      </c>
    </row>
    <row r="235" spans="2:144" s="1" customFormat="1" ht="19.5" x14ac:dyDescent="0.2">
      <c r="B235" s="31"/>
      <c r="D235" s="138" t="s">
        <v>289</v>
      </c>
      <c r="F235" s="139" t="s">
        <v>1909</v>
      </c>
      <c r="I235" s="140"/>
      <c r="L235" s="31"/>
      <c r="N235" s="213"/>
      <c r="O235" s="214"/>
      <c r="Q235" s="229"/>
      <c r="CN235" s="141"/>
      <c r="CU235" s="50"/>
      <c r="DU235" s="16" t="s">
        <v>289</v>
      </c>
      <c r="DV235" s="16" t="s">
        <v>83</v>
      </c>
    </row>
    <row r="236" spans="2:144" s="1" customFormat="1" ht="19.5" x14ac:dyDescent="0.2">
      <c r="B236" s="31"/>
      <c r="D236" s="138" t="s">
        <v>299</v>
      </c>
      <c r="F236" s="142" t="s">
        <v>2137</v>
      </c>
      <c r="I236" s="140"/>
      <c r="L236" s="31"/>
      <c r="N236" s="213"/>
      <c r="O236" s="214"/>
      <c r="Q236" s="229"/>
      <c r="CN236" s="141"/>
      <c r="CU236" s="50"/>
      <c r="DU236" s="16" t="s">
        <v>299</v>
      </c>
      <c r="DV236" s="16" t="s">
        <v>83</v>
      </c>
    </row>
    <row r="237" spans="2:144" s="12" customFormat="1" x14ac:dyDescent="0.2">
      <c r="B237" s="149"/>
      <c r="D237" s="138" t="s">
        <v>301</v>
      </c>
      <c r="E237" s="150" t="s">
        <v>1</v>
      </c>
      <c r="F237" s="151" t="s">
        <v>1911</v>
      </c>
      <c r="H237" s="152">
        <v>7.5</v>
      </c>
      <c r="I237" s="153"/>
      <c r="L237" s="149"/>
      <c r="N237" s="217"/>
      <c r="O237" s="218"/>
      <c r="Q237" s="231"/>
      <c r="CN237" s="154"/>
      <c r="CU237" s="155"/>
      <c r="DU237" s="150" t="s">
        <v>301</v>
      </c>
      <c r="DV237" s="150" t="s">
        <v>83</v>
      </c>
      <c r="DW237" s="12" t="s">
        <v>83</v>
      </c>
      <c r="DX237" s="12" t="s">
        <v>32</v>
      </c>
      <c r="DY237" s="12" t="s">
        <v>81</v>
      </c>
      <c r="DZ237" s="150" t="s">
        <v>282</v>
      </c>
    </row>
    <row r="238" spans="2:144" s="1" customFormat="1" ht="24.2" customHeight="1" x14ac:dyDescent="0.2">
      <c r="B238" s="124"/>
      <c r="C238" s="125" t="s">
        <v>476</v>
      </c>
      <c r="D238" s="125" t="s">
        <v>284</v>
      </c>
      <c r="E238" s="126" t="s">
        <v>1912</v>
      </c>
      <c r="F238" s="127" t="s">
        <v>1913</v>
      </c>
      <c r="G238" s="128" t="s">
        <v>366</v>
      </c>
      <c r="H238" s="129">
        <v>0.5</v>
      </c>
      <c r="I238" s="130">
        <v>5294.7542038360798</v>
      </c>
      <c r="J238" s="131">
        <f>ROUND(I238*H238,2)</f>
        <v>2647.38</v>
      </c>
      <c r="K238" s="127" t="s">
        <v>1</v>
      </c>
      <c r="L238" s="268">
        <f>S238</f>
        <v>0</v>
      </c>
      <c r="M238" s="272">
        <f>ROUND(L238*I238,2)</f>
        <v>0</v>
      </c>
      <c r="N238" s="243"/>
      <c r="O238" s="294">
        <f>ROUND(N238*I238,2)</f>
        <v>0</v>
      </c>
      <c r="P238" s="273">
        <f>H238-L238-N238</f>
        <v>0.5</v>
      </c>
      <c r="Q238" s="287">
        <f>ROUND(P238*I238,2)</f>
        <v>2647.38</v>
      </c>
      <c r="R238" s="137"/>
      <c r="S238" s="269">
        <f>W238+Y238+AA238+AC238+AE238+AG238+AI238</f>
        <v>0</v>
      </c>
      <c r="T238" s="269">
        <f>ROUND(S238*I238,2)</f>
        <v>0</v>
      </c>
      <c r="U238" s="269">
        <f>H238-S238</f>
        <v>0.5</v>
      </c>
      <c r="V238" s="269">
        <f>ROUND(U238*I238,2)</f>
        <v>2647.38</v>
      </c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CN238" s="132" t="s">
        <v>1</v>
      </c>
      <c r="CO238" s="133" t="s">
        <v>40</v>
      </c>
      <c r="CQ238" s="134">
        <f>CP238*H238</f>
        <v>0</v>
      </c>
      <c r="CR238" s="134">
        <v>2.2563399999999998</v>
      </c>
      <c r="CS238" s="134">
        <f>CR238*H238</f>
        <v>1.1281699999999999</v>
      </c>
      <c r="CT238" s="134">
        <v>0</v>
      </c>
      <c r="CU238" s="135">
        <f>CT238*H238</f>
        <v>0</v>
      </c>
      <c r="DS238" s="136" t="s">
        <v>95</v>
      </c>
      <c r="DU238" s="136" t="s">
        <v>284</v>
      </c>
      <c r="DV238" s="136" t="s">
        <v>83</v>
      </c>
      <c r="DZ238" s="16" t="s">
        <v>282</v>
      </c>
      <c r="EF238" s="137">
        <f>IF(CO238="základní",J238,0)</f>
        <v>2647.38</v>
      </c>
      <c r="EG238" s="137">
        <f>IF(CO238="snížená",J238,0)</f>
        <v>0</v>
      </c>
      <c r="EH238" s="137">
        <f>IF(CO238="zákl. přenesená",J238,0)</f>
        <v>0</v>
      </c>
      <c r="EI238" s="137">
        <f>IF(CO238="sníž. přenesená",J238,0)</f>
        <v>0</v>
      </c>
      <c r="EJ238" s="137">
        <f>IF(CO238="nulová",J238,0)</f>
        <v>0</v>
      </c>
      <c r="EK238" s="16" t="s">
        <v>81</v>
      </c>
      <c r="EL238" s="137">
        <f>ROUND(I238*H238,2)</f>
        <v>2647.38</v>
      </c>
      <c r="EM238" s="16" t="s">
        <v>95</v>
      </c>
      <c r="EN238" s="136" t="s">
        <v>2175</v>
      </c>
    </row>
    <row r="239" spans="2:144" s="1" customFormat="1" ht="19.5" x14ac:dyDescent="0.2">
      <c r="B239" s="31"/>
      <c r="D239" s="138" t="s">
        <v>289</v>
      </c>
      <c r="F239" s="139" t="s">
        <v>1915</v>
      </c>
      <c r="I239" s="140"/>
      <c r="L239" s="31"/>
      <c r="N239" s="213"/>
      <c r="O239" s="214"/>
      <c r="Q239" s="229"/>
      <c r="CN239" s="141"/>
      <c r="CU239" s="50"/>
      <c r="DU239" s="16" t="s">
        <v>289</v>
      </c>
      <c r="DV239" s="16" t="s">
        <v>83</v>
      </c>
    </row>
    <row r="240" spans="2:144" s="1" customFormat="1" ht="19.5" x14ac:dyDescent="0.2">
      <c r="B240" s="31"/>
      <c r="D240" s="138" t="s">
        <v>299</v>
      </c>
      <c r="F240" s="142" t="s">
        <v>2137</v>
      </c>
      <c r="I240" s="140"/>
      <c r="L240" s="31"/>
      <c r="N240" s="213"/>
      <c r="O240" s="214"/>
      <c r="Q240" s="229"/>
      <c r="CN240" s="141"/>
      <c r="CU240" s="50"/>
      <c r="DU240" s="16" t="s">
        <v>299</v>
      </c>
      <c r="DV240" s="16" t="s">
        <v>83</v>
      </c>
    </row>
    <row r="241" spans="2:144" s="12" customFormat="1" x14ac:dyDescent="0.2">
      <c r="B241" s="149"/>
      <c r="D241" s="138" t="s">
        <v>301</v>
      </c>
      <c r="E241" s="150" t="s">
        <v>1</v>
      </c>
      <c r="F241" s="151" t="s">
        <v>1916</v>
      </c>
      <c r="H241" s="152">
        <v>0.5</v>
      </c>
      <c r="I241" s="153"/>
      <c r="L241" s="149"/>
      <c r="N241" s="217"/>
      <c r="O241" s="218"/>
      <c r="Q241" s="231"/>
      <c r="CN241" s="154"/>
      <c r="CU241" s="155"/>
      <c r="DU241" s="150" t="s">
        <v>301</v>
      </c>
      <c r="DV241" s="150" t="s">
        <v>83</v>
      </c>
      <c r="DW241" s="12" t="s">
        <v>83</v>
      </c>
      <c r="DX241" s="12" t="s">
        <v>32</v>
      </c>
      <c r="DY241" s="12" t="s">
        <v>81</v>
      </c>
      <c r="DZ241" s="150" t="s">
        <v>282</v>
      </c>
    </row>
    <row r="242" spans="2:144" s="1" customFormat="1" ht="24.2" customHeight="1" x14ac:dyDescent="0.2">
      <c r="B242" s="124"/>
      <c r="C242" s="125" t="s">
        <v>482</v>
      </c>
      <c r="D242" s="125" t="s">
        <v>284</v>
      </c>
      <c r="E242" s="126" t="s">
        <v>1917</v>
      </c>
      <c r="F242" s="127" t="s">
        <v>1918</v>
      </c>
      <c r="G242" s="128" t="s">
        <v>418</v>
      </c>
      <c r="H242" s="129">
        <v>3.2749999999999999</v>
      </c>
      <c r="I242" s="130">
        <v>14500.670050413</v>
      </c>
      <c r="J242" s="131">
        <f>ROUND(I242*H242,2)</f>
        <v>47489.69</v>
      </c>
      <c r="K242" s="127" t="s">
        <v>293</v>
      </c>
      <c r="L242" s="268">
        <f>S242</f>
        <v>0</v>
      </c>
      <c r="M242" s="272">
        <f>ROUND(L242*I242,2)</f>
        <v>0</v>
      </c>
      <c r="N242" s="243"/>
      <c r="O242" s="294">
        <f>ROUND(N242*I242,2)</f>
        <v>0</v>
      </c>
      <c r="P242" s="273">
        <f>H242-L242-N242</f>
        <v>3.2749999999999999</v>
      </c>
      <c r="Q242" s="287">
        <f>ROUND(P242*I242,2)</f>
        <v>47489.69</v>
      </c>
      <c r="R242" s="137"/>
      <c r="S242" s="269">
        <f>W242+Y242+AA242+AC242+AE242+AG242+AI242</f>
        <v>0</v>
      </c>
      <c r="T242" s="269">
        <f>ROUND(S242*I242,2)</f>
        <v>0</v>
      </c>
      <c r="U242" s="269">
        <f>H242-S242</f>
        <v>3.2749999999999999</v>
      </c>
      <c r="V242" s="269">
        <f>ROUND(U242*I242,2)</f>
        <v>47489.69</v>
      </c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CN242" s="132" t="s">
        <v>1</v>
      </c>
      <c r="CO242" s="133" t="s">
        <v>40</v>
      </c>
      <c r="CQ242" s="134">
        <f>CP242*H242</f>
        <v>0</v>
      </c>
      <c r="CR242" s="134">
        <v>9.9510000000000001E-2</v>
      </c>
      <c r="CS242" s="134">
        <f>CR242*H242</f>
        <v>0.32589524999999997</v>
      </c>
      <c r="CT242" s="134">
        <v>0</v>
      </c>
      <c r="CU242" s="135">
        <f>CT242*H242</f>
        <v>0</v>
      </c>
      <c r="DS242" s="136" t="s">
        <v>95</v>
      </c>
      <c r="DU242" s="136" t="s">
        <v>284</v>
      </c>
      <c r="DV242" s="136" t="s">
        <v>83</v>
      </c>
      <c r="DZ242" s="16" t="s">
        <v>282</v>
      </c>
      <c r="EF242" s="137">
        <f>IF(CO242="základní",J242,0)</f>
        <v>47489.69</v>
      </c>
      <c r="EG242" s="137">
        <f>IF(CO242="snížená",J242,0)</f>
        <v>0</v>
      </c>
      <c r="EH242" s="137">
        <f>IF(CO242="zákl. přenesená",J242,0)</f>
        <v>0</v>
      </c>
      <c r="EI242" s="137">
        <f>IF(CO242="sníž. přenesená",J242,0)</f>
        <v>0</v>
      </c>
      <c r="EJ242" s="137">
        <f>IF(CO242="nulová",J242,0)</f>
        <v>0</v>
      </c>
      <c r="EK242" s="16" t="s">
        <v>81</v>
      </c>
      <c r="EL242" s="137">
        <f>ROUND(I242*H242,2)</f>
        <v>47489.69</v>
      </c>
      <c r="EM242" s="16" t="s">
        <v>95</v>
      </c>
      <c r="EN242" s="136" t="s">
        <v>2176</v>
      </c>
    </row>
    <row r="243" spans="2:144" s="1" customFormat="1" ht="19.5" x14ac:dyDescent="0.2">
      <c r="B243" s="31"/>
      <c r="D243" s="138" t="s">
        <v>289</v>
      </c>
      <c r="F243" s="139" t="s">
        <v>1920</v>
      </c>
      <c r="I243" s="140"/>
      <c r="L243" s="31"/>
      <c r="N243" s="213"/>
      <c r="O243" s="214"/>
      <c r="Q243" s="229"/>
      <c r="CN243" s="141"/>
      <c r="CU243" s="50"/>
      <c r="DU243" s="16" t="s">
        <v>289</v>
      </c>
      <c r="DV243" s="16" t="s">
        <v>83</v>
      </c>
    </row>
    <row r="244" spans="2:144" s="1" customFormat="1" ht="19.5" x14ac:dyDescent="0.2">
      <c r="B244" s="31"/>
      <c r="D244" s="138" t="s">
        <v>299</v>
      </c>
      <c r="F244" s="142" t="s">
        <v>2137</v>
      </c>
      <c r="I244" s="140"/>
      <c r="L244" s="31"/>
      <c r="N244" s="213"/>
      <c r="O244" s="214"/>
      <c r="Q244" s="229"/>
      <c r="CN244" s="141"/>
      <c r="CU244" s="50"/>
      <c r="DU244" s="16" t="s">
        <v>299</v>
      </c>
      <c r="DV244" s="16" t="s">
        <v>83</v>
      </c>
    </row>
    <row r="245" spans="2:144" s="12" customFormat="1" x14ac:dyDescent="0.2">
      <c r="B245" s="149"/>
      <c r="D245" s="138" t="s">
        <v>301</v>
      </c>
      <c r="E245" s="150" t="s">
        <v>1</v>
      </c>
      <c r="F245" s="151" t="s">
        <v>2177</v>
      </c>
      <c r="H245" s="152">
        <v>3.2749999999999999</v>
      </c>
      <c r="I245" s="153"/>
      <c r="L245" s="149"/>
      <c r="N245" s="217"/>
      <c r="O245" s="218"/>
      <c r="Q245" s="231"/>
      <c r="CN245" s="154"/>
      <c r="CU245" s="155"/>
      <c r="DU245" s="150" t="s">
        <v>301</v>
      </c>
      <c r="DV245" s="150" t="s">
        <v>83</v>
      </c>
      <c r="DW245" s="12" t="s">
        <v>83</v>
      </c>
      <c r="DX245" s="12" t="s">
        <v>32</v>
      </c>
      <c r="DY245" s="12" t="s">
        <v>81</v>
      </c>
      <c r="DZ245" s="150" t="s">
        <v>282</v>
      </c>
    </row>
    <row r="246" spans="2:144" s="1" customFormat="1" ht="14.45" customHeight="1" x14ac:dyDescent="0.2">
      <c r="B246" s="124"/>
      <c r="C246" s="170" t="s">
        <v>489</v>
      </c>
      <c r="D246" s="170" t="s">
        <v>439</v>
      </c>
      <c r="E246" s="171" t="s">
        <v>1922</v>
      </c>
      <c r="F246" s="172" t="s">
        <v>1923</v>
      </c>
      <c r="G246" s="173" t="s">
        <v>418</v>
      </c>
      <c r="H246" s="174">
        <v>3.2749999999999999</v>
      </c>
      <c r="I246" s="175">
        <v>30353.72192</v>
      </c>
      <c r="J246" s="176">
        <f>ROUND(I246*H246,2)</f>
        <v>99408.44</v>
      </c>
      <c r="K246" s="172" t="s">
        <v>293</v>
      </c>
      <c r="L246" s="268">
        <f>S246</f>
        <v>0</v>
      </c>
      <c r="M246" s="272">
        <f>ROUND(L246*I246,2)</f>
        <v>0</v>
      </c>
      <c r="N246" s="243"/>
      <c r="O246" s="294">
        <f>ROUND(N246*I246,2)</f>
        <v>0</v>
      </c>
      <c r="P246" s="273">
        <f>H246-L246-N246</f>
        <v>3.2749999999999999</v>
      </c>
      <c r="Q246" s="287">
        <f>ROUND(P246*I246,2)</f>
        <v>99408.44</v>
      </c>
      <c r="R246" s="137"/>
      <c r="S246" s="269">
        <f>W246+Y246+AA246+AC246+AE246+AG246+AI246</f>
        <v>0</v>
      </c>
      <c r="T246" s="269">
        <f>ROUND(S246*I246,2)</f>
        <v>0</v>
      </c>
      <c r="U246" s="269">
        <f>H246-S246</f>
        <v>3.2749999999999999</v>
      </c>
      <c r="V246" s="269">
        <f>ROUND(U246*I246,2)</f>
        <v>99408.44</v>
      </c>
      <c r="W246" s="290"/>
      <c r="X246" s="290"/>
      <c r="Y246" s="290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90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77" t="s">
        <v>1</v>
      </c>
      <c r="CO246" s="178" t="s">
        <v>40</v>
      </c>
      <c r="CQ246" s="134">
        <f>CP246*H246</f>
        <v>0</v>
      </c>
      <c r="CR246" s="134">
        <v>1</v>
      </c>
      <c r="CS246" s="134">
        <f>CR246*H246</f>
        <v>3.2749999999999999</v>
      </c>
      <c r="CT246" s="134">
        <v>0</v>
      </c>
      <c r="CU246" s="135">
        <f>CT246*H246</f>
        <v>0</v>
      </c>
      <c r="DS246" s="136" t="s">
        <v>328</v>
      </c>
      <c r="DU246" s="136" t="s">
        <v>439</v>
      </c>
      <c r="DV246" s="136" t="s">
        <v>83</v>
      </c>
      <c r="DZ246" s="16" t="s">
        <v>282</v>
      </c>
      <c r="EF246" s="137">
        <f>IF(CO246="základní",J246,0)</f>
        <v>99408.44</v>
      </c>
      <c r="EG246" s="137">
        <f>IF(CO246="snížená",J246,0)</f>
        <v>0</v>
      </c>
      <c r="EH246" s="137">
        <f>IF(CO246="zákl. přenesená",J246,0)</f>
        <v>0</v>
      </c>
      <c r="EI246" s="137">
        <f>IF(CO246="sníž. přenesená",J246,0)</f>
        <v>0</v>
      </c>
      <c r="EJ246" s="137">
        <f>IF(CO246="nulová",J246,0)</f>
        <v>0</v>
      </c>
      <c r="EK246" s="16" t="s">
        <v>81</v>
      </c>
      <c r="EL246" s="137">
        <f>ROUND(I246*H246,2)</f>
        <v>99408.44</v>
      </c>
      <c r="EM246" s="16" t="s">
        <v>95</v>
      </c>
      <c r="EN246" s="136" t="s">
        <v>2178</v>
      </c>
    </row>
    <row r="247" spans="2:144" s="1" customFormat="1" x14ac:dyDescent="0.2">
      <c r="B247" s="31"/>
      <c r="D247" s="138" t="s">
        <v>289</v>
      </c>
      <c r="F247" s="139" t="s">
        <v>1923</v>
      </c>
      <c r="I247" s="140"/>
      <c r="L247" s="31"/>
      <c r="N247" s="213"/>
      <c r="O247" s="214"/>
      <c r="Q247" s="229"/>
      <c r="CN247" s="141"/>
      <c r="CU247" s="50"/>
      <c r="DU247" s="16" t="s">
        <v>289</v>
      </c>
      <c r="DV247" s="16" t="s">
        <v>83</v>
      </c>
    </row>
    <row r="248" spans="2:144" s="1" customFormat="1" ht="24.2" customHeight="1" x14ac:dyDescent="0.2">
      <c r="B248" s="124"/>
      <c r="C248" s="125" t="s">
        <v>493</v>
      </c>
      <c r="D248" s="125" t="s">
        <v>284</v>
      </c>
      <c r="E248" s="126" t="s">
        <v>1925</v>
      </c>
      <c r="F248" s="127" t="s">
        <v>1926</v>
      </c>
      <c r="G248" s="128" t="s">
        <v>418</v>
      </c>
      <c r="H248" s="129">
        <v>3.2749999999999999</v>
      </c>
      <c r="I248" s="130">
        <v>4765.1989558198602</v>
      </c>
      <c r="J248" s="131">
        <f>ROUND(I248*H248,2)</f>
        <v>15606.03</v>
      </c>
      <c r="K248" s="127" t="s">
        <v>293</v>
      </c>
      <c r="L248" s="268">
        <f>S248</f>
        <v>0</v>
      </c>
      <c r="M248" s="272">
        <f>ROUND(L248*I248,2)</f>
        <v>0</v>
      </c>
      <c r="N248" s="243"/>
      <c r="O248" s="294">
        <f>ROUND(N248*I248,2)</f>
        <v>0</v>
      </c>
      <c r="P248" s="273">
        <f>H248-L248-N248</f>
        <v>3.2749999999999999</v>
      </c>
      <c r="Q248" s="287">
        <f>ROUND(P248*I248,2)</f>
        <v>15606.03</v>
      </c>
      <c r="R248" s="137"/>
      <c r="S248" s="269">
        <f>W248+Y248+AA248+AC248+AE248+AG248+AI248</f>
        <v>0</v>
      </c>
      <c r="T248" s="269">
        <f>ROUND(S248*I248,2)</f>
        <v>0</v>
      </c>
      <c r="U248" s="269">
        <f>H248-S248</f>
        <v>3.2749999999999999</v>
      </c>
      <c r="V248" s="269">
        <f>ROUND(U248*I248,2)</f>
        <v>15606.03</v>
      </c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CN248" s="132" t="s">
        <v>1</v>
      </c>
      <c r="CO248" s="133" t="s">
        <v>40</v>
      </c>
      <c r="CQ248" s="134">
        <f>CP248*H248</f>
        <v>0</v>
      </c>
      <c r="CR248" s="134">
        <v>0</v>
      </c>
      <c r="CS248" s="134">
        <f>CR248*H248</f>
        <v>0</v>
      </c>
      <c r="CT248" s="134">
        <v>0</v>
      </c>
      <c r="CU248" s="135">
        <f>CT248*H248</f>
        <v>0</v>
      </c>
      <c r="DS248" s="136" t="s">
        <v>95</v>
      </c>
      <c r="DU248" s="136" t="s">
        <v>284</v>
      </c>
      <c r="DV248" s="136" t="s">
        <v>83</v>
      </c>
      <c r="DZ248" s="16" t="s">
        <v>282</v>
      </c>
      <c r="EF248" s="137">
        <f>IF(CO248="základní",J248,0)</f>
        <v>15606.03</v>
      </c>
      <c r="EG248" s="137">
        <f>IF(CO248="snížená",J248,0)</f>
        <v>0</v>
      </c>
      <c r="EH248" s="137">
        <f>IF(CO248="zákl. přenesená",J248,0)</f>
        <v>0</v>
      </c>
      <c r="EI248" s="137">
        <f>IF(CO248="sníž. přenesená",J248,0)</f>
        <v>0</v>
      </c>
      <c r="EJ248" s="137">
        <f>IF(CO248="nulová",J248,0)</f>
        <v>0</v>
      </c>
      <c r="EK248" s="16" t="s">
        <v>81</v>
      </c>
      <c r="EL248" s="137">
        <f>ROUND(I248*H248,2)</f>
        <v>15606.03</v>
      </c>
      <c r="EM248" s="16" t="s">
        <v>95</v>
      </c>
      <c r="EN248" s="136" t="s">
        <v>2179</v>
      </c>
    </row>
    <row r="249" spans="2:144" s="1" customFormat="1" ht="19.5" x14ac:dyDescent="0.2">
      <c r="B249" s="31"/>
      <c r="D249" s="138" t="s">
        <v>289</v>
      </c>
      <c r="F249" s="139" t="s">
        <v>1928</v>
      </c>
      <c r="I249" s="140"/>
      <c r="L249" s="31"/>
      <c r="N249" s="213"/>
      <c r="O249" s="214"/>
      <c r="Q249" s="229"/>
      <c r="CN249" s="141"/>
      <c r="CU249" s="50"/>
      <c r="DU249" s="16" t="s">
        <v>289</v>
      </c>
      <c r="DV249" s="16" t="s">
        <v>83</v>
      </c>
    </row>
    <row r="250" spans="2:144" s="10" customFormat="1" ht="22.9" customHeight="1" x14ac:dyDescent="0.2">
      <c r="B250" s="112"/>
      <c r="D250" s="113" t="s">
        <v>73</v>
      </c>
      <c r="E250" s="122" t="s">
        <v>95</v>
      </c>
      <c r="F250" s="122" t="s">
        <v>469</v>
      </c>
      <c r="I250" s="115"/>
      <c r="J250" s="123">
        <f>EL250</f>
        <v>4812.2299999999996</v>
      </c>
      <c r="L250" s="112"/>
      <c r="M250" s="270">
        <f>M251+M256</f>
        <v>0</v>
      </c>
      <c r="N250" s="301"/>
      <c r="O250" s="302">
        <f t="shared" ref="O250:V250" si="4">O251+O256</f>
        <v>0</v>
      </c>
      <c r="P250" s="270"/>
      <c r="Q250" s="288">
        <f t="shared" si="4"/>
        <v>4812.2299999999996</v>
      </c>
      <c r="R250" s="270"/>
      <c r="S250" s="270"/>
      <c r="T250" s="270">
        <f t="shared" si="4"/>
        <v>0</v>
      </c>
      <c r="U250" s="270"/>
      <c r="V250" s="270">
        <f t="shared" si="4"/>
        <v>4812.2299999999996</v>
      </c>
      <c r="CN250" s="117"/>
      <c r="CQ250" s="118">
        <f>SUM(CQ251:CQ259)</f>
        <v>0</v>
      </c>
      <c r="CS250" s="118">
        <f>SUM(CS251:CS259)</f>
        <v>2.3941177099999997</v>
      </c>
      <c r="CU250" s="119">
        <f>SUM(CU251:CU259)</f>
        <v>0</v>
      </c>
      <c r="DS250" s="113" t="s">
        <v>81</v>
      </c>
      <c r="DU250" s="120" t="s">
        <v>73</v>
      </c>
      <c r="DV250" s="120" t="s">
        <v>81</v>
      </c>
      <c r="DZ250" s="113" t="s">
        <v>282</v>
      </c>
      <c r="EL250" s="121">
        <f>SUM(EL251:EL259)</f>
        <v>4812.2299999999996</v>
      </c>
    </row>
    <row r="251" spans="2:144" s="1" customFormat="1" ht="14.45" customHeight="1" x14ac:dyDescent="0.2">
      <c r="B251" s="124"/>
      <c r="C251" s="125" t="s">
        <v>497</v>
      </c>
      <c r="D251" s="125" t="s">
        <v>284</v>
      </c>
      <c r="E251" s="126" t="s">
        <v>1929</v>
      </c>
      <c r="F251" s="127" t="s">
        <v>1930</v>
      </c>
      <c r="G251" s="128" t="s">
        <v>366</v>
      </c>
      <c r="H251" s="129">
        <v>0.95199999999999996</v>
      </c>
      <c r="I251" s="130">
        <v>3431.8783609800612</v>
      </c>
      <c r="J251" s="131">
        <f>ROUND(I251*H251,2)</f>
        <v>3267.15</v>
      </c>
      <c r="K251" s="127" t="s">
        <v>293</v>
      </c>
      <c r="L251" s="268">
        <f>S251</f>
        <v>0</v>
      </c>
      <c r="M251" s="272">
        <f>ROUND(L251*I251,2)</f>
        <v>0</v>
      </c>
      <c r="N251" s="243"/>
      <c r="O251" s="294">
        <f>ROUND(N251*I251,2)</f>
        <v>0</v>
      </c>
      <c r="P251" s="273">
        <f>H251-L251-N251</f>
        <v>0.95199999999999996</v>
      </c>
      <c r="Q251" s="287">
        <f>ROUND(P251*I251,2)</f>
        <v>3267.15</v>
      </c>
      <c r="R251" s="137"/>
      <c r="S251" s="269">
        <f>W251+Y251+AA251+AC251+AE251+AG251+AI251</f>
        <v>0</v>
      </c>
      <c r="T251" s="269">
        <f>ROUND(S251*I251,2)</f>
        <v>0</v>
      </c>
      <c r="U251" s="269">
        <f>H251-S251</f>
        <v>0.95199999999999996</v>
      </c>
      <c r="V251" s="269">
        <f>ROUND(U251*I251,2)</f>
        <v>3267.15</v>
      </c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CN251" s="132" t="s">
        <v>1</v>
      </c>
      <c r="CO251" s="133" t="s">
        <v>40</v>
      </c>
      <c r="CQ251" s="134">
        <f>CP251*H251</f>
        <v>0</v>
      </c>
      <c r="CR251" s="134">
        <v>2.45343</v>
      </c>
      <c r="CS251" s="134">
        <f>CR251*H251</f>
        <v>2.3356653599999997</v>
      </c>
      <c r="CT251" s="134">
        <v>0</v>
      </c>
      <c r="CU251" s="135">
        <f>CT251*H251</f>
        <v>0</v>
      </c>
      <c r="DS251" s="136" t="s">
        <v>95</v>
      </c>
      <c r="DU251" s="136" t="s">
        <v>284</v>
      </c>
      <c r="DV251" s="136" t="s">
        <v>83</v>
      </c>
      <c r="DZ251" s="16" t="s">
        <v>282</v>
      </c>
      <c r="EF251" s="137">
        <f>IF(CO251="základní",J251,0)</f>
        <v>3267.15</v>
      </c>
      <c r="EG251" s="137">
        <f>IF(CO251="snížená",J251,0)</f>
        <v>0</v>
      </c>
      <c r="EH251" s="137">
        <f>IF(CO251="zákl. přenesená",J251,0)</f>
        <v>0</v>
      </c>
      <c r="EI251" s="137">
        <f>IF(CO251="sníž. přenesená",J251,0)</f>
        <v>0</v>
      </c>
      <c r="EJ251" s="137">
        <f>IF(CO251="nulová",J251,0)</f>
        <v>0</v>
      </c>
      <c r="EK251" s="16" t="s">
        <v>81</v>
      </c>
      <c r="EL251" s="137">
        <f>ROUND(I251*H251,2)</f>
        <v>3267.15</v>
      </c>
      <c r="EM251" s="16" t="s">
        <v>95</v>
      </c>
      <c r="EN251" s="136" t="s">
        <v>2180</v>
      </c>
    </row>
    <row r="252" spans="2:144" s="1" customFormat="1" ht="29.25" x14ac:dyDescent="0.2">
      <c r="B252" s="31"/>
      <c r="D252" s="138" t="s">
        <v>289</v>
      </c>
      <c r="F252" s="139" t="s">
        <v>1932</v>
      </c>
      <c r="I252" s="140"/>
      <c r="L252" s="31"/>
      <c r="N252" s="213"/>
      <c r="O252" s="214"/>
      <c r="Q252" s="229"/>
      <c r="CN252" s="141"/>
      <c r="CU252" s="50"/>
      <c r="DU252" s="16" t="s">
        <v>289</v>
      </c>
      <c r="DV252" s="16" t="s">
        <v>83</v>
      </c>
    </row>
    <row r="253" spans="2:144" s="1" customFormat="1" ht="19.5" x14ac:dyDescent="0.2">
      <c r="B253" s="31"/>
      <c r="D253" s="138" t="s">
        <v>299</v>
      </c>
      <c r="F253" s="142" t="s">
        <v>2137</v>
      </c>
      <c r="I253" s="140"/>
      <c r="L253" s="31"/>
      <c r="N253" s="213"/>
      <c r="O253" s="214"/>
      <c r="Q253" s="229"/>
      <c r="CN253" s="141"/>
      <c r="CU253" s="50"/>
      <c r="DU253" s="16" t="s">
        <v>299</v>
      </c>
      <c r="DV253" s="16" t="s">
        <v>83</v>
      </c>
    </row>
    <row r="254" spans="2:144" s="11" customFormat="1" x14ac:dyDescent="0.2">
      <c r="B254" s="143"/>
      <c r="D254" s="138" t="s">
        <v>301</v>
      </c>
      <c r="E254" s="144" t="s">
        <v>1</v>
      </c>
      <c r="F254" s="145" t="s">
        <v>1933</v>
      </c>
      <c r="H254" s="144" t="s">
        <v>1</v>
      </c>
      <c r="I254" s="146"/>
      <c r="L254" s="143"/>
      <c r="N254" s="215"/>
      <c r="O254" s="216"/>
      <c r="Q254" s="230"/>
      <c r="CN254" s="147"/>
      <c r="CU254" s="148"/>
      <c r="DU254" s="144" t="s">
        <v>301</v>
      </c>
      <c r="DV254" s="144" t="s">
        <v>83</v>
      </c>
      <c r="DW254" s="11" t="s">
        <v>81</v>
      </c>
      <c r="DX254" s="11" t="s">
        <v>32</v>
      </c>
      <c r="DY254" s="11" t="s">
        <v>74</v>
      </c>
      <c r="DZ254" s="144" t="s">
        <v>282</v>
      </c>
    </row>
    <row r="255" spans="2:144" s="12" customFormat="1" x14ac:dyDescent="0.2">
      <c r="B255" s="149"/>
      <c r="D255" s="138" t="s">
        <v>301</v>
      </c>
      <c r="E255" s="150" t="s">
        <v>1</v>
      </c>
      <c r="F255" s="151" t="s">
        <v>1934</v>
      </c>
      <c r="H255" s="152">
        <v>0.95199999999999996</v>
      </c>
      <c r="I255" s="153"/>
      <c r="L255" s="149"/>
      <c r="N255" s="217"/>
      <c r="O255" s="218"/>
      <c r="Q255" s="231"/>
      <c r="CN255" s="154"/>
      <c r="CU255" s="155"/>
      <c r="DU255" s="150" t="s">
        <v>301</v>
      </c>
      <c r="DV255" s="150" t="s">
        <v>83</v>
      </c>
      <c r="DW255" s="12" t="s">
        <v>83</v>
      </c>
      <c r="DX255" s="12" t="s">
        <v>32</v>
      </c>
      <c r="DY255" s="12" t="s">
        <v>81</v>
      </c>
      <c r="DZ255" s="150" t="s">
        <v>282</v>
      </c>
    </row>
    <row r="256" spans="2:144" s="1" customFormat="1" ht="14.45" customHeight="1" x14ac:dyDescent="0.2">
      <c r="B256" s="124"/>
      <c r="C256" s="125" t="s">
        <v>501</v>
      </c>
      <c r="D256" s="125" t="s">
        <v>284</v>
      </c>
      <c r="E256" s="126" t="s">
        <v>1935</v>
      </c>
      <c r="F256" s="127" t="s">
        <v>1936</v>
      </c>
      <c r="G256" s="128" t="s">
        <v>418</v>
      </c>
      <c r="H256" s="129">
        <v>5.5E-2</v>
      </c>
      <c r="I256" s="130">
        <v>28092.34584524966</v>
      </c>
      <c r="J256" s="131">
        <f>ROUND(I256*H256,2)</f>
        <v>1545.08</v>
      </c>
      <c r="K256" s="127" t="s">
        <v>293</v>
      </c>
      <c r="L256" s="268">
        <f>S256</f>
        <v>0</v>
      </c>
      <c r="M256" s="272">
        <f>ROUND(L256*I256,2)</f>
        <v>0</v>
      </c>
      <c r="N256" s="243"/>
      <c r="O256" s="294">
        <f>ROUND(N256*I256,2)</f>
        <v>0</v>
      </c>
      <c r="P256" s="273">
        <f>H256-L256-N256</f>
        <v>5.5E-2</v>
      </c>
      <c r="Q256" s="287">
        <f>ROUND(P256*I256,2)</f>
        <v>1545.08</v>
      </c>
      <c r="R256" s="137"/>
      <c r="S256" s="269">
        <f>W256+Y256+AA256+AC256+AE256+AG256+AI256</f>
        <v>0</v>
      </c>
      <c r="T256" s="269">
        <f>ROUND(S256*I256,2)</f>
        <v>0</v>
      </c>
      <c r="U256" s="269">
        <f>H256-S256</f>
        <v>5.5E-2</v>
      </c>
      <c r="V256" s="269">
        <f>ROUND(U256*I256,2)</f>
        <v>1545.08</v>
      </c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CN256" s="132" t="s">
        <v>1</v>
      </c>
      <c r="CO256" s="133" t="s">
        <v>40</v>
      </c>
      <c r="CQ256" s="134">
        <f>CP256*H256</f>
        <v>0</v>
      </c>
      <c r="CR256" s="134">
        <v>1.06277</v>
      </c>
      <c r="CS256" s="134">
        <f>CR256*H256</f>
        <v>5.845235E-2</v>
      </c>
      <c r="CT256" s="134">
        <v>0</v>
      </c>
      <c r="CU256" s="135">
        <f>CT256*H256</f>
        <v>0</v>
      </c>
      <c r="DS256" s="136" t="s">
        <v>95</v>
      </c>
      <c r="DU256" s="136" t="s">
        <v>284</v>
      </c>
      <c r="DV256" s="136" t="s">
        <v>83</v>
      </c>
      <c r="DZ256" s="16" t="s">
        <v>282</v>
      </c>
      <c r="EF256" s="137">
        <f>IF(CO256="základní",J256,0)</f>
        <v>1545.08</v>
      </c>
      <c r="EG256" s="137">
        <f>IF(CO256="snížená",J256,0)</f>
        <v>0</v>
      </c>
      <c r="EH256" s="137">
        <f>IF(CO256="zákl. přenesená",J256,0)</f>
        <v>0</v>
      </c>
      <c r="EI256" s="137">
        <f>IF(CO256="sníž. přenesená",J256,0)</f>
        <v>0</v>
      </c>
      <c r="EJ256" s="137">
        <f>IF(CO256="nulová",J256,0)</f>
        <v>0</v>
      </c>
      <c r="EK256" s="16" t="s">
        <v>81</v>
      </c>
      <c r="EL256" s="137">
        <f>ROUND(I256*H256,2)</f>
        <v>1545.08</v>
      </c>
      <c r="EM256" s="16" t="s">
        <v>95</v>
      </c>
      <c r="EN256" s="136" t="s">
        <v>2181</v>
      </c>
    </row>
    <row r="257" spans="2:144" s="1" customFormat="1" ht="48.75" x14ac:dyDescent="0.2">
      <c r="B257" s="31"/>
      <c r="D257" s="138" t="s">
        <v>289</v>
      </c>
      <c r="F257" s="139" t="s">
        <v>1938</v>
      </c>
      <c r="I257" s="140"/>
      <c r="L257" s="31"/>
      <c r="N257" s="213"/>
      <c r="O257" s="214"/>
      <c r="Q257" s="229"/>
      <c r="CN257" s="141"/>
      <c r="CU257" s="50"/>
      <c r="DU257" s="16" t="s">
        <v>289</v>
      </c>
      <c r="DV257" s="16" t="s">
        <v>83</v>
      </c>
    </row>
    <row r="258" spans="2:144" s="1" customFormat="1" ht="19.5" x14ac:dyDescent="0.2">
      <c r="B258" s="31"/>
      <c r="D258" s="138" t="s">
        <v>299</v>
      </c>
      <c r="F258" s="142" t="s">
        <v>2137</v>
      </c>
      <c r="I258" s="140"/>
      <c r="L258" s="31"/>
      <c r="N258" s="213"/>
      <c r="O258" s="214"/>
      <c r="Q258" s="229"/>
      <c r="CN258" s="141"/>
      <c r="CU258" s="50"/>
      <c r="DU258" s="16" t="s">
        <v>299</v>
      </c>
      <c r="DV258" s="16" t="s">
        <v>83</v>
      </c>
    </row>
    <row r="259" spans="2:144" s="12" customFormat="1" x14ac:dyDescent="0.2">
      <c r="B259" s="149"/>
      <c r="D259" s="138" t="s">
        <v>301</v>
      </c>
      <c r="E259" s="150" t="s">
        <v>1</v>
      </c>
      <c r="F259" s="151" t="s">
        <v>1939</v>
      </c>
      <c r="H259" s="152">
        <v>5.5E-2</v>
      </c>
      <c r="I259" s="153"/>
      <c r="L259" s="149"/>
      <c r="N259" s="217"/>
      <c r="O259" s="218"/>
      <c r="Q259" s="231"/>
      <c r="CN259" s="154"/>
      <c r="CU259" s="155"/>
      <c r="DU259" s="150" t="s">
        <v>301</v>
      </c>
      <c r="DV259" s="150" t="s">
        <v>83</v>
      </c>
      <c r="DW259" s="12" t="s">
        <v>83</v>
      </c>
      <c r="DX259" s="12" t="s">
        <v>32</v>
      </c>
      <c r="DY259" s="12" t="s">
        <v>81</v>
      </c>
      <c r="DZ259" s="150" t="s">
        <v>282</v>
      </c>
    </row>
    <row r="260" spans="2:144" s="10" customFormat="1" ht="22.9" customHeight="1" x14ac:dyDescent="0.2">
      <c r="B260" s="112"/>
      <c r="D260" s="113" t="s">
        <v>73</v>
      </c>
      <c r="E260" s="122" t="s">
        <v>312</v>
      </c>
      <c r="F260" s="122" t="s">
        <v>520</v>
      </c>
      <c r="I260" s="115"/>
      <c r="J260" s="123">
        <f>EL260</f>
        <v>21203.75</v>
      </c>
      <c r="L260" s="112"/>
      <c r="M260" s="270">
        <f>SUM(M261:M274)</f>
        <v>0</v>
      </c>
      <c r="N260" s="301"/>
      <c r="O260" s="302">
        <f t="shared" ref="O260:V260" si="5">SUM(O261:O274)</f>
        <v>0</v>
      </c>
      <c r="P260" s="270"/>
      <c r="Q260" s="288">
        <f t="shared" si="5"/>
        <v>21203.75</v>
      </c>
      <c r="R260" s="270"/>
      <c r="S260" s="270"/>
      <c r="T260" s="270">
        <f t="shared" si="5"/>
        <v>0</v>
      </c>
      <c r="U260" s="270"/>
      <c r="V260" s="270">
        <f t="shared" si="5"/>
        <v>21203.75</v>
      </c>
      <c r="CN260" s="117"/>
      <c r="CQ260" s="118">
        <f>SUM(CQ261:CQ278)</f>
        <v>0</v>
      </c>
      <c r="CS260" s="118">
        <f>SUM(CS261:CS278)</f>
        <v>0</v>
      </c>
      <c r="CU260" s="119">
        <f>SUM(CU261:CU278)</f>
        <v>0</v>
      </c>
      <c r="DS260" s="113" t="s">
        <v>81</v>
      </c>
      <c r="DU260" s="120" t="s">
        <v>73</v>
      </c>
      <c r="DV260" s="120" t="s">
        <v>81</v>
      </c>
      <c r="DZ260" s="113" t="s">
        <v>282</v>
      </c>
      <c r="EL260" s="121">
        <f>SUM(EL261:EL278)</f>
        <v>21203.75</v>
      </c>
    </row>
    <row r="261" spans="2:144" s="1" customFormat="1" ht="24.2" customHeight="1" x14ac:dyDescent="0.2">
      <c r="B261" s="124"/>
      <c r="C261" s="125" t="s">
        <v>505</v>
      </c>
      <c r="D261" s="125" t="s">
        <v>284</v>
      </c>
      <c r="E261" s="126" t="s">
        <v>522</v>
      </c>
      <c r="F261" s="127" t="s">
        <v>523</v>
      </c>
      <c r="G261" s="128" t="s">
        <v>287</v>
      </c>
      <c r="H261" s="129">
        <v>17.64</v>
      </c>
      <c r="I261" s="130">
        <v>130.95617506780872</v>
      </c>
      <c r="J261" s="131">
        <f>ROUND(I261*H261,2)</f>
        <v>2310.0700000000002</v>
      </c>
      <c r="K261" s="127" t="s">
        <v>293</v>
      </c>
      <c r="L261" s="268">
        <f>S261</f>
        <v>0</v>
      </c>
      <c r="M261" s="272">
        <f>ROUND(L261*I261,2)</f>
        <v>0</v>
      </c>
      <c r="N261" s="243"/>
      <c r="O261" s="294">
        <f>ROUND(N261*I261,2)</f>
        <v>0</v>
      </c>
      <c r="P261" s="273">
        <f>H261-L261-N261</f>
        <v>17.64</v>
      </c>
      <c r="Q261" s="287">
        <f>ROUND(P261*I261,2)</f>
        <v>2310.0700000000002</v>
      </c>
      <c r="R261" s="137"/>
      <c r="S261" s="269">
        <f>W261+Y261+AA261+AC261+AE261+AG261+AI261</f>
        <v>0</v>
      </c>
      <c r="T261" s="269">
        <f>ROUND(S261*I261,2)</f>
        <v>0</v>
      </c>
      <c r="U261" s="269">
        <f>H261-S261</f>
        <v>17.64</v>
      </c>
      <c r="V261" s="269">
        <f>ROUND(U261*I261,2)</f>
        <v>2310.0700000000002</v>
      </c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CN261" s="132" t="s">
        <v>1</v>
      </c>
      <c r="CO261" s="133" t="s">
        <v>40</v>
      </c>
      <c r="CQ261" s="134">
        <f>CP261*H261</f>
        <v>0</v>
      </c>
      <c r="CR261" s="134">
        <v>0</v>
      </c>
      <c r="CS261" s="134">
        <f>CR261*H261</f>
        <v>0</v>
      </c>
      <c r="CT261" s="134">
        <v>0</v>
      </c>
      <c r="CU261" s="135">
        <f>CT261*H261</f>
        <v>0</v>
      </c>
      <c r="DS261" s="136" t="s">
        <v>95</v>
      </c>
      <c r="DU261" s="136" t="s">
        <v>284</v>
      </c>
      <c r="DV261" s="136" t="s">
        <v>83</v>
      </c>
      <c r="DZ261" s="16" t="s">
        <v>282</v>
      </c>
      <c r="EF261" s="137">
        <f>IF(CO261="základní",J261,0)</f>
        <v>2310.0700000000002</v>
      </c>
      <c r="EG261" s="137">
        <f>IF(CO261="snížená",J261,0)</f>
        <v>0</v>
      </c>
      <c r="EH261" s="137">
        <f>IF(CO261="zákl. přenesená",J261,0)</f>
        <v>0</v>
      </c>
      <c r="EI261" s="137">
        <f>IF(CO261="sníž. přenesená",J261,0)</f>
        <v>0</v>
      </c>
      <c r="EJ261" s="137">
        <f>IF(CO261="nulová",J261,0)</f>
        <v>0</v>
      </c>
      <c r="EK261" s="16" t="s">
        <v>81</v>
      </c>
      <c r="EL261" s="137">
        <f>ROUND(I261*H261,2)</f>
        <v>2310.0700000000002</v>
      </c>
      <c r="EM261" s="16" t="s">
        <v>95</v>
      </c>
      <c r="EN261" s="136" t="s">
        <v>2182</v>
      </c>
    </row>
    <row r="262" spans="2:144" s="1" customFormat="1" ht="19.5" x14ac:dyDescent="0.2">
      <c r="B262" s="31"/>
      <c r="D262" s="138" t="s">
        <v>289</v>
      </c>
      <c r="F262" s="139" t="s">
        <v>525</v>
      </c>
      <c r="I262" s="140"/>
      <c r="L262" s="31"/>
      <c r="N262" s="213"/>
      <c r="O262" s="214"/>
      <c r="Q262" s="229"/>
      <c r="CN262" s="141"/>
      <c r="CU262" s="50"/>
      <c r="DU262" s="16" t="s">
        <v>289</v>
      </c>
      <c r="DV262" s="16" t="s">
        <v>83</v>
      </c>
    </row>
    <row r="263" spans="2:144" s="1" customFormat="1" ht="14.45" customHeight="1" x14ac:dyDescent="0.2">
      <c r="B263" s="124"/>
      <c r="C263" s="125" t="s">
        <v>510</v>
      </c>
      <c r="D263" s="125" t="s">
        <v>284</v>
      </c>
      <c r="E263" s="126" t="s">
        <v>527</v>
      </c>
      <c r="F263" s="127" t="s">
        <v>528</v>
      </c>
      <c r="G263" s="128" t="s">
        <v>287</v>
      </c>
      <c r="H263" s="129">
        <v>17.64</v>
      </c>
      <c r="I263" s="130">
        <v>200.20823792465458</v>
      </c>
      <c r="J263" s="131">
        <f>ROUND(I263*H263,2)</f>
        <v>3531.67</v>
      </c>
      <c r="K263" s="127" t="s">
        <v>293</v>
      </c>
      <c r="L263" s="268">
        <f>S263</f>
        <v>0</v>
      </c>
      <c r="M263" s="272">
        <f>ROUND(L263*I263,2)</f>
        <v>0</v>
      </c>
      <c r="N263" s="243"/>
      <c r="O263" s="294">
        <f>ROUND(N263*I263,2)</f>
        <v>0</v>
      </c>
      <c r="P263" s="273">
        <f>H263-L263-N263</f>
        <v>17.64</v>
      </c>
      <c r="Q263" s="287">
        <f>ROUND(P263*I263,2)</f>
        <v>3531.67</v>
      </c>
      <c r="R263" s="137"/>
      <c r="S263" s="269">
        <f>W263+Y263+AA263+AC263+AE263+AG263+AI263</f>
        <v>0</v>
      </c>
      <c r="T263" s="269">
        <f>ROUND(S263*I263,2)</f>
        <v>0</v>
      </c>
      <c r="U263" s="269">
        <f>H263-S263</f>
        <v>17.64</v>
      </c>
      <c r="V263" s="269">
        <f>ROUND(U263*I263,2)</f>
        <v>3531.67</v>
      </c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CN263" s="132" t="s">
        <v>1</v>
      </c>
      <c r="CO263" s="133" t="s">
        <v>40</v>
      </c>
      <c r="CQ263" s="134">
        <f>CP263*H263</f>
        <v>0</v>
      </c>
      <c r="CR263" s="134">
        <v>0</v>
      </c>
      <c r="CS263" s="134">
        <f>CR263*H263</f>
        <v>0</v>
      </c>
      <c r="CT263" s="134">
        <v>0</v>
      </c>
      <c r="CU263" s="135">
        <f>CT263*H263</f>
        <v>0</v>
      </c>
      <c r="DS263" s="136" t="s">
        <v>95</v>
      </c>
      <c r="DU263" s="136" t="s">
        <v>284</v>
      </c>
      <c r="DV263" s="136" t="s">
        <v>83</v>
      </c>
      <c r="DZ263" s="16" t="s">
        <v>282</v>
      </c>
      <c r="EF263" s="137">
        <f>IF(CO263="základní",J263,0)</f>
        <v>3531.67</v>
      </c>
      <c r="EG263" s="137">
        <f>IF(CO263="snížená",J263,0)</f>
        <v>0</v>
      </c>
      <c r="EH263" s="137">
        <f>IF(CO263="zákl. přenesená",J263,0)</f>
        <v>0</v>
      </c>
      <c r="EI263" s="137">
        <f>IF(CO263="sníž. přenesená",J263,0)</f>
        <v>0</v>
      </c>
      <c r="EJ263" s="137">
        <f>IF(CO263="nulová",J263,0)</f>
        <v>0</v>
      </c>
      <c r="EK263" s="16" t="s">
        <v>81</v>
      </c>
      <c r="EL263" s="137">
        <f>ROUND(I263*H263,2)</f>
        <v>3531.67</v>
      </c>
      <c r="EM263" s="16" t="s">
        <v>95</v>
      </c>
      <c r="EN263" s="136" t="s">
        <v>2183</v>
      </c>
    </row>
    <row r="264" spans="2:144" s="1" customFormat="1" ht="19.5" x14ac:dyDescent="0.2">
      <c r="B264" s="31"/>
      <c r="D264" s="138" t="s">
        <v>289</v>
      </c>
      <c r="F264" s="139" t="s">
        <v>530</v>
      </c>
      <c r="I264" s="140"/>
      <c r="L264" s="31"/>
      <c r="N264" s="213"/>
      <c r="O264" s="214"/>
      <c r="Q264" s="229"/>
      <c r="CN264" s="141"/>
      <c r="CU264" s="50"/>
      <c r="DU264" s="16" t="s">
        <v>289</v>
      </c>
      <c r="DV264" s="16" t="s">
        <v>83</v>
      </c>
    </row>
    <row r="265" spans="2:144" s="1" customFormat="1" ht="24.2" customHeight="1" x14ac:dyDescent="0.2">
      <c r="B265" s="124"/>
      <c r="C265" s="125" t="s">
        <v>514</v>
      </c>
      <c r="D265" s="125" t="s">
        <v>284</v>
      </c>
      <c r="E265" s="126" t="s">
        <v>532</v>
      </c>
      <c r="F265" s="127" t="s">
        <v>533</v>
      </c>
      <c r="G265" s="128" t="s">
        <v>287</v>
      </c>
      <c r="H265" s="129">
        <v>17.64</v>
      </c>
      <c r="I265" s="130">
        <v>40.878739778868102</v>
      </c>
      <c r="J265" s="131">
        <f>ROUND(I265*H265,2)</f>
        <v>721.1</v>
      </c>
      <c r="K265" s="127" t="s">
        <v>293</v>
      </c>
      <c r="L265" s="268">
        <f>S265</f>
        <v>0</v>
      </c>
      <c r="M265" s="272">
        <f>ROUND(L265*I265,2)</f>
        <v>0</v>
      </c>
      <c r="N265" s="243"/>
      <c r="O265" s="294">
        <f>ROUND(N265*I265,2)</f>
        <v>0</v>
      </c>
      <c r="P265" s="273">
        <f>H265-L265-N265</f>
        <v>17.64</v>
      </c>
      <c r="Q265" s="287">
        <f>ROUND(P265*I265,2)</f>
        <v>721.1</v>
      </c>
      <c r="R265" s="137"/>
      <c r="S265" s="269">
        <f>W265+Y265+AA265+AC265+AE265+AG265+AI265</f>
        <v>0</v>
      </c>
      <c r="T265" s="269">
        <f>ROUND(S265*I265,2)</f>
        <v>0</v>
      </c>
      <c r="U265" s="269">
        <f>H265-S265</f>
        <v>17.64</v>
      </c>
      <c r="V265" s="269">
        <f>ROUND(U265*I265,2)</f>
        <v>721.1</v>
      </c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CN265" s="132" t="s">
        <v>1</v>
      </c>
      <c r="CO265" s="133" t="s">
        <v>40</v>
      </c>
      <c r="CQ265" s="134">
        <f>CP265*H265</f>
        <v>0</v>
      </c>
      <c r="CR265" s="134">
        <v>0</v>
      </c>
      <c r="CS265" s="134">
        <f>CR265*H265</f>
        <v>0</v>
      </c>
      <c r="CT265" s="134">
        <v>0</v>
      </c>
      <c r="CU265" s="135">
        <f>CT265*H265</f>
        <v>0</v>
      </c>
      <c r="DS265" s="136" t="s">
        <v>95</v>
      </c>
      <c r="DU265" s="136" t="s">
        <v>284</v>
      </c>
      <c r="DV265" s="136" t="s">
        <v>83</v>
      </c>
      <c r="DZ265" s="16" t="s">
        <v>282</v>
      </c>
      <c r="EF265" s="137">
        <f>IF(CO265="základní",J265,0)</f>
        <v>721.1</v>
      </c>
      <c r="EG265" s="137">
        <f>IF(CO265="snížená",J265,0)</f>
        <v>0</v>
      </c>
      <c r="EH265" s="137">
        <f>IF(CO265="zákl. přenesená",J265,0)</f>
        <v>0</v>
      </c>
      <c r="EI265" s="137">
        <f>IF(CO265="sníž. přenesená",J265,0)</f>
        <v>0</v>
      </c>
      <c r="EJ265" s="137">
        <f>IF(CO265="nulová",J265,0)</f>
        <v>0</v>
      </c>
      <c r="EK265" s="16" t="s">
        <v>81</v>
      </c>
      <c r="EL265" s="137">
        <f>ROUND(I265*H265,2)</f>
        <v>721.1</v>
      </c>
      <c r="EM265" s="16" t="s">
        <v>95</v>
      </c>
      <c r="EN265" s="136" t="s">
        <v>2184</v>
      </c>
    </row>
    <row r="266" spans="2:144" s="1" customFormat="1" ht="19.5" x14ac:dyDescent="0.2">
      <c r="B266" s="31"/>
      <c r="D266" s="138" t="s">
        <v>289</v>
      </c>
      <c r="F266" s="139" t="s">
        <v>535</v>
      </c>
      <c r="I266" s="140"/>
      <c r="L266" s="31"/>
      <c r="N266" s="213"/>
      <c r="O266" s="214"/>
      <c r="Q266" s="229"/>
      <c r="CN266" s="141"/>
      <c r="CU266" s="50"/>
      <c r="DU266" s="16" t="s">
        <v>289</v>
      </c>
      <c r="DV266" s="16" t="s">
        <v>83</v>
      </c>
    </row>
    <row r="267" spans="2:144" s="1" customFormat="1" ht="24.2" customHeight="1" x14ac:dyDescent="0.2">
      <c r="B267" s="124"/>
      <c r="C267" s="125" t="s">
        <v>521</v>
      </c>
      <c r="D267" s="125" t="s">
        <v>284</v>
      </c>
      <c r="E267" s="126" t="s">
        <v>537</v>
      </c>
      <c r="F267" s="127" t="s">
        <v>538</v>
      </c>
      <c r="G267" s="128" t="s">
        <v>287</v>
      </c>
      <c r="H267" s="129">
        <v>17.64</v>
      </c>
      <c r="I267" s="130">
        <v>362.67856108310502</v>
      </c>
      <c r="J267" s="131">
        <f>ROUND(I267*H267,2)</f>
        <v>6397.65</v>
      </c>
      <c r="K267" s="127" t="s">
        <v>293</v>
      </c>
      <c r="L267" s="268">
        <f>S267</f>
        <v>0</v>
      </c>
      <c r="M267" s="272">
        <f>ROUND(L267*I267,2)</f>
        <v>0</v>
      </c>
      <c r="N267" s="243"/>
      <c r="O267" s="294">
        <f>ROUND(N267*I267,2)</f>
        <v>0</v>
      </c>
      <c r="P267" s="273">
        <f>H267-L267-N267</f>
        <v>17.64</v>
      </c>
      <c r="Q267" s="287">
        <f>ROUND(P267*I267,2)</f>
        <v>6397.65</v>
      </c>
      <c r="R267" s="137"/>
      <c r="S267" s="269">
        <f>W267+Y267+AA267+AC267+AE267+AG267+AI267</f>
        <v>0</v>
      </c>
      <c r="T267" s="269">
        <f>ROUND(S267*I267,2)</f>
        <v>0</v>
      </c>
      <c r="U267" s="269">
        <f>H267-S267</f>
        <v>17.64</v>
      </c>
      <c r="V267" s="269">
        <f>ROUND(U267*I267,2)</f>
        <v>6397.65</v>
      </c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CN267" s="132" t="s">
        <v>1</v>
      </c>
      <c r="CO267" s="133" t="s">
        <v>40</v>
      </c>
      <c r="CQ267" s="134">
        <f>CP267*H267</f>
        <v>0</v>
      </c>
      <c r="CR267" s="134">
        <v>0</v>
      </c>
      <c r="CS267" s="134">
        <f>CR267*H267</f>
        <v>0</v>
      </c>
      <c r="CT267" s="134">
        <v>0</v>
      </c>
      <c r="CU267" s="135">
        <f>CT267*H267</f>
        <v>0</v>
      </c>
      <c r="DS267" s="136" t="s">
        <v>95</v>
      </c>
      <c r="DU267" s="136" t="s">
        <v>284</v>
      </c>
      <c r="DV267" s="136" t="s">
        <v>83</v>
      </c>
      <c r="DZ267" s="16" t="s">
        <v>282</v>
      </c>
      <c r="EF267" s="137">
        <f>IF(CO267="základní",J267,0)</f>
        <v>6397.65</v>
      </c>
      <c r="EG267" s="137">
        <f>IF(CO267="snížená",J267,0)</f>
        <v>0</v>
      </c>
      <c r="EH267" s="137">
        <f>IF(CO267="zákl. přenesená",J267,0)</f>
        <v>0</v>
      </c>
      <c r="EI267" s="137">
        <f>IF(CO267="sníž. přenesená",J267,0)</f>
        <v>0</v>
      </c>
      <c r="EJ267" s="137">
        <f>IF(CO267="nulová",J267,0)</f>
        <v>0</v>
      </c>
      <c r="EK267" s="16" t="s">
        <v>81</v>
      </c>
      <c r="EL267" s="137">
        <f>ROUND(I267*H267,2)</f>
        <v>6397.65</v>
      </c>
      <c r="EM267" s="16" t="s">
        <v>95</v>
      </c>
      <c r="EN267" s="136" t="s">
        <v>2185</v>
      </c>
    </row>
    <row r="268" spans="2:144" s="1" customFormat="1" ht="29.25" x14ac:dyDescent="0.2">
      <c r="B268" s="31"/>
      <c r="D268" s="138" t="s">
        <v>289</v>
      </c>
      <c r="F268" s="139" t="s">
        <v>540</v>
      </c>
      <c r="I268" s="140"/>
      <c r="L268" s="31"/>
      <c r="N268" s="213"/>
      <c r="O268" s="214"/>
      <c r="Q268" s="229"/>
      <c r="CN268" s="141"/>
      <c r="CU268" s="50"/>
      <c r="DU268" s="16" t="s">
        <v>289</v>
      </c>
      <c r="DV268" s="16" t="s">
        <v>83</v>
      </c>
    </row>
    <row r="269" spans="2:144" s="1" customFormat="1" ht="19.5" x14ac:dyDescent="0.2">
      <c r="B269" s="31"/>
      <c r="D269" s="138" t="s">
        <v>299</v>
      </c>
      <c r="F269" s="142" t="s">
        <v>2137</v>
      </c>
      <c r="I269" s="140"/>
      <c r="L269" s="31"/>
      <c r="N269" s="213"/>
      <c r="O269" s="214"/>
      <c r="Q269" s="229"/>
      <c r="CN269" s="141"/>
      <c r="CU269" s="50"/>
      <c r="DU269" s="16" t="s">
        <v>299</v>
      </c>
      <c r="DV269" s="16" t="s">
        <v>83</v>
      </c>
    </row>
    <row r="270" spans="2:144" s="11" customFormat="1" x14ac:dyDescent="0.2">
      <c r="B270" s="143"/>
      <c r="D270" s="138" t="s">
        <v>301</v>
      </c>
      <c r="E270" s="144" t="s">
        <v>1</v>
      </c>
      <c r="F270" s="145" t="s">
        <v>541</v>
      </c>
      <c r="H270" s="144" t="s">
        <v>1</v>
      </c>
      <c r="I270" s="146"/>
      <c r="L270" s="143"/>
      <c r="N270" s="215"/>
      <c r="O270" s="216"/>
      <c r="Q270" s="230"/>
      <c r="CN270" s="147"/>
      <c r="CU270" s="148"/>
      <c r="DU270" s="144" t="s">
        <v>301</v>
      </c>
      <c r="DV270" s="144" t="s">
        <v>83</v>
      </c>
      <c r="DW270" s="11" t="s">
        <v>81</v>
      </c>
      <c r="DX270" s="11" t="s">
        <v>32</v>
      </c>
      <c r="DY270" s="11" t="s">
        <v>74</v>
      </c>
      <c r="DZ270" s="144" t="s">
        <v>282</v>
      </c>
    </row>
    <row r="271" spans="2:144" s="12" customFormat="1" x14ac:dyDescent="0.2">
      <c r="B271" s="149"/>
      <c r="D271" s="138" t="s">
        <v>301</v>
      </c>
      <c r="E271" s="150" t="s">
        <v>1</v>
      </c>
      <c r="F271" s="151" t="s">
        <v>2110</v>
      </c>
      <c r="H271" s="152">
        <v>17.64</v>
      </c>
      <c r="I271" s="153"/>
      <c r="L271" s="149"/>
      <c r="N271" s="217"/>
      <c r="O271" s="218"/>
      <c r="Q271" s="231"/>
      <c r="CN271" s="154"/>
      <c r="CU271" s="155"/>
      <c r="DU271" s="150" t="s">
        <v>301</v>
      </c>
      <c r="DV271" s="150" t="s">
        <v>83</v>
      </c>
      <c r="DW271" s="12" t="s">
        <v>83</v>
      </c>
      <c r="DX271" s="12" t="s">
        <v>32</v>
      </c>
      <c r="DY271" s="12" t="s">
        <v>81</v>
      </c>
      <c r="DZ271" s="150" t="s">
        <v>282</v>
      </c>
    </row>
    <row r="272" spans="2:144" s="1" customFormat="1" ht="14.45" customHeight="1" x14ac:dyDescent="0.2">
      <c r="B272" s="124"/>
      <c r="C272" s="125" t="s">
        <v>526</v>
      </c>
      <c r="D272" s="125" t="s">
        <v>284</v>
      </c>
      <c r="E272" s="126" t="s">
        <v>544</v>
      </c>
      <c r="F272" s="127" t="s">
        <v>545</v>
      </c>
      <c r="G272" s="128" t="s">
        <v>287</v>
      </c>
      <c r="H272" s="129">
        <v>20.25</v>
      </c>
      <c r="I272" s="130">
        <v>18.105699236185</v>
      </c>
      <c r="J272" s="131">
        <f>ROUND(I272*H272,2)</f>
        <v>366.64</v>
      </c>
      <c r="K272" s="127" t="s">
        <v>293</v>
      </c>
      <c r="L272" s="268">
        <f>S272</f>
        <v>0</v>
      </c>
      <c r="M272" s="272">
        <f>ROUND(L272*I272,2)</f>
        <v>0</v>
      </c>
      <c r="N272" s="243"/>
      <c r="O272" s="294">
        <f>ROUND(N272*I272,2)</f>
        <v>0</v>
      </c>
      <c r="P272" s="273">
        <f>H272-L272-N272</f>
        <v>20.25</v>
      </c>
      <c r="Q272" s="287">
        <f>ROUND(P272*I272,2)</f>
        <v>366.64</v>
      </c>
      <c r="R272" s="137"/>
      <c r="S272" s="269">
        <f>W272+Y272+AA272+AC272+AE272+AG272+AI272</f>
        <v>0</v>
      </c>
      <c r="T272" s="269">
        <f>ROUND(S272*I272,2)</f>
        <v>0</v>
      </c>
      <c r="U272" s="269">
        <f>H272-S272</f>
        <v>20.25</v>
      </c>
      <c r="V272" s="269">
        <f>ROUND(U272*I272,2)</f>
        <v>366.64</v>
      </c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CN272" s="132" t="s">
        <v>1</v>
      </c>
      <c r="CO272" s="133" t="s">
        <v>40</v>
      </c>
      <c r="CQ272" s="134">
        <f>CP272*H272</f>
        <v>0</v>
      </c>
      <c r="CR272" s="134">
        <v>0</v>
      </c>
      <c r="CS272" s="134">
        <f>CR272*H272</f>
        <v>0</v>
      </c>
      <c r="CT272" s="134">
        <v>0</v>
      </c>
      <c r="CU272" s="135">
        <f>CT272*H272</f>
        <v>0</v>
      </c>
      <c r="DS272" s="136" t="s">
        <v>95</v>
      </c>
      <c r="DU272" s="136" t="s">
        <v>284</v>
      </c>
      <c r="DV272" s="136" t="s">
        <v>83</v>
      </c>
      <c r="DZ272" s="16" t="s">
        <v>282</v>
      </c>
      <c r="EF272" s="137">
        <f>IF(CO272="základní",J272,0)</f>
        <v>366.64</v>
      </c>
      <c r="EG272" s="137">
        <f>IF(CO272="snížená",J272,0)</f>
        <v>0</v>
      </c>
      <c r="EH272" s="137">
        <f>IF(CO272="zákl. přenesená",J272,0)</f>
        <v>0</v>
      </c>
      <c r="EI272" s="137">
        <f>IF(CO272="sníž. přenesená",J272,0)</f>
        <v>0</v>
      </c>
      <c r="EJ272" s="137">
        <f>IF(CO272="nulová",J272,0)</f>
        <v>0</v>
      </c>
      <c r="EK272" s="16" t="s">
        <v>81</v>
      </c>
      <c r="EL272" s="137">
        <f>ROUND(I272*H272,2)</f>
        <v>366.64</v>
      </c>
      <c r="EM272" s="16" t="s">
        <v>95</v>
      </c>
      <c r="EN272" s="136" t="s">
        <v>2186</v>
      </c>
    </row>
    <row r="273" spans="2:144" s="1" customFormat="1" ht="19.5" x14ac:dyDescent="0.2">
      <c r="B273" s="31"/>
      <c r="D273" s="138" t="s">
        <v>289</v>
      </c>
      <c r="F273" s="139" t="s">
        <v>547</v>
      </c>
      <c r="I273" s="140"/>
      <c r="L273" s="31"/>
      <c r="N273" s="213"/>
      <c r="O273" s="214"/>
      <c r="Q273" s="229"/>
      <c r="CN273" s="141"/>
      <c r="CU273" s="50"/>
      <c r="DU273" s="16" t="s">
        <v>289</v>
      </c>
      <c r="DV273" s="16" t="s">
        <v>83</v>
      </c>
    </row>
    <row r="274" spans="2:144" s="1" customFormat="1" ht="24.2" customHeight="1" x14ac:dyDescent="0.2">
      <c r="B274" s="124"/>
      <c r="C274" s="125" t="s">
        <v>531</v>
      </c>
      <c r="D274" s="125" t="s">
        <v>284</v>
      </c>
      <c r="E274" s="126" t="s">
        <v>549</v>
      </c>
      <c r="F274" s="127" t="s">
        <v>550</v>
      </c>
      <c r="G274" s="128" t="s">
        <v>287</v>
      </c>
      <c r="H274" s="129">
        <v>20.25</v>
      </c>
      <c r="I274" s="130">
        <v>388.96896513366403</v>
      </c>
      <c r="J274" s="131">
        <f>ROUND(I274*H274,2)</f>
        <v>7876.62</v>
      </c>
      <c r="K274" s="127" t="s">
        <v>293</v>
      </c>
      <c r="L274" s="268">
        <f>S274</f>
        <v>0</v>
      </c>
      <c r="M274" s="272">
        <f>ROUND(L274*I274,2)</f>
        <v>0</v>
      </c>
      <c r="N274" s="243"/>
      <c r="O274" s="294">
        <f>ROUND(N274*I274,2)</f>
        <v>0</v>
      </c>
      <c r="P274" s="273">
        <f>H274-L274-N274</f>
        <v>20.25</v>
      </c>
      <c r="Q274" s="287">
        <f>ROUND(P274*I274,2)</f>
        <v>7876.62</v>
      </c>
      <c r="R274" s="137"/>
      <c r="S274" s="269">
        <f>W274+Y274+AA274+AC274+AE274+AG274+AI274</f>
        <v>0</v>
      </c>
      <c r="T274" s="269">
        <f>ROUND(S274*I274,2)</f>
        <v>0</v>
      </c>
      <c r="U274" s="269">
        <f>H274-S274</f>
        <v>20.25</v>
      </c>
      <c r="V274" s="269">
        <f>ROUND(U274*I274,2)</f>
        <v>7876.62</v>
      </c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CN274" s="132" t="s">
        <v>1</v>
      </c>
      <c r="CO274" s="133" t="s">
        <v>40</v>
      </c>
      <c r="CQ274" s="134">
        <f>CP274*H274</f>
        <v>0</v>
      </c>
      <c r="CR274" s="134">
        <v>0</v>
      </c>
      <c r="CS274" s="134">
        <f>CR274*H274</f>
        <v>0</v>
      </c>
      <c r="CT274" s="134">
        <v>0</v>
      </c>
      <c r="CU274" s="135">
        <f>CT274*H274</f>
        <v>0</v>
      </c>
      <c r="DS274" s="136" t="s">
        <v>95</v>
      </c>
      <c r="DU274" s="136" t="s">
        <v>284</v>
      </c>
      <c r="DV274" s="136" t="s">
        <v>83</v>
      </c>
      <c r="DZ274" s="16" t="s">
        <v>282</v>
      </c>
      <c r="EF274" s="137">
        <f>IF(CO274="základní",J274,0)</f>
        <v>7876.62</v>
      </c>
      <c r="EG274" s="137">
        <f>IF(CO274="snížená",J274,0)</f>
        <v>0</v>
      </c>
      <c r="EH274" s="137">
        <f>IF(CO274="zákl. přenesená",J274,0)</f>
        <v>0</v>
      </c>
      <c r="EI274" s="137">
        <f>IF(CO274="sníž. přenesená",J274,0)</f>
        <v>0</v>
      </c>
      <c r="EJ274" s="137">
        <f>IF(CO274="nulová",J274,0)</f>
        <v>0</v>
      </c>
      <c r="EK274" s="16" t="s">
        <v>81</v>
      </c>
      <c r="EL274" s="137">
        <f>ROUND(I274*H274,2)</f>
        <v>7876.62</v>
      </c>
      <c r="EM274" s="16" t="s">
        <v>95</v>
      </c>
      <c r="EN274" s="136" t="s">
        <v>2187</v>
      </c>
    </row>
    <row r="275" spans="2:144" s="1" customFormat="1" ht="29.25" x14ac:dyDescent="0.2">
      <c r="B275" s="31"/>
      <c r="D275" s="138" t="s">
        <v>289</v>
      </c>
      <c r="F275" s="139" t="s">
        <v>552</v>
      </c>
      <c r="I275" s="140"/>
      <c r="L275" s="31"/>
      <c r="N275" s="213"/>
      <c r="O275" s="214"/>
      <c r="Q275" s="229"/>
      <c r="CN275" s="141"/>
      <c r="CU275" s="50"/>
      <c r="DU275" s="16" t="s">
        <v>289</v>
      </c>
      <c r="DV275" s="16" t="s">
        <v>83</v>
      </c>
    </row>
    <row r="276" spans="2:144" s="1" customFormat="1" ht="19.5" x14ac:dyDescent="0.2">
      <c r="B276" s="31"/>
      <c r="D276" s="138" t="s">
        <v>299</v>
      </c>
      <c r="F276" s="142" t="s">
        <v>2137</v>
      </c>
      <c r="I276" s="140"/>
      <c r="L276" s="31"/>
      <c r="N276" s="213"/>
      <c r="O276" s="214"/>
      <c r="Q276" s="229"/>
      <c r="CN276" s="141"/>
      <c r="CU276" s="50"/>
      <c r="DU276" s="16" t="s">
        <v>299</v>
      </c>
      <c r="DV276" s="16" t="s">
        <v>83</v>
      </c>
    </row>
    <row r="277" spans="2:144" s="11" customFormat="1" x14ac:dyDescent="0.2">
      <c r="B277" s="143"/>
      <c r="D277" s="138" t="s">
        <v>301</v>
      </c>
      <c r="E277" s="144" t="s">
        <v>1</v>
      </c>
      <c r="F277" s="145" t="s">
        <v>553</v>
      </c>
      <c r="H277" s="144" t="s">
        <v>1</v>
      </c>
      <c r="I277" s="146"/>
      <c r="L277" s="143"/>
      <c r="N277" s="215"/>
      <c r="O277" s="216"/>
      <c r="Q277" s="230"/>
      <c r="CN277" s="147"/>
      <c r="CU277" s="148"/>
      <c r="DU277" s="144" t="s">
        <v>301</v>
      </c>
      <c r="DV277" s="144" t="s">
        <v>83</v>
      </c>
      <c r="DW277" s="11" t="s">
        <v>81</v>
      </c>
      <c r="DX277" s="11" t="s">
        <v>32</v>
      </c>
      <c r="DY277" s="11" t="s">
        <v>74</v>
      </c>
      <c r="DZ277" s="144" t="s">
        <v>282</v>
      </c>
    </row>
    <row r="278" spans="2:144" s="12" customFormat="1" x14ac:dyDescent="0.2">
      <c r="B278" s="149"/>
      <c r="D278" s="138" t="s">
        <v>301</v>
      </c>
      <c r="E278" s="150" t="s">
        <v>1</v>
      </c>
      <c r="F278" s="151" t="s">
        <v>2113</v>
      </c>
      <c r="H278" s="152">
        <v>20.25</v>
      </c>
      <c r="I278" s="153"/>
      <c r="L278" s="149"/>
      <c r="N278" s="217"/>
      <c r="O278" s="218"/>
      <c r="Q278" s="231"/>
      <c r="CN278" s="154"/>
      <c r="CU278" s="155"/>
      <c r="DU278" s="150" t="s">
        <v>301</v>
      </c>
      <c r="DV278" s="150" t="s">
        <v>83</v>
      </c>
      <c r="DW278" s="12" t="s">
        <v>83</v>
      </c>
      <c r="DX278" s="12" t="s">
        <v>32</v>
      </c>
      <c r="DY278" s="12" t="s">
        <v>81</v>
      </c>
      <c r="DZ278" s="150" t="s">
        <v>282</v>
      </c>
    </row>
    <row r="279" spans="2:144" s="10" customFormat="1" ht="22.9" customHeight="1" x14ac:dyDescent="0.2">
      <c r="B279" s="112"/>
      <c r="D279" s="113" t="s">
        <v>73</v>
      </c>
      <c r="E279" s="122" t="s">
        <v>335</v>
      </c>
      <c r="F279" s="122" t="s">
        <v>674</v>
      </c>
      <c r="I279" s="115"/>
      <c r="J279" s="123">
        <f>EL279</f>
        <v>2349981.86</v>
      </c>
      <c r="L279" s="112"/>
      <c r="M279" s="270">
        <f>M280+M285</f>
        <v>0</v>
      </c>
      <c r="N279" s="301"/>
      <c r="O279" s="302">
        <f t="shared" ref="O279:V279" si="6">O280+O285</f>
        <v>0</v>
      </c>
      <c r="P279" s="270"/>
      <c r="Q279" s="288">
        <f t="shared" si="6"/>
        <v>2349981.86</v>
      </c>
      <c r="R279" s="270"/>
      <c r="S279" s="270"/>
      <c r="T279" s="270">
        <f t="shared" si="6"/>
        <v>0</v>
      </c>
      <c r="U279" s="270"/>
      <c r="V279" s="270">
        <f t="shared" si="6"/>
        <v>2349981.86</v>
      </c>
      <c r="CN279" s="117"/>
      <c r="CQ279" s="118">
        <f>SUM(CQ280:CQ288)</f>
        <v>0</v>
      </c>
      <c r="CS279" s="118">
        <f>SUM(CS280:CS288)</f>
        <v>8.2907999999999992E-3</v>
      </c>
      <c r="CU279" s="119">
        <f>SUM(CU280:CU288)</f>
        <v>0</v>
      </c>
      <c r="DS279" s="113" t="s">
        <v>81</v>
      </c>
      <c r="DU279" s="120" t="s">
        <v>73</v>
      </c>
      <c r="DV279" s="120" t="s">
        <v>81</v>
      </c>
      <c r="DZ279" s="113" t="s">
        <v>282</v>
      </c>
      <c r="EL279" s="121">
        <f>SUM(EL280:EL288)</f>
        <v>2349981.86</v>
      </c>
    </row>
    <row r="280" spans="2:144" s="1" customFormat="1" ht="37.9" customHeight="1" x14ac:dyDescent="0.2">
      <c r="B280" s="124"/>
      <c r="C280" s="125" t="s">
        <v>536</v>
      </c>
      <c r="D280" s="125" t="s">
        <v>284</v>
      </c>
      <c r="E280" s="126" t="s">
        <v>676</v>
      </c>
      <c r="F280" s="127" t="s">
        <v>2188</v>
      </c>
      <c r="G280" s="128" t="s">
        <v>1948</v>
      </c>
      <c r="H280" s="129">
        <v>1</v>
      </c>
      <c r="I280" s="130">
        <v>2349094.9359999998</v>
      </c>
      <c r="J280" s="131">
        <f>ROUND(I280*H280,2)</f>
        <v>2349094.94</v>
      </c>
      <c r="K280" s="127" t="s">
        <v>1</v>
      </c>
      <c r="L280" s="268">
        <f>S280</f>
        <v>0</v>
      </c>
      <c r="M280" s="272">
        <f>ROUND(L280*I280,2)</f>
        <v>0</v>
      </c>
      <c r="N280" s="243"/>
      <c r="O280" s="294">
        <f>ROUND(N280*I280,2)</f>
        <v>0</v>
      </c>
      <c r="P280" s="273">
        <f>H280-L280-N280</f>
        <v>1</v>
      </c>
      <c r="Q280" s="287">
        <f>ROUND(P280*I280,2)</f>
        <v>2349094.94</v>
      </c>
      <c r="R280" s="137"/>
      <c r="S280" s="269">
        <f>W280+Y280+AA280+AC280+AE280+AG280+AI280</f>
        <v>0</v>
      </c>
      <c r="T280" s="269">
        <f>ROUND(S280*I280,2)</f>
        <v>0</v>
      </c>
      <c r="U280" s="269">
        <f>H280-S280</f>
        <v>1</v>
      </c>
      <c r="V280" s="269">
        <f>ROUND(U280*I280,2)</f>
        <v>2349094.94</v>
      </c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CN280" s="132" t="s">
        <v>1</v>
      </c>
      <c r="CO280" s="133" t="s">
        <v>40</v>
      </c>
      <c r="CQ280" s="134">
        <f>CP280*H280</f>
        <v>0</v>
      </c>
      <c r="CR280" s="134">
        <v>0</v>
      </c>
      <c r="CS280" s="134">
        <f>CR280*H280</f>
        <v>0</v>
      </c>
      <c r="CT280" s="134">
        <v>0</v>
      </c>
      <c r="CU280" s="135">
        <f>CT280*H280</f>
        <v>0</v>
      </c>
      <c r="DS280" s="136" t="s">
        <v>95</v>
      </c>
      <c r="DU280" s="136" t="s">
        <v>284</v>
      </c>
      <c r="DV280" s="136" t="s">
        <v>83</v>
      </c>
      <c r="DZ280" s="16" t="s">
        <v>282</v>
      </c>
      <c r="EF280" s="137">
        <f>IF(CO280="základní",J280,0)</f>
        <v>2349094.94</v>
      </c>
      <c r="EG280" s="137">
        <f>IF(CO280="snížená",J280,0)</f>
        <v>0</v>
      </c>
      <c r="EH280" s="137">
        <f>IF(CO280="zákl. přenesená",J280,0)</f>
        <v>0</v>
      </c>
      <c r="EI280" s="137">
        <f>IF(CO280="sníž. přenesená",J280,0)</f>
        <v>0</v>
      </c>
      <c r="EJ280" s="137">
        <f>IF(CO280="nulová",J280,0)</f>
        <v>0</v>
      </c>
      <c r="EK280" s="16" t="s">
        <v>81</v>
      </c>
      <c r="EL280" s="137">
        <f>ROUND(I280*H280,2)</f>
        <v>2349094.94</v>
      </c>
      <c r="EM280" s="16" t="s">
        <v>95</v>
      </c>
      <c r="EN280" s="136" t="s">
        <v>2189</v>
      </c>
    </row>
    <row r="281" spans="2:144" s="1" customFormat="1" ht="29.25" x14ac:dyDescent="0.2">
      <c r="B281" s="31"/>
      <c r="D281" s="138" t="s">
        <v>289</v>
      </c>
      <c r="F281" s="139" t="s">
        <v>2188</v>
      </c>
      <c r="I281" s="140"/>
      <c r="L281" s="31"/>
      <c r="N281" s="213"/>
      <c r="O281" s="214"/>
      <c r="Q281" s="229"/>
      <c r="CN281" s="141"/>
      <c r="CU281" s="50"/>
      <c r="DU281" s="16" t="s">
        <v>289</v>
      </c>
      <c r="DV281" s="16" t="s">
        <v>83</v>
      </c>
    </row>
    <row r="282" spans="2:144" s="1" customFormat="1" ht="19.5" x14ac:dyDescent="0.2">
      <c r="B282" s="31"/>
      <c r="D282" s="138" t="s">
        <v>299</v>
      </c>
      <c r="F282" s="142" t="s">
        <v>2137</v>
      </c>
      <c r="I282" s="140"/>
      <c r="L282" s="31"/>
      <c r="N282" s="213"/>
      <c r="O282" s="214"/>
      <c r="Q282" s="229"/>
      <c r="CN282" s="141"/>
      <c r="CU282" s="50"/>
      <c r="DU282" s="16" t="s">
        <v>299</v>
      </c>
      <c r="DV282" s="16" t="s">
        <v>83</v>
      </c>
    </row>
    <row r="283" spans="2:144" s="11" customFormat="1" x14ac:dyDescent="0.2">
      <c r="B283" s="143"/>
      <c r="D283" s="138" t="s">
        <v>301</v>
      </c>
      <c r="E283" s="144" t="s">
        <v>1</v>
      </c>
      <c r="F283" s="145" t="s">
        <v>1950</v>
      </c>
      <c r="H283" s="144" t="s">
        <v>1</v>
      </c>
      <c r="I283" s="146"/>
      <c r="L283" s="143"/>
      <c r="N283" s="215"/>
      <c r="O283" s="216"/>
      <c r="Q283" s="230"/>
      <c r="CN283" s="147"/>
      <c r="CU283" s="148"/>
      <c r="DU283" s="144" t="s">
        <v>301</v>
      </c>
      <c r="DV283" s="144" t="s">
        <v>83</v>
      </c>
      <c r="DW283" s="11" t="s">
        <v>81</v>
      </c>
      <c r="DX283" s="11" t="s">
        <v>32</v>
      </c>
      <c r="DY283" s="11" t="s">
        <v>74</v>
      </c>
      <c r="DZ283" s="144" t="s">
        <v>282</v>
      </c>
    </row>
    <row r="284" spans="2:144" s="12" customFormat="1" x14ac:dyDescent="0.2">
      <c r="B284" s="149"/>
      <c r="D284" s="138" t="s">
        <v>301</v>
      </c>
      <c r="E284" s="150" t="s">
        <v>1</v>
      </c>
      <c r="F284" s="151" t="s">
        <v>2190</v>
      </c>
      <c r="H284" s="152">
        <v>1</v>
      </c>
      <c r="I284" s="153"/>
      <c r="L284" s="149"/>
      <c r="N284" s="217"/>
      <c r="O284" s="218"/>
      <c r="Q284" s="231"/>
      <c r="CN284" s="154"/>
      <c r="CU284" s="155"/>
      <c r="DU284" s="150" t="s">
        <v>301</v>
      </c>
      <c r="DV284" s="150" t="s">
        <v>83</v>
      </c>
      <c r="DW284" s="12" t="s">
        <v>83</v>
      </c>
      <c r="DX284" s="12" t="s">
        <v>32</v>
      </c>
      <c r="DY284" s="12" t="s">
        <v>81</v>
      </c>
      <c r="DZ284" s="150" t="s">
        <v>282</v>
      </c>
    </row>
    <row r="285" spans="2:144" s="1" customFormat="1" ht="24.2" customHeight="1" x14ac:dyDescent="0.2">
      <c r="B285" s="124"/>
      <c r="C285" s="125" t="s">
        <v>543</v>
      </c>
      <c r="D285" s="125" t="s">
        <v>284</v>
      </c>
      <c r="E285" s="126" t="s">
        <v>1952</v>
      </c>
      <c r="F285" s="127" t="s">
        <v>1953</v>
      </c>
      <c r="G285" s="128" t="s">
        <v>287</v>
      </c>
      <c r="H285" s="129">
        <v>17.64</v>
      </c>
      <c r="I285" s="130">
        <v>50.278961448296904</v>
      </c>
      <c r="J285" s="131">
        <f>ROUND(I285*H285,2)</f>
        <v>886.92</v>
      </c>
      <c r="K285" s="127" t="s">
        <v>293</v>
      </c>
      <c r="L285" s="268">
        <f>S285</f>
        <v>0</v>
      </c>
      <c r="M285" s="272">
        <f>ROUND(L285*I285,2)</f>
        <v>0</v>
      </c>
      <c r="N285" s="243"/>
      <c r="O285" s="294">
        <f>ROUND(N285*I285,2)</f>
        <v>0</v>
      </c>
      <c r="P285" s="273">
        <f>H285-L285-N285</f>
        <v>17.64</v>
      </c>
      <c r="Q285" s="287">
        <f>ROUND(P285*I285,2)</f>
        <v>886.92</v>
      </c>
      <c r="R285" s="137"/>
      <c r="S285" s="269">
        <f>W285+Y285+AA285+AC285+AE285+AG285+AI285</f>
        <v>0</v>
      </c>
      <c r="T285" s="269">
        <f>ROUND(S285*I285,2)</f>
        <v>0</v>
      </c>
      <c r="U285" s="269">
        <f>H285-S285</f>
        <v>17.64</v>
      </c>
      <c r="V285" s="269">
        <f>ROUND(U285*I285,2)</f>
        <v>886.92</v>
      </c>
      <c r="W285" s="269"/>
      <c r="X285" s="269"/>
      <c r="Y285" s="269"/>
      <c r="Z285" s="269"/>
      <c r="AA285" s="269"/>
      <c r="AB285" s="269"/>
      <c r="AC285" s="269"/>
      <c r="AD285" s="269"/>
      <c r="AE285" s="269"/>
      <c r="AF285" s="269"/>
      <c r="AG285" s="269"/>
      <c r="AH285" s="269"/>
      <c r="AI285" s="269"/>
      <c r="AJ285" s="269"/>
      <c r="CN285" s="132" t="s">
        <v>1</v>
      </c>
      <c r="CO285" s="133" t="s">
        <v>40</v>
      </c>
      <c r="CQ285" s="134">
        <f>CP285*H285</f>
        <v>0</v>
      </c>
      <c r="CR285" s="134">
        <v>4.6999999999999999E-4</v>
      </c>
      <c r="CS285" s="134">
        <f>CR285*H285</f>
        <v>8.2907999999999992E-3</v>
      </c>
      <c r="CT285" s="134">
        <v>0</v>
      </c>
      <c r="CU285" s="135">
        <f>CT285*H285</f>
        <v>0</v>
      </c>
      <c r="DS285" s="136" t="s">
        <v>95</v>
      </c>
      <c r="DU285" s="136" t="s">
        <v>284</v>
      </c>
      <c r="DV285" s="136" t="s">
        <v>83</v>
      </c>
      <c r="DZ285" s="16" t="s">
        <v>282</v>
      </c>
      <c r="EF285" s="137">
        <f>IF(CO285="základní",J285,0)</f>
        <v>886.92</v>
      </c>
      <c r="EG285" s="137">
        <f>IF(CO285="snížená",J285,0)</f>
        <v>0</v>
      </c>
      <c r="EH285" s="137">
        <f>IF(CO285="zákl. přenesená",J285,0)</f>
        <v>0</v>
      </c>
      <c r="EI285" s="137">
        <f>IF(CO285="sníž. přenesená",J285,0)</f>
        <v>0</v>
      </c>
      <c r="EJ285" s="137">
        <f>IF(CO285="nulová",J285,0)</f>
        <v>0</v>
      </c>
      <c r="EK285" s="16" t="s">
        <v>81</v>
      </c>
      <c r="EL285" s="137">
        <f>ROUND(I285*H285,2)</f>
        <v>886.92</v>
      </c>
      <c r="EM285" s="16" t="s">
        <v>95</v>
      </c>
      <c r="EN285" s="136" t="s">
        <v>2191</v>
      </c>
    </row>
    <row r="286" spans="2:144" s="1" customFormat="1" ht="19.5" x14ac:dyDescent="0.2">
      <c r="B286" s="31"/>
      <c r="D286" s="138" t="s">
        <v>289</v>
      </c>
      <c r="F286" s="139" t="s">
        <v>1955</v>
      </c>
      <c r="I286" s="140"/>
      <c r="L286" s="31"/>
      <c r="N286" s="213"/>
      <c r="O286" s="214"/>
      <c r="Q286" s="229"/>
      <c r="CN286" s="141"/>
      <c r="CU286" s="50"/>
      <c r="DU286" s="16" t="s">
        <v>289</v>
      </c>
      <c r="DV286" s="16" t="s">
        <v>83</v>
      </c>
    </row>
    <row r="287" spans="2:144" s="1" customFormat="1" ht="19.5" x14ac:dyDescent="0.2">
      <c r="B287" s="31"/>
      <c r="D287" s="138" t="s">
        <v>299</v>
      </c>
      <c r="F287" s="142" t="s">
        <v>2137</v>
      </c>
      <c r="I287" s="140"/>
      <c r="L287" s="31"/>
      <c r="N287" s="213"/>
      <c r="O287" s="214"/>
      <c r="Q287" s="229"/>
      <c r="CN287" s="141"/>
      <c r="CU287" s="50"/>
      <c r="DU287" s="16" t="s">
        <v>299</v>
      </c>
      <c r="DV287" s="16" t="s">
        <v>83</v>
      </c>
    </row>
    <row r="288" spans="2:144" s="12" customFormat="1" x14ac:dyDescent="0.2">
      <c r="B288" s="149"/>
      <c r="D288" s="138" t="s">
        <v>301</v>
      </c>
      <c r="E288" s="150" t="s">
        <v>1</v>
      </c>
      <c r="F288" s="151" t="s">
        <v>2052</v>
      </c>
      <c r="H288" s="152">
        <v>17.64</v>
      </c>
      <c r="I288" s="153"/>
      <c r="L288" s="149"/>
      <c r="N288" s="217"/>
      <c r="O288" s="218"/>
      <c r="Q288" s="231"/>
      <c r="CN288" s="154"/>
      <c r="CU288" s="155"/>
      <c r="DU288" s="150" t="s">
        <v>301</v>
      </c>
      <c r="DV288" s="150" t="s">
        <v>83</v>
      </c>
      <c r="DW288" s="12" t="s">
        <v>83</v>
      </c>
      <c r="DX288" s="12" t="s">
        <v>32</v>
      </c>
      <c r="DY288" s="12" t="s">
        <v>81</v>
      </c>
      <c r="DZ288" s="150" t="s">
        <v>282</v>
      </c>
    </row>
    <row r="289" spans="2:144" s="10" customFormat="1" ht="22.9" customHeight="1" x14ac:dyDescent="0.2">
      <c r="B289" s="112"/>
      <c r="D289" s="113" t="s">
        <v>73</v>
      </c>
      <c r="E289" s="122" t="s">
        <v>695</v>
      </c>
      <c r="F289" s="122" t="s">
        <v>696</v>
      </c>
      <c r="I289" s="115"/>
      <c r="J289" s="123">
        <f>EL289</f>
        <v>9167.92</v>
      </c>
      <c r="L289" s="112"/>
      <c r="M289" s="270">
        <f>SUM(M290:M306)</f>
        <v>0</v>
      </c>
      <c r="N289" s="301"/>
      <c r="O289" s="302">
        <f t="shared" ref="O289:V289" si="7">SUM(O290:O306)</f>
        <v>0</v>
      </c>
      <c r="P289" s="270"/>
      <c r="Q289" s="288">
        <f t="shared" si="7"/>
        <v>9167.92</v>
      </c>
      <c r="R289" s="270"/>
      <c r="S289" s="270"/>
      <c r="T289" s="270">
        <f t="shared" si="7"/>
        <v>0</v>
      </c>
      <c r="U289" s="270"/>
      <c r="V289" s="270">
        <f t="shared" si="7"/>
        <v>9167.92</v>
      </c>
      <c r="CN289" s="117"/>
      <c r="CQ289" s="118">
        <f>SUM(CQ290:CQ308)</f>
        <v>0</v>
      </c>
      <c r="CS289" s="118">
        <f>SUM(CS290:CS308)</f>
        <v>0</v>
      </c>
      <c r="CU289" s="119">
        <f>SUM(CU290:CU308)</f>
        <v>0</v>
      </c>
      <c r="DS289" s="113" t="s">
        <v>81</v>
      </c>
      <c r="DU289" s="120" t="s">
        <v>73</v>
      </c>
      <c r="DV289" s="120" t="s">
        <v>81</v>
      </c>
      <c r="DZ289" s="113" t="s">
        <v>282</v>
      </c>
      <c r="EL289" s="121">
        <f>SUM(EL290:EL308)</f>
        <v>9167.92</v>
      </c>
    </row>
    <row r="290" spans="2:144" s="1" customFormat="1" ht="14.45" customHeight="1" x14ac:dyDescent="0.2">
      <c r="B290" s="124"/>
      <c r="C290" s="125" t="s">
        <v>548</v>
      </c>
      <c r="D290" s="125" t="s">
        <v>284</v>
      </c>
      <c r="E290" s="126" t="s">
        <v>698</v>
      </c>
      <c r="F290" s="127" t="s">
        <v>699</v>
      </c>
      <c r="G290" s="128" t="s">
        <v>418</v>
      </c>
      <c r="H290" s="129">
        <v>24.52</v>
      </c>
      <c r="I290" s="130">
        <v>40.477390926043419</v>
      </c>
      <c r="J290" s="131">
        <f>ROUND(I290*H290,2)</f>
        <v>992.51</v>
      </c>
      <c r="K290" s="127" t="s">
        <v>293</v>
      </c>
      <c r="L290" s="268">
        <f>S290</f>
        <v>0</v>
      </c>
      <c r="M290" s="272">
        <f>ROUND(L290*I290,2)</f>
        <v>0</v>
      </c>
      <c r="N290" s="243"/>
      <c r="O290" s="294">
        <f>ROUND(N290*I290,2)</f>
        <v>0</v>
      </c>
      <c r="P290" s="273">
        <f>H290-L290-N290</f>
        <v>24.52</v>
      </c>
      <c r="Q290" s="287">
        <f>ROUND(P290*I290,2)</f>
        <v>992.51</v>
      </c>
      <c r="R290" s="137"/>
      <c r="S290" s="269">
        <f>W290+Y290+AA290+AC290+AE290+AG290+AI290</f>
        <v>0</v>
      </c>
      <c r="T290" s="269">
        <f>ROUND(S290*I290,2)</f>
        <v>0</v>
      </c>
      <c r="U290" s="269">
        <f>H290-S290</f>
        <v>24.52</v>
      </c>
      <c r="V290" s="269">
        <f>ROUND(U290*I290,2)</f>
        <v>992.51</v>
      </c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CN290" s="132" t="s">
        <v>1</v>
      </c>
      <c r="CO290" s="133" t="s">
        <v>40</v>
      </c>
      <c r="CQ290" s="134">
        <f>CP290*H290</f>
        <v>0</v>
      </c>
      <c r="CR290" s="134">
        <v>0</v>
      </c>
      <c r="CS290" s="134">
        <f>CR290*H290</f>
        <v>0</v>
      </c>
      <c r="CT290" s="134">
        <v>0</v>
      </c>
      <c r="CU290" s="135">
        <f>CT290*H290</f>
        <v>0</v>
      </c>
      <c r="DS290" s="136" t="s">
        <v>95</v>
      </c>
      <c r="DU290" s="136" t="s">
        <v>284</v>
      </c>
      <c r="DV290" s="136" t="s">
        <v>83</v>
      </c>
      <c r="DZ290" s="16" t="s">
        <v>282</v>
      </c>
      <c r="EF290" s="137">
        <f>IF(CO290="základní",J290,0)</f>
        <v>992.51</v>
      </c>
      <c r="EG290" s="137">
        <f>IF(CO290="snížená",J290,0)</f>
        <v>0</v>
      </c>
      <c r="EH290" s="137">
        <f>IF(CO290="zákl. přenesená",J290,0)</f>
        <v>0</v>
      </c>
      <c r="EI290" s="137">
        <f>IF(CO290="sníž. přenesená",J290,0)</f>
        <v>0</v>
      </c>
      <c r="EJ290" s="137">
        <f>IF(CO290="nulová",J290,0)</f>
        <v>0</v>
      </c>
      <c r="EK290" s="16" t="s">
        <v>81</v>
      </c>
      <c r="EL290" s="137">
        <f>ROUND(I290*H290,2)</f>
        <v>992.51</v>
      </c>
      <c r="EM290" s="16" t="s">
        <v>95</v>
      </c>
      <c r="EN290" s="136" t="s">
        <v>2192</v>
      </c>
    </row>
    <row r="291" spans="2:144" s="1" customFormat="1" ht="19.5" x14ac:dyDescent="0.2">
      <c r="B291" s="31"/>
      <c r="D291" s="138" t="s">
        <v>289</v>
      </c>
      <c r="F291" s="139" t="s">
        <v>701</v>
      </c>
      <c r="I291" s="140"/>
      <c r="L291" s="31"/>
      <c r="N291" s="213"/>
      <c r="O291" s="214"/>
      <c r="Q291" s="229"/>
      <c r="CN291" s="141"/>
      <c r="CU291" s="50"/>
      <c r="DU291" s="16" t="s">
        <v>289</v>
      </c>
      <c r="DV291" s="16" t="s">
        <v>83</v>
      </c>
    </row>
    <row r="292" spans="2:144" s="12" customFormat="1" x14ac:dyDescent="0.2">
      <c r="B292" s="149"/>
      <c r="D292" s="138" t="s">
        <v>301</v>
      </c>
      <c r="E292" s="150" t="s">
        <v>1</v>
      </c>
      <c r="F292" s="151" t="s">
        <v>2119</v>
      </c>
      <c r="H292" s="152">
        <v>20.462</v>
      </c>
      <c r="I292" s="153"/>
      <c r="L292" s="149"/>
      <c r="N292" s="217"/>
      <c r="O292" s="218"/>
      <c r="Q292" s="231"/>
      <c r="CN292" s="154"/>
      <c r="CU292" s="155"/>
      <c r="DU292" s="150" t="s">
        <v>301</v>
      </c>
      <c r="DV292" s="150" t="s">
        <v>83</v>
      </c>
      <c r="DW292" s="12" t="s">
        <v>83</v>
      </c>
      <c r="DX292" s="12" t="s">
        <v>32</v>
      </c>
      <c r="DY292" s="12" t="s">
        <v>74</v>
      </c>
      <c r="DZ292" s="150" t="s">
        <v>282</v>
      </c>
    </row>
    <row r="293" spans="2:144" s="12" customFormat="1" x14ac:dyDescent="0.2">
      <c r="B293" s="149"/>
      <c r="D293" s="138" t="s">
        <v>301</v>
      </c>
      <c r="E293" s="150" t="s">
        <v>1</v>
      </c>
      <c r="F293" s="151" t="s">
        <v>2120</v>
      </c>
      <c r="H293" s="152">
        <v>4.0579999999999998</v>
      </c>
      <c r="I293" s="153"/>
      <c r="L293" s="149"/>
      <c r="N293" s="217"/>
      <c r="O293" s="218"/>
      <c r="Q293" s="231"/>
      <c r="CN293" s="154"/>
      <c r="CU293" s="155"/>
      <c r="DU293" s="150" t="s">
        <v>301</v>
      </c>
      <c r="DV293" s="150" t="s">
        <v>83</v>
      </c>
      <c r="DW293" s="12" t="s">
        <v>83</v>
      </c>
      <c r="DX293" s="12" t="s">
        <v>32</v>
      </c>
      <c r="DY293" s="12" t="s">
        <v>74</v>
      </c>
      <c r="DZ293" s="150" t="s">
        <v>282</v>
      </c>
    </row>
    <row r="294" spans="2:144" s="13" customFormat="1" x14ac:dyDescent="0.2">
      <c r="B294" s="156"/>
      <c r="D294" s="138" t="s">
        <v>301</v>
      </c>
      <c r="E294" s="157" t="s">
        <v>1</v>
      </c>
      <c r="F294" s="158" t="s">
        <v>305</v>
      </c>
      <c r="H294" s="159">
        <v>24.52</v>
      </c>
      <c r="I294" s="160"/>
      <c r="L294" s="156"/>
      <c r="N294" s="219"/>
      <c r="O294" s="220"/>
      <c r="Q294" s="232"/>
      <c r="CN294" s="161"/>
      <c r="CU294" s="162"/>
      <c r="DU294" s="157" t="s">
        <v>301</v>
      </c>
      <c r="DV294" s="157" t="s">
        <v>83</v>
      </c>
      <c r="DW294" s="13" t="s">
        <v>95</v>
      </c>
      <c r="DX294" s="13" t="s">
        <v>32</v>
      </c>
      <c r="DY294" s="13" t="s">
        <v>81</v>
      </c>
      <c r="DZ294" s="157" t="s">
        <v>282</v>
      </c>
    </row>
    <row r="295" spans="2:144" s="1" customFormat="1" ht="24.2" customHeight="1" x14ac:dyDescent="0.2">
      <c r="B295" s="124"/>
      <c r="C295" s="125" t="s">
        <v>556</v>
      </c>
      <c r="D295" s="125" t="s">
        <v>284</v>
      </c>
      <c r="E295" s="126" t="s">
        <v>705</v>
      </c>
      <c r="F295" s="127" t="s">
        <v>706</v>
      </c>
      <c r="G295" s="128" t="s">
        <v>418</v>
      </c>
      <c r="H295" s="129">
        <v>343.28</v>
      </c>
      <c r="I295" s="130">
        <v>3.1192340975392101</v>
      </c>
      <c r="J295" s="131">
        <f>ROUND(I295*H295,2)</f>
        <v>1070.77</v>
      </c>
      <c r="K295" s="127" t="s">
        <v>293</v>
      </c>
      <c r="L295" s="268">
        <f>S295</f>
        <v>0</v>
      </c>
      <c r="M295" s="272">
        <f>ROUND(L295*I295,2)</f>
        <v>0</v>
      </c>
      <c r="N295" s="243"/>
      <c r="O295" s="294">
        <f>ROUND(N295*I295,2)</f>
        <v>0</v>
      </c>
      <c r="P295" s="273">
        <f>H295-L295-N295</f>
        <v>343.28</v>
      </c>
      <c r="Q295" s="287">
        <f>ROUND(P295*I295,2)</f>
        <v>1070.77</v>
      </c>
      <c r="R295" s="137"/>
      <c r="S295" s="269">
        <f>W295+Y295+AA295+AC295+AE295+AG295+AI295</f>
        <v>0</v>
      </c>
      <c r="T295" s="269">
        <f>ROUND(S295*I295,2)</f>
        <v>0</v>
      </c>
      <c r="U295" s="269">
        <f>H295-S295</f>
        <v>343.28</v>
      </c>
      <c r="V295" s="269">
        <f>ROUND(U295*I295,2)</f>
        <v>1070.77</v>
      </c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CN295" s="132" t="s">
        <v>1</v>
      </c>
      <c r="CO295" s="133" t="s">
        <v>40</v>
      </c>
      <c r="CQ295" s="134">
        <f>CP295*H295</f>
        <v>0</v>
      </c>
      <c r="CR295" s="134">
        <v>0</v>
      </c>
      <c r="CS295" s="134">
        <f>CR295*H295</f>
        <v>0</v>
      </c>
      <c r="CT295" s="134">
        <v>0</v>
      </c>
      <c r="CU295" s="135">
        <f>CT295*H295</f>
        <v>0</v>
      </c>
      <c r="DS295" s="136" t="s">
        <v>95</v>
      </c>
      <c r="DU295" s="136" t="s">
        <v>284</v>
      </c>
      <c r="DV295" s="136" t="s">
        <v>83</v>
      </c>
      <c r="DZ295" s="16" t="s">
        <v>282</v>
      </c>
      <c r="EF295" s="137">
        <f>IF(CO295="základní",J295,0)</f>
        <v>1070.77</v>
      </c>
      <c r="EG295" s="137">
        <f>IF(CO295="snížená",J295,0)</f>
        <v>0</v>
      </c>
      <c r="EH295" s="137">
        <f>IF(CO295="zákl. přenesená",J295,0)</f>
        <v>0</v>
      </c>
      <c r="EI295" s="137">
        <f>IF(CO295="sníž. přenesená",J295,0)</f>
        <v>0</v>
      </c>
      <c r="EJ295" s="137">
        <f>IF(CO295="nulová",J295,0)</f>
        <v>0</v>
      </c>
      <c r="EK295" s="16" t="s">
        <v>81</v>
      </c>
      <c r="EL295" s="137">
        <f>ROUND(I295*H295,2)</f>
        <v>1070.77</v>
      </c>
      <c r="EM295" s="16" t="s">
        <v>95</v>
      </c>
      <c r="EN295" s="136" t="s">
        <v>2193</v>
      </c>
    </row>
    <row r="296" spans="2:144" s="1" customFormat="1" ht="29.25" x14ac:dyDescent="0.2">
      <c r="B296" s="31"/>
      <c r="D296" s="138" t="s">
        <v>289</v>
      </c>
      <c r="F296" s="139" t="s">
        <v>708</v>
      </c>
      <c r="I296" s="140"/>
      <c r="L296" s="31"/>
      <c r="N296" s="213"/>
      <c r="O296" s="214"/>
      <c r="Q296" s="229"/>
      <c r="CN296" s="141"/>
      <c r="CU296" s="50"/>
      <c r="DU296" s="16" t="s">
        <v>289</v>
      </c>
      <c r="DV296" s="16" t="s">
        <v>83</v>
      </c>
    </row>
    <row r="297" spans="2:144" s="12" customFormat="1" x14ac:dyDescent="0.2">
      <c r="B297" s="149"/>
      <c r="D297" s="138" t="s">
        <v>301</v>
      </c>
      <c r="E297" s="150" t="s">
        <v>1</v>
      </c>
      <c r="F297" s="151" t="s">
        <v>2119</v>
      </c>
      <c r="H297" s="152">
        <v>20.462</v>
      </c>
      <c r="I297" s="153"/>
      <c r="L297" s="149"/>
      <c r="N297" s="217"/>
      <c r="O297" s="218"/>
      <c r="Q297" s="231"/>
      <c r="CN297" s="154"/>
      <c r="CU297" s="155"/>
      <c r="DU297" s="150" t="s">
        <v>301</v>
      </c>
      <c r="DV297" s="150" t="s">
        <v>83</v>
      </c>
      <c r="DW297" s="12" t="s">
        <v>83</v>
      </c>
      <c r="DX297" s="12" t="s">
        <v>32</v>
      </c>
      <c r="DY297" s="12" t="s">
        <v>74</v>
      </c>
      <c r="DZ297" s="150" t="s">
        <v>282</v>
      </c>
    </row>
    <row r="298" spans="2:144" s="12" customFormat="1" x14ac:dyDescent="0.2">
      <c r="B298" s="149"/>
      <c r="D298" s="138" t="s">
        <v>301</v>
      </c>
      <c r="E298" s="150" t="s">
        <v>1</v>
      </c>
      <c r="F298" s="151" t="s">
        <v>2120</v>
      </c>
      <c r="H298" s="152">
        <v>4.0579999999999998</v>
      </c>
      <c r="I298" s="153"/>
      <c r="L298" s="149"/>
      <c r="N298" s="217"/>
      <c r="O298" s="218"/>
      <c r="Q298" s="231"/>
      <c r="CN298" s="154"/>
      <c r="CU298" s="155"/>
      <c r="DU298" s="150" t="s">
        <v>301</v>
      </c>
      <c r="DV298" s="150" t="s">
        <v>83</v>
      </c>
      <c r="DW298" s="12" t="s">
        <v>83</v>
      </c>
      <c r="DX298" s="12" t="s">
        <v>32</v>
      </c>
      <c r="DY298" s="12" t="s">
        <v>74</v>
      </c>
      <c r="DZ298" s="150" t="s">
        <v>282</v>
      </c>
    </row>
    <row r="299" spans="2:144" s="13" customFormat="1" x14ac:dyDescent="0.2">
      <c r="B299" s="156"/>
      <c r="D299" s="138" t="s">
        <v>301</v>
      </c>
      <c r="E299" s="157" t="s">
        <v>1</v>
      </c>
      <c r="F299" s="158" t="s">
        <v>305</v>
      </c>
      <c r="H299" s="159">
        <v>24.52</v>
      </c>
      <c r="I299" s="160"/>
      <c r="L299" s="156"/>
      <c r="N299" s="219"/>
      <c r="O299" s="220"/>
      <c r="Q299" s="232"/>
      <c r="CN299" s="161"/>
      <c r="CU299" s="162"/>
      <c r="DU299" s="157" t="s">
        <v>301</v>
      </c>
      <c r="DV299" s="157" t="s">
        <v>83</v>
      </c>
      <c r="DW299" s="13" t="s">
        <v>95</v>
      </c>
      <c r="DX299" s="13" t="s">
        <v>32</v>
      </c>
      <c r="DY299" s="13" t="s">
        <v>81</v>
      </c>
      <c r="DZ299" s="157" t="s">
        <v>282</v>
      </c>
    </row>
    <row r="300" spans="2:144" s="12" customFormat="1" x14ac:dyDescent="0.2">
      <c r="B300" s="149"/>
      <c r="D300" s="138" t="s">
        <v>301</v>
      </c>
      <c r="F300" s="151" t="s">
        <v>2122</v>
      </c>
      <c r="H300" s="152">
        <v>343.28</v>
      </c>
      <c r="I300" s="153"/>
      <c r="L300" s="149"/>
      <c r="N300" s="217"/>
      <c r="O300" s="218"/>
      <c r="Q300" s="231"/>
      <c r="CN300" s="154"/>
      <c r="CU300" s="155"/>
      <c r="DU300" s="150" t="s">
        <v>301</v>
      </c>
      <c r="DV300" s="150" t="s">
        <v>83</v>
      </c>
      <c r="DW300" s="12" t="s">
        <v>83</v>
      </c>
      <c r="DX300" s="12" t="s">
        <v>3</v>
      </c>
      <c r="DY300" s="12" t="s">
        <v>81</v>
      </c>
      <c r="DZ300" s="150" t="s">
        <v>282</v>
      </c>
    </row>
    <row r="301" spans="2:144" s="1" customFormat="1" ht="24.2" customHeight="1" x14ac:dyDescent="0.2">
      <c r="B301" s="124"/>
      <c r="C301" s="125" t="s">
        <v>562</v>
      </c>
      <c r="D301" s="125" t="s">
        <v>284</v>
      </c>
      <c r="E301" s="126" t="s">
        <v>711</v>
      </c>
      <c r="F301" s="127" t="s">
        <v>712</v>
      </c>
      <c r="G301" s="128" t="s">
        <v>418</v>
      </c>
      <c r="H301" s="129">
        <v>24.52</v>
      </c>
      <c r="I301" s="130">
        <v>155.98322812074767</v>
      </c>
      <c r="J301" s="131">
        <f>ROUND(I301*H301,2)</f>
        <v>3824.71</v>
      </c>
      <c r="K301" s="127" t="s">
        <v>293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24.52</v>
      </c>
      <c r="Q301" s="287">
        <f>ROUND(P301*I301,2)</f>
        <v>3824.71</v>
      </c>
      <c r="R301" s="137"/>
      <c r="S301" s="269">
        <f>W301+Y301+AA301+AC301+AE301+AG301+AI301</f>
        <v>0</v>
      </c>
      <c r="T301" s="269">
        <f>ROUND(S301*I301,2)</f>
        <v>0</v>
      </c>
      <c r="U301" s="269">
        <f>H301-S301</f>
        <v>24.52</v>
      </c>
      <c r="V301" s="269">
        <f>ROUND(U301*I301,2)</f>
        <v>3824.71</v>
      </c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CN301" s="132" t="s">
        <v>1</v>
      </c>
      <c r="CO301" s="133" t="s">
        <v>40</v>
      </c>
      <c r="CQ301" s="134">
        <f>CP301*H301</f>
        <v>0</v>
      </c>
      <c r="CR301" s="134">
        <v>0</v>
      </c>
      <c r="CS301" s="134">
        <f>CR301*H301</f>
        <v>0</v>
      </c>
      <c r="CT301" s="134">
        <v>0</v>
      </c>
      <c r="CU301" s="135">
        <f>CT301*H301</f>
        <v>0</v>
      </c>
      <c r="DS301" s="136" t="s">
        <v>95</v>
      </c>
      <c r="DU301" s="136" t="s">
        <v>284</v>
      </c>
      <c r="DV301" s="136" t="s">
        <v>83</v>
      </c>
      <c r="DZ301" s="16" t="s">
        <v>282</v>
      </c>
      <c r="EF301" s="137">
        <f>IF(CO301="základní",J301,0)</f>
        <v>3824.71</v>
      </c>
      <c r="EG301" s="137">
        <f>IF(CO301="snížená",J301,0)</f>
        <v>0</v>
      </c>
      <c r="EH301" s="137">
        <f>IF(CO301="zákl. přenesená",J301,0)</f>
        <v>0</v>
      </c>
      <c r="EI301" s="137">
        <f>IF(CO301="sníž. přenesená",J301,0)</f>
        <v>0</v>
      </c>
      <c r="EJ301" s="137">
        <f>IF(CO301="nulová",J301,0)</f>
        <v>0</v>
      </c>
      <c r="EK301" s="16" t="s">
        <v>81</v>
      </c>
      <c r="EL301" s="137">
        <f>ROUND(I301*H301,2)</f>
        <v>3824.71</v>
      </c>
      <c r="EM301" s="16" t="s">
        <v>95</v>
      </c>
      <c r="EN301" s="136" t="s">
        <v>2194</v>
      </c>
    </row>
    <row r="302" spans="2:144" s="1" customFormat="1" x14ac:dyDescent="0.2">
      <c r="B302" s="31"/>
      <c r="D302" s="138" t="s">
        <v>289</v>
      </c>
      <c r="F302" s="139" t="s">
        <v>714</v>
      </c>
      <c r="I302" s="140"/>
      <c r="L302" s="31"/>
      <c r="N302" s="213"/>
      <c r="O302" s="214"/>
      <c r="Q302" s="229"/>
      <c r="CN302" s="141"/>
      <c r="CU302" s="50"/>
      <c r="DU302" s="16" t="s">
        <v>289</v>
      </c>
      <c r="DV302" s="16" t="s">
        <v>83</v>
      </c>
    </row>
    <row r="303" spans="2:144" s="1" customFormat="1" ht="37.9" customHeight="1" x14ac:dyDescent="0.2">
      <c r="B303" s="124"/>
      <c r="C303" s="125" t="s">
        <v>568</v>
      </c>
      <c r="D303" s="125" t="s">
        <v>284</v>
      </c>
      <c r="E303" s="126" t="s">
        <v>716</v>
      </c>
      <c r="F303" s="127" t="s">
        <v>420</v>
      </c>
      <c r="G303" s="128" t="s">
        <v>418</v>
      </c>
      <c r="H303" s="129">
        <v>20.462</v>
      </c>
      <c r="I303" s="130">
        <v>110.6455721</v>
      </c>
      <c r="J303" s="131">
        <f>ROUND(I303*H303,2)</f>
        <v>2264.0300000000002</v>
      </c>
      <c r="K303" s="127" t="s">
        <v>293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20.462</v>
      </c>
      <c r="Q303" s="287">
        <f>ROUND(P303*I303,2)</f>
        <v>2264.0300000000002</v>
      </c>
      <c r="R303" s="137"/>
      <c r="S303" s="269">
        <f>W303+Y303+AA303+AC303+AE303+AG303+AI303</f>
        <v>0</v>
      </c>
      <c r="T303" s="269">
        <f>ROUND(S303*I303,2)</f>
        <v>0</v>
      </c>
      <c r="U303" s="269">
        <f>H303-S303</f>
        <v>20.462</v>
      </c>
      <c r="V303" s="269">
        <f>ROUND(U303*I303,2)</f>
        <v>2264.0300000000002</v>
      </c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CN303" s="132" t="s">
        <v>1</v>
      </c>
      <c r="CO303" s="133" t="s">
        <v>40</v>
      </c>
      <c r="CQ303" s="134">
        <f>CP303*H303</f>
        <v>0</v>
      </c>
      <c r="CR303" s="134">
        <v>0</v>
      </c>
      <c r="CS303" s="134">
        <f>CR303*H303</f>
        <v>0</v>
      </c>
      <c r="CT303" s="134">
        <v>0</v>
      </c>
      <c r="CU303" s="135">
        <f>CT303*H303</f>
        <v>0</v>
      </c>
      <c r="DS303" s="136" t="s">
        <v>95</v>
      </c>
      <c r="DU303" s="136" t="s">
        <v>284</v>
      </c>
      <c r="DV303" s="136" t="s">
        <v>83</v>
      </c>
      <c r="DZ303" s="16" t="s">
        <v>282</v>
      </c>
      <c r="EF303" s="137">
        <f>IF(CO303="základní",J303,0)</f>
        <v>2264.0300000000002</v>
      </c>
      <c r="EG303" s="137">
        <f>IF(CO303="snížená",J303,0)</f>
        <v>0</v>
      </c>
      <c r="EH303" s="137">
        <f>IF(CO303="zákl. přenesená",J303,0)</f>
        <v>0</v>
      </c>
      <c r="EI303" s="137">
        <f>IF(CO303="sníž. přenesená",J303,0)</f>
        <v>0</v>
      </c>
      <c r="EJ303" s="137">
        <f>IF(CO303="nulová",J303,0)</f>
        <v>0</v>
      </c>
      <c r="EK303" s="16" t="s">
        <v>81</v>
      </c>
      <c r="EL303" s="137">
        <f>ROUND(I303*H303,2)</f>
        <v>2264.0300000000002</v>
      </c>
      <c r="EM303" s="16" t="s">
        <v>95</v>
      </c>
      <c r="EN303" s="136" t="s">
        <v>2195</v>
      </c>
    </row>
    <row r="304" spans="2:144" s="1" customFormat="1" ht="29.25" x14ac:dyDescent="0.2">
      <c r="B304" s="31"/>
      <c r="D304" s="138" t="s">
        <v>289</v>
      </c>
      <c r="F304" s="139" t="s">
        <v>420</v>
      </c>
      <c r="I304" s="140"/>
      <c r="L304" s="31"/>
      <c r="N304" s="213"/>
      <c r="O304" s="214"/>
      <c r="Q304" s="229"/>
      <c r="CN304" s="141"/>
      <c r="CU304" s="50"/>
      <c r="DU304" s="16" t="s">
        <v>289</v>
      </c>
      <c r="DV304" s="16" t="s">
        <v>83</v>
      </c>
    </row>
    <row r="305" spans="2:144" s="12" customFormat="1" x14ac:dyDescent="0.2">
      <c r="B305" s="149"/>
      <c r="D305" s="138" t="s">
        <v>301</v>
      </c>
      <c r="E305" s="150" t="s">
        <v>1</v>
      </c>
      <c r="F305" s="151" t="s">
        <v>2119</v>
      </c>
      <c r="H305" s="152">
        <v>20.462</v>
      </c>
      <c r="I305" s="153"/>
      <c r="L305" s="149"/>
      <c r="N305" s="217"/>
      <c r="O305" s="218"/>
      <c r="Q305" s="231"/>
      <c r="CN305" s="154"/>
      <c r="CU305" s="155"/>
      <c r="DU305" s="150" t="s">
        <v>301</v>
      </c>
      <c r="DV305" s="150" t="s">
        <v>83</v>
      </c>
      <c r="DW305" s="12" t="s">
        <v>83</v>
      </c>
      <c r="DX305" s="12" t="s">
        <v>32</v>
      </c>
      <c r="DY305" s="12" t="s">
        <v>81</v>
      </c>
      <c r="DZ305" s="150" t="s">
        <v>282</v>
      </c>
    </row>
    <row r="306" spans="2:144" s="1" customFormat="1" ht="37.9" customHeight="1" x14ac:dyDescent="0.2">
      <c r="B306" s="124"/>
      <c r="C306" s="125" t="s">
        <v>572</v>
      </c>
      <c r="D306" s="125" t="s">
        <v>284</v>
      </c>
      <c r="E306" s="126" t="s">
        <v>719</v>
      </c>
      <c r="F306" s="127" t="s">
        <v>720</v>
      </c>
      <c r="G306" s="128" t="s">
        <v>418</v>
      </c>
      <c r="H306" s="129">
        <v>4.0579999999999998</v>
      </c>
      <c r="I306" s="130">
        <v>250.3439285</v>
      </c>
      <c r="J306" s="131">
        <f>ROUND(I306*H306,2)</f>
        <v>1015.9</v>
      </c>
      <c r="K306" s="127" t="s">
        <v>293</v>
      </c>
      <c r="L306" s="268">
        <f>S306</f>
        <v>0</v>
      </c>
      <c r="M306" s="272">
        <f>ROUND(L306*I306,2)</f>
        <v>0</v>
      </c>
      <c r="N306" s="243"/>
      <c r="O306" s="294">
        <f>ROUND(N306*I306,2)</f>
        <v>0</v>
      </c>
      <c r="P306" s="273">
        <f>H306-L306-N306</f>
        <v>4.0579999999999998</v>
      </c>
      <c r="Q306" s="287">
        <f>ROUND(P306*I306,2)</f>
        <v>1015.9</v>
      </c>
      <c r="R306" s="137"/>
      <c r="S306" s="269">
        <f>W306+Y306+AA306+AC306+AE306+AG306+AI306</f>
        <v>0</v>
      </c>
      <c r="T306" s="269">
        <f>ROUND(S306*I306,2)</f>
        <v>0</v>
      </c>
      <c r="U306" s="269">
        <f>H306-S306</f>
        <v>4.0579999999999998</v>
      </c>
      <c r="V306" s="269">
        <f>ROUND(U306*I306,2)</f>
        <v>1015.9</v>
      </c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CN306" s="132" t="s">
        <v>1</v>
      </c>
      <c r="CO306" s="133" t="s">
        <v>40</v>
      </c>
      <c r="CQ306" s="134">
        <f>CP306*H306</f>
        <v>0</v>
      </c>
      <c r="CR306" s="134">
        <v>0</v>
      </c>
      <c r="CS306" s="134">
        <f>CR306*H306</f>
        <v>0</v>
      </c>
      <c r="CT306" s="134">
        <v>0</v>
      </c>
      <c r="CU306" s="135">
        <f>CT306*H306</f>
        <v>0</v>
      </c>
      <c r="DS306" s="136" t="s">
        <v>95</v>
      </c>
      <c r="DU306" s="136" t="s">
        <v>284</v>
      </c>
      <c r="DV306" s="136" t="s">
        <v>83</v>
      </c>
      <c r="DZ306" s="16" t="s">
        <v>282</v>
      </c>
      <c r="EF306" s="137">
        <f>IF(CO306="základní",J306,0)</f>
        <v>1015.9</v>
      </c>
      <c r="EG306" s="137">
        <f>IF(CO306="snížená",J306,0)</f>
        <v>0</v>
      </c>
      <c r="EH306" s="137">
        <f>IF(CO306="zákl. přenesená",J306,0)</f>
        <v>0</v>
      </c>
      <c r="EI306" s="137">
        <f>IF(CO306="sníž. přenesená",J306,0)</f>
        <v>0</v>
      </c>
      <c r="EJ306" s="137">
        <f>IF(CO306="nulová",J306,0)</f>
        <v>0</v>
      </c>
      <c r="EK306" s="16" t="s">
        <v>81</v>
      </c>
      <c r="EL306" s="137">
        <f>ROUND(I306*H306,2)</f>
        <v>1015.9</v>
      </c>
      <c r="EM306" s="16" t="s">
        <v>95</v>
      </c>
      <c r="EN306" s="136" t="s">
        <v>2196</v>
      </c>
    </row>
    <row r="307" spans="2:144" s="1" customFormat="1" ht="29.25" x14ac:dyDescent="0.2">
      <c r="B307" s="31"/>
      <c r="D307" s="138" t="s">
        <v>289</v>
      </c>
      <c r="F307" s="139" t="s">
        <v>720</v>
      </c>
      <c r="I307" s="140"/>
      <c r="L307" s="31"/>
      <c r="N307" s="213"/>
      <c r="O307" s="214"/>
      <c r="Q307" s="229"/>
      <c r="CN307" s="141"/>
      <c r="CU307" s="50"/>
      <c r="DU307" s="16" t="s">
        <v>289</v>
      </c>
      <c r="DV307" s="16" t="s">
        <v>83</v>
      </c>
    </row>
    <row r="308" spans="2:144" s="12" customFormat="1" x14ac:dyDescent="0.2">
      <c r="B308" s="149"/>
      <c r="D308" s="138" t="s">
        <v>301</v>
      </c>
      <c r="E308" s="150" t="s">
        <v>1</v>
      </c>
      <c r="F308" s="151" t="s">
        <v>2120</v>
      </c>
      <c r="H308" s="152">
        <v>4.0579999999999998</v>
      </c>
      <c r="I308" s="153"/>
      <c r="L308" s="149"/>
      <c r="N308" s="217"/>
      <c r="O308" s="218"/>
      <c r="Q308" s="231"/>
      <c r="CN308" s="154"/>
      <c r="CU308" s="155"/>
      <c r="DU308" s="150" t="s">
        <v>301</v>
      </c>
      <c r="DV308" s="150" t="s">
        <v>83</v>
      </c>
      <c r="DW308" s="12" t="s">
        <v>83</v>
      </c>
      <c r="DX308" s="12" t="s">
        <v>32</v>
      </c>
      <c r="DY308" s="12" t="s">
        <v>81</v>
      </c>
      <c r="DZ308" s="150" t="s">
        <v>282</v>
      </c>
    </row>
    <row r="309" spans="2:144" s="10" customFormat="1" ht="22.9" customHeight="1" x14ac:dyDescent="0.2">
      <c r="B309" s="112"/>
      <c r="D309" s="113" t="s">
        <v>73</v>
      </c>
      <c r="E309" s="122" t="s">
        <v>722</v>
      </c>
      <c r="F309" s="122" t="s">
        <v>723</v>
      </c>
      <c r="I309" s="115"/>
      <c r="J309" s="123">
        <f>EL309</f>
        <v>13255.7</v>
      </c>
      <c r="L309" s="112"/>
      <c r="M309" s="270">
        <f>M310</f>
        <v>0</v>
      </c>
      <c r="N309" s="301"/>
      <c r="O309" s="302">
        <f t="shared" ref="O309:V309" si="8">O310</f>
        <v>0</v>
      </c>
      <c r="P309" s="270"/>
      <c r="Q309" s="288">
        <f t="shared" si="8"/>
        <v>13255.7</v>
      </c>
      <c r="R309" s="270"/>
      <c r="S309" s="270"/>
      <c r="T309" s="270">
        <f t="shared" si="8"/>
        <v>0</v>
      </c>
      <c r="U309" s="270"/>
      <c r="V309" s="270">
        <f t="shared" si="8"/>
        <v>13255.7</v>
      </c>
      <c r="CN309" s="117"/>
      <c r="CQ309" s="118">
        <f>SUM(CQ310:CQ313)</f>
        <v>0</v>
      </c>
      <c r="CS309" s="118">
        <f>SUM(CS310:CS313)</f>
        <v>0</v>
      </c>
      <c r="CU309" s="119">
        <f>SUM(CU310:CU313)</f>
        <v>0</v>
      </c>
      <c r="DS309" s="113" t="s">
        <v>81</v>
      </c>
      <c r="DU309" s="120" t="s">
        <v>73</v>
      </c>
      <c r="DV309" s="120" t="s">
        <v>81</v>
      </c>
      <c r="DZ309" s="113" t="s">
        <v>282</v>
      </c>
      <c r="EL309" s="121">
        <f>SUM(EL310:EL313)</f>
        <v>13255.7</v>
      </c>
    </row>
    <row r="310" spans="2:144" s="1" customFormat="1" ht="24.2" customHeight="1" x14ac:dyDescent="0.2">
      <c r="B310" s="124"/>
      <c r="C310" s="125" t="s">
        <v>576</v>
      </c>
      <c r="D310" s="125" t="s">
        <v>284</v>
      </c>
      <c r="E310" s="126" t="s">
        <v>1964</v>
      </c>
      <c r="F310" s="127" t="s">
        <v>1965</v>
      </c>
      <c r="G310" s="128" t="s">
        <v>418</v>
      </c>
      <c r="H310" s="129">
        <v>21.248000000000001</v>
      </c>
      <c r="I310" s="130">
        <v>623.85641047656759</v>
      </c>
      <c r="J310" s="131">
        <f>ROUND(I310*H310,2)</f>
        <v>13255.7</v>
      </c>
      <c r="K310" s="127" t="s">
        <v>293</v>
      </c>
      <c r="L310" s="268">
        <f>S310</f>
        <v>0</v>
      </c>
      <c r="M310" s="272">
        <f>ROUND(L310*I310,2)</f>
        <v>0</v>
      </c>
      <c r="N310" s="243"/>
      <c r="O310" s="294">
        <f>ROUND(N310*I310,2)</f>
        <v>0</v>
      </c>
      <c r="P310" s="273">
        <f>H310-L310-N310</f>
        <v>21.248000000000001</v>
      </c>
      <c r="Q310" s="287">
        <f>ROUND(P310*I310,2)</f>
        <v>13255.7</v>
      </c>
      <c r="R310" s="137"/>
      <c r="S310" s="269">
        <f>W310+Y310+AA310+AC310+AE310+AG310+AI310</f>
        <v>0</v>
      </c>
      <c r="T310" s="269">
        <f>ROUND(S310*I310,2)</f>
        <v>0</v>
      </c>
      <c r="U310" s="269">
        <f>H310-S310</f>
        <v>21.248000000000001</v>
      </c>
      <c r="V310" s="269">
        <f>ROUND(U310*I310,2)</f>
        <v>13255.7</v>
      </c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CN310" s="132" t="s">
        <v>1</v>
      </c>
      <c r="CO310" s="133" t="s">
        <v>40</v>
      </c>
      <c r="CQ310" s="134">
        <f>CP310*H310</f>
        <v>0</v>
      </c>
      <c r="CR310" s="134">
        <v>0</v>
      </c>
      <c r="CS310" s="134">
        <f>CR310*H310</f>
        <v>0</v>
      </c>
      <c r="CT310" s="134">
        <v>0</v>
      </c>
      <c r="CU310" s="135">
        <f>CT310*H310</f>
        <v>0</v>
      </c>
      <c r="DS310" s="136" t="s">
        <v>95</v>
      </c>
      <c r="DU310" s="136" t="s">
        <v>284</v>
      </c>
      <c r="DV310" s="136" t="s">
        <v>83</v>
      </c>
      <c r="DZ310" s="16" t="s">
        <v>282</v>
      </c>
      <c r="EF310" s="137">
        <f>IF(CO310="základní",J310,0)</f>
        <v>13255.7</v>
      </c>
      <c r="EG310" s="137">
        <f>IF(CO310="snížená",J310,0)</f>
        <v>0</v>
      </c>
      <c r="EH310" s="137">
        <f>IF(CO310="zákl. přenesená",J310,0)</f>
        <v>0</v>
      </c>
      <c r="EI310" s="137">
        <f>IF(CO310="sníž. přenesená",J310,0)</f>
        <v>0</v>
      </c>
      <c r="EJ310" s="137">
        <f>IF(CO310="nulová",J310,0)</f>
        <v>0</v>
      </c>
      <c r="EK310" s="16" t="s">
        <v>81</v>
      </c>
      <c r="EL310" s="137">
        <f>ROUND(I310*H310,2)</f>
        <v>13255.7</v>
      </c>
      <c r="EM310" s="16" t="s">
        <v>95</v>
      </c>
      <c r="EN310" s="136" t="s">
        <v>2197</v>
      </c>
    </row>
    <row r="311" spans="2:144" s="1" customFormat="1" ht="39" x14ac:dyDescent="0.2">
      <c r="B311" s="31"/>
      <c r="D311" s="138" t="s">
        <v>289</v>
      </c>
      <c r="F311" s="139" t="s">
        <v>1967</v>
      </c>
      <c r="I311" s="140"/>
      <c r="L311" s="31"/>
      <c r="N311" s="213"/>
      <c r="O311" s="214"/>
      <c r="Q311" s="229"/>
      <c r="CN311" s="141"/>
      <c r="CU311" s="50"/>
      <c r="DU311" s="16" t="s">
        <v>289</v>
      </c>
      <c r="DV311" s="16" t="s">
        <v>83</v>
      </c>
    </row>
    <row r="312" spans="2:144" s="11" customFormat="1" x14ac:dyDescent="0.2">
      <c r="B312" s="143"/>
      <c r="D312" s="138" t="s">
        <v>301</v>
      </c>
      <c r="E312" s="144" t="s">
        <v>1</v>
      </c>
      <c r="F312" s="145" t="s">
        <v>729</v>
      </c>
      <c r="H312" s="144" t="s">
        <v>1</v>
      </c>
      <c r="I312" s="146"/>
      <c r="L312" s="143"/>
      <c r="N312" s="215"/>
      <c r="O312" s="216"/>
      <c r="Q312" s="230"/>
      <c r="CN312" s="147"/>
      <c r="CU312" s="148"/>
      <c r="DU312" s="144" t="s">
        <v>301</v>
      </c>
      <c r="DV312" s="144" t="s">
        <v>83</v>
      </c>
      <c r="DW312" s="11" t="s">
        <v>81</v>
      </c>
      <c r="DX312" s="11" t="s">
        <v>32</v>
      </c>
      <c r="DY312" s="11" t="s">
        <v>74</v>
      </c>
      <c r="DZ312" s="144" t="s">
        <v>282</v>
      </c>
    </row>
    <row r="313" spans="2:144" s="12" customFormat="1" x14ac:dyDescent="0.2">
      <c r="B313" s="149"/>
      <c r="D313" s="138" t="s">
        <v>301</v>
      </c>
      <c r="E313" s="150" t="s">
        <v>1</v>
      </c>
      <c r="F313" s="151" t="s">
        <v>2198</v>
      </c>
      <c r="H313" s="152">
        <v>21.248000000000001</v>
      </c>
      <c r="I313" s="153"/>
      <c r="L313" s="149"/>
      <c r="N313" s="217"/>
      <c r="O313" s="218"/>
      <c r="Q313" s="231"/>
      <c r="CN313" s="179"/>
      <c r="CO313" s="180"/>
      <c r="CP313" s="180"/>
      <c r="CQ313" s="180"/>
      <c r="CR313" s="180"/>
      <c r="CS313" s="180"/>
      <c r="CT313" s="180"/>
      <c r="CU313" s="181"/>
      <c r="DU313" s="150" t="s">
        <v>301</v>
      </c>
      <c r="DV313" s="150" t="s">
        <v>83</v>
      </c>
      <c r="DW313" s="12" t="s">
        <v>83</v>
      </c>
      <c r="DX313" s="12" t="s">
        <v>32</v>
      </c>
      <c r="DY313" s="12" t="s">
        <v>81</v>
      </c>
      <c r="DZ313" s="150" t="s">
        <v>282</v>
      </c>
    </row>
    <row r="314" spans="2:144" s="1" customFormat="1" ht="6.95" customHeight="1" thickBot="1" x14ac:dyDescent="0.25">
      <c r="B314" s="43"/>
      <c r="C314" s="44"/>
      <c r="D314" s="44"/>
      <c r="E314" s="44"/>
      <c r="F314" s="44"/>
      <c r="G314" s="44"/>
      <c r="H314" s="44"/>
      <c r="I314" s="44"/>
      <c r="J314" s="44"/>
      <c r="K314" s="44"/>
      <c r="L314" s="235"/>
      <c r="M314" s="237"/>
      <c r="N314" s="239"/>
      <c r="O314" s="240"/>
      <c r="P314" s="238"/>
      <c r="Q314" s="241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</row>
  </sheetData>
  <autoFilter ref="C123:K313"/>
  <mergeCells count="26">
    <mergeCell ref="AE124:AF124"/>
    <mergeCell ref="AG124:AH124"/>
    <mergeCell ref="AI124:AJ124"/>
    <mergeCell ref="U124:V124"/>
    <mergeCell ref="W124:X124"/>
    <mergeCell ref="Y124:Z124"/>
    <mergeCell ref="AA124:AB124"/>
    <mergeCell ref="AC124:AD124"/>
    <mergeCell ref="L123:Q123"/>
    <mergeCell ref="L124:M124"/>
    <mergeCell ref="N124:O124"/>
    <mergeCell ref="P124:Q124"/>
    <mergeCell ref="S124:T124"/>
    <mergeCell ref="H122:K122"/>
    <mergeCell ref="E117:H117"/>
    <mergeCell ref="L2:CW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windowProtection="1" showGridLines="0" topLeftCell="A108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175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2132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24.75" customHeight="1" x14ac:dyDescent="0.2">
      <c r="B13" s="31"/>
      <c r="E13" s="432" t="s">
        <v>2199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ROUND(J126, 2)</f>
        <v>0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ROUND((SUM(BE126:BE129)),  2)</f>
        <v>0</v>
      </c>
      <c r="I37" s="84">
        <v>0.21</v>
      </c>
      <c r="J37" s="71">
        <f>ROUND(((SUM(BE126:BE129))*I37),  2)</f>
        <v>0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ROUND((SUM(BF126:BF129)),  2)</f>
        <v>0</v>
      </c>
      <c r="I38" s="84">
        <v>0.15</v>
      </c>
      <c r="J38" s="71">
        <f>ROUND(((SUM(BF126:BF129))*I38),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ROUND((SUM(BG126:BG129)),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ROUND((SUM(BH126:BH129)),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ROUND((SUM(BI126:BI129)),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0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2132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24.75" customHeight="1" x14ac:dyDescent="0.2">
      <c r="B91" s="31"/>
      <c r="E91" s="432" t="str">
        <f>E13</f>
        <v>0002 - DSO 07.2 Čerpací stanice ČS8 - zpevněná plocha - součástí dílčího stavebního objektu DSO 07.1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J126</f>
        <v>0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J127</f>
        <v>0</v>
      </c>
      <c r="L101" s="96"/>
    </row>
    <row r="102" spans="2:47" s="8" customFormat="1" ht="19.899999999999999" customHeight="1" x14ac:dyDescent="0.2">
      <c r="B102" s="100"/>
      <c r="D102" s="101" t="s">
        <v>262</v>
      </c>
      <c r="E102" s="102"/>
      <c r="F102" s="102"/>
      <c r="G102" s="102"/>
      <c r="H102" s="102"/>
      <c r="I102" s="102"/>
      <c r="J102" s="103">
        <f>J128</f>
        <v>0</v>
      </c>
      <c r="L102" s="100"/>
    </row>
    <row r="103" spans="2:47" s="1" customFormat="1" ht="21.75" customHeight="1" x14ac:dyDescent="0.2">
      <c r="B103" s="31"/>
      <c r="L103" s="31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 x14ac:dyDescent="0.2">
      <c r="B109" s="31"/>
      <c r="C109" s="20" t="s">
        <v>267</v>
      </c>
      <c r="L109" s="31"/>
    </row>
    <row r="110" spans="2:47" s="1" customFormat="1" ht="6.95" customHeight="1" x14ac:dyDescent="0.2">
      <c r="B110" s="31"/>
      <c r="L110" s="31"/>
    </row>
    <row r="111" spans="2:47" s="1" customFormat="1" ht="12" customHeight="1" x14ac:dyDescent="0.2">
      <c r="B111" s="31"/>
      <c r="C111" s="26" t="s">
        <v>16</v>
      </c>
      <c r="L111" s="31"/>
    </row>
    <row r="112" spans="2:47" s="1" customFormat="1" ht="16.5" customHeight="1" x14ac:dyDescent="0.2">
      <c r="B112" s="31"/>
      <c r="E112" s="434" t="str">
        <f>E7</f>
        <v>Kanalizace Podlesí - I.Etapa</v>
      </c>
      <c r="F112" s="435"/>
      <c r="G112" s="435"/>
      <c r="H112" s="435"/>
      <c r="L112" s="31"/>
    </row>
    <row r="113" spans="2:63" ht="12" customHeight="1" x14ac:dyDescent="0.2">
      <c r="B113" s="19"/>
      <c r="C113" s="26" t="s">
        <v>244</v>
      </c>
      <c r="L113" s="19"/>
    </row>
    <row r="114" spans="2:63" ht="16.5" customHeight="1" x14ac:dyDescent="0.2">
      <c r="B114" s="19"/>
      <c r="E114" s="434" t="s">
        <v>245</v>
      </c>
      <c r="F114" s="399"/>
      <c r="G114" s="399"/>
      <c r="H114" s="399"/>
      <c r="L114" s="19"/>
    </row>
    <row r="115" spans="2:63" ht="12" customHeight="1" x14ac:dyDescent="0.2">
      <c r="B115" s="19"/>
      <c r="C115" s="26" t="s">
        <v>246</v>
      </c>
      <c r="L115" s="19"/>
    </row>
    <row r="116" spans="2:63" s="1" customFormat="1" ht="16.5" customHeight="1" x14ac:dyDescent="0.2">
      <c r="B116" s="31"/>
      <c r="E116" s="401" t="s">
        <v>2132</v>
      </c>
      <c r="F116" s="433"/>
      <c r="G116" s="433"/>
      <c r="H116" s="433"/>
      <c r="L116" s="31"/>
    </row>
    <row r="117" spans="2:63" s="1" customFormat="1" ht="12" customHeight="1" x14ac:dyDescent="0.2">
      <c r="B117" s="31"/>
      <c r="C117" s="26" t="s">
        <v>1790</v>
      </c>
      <c r="L117" s="31"/>
    </row>
    <row r="118" spans="2:63" s="1" customFormat="1" ht="24.75" customHeight="1" x14ac:dyDescent="0.2">
      <c r="B118" s="31"/>
      <c r="E118" s="432" t="str">
        <f>E13</f>
        <v>0002 - DSO 07.2 Čerpací stanice ČS8 - zpevněná plocha - součástí dílčího stavebního objektu DSO 07.1</v>
      </c>
      <c r="F118" s="433"/>
      <c r="G118" s="433"/>
      <c r="H118" s="433"/>
      <c r="L118" s="31"/>
    </row>
    <row r="119" spans="2:63" s="1" customFormat="1" ht="6.95" customHeight="1" x14ac:dyDescent="0.2">
      <c r="B119" s="31"/>
      <c r="L119" s="31"/>
    </row>
    <row r="120" spans="2:63" s="1" customFormat="1" ht="12" customHeight="1" x14ac:dyDescent="0.2">
      <c r="B120" s="31"/>
      <c r="C120" s="26" t="s">
        <v>20</v>
      </c>
      <c r="F120" s="24" t="str">
        <f>F16</f>
        <v xml:space="preserve"> </v>
      </c>
      <c r="I120" s="26" t="s">
        <v>22</v>
      </c>
      <c r="J120" s="48" t="str">
        <f>IF(J16="","",J16)</f>
        <v>18. 11. 2020</v>
      </c>
      <c r="L120" s="31"/>
    </row>
    <row r="121" spans="2:63" s="1" customFormat="1" ht="6.95" customHeight="1" x14ac:dyDescent="0.2">
      <c r="B121" s="31"/>
      <c r="L121" s="31"/>
    </row>
    <row r="122" spans="2:63" s="1" customFormat="1" ht="40.15" customHeight="1" x14ac:dyDescent="0.2">
      <c r="B122" s="31"/>
      <c r="C122" s="26" t="s">
        <v>24</v>
      </c>
      <c r="F122" s="24" t="str">
        <f>E19</f>
        <v>Město Petřvald</v>
      </c>
      <c r="I122" s="26" t="s">
        <v>30</v>
      </c>
      <c r="J122" s="29" t="str">
        <f>E25</f>
        <v>Sweco Hydroprojekt a.s., divize Morava</v>
      </c>
      <c r="L122" s="31"/>
    </row>
    <row r="123" spans="2:63" s="1" customFormat="1" ht="15.2" customHeight="1" x14ac:dyDescent="0.2">
      <c r="B123" s="31"/>
      <c r="C123" s="26" t="s">
        <v>28</v>
      </c>
      <c r="F123" s="24" t="str">
        <f>IF(E22="","",E22)</f>
        <v>Společnost Podlesí se sídlem Žitenická 871/1, 190 00 Praha 9</v>
      </c>
      <c r="I123" s="26" t="s">
        <v>33</v>
      </c>
      <c r="J123" s="29" t="str">
        <f>E28</f>
        <v xml:space="preserve"> </v>
      </c>
      <c r="L123" s="31"/>
    </row>
    <row r="124" spans="2:63" s="1" customFormat="1" ht="10.35" customHeight="1" x14ac:dyDescent="0.2">
      <c r="B124" s="31"/>
      <c r="L124" s="31"/>
    </row>
    <row r="125" spans="2:63" s="9" customFormat="1" ht="29.25" customHeight="1" x14ac:dyDescent="0.2">
      <c r="B125" s="104"/>
      <c r="C125" s="105" t="s">
        <v>268</v>
      </c>
      <c r="D125" s="106" t="s">
        <v>59</v>
      </c>
      <c r="E125" s="106" t="s">
        <v>55</v>
      </c>
      <c r="F125" s="106" t="s">
        <v>56</v>
      </c>
      <c r="G125" s="106" t="s">
        <v>269</v>
      </c>
      <c r="H125" s="106" t="s">
        <v>270</v>
      </c>
      <c r="I125" s="106" t="s">
        <v>271</v>
      </c>
      <c r="J125" s="106" t="s">
        <v>255</v>
      </c>
      <c r="K125" s="107" t="s">
        <v>272</v>
      </c>
      <c r="L125" s="104"/>
      <c r="M125" s="52" t="s">
        <v>1</v>
      </c>
      <c r="N125" s="53" t="s">
        <v>39</v>
      </c>
      <c r="O125" s="53" t="s">
        <v>273</v>
      </c>
      <c r="P125" s="53" t="s">
        <v>274</v>
      </c>
      <c r="Q125" s="53" t="s">
        <v>275</v>
      </c>
      <c r="R125" s="53" t="s">
        <v>276</v>
      </c>
      <c r="S125" s="53" t="s">
        <v>277</v>
      </c>
      <c r="T125" s="54" t="s">
        <v>278</v>
      </c>
    </row>
    <row r="126" spans="2:63" s="1" customFormat="1" ht="22.9" customHeight="1" x14ac:dyDescent="0.25">
      <c r="B126" s="31"/>
      <c r="C126" s="57" t="s">
        <v>279</v>
      </c>
      <c r="J126" s="108">
        <f>BK126</f>
        <v>0</v>
      </c>
      <c r="L126" s="31"/>
      <c r="M126" s="55"/>
      <c r="N126" s="49"/>
      <c r="O126" s="49"/>
      <c r="P126" s="109">
        <f>P127</f>
        <v>0</v>
      </c>
      <c r="Q126" s="49"/>
      <c r="R126" s="109">
        <f>R127</f>
        <v>0</v>
      </c>
      <c r="S126" s="49"/>
      <c r="T126" s="110">
        <f>T127</f>
        <v>0</v>
      </c>
      <c r="AT126" s="16" t="s">
        <v>73</v>
      </c>
      <c r="AU126" s="16" t="s">
        <v>257</v>
      </c>
      <c r="BK126" s="111">
        <f>BK127</f>
        <v>0</v>
      </c>
    </row>
    <row r="127" spans="2:63" s="10" customFormat="1" ht="25.9" customHeight="1" x14ac:dyDescent="0.2">
      <c r="B127" s="112"/>
      <c r="D127" s="113" t="s">
        <v>73</v>
      </c>
      <c r="E127" s="114" t="s">
        <v>280</v>
      </c>
      <c r="F127" s="114" t="s">
        <v>281</v>
      </c>
      <c r="I127" s="115"/>
      <c r="J127" s="116">
        <f>BK127</f>
        <v>0</v>
      </c>
      <c r="L127" s="112"/>
      <c r="M127" s="117"/>
      <c r="P127" s="118">
        <f>P128</f>
        <v>0</v>
      </c>
      <c r="R127" s="118">
        <f>R128</f>
        <v>0</v>
      </c>
      <c r="T127" s="119">
        <f>T128</f>
        <v>0</v>
      </c>
      <c r="AR127" s="113" t="s">
        <v>81</v>
      </c>
      <c r="AT127" s="120" t="s">
        <v>73</v>
      </c>
      <c r="AU127" s="120" t="s">
        <v>74</v>
      </c>
      <c r="AY127" s="113" t="s">
        <v>282</v>
      </c>
      <c r="BK127" s="121">
        <f>BK128</f>
        <v>0</v>
      </c>
    </row>
    <row r="128" spans="2:63" s="10" customFormat="1" ht="22.9" customHeight="1" x14ac:dyDescent="0.2">
      <c r="B128" s="112"/>
      <c r="D128" s="113" t="s">
        <v>73</v>
      </c>
      <c r="E128" s="122" t="s">
        <v>312</v>
      </c>
      <c r="F128" s="122" t="s">
        <v>520</v>
      </c>
      <c r="I128" s="115"/>
      <c r="J128" s="123">
        <f>BK128</f>
        <v>0</v>
      </c>
      <c r="L128" s="112"/>
      <c r="M128" s="117"/>
      <c r="P128" s="118">
        <f>P129</f>
        <v>0</v>
      </c>
      <c r="R128" s="118">
        <f>R129</f>
        <v>0</v>
      </c>
      <c r="T128" s="119">
        <f>T129</f>
        <v>0</v>
      </c>
      <c r="AR128" s="113" t="s">
        <v>81</v>
      </c>
      <c r="AT128" s="120" t="s">
        <v>73</v>
      </c>
      <c r="AU128" s="120" t="s">
        <v>81</v>
      </c>
      <c r="AY128" s="113" t="s">
        <v>282</v>
      </c>
      <c r="BK128" s="121">
        <f>BK129</f>
        <v>0</v>
      </c>
    </row>
    <row r="129" spans="2:65" s="1" customFormat="1" ht="37.9" customHeight="1" x14ac:dyDescent="0.2">
      <c r="B129" s="124"/>
      <c r="C129" s="125" t="s">
        <v>81</v>
      </c>
      <c r="D129" s="125" t="s">
        <v>284</v>
      </c>
      <c r="E129" s="126" t="s">
        <v>1970</v>
      </c>
      <c r="F129" s="127" t="s">
        <v>2200</v>
      </c>
      <c r="G129" s="128" t="s">
        <v>1948</v>
      </c>
      <c r="H129" s="129">
        <v>0</v>
      </c>
      <c r="I129" s="130"/>
      <c r="J129" s="131">
        <f>ROUND(I129*H129,2)</f>
        <v>0</v>
      </c>
      <c r="K129" s="127" t="s">
        <v>1</v>
      </c>
      <c r="L129" s="31"/>
      <c r="M129" s="182" t="s">
        <v>1</v>
      </c>
      <c r="N129" s="183" t="s">
        <v>40</v>
      </c>
      <c r="O129" s="1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36" t="s">
        <v>95</v>
      </c>
      <c r="AT129" s="136" t="s">
        <v>284</v>
      </c>
      <c r="AU129" s="136" t="s">
        <v>83</v>
      </c>
      <c r="AY129" s="16" t="s">
        <v>282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6" t="s">
        <v>81</v>
      </c>
      <c r="BK129" s="137">
        <f>ROUND(I129*H129,2)</f>
        <v>0</v>
      </c>
      <c r="BL129" s="16" t="s">
        <v>95</v>
      </c>
      <c r="BM129" s="136" t="s">
        <v>2201</v>
      </c>
    </row>
    <row r="130" spans="2:65" s="1" customFormat="1" ht="6.95" customHeight="1" x14ac:dyDescent="0.2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B174"/>
  <sheetViews>
    <sheetView windowProtection="1" showGridLines="0" topLeftCell="A110" zoomScale="80" zoomScaleNormal="80" workbookViewId="0">
      <selection activeCell="Z138" sqref="Z13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52" width="12.5" customWidth="1"/>
    <col min="53" max="53" width="11.83203125" customWidth="1"/>
    <col min="54" max="54" width="10.83203125" customWidth="1"/>
    <col min="56" max="61" width="14.1640625" customWidth="1"/>
    <col min="62" max="62" width="16.33203125" customWidth="1"/>
    <col min="63" max="63" width="12.33203125" customWidth="1"/>
    <col min="64" max="64" width="16.33203125" customWidth="1"/>
    <col min="65" max="65" width="12.33203125" customWidth="1"/>
    <col min="66" max="66" width="15" customWidth="1"/>
    <col min="67" max="67" width="11" customWidth="1"/>
    <col min="68" max="68" width="15" customWidth="1"/>
    <col min="69" max="69" width="16.33203125" customWidth="1"/>
    <col min="70" max="70" width="11" customWidth="1"/>
    <col min="71" max="71" width="15" customWidth="1"/>
    <col min="72" max="72" width="16.33203125" customWidth="1"/>
    <col min="85" max="106" width="9.33203125" hidden="1"/>
  </cols>
  <sheetData>
    <row r="1" spans="2:87" hidden="1" x14ac:dyDescent="0.2"/>
    <row r="2" spans="2:87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CI2" s="16" t="s">
        <v>177</v>
      </c>
    </row>
    <row r="3" spans="2:87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I3" s="16" t="s">
        <v>83</v>
      </c>
    </row>
    <row r="4" spans="2:87" ht="24.95" hidden="1" customHeight="1" x14ac:dyDescent="0.2">
      <c r="B4" s="19"/>
      <c r="D4" s="20" t="s">
        <v>243</v>
      </c>
      <c r="L4" s="19"/>
      <c r="BB4" s="79" t="s">
        <v>10</v>
      </c>
      <c r="CI4" s="16" t="s">
        <v>3</v>
      </c>
    </row>
    <row r="5" spans="2:87" ht="6.95" hidden="1" customHeight="1" x14ac:dyDescent="0.2">
      <c r="B5" s="19"/>
      <c r="L5" s="19"/>
    </row>
    <row r="6" spans="2:87" ht="12" hidden="1" customHeight="1" x14ac:dyDescent="0.2">
      <c r="B6" s="19"/>
      <c r="D6" s="26" t="s">
        <v>16</v>
      </c>
      <c r="L6" s="19"/>
    </row>
    <row r="7" spans="2:87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87" ht="12.75" hidden="1" x14ac:dyDescent="0.2">
      <c r="B8" s="19"/>
      <c r="D8" s="26" t="s">
        <v>244</v>
      </c>
      <c r="L8" s="19"/>
    </row>
    <row r="9" spans="2:87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87" ht="12" hidden="1" customHeight="1" x14ac:dyDescent="0.2">
      <c r="B10" s="19"/>
      <c r="D10" s="26" t="s">
        <v>246</v>
      </c>
      <c r="L10" s="19"/>
    </row>
    <row r="11" spans="2:87" s="1" customFormat="1" ht="16.5" hidden="1" customHeight="1" x14ac:dyDescent="0.2">
      <c r="B11" s="31"/>
      <c r="E11" s="401" t="s">
        <v>2132</v>
      </c>
      <c r="F11" s="433"/>
      <c r="G11" s="433"/>
      <c r="H11" s="433"/>
      <c r="L11" s="31"/>
    </row>
    <row r="12" spans="2:87" s="1" customFormat="1" ht="12" hidden="1" customHeight="1" x14ac:dyDescent="0.2">
      <c r="B12" s="31"/>
      <c r="D12" s="26" t="s">
        <v>1790</v>
      </c>
      <c r="L12" s="31"/>
    </row>
    <row r="13" spans="2:87" s="1" customFormat="1" ht="16.5" hidden="1" customHeight="1" x14ac:dyDescent="0.2">
      <c r="B13" s="31"/>
      <c r="E13" s="432" t="s">
        <v>2202</v>
      </c>
      <c r="F13" s="433"/>
      <c r="G13" s="433"/>
      <c r="H13" s="433"/>
      <c r="L13" s="31"/>
    </row>
    <row r="14" spans="2:87" s="1" customFormat="1" hidden="1" x14ac:dyDescent="0.2">
      <c r="B14" s="31"/>
      <c r="L14" s="31"/>
    </row>
    <row r="15" spans="2:87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87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hidden="1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hidden="1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ROUND(J119, 2)</f>
        <v>80559.929999999993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ROUND((SUM(CT119:CT173)),  2)</f>
        <v>80559.929999999993</v>
      </c>
      <c r="I37" s="84">
        <v>0.21</v>
      </c>
      <c r="J37" s="71">
        <f>ROUND(((SUM(CT119:CT173))*I37),  2)</f>
        <v>16917.59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ROUND((SUM(CU119:CU173)),  2)</f>
        <v>0</v>
      </c>
      <c r="I38" s="84">
        <v>0.15</v>
      </c>
      <c r="J38" s="71">
        <f>ROUND(((SUM(CU119:CU173))*I38),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ROUND((SUM(CV119:CV173)),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ROUND((SUM(CW119:CW173)),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ROUND((SUM(CX119:CX173)),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97477.51999999999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2132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0003 - DSO 07.3 Čerpací stanice ČS8 - přípojka NN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88" s="1" customFormat="1" ht="10.35" hidden="1" customHeight="1" x14ac:dyDescent="0.2">
      <c r="B97" s="31"/>
      <c r="L97" s="31"/>
    </row>
    <row r="98" spans="2:88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88" s="1" customFormat="1" ht="10.35" hidden="1" customHeight="1" x14ac:dyDescent="0.2">
      <c r="B99" s="31"/>
      <c r="L99" s="31"/>
    </row>
    <row r="100" spans="2:88" s="1" customFormat="1" ht="22.9" hidden="1" customHeight="1" x14ac:dyDescent="0.2">
      <c r="B100" s="31"/>
      <c r="C100" s="95" t="s">
        <v>256</v>
      </c>
      <c r="J100" s="58">
        <f>J119</f>
        <v>80559.929999999993</v>
      </c>
      <c r="L100" s="31"/>
      <c r="CJ100" s="16" t="s">
        <v>257</v>
      </c>
    </row>
    <row r="101" spans="2:88" s="7" customFormat="1" ht="24.95" hidden="1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J120</f>
        <v>80559.929999999993</v>
      </c>
      <c r="L101" s="96"/>
    </row>
    <row r="102" spans="2:88" s="8" customFormat="1" ht="19.899999999999999" hidden="1" customHeight="1" x14ac:dyDescent="0.2">
      <c r="B102" s="100"/>
      <c r="D102" s="101" t="s">
        <v>1975</v>
      </c>
      <c r="E102" s="102"/>
      <c r="F102" s="102"/>
      <c r="G102" s="102"/>
      <c r="H102" s="102"/>
      <c r="I102" s="102"/>
      <c r="J102" s="103">
        <f>J122</f>
        <v>14436.94</v>
      </c>
      <c r="L102" s="100"/>
    </row>
    <row r="103" spans="2:88" s="8" customFormat="1" ht="19.899999999999999" hidden="1" customHeight="1" x14ac:dyDescent="0.2">
      <c r="B103" s="100"/>
      <c r="D103" s="101" t="s">
        <v>1976</v>
      </c>
      <c r="E103" s="102"/>
      <c r="F103" s="102"/>
      <c r="G103" s="102"/>
      <c r="H103" s="102"/>
      <c r="I103" s="102"/>
      <c r="J103" s="103">
        <f>J125</f>
        <v>15943.240000000002</v>
      </c>
      <c r="L103" s="100"/>
    </row>
    <row r="104" spans="2:88" s="8" customFormat="1" ht="19.899999999999999" hidden="1" customHeight="1" x14ac:dyDescent="0.2">
      <c r="B104" s="100"/>
      <c r="D104" s="101" t="s">
        <v>1977</v>
      </c>
      <c r="E104" s="102"/>
      <c r="F104" s="102"/>
      <c r="G104" s="102"/>
      <c r="H104" s="102"/>
      <c r="I104" s="102"/>
      <c r="J104" s="103">
        <f>J144</f>
        <v>34598.049999999996</v>
      </c>
      <c r="L104" s="100"/>
    </row>
    <row r="105" spans="2:88" s="8" customFormat="1" ht="19.899999999999999" hidden="1" customHeight="1" x14ac:dyDescent="0.2">
      <c r="B105" s="100"/>
      <c r="D105" s="101" t="s">
        <v>1978</v>
      </c>
      <c r="E105" s="102"/>
      <c r="F105" s="102"/>
      <c r="G105" s="102"/>
      <c r="H105" s="102"/>
      <c r="I105" s="102"/>
      <c r="J105" s="103">
        <f>J165</f>
        <v>15581.7</v>
      </c>
      <c r="L105" s="100"/>
    </row>
    <row r="106" spans="2:88" s="1" customFormat="1" ht="21.75" hidden="1" customHeight="1" x14ac:dyDescent="0.2">
      <c r="B106" s="31"/>
      <c r="L106" s="31"/>
    </row>
    <row r="107" spans="2:88" s="1" customFormat="1" ht="6.95" hidden="1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08" spans="2:88" hidden="1" x14ac:dyDescent="0.2"/>
    <row r="109" spans="2:88" hidden="1" x14ac:dyDescent="0.2"/>
    <row r="111" spans="2:88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88" s="1" customFormat="1" ht="24.95" customHeight="1" x14ac:dyDescent="0.2">
      <c r="B112" s="31"/>
      <c r="C112" s="20" t="s">
        <v>267</v>
      </c>
      <c r="L112" s="31"/>
    </row>
    <row r="113" spans="2:106" s="1" customFormat="1" ht="6.95" customHeight="1" x14ac:dyDescent="0.2">
      <c r="B113" s="31"/>
      <c r="L113" s="31"/>
    </row>
    <row r="114" spans="2:106" s="1" customFormat="1" ht="16.5" customHeight="1" x14ac:dyDescent="0.2">
      <c r="B114" s="31"/>
      <c r="E114" s="432" t="str">
        <f>E13</f>
        <v>0003 - DSO 07.3 Čerpací stanice ČS8 - přípojka NN</v>
      </c>
      <c r="F114" s="433"/>
      <c r="G114" s="433"/>
      <c r="H114" s="433"/>
      <c r="L114" s="31"/>
    </row>
    <row r="115" spans="2:106" s="1" customFormat="1" ht="6.95" customHeight="1" x14ac:dyDescent="0.2">
      <c r="B115" s="31"/>
      <c r="L115" s="31"/>
    </row>
    <row r="116" spans="2:106" s="1" customFormat="1" ht="15.2" customHeight="1" x14ac:dyDescent="0.2">
      <c r="B116" s="31"/>
      <c r="C116" s="26"/>
      <c r="F116" s="24"/>
      <c r="I116" s="26"/>
      <c r="J116" s="29"/>
      <c r="L116" s="31"/>
    </row>
    <row r="117" spans="2:106" s="1" customFormat="1" ht="28.5" customHeight="1" x14ac:dyDescent="0.2">
      <c r="B117" s="31"/>
      <c r="G117" s="446" t="s">
        <v>3305</v>
      </c>
      <c r="H117" s="446"/>
      <c r="I117" s="446"/>
      <c r="J117" s="446"/>
      <c r="K117" s="447"/>
      <c r="L117" s="31"/>
    </row>
    <row r="118" spans="2:106" s="9" customFormat="1" ht="29.25" customHeight="1" thickBot="1" x14ac:dyDescent="0.25">
      <c r="B118" s="104"/>
      <c r="C118" s="105" t="s">
        <v>268</v>
      </c>
      <c r="D118" s="106" t="s">
        <v>59</v>
      </c>
      <c r="E118" s="106" t="s">
        <v>55</v>
      </c>
      <c r="F118" s="106" t="s">
        <v>56</v>
      </c>
      <c r="G118" s="106" t="s">
        <v>269</v>
      </c>
      <c r="H118" s="106" t="s">
        <v>270</v>
      </c>
      <c r="I118" s="106" t="s">
        <v>271</v>
      </c>
      <c r="J118" s="106" t="s">
        <v>255</v>
      </c>
      <c r="K118" s="107" t="s">
        <v>272</v>
      </c>
      <c r="L118" s="437" t="s">
        <v>3307</v>
      </c>
      <c r="M118" s="438"/>
      <c r="N118" s="438"/>
      <c r="O118" s="438"/>
      <c r="P118" s="438"/>
      <c r="Q118" s="439"/>
      <c r="BB118" s="52" t="s">
        <v>1</v>
      </c>
      <c r="BC118" s="53" t="s">
        <v>39</v>
      </c>
      <c r="BD118" s="53" t="s">
        <v>273</v>
      </c>
      <c r="BE118" s="53" t="s">
        <v>274</v>
      </c>
      <c r="BF118" s="53" t="s">
        <v>275</v>
      </c>
      <c r="BG118" s="53" t="s">
        <v>276</v>
      </c>
      <c r="BH118" s="53" t="s">
        <v>277</v>
      </c>
      <c r="BI118" s="54" t="s">
        <v>278</v>
      </c>
    </row>
    <row r="119" spans="2:106" s="1" customFormat="1" ht="22.9" customHeight="1" x14ac:dyDescent="0.25">
      <c r="B119" s="31"/>
      <c r="C119" s="57" t="s">
        <v>279</v>
      </c>
      <c r="G119" s="1" t="s">
        <v>3306</v>
      </c>
      <c r="J119" s="108">
        <f>CZ119</f>
        <v>80559.929999999993</v>
      </c>
      <c r="L119" s="440" t="s">
        <v>3308</v>
      </c>
      <c r="M119" s="441"/>
      <c r="N119" s="440" t="s">
        <v>3343</v>
      </c>
      <c r="O119" s="441"/>
      <c r="P119" s="440" t="s">
        <v>3309</v>
      </c>
      <c r="Q119" s="441"/>
      <c r="S119" s="442" t="s">
        <v>3312</v>
      </c>
      <c r="T119" s="443"/>
      <c r="U119" s="443" t="s">
        <v>3313</v>
      </c>
      <c r="V119" s="443"/>
      <c r="W119" s="444" t="s">
        <v>3324</v>
      </c>
      <c r="X119" s="444"/>
      <c r="Y119" s="444" t="s">
        <v>3325</v>
      </c>
      <c r="Z119" s="444"/>
      <c r="AA119" s="444" t="s">
        <v>3326</v>
      </c>
      <c r="AB119" s="444"/>
      <c r="AC119" s="444" t="s">
        <v>3327</v>
      </c>
      <c r="AD119" s="445"/>
      <c r="BB119" s="55"/>
      <c r="BC119" s="49"/>
      <c r="BD119" s="49"/>
      <c r="BE119" s="109">
        <f>BE120</f>
        <v>0</v>
      </c>
      <c r="BF119" s="49"/>
      <c r="BG119" s="109">
        <f>BG120</f>
        <v>0</v>
      </c>
      <c r="BH119" s="49"/>
      <c r="BI119" s="110">
        <f>BI120</f>
        <v>0</v>
      </c>
      <c r="CI119" s="16" t="s">
        <v>73</v>
      </c>
      <c r="CJ119" s="16" t="s">
        <v>257</v>
      </c>
      <c r="CZ119" s="111">
        <f>CZ120</f>
        <v>80559.929999999993</v>
      </c>
    </row>
    <row r="120" spans="2:106" s="10" customFormat="1" ht="25.9" customHeight="1" thickBot="1" x14ac:dyDescent="0.25">
      <c r="B120" s="112"/>
      <c r="D120" s="113" t="s">
        <v>73</v>
      </c>
      <c r="E120" s="114" t="s">
        <v>439</v>
      </c>
      <c r="F120" s="114" t="s">
        <v>1979</v>
      </c>
      <c r="G120" s="10" t="s">
        <v>3306</v>
      </c>
      <c r="I120" s="115"/>
      <c r="J120" s="116">
        <f>CZ120</f>
        <v>80559.929999999993</v>
      </c>
      <c r="L120" s="190" t="s">
        <v>270</v>
      </c>
      <c r="M120" s="190" t="s">
        <v>3310</v>
      </c>
      <c r="N120" s="190" t="s">
        <v>270</v>
      </c>
      <c r="O120" s="190" t="s">
        <v>3310</v>
      </c>
      <c r="P120" s="190" t="s">
        <v>3311</v>
      </c>
      <c r="Q120" s="190" t="s">
        <v>3310</v>
      </c>
      <c r="S120" s="193" t="s">
        <v>270</v>
      </c>
      <c r="T120" s="194" t="s">
        <v>3310</v>
      </c>
      <c r="U120" s="194" t="s">
        <v>270</v>
      </c>
      <c r="V120" s="194" t="s">
        <v>3310</v>
      </c>
      <c r="W120" s="194" t="s">
        <v>270</v>
      </c>
      <c r="X120" s="194" t="s">
        <v>3328</v>
      </c>
      <c r="Y120" s="194" t="s">
        <v>270</v>
      </c>
      <c r="Z120" s="194" t="s">
        <v>3328</v>
      </c>
      <c r="AA120" s="194" t="s">
        <v>270</v>
      </c>
      <c r="AB120" s="194" t="s">
        <v>3328</v>
      </c>
      <c r="AC120" s="194" t="s">
        <v>270</v>
      </c>
      <c r="AD120" s="195" t="s">
        <v>3328</v>
      </c>
      <c r="BB120" s="117"/>
      <c r="BE120" s="118">
        <f>BE122+BE125+BE144+BE165</f>
        <v>0</v>
      </c>
      <c r="BG120" s="118">
        <f>BG122+BG125+BG144+BG165</f>
        <v>0</v>
      </c>
      <c r="BI120" s="119">
        <f>BI122+BI125+BI144+BI165</f>
        <v>0</v>
      </c>
      <c r="CG120" s="113" t="s">
        <v>90</v>
      </c>
      <c r="CI120" s="120" t="s">
        <v>73</v>
      </c>
      <c r="CJ120" s="120" t="s">
        <v>74</v>
      </c>
      <c r="CN120" s="113" t="s">
        <v>282</v>
      </c>
      <c r="CZ120" s="121">
        <f>CZ122+CZ125+CZ144+CZ165</f>
        <v>80559.929999999993</v>
      </c>
    </row>
    <row r="121" spans="2:106" s="10" customFormat="1" ht="25.9" customHeight="1" thickBot="1" x14ac:dyDescent="0.25">
      <c r="B121" s="112"/>
      <c r="D121" s="113"/>
      <c r="E121" s="114"/>
      <c r="F121" s="114"/>
      <c r="G121" s="10" t="s">
        <v>3306</v>
      </c>
      <c r="I121" s="115"/>
      <c r="J121" s="116" t="s">
        <v>3306</v>
      </c>
      <c r="L121" s="191"/>
      <c r="M121" s="192">
        <f>M122+M125+M144+M165</f>
        <v>0</v>
      </c>
      <c r="N121" s="208"/>
      <c r="O121" s="208">
        <f t="shared" ref="O121:Q121" si="0">O122+O125+O144+O165</f>
        <v>0</v>
      </c>
      <c r="P121" s="192"/>
      <c r="Q121" s="192">
        <f t="shared" si="0"/>
        <v>80559.929999999993</v>
      </c>
      <c r="S121" s="196"/>
      <c r="T121" s="197">
        <f>T122+T125+T144+T165</f>
        <v>0</v>
      </c>
      <c r="U121" s="197"/>
      <c r="V121" s="197">
        <f t="shared" ref="V121:AD121" si="1">V122+V125+V144+V165</f>
        <v>80559.929999999993</v>
      </c>
      <c r="W121" s="197"/>
      <c r="X121" s="197">
        <f t="shared" si="1"/>
        <v>0</v>
      </c>
      <c r="Y121" s="197"/>
      <c r="Z121" s="197">
        <f t="shared" si="1"/>
        <v>0</v>
      </c>
      <c r="AA121" s="197"/>
      <c r="AB121" s="197">
        <f t="shared" si="1"/>
        <v>0</v>
      </c>
      <c r="AC121" s="197"/>
      <c r="AD121" s="197">
        <f t="shared" si="1"/>
        <v>0</v>
      </c>
      <c r="BB121" s="117"/>
      <c r="BE121" s="118"/>
      <c r="BG121" s="118"/>
      <c r="BI121" s="119"/>
      <c r="CG121" s="113"/>
      <c r="CI121" s="120"/>
      <c r="CJ121" s="120"/>
      <c r="CN121" s="113"/>
      <c r="CZ121" s="121"/>
    </row>
    <row r="122" spans="2:106" s="10" customFormat="1" ht="22.9" customHeight="1" x14ac:dyDescent="0.2">
      <c r="B122" s="112"/>
      <c r="D122" s="113" t="s">
        <v>73</v>
      </c>
      <c r="E122" s="122" t="s">
        <v>1980</v>
      </c>
      <c r="F122" s="122" t="s">
        <v>1981</v>
      </c>
      <c r="G122" s="10" t="s">
        <v>3306</v>
      </c>
      <c r="I122" s="115"/>
      <c r="J122" s="123">
        <f>CZ122</f>
        <v>14436.94</v>
      </c>
      <c r="L122" s="112"/>
      <c r="M122" s="270">
        <f>M123</f>
        <v>0</v>
      </c>
      <c r="N122" s="299"/>
      <c r="O122" s="300">
        <f t="shared" ref="O122:V122" si="2">O123</f>
        <v>0</v>
      </c>
      <c r="P122" s="270"/>
      <c r="Q122" s="286">
        <f t="shared" si="2"/>
        <v>14436.94</v>
      </c>
      <c r="R122" s="270"/>
      <c r="S122" s="270"/>
      <c r="T122" s="270">
        <f t="shared" si="2"/>
        <v>0</v>
      </c>
      <c r="U122" s="270"/>
      <c r="V122" s="270">
        <f t="shared" si="2"/>
        <v>14436.94</v>
      </c>
      <c r="BB122" s="117"/>
      <c r="BE122" s="118">
        <f>SUM(BE123:BE124)</f>
        <v>0</v>
      </c>
      <c r="BG122" s="118">
        <f>SUM(BG123:BG124)</f>
        <v>0</v>
      </c>
      <c r="BI122" s="119">
        <f>SUM(BI123:BI124)</f>
        <v>0</v>
      </c>
      <c r="CG122" s="113" t="s">
        <v>81</v>
      </c>
      <c r="CI122" s="120" t="s">
        <v>73</v>
      </c>
      <c r="CJ122" s="120" t="s">
        <v>81</v>
      </c>
      <c r="CN122" s="113" t="s">
        <v>282</v>
      </c>
      <c r="CZ122" s="121">
        <f>SUM(CZ123:CZ124)</f>
        <v>14436.94</v>
      </c>
    </row>
    <row r="123" spans="2:106" s="1" customFormat="1" ht="37.9" customHeight="1" x14ac:dyDescent="0.2">
      <c r="B123" s="124"/>
      <c r="C123" s="125" t="s">
        <v>81</v>
      </c>
      <c r="D123" s="125" t="s">
        <v>284</v>
      </c>
      <c r="E123" s="126" t="s">
        <v>1982</v>
      </c>
      <c r="F123" s="127" t="s">
        <v>1983</v>
      </c>
      <c r="G123" s="128" t="s">
        <v>315</v>
      </c>
      <c r="H123" s="129">
        <v>1</v>
      </c>
      <c r="I123" s="130">
        <v>14436.940730765</v>
      </c>
      <c r="J123" s="131">
        <f>ROUND(I123*H123,2)</f>
        <v>14436.94</v>
      </c>
      <c r="K123" s="127" t="s">
        <v>1</v>
      </c>
      <c r="L123" s="268">
        <f>S123</f>
        <v>0</v>
      </c>
      <c r="M123" s="272">
        <f>ROUND(L123*I123,2)</f>
        <v>0</v>
      </c>
      <c r="N123" s="243"/>
      <c r="O123" s="294">
        <f>ROUND(N123*I123,2)</f>
        <v>0</v>
      </c>
      <c r="P123" s="273">
        <f>H123-L123-N123</f>
        <v>1</v>
      </c>
      <c r="Q123" s="287">
        <f>ROUND(P123*I123,2)</f>
        <v>14436.94</v>
      </c>
      <c r="R123" s="137"/>
      <c r="S123" s="269">
        <f>W123+Y123+AA123+AC123</f>
        <v>0</v>
      </c>
      <c r="T123" s="269">
        <f>ROUND(S123*I123,2)</f>
        <v>0</v>
      </c>
      <c r="U123" s="269">
        <f>H123-S123</f>
        <v>1</v>
      </c>
      <c r="V123" s="269">
        <f>ROUND(U123*I123,2)</f>
        <v>14436.94</v>
      </c>
      <c r="W123" s="269"/>
      <c r="X123" s="269"/>
      <c r="Y123" s="269"/>
      <c r="Z123" s="269"/>
      <c r="AA123" s="269"/>
      <c r="AB123" s="269"/>
      <c r="AC123" s="269"/>
      <c r="AD123" s="269"/>
      <c r="BB123" s="132" t="s">
        <v>1</v>
      </c>
      <c r="BC123" s="133" t="s">
        <v>40</v>
      </c>
      <c r="BE123" s="134">
        <f>BD123*H123</f>
        <v>0</v>
      </c>
      <c r="BF123" s="134">
        <v>0</v>
      </c>
      <c r="BG123" s="134">
        <f>BF123*H123</f>
        <v>0</v>
      </c>
      <c r="BH123" s="134">
        <v>0</v>
      </c>
      <c r="BI123" s="135">
        <f>BH123*H123</f>
        <v>0</v>
      </c>
      <c r="CG123" s="136" t="s">
        <v>95</v>
      </c>
      <c r="CI123" s="136" t="s">
        <v>284</v>
      </c>
      <c r="CJ123" s="136" t="s">
        <v>83</v>
      </c>
      <c r="CN123" s="16" t="s">
        <v>282</v>
      </c>
      <c r="CT123" s="137">
        <f>IF(BC123="základní",J123,0)</f>
        <v>14436.94</v>
      </c>
      <c r="CU123" s="137">
        <f>IF(BC123="snížená",J123,0)</f>
        <v>0</v>
      </c>
      <c r="CV123" s="137">
        <f>IF(BC123="zákl. přenesená",J123,0)</f>
        <v>0</v>
      </c>
      <c r="CW123" s="137">
        <f>IF(BC123="sníž. přenesená",J123,0)</f>
        <v>0</v>
      </c>
      <c r="CX123" s="137">
        <f>IF(BC123="nulová",J123,0)</f>
        <v>0</v>
      </c>
      <c r="CY123" s="16" t="s">
        <v>81</v>
      </c>
      <c r="CZ123" s="137">
        <f>ROUND(I123*H123,2)</f>
        <v>14436.94</v>
      </c>
      <c r="DA123" s="16" t="s">
        <v>95</v>
      </c>
      <c r="DB123" s="136" t="s">
        <v>83</v>
      </c>
    </row>
    <row r="124" spans="2:106" s="1" customFormat="1" ht="29.25" x14ac:dyDescent="0.2">
      <c r="B124" s="31"/>
      <c r="D124" s="138" t="s">
        <v>289</v>
      </c>
      <c r="F124" s="139" t="s">
        <v>1984</v>
      </c>
      <c r="I124" s="140"/>
      <c r="L124" s="31"/>
      <c r="N124" s="213"/>
      <c r="O124" s="214"/>
      <c r="Q124" s="229"/>
      <c r="BB124" s="141"/>
      <c r="BI124" s="50"/>
      <c r="CI124" s="16" t="s">
        <v>289</v>
      </c>
      <c r="CJ124" s="16" t="s">
        <v>83</v>
      </c>
    </row>
    <row r="125" spans="2:106" s="10" customFormat="1" ht="22.9" customHeight="1" x14ac:dyDescent="0.2">
      <c r="B125" s="112"/>
      <c r="D125" s="113" t="s">
        <v>73</v>
      </c>
      <c r="E125" s="122" t="s">
        <v>1985</v>
      </c>
      <c r="F125" s="122" t="s">
        <v>1986</v>
      </c>
      <c r="I125" s="115"/>
      <c r="J125" s="123">
        <f>CZ125</f>
        <v>15943.240000000002</v>
      </c>
      <c r="L125" s="112"/>
      <c r="M125" s="270">
        <f>SUM(M126:M142)</f>
        <v>0</v>
      </c>
      <c r="N125" s="301"/>
      <c r="O125" s="302">
        <f t="shared" ref="O125:V125" si="3">SUM(O126:O142)</f>
        <v>0</v>
      </c>
      <c r="P125" s="270"/>
      <c r="Q125" s="288">
        <f t="shared" si="3"/>
        <v>15943.240000000002</v>
      </c>
      <c r="R125" s="270"/>
      <c r="S125" s="270"/>
      <c r="T125" s="270">
        <f t="shared" si="3"/>
        <v>0</v>
      </c>
      <c r="U125" s="270"/>
      <c r="V125" s="270">
        <f t="shared" si="3"/>
        <v>15943.240000000002</v>
      </c>
      <c r="BB125" s="117"/>
      <c r="BE125" s="118">
        <f>SUM(BE126:BE143)</f>
        <v>0</v>
      </c>
      <c r="BG125" s="118">
        <f>SUM(BG126:BG143)</f>
        <v>0</v>
      </c>
      <c r="BI125" s="119">
        <f>SUM(BI126:BI143)</f>
        <v>0</v>
      </c>
      <c r="CG125" s="113" t="s">
        <v>81</v>
      </c>
      <c r="CI125" s="120" t="s">
        <v>73</v>
      </c>
      <c r="CJ125" s="120" t="s">
        <v>81</v>
      </c>
      <c r="CN125" s="113" t="s">
        <v>282</v>
      </c>
      <c r="CZ125" s="121">
        <f>SUM(CZ126:CZ143)</f>
        <v>15943.240000000002</v>
      </c>
    </row>
    <row r="126" spans="2:106" s="1" customFormat="1" ht="14.45" customHeight="1" x14ac:dyDescent="0.2">
      <c r="B126" s="124"/>
      <c r="C126" s="125" t="s">
        <v>83</v>
      </c>
      <c r="D126" s="125" t="s">
        <v>284</v>
      </c>
      <c r="E126" s="126" t="s">
        <v>1987</v>
      </c>
      <c r="F126" s="127" t="s">
        <v>1988</v>
      </c>
      <c r="G126" s="128" t="s">
        <v>344</v>
      </c>
      <c r="H126" s="129">
        <v>25</v>
      </c>
      <c r="I126" s="130">
        <v>200.77183977199999</v>
      </c>
      <c r="J126" s="131">
        <f>ROUND(I126*H126,2)</f>
        <v>5019.3</v>
      </c>
      <c r="K126" s="127" t="s">
        <v>1</v>
      </c>
      <c r="L126" s="268">
        <f>S126</f>
        <v>0</v>
      </c>
      <c r="M126" s="272">
        <f>ROUND(L126*I126,2)</f>
        <v>0</v>
      </c>
      <c r="N126" s="243"/>
      <c r="O126" s="294">
        <f>ROUND(N126*I126,2)</f>
        <v>0</v>
      </c>
      <c r="P126" s="273">
        <f>H126-L126-N126</f>
        <v>25</v>
      </c>
      <c r="Q126" s="287">
        <f>ROUND(P126*I126,2)</f>
        <v>5019.3</v>
      </c>
      <c r="R126" s="137"/>
      <c r="S126" s="269">
        <f>W126+Y126+AA126+AC126</f>
        <v>0</v>
      </c>
      <c r="T126" s="269">
        <f>ROUND(S126*I126,2)</f>
        <v>0</v>
      </c>
      <c r="U126" s="269">
        <f>H126-S126</f>
        <v>25</v>
      </c>
      <c r="V126" s="269">
        <f>ROUND(U126*I126,2)</f>
        <v>5019.3</v>
      </c>
      <c r="W126" s="269"/>
      <c r="X126" s="269"/>
      <c r="Y126" s="269"/>
      <c r="Z126" s="269"/>
      <c r="AA126" s="269"/>
      <c r="AB126" s="269"/>
      <c r="AC126" s="269"/>
      <c r="AD126" s="269"/>
      <c r="BB126" s="132" t="s">
        <v>1</v>
      </c>
      <c r="BC126" s="133" t="s">
        <v>40</v>
      </c>
      <c r="BE126" s="134">
        <f>BD126*H126</f>
        <v>0</v>
      </c>
      <c r="BF126" s="134">
        <v>0</v>
      </c>
      <c r="BG126" s="134">
        <f>BF126*H126</f>
        <v>0</v>
      </c>
      <c r="BH126" s="134">
        <v>0</v>
      </c>
      <c r="BI126" s="135">
        <f>BH126*H126</f>
        <v>0</v>
      </c>
      <c r="CG126" s="136" t="s">
        <v>95</v>
      </c>
      <c r="CI126" s="136" t="s">
        <v>284</v>
      </c>
      <c r="CJ126" s="136" t="s">
        <v>83</v>
      </c>
      <c r="CN126" s="16" t="s">
        <v>282</v>
      </c>
      <c r="CT126" s="137">
        <f>IF(BC126="základní",J126,0)</f>
        <v>5019.3</v>
      </c>
      <c r="CU126" s="137">
        <f>IF(BC126="snížená",J126,0)</f>
        <v>0</v>
      </c>
      <c r="CV126" s="137">
        <f>IF(BC126="zákl. přenesená",J126,0)</f>
        <v>0</v>
      </c>
      <c r="CW126" s="137">
        <f>IF(BC126="sníž. přenesená",J126,0)</f>
        <v>0</v>
      </c>
      <c r="CX126" s="137">
        <f>IF(BC126="nulová",J126,0)</f>
        <v>0</v>
      </c>
      <c r="CY126" s="16" t="s">
        <v>81</v>
      </c>
      <c r="CZ126" s="137">
        <f>ROUND(I126*H126,2)</f>
        <v>5019.3</v>
      </c>
      <c r="DA126" s="16" t="s">
        <v>95</v>
      </c>
      <c r="DB126" s="136" t="s">
        <v>318</v>
      </c>
    </row>
    <row r="127" spans="2:106" s="1" customFormat="1" x14ac:dyDescent="0.2">
      <c r="B127" s="31"/>
      <c r="D127" s="138" t="s">
        <v>289</v>
      </c>
      <c r="F127" s="139" t="s">
        <v>1989</v>
      </c>
      <c r="I127" s="140"/>
      <c r="L127" s="31"/>
      <c r="N127" s="213"/>
      <c r="O127" s="214"/>
      <c r="Q127" s="229"/>
      <c r="BB127" s="141"/>
      <c r="BI127" s="50"/>
      <c r="CI127" s="16" t="s">
        <v>289</v>
      </c>
      <c r="CJ127" s="16" t="s">
        <v>83</v>
      </c>
    </row>
    <row r="128" spans="2:106" s="1" customFormat="1" ht="14.45" customHeight="1" x14ac:dyDescent="0.2">
      <c r="B128" s="124"/>
      <c r="C128" s="125" t="s">
        <v>90</v>
      </c>
      <c r="D128" s="125" t="s">
        <v>284</v>
      </c>
      <c r="E128" s="126" t="s">
        <v>1990</v>
      </c>
      <c r="F128" s="127" t="s">
        <v>1991</v>
      </c>
      <c r="G128" s="128" t="s">
        <v>344</v>
      </c>
      <c r="H128" s="129">
        <v>5</v>
      </c>
      <c r="I128" s="130">
        <v>172.92369819199999</v>
      </c>
      <c r="J128" s="131">
        <f>ROUND(I128*H128,2)</f>
        <v>864.62</v>
      </c>
      <c r="K128" s="127" t="s">
        <v>1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5</v>
      </c>
      <c r="Q128" s="287">
        <f>ROUND(P128*I128,2)</f>
        <v>864.62</v>
      </c>
      <c r="R128" s="137"/>
      <c r="S128" s="269">
        <f>W128+Y128+AA128+AC128</f>
        <v>0</v>
      </c>
      <c r="T128" s="269">
        <f>ROUND(S128*I128,2)</f>
        <v>0</v>
      </c>
      <c r="U128" s="269">
        <f>H128-S128</f>
        <v>5</v>
      </c>
      <c r="V128" s="269">
        <f>ROUND(U128*I128,2)</f>
        <v>864.62</v>
      </c>
      <c r="W128" s="269"/>
      <c r="X128" s="269"/>
      <c r="Y128" s="269"/>
      <c r="Z128" s="269"/>
      <c r="AA128" s="269"/>
      <c r="AB128" s="269"/>
      <c r="AC128" s="269"/>
      <c r="AD128" s="269"/>
      <c r="BB128" s="132" t="s">
        <v>1</v>
      </c>
      <c r="BC128" s="133" t="s">
        <v>40</v>
      </c>
      <c r="BE128" s="134">
        <f>BD128*H128</f>
        <v>0</v>
      </c>
      <c r="BF128" s="134">
        <v>0</v>
      </c>
      <c r="BG128" s="134">
        <f>BF128*H128</f>
        <v>0</v>
      </c>
      <c r="BH128" s="134">
        <v>0</v>
      </c>
      <c r="BI128" s="135">
        <f>BH128*H128</f>
        <v>0</v>
      </c>
      <c r="CG128" s="136" t="s">
        <v>95</v>
      </c>
      <c r="CI128" s="136" t="s">
        <v>284</v>
      </c>
      <c r="CJ128" s="136" t="s">
        <v>83</v>
      </c>
      <c r="CN128" s="16" t="s">
        <v>282</v>
      </c>
      <c r="CT128" s="137">
        <f>IF(BC128="základní",J128,0)</f>
        <v>864.62</v>
      </c>
      <c r="CU128" s="137">
        <f>IF(BC128="snížená",J128,0)</f>
        <v>0</v>
      </c>
      <c r="CV128" s="137">
        <f>IF(BC128="zákl. přenesená",J128,0)</f>
        <v>0</v>
      </c>
      <c r="CW128" s="137">
        <f>IF(BC128="sníž. přenesená",J128,0)</f>
        <v>0</v>
      </c>
      <c r="CX128" s="137">
        <f>IF(BC128="nulová",J128,0)</f>
        <v>0</v>
      </c>
      <c r="CY128" s="16" t="s">
        <v>81</v>
      </c>
      <c r="CZ128" s="137">
        <f>ROUND(I128*H128,2)</f>
        <v>864.62</v>
      </c>
      <c r="DA128" s="16" t="s">
        <v>95</v>
      </c>
      <c r="DB128" s="136" t="s">
        <v>328</v>
      </c>
    </row>
    <row r="129" spans="2:106" s="1" customFormat="1" x14ac:dyDescent="0.2">
      <c r="B129" s="31"/>
      <c r="D129" s="138" t="s">
        <v>289</v>
      </c>
      <c r="F129" s="139" t="s">
        <v>1992</v>
      </c>
      <c r="I129" s="140"/>
      <c r="L129" s="31"/>
      <c r="N129" s="213"/>
      <c r="O129" s="214"/>
      <c r="Q129" s="229"/>
      <c r="BB129" s="141"/>
      <c r="BI129" s="50"/>
      <c r="CI129" s="16" t="s">
        <v>289</v>
      </c>
      <c r="CJ129" s="16" t="s">
        <v>83</v>
      </c>
    </row>
    <row r="130" spans="2:106" s="1" customFormat="1" ht="24.2" customHeight="1" x14ac:dyDescent="0.2">
      <c r="B130" s="124"/>
      <c r="C130" s="125" t="s">
        <v>95</v>
      </c>
      <c r="D130" s="125" t="s">
        <v>284</v>
      </c>
      <c r="E130" s="126" t="s">
        <v>1993</v>
      </c>
      <c r="F130" s="127" t="s">
        <v>1994</v>
      </c>
      <c r="G130" s="128" t="s">
        <v>315</v>
      </c>
      <c r="H130" s="129">
        <v>2</v>
      </c>
      <c r="I130" s="130">
        <v>124.388365724</v>
      </c>
      <c r="J130" s="131">
        <f>ROUND(I130*H130,2)</f>
        <v>248.78</v>
      </c>
      <c r="K130" s="127" t="s">
        <v>1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2</v>
      </c>
      <c r="Q130" s="287">
        <f>ROUND(P130*I130,2)</f>
        <v>248.78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2</v>
      </c>
      <c r="V130" s="269">
        <f>ROUND(U130*I130,2)</f>
        <v>248.78</v>
      </c>
      <c r="W130" s="269"/>
      <c r="X130" s="269"/>
      <c r="Y130" s="269"/>
      <c r="Z130" s="269"/>
      <c r="AA130" s="269"/>
      <c r="AB130" s="269"/>
      <c r="AC130" s="269"/>
      <c r="AD130" s="269"/>
      <c r="BB130" s="132" t="s">
        <v>1</v>
      </c>
      <c r="BC130" s="133" t="s">
        <v>40</v>
      </c>
      <c r="BE130" s="134">
        <f>BD130*H130</f>
        <v>0</v>
      </c>
      <c r="BF130" s="134">
        <v>0</v>
      </c>
      <c r="BG130" s="134">
        <f>BF130*H130</f>
        <v>0</v>
      </c>
      <c r="BH130" s="134">
        <v>0</v>
      </c>
      <c r="BI130" s="135">
        <f>BH130*H130</f>
        <v>0</v>
      </c>
      <c r="CG130" s="136" t="s">
        <v>95</v>
      </c>
      <c r="CI130" s="136" t="s">
        <v>284</v>
      </c>
      <c r="CJ130" s="136" t="s">
        <v>83</v>
      </c>
      <c r="CN130" s="16" t="s">
        <v>282</v>
      </c>
      <c r="CT130" s="137">
        <f>IF(BC130="základní",J130,0)</f>
        <v>248.78</v>
      </c>
      <c r="CU130" s="137">
        <f>IF(BC130="snížená",J130,0)</f>
        <v>0</v>
      </c>
      <c r="CV130" s="137">
        <f>IF(BC130="zákl. přenesená",J130,0)</f>
        <v>0</v>
      </c>
      <c r="CW130" s="137">
        <f>IF(BC130="sníž. přenesená",J130,0)</f>
        <v>0</v>
      </c>
      <c r="CX130" s="137">
        <f>IF(BC130="nulová",J130,0)</f>
        <v>0</v>
      </c>
      <c r="CY130" s="16" t="s">
        <v>81</v>
      </c>
      <c r="CZ130" s="137">
        <f>ROUND(I130*H130,2)</f>
        <v>248.78</v>
      </c>
      <c r="DA130" s="16" t="s">
        <v>95</v>
      </c>
      <c r="DB130" s="136" t="s">
        <v>341</v>
      </c>
    </row>
    <row r="131" spans="2:106" s="1" customFormat="1" x14ac:dyDescent="0.2">
      <c r="B131" s="31"/>
      <c r="D131" s="138" t="s">
        <v>289</v>
      </c>
      <c r="F131" s="139" t="s">
        <v>1995</v>
      </c>
      <c r="I131" s="140"/>
      <c r="L131" s="31"/>
      <c r="N131" s="213"/>
      <c r="O131" s="214"/>
      <c r="Q131" s="229"/>
      <c r="BB131" s="141"/>
      <c r="BI131" s="50"/>
      <c r="CI131" s="16" t="s">
        <v>289</v>
      </c>
      <c r="CJ131" s="16" t="s">
        <v>83</v>
      </c>
    </row>
    <row r="132" spans="2:106" s="1" customFormat="1" ht="24.2" customHeight="1" x14ac:dyDescent="0.2">
      <c r="B132" s="124"/>
      <c r="C132" s="125" t="s">
        <v>312</v>
      </c>
      <c r="D132" s="125" t="s">
        <v>284</v>
      </c>
      <c r="E132" s="126" t="s">
        <v>1996</v>
      </c>
      <c r="F132" s="127" t="s">
        <v>1997</v>
      </c>
      <c r="G132" s="128" t="s">
        <v>344</v>
      </c>
      <c r="H132" s="129">
        <v>25</v>
      </c>
      <c r="I132" s="130">
        <v>227.596988396</v>
      </c>
      <c r="J132" s="131">
        <f>ROUND(I132*H132,2)</f>
        <v>5689.92</v>
      </c>
      <c r="K132" s="127" t="s">
        <v>1</v>
      </c>
      <c r="L132" s="268">
        <f>S132</f>
        <v>0</v>
      </c>
      <c r="M132" s="272">
        <f>ROUND(L132*I132,2)</f>
        <v>0</v>
      </c>
      <c r="N132" s="243"/>
      <c r="O132" s="294">
        <f>ROUND(N132*I132,2)</f>
        <v>0</v>
      </c>
      <c r="P132" s="273">
        <f>H132-L132-N132</f>
        <v>25</v>
      </c>
      <c r="Q132" s="287">
        <f>ROUND(P132*I132,2)</f>
        <v>5689.92</v>
      </c>
      <c r="R132" s="137"/>
      <c r="S132" s="269">
        <f>W132+Y132+AA132+AC132</f>
        <v>0</v>
      </c>
      <c r="T132" s="269">
        <f>ROUND(S132*I132,2)</f>
        <v>0</v>
      </c>
      <c r="U132" s="269">
        <f>H132-S132</f>
        <v>25</v>
      </c>
      <c r="V132" s="269">
        <f>ROUND(U132*I132,2)</f>
        <v>5689.92</v>
      </c>
      <c r="W132" s="269"/>
      <c r="X132" s="269"/>
      <c r="Y132" s="269"/>
      <c r="Z132" s="269"/>
      <c r="AA132" s="269"/>
      <c r="AB132" s="269"/>
      <c r="AC132" s="269"/>
      <c r="AD132" s="269"/>
      <c r="BB132" s="132" t="s">
        <v>1</v>
      </c>
      <c r="BC132" s="133" t="s">
        <v>40</v>
      </c>
      <c r="BE132" s="134">
        <f>BD132*H132</f>
        <v>0</v>
      </c>
      <c r="BF132" s="134">
        <v>0</v>
      </c>
      <c r="BG132" s="134">
        <f>BF132*H132</f>
        <v>0</v>
      </c>
      <c r="BH132" s="134">
        <v>0</v>
      </c>
      <c r="BI132" s="135">
        <f>BH132*H132</f>
        <v>0</v>
      </c>
      <c r="CG132" s="136" t="s">
        <v>95</v>
      </c>
      <c r="CI132" s="136" t="s">
        <v>284</v>
      </c>
      <c r="CJ132" s="136" t="s">
        <v>83</v>
      </c>
      <c r="CN132" s="16" t="s">
        <v>282</v>
      </c>
      <c r="CT132" s="137">
        <f>IF(BC132="základní",J132,0)</f>
        <v>5689.92</v>
      </c>
      <c r="CU132" s="137">
        <f>IF(BC132="snížená",J132,0)</f>
        <v>0</v>
      </c>
      <c r="CV132" s="137">
        <f>IF(BC132="zákl. přenesená",J132,0)</f>
        <v>0</v>
      </c>
      <c r="CW132" s="137">
        <f>IF(BC132="sníž. přenesená",J132,0)</f>
        <v>0</v>
      </c>
      <c r="CX132" s="137">
        <f>IF(BC132="nulová",J132,0)</f>
        <v>0</v>
      </c>
      <c r="CY132" s="16" t="s">
        <v>81</v>
      </c>
      <c r="CZ132" s="137">
        <f>ROUND(I132*H132,2)</f>
        <v>5689.92</v>
      </c>
      <c r="DA132" s="16" t="s">
        <v>95</v>
      </c>
      <c r="DB132" s="136" t="s">
        <v>327</v>
      </c>
    </row>
    <row r="133" spans="2:106" s="1" customFormat="1" ht="19.5" x14ac:dyDescent="0.2">
      <c r="B133" s="31"/>
      <c r="D133" s="138" t="s">
        <v>289</v>
      </c>
      <c r="F133" s="139" t="s">
        <v>1998</v>
      </c>
      <c r="I133" s="140"/>
      <c r="L133" s="31"/>
      <c r="N133" s="213"/>
      <c r="O133" s="214"/>
      <c r="Q133" s="229"/>
      <c r="BB133" s="141"/>
      <c r="BI133" s="50"/>
      <c r="CI133" s="16" t="s">
        <v>289</v>
      </c>
      <c r="CJ133" s="16" t="s">
        <v>83</v>
      </c>
    </row>
    <row r="134" spans="2:106" s="1" customFormat="1" ht="14.45" customHeight="1" x14ac:dyDescent="0.2">
      <c r="B134" s="124"/>
      <c r="C134" s="125" t="s">
        <v>318</v>
      </c>
      <c r="D134" s="125" t="s">
        <v>284</v>
      </c>
      <c r="E134" s="126" t="s">
        <v>1999</v>
      </c>
      <c r="F134" s="127" t="s">
        <v>2000</v>
      </c>
      <c r="G134" s="128" t="s">
        <v>344</v>
      </c>
      <c r="H134" s="129">
        <v>25</v>
      </c>
      <c r="I134" s="130">
        <v>76.250863850000002</v>
      </c>
      <c r="J134" s="131">
        <f>ROUND(I134*H134,2)</f>
        <v>1906.27</v>
      </c>
      <c r="K134" s="127" t="s">
        <v>1</v>
      </c>
      <c r="L134" s="268">
        <f>S134</f>
        <v>0</v>
      </c>
      <c r="M134" s="272">
        <f>ROUND(L134*I134,2)</f>
        <v>0</v>
      </c>
      <c r="N134" s="243"/>
      <c r="O134" s="294">
        <f>ROUND(N134*I134,2)</f>
        <v>0</v>
      </c>
      <c r="P134" s="273">
        <f>H134-L134-N134</f>
        <v>25</v>
      </c>
      <c r="Q134" s="287">
        <f>ROUND(P134*I134,2)</f>
        <v>1906.27</v>
      </c>
      <c r="R134" s="137"/>
      <c r="S134" s="269">
        <f>W134+Y134+AA134+AC134</f>
        <v>0</v>
      </c>
      <c r="T134" s="269">
        <f>ROUND(S134*I134,2)</f>
        <v>0</v>
      </c>
      <c r="U134" s="269">
        <f>H134-S134</f>
        <v>25</v>
      </c>
      <c r="V134" s="269">
        <f>ROUND(U134*I134,2)</f>
        <v>1906.27</v>
      </c>
      <c r="W134" s="269"/>
      <c r="X134" s="269"/>
      <c r="Y134" s="269"/>
      <c r="Z134" s="269"/>
      <c r="AA134" s="269"/>
      <c r="AB134" s="269"/>
      <c r="AC134" s="269"/>
      <c r="AD134" s="269"/>
      <c r="BB134" s="132" t="s">
        <v>1</v>
      </c>
      <c r="BC134" s="133" t="s">
        <v>40</v>
      </c>
      <c r="BE134" s="134">
        <f>BD134*H134</f>
        <v>0</v>
      </c>
      <c r="BF134" s="134">
        <v>0</v>
      </c>
      <c r="BG134" s="134">
        <f>BF134*H134</f>
        <v>0</v>
      </c>
      <c r="BH134" s="134">
        <v>0</v>
      </c>
      <c r="BI134" s="135">
        <f>BH134*H134</f>
        <v>0</v>
      </c>
      <c r="CG134" s="136" t="s">
        <v>95</v>
      </c>
      <c r="CI134" s="136" t="s">
        <v>284</v>
      </c>
      <c r="CJ134" s="136" t="s">
        <v>83</v>
      </c>
      <c r="CN134" s="16" t="s">
        <v>282</v>
      </c>
      <c r="CT134" s="137">
        <f>IF(BC134="základní",J134,0)</f>
        <v>1906.27</v>
      </c>
      <c r="CU134" s="137">
        <f>IF(BC134="snížená",J134,0)</f>
        <v>0</v>
      </c>
      <c r="CV134" s="137">
        <f>IF(BC134="zákl. přenesená",J134,0)</f>
        <v>0</v>
      </c>
      <c r="CW134" s="137">
        <f>IF(BC134="sníž. přenesená",J134,0)</f>
        <v>0</v>
      </c>
      <c r="CX134" s="137">
        <f>IF(BC134="nulová",J134,0)</f>
        <v>0</v>
      </c>
      <c r="CY134" s="16" t="s">
        <v>81</v>
      </c>
      <c r="CZ134" s="137">
        <f>ROUND(I134*H134,2)</f>
        <v>1906.27</v>
      </c>
      <c r="DA134" s="16" t="s">
        <v>95</v>
      </c>
      <c r="DB134" s="136" t="s">
        <v>363</v>
      </c>
    </row>
    <row r="135" spans="2:106" s="1" customFormat="1" x14ac:dyDescent="0.2">
      <c r="B135" s="31"/>
      <c r="D135" s="138" t="s">
        <v>289</v>
      </c>
      <c r="F135" s="139" t="s">
        <v>2001</v>
      </c>
      <c r="I135" s="140"/>
      <c r="L135" s="31"/>
      <c r="N135" s="213"/>
      <c r="O135" s="214"/>
      <c r="Q135" s="229"/>
      <c r="BB135" s="141"/>
      <c r="BI135" s="50"/>
      <c r="CI135" s="16" t="s">
        <v>289</v>
      </c>
      <c r="CJ135" s="16" t="s">
        <v>83</v>
      </c>
    </row>
    <row r="136" spans="2:106" s="1" customFormat="1" ht="14.45" customHeight="1" x14ac:dyDescent="0.2">
      <c r="B136" s="124"/>
      <c r="C136" s="125" t="s">
        <v>323</v>
      </c>
      <c r="D136" s="125" t="s">
        <v>284</v>
      </c>
      <c r="E136" s="126" t="s">
        <v>2002</v>
      </c>
      <c r="F136" s="127" t="s">
        <v>2003</v>
      </c>
      <c r="G136" s="128" t="s">
        <v>344</v>
      </c>
      <c r="H136" s="129">
        <v>25</v>
      </c>
      <c r="I136" s="130">
        <v>23.869835639999998</v>
      </c>
      <c r="J136" s="131">
        <f>ROUND(I136*H136,2)</f>
        <v>596.75</v>
      </c>
      <c r="K136" s="127" t="s">
        <v>1</v>
      </c>
      <c r="L136" s="268">
        <f>S136</f>
        <v>0</v>
      </c>
      <c r="M136" s="272">
        <f>ROUND(L136*I136,2)</f>
        <v>0</v>
      </c>
      <c r="N136" s="243"/>
      <c r="O136" s="294">
        <f>ROUND(N136*I136,2)</f>
        <v>0</v>
      </c>
      <c r="P136" s="273">
        <f>H136-L136-N136</f>
        <v>25</v>
      </c>
      <c r="Q136" s="287">
        <f>ROUND(P136*I136,2)</f>
        <v>596.75</v>
      </c>
      <c r="R136" s="137"/>
      <c r="S136" s="269">
        <f>W136+Y136+AA136+AC136</f>
        <v>0</v>
      </c>
      <c r="T136" s="269">
        <f>ROUND(S136*I136,2)</f>
        <v>0</v>
      </c>
      <c r="U136" s="269">
        <f>H136-S136</f>
        <v>25</v>
      </c>
      <c r="V136" s="269">
        <f>ROUND(U136*I136,2)</f>
        <v>596.75</v>
      </c>
      <c r="W136" s="269"/>
      <c r="X136" s="269"/>
      <c r="Y136" s="269"/>
      <c r="Z136" s="269"/>
      <c r="AA136" s="269"/>
      <c r="AB136" s="269"/>
      <c r="AC136" s="269"/>
      <c r="AD136" s="269"/>
      <c r="BB136" s="132" t="s">
        <v>1</v>
      </c>
      <c r="BC136" s="133" t="s">
        <v>40</v>
      </c>
      <c r="BE136" s="134">
        <f>BD136*H136</f>
        <v>0</v>
      </c>
      <c r="BF136" s="134">
        <v>0</v>
      </c>
      <c r="BG136" s="134">
        <f>BF136*H136</f>
        <v>0</v>
      </c>
      <c r="BH136" s="134">
        <v>0</v>
      </c>
      <c r="BI136" s="135">
        <f>BH136*H136</f>
        <v>0</v>
      </c>
      <c r="CG136" s="136" t="s">
        <v>95</v>
      </c>
      <c r="CI136" s="136" t="s">
        <v>284</v>
      </c>
      <c r="CJ136" s="136" t="s">
        <v>83</v>
      </c>
      <c r="CN136" s="16" t="s">
        <v>282</v>
      </c>
      <c r="CT136" s="137">
        <f>IF(BC136="základní",J136,0)</f>
        <v>596.75</v>
      </c>
      <c r="CU136" s="137">
        <f>IF(BC136="snížená",J136,0)</f>
        <v>0</v>
      </c>
      <c r="CV136" s="137">
        <f>IF(BC136="zákl. přenesená",J136,0)</f>
        <v>0</v>
      </c>
      <c r="CW136" s="137">
        <f>IF(BC136="sníž. přenesená",J136,0)</f>
        <v>0</v>
      </c>
      <c r="CX136" s="137">
        <f>IF(BC136="nulová",J136,0)</f>
        <v>0</v>
      </c>
      <c r="CY136" s="16" t="s">
        <v>81</v>
      </c>
      <c r="CZ136" s="137">
        <f>ROUND(I136*H136,2)</f>
        <v>596.75</v>
      </c>
      <c r="DA136" s="16" t="s">
        <v>95</v>
      </c>
      <c r="DB136" s="136" t="s">
        <v>379</v>
      </c>
    </row>
    <row r="137" spans="2:106" s="1" customFormat="1" x14ac:dyDescent="0.2">
      <c r="B137" s="31"/>
      <c r="D137" s="138" t="s">
        <v>289</v>
      </c>
      <c r="F137" s="139" t="s">
        <v>2004</v>
      </c>
      <c r="I137" s="140"/>
      <c r="L137" s="31"/>
      <c r="N137" s="213"/>
      <c r="O137" s="214"/>
      <c r="Q137" s="229"/>
      <c r="BB137" s="141"/>
      <c r="BI137" s="50"/>
      <c r="CI137" s="16" t="s">
        <v>289</v>
      </c>
      <c r="CJ137" s="16" t="s">
        <v>83</v>
      </c>
    </row>
    <row r="138" spans="2:106" s="1" customFormat="1" ht="14.45" customHeight="1" x14ac:dyDescent="0.2">
      <c r="B138" s="124"/>
      <c r="C138" s="125" t="s">
        <v>328</v>
      </c>
      <c r="D138" s="125" t="s">
        <v>284</v>
      </c>
      <c r="E138" s="126" t="s">
        <v>2005</v>
      </c>
      <c r="F138" s="127" t="s">
        <v>2006</v>
      </c>
      <c r="G138" s="128" t="s">
        <v>315</v>
      </c>
      <c r="H138" s="129">
        <v>6</v>
      </c>
      <c r="I138" s="130">
        <v>116.03392325</v>
      </c>
      <c r="J138" s="131">
        <f>ROUND(I138*H138,2)</f>
        <v>696.2</v>
      </c>
      <c r="K138" s="127" t="s">
        <v>1</v>
      </c>
      <c r="L138" s="268">
        <f>S138</f>
        <v>0</v>
      </c>
      <c r="M138" s="272">
        <f>ROUND(L138*I138,2)</f>
        <v>0</v>
      </c>
      <c r="N138" s="243"/>
      <c r="O138" s="294">
        <f>ROUND(N138*I138,2)</f>
        <v>0</v>
      </c>
      <c r="P138" s="273">
        <f>H138-L138-N138</f>
        <v>6</v>
      </c>
      <c r="Q138" s="287">
        <f>ROUND(P138*I138,2)</f>
        <v>696.2</v>
      </c>
      <c r="R138" s="137"/>
      <c r="S138" s="269">
        <f>W138+Y138+AA138+AC138</f>
        <v>0</v>
      </c>
      <c r="T138" s="269">
        <f>ROUND(S138*I138,2)</f>
        <v>0</v>
      </c>
      <c r="U138" s="269">
        <f>H138-S138</f>
        <v>6</v>
      </c>
      <c r="V138" s="269">
        <f>ROUND(U138*I138,2)</f>
        <v>696.2</v>
      </c>
      <c r="W138" s="269"/>
      <c r="X138" s="269"/>
      <c r="Y138" s="269"/>
      <c r="Z138" s="269"/>
      <c r="AA138" s="269"/>
      <c r="AB138" s="269"/>
      <c r="AC138" s="269"/>
      <c r="AD138" s="269"/>
      <c r="BB138" s="132" t="s">
        <v>1</v>
      </c>
      <c r="BC138" s="133" t="s">
        <v>40</v>
      </c>
      <c r="BE138" s="134">
        <f>BD138*H138</f>
        <v>0</v>
      </c>
      <c r="BF138" s="134">
        <v>0</v>
      </c>
      <c r="BG138" s="134">
        <f>BF138*H138</f>
        <v>0</v>
      </c>
      <c r="BH138" s="134">
        <v>0</v>
      </c>
      <c r="BI138" s="135">
        <f>BH138*H138</f>
        <v>0</v>
      </c>
      <c r="CG138" s="136" t="s">
        <v>95</v>
      </c>
      <c r="CI138" s="136" t="s">
        <v>284</v>
      </c>
      <c r="CJ138" s="136" t="s">
        <v>83</v>
      </c>
      <c r="CN138" s="16" t="s">
        <v>282</v>
      </c>
      <c r="CT138" s="137">
        <f>IF(BC138="základní",J138,0)</f>
        <v>696.2</v>
      </c>
      <c r="CU138" s="137">
        <f>IF(BC138="snížená",J138,0)</f>
        <v>0</v>
      </c>
      <c r="CV138" s="137">
        <f>IF(BC138="zákl. přenesená",J138,0)</f>
        <v>0</v>
      </c>
      <c r="CW138" s="137">
        <f>IF(BC138="sníž. přenesená",J138,0)</f>
        <v>0</v>
      </c>
      <c r="CX138" s="137">
        <f>IF(BC138="nulová",J138,0)</f>
        <v>0</v>
      </c>
      <c r="CY138" s="16" t="s">
        <v>81</v>
      </c>
      <c r="CZ138" s="137">
        <f>ROUND(I138*H138,2)</f>
        <v>696.2</v>
      </c>
      <c r="DA138" s="16" t="s">
        <v>95</v>
      </c>
      <c r="DB138" s="136" t="s">
        <v>392</v>
      </c>
    </row>
    <row r="139" spans="2:106" s="1" customFormat="1" x14ac:dyDescent="0.2">
      <c r="B139" s="31"/>
      <c r="D139" s="138" t="s">
        <v>289</v>
      </c>
      <c r="F139" s="139" t="s">
        <v>2007</v>
      </c>
      <c r="I139" s="140"/>
      <c r="L139" s="31"/>
      <c r="N139" s="213"/>
      <c r="O139" s="214"/>
      <c r="Q139" s="229"/>
      <c r="BB139" s="141"/>
      <c r="BI139" s="50"/>
      <c r="CI139" s="16" t="s">
        <v>289</v>
      </c>
      <c r="CJ139" s="16" t="s">
        <v>83</v>
      </c>
    </row>
    <row r="140" spans="2:106" s="1" customFormat="1" ht="14.45" customHeight="1" x14ac:dyDescent="0.2">
      <c r="B140" s="124"/>
      <c r="C140" s="125" t="s">
        <v>335</v>
      </c>
      <c r="D140" s="125" t="s">
        <v>284</v>
      </c>
      <c r="E140" s="126" t="s">
        <v>2008</v>
      </c>
      <c r="F140" s="127" t="s">
        <v>2009</v>
      </c>
      <c r="G140" s="128" t="s">
        <v>315</v>
      </c>
      <c r="H140" s="129">
        <v>4</v>
      </c>
      <c r="I140" s="130">
        <v>32.527387138000002</v>
      </c>
      <c r="J140" s="131">
        <f>ROUND(I140*H140,2)</f>
        <v>130.11000000000001</v>
      </c>
      <c r="K140" s="127" t="s">
        <v>1</v>
      </c>
      <c r="L140" s="268">
        <f>S140</f>
        <v>0</v>
      </c>
      <c r="M140" s="272">
        <f>ROUND(L140*I140,2)</f>
        <v>0</v>
      </c>
      <c r="N140" s="243"/>
      <c r="O140" s="294">
        <f>ROUND(N140*I140,2)</f>
        <v>0</v>
      </c>
      <c r="P140" s="273">
        <f>H140-L140-N140</f>
        <v>4</v>
      </c>
      <c r="Q140" s="287">
        <f>ROUND(P140*I140,2)</f>
        <v>130.11000000000001</v>
      </c>
      <c r="R140" s="137"/>
      <c r="S140" s="269">
        <f>W140+Y140+AA140+AC140</f>
        <v>0</v>
      </c>
      <c r="T140" s="269">
        <f>ROUND(S140*I140,2)</f>
        <v>0</v>
      </c>
      <c r="U140" s="269">
        <f>H140-S140</f>
        <v>4</v>
      </c>
      <c r="V140" s="269">
        <f>ROUND(U140*I140,2)</f>
        <v>130.11000000000001</v>
      </c>
      <c r="W140" s="269"/>
      <c r="X140" s="269"/>
      <c r="Y140" s="269"/>
      <c r="Z140" s="269"/>
      <c r="AA140" s="269"/>
      <c r="AB140" s="269"/>
      <c r="AC140" s="269"/>
      <c r="AD140" s="269"/>
      <c r="BB140" s="132" t="s">
        <v>1</v>
      </c>
      <c r="BC140" s="133" t="s">
        <v>40</v>
      </c>
      <c r="BE140" s="134">
        <f>BD140*H140</f>
        <v>0</v>
      </c>
      <c r="BF140" s="134">
        <v>0</v>
      </c>
      <c r="BG140" s="134">
        <f>BF140*H140</f>
        <v>0</v>
      </c>
      <c r="BH140" s="134">
        <v>0</v>
      </c>
      <c r="BI140" s="135">
        <f>BH140*H140</f>
        <v>0</v>
      </c>
      <c r="CG140" s="136" t="s">
        <v>95</v>
      </c>
      <c r="CI140" s="136" t="s">
        <v>284</v>
      </c>
      <c r="CJ140" s="136" t="s">
        <v>83</v>
      </c>
      <c r="CN140" s="16" t="s">
        <v>282</v>
      </c>
      <c r="CT140" s="137">
        <f>IF(BC140="základní",J140,0)</f>
        <v>130.11000000000001</v>
      </c>
      <c r="CU140" s="137">
        <f>IF(BC140="snížená",J140,0)</f>
        <v>0</v>
      </c>
      <c r="CV140" s="137">
        <f>IF(BC140="zákl. přenesená",J140,0)</f>
        <v>0</v>
      </c>
      <c r="CW140" s="137">
        <f>IF(BC140="sníž. přenesená",J140,0)</f>
        <v>0</v>
      </c>
      <c r="CX140" s="137">
        <f>IF(BC140="nulová",J140,0)</f>
        <v>0</v>
      </c>
      <c r="CY140" s="16" t="s">
        <v>81</v>
      </c>
      <c r="CZ140" s="137">
        <f>ROUND(I140*H140,2)</f>
        <v>130.11000000000001</v>
      </c>
      <c r="DA140" s="16" t="s">
        <v>95</v>
      </c>
      <c r="DB140" s="136" t="s">
        <v>404</v>
      </c>
    </row>
    <row r="141" spans="2:106" s="1" customFormat="1" x14ac:dyDescent="0.2">
      <c r="B141" s="31"/>
      <c r="D141" s="138" t="s">
        <v>289</v>
      </c>
      <c r="F141" s="139" t="s">
        <v>2009</v>
      </c>
      <c r="I141" s="140"/>
      <c r="L141" s="31"/>
      <c r="N141" s="213"/>
      <c r="O141" s="214"/>
      <c r="Q141" s="229"/>
      <c r="BB141" s="141"/>
      <c r="BI141" s="50"/>
      <c r="CI141" s="16" t="s">
        <v>289</v>
      </c>
      <c r="CJ141" s="16" t="s">
        <v>83</v>
      </c>
    </row>
    <row r="142" spans="2:106" s="1" customFormat="1" ht="14.45" customHeight="1" x14ac:dyDescent="0.2">
      <c r="B142" s="124"/>
      <c r="C142" s="125" t="s">
        <v>341</v>
      </c>
      <c r="D142" s="125" t="s">
        <v>284</v>
      </c>
      <c r="E142" s="126" t="s">
        <v>2010</v>
      </c>
      <c r="F142" s="127" t="s">
        <v>2011</v>
      </c>
      <c r="G142" s="128" t="s">
        <v>315</v>
      </c>
      <c r="H142" s="129">
        <v>18</v>
      </c>
      <c r="I142" s="130">
        <v>43.960280636999997</v>
      </c>
      <c r="J142" s="131">
        <f>ROUND(I142*H142,2)</f>
        <v>791.29</v>
      </c>
      <c r="K142" s="127" t="s">
        <v>1</v>
      </c>
      <c r="L142" s="268">
        <f>S142</f>
        <v>0</v>
      </c>
      <c r="M142" s="272">
        <f>ROUND(L142*I142,2)</f>
        <v>0</v>
      </c>
      <c r="N142" s="243"/>
      <c r="O142" s="294">
        <f>ROUND(N142*I142,2)</f>
        <v>0</v>
      </c>
      <c r="P142" s="273">
        <f>H142-L142-N142</f>
        <v>18</v>
      </c>
      <c r="Q142" s="287">
        <f>ROUND(P142*I142,2)</f>
        <v>791.29</v>
      </c>
      <c r="R142" s="137"/>
      <c r="S142" s="269">
        <f>W142+Y142+AA142+AC142</f>
        <v>0</v>
      </c>
      <c r="T142" s="269">
        <f>ROUND(S142*I142,2)</f>
        <v>0</v>
      </c>
      <c r="U142" s="269">
        <f>H142-S142</f>
        <v>18</v>
      </c>
      <c r="V142" s="269">
        <f>ROUND(U142*I142,2)</f>
        <v>791.29</v>
      </c>
      <c r="W142" s="269"/>
      <c r="X142" s="269"/>
      <c r="Y142" s="269"/>
      <c r="Z142" s="269"/>
      <c r="AA142" s="269"/>
      <c r="AB142" s="269"/>
      <c r="AC142" s="269"/>
      <c r="AD142" s="269"/>
      <c r="BB142" s="132" t="s">
        <v>1</v>
      </c>
      <c r="BC142" s="133" t="s">
        <v>40</v>
      </c>
      <c r="BE142" s="134">
        <f>BD142*H142</f>
        <v>0</v>
      </c>
      <c r="BF142" s="134">
        <v>0</v>
      </c>
      <c r="BG142" s="134">
        <f>BF142*H142</f>
        <v>0</v>
      </c>
      <c r="BH142" s="134">
        <v>0</v>
      </c>
      <c r="BI142" s="135">
        <f>BH142*H142</f>
        <v>0</v>
      </c>
      <c r="CG142" s="136" t="s">
        <v>95</v>
      </c>
      <c r="CI142" s="136" t="s">
        <v>284</v>
      </c>
      <c r="CJ142" s="136" t="s">
        <v>83</v>
      </c>
      <c r="CN142" s="16" t="s">
        <v>282</v>
      </c>
      <c r="CT142" s="137">
        <f>IF(BC142="základní",J142,0)</f>
        <v>791.29</v>
      </c>
      <c r="CU142" s="137">
        <f>IF(BC142="snížená",J142,0)</f>
        <v>0</v>
      </c>
      <c r="CV142" s="137">
        <f>IF(BC142="zákl. přenesená",J142,0)</f>
        <v>0</v>
      </c>
      <c r="CW142" s="137">
        <f>IF(BC142="sníž. přenesená",J142,0)</f>
        <v>0</v>
      </c>
      <c r="CX142" s="137">
        <f>IF(BC142="nulová",J142,0)</f>
        <v>0</v>
      </c>
      <c r="CY142" s="16" t="s">
        <v>81</v>
      </c>
      <c r="CZ142" s="137">
        <f>ROUND(I142*H142,2)</f>
        <v>791.29</v>
      </c>
      <c r="DA142" s="16" t="s">
        <v>95</v>
      </c>
      <c r="DB142" s="136" t="s">
        <v>415</v>
      </c>
    </row>
    <row r="143" spans="2:106" s="1" customFormat="1" x14ac:dyDescent="0.2">
      <c r="B143" s="31"/>
      <c r="D143" s="138" t="s">
        <v>289</v>
      </c>
      <c r="F143" s="139" t="s">
        <v>2011</v>
      </c>
      <c r="I143" s="140"/>
      <c r="L143" s="31"/>
      <c r="N143" s="213"/>
      <c r="O143" s="214"/>
      <c r="Q143" s="229"/>
      <c r="BB143" s="141"/>
      <c r="BI143" s="50"/>
      <c r="CI143" s="16" t="s">
        <v>289</v>
      </c>
      <c r="CJ143" s="16" t="s">
        <v>83</v>
      </c>
    </row>
    <row r="144" spans="2:106" s="10" customFormat="1" ht="22.9" customHeight="1" x14ac:dyDescent="0.2">
      <c r="B144" s="112"/>
      <c r="D144" s="113" t="s">
        <v>73</v>
      </c>
      <c r="E144" s="122" t="s">
        <v>2012</v>
      </c>
      <c r="F144" s="122" t="s">
        <v>2013</v>
      </c>
      <c r="I144" s="115"/>
      <c r="J144" s="123">
        <f>CZ144</f>
        <v>34598.049999999996</v>
      </c>
      <c r="L144" s="112"/>
      <c r="M144" s="270">
        <f>SUM(M145:M163)</f>
        <v>0</v>
      </c>
      <c r="N144" s="301"/>
      <c r="O144" s="302">
        <f t="shared" ref="O144:V144" si="4">SUM(O145:O163)</f>
        <v>0</v>
      </c>
      <c r="P144" s="270"/>
      <c r="Q144" s="288">
        <f t="shared" si="4"/>
        <v>34598.049999999996</v>
      </c>
      <c r="R144" s="270"/>
      <c r="S144" s="270"/>
      <c r="T144" s="270">
        <f t="shared" si="4"/>
        <v>0</v>
      </c>
      <c r="U144" s="270"/>
      <c r="V144" s="270">
        <f t="shared" si="4"/>
        <v>34598.049999999996</v>
      </c>
      <c r="BB144" s="117"/>
      <c r="BE144" s="118">
        <f>SUM(BE145:BE164)</f>
        <v>0</v>
      </c>
      <c r="BG144" s="118">
        <f>SUM(BG145:BG164)</f>
        <v>0</v>
      </c>
      <c r="BI144" s="119">
        <f>SUM(BI145:BI164)</f>
        <v>0</v>
      </c>
      <c r="CG144" s="113" t="s">
        <v>81</v>
      </c>
      <c r="CI144" s="120" t="s">
        <v>73</v>
      </c>
      <c r="CJ144" s="120" t="s">
        <v>81</v>
      </c>
      <c r="CN144" s="113" t="s">
        <v>282</v>
      </c>
      <c r="CZ144" s="121">
        <f>SUM(CZ145:CZ164)</f>
        <v>34598.049999999996</v>
      </c>
    </row>
    <row r="145" spans="2:106" s="1" customFormat="1" ht="14.45" customHeight="1" x14ac:dyDescent="0.2">
      <c r="B145" s="124"/>
      <c r="C145" s="125" t="s">
        <v>348</v>
      </c>
      <c r="D145" s="125" t="s">
        <v>284</v>
      </c>
      <c r="E145" s="126" t="s">
        <v>2014</v>
      </c>
      <c r="F145" s="127" t="s">
        <v>2015</v>
      </c>
      <c r="G145" s="128" t="s">
        <v>344</v>
      </c>
      <c r="H145" s="129">
        <v>15</v>
      </c>
      <c r="I145" s="130">
        <v>842.07475729999999</v>
      </c>
      <c r="J145" s="131">
        <f>ROUND(I145*H145,2)</f>
        <v>12631.12</v>
      </c>
      <c r="K145" s="127" t="s">
        <v>1</v>
      </c>
      <c r="L145" s="268">
        <f>S145</f>
        <v>0</v>
      </c>
      <c r="M145" s="272">
        <f>ROUND(L145*I145,2)</f>
        <v>0</v>
      </c>
      <c r="N145" s="243"/>
      <c r="O145" s="294">
        <f>ROUND(N145*I145,2)</f>
        <v>0</v>
      </c>
      <c r="P145" s="273">
        <f>H145-L145-N145</f>
        <v>15</v>
      </c>
      <c r="Q145" s="287">
        <f>ROUND(P145*I145,2)</f>
        <v>12631.12</v>
      </c>
      <c r="R145" s="137"/>
      <c r="S145" s="269">
        <f>W145+Y145+AA145+AC145</f>
        <v>0</v>
      </c>
      <c r="T145" s="269">
        <f>ROUND(S145*I145,2)</f>
        <v>0</v>
      </c>
      <c r="U145" s="269">
        <f>H145-S145</f>
        <v>15</v>
      </c>
      <c r="V145" s="269">
        <f>ROUND(U145*I145,2)</f>
        <v>12631.12</v>
      </c>
      <c r="W145" s="269"/>
      <c r="X145" s="269"/>
      <c r="Y145" s="269"/>
      <c r="Z145" s="269"/>
      <c r="AA145" s="269"/>
      <c r="AB145" s="269"/>
      <c r="AC145" s="269"/>
      <c r="AD145" s="269"/>
      <c r="BB145" s="132" t="s">
        <v>1</v>
      </c>
      <c r="BC145" s="133" t="s">
        <v>40</v>
      </c>
      <c r="BE145" s="134">
        <f>BD145*H145</f>
        <v>0</v>
      </c>
      <c r="BF145" s="134">
        <v>0</v>
      </c>
      <c r="BG145" s="134">
        <f>BF145*H145</f>
        <v>0</v>
      </c>
      <c r="BH145" s="134">
        <v>0</v>
      </c>
      <c r="BI145" s="135">
        <f>BH145*H145</f>
        <v>0</v>
      </c>
      <c r="CG145" s="136" t="s">
        <v>95</v>
      </c>
      <c r="CI145" s="136" t="s">
        <v>284</v>
      </c>
      <c r="CJ145" s="136" t="s">
        <v>83</v>
      </c>
      <c r="CN145" s="16" t="s">
        <v>282</v>
      </c>
      <c r="CT145" s="137">
        <f>IF(BC145="základní",J145,0)</f>
        <v>12631.12</v>
      </c>
      <c r="CU145" s="137">
        <f>IF(BC145="snížená",J145,0)</f>
        <v>0</v>
      </c>
      <c r="CV145" s="137">
        <f>IF(BC145="zákl. přenesená",J145,0)</f>
        <v>0</v>
      </c>
      <c r="CW145" s="137">
        <f>IF(BC145="sníž. přenesená",J145,0)</f>
        <v>0</v>
      </c>
      <c r="CX145" s="137">
        <f>IF(BC145="nulová",J145,0)</f>
        <v>0</v>
      </c>
      <c r="CY145" s="16" t="s">
        <v>81</v>
      </c>
      <c r="CZ145" s="137">
        <f>ROUND(I145*H145,2)</f>
        <v>12631.12</v>
      </c>
      <c r="DA145" s="16" t="s">
        <v>95</v>
      </c>
      <c r="DB145" s="136" t="s">
        <v>438</v>
      </c>
    </row>
    <row r="146" spans="2:106" s="1" customFormat="1" x14ac:dyDescent="0.2">
      <c r="B146" s="31"/>
      <c r="D146" s="138" t="s">
        <v>289</v>
      </c>
      <c r="F146" s="139" t="s">
        <v>2015</v>
      </c>
      <c r="I146" s="140"/>
      <c r="L146" s="31"/>
      <c r="N146" s="213"/>
      <c r="O146" s="214"/>
      <c r="Q146" s="229"/>
      <c r="BB146" s="141"/>
      <c r="BI146" s="50"/>
      <c r="CI146" s="16" t="s">
        <v>289</v>
      </c>
      <c r="CJ146" s="16" t="s">
        <v>83</v>
      </c>
    </row>
    <row r="147" spans="2:106" s="1" customFormat="1" ht="14.45" customHeight="1" x14ac:dyDescent="0.2">
      <c r="B147" s="124"/>
      <c r="C147" s="125" t="s">
        <v>327</v>
      </c>
      <c r="D147" s="125" t="s">
        <v>284</v>
      </c>
      <c r="E147" s="126" t="s">
        <v>2016</v>
      </c>
      <c r="F147" s="127" t="s">
        <v>2017</v>
      </c>
      <c r="G147" s="128" t="s">
        <v>2018</v>
      </c>
      <c r="H147" s="129">
        <v>15</v>
      </c>
      <c r="I147" s="130">
        <v>199.360488379</v>
      </c>
      <c r="J147" s="131">
        <f>ROUND(I147*H147,2)</f>
        <v>2990.41</v>
      </c>
      <c r="K147" s="127" t="s">
        <v>1</v>
      </c>
      <c r="L147" s="268">
        <f>S147</f>
        <v>0</v>
      </c>
      <c r="M147" s="272">
        <f>ROUND(L147*I147,2)</f>
        <v>0</v>
      </c>
      <c r="N147" s="243"/>
      <c r="O147" s="294">
        <f>ROUND(N147*I147,2)</f>
        <v>0</v>
      </c>
      <c r="P147" s="273">
        <f>H147-L147-N147</f>
        <v>15</v>
      </c>
      <c r="Q147" s="287">
        <f>ROUND(P147*I147,2)</f>
        <v>2990.41</v>
      </c>
      <c r="R147" s="137"/>
      <c r="S147" s="269">
        <f>W147+Y147+AA147+AC147</f>
        <v>0</v>
      </c>
      <c r="T147" s="269">
        <f>ROUND(S147*I147,2)</f>
        <v>0</v>
      </c>
      <c r="U147" s="269">
        <f>H147-S147</f>
        <v>15</v>
      </c>
      <c r="V147" s="269">
        <f>ROUND(U147*I147,2)</f>
        <v>2990.41</v>
      </c>
      <c r="W147" s="269"/>
      <c r="X147" s="269"/>
      <c r="Y147" s="269"/>
      <c r="Z147" s="269"/>
      <c r="AA147" s="269"/>
      <c r="AB147" s="269"/>
      <c r="AC147" s="269"/>
      <c r="AD147" s="269"/>
      <c r="BB147" s="132" t="s">
        <v>1</v>
      </c>
      <c r="BC147" s="133" t="s">
        <v>40</v>
      </c>
      <c r="BE147" s="134">
        <f>BD147*H147</f>
        <v>0</v>
      </c>
      <c r="BF147" s="134">
        <v>0</v>
      </c>
      <c r="BG147" s="134">
        <f>BF147*H147</f>
        <v>0</v>
      </c>
      <c r="BH147" s="134">
        <v>0</v>
      </c>
      <c r="BI147" s="135">
        <f>BH147*H147</f>
        <v>0</v>
      </c>
      <c r="CG147" s="136" t="s">
        <v>95</v>
      </c>
      <c r="CI147" s="136" t="s">
        <v>284</v>
      </c>
      <c r="CJ147" s="136" t="s">
        <v>83</v>
      </c>
      <c r="CN147" s="16" t="s">
        <v>282</v>
      </c>
      <c r="CT147" s="137">
        <f>IF(BC147="základní",J147,0)</f>
        <v>2990.41</v>
      </c>
      <c r="CU147" s="137">
        <f>IF(BC147="snížená",J147,0)</f>
        <v>0</v>
      </c>
      <c r="CV147" s="137">
        <f>IF(BC147="zákl. přenesená",J147,0)</f>
        <v>0</v>
      </c>
      <c r="CW147" s="137">
        <f>IF(BC147="sníž. přenesená",J147,0)</f>
        <v>0</v>
      </c>
      <c r="CX147" s="137">
        <f>IF(BC147="nulová",J147,0)</f>
        <v>0</v>
      </c>
      <c r="CY147" s="16" t="s">
        <v>81</v>
      </c>
      <c r="CZ147" s="137">
        <f>ROUND(I147*H147,2)</f>
        <v>2990.41</v>
      </c>
      <c r="DA147" s="16" t="s">
        <v>95</v>
      </c>
      <c r="DB147" s="136" t="s">
        <v>451</v>
      </c>
    </row>
    <row r="148" spans="2:106" s="1" customFormat="1" x14ac:dyDescent="0.2">
      <c r="B148" s="31"/>
      <c r="D148" s="138" t="s">
        <v>289</v>
      </c>
      <c r="F148" s="139" t="s">
        <v>2017</v>
      </c>
      <c r="I148" s="140"/>
      <c r="L148" s="31"/>
      <c r="N148" s="213"/>
      <c r="O148" s="214"/>
      <c r="Q148" s="229"/>
      <c r="BB148" s="141"/>
      <c r="BI148" s="50"/>
      <c r="CI148" s="16" t="s">
        <v>289</v>
      </c>
      <c r="CJ148" s="16" t="s">
        <v>83</v>
      </c>
    </row>
    <row r="149" spans="2:106" s="1" customFormat="1" ht="24.2" customHeight="1" x14ac:dyDescent="0.2">
      <c r="B149" s="124"/>
      <c r="C149" s="125" t="s">
        <v>359</v>
      </c>
      <c r="D149" s="125" t="s">
        <v>284</v>
      </c>
      <c r="E149" s="126" t="s">
        <v>2019</v>
      </c>
      <c r="F149" s="127" t="s">
        <v>2020</v>
      </c>
      <c r="G149" s="128" t="s">
        <v>2018</v>
      </c>
      <c r="H149" s="129">
        <v>15</v>
      </c>
      <c r="I149" s="130">
        <v>311.6339653</v>
      </c>
      <c r="J149" s="131">
        <f>ROUND(I149*H149,2)</f>
        <v>4674.51</v>
      </c>
      <c r="K149" s="127" t="s">
        <v>1</v>
      </c>
      <c r="L149" s="268">
        <f>S149</f>
        <v>0</v>
      </c>
      <c r="M149" s="272">
        <f>ROUND(L149*I149,2)</f>
        <v>0</v>
      </c>
      <c r="N149" s="243"/>
      <c r="O149" s="294">
        <f>ROUND(N149*I149,2)</f>
        <v>0</v>
      </c>
      <c r="P149" s="273">
        <f>H149-L149-N149</f>
        <v>15</v>
      </c>
      <c r="Q149" s="287">
        <f>ROUND(P149*I149,2)</f>
        <v>4674.51</v>
      </c>
      <c r="R149" s="137"/>
      <c r="S149" s="269">
        <f>W149+Y149+AA149+AC149</f>
        <v>0</v>
      </c>
      <c r="T149" s="269">
        <f>ROUND(S149*I149,2)</f>
        <v>0</v>
      </c>
      <c r="U149" s="269">
        <f>H149-S149</f>
        <v>15</v>
      </c>
      <c r="V149" s="269">
        <f>ROUND(U149*I149,2)</f>
        <v>4674.51</v>
      </c>
      <c r="W149" s="269"/>
      <c r="X149" s="269"/>
      <c r="Y149" s="269"/>
      <c r="Z149" s="269"/>
      <c r="AA149" s="269"/>
      <c r="AB149" s="269"/>
      <c r="AC149" s="269"/>
      <c r="AD149" s="269"/>
      <c r="BB149" s="132" t="s">
        <v>1</v>
      </c>
      <c r="BC149" s="133" t="s">
        <v>40</v>
      </c>
      <c r="BE149" s="134">
        <f>BD149*H149</f>
        <v>0</v>
      </c>
      <c r="BF149" s="134">
        <v>0</v>
      </c>
      <c r="BG149" s="134">
        <f>BF149*H149</f>
        <v>0</v>
      </c>
      <c r="BH149" s="134">
        <v>0</v>
      </c>
      <c r="BI149" s="135">
        <f>BH149*H149</f>
        <v>0</v>
      </c>
      <c r="CG149" s="136" t="s">
        <v>95</v>
      </c>
      <c r="CI149" s="136" t="s">
        <v>284</v>
      </c>
      <c r="CJ149" s="136" t="s">
        <v>83</v>
      </c>
      <c r="CN149" s="16" t="s">
        <v>282</v>
      </c>
      <c r="CT149" s="137">
        <f>IF(BC149="základní",J149,0)</f>
        <v>4674.51</v>
      </c>
      <c r="CU149" s="137">
        <f>IF(BC149="snížená",J149,0)</f>
        <v>0</v>
      </c>
      <c r="CV149" s="137">
        <f>IF(BC149="zákl. přenesená",J149,0)</f>
        <v>0</v>
      </c>
      <c r="CW149" s="137">
        <f>IF(BC149="sníž. přenesená",J149,0)</f>
        <v>0</v>
      </c>
      <c r="CX149" s="137">
        <f>IF(BC149="nulová",J149,0)</f>
        <v>0</v>
      </c>
      <c r="CY149" s="16" t="s">
        <v>81</v>
      </c>
      <c r="CZ149" s="137">
        <f>ROUND(I149*H149,2)</f>
        <v>4674.51</v>
      </c>
      <c r="DA149" s="16" t="s">
        <v>95</v>
      </c>
      <c r="DB149" s="136" t="s">
        <v>463</v>
      </c>
    </row>
    <row r="150" spans="2:106" s="1" customFormat="1" x14ac:dyDescent="0.2">
      <c r="B150" s="31"/>
      <c r="D150" s="138" t="s">
        <v>289</v>
      </c>
      <c r="F150" s="139" t="s">
        <v>2020</v>
      </c>
      <c r="I150" s="140"/>
      <c r="L150" s="31"/>
      <c r="N150" s="213"/>
      <c r="O150" s="214"/>
      <c r="Q150" s="229"/>
      <c r="BB150" s="141"/>
      <c r="BI150" s="50"/>
      <c r="CI150" s="16" t="s">
        <v>289</v>
      </c>
      <c r="CJ150" s="16" t="s">
        <v>83</v>
      </c>
    </row>
    <row r="151" spans="2:106" s="1" customFormat="1" ht="14.45" customHeight="1" x14ac:dyDescent="0.2">
      <c r="B151" s="124"/>
      <c r="C151" s="125" t="s">
        <v>363</v>
      </c>
      <c r="D151" s="125" t="s">
        <v>284</v>
      </c>
      <c r="E151" s="126" t="s">
        <v>2021</v>
      </c>
      <c r="F151" s="127" t="s">
        <v>2022</v>
      </c>
      <c r="G151" s="128" t="s">
        <v>2018</v>
      </c>
      <c r="H151" s="129">
        <v>15</v>
      </c>
      <c r="I151" s="130">
        <v>176.37156333999999</v>
      </c>
      <c r="J151" s="131">
        <f>ROUND(I151*H151,2)</f>
        <v>2645.57</v>
      </c>
      <c r="K151" s="127" t="s">
        <v>1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15</v>
      </c>
      <c r="Q151" s="287">
        <f>ROUND(P151*I151,2)</f>
        <v>2645.57</v>
      </c>
      <c r="R151" s="137"/>
      <c r="S151" s="269">
        <f>W151+Y151+AA151+AC151</f>
        <v>0</v>
      </c>
      <c r="T151" s="269">
        <f>ROUND(S151*I151,2)</f>
        <v>0</v>
      </c>
      <c r="U151" s="269">
        <f>H151-S151</f>
        <v>15</v>
      </c>
      <c r="V151" s="269">
        <f>ROUND(U151*I151,2)</f>
        <v>2645.57</v>
      </c>
      <c r="W151" s="269"/>
      <c r="X151" s="269"/>
      <c r="Y151" s="269"/>
      <c r="Z151" s="269"/>
      <c r="AA151" s="269"/>
      <c r="AB151" s="269"/>
      <c r="AC151" s="269"/>
      <c r="AD151" s="269"/>
      <c r="BB151" s="132" t="s">
        <v>1</v>
      </c>
      <c r="BC151" s="133" t="s">
        <v>40</v>
      </c>
      <c r="BE151" s="134">
        <f>BD151*H151</f>
        <v>0</v>
      </c>
      <c r="BF151" s="134">
        <v>0</v>
      </c>
      <c r="BG151" s="134">
        <f>BF151*H151</f>
        <v>0</v>
      </c>
      <c r="BH151" s="134">
        <v>0</v>
      </c>
      <c r="BI151" s="135">
        <f>BH151*H151</f>
        <v>0</v>
      </c>
      <c r="CG151" s="136" t="s">
        <v>95</v>
      </c>
      <c r="CI151" s="136" t="s">
        <v>284</v>
      </c>
      <c r="CJ151" s="136" t="s">
        <v>83</v>
      </c>
      <c r="CN151" s="16" t="s">
        <v>282</v>
      </c>
      <c r="CT151" s="137">
        <f>IF(BC151="základní",J151,0)</f>
        <v>2645.57</v>
      </c>
      <c r="CU151" s="137">
        <f>IF(BC151="snížená",J151,0)</f>
        <v>0</v>
      </c>
      <c r="CV151" s="137">
        <f>IF(BC151="zákl. přenesená",J151,0)</f>
        <v>0</v>
      </c>
      <c r="CW151" s="137">
        <f>IF(BC151="sníž. přenesená",J151,0)</f>
        <v>0</v>
      </c>
      <c r="CX151" s="137">
        <f>IF(BC151="nulová",J151,0)</f>
        <v>0</v>
      </c>
      <c r="CY151" s="16" t="s">
        <v>81</v>
      </c>
      <c r="CZ151" s="137">
        <f>ROUND(I151*H151,2)</f>
        <v>2645.57</v>
      </c>
      <c r="DA151" s="16" t="s">
        <v>95</v>
      </c>
      <c r="DB151" s="136" t="s">
        <v>476</v>
      </c>
    </row>
    <row r="152" spans="2:106" s="1" customFormat="1" x14ac:dyDescent="0.2">
      <c r="B152" s="31"/>
      <c r="D152" s="138" t="s">
        <v>289</v>
      </c>
      <c r="F152" s="139" t="s">
        <v>2022</v>
      </c>
      <c r="I152" s="140"/>
      <c r="L152" s="31"/>
      <c r="N152" s="213"/>
      <c r="O152" s="214"/>
      <c r="Q152" s="229"/>
      <c r="BB152" s="141"/>
      <c r="BI152" s="50"/>
      <c r="CI152" s="16" t="s">
        <v>289</v>
      </c>
      <c r="CJ152" s="16" t="s">
        <v>83</v>
      </c>
    </row>
    <row r="153" spans="2:106" s="1" customFormat="1" ht="14.45" customHeight="1" x14ac:dyDescent="0.2">
      <c r="B153" s="124"/>
      <c r="C153" s="125" t="s">
        <v>8</v>
      </c>
      <c r="D153" s="125" t="s">
        <v>284</v>
      </c>
      <c r="E153" s="126" t="s">
        <v>2023</v>
      </c>
      <c r="F153" s="127" t="s">
        <v>2024</v>
      </c>
      <c r="G153" s="128" t="s">
        <v>2018</v>
      </c>
      <c r="H153" s="129">
        <v>5</v>
      </c>
      <c r="I153" s="130">
        <v>1090.0558275599999</v>
      </c>
      <c r="J153" s="131">
        <f>ROUND(I153*H153,2)</f>
        <v>5450.28</v>
      </c>
      <c r="K153" s="127" t="s">
        <v>1</v>
      </c>
      <c r="L153" s="268">
        <f>S153</f>
        <v>0</v>
      </c>
      <c r="M153" s="272">
        <f>ROUND(L153*I153,2)</f>
        <v>0</v>
      </c>
      <c r="N153" s="243"/>
      <c r="O153" s="294">
        <f>ROUND(N153*I153,2)</f>
        <v>0</v>
      </c>
      <c r="P153" s="273">
        <f>H153-L153-N153</f>
        <v>5</v>
      </c>
      <c r="Q153" s="287">
        <f>ROUND(P153*I153,2)</f>
        <v>5450.28</v>
      </c>
      <c r="R153" s="137"/>
      <c r="S153" s="269">
        <f>W153+Y153+AA153+AC153</f>
        <v>0</v>
      </c>
      <c r="T153" s="269">
        <f>ROUND(S153*I153,2)</f>
        <v>0</v>
      </c>
      <c r="U153" s="269">
        <f>H153-S153</f>
        <v>5</v>
      </c>
      <c r="V153" s="269">
        <f>ROUND(U153*I153,2)</f>
        <v>5450.28</v>
      </c>
      <c r="W153" s="269"/>
      <c r="X153" s="269"/>
      <c r="Y153" s="269"/>
      <c r="Z153" s="269"/>
      <c r="AA153" s="269"/>
      <c r="AB153" s="269"/>
      <c r="AC153" s="269"/>
      <c r="AD153" s="269"/>
      <c r="BB153" s="132" t="s">
        <v>1</v>
      </c>
      <c r="BC153" s="133" t="s">
        <v>40</v>
      </c>
      <c r="BE153" s="134">
        <f>BD153*H153</f>
        <v>0</v>
      </c>
      <c r="BF153" s="134">
        <v>0</v>
      </c>
      <c r="BG153" s="134">
        <f>BF153*H153</f>
        <v>0</v>
      </c>
      <c r="BH153" s="134">
        <v>0</v>
      </c>
      <c r="BI153" s="135">
        <f>BH153*H153</f>
        <v>0</v>
      </c>
      <c r="CG153" s="136" t="s">
        <v>95</v>
      </c>
      <c r="CI153" s="136" t="s">
        <v>284</v>
      </c>
      <c r="CJ153" s="136" t="s">
        <v>83</v>
      </c>
      <c r="CN153" s="16" t="s">
        <v>282</v>
      </c>
      <c r="CT153" s="137">
        <f>IF(BC153="základní",J153,0)</f>
        <v>5450.28</v>
      </c>
      <c r="CU153" s="137">
        <f>IF(BC153="snížená",J153,0)</f>
        <v>0</v>
      </c>
      <c r="CV153" s="137">
        <f>IF(BC153="zákl. přenesená",J153,0)</f>
        <v>0</v>
      </c>
      <c r="CW153" s="137">
        <f>IF(BC153="sníž. přenesená",J153,0)</f>
        <v>0</v>
      </c>
      <c r="CX153" s="137">
        <f>IF(BC153="nulová",J153,0)</f>
        <v>0</v>
      </c>
      <c r="CY153" s="16" t="s">
        <v>81</v>
      </c>
      <c r="CZ153" s="137">
        <f>ROUND(I153*H153,2)</f>
        <v>5450.28</v>
      </c>
      <c r="DA153" s="16" t="s">
        <v>95</v>
      </c>
      <c r="DB153" s="136" t="s">
        <v>489</v>
      </c>
    </row>
    <row r="154" spans="2:106" s="1" customFormat="1" x14ac:dyDescent="0.2">
      <c r="B154" s="31"/>
      <c r="D154" s="138" t="s">
        <v>289</v>
      </c>
      <c r="F154" s="139" t="s">
        <v>2024</v>
      </c>
      <c r="I154" s="140"/>
      <c r="L154" s="31"/>
      <c r="N154" s="213"/>
      <c r="O154" s="214"/>
      <c r="Q154" s="229"/>
      <c r="BB154" s="141"/>
      <c r="BI154" s="50"/>
      <c r="CI154" s="16" t="s">
        <v>289</v>
      </c>
      <c r="CJ154" s="16" t="s">
        <v>83</v>
      </c>
    </row>
    <row r="155" spans="2:106" s="1" customFormat="1" ht="14.45" customHeight="1" x14ac:dyDescent="0.2">
      <c r="B155" s="124"/>
      <c r="C155" s="125" t="s">
        <v>379</v>
      </c>
      <c r="D155" s="125" t="s">
        <v>284</v>
      </c>
      <c r="E155" s="126" t="s">
        <v>2025</v>
      </c>
      <c r="F155" s="127" t="s">
        <v>2026</v>
      </c>
      <c r="G155" s="128" t="s">
        <v>2018</v>
      </c>
      <c r="H155" s="129">
        <v>5</v>
      </c>
      <c r="I155" s="130">
        <v>72.935608900000005</v>
      </c>
      <c r="J155" s="131">
        <f>ROUND(I155*H155,2)</f>
        <v>364.68</v>
      </c>
      <c r="K155" s="127" t="s">
        <v>1</v>
      </c>
      <c r="L155" s="268">
        <f>S155</f>
        <v>0</v>
      </c>
      <c r="M155" s="272">
        <f>ROUND(L155*I155,2)</f>
        <v>0</v>
      </c>
      <c r="N155" s="243"/>
      <c r="O155" s="294">
        <f>ROUND(N155*I155,2)</f>
        <v>0</v>
      </c>
      <c r="P155" s="273">
        <f>H155-L155-N155</f>
        <v>5</v>
      </c>
      <c r="Q155" s="287">
        <f>ROUND(P155*I155,2)</f>
        <v>364.68</v>
      </c>
      <c r="R155" s="137"/>
      <c r="S155" s="269">
        <f>W155+Y155+AA155+AC155</f>
        <v>0</v>
      </c>
      <c r="T155" s="269">
        <f>ROUND(S155*I155,2)</f>
        <v>0</v>
      </c>
      <c r="U155" s="269">
        <f>H155-S155</f>
        <v>5</v>
      </c>
      <c r="V155" s="269">
        <f>ROUND(U155*I155,2)</f>
        <v>364.68</v>
      </c>
      <c r="W155" s="269"/>
      <c r="X155" s="269"/>
      <c r="Y155" s="269"/>
      <c r="Z155" s="269"/>
      <c r="AA155" s="269"/>
      <c r="AB155" s="269"/>
      <c r="AC155" s="269"/>
      <c r="AD155" s="269"/>
      <c r="BB155" s="132" t="s">
        <v>1</v>
      </c>
      <c r="BC155" s="133" t="s">
        <v>40</v>
      </c>
      <c r="BE155" s="134">
        <f>BD155*H155</f>
        <v>0</v>
      </c>
      <c r="BF155" s="134">
        <v>0</v>
      </c>
      <c r="BG155" s="134">
        <f>BF155*H155</f>
        <v>0</v>
      </c>
      <c r="BH155" s="134">
        <v>0</v>
      </c>
      <c r="BI155" s="135">
        <f>BH155*H155</f>
        <v>0</v>
      </c>
      <c r="CG155" s="136" t="s">
        <v>95</v>
      </c>
      <c r="CI155" s="136" t="s">
        <v>284</v>
      </c>
      <c r="CJ155" s="136" t="s">
        <v>83</v>
      </c>
      <c r="CN155" s="16" t="s">
        <v>282</v>
      </c>
      <c r="CT155" s="137">
        <f>IF(BC155="základní",J155,0)</f>
        <v>364.68</v>
      </c>
      <c r="CU155" s="137">
        <f>IF(BC155="snížená",J155,0)</f>
        <v>0</v>
      </c>
      <c r="CV155" s="137">
        <f>IF(BC155="zákl. přenesená",J155,0)</f>
        <v>0</v>
      </c>
      <c r="CW155" s="137">
        <f>IF(BC155="sníž. přenesená",J155,0)</f>
        <v>0</v>
      </c>
      <c r="CX155" s="137">
        <f>IF(BC155="nulová",J155,0)</f>
        <v>0</v>
      </c>
      <c r="CY155" s="16" t="s">
        <v>81</v>
      </c>
      <c r="CZ155" s="137">
        <f>ROUND(I155*H155,2)</f>
        <v>364.68</v>
      </c>
      <c r="DA155" s="16" t="s">
        <v>95</v>
      </c>
      <c r="DB155" s="136" t="s">
        <v>497</v>
      </c>
    </row>
    <row r="156" spans="2:106" s="1" customFormat="1" x14ac:dyDescent="0.2">
      <c r="B156" s="31"/>
      <c r="D156" s="138" t="s">
        <v>289</v>
      </c>
      <c r="F156" s="139" t="s">
        <v>2026</v>
      </c>
      <c r="I156" s="140"/>
      <c r="L156" s="31"/>
      <c r="N156" s="213"/>
      <c r="O156" s="214"/>
      <c r="Q156" s="229"/>
      <c r="BB156" s="141"/>
      <c r="BI156" s="50"/>
      <c r="CI156" s="16" t="s">
        <v>289</v>
      </c>
      <c r="CJ156" s="16" t="s">
        <v>83</v>
      </c>
    </row>
    <row r="157" spans="2:106" s="1" customFormat="1" ht="14.45" customHeight="1" x14ac:dyDescent="0.2">
      <c r="B157" s="124"/>
      <c r="C157" s="125" t="s">
        <v>386</v>
      </c>
      <c r="D157" s="125" t="s">
        <v>284</v>
      </c>
      <c r="E157" s="126" t="s">
        <v>2027</v>
      </c>
      <c r="F157" s="127" t="s">
        <v>2028</v>
      </c>
      <c r="G157" s="128" t="s">
        <v>344</v>
      </c>
      <c r="H157" s="129">
        <v>5</v>
      </c>
      <c r="I157" s="130">
        <v>729.356089</v>
      </c>
      <c r="J157" s="131">
        <f>ROUND(I157*H157,2)</f>
        <v>3646.78</v>
      </c>
      <c r="K157" s="127" t="s">
        <v>1</v>
      </c>
      <c r="L157" s="268">
        <f>S157</f>
        <v>0</v>
      </c>
      <c r="M157" s="272">
        <f>ROUND(L157*I157,2)</f>
        <v>0</v>
      </c>
      <c r="N157" s="243"/>
      <c r="O157" s="294">
        <f>ROUND(N157*I157,2)</f>
        <v>0</v>
      </c>
      <c r="P157" s="273">
        <f>H157-L157-N157</f>
        <v>5</v>
      </c>
      <c r="Q157" s="287">
        <f>ROUND(P157*I157,2)</f>
        <v>3646.78</v>
      </c>
      <c r="R157" s="137"/>
      <c r="S157" s="269">
        <f>W157+Y157+AA157+AC157</f>
        <v>0</v>
      </c>
      <c r="T157" s="269">
        <f>ROUND(S157*I157,2)</f>
        <v>0</v>
      </c>
      <c r="U157" s="269">
        <f>H157-S157</f>
        <v>5</v>
      </c>
      <c r="V157" s="269">
        <f>ROUND(U157*I157,2)</f>
        <v>3646.78</v>
      </c>
      <c r="W157" s="269"/>
      <c r="X157" s="269"/>
      <c r="Y157" s="269"/>
      <c r="Z157" s="269"/>
      <c r="AA157" s="269"/>
      <c r="AB157" s="269"/>
      <c r="AC157" s="269"/>
      <c r="AD157" s="269"/>
      <c r="BB157" s="132" t="s">
        <v>1</v>
      </c>
      <c r="BC157" s="133" t="s">
        <v>40</v>
      </c>
      <c r="BE157" s="134">
        <f>BD157*H157</f>
        <v>0</v>
      </c>
      <c r="BF157" s="134">
        <v>0</v>
      </c>
      <c r="BG157" s="134">
        <f>BF157*H157</f>
        <v>0</v>
      </c>
      <c r="BH157" s="134">
        <v>0</v>
      </c>
      <c r="BI157" s="135">
        <f>BH157*H157</f>
        <v>0</v>
      </c>
      <c r="CG157" s="136" t="s">
        <v>95</v>
      </c>
      <c r="CI157" s="136" t="s">
        <v>284</v>
      </c>
      <c r="CJ157" s="136" t="s">
        <v>83</v>
      </c>
      <c r="CN157" s="16" t="s">
        <v>282</v>
      </c>
      <c r="CT157" s="137">
        <f>IF(BC157="základní",J157,0)</f>
        <v>3646.78</v>
      </c>
      <c r="CU157" s="137">
        <f>IF(BC157="snížená",J157,0)</f>
        <v>0</v>
      </c>
      <c r="CV157" s="137">
        <f>IF(BC157="zákl. přenesená",J157,0)</f>
        <v>0</v>
      </c>
      <c r="CW157" s="137">
        <f>IF(BC157="sníž. přenesená",J157,0)</f>
        <v>0</v>
      </c>
      <c r="CX157" s="137">
        <f>IF(BC157="nulová",J157,0)</f>
        <v>0</v>
      </c>
      <c r="CY157" s="16" t="s">
        <v>81</v>
      </c>
      <c r="CZ157" s="137">
        <f>ROUND(I157*H157,2)</f>
        <v>3646.78</v>
      </c>
      <c r="DA157" s="16" t="s">
        <v>95</v>
      </c>
      <c r="DB157" s="136" t="s">
        <v>505</v>
      </c>
    </row>
    <row r="158" spans="2:106" s="1" customFormat="1" x14ac:dyDescent="0.2">
      <c r="B158" s="31"/>
      <c r="D158" s="138" t="s">
        <v>289</v>
      </c>
      <c r="F158" s="139" t="s">
        <v>2028</v>
      </c>
      <c r="I158" s="140"/>
      <c r="L158" s="31"/>
      <c r="N158" s="213"/>
      <c r="O158" s="214"/>
      <c r="Q158" s="229"/>
      <c r="BB158" s="141"/>
      <c r="BI158" s="50"/>
      <c r="CI158" s="16" t="s">
        <v>289</v>
      </c>
      <c r="CJ158" s="16" t="s">
        <v>83</v>
      </c>
    </row>
    <row r="159" spans="2:106" s="1" customFormat="1" ht="14.45" customHeight="1" x14ac:dyDescent="0.2">
      <c r="B159" s="124"/>
      <c r="C159" s="125" t="s">
        <v>392</v>
      </c>
      <c r="D159" s="125" t="s">
        <v>284</v>
      </c>
      <c r="E159" s="126" t="s">
        <v>2029</v>
      </c>
      <c r="F159" s="127" t="s">
        <v>2030</v>
      </c>
      <c r="G159" s="128" t="s">
        <v>2018</v>
      </c>
      <c r="H159" s="129">
        <v>5</v>
      </c>
      <c r="I159" s="130">
        <v>147.19731978000002</v>
      </c>
      <c r="J159" s="131">
        <f>ROUND(I159*H159,2)</f>
        <v>735.99</v>
      </c>
      <c r="K159" s="127" t="s">
        <v>1</v>
      </c>
      <c r="L159" s="268">
        <f>S159</f>
        <v>0</v>
      </c>
      <c r="M159" s="272">
        <f>ROUND(L159*I159,2)</f>
        <v>0</v>
      </c>
      <c r="N159" s="243"/>
      <c r="O159" s="294">
        <f>ROUND(N159*I159,2)</f>
        <v>0</v>
      </c>
      <c r="P159" s="273">
        <f>H159-L159-N159</f>
        <v>5</v>
      </c>
      <c r="Q159" s="287">
        <f>ROUND(P159*I159,2)</f>
        <v>735.99</v>
      </c>
      <c r="R159" s="137"/>
      <c r="S159" s="269">
        <f>W159+Y159+AA159+AC159</f>
        <v>0</v>
      </c>
      <c r="T159" s="269">
        <f>ROUND(S159*I159,2)</f>
        <v>0</v>
      </c>
      <c r="U159" s="269">
        <f>H159-S159</f>
        <v>5</v>
      </c>
      <c r="V159" s="269">
        <f>ROUND(U159*I159,2)</f>
        <v>735.99</v>
      </c>
      <c r="W159" s="269"/>
      <c r="X159" s="269"/>
      <c r="Y159" s="269"/>
      <c r="Z159" s="269"/>
      <c r="AA159" s="269"/>
      <c r="AB159" s="269"/>
      <c r="AC159" s="269"/>
      <c r="AD159" s="269"/>
      <c r="BB159" s="132" t="s">
        <v>1</v>
      </c>
      <c r="BC159" s="133" t="s">
        <v>40</v>
      </c>
      <c r="BE159" s="134">
        <f>BD159*H159</f>
        <v>0</v>
      </c>
      <c r="BF159" s="134">
        <v>0</v>
      </c>
      <c r="BG159" s="134">
        <f>BF159*H159</f>
        <v>0</v>
      </c>
      <c r="BH159" s="134">
        <v>0</v>
      </c>
      <c r="BI159" s="135">
        <f>BH159*H159</f>
        <v>0</v>
      </c>
      <c r="CG159" s="136" t="s">
        <v>95</v>
      </c>
      <c r="CI159" s="136" t="s">
        <v>284</v>
      </c>
      <c r="CJ159" s="136" t="s">
        <v>83</v>
      </c>
      <c r="CN159" s="16" t="s">
        <v>282</v>
      </c>
      <c r="CT159" s="137">
        <f>IF(BC159="základní",J159,0)</f>
        <v>735.99</v>
      </c>
      <c r="CU159" s="137">
        <f>IF(BC159="snížená",J159,0)</f>
        <v>0</v>
      </c>
      <c r="CV159" s="137">
        <f>IF(BC159="zákl. přenesená",J159,0)</f>
        <v>0</v>
      </c>
      <c r="CW159" s="137">
        <f>IF(BC159="sníž. přenesená",J159,0)</f>
        <v>0</v>
      </c>
      <c r="CX159" s="137">
        <f>IF(BC159="nulová",J159,0)</f>
        <v>0</v>
      </c>
      <c r="CY159" s="16" t="s">
        <v>81</v>
      </c>
      <c r="CZ159" s="137">
        <f>ROUND(I159*H159,2)</f>
        <v>735.99</v>
      </c>
      <c r="DA159" s="16" t="s">
        <v>95</v>
      </c>
      <c r="DB159" s="136" t="s">
        <v>514</v>
      </c>
    </row>
    <row r="160" spans="2:106" s="1" customFormat="1" x14ac:dyDescent="0.2">
      <c r="B160" s="31"/>
      <c r="D160" s="138" t="s">
        <v>289</v>
      </c>
      <c r="F160" s="139" t="s">
        <v>2030</v>
      </c>
      <c r="I160" s="140"/>
      <c r="L160" s="31"/>
      <c r="N160" s="213"/>
      <c r="O160" s="214"/>
      <c r="Q160" s="229"/>
      <c r="BB160" s="141"/>
      <c r="BI160" s="50"/>
      <c r="CI160" s="16" t="s">
        <v>289</v>
      </c>
      <c r="CJ160" s="16" t="s">
        <v>83</v>
      </c>
    </row>
    <row r="161" spans="2:106" s="1" customFormat="1" ht="24.2" customHeight="1" x14ac:dyDescent="0.2">
      <c r="B161" s="124"/>
      <c r="C161" s="125" t="s">
        <v>397</v>
      </c>
      <c r="D161" s="125" t="s">
        <v>284</v>
      </c>
      <c r="E161" s="126" t="s">
        <v>2031</v>
      </c>
      <c r="F161" s="127" t="s">
        <v>2032</v>
      </c>
      <c r="G161" s="128" t="s">
        <v>2018</v>
      </c>
      <c r="H161" s="129">
        <v>5</v>
      </c>
      <c r="I161" s="130">
        <v>245.32886629999999</v>
      </c>
      <c r="J161" s="131">
        <f>ROUND(I161*H161,2)</f>
        <v>1226.6400000000001</v>
      </c>
      <c r="K161" s="127" t="s">
        <v>1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5</v>
      </c>
      <c r="Q161" s="287">
        <f>ROUND(P161*I161,2)</f>
        <v>1226.6400000000001</v>
      </c>
      <c r="R161" s="137"/>
      <c r="S161" s="269">
        <f>W161+Y161+AA161+AC161</f>
        <v>0</v>
      </c>
      <c r="T161" s="269">
        <f>ROUND(S161*I161,2)</f>
        <v>0</v>
      </c>
      <c r="U161" s="269">
        <f>H161-S161</f>
        <v>5</v>
      </c>
      <c r="V161" s="269">
        <f>ROUND(U161*I161,2)</f>
        <v>1226.6400000000001</v>
      </c>
      <c r="W161" s="269"/>
      <c r="X161" s="269"/>
      <c r="Y161" s="269"/>
      <c r="Z161" s="269"/>
      <c r="AA161" s="269"/>
      <c r="AB161" s="269"/>
      <c r="AC161" s="269"/>
      <c r="AD161" s="269"/>
      <c r="BB161" s="132" t="s">
        <v>1</v>
      </c>
      <c r="BC161" s="133" t="s">
        <v>40</v>
      </c>
      <c r="BE161" s="134">
        <f>BD161*H161</f>
        <v>0</v>
      </c>
      <c r="BF161" s="134">
        <v>0</v>
      </c>
      <c r="BG161" s="134">
        <f>BF161*H161</f>
        <v>0</v>
      </c>
      <c r="BH161" s="134">
        <v>0</v>
      </c>
      <c r="BI161" s="135">
        <f>BH161*H161</f>
        <v>0</v>
      </c>
      <c r="CG161" s="136" t="s">
        <v>95</v>
      </c>
      <c r="CI161" s="136" t="s">
        <v>284</v>
      </c>
      <c r="CJ161" s="136" t="s">
        <v>83</v>
      </c>
      <c r="CN161" s="16" t="s">
        <v>282</v>
      </c>
      <c r="CT161" s="137">
        <f>IF(BC161="základní",J161,0)</f>
        <v>1226.6400000000001</v>
      </c>
      <c r="CU161" s="137">
        <f>IF(BC161="snížená",J161,0)</f>
        <v>0</v>
      </c>
      <c r="CV161" s="137">
        <f>IF(BC161="zákl. přenesená",J161,0)</f>
        <v>0</v>
      </c>
      <c r="CW161" s="137">
        <f>IF(BC161="sníž. přenesená",J161,0)</f>
        <v>0</v>
      </c>
      <c r="CX161" s="137">
        <f>IF(BC161="nulová",J161,0)</f>
        <v>0</v>
      </c>
      <c r="CY161" s="16" t="s">
        <v>81</v>
      </c>
      <c r="CZ161" s="137">
        <f>ROUND(I161*H161,2)</f>
        <v>1226.6400000000001</v>
      </c>
      <c r="DA161" s="16" t="s">
        <v>95</v>
      </c>
      <c r="DB161" s="136" t="s">
        <v>526</v>
      </c>
    </row>
    <row r="162" spans="2:106" s="1" customFormat="1" x14ac:dyDescent="0.2">
      <c r="B162" s="31"/>
      <c r="D162" s="138" t="s">
        <v>289</v>
      </c>
      <c r="F162" s="139" t="s">
        <v>2032</v>
      </c>
      <c r="I162" s="140"/>
      <c r="L162" s="31"/>
      <c r="N162" s="213"/>
      <c r="O162" s="214"/>
      <c r="Q162" s="229"/>
      <c r="BB162" s="141"/>
      <c r="BI162" s="50"/>
      <c r="CI162" s="16" t="s">
        <v>289</v>
      </c>
      <c r="CJ162" s="16" t="s">
        <v>83</v>
      </c>
    </row>
    <row r="163" spans="2:106" s="1" customFormat="1" ht="14.45" customHeight="1" x14ac:dyDescent="0.2">
      <c r="B163" s="124"/>
      <c r="C163" s="125" t="s">
        <v>404</v>
      </c>
      <c r="D163" s="125" t="s">
        <v>284</v>
      </c>
      <c r="E163" s="126" t="s">
        <v>2033</v>
      </c>
      <c r="F163" s="127" t="s">
        <v>2026</v>
      </c>
      <c r="G163" s="128" t="s">
        <v>2018</v>
      </c>
      <c r="H163" s="129">
        <v>5</v>
      </c>
      <c r="I163" s="130">
        <v>46.413569299999999</v>
      </c>
      <c r="J163" s="131">
        <f>ROUND(I163*H163,2)</f>
        <v>232.07</v>
      </c>
      <c r="K163" s="127" t="s">
        <v>1</v>
      </c>
      <c r="L163" s="268">
        <f>S163</f>
        <v>0</v>
      </c>
      <c r="M163" s="272">
        <f>ROUND(L163*I163,2)</f>
        <v>0</v>
      </c>
      <c r="N163" s="243"/>
      <c r="O163" s="294">
        <f>ROUND(N163*I163,2)</f>
        <v>0</v>
      </c>
      <c r="P163" s="273">
        <f>H163-L163-N163</f>
        <v>5</v>
      </c>
      <c r="Q163" s="287">
        <f>ROUND(P163*I163,2)</f>
        <v>232.07</v>
      </c>
      <c r="R163" s="137"/>
      <c r="S163" s="269">
        <f>W163+Y163+AA163+AC163</f>
        <v>0</v>
      </c>
      <c r="T163" s="269">
        <f>ROUND(S163*I163,2)</f>
        <v>0</v>
      </c>
      <c r="U163" s="269">
        <f>H163-S163</f>
        <v>5</v>
      </c>
      <c r="V163" s="269">
        <f>ROUND(U163*I163,2)</f>
        <v>232.07</v>
      </c>
      <c r="W163" s="269"/>
      <c r="X163" s="269"/>
      <c r="Y163" s="269"/>
      <c r="Z163" s="269"/>
      <c r="AA163" s="269"/>
      <c r="AB163" s="269"/>
      <c r="AC163" s="269"/>
      <c r="AD163" s="269"/>
      <c r="BB163" s="132" t="s">
        <v>1</v>
      </c>
      <c r="BC163" s="133" t="s">
        <v>40</v>
      </c>
      <c r="BE163" s="134">
        <f>BD163*H163</f>
        <v>0</v>
      </c>
      <c r="BF163" s="134">
        <v>0</v>
      </c>
      <c r="BG163" s="134">
        <f>BF163*H163</f>
        <v>0</v>
      </c>
      <c r="BH163" s="134">
        <v>0</v>
      </c>
      <c r="BI163" s="135">
        <f>BH163*H163</f>
        <v>0</v>
      </c>
      <c r="CG163" s="136" t="s">
        <v>95</v>
      </c>
      <c r="CI163" s="136" t="s">
        <v>284</v>
      </c>
      <c r="CJ163" s="136" t="s">
        <v>83</v>
      </c>
      <c r="CN163" s="16" t="s">
        <v>282</v>
      </c>
      <c r="CT163" s="137">
        <f>IF(BC163="základní",J163,0)</f>
        <v>232.07</v>
      </c>
      <c r="CU163" s="137">
        <f>IF(BC163="snížená",J163,0)</f>
        <v>0</v>
      </c>
      <c r="CV163" s="137">
        <f>IF(BC163="zákl. přenesená",J163,0)</f>
        <v>0</v>
      </c>
      <c r="CW163" s="137">
        <f>IF(BC163="sníž. přenesená",J163,0)</f>
        <v>0</v>
      </c>
      <c r="CX163" s="137">
        <f>IF(BC163="nulová",J163,0)</f>
        <v>0</v>
      </c>
      <c r="CY163" s="16" t="s">
        <v>81</v>
      </c>
      <c r="CZ163" s="137">
        <f>ROUND(I163*H163,2)</f>
        <v>232.07</v>
      </c>
      <c r="DA163" s="16" t="s">
        <v>95</v>
      </c>
      <c r="DB163" s="136" t="s">
        <v>536</v>
      </c>
    </row>
    <row r="164" spans="2:106" s="1" customFormat="1" x14ac:dyDescent="0.2">
      <c r="B164" s="31"/>
      <c r="D164" s="138" t="s">
        <v>289</v>
      </c>
      <c r="F164" s="139" t="s">
        <v>2026</v>
      </c>
      <c r="I164" s="140"/>
      <c r="L164" s="31"/>
      <c r="N164" s="213"/>
      <c r="O164" s="214"/>
      <c r="Q164" s="229"/>
      <c r="BB164" s="141"/>
      <c r="BI164" s="50"/>
      <c r="CI164" s="16" t="s">
        <v>289</v>
      </c>
      <c r="CJ164" s="16" t="s">
        <v>83</v>
      </c>
    </row>
    <row r="165" spans="2:106" s="10" customFormat="1" ht="22.9" customHeight="1" x14ac:dyDescent="0.2">
      <c r="B165" s="112"/>
      <c r="D165" s="113" t="s">
        <v>73</v>
      </c>
      <c r="E165" s="122" t="s">
        <v>2034</v>
      </c>
      <c r="F165" s="122" t="s">
        <v>2035</v>
      </c>
      <c r="I165" s="115"/>
      <c r="J165" s="123">
        <f>CZ165</f>
        <v>15581.7</v>
      </c>
      <c r="L165" s="112"/>
      <c r="M165" s="270">
        <f>SUM(M166:M172)</f>
        <v>0</v>
      </c>
      <c r="N165" s="301"/>
      <c r="O165" s="302">
        <f t="shared" ref="O165:V165" si="5">SUM(O166:O172)</f>
        <v>0</v>
      </c>
      <c r="P165" s="270"/>
      <c r="Q165" s="288">
        <f t="shared" si="5"/>
        <v>15581.7</v>
      </c>
      <c r="R165" s="270"/>
      <c r="S165" s="270"/>
      <c r="T165" s="270">
        <f t="shared" si="5"/>
        <v>0</v>
      </c>
      <c r="U165" s="270"/>
      <c r="V165" s="270">
        <f t="shared" si="5"/>
        <v>15581.7</v>
      </c>
      <c r="BB165" s="117"/>
      <c r="BE165" s="118">
        <f>SUM(BE166:BE173)</f>
        <v>0</v>
      </c>
      <c r="BG165" s="118">
        <f>SUM(BG166:BG173)</f>
        <v>0</v>
      </c>
      <c r="BI165" s="119">
        <f>SUM(BI166:BI173)</f>
        <v>0</v>
      </c>
      <c r="CG165" s="113" t="s">
        <v>81</v>
      </c>
      <c r="CI165" s="120" t="s">
        <v>73</v>
      </c>
      <c r="CJ165" s="120" t="s">
        <v>81</v>
      </c>
      <c r="CN165" s="113" t="s">
        <v>282</v>
      </c>
      <c r="CZ165" s="121">
        <f>SUM(CZ166:CZ173)</f>
        <v>15581.7</v>
      </c>
    </row>
    <row r="166" spans="2:106" s="1" customFormat="1" ht="14.45" customHeight="1" x14ac:dyDescent="0.2">
      <c r="B166" s="124"/>
      <c r="C166" s="125" t="s">
        <v>7</v>
      </c>
      <c r="D166" s="125" t="s">
        <v>284</v>
      </c>
      <c r="E166" s="126" t="s">
        <v>2036</v>
      </c>
      <c r="F166" s="127" t="s">
        <v>2037</v>
      </c>
      <c r="G166" s="128" t="s">
        <v>331</v>
      </c>
      <c r="H166" s="129">
        <v>12</v>
      </c>
      <c r="I166" s="130">
        <v>568.32942000000003</v>
      </c>
      <c r="J166" s="131">
        <f>ROUND(I166*H166,2)</f>
        <v>6819.95</v>
      </c>
      <c r="K166" s="127" t="s">
        <v>1</v>
      </c>
      <c r="L166" s="268">
        <f>S166</f>
        <v>0</v>
      </c>
      <c r="M166" s="272">
        <f>ROUND(L166*I166,2)</f>
        <v>0</v>
      </c>
      <c r="N166" s="243"/>
      <c r="O166" s="294">
        <f>ROUND(N166*I166,2)</f>
        <v>0</v>
      </c>
      <c r="P166" s="273">
        <f>H166-L166-N166</f>
        <v>12</v>
      </c>
      <c r="Q166" s="287">
        <f>ROUND(P166*I166,2)</f>
        <v>6819.95</v>
      </c>
      <c r="R166" s="137"/>
      <c r="S166" s="269">
        <f>W166+Y166+AA166+AC166</f>
        <v>0</v>
      </c>
      <c r="T166" s="269">
        <f>ROUND(S166*I166,2)</f>
        <v>0</v>
      </c>
      <c r="U166" s="269">
        <f>H166-S166</f>
        <v>12</v>
      </c>
      <c r="V166" s="269">
        <f>ROUND(U166*I166,2)</f>
        <v>6819.95</v>
      </c>
      <c r="W166" s="269"/>
      <c r="X166" s="269"/>
      <c r="Y166" s="269"/>
      <c r="Z166" s="269"/>
      <c r="AA166" s="269"/>
      <c r="AB166" s="269"/>
      <c r="AC166" s="269"/>
      <c r="AD166" s="269"/>
      <c r="BB166" s="132" t="s">
        <v>1</v>
      </c>
      <c r="BC166" s="133" t="s">
        <v>40</v>
      </c>
      <c r="BE166" s="134">
        <f>BD166*H166</f>
        <v>0</v>
      </c>
      <c r="BF166" s="134">
        <v>0</v>
      </c>
      <c r="BG166" s="134">
        <f>BF166*H166</f>
        <v>0</v>
      </c>
      <c r="BH166" s="134">
        <v>0</v>
      </c>
      <c r="BI166" s="135">
        <f>BH166*H166</f>
        <v>0</v>
      </c>
      <c r="CG166" s="136" t="s">
        <v>95</v>
      </c>
      <c r="CI166" s="136" t="s">
        <v>284</v>
      </c>
      <c r="CJ166" s="136" t="s">
        <v>83</v>
      </c>
      <c r="CN166" s="16" t="s">
        <v>282</v>
      </c>
      <c r="CT166" s="137">
        <f>IF(BC166="základní",J166,0)</f>
        <v>6819.95</v>
      </c>
      <c r="CU166" s="137">
        <f>IF(BC166="snížená",J166,0)</f>
        <v>0</v>
      </c>
      <c r="CV166" s="137">
        <f>IF(BC166="zákl. přenesená",J166,0)</f>
        <v>0</v>
      </c>
      <c r="CW166" s="137">
        <f>IF(BC166="sníž. přenesená",J166,0)</f>
        <v>0</v>
      </c>
      <c r="CX166" s="137">
        <f>IF(BC166="nulová",J166,0)</f>
        <v>0</v>
      </c>
      <c r="CY166" s="16" t="s">
        <v>81</v>
      </c>
      <c r="CZ166" s="137">
        <f>ROUND(I166*H166,2)</f>
        <v>6819.95</v>
      </c>
      <c r="DA166" s="16" t="s">
        <v>95</v>
      </c>
      <c r="DB166" s="136" t="s">
        <v>548</v>
      </c>
    </row>
    <row r="167" spans="2:106" s="1" customFormat="1" x14ac:dyDescent="0.2">
      <c r="B167" s="31"/>
      <c r="D167" s="138" t="s">
        <v>289</v>
      </c>
      <c r="F167" s="139" t="s">
        <v>2037</v>
      </c>
      <c r="I167" s="140"/>
      <c r="L167" s="31"/>
      <c r="N167" s="213"/>
      <c r="O167" s="214"/>
      <c r="Q167" s="229"/>
      <c r="BB167" s="141"/>
      <c r="BI167" s="50"/>
      <c r="CI167" s="16" t="s">
        <v>289</v>
      </c>
      <c r="CJ167" s="16" t="s">
        <v>83</v>
      </c>
    </row>
    <row r="168" spans="2:106" s="1" customFormat="1" ht="14.45" customHeight="1" x14ac:dyDescent="0.2">
      <c r="B168" s="124"/>
      <c r="C168" s="125" t="s">
        <v>415</v>
      </c>
      <c r="D168" s="125" t="s">
        <v>284</v>
      </c>
      <c r="E168" s="126" t="s">
        <v>2038</v>
      </c>
      <c r="F168" s="127" t="s">
        <v>2039</v>
      </c>
      <c r="G168" s="128" t="s">
        <v>331</v>
      </c>
      <c r="H168" s="129">
        <v>10</v>
      </c>
      <c r="I168" s="130">
        <v>520.96863499999995</v>
      </c>
      <c r="J168" s="131">
        <f>ROUND(I168*H168,2)</f>
        <v>5209.6899999999996</v>
      </c>
      <c r="K168" s="127" t="s">
        <v>1</v>
      </c>
      <c r="L168" s="268">
        <f>S168</f>
        <v>0</v>
      </c>
      <c r="M168" s="272">
        <f>ROUND(L168*I168,2)</f>
        <v>0</v>
      </c>
      <c r="N168" s="243"/>
      <c r="O168" s="294">
        <f>ROUND(N168*I168,2)</f>
        <v>0</v>
      </c>
      <c r="P168" s="273">
        <f>H168-L168-N168</f>
        <v>10</v>
      </c>
      <c r="Q168" s="287">
        <f>ROUND(P168*I168,2)</f>
        <v>5209.6899999999996</v>
      </c>
      <c r="R168" s="137"/>
      <c r="S168" s="269">
        <f>W168+Y168+AA168+AC168</f>
        <v>0</v>
      </c>
      <c r="T168" s="269">
        <f>ROUND(S168*I168,2)</f>
        <v>0</v>
      </c>
      <c r="U168" s="269">
        <f>H168-S168</f>
        <v>10</v>
      </c>
      <c r="V168" s="269">
        <f>ROUND(U168*I168,2)</f>
        <v>5209.6899999999996</v>
      </c>
      <c r="W168" s="269"/>
      <c r="X168" s="269"/>
      <c r="Y168" s="269"/>
      <c r="Z168" s="269"/>
      <c r="AA168" s="269"/>
      <c r="AB168" s="269"/>
      <c r="AC168" s="269"/>
      <c r="AD168" s="269"/>
      <c r="BB168" s="132" t="s">
        <v>1</v>
      </c>
      <c r="BC168" s="133" t="s">
        <v>40</v>
      </c>
      <c r="BE168" s="134">
        <f>BD168*H168</f>
        <v>0</v>
      </c>
      <c r="BF168" s="134">
        <v>0</v>
      </c>
      <c r="BG168" s="134">
        <f>BF168*H168</f>
        <v>0</v>
      </c>
      <c r="BH168" s="134">
        <v>0</v>
      </c>
      <c r="BI168" s="135">
        <f>BH168*H168</f>
        <v>0</v>
      </c>
      <c r="CG168" s="136" t="s">
        <v>95</v>
      </c>
      <c r="CI168" s="136" t="s">
        <v>284</v>
      </c>
      <c r="CJ168" s="136" t="s">
        <v>83</v>
      </c>
      <c r="CN168" s="16" t="s">
        <v>282</v>
      </c>
      <c r="CT168" s="137">
        <f>IF(BC168="základní",J168,0)</f>
        <v>5209.6899999999996</v>
      </c>
      <c r="CU168" s="137">
        <f>IF(BC168="snížená",J168,0)</f>
        <v>0</v>
      </c>
      <c r="CV168" s="137">
        <f>IF(BC168="zákl. přenesená",J168,0)</f>
        <v>0</v>
      </c>
      <c r="CW168" s="137">
        <f>IF(BC168="sníž. přenesená",J168,0)</f>
        <v>0</v>
      </c>
      <c r="CX168" s="137">
        <f>IF(BC168="nulová",J168,0)</f>
        <v>0</v>
      </c>
      <c r="CY168" s="16" t="s">
        <v>81</v>
      </c>
      <c r="CZ168" s="137">
        <f>ROUND(I168*H168,2)</f>
        <v>5209.6899999999996</v>
      </c>
      <c r="DA168" s="16" t="s">
        <v>95</v>
      </c>
      <c r="DB168" s="136" t="s">
        <v>562</v>
      </c>
    </row>
    <row r="169" spans="2:106" s="1" customFormat="1" x14ac:dyDescent="0.2">
      <c r="B169" s="31"/>
      <c r="D169" s="138" t="s">
        <v>289</v>
      </c>
      <c r="F169" s="139" t="s">
        <v>2039</v>
      </c>
      <c r="I169" s="140"/>
      <c r="L169" s="31"/>
      <c r="N169" s="213"/>
      <c r="O169" s="214"/>
      <c r="Q169" s="229"/>
      <c r="BB169" s="141"/>
      <c r="BI169" s="50"/>
      <c r="CI169" s="16" t="s">
        <v>289</v>
      </c>
      <c r="CJ169" s="16" t="s">
        <v>83</v>
      </c>
    </row>
    <row r="170" spans="2:106" s="1" customFormat="1" ht="14.45" customHeight="1" x14ac:dyDescent="0.2">
      <c r="B170" s="124"/>
      <c r="C170" s="125" t="s">
        <v>422</v>
      </c>
      <c r="D170" s="125" t="s">
        <v>284</v>
      </c>
      <c r="E170" s="126" t="s">
        <v>2040</v>
      </c>
      <c r="F170" s="127" t="s">
        <v>2041</v>
      </c>
      <c r="G170" s="128" t="s">
        <v>331</v>
      </c>
      <c r="H170" s="129">
        <v>5</v>
      </c>
      <c r="I170" s="130">
        <v>473.60784999999998</v>
      </c>
      <c r="J170" s="131">
        <f>ROUND(I170*H170,2)</f>
        <v>2368.04</v>
      </c>
      <c r="K170" s="127" t="s">
        <v>1</v>
      </c>
      <c r="L170" s="268">
        <f>S170</f>
        <v>0</v>
      </c>
      <c r="M170" s="272">
        <f>ROUND(L170*I170,2)</f>
        <v>0</v>
      </c>
      <c r="N170" s="243"/>
      <c r="O170" s="294">
        <f>ROUND(N170*I170,2)</f>
        <v>0</v>
      </c>
      <c r="P170" s="273">
        <f>H170-L170-N170</f>
        <v>5</v>
      </c>
      <c r="Q170" s="287">
        <f>ROUND(P170*I170,2)</f>
        <v>2368.04</v>
      </c>
      <c r="R170" s="137"/>
      <c r="S170" s="269">
        <f>W170+Y170+AA170+AC170</f>
        <v>0</v>
      </c>
      <c r="T170" s="269">
        <f>ROUND(S170*I170,2)</f>
        <v>0</v>
      </c>
      <c r="U170" s="269">
        <f>H170-S170</f>
        <v>5</v>
      </c>
      <c r="V170" s="269">
        <f>ROUND(U170*I170,2)</f>
        <v>2368.04</v>
      </c>
      <c r="W170" s="269"/>
      <c r="X170" s="269"/>
      <c r="Y170" s="269"/>
      <c r="Z170" s="269"/>
      <c r="AA170" s="269"/>
      <c r="AB170" s="269"/>
      <c r="AC170" s="269"/>
      <c r="AD170" s="269"/>
      <c r="BB170" s="132" t="s">
        <v>1</v>
      </c>
      <c r="BC170" s="133" t="s">
        <v>40</v>
      </c>
      <c r="BE170" s="134">
        <f>BD170*H170</f>
        <v>0</v>
      </c>
      <c r="BF170" s="134">
        <v>0</v>
      </c>
      <c r="BG170" s="134">
        <f>BF170*H170</f>
        <v>0</v>
      </c>
      <c r="BH170" s="134">
        <v>0</v>
      </c>
      <c r="BI170" s="135">
        <f>BH170*H170</f>
        <v>0</v>
      </c>
      <c r="CG170" s="136" t="s">
        <v>95</v>
      </c>
      <c r="CI170" s="136" t="s">
        <v>284</v>
      </c>
      <c r="CJ170" s="136" t="s">
        <v>83</v>
      </c>
      <c r="CN170" s="16" t="s">
        <v>282</v>
      </c>
      <c r="CT170" s="137">
        <f>IF(BC170="základní",J170,0)</f>
        <v>2368.04</v>
      </c>
      <c r="CU170" s="137">
        <f>IF(BC170="snížená",J170,0)</f>
        <v>0</v>
      </c>
      <c r="CV170" s="137">
        <f>IF(BC170="zákl. přenesená",J170,0)</f>
        <v>0</v>
      </c>
      <c r="CW170" s="137">
        <f>IF(BC170="sníž. přenesená",J170,0)</f>
        <v>0</v>
      </c>
      <c r="CX170" s="137">
        <f>IF(BC170="nulová",J170,0)</f>
        <v>0</v>
      </c>
      <c r="CY170" s="16" t="s">
        <v>81</v>
      </c>
      <c r="CZ170" s="137">
        <f>ROUND(I170*H170,2)</f>
        <v>2368.04</v>
      </c>
      <c r="DA170" s="16" t="s">
        <v>95</v>
      </c>
      <c r="DB170" s="136" t="s">
        <v>572</v>
      </c>
    </row>
    <row r="171" spans="2:106" s="1" customFormat="1" x14ac:dyDescent="0.2">
      <c r="B171" s="31"/>
      <c r="D171" s="138" t="s">
        <v>289</v>
      </c>
      <c r="F171" s="139" t="s">
        <v>2041</v>
      </c>
      <c r="I171" s="140"/>
      <c r="L171" s="31"/>
      <c r="N171" s="213"/>
      <c r="O171" s="214"/>
      <c r="Q171" s="229"/>
      <c r="BB171" s="141"/>
      <c r="BI171" s="50"/>
      <c r="CI171" s="16" t="s">
        <v>289</v>
      </c>
      <c r="CJ171" s="16" t="s">
        <v>83</v>
      </c>
    </row>
    <row r="172" spans="2:106" s="1" customFormat="1" ht="14.45" customHeight="1" x14ac:dyDescent="0.2">
      <c r="B172" s="124"/>
      <c r="C172" s="125" t="s">
        <v>438</v>
      </c>
      <c r="D172" s="125" t="s">
        <v>284</v>
      </c>
      <c r="E172" s="126" t="s">
        <v>2042</v>
      </c>
      <c r="F172" s="127" t="s">
        <v>2043</v>
      </c>
      <c r="G172" s="128" t="s">
        <v>1948</v>
      </c>
      <c r="H172" s="129">
        <v>1</v>
      </c>
      <c r="I172" s="130">
        <v>1184.0196249999999</v>
      </c>
      <c r="J172" s="131">
        <f>ROUND(I172*H172,2)</f>
        <v>1184.02</v>
      </c>
      <c r="K172" s="127" t="s">
        <v>1</v>
      </c>
      <c r="L172" s="268">
        <f>S172</f>
        <v>0</v>
      </c>
      <c r="M172" s="272">
        <f>ROUND(L172*I172,2)</f>
        <v>0</v>
      </c>
      <c r="N172" s="243"/>
      <c r="O172" s="294">
        <f>ROUND(N172*I172,2)</f>
        <v>0</v>
      </c>
      <c r="P172" s="273">
        <f>H172-L172-N172</f>
        <v>1</v>
      </c>
      <c r="Q172" s="287">
        <f>ROUND(P172*I172,2)</f>
        <v>1184.02</v>
      </c>
      <c r="R172" s="137"/>
      <c r="S172" s="269">
        <f>W172+Y172+AA172+AC172</f>
        <v>0</v>
      </c>
      <c r="T172" s="269">
        <f>ROUND(S172*I172,2)</f>
        <v>0</v>
      </c>
      <c r="U172" s="269">
        <f>H172-S172</f>
        <v>1</v>
      </c>
      <c r="V172" s="269">
        <f>ROUND(U172*I172,2)</f>
        <v>1184.02</v>
      </c>
      <c r="W172" s="269"/>
      <c r="X172" s="269"/>
      <c r="Y172" s="269"/>
      <c r="Z172" s="269"/>
      <c r="AA172" s="269"/>
      <c r="AB172" s="269"/>
      <c r="AC172" s="269"/>
      <c r="AD172" s="269"/>
      <c r="BB172" s="132" t="s">
        <v>1</v>
      </c>
      <c r="BC172" s="133" t="s">
        <v>40</v>
      </c>
      <c r="BE172" s="134">
        <f>BD172*H172</f>
        <v>0</v>
      </c>
      <c r="BF172" s="134">
        <v>0</v>
      </c>
      <c r="BG172" s="134">
        <f>BF172*H172</f>
        <v>0</v>
      </c>
      <c r="BH172" s="134">
        <v>0</v>
      </c>
      <c r="BI172" s="135">
        <f>BH172*H172</f>
        <v>0</v>
      </c>
      <c r="CG172" s="136" t="s">
        <v>95</v>
      </c>
      <c r="CI172" s="136" t="s">
        <v>284</v>
      </c>
      <c r="CJ172" s="136" t="s">
        <v>83</v>
      </c>
      <c r="CN172" s="16" t="s">
        <v>282</v>
      </c>
      <c r="CT172" s="137">
        <f>IF(BC172="základní",J172,0)</f>
        <v>1184.02</v>
      </c>
      <c r="CU172" s="137">
        <f>IF(BC172="snížená",J172,0)</f>
        <v>0</v>
      </c>
      <c r="CV172" s="137">
        <f>IF(BC172="zákl. přenesená",J172,0)</f>
        <v>0</v>
      </c>
      <c r="CW172" s="137">
        <f>IF(BC172="sníž. přenesená",J172,0)</f>
        <v>0</v>
      </c>
      <c r="CX172" s="137">
        <f>IF(BC172="nulová",J172,0)</f>
        <v>0</v>
      </c>
      <c r="CY172" s="16" t="s">
        <v>81</v>
      </c>
      <c r="CZ172" s="137">
        <f>ROUND(I172*H172,2)</f>
        <v>1184.02</v>
      </c>
      <c r="DA172" s="16" t="s">
        <v>95</v>
      </c>
      <c r="DB172" s="136" t="s">
        <v>2044</v>
      </c>
    </row>
    <row r="173" spans="2:106" s="1" customFormat="1" x14ac:dyDescent="0.2">
      <c r="B173" s="31"/>
      <c r="D173" s="138" t="s">
        <v>289</v>
      </c>
      <c r="F173" s="139" t="s">
        <v>2045</v>
      </c>
      <c r="I173" s="140"/>
      <c r="L173" s="31"/>
      <c r="N173" s="213"/>
      <c r="O173" s="214"/>
      <c r="Q173" s="229"/>
      <c r="BB173" s="187"/>
      <c r="BC173" s="184"/>
      <c r="BD173" s="184"/>
      <c r="BE173" s="184"/>
      <c r="BF173" s="184"/>
      <c r="BG173" s="184"/>
      <c r="BH173" s="184"/>
      <c r="BI173" s="188"/>
      <c r="CI173" s="16" t="s">
        <v>289</v>
      </c>
      <c r="CJ173" s="16" t="s">
        <v>83</v>
      </c>
    </row>
    <row r="174" spans="2:106" s="1" customFormat="1" ht="6.95" customHeight="1" thickBot="1" x14ac:dyDescent="0.25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235"/>
      <c r="M174" s="237"/>
      <c r="N174" s="239"/>
      <c r="O174" s="240"/>
      <c r="P174" s="238"/>
      <c r="Q174" s="241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</row>
  </sheetData>
  <autoFilter ref="C118:K173"/>
  <mergeCells count="23">
    <mergeCell ref="G117:K117"/>
    <mergeCell ref="E114:H114"/>
    <mergeCell ref="L2:BK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  <mergeCell ref="L118:Q118"/>
    <mergeCell ref="L119:M119"/>
    <mergeCell ref="N119:O119"/>
    <mergeCell ref="P119:Q119"/>
    <mergeCell ref="S119:T119"/>
    <mergeCell ref="Y119:Z119"/>
    <mergeCell ref="AA119:AB119"/>
    <mergeCell ref="AC119:AD119"/>
    <mergeCell ref="U119:V119"/>
    <mergeCell ref="W119:X11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D320"/>
  <sheetViews>
    <sheetView windowProtection="1" showGridLines="0" topLeftCell="A113" zoomScale="80" zoomScaleNormal="80" workbookViewId="0">
      <selection activeCell="N137" sqref="N13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5.1640625" customWidth="1"/>
    <col min="13" max="13" width="16.83203125" customWidth="1"/>
    <col min="14" max="14" width="15.1640625" customWidth="1"/>
    <col min="15" max="15" width="19.83203125" customWidth="1"/>
    <col min="16" max="16" width="15.1640625" customWidth="1"/>
    <col min="17" max="17" width="19" customWidth="1"/>
    <col min="18" max="107" width="15.1640625" customWidth="1"/>
    <col min="108" max="108" width="10.83203125" customWidth="1"/>
    <col min="110" max="115" width="14.1640625" customWidth="1"/>
    <col min="116" max="116" width="16.33203125" customWidth="1"/>
    <col min="117" max="117" width="12.33203125" customWidth="1"/>
    <col min="118" max="118" width="16.33203125" customWidth="1"/>
    <col min="119" max="119" width="12.33203125" customWidth="1"/>
    <col min="120" max="120" width="15" customWidth="1"/>
    <col min="121" max="121" width="11" customWidth="1"/>
    <col min="122" max="122" width="15" customWidth="1"/>
    <col min="123" max="123" width="16.33203125" customWidth="1"/>
    <col min="124" max="124" width="11" customWidth="1"/>
    <col min="125" max="125" width="15" customWidth="1"/>
    <col min="126" max="126" width="16.33203125" customWidth="1"/>
    <col min="139" max="160" width="9.33203125" hidden="1"/>
  </cols>
  <sheetData>
    <row r="1" spans="2:141" hidden="1" x14ac:dyDescent="0.2"/>
    <row r="2" spans="2:141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9"/>
      <c r="DE2" s="399"/>
      <c r="DF2" s="399"/>
      <c r="DG2" s="399"/>
      <c r="DH2" s="399"/>
      <c r="DI2" s="399"/>
      <c r="DJ2" s="399"/>
      <c r="DK2" s="399"/>
      <c r="DL2" s="399"/>
      <c r="DM2" s="399"/>
      <c r="EK2" s="16" t="s">
        <v>182</v>
      </c>
    </row>
    <row r="3" spans="2:141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K3" s="16" t="s">
        <v>83</v>
      </c>
    </row>
    <row r="4" spans="2:141" ht="24.95" hidden="1" customHeight="1" x14ac:dyDescent="0.2">
      <c r="B4" s="19"/>
      <c r="D4" s="20" t="s">
        <v>243</v>
      </c>
      <c r="L4" s="19"/>
      <c r="DD4" s="79" t="s">
        <v>10</v>
      </c>
      <c r="EK4" s="16" t="s">
        <v>3</v>
      </c>
    </row>
    <row r="5" spans="2:141" ht="6.95" hidden="1" customHeight="1" x14ac:dyDescent="0.2">
      <c r="B5" s="19"/>
      <c r="L5" s="19"/>
    </row>
    <row r="6" spans="2:141" ht="12" hidden="1" customHeight="1" x14ac:dyDescent="0.2">
      <c r="B6" s="19"/>
      <c r="D6" s="26" t="s">
        <v>16</v>
      </c>
      <c r="L6" s="19"/>
    </row>
    <row r="7" spans="2:141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41" ht="12.75" hidden="1" x14ac:dyDescent="0.2">
      <c r="B8" s="19"/>
      <c r="D8" s="26" t="s">
        <v>244</v>
      </c>
      <c r="L8" s="19"/>
    </row>
    <row r="9" spans="2:141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41" ht="12" hidden="1" customHeight="1" x14ac:dyDescent="0.2">
      <c r="B10" s="19"/>
      <c r="D10" s="26" t="s">
        <v>246</v>
      </c>
      <c r="L10" s="19"/>
    </row>
    <row r="11" spans="2:141" s="1" customFormat="1" ht="16.5" hidden="1" customHeight="1" x14ac:dyDescent="0.2">
      <c r="B11" s="31"/>
      <c r="E11" s="401" t="s">
        <v>2203</v>
      </c>
      <c r="F11" s="433"/>
      <c r="G11" s="433"/>
      <c r="H11" s="433"/>
      <c r="L11" s="31"/>
    </row>
    <row r="12" spans="2:141" s="1" customFormat="1" ht="12" hidden="1" customHeight="1" x14ac:dyDescent="0.2">
      <c r="B12" s="31"/>
      <c r="D12" s="26" t="s">
        <v>1790</v>
      </c>
      <c r="L12" s="31"/>
    </row>
    <row r="13" spans="2:141" s="1" customFormat="1" ht="16.5" hidden="1" customHeight="1" x14ac:dyDescent="0.2">
      <c r="B13" s="31"/>
      <c r="E13" s="432" t="s">
        <v>2204</v>
      </c>
      <c r="F13" s="433"/>
      <c r="G13" s="433"/>
      <c r="H13" s="433"/>
      <c r="L13" s="31"/>
    </row>
    <row r="14" spans="2:141" s="1" customFormat="1" hidden="1" x14ac:dyDescent="0.2">
      <c r="B14" s="31"/>
      <c r="L14" s="31"/>
    </row>
    <row r="15" spans="2:141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141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ROUND(J124, 2)</f>
        <v>2943814.55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ROUND((SUM(EV124:EV319)),  2)</f>
        <v>2943814.55</v>
      </c>
      <c r="I37" s="84">
        <v>0.21</v>
      </c>
      <c r="J37" s="71">
        <f>ROUND(((SUM(EV124:EV319))*I37),  2)</f>
        <v>618201.06000000006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ROUND((SUM(EW124:EW319)),  2)</f>
        <v>0</v>
      </c>
      <c r="I38" s="84">
        <v>0.15</v>
      </c>
      <c r="J38" s="71">
        <f>ROUND(((SUM(EW124:EW319))*I38),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ROUND((SUM(EX124:EX319)),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ROUND((SUM(EY124:EY319)),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ROUND((SUM(EZ124:EZ319)),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3562015.61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2203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DSO 09.1 Čerpací stanice ČS11 - stavební část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142" s="1" customFormat="1" ht="10.35" hidden="1" customHeight="1" x14ac:dyDescent="0.2">
      <c r="B97" s="31"/>
      <c r="L97" s="31"/>
    </row>
    <row r="98" spans="2:142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142" s="1" customFormat="1" ht="10.35" hidden="1" customHeight="1" x14ac:dyDescent="0.2">
      <c r="B99" s="31"/>
      <c r="L99" s="31"/>
    </row>
    <row r="100" spans="2:142" s="1" customFormat="1" ht="22.9" hidden="1" customHeight="1" x14ac:dyDescent="0.2">
      <c r="B100" s="31"/>
      <c r="C100" s="95" t="s">
        <v>256</v>
      </c>
      <c r="J100" s="58">
        <f>J124</f>
        <v>2943814.55</v>
      </c>
      <c r="L100" s="31"/>
      <c r="EL100" s="16" t="s">
        <v>257</v>
      </c>
    </row>
    <row r="101" spans="2:142" s="7" customFormat="1" ht="24.95" hidden="1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J125</f>
        <v>2943814.55</v>
      </c>
      <c r="L101" s="96"/>
    </row>
    <row r="102" spans="2:142" s="8" customFormat="1" ht="19.899999999999999" hidden="1" customHeight="1" x14ac:dyDescent="0.2">
      <c r="B102" s="100"/>
      <c r="D102" s="101" t="s">
        <v>259</v>
      </c>
      <c r="E102" s="102"/>
      <c r="F102" s="102"/>
      <c r="G102" s="102"/>
      <c r="H102" s="102"/>
      <c r="I102" s="102"/>
      <c r="J102" s="103">
        <f>J127</f>
        <v>456062.33999999997</v>
      </c>
      <c r="L102" s="100"/>
    </row>
    <row r="103" spans="2:142" s="8" customFormat="1" ht="19.899999999999999" hidden="1" customHeight="1" x14ac:dyDescent="0.2">
      <c r="B103" s="100"/>
      <c r="D103" s="101" t="s">
        <v>260</v>
      </c>
      <c r="E103" s="102"/>
      <c r="F103" s="102"/>
      <c r="G103" s="102"/>
      <c r="H103" s="102"/>
      <c r="I103" s="102"/>
      <c r="J103" s="103">
        <f>J217</f>
        <v>198309.84</v>
      </c>
      <c r="L103" s="100"/>
    </row>
    <row r="104" spans="2:142" s="8" customFormat="1" ht="19.899999999999999" hidden="1" customHeight="1" x14ac:dyDescent="0.2">
      <c r="B104" s="100"/>
      <c r="D104" s="101" t="s">
        <v>261</v>
      </c>
      <c r="E104" s="102"/>
      <c r="F104" s="102"/>
      <c r="G104" s="102"/>
      <c r="H104" s="102"/>
      <c r="I104" s="102"/>
      <c r="J104" s="103">
        <f>J256</f>
        <v>4812.2299999999996</v>
      </c>
      <c r="L104" s="100"/>
    </row>
    <row r="105" spans="2:142" s="8" customFormat="1" ht="19.899999999999999" hidden="1" customHeight="1" x14ac:dyDescent="0.2">
      <c r="B105" s="100"/>
      <c r="D105" s="101" t="s">
        <v>262</v>
      </c>
      <c r="E105" s="102"/>
      <c r="F105" s="102"/>
      <c r="G105" s="102"/>
      <c r="H105" s="102"/>
      <c r="I105" s="102"/>
      <c r="J105" s="103">
        <f>J266</f>
        <v>21203.75</v>
      </c>
      <c r="L105" s="100"/>
    </row>
    <row r="106" spans="2:142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J285</f>
        <v>2241052.0499999998</v>
      </c>
      <c r="L106" s="100"/>
    </row>
    <row r="107" spans="2:142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J295</f>
        <v>9167.92</v>
      </c>
      <c r="L107" s="100"/>
    </row>
    <row r="108" spans="2:142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J315</f>
        <v>13206.42</v>
      </c>
      <c r="L108" s="100"/>
    </row>
    <row r="109" spans="2:142" s="1" customFormat="1" ht="21.75" hidden="1" customHeight="1" x14ac:dyDescent="0.2">
      <c r="B109" s="31"/>
      <c r="L109" s="31"/>
    </row>
    <row r="110" spans="2:142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42" hidden="1" x14ac:dyDescent="0.2"/>
    <row r="112" spans="2:142" hidden="1" x14ac:dyDescent="0.2"/>
    <row r="114" spans="2:160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60" s="1" customFormat="1" ht="24.95" customHeight="1" x14ac:dyDescent="0.2">
      <c r="B115" s="31"/>
      <c r="C115" s="20" t="s">
        <v>267</v>
      </c>
      <c r="L115" s="31"/>
    </row>
    <row r="116" spans="2:160" s="1" customFormat="1" ht="6.95" customHeight="1" x14ac:dyDescent="0.2">
      <c r="B116" s="31"/>
      <c r="L116" s="31"/>
    </row>
    <row r="117" spans="2:160" s="1" customFormat="1" ht="16.5" customHeight="1" x14ac:dyDescent="0.2">
      <c r="B117" s="31"/>
      <c r="E117" s="432" t="str">
        <f>E13</f>
        <v>0001 - DSO 09.1 Čerpací stanice ČS11 - stavební část</v>
      </c>
      <c r="F117" s="433"/>
      <c r="G117" s="433"/>
      <c r="H117" s="433"/>
      <c r="L117" s="31"/>
    </row>
    <row r="118" spans="2:160" s="1" customFormat="1" ht="6.95" customHeight="1" x14ac:dyDescent="0.2">
      <c r="B118" s="31"/>
      <c r="L118" s="31"/>
    </row>
    <row r="119" spans="2:160" s="1" customFormat="1" ht="12" customHeight="1" x14ac:dyDescent="0.2">
      <c r="B119" s="31"/>
      <c r="C119" s="26"/>
      <c r="F119" s="24"/>
      <c r="I119" s="26"/>
      <c r="J119" s="48"/>
      <c r="L119" s="31"/>
    </row>
    <row r="120" spans="2:160" s="1" customFormat="1" ht="6.95" customHeight="1" x14ac:dyDescent="0.2">
      <c r="B120" s="31"/>
      <c r="L120" s="31"/>
    </row>
    <row r="121" spans="2:160" s="1" customFormat="1" ht="15.2" customHeight="1" x14ac:dyDescent="0.2">
      <c r="B121" s="31"/>
      <c r="C121" s="26"/>
      <c r="F121" s="24"/>
      <c r="I121" s="26"/>
      <c r="J121" s="29"/>
      <c r="L121" s="31"/>
    </row>
    <row r="122" spans="2:160" s="1" customFormat="1" ht="30.75" customHeight="1" x14ac:dyDescent="0.2">
      <c r="B122" s="31"/>
      <c r="G122" s="446" t="s">
        <v>3305</v>
      </c>
      <c r="H122" s="446"/>
      <c r="I122" s="446"/>
      <c r="J122" s="446"/>
      <c r="K122" s="447"/>
      <c r="L122" s="31"/>
    </row>
    <row r="123" spans="2:160" s="9" customFormat="1" ht="29.25" customHeight="1" thickBot="1" x14ac:dyDescent="0.25">
      <c r="B123" s="104"/>
      <c r="C123" s="105" t="s">
        <v>268</v>
      </c>
      <c r="D123" s="106" t="s">
        <v>59</v>
      </c>
      <c r="E123" s="106" t="s">
        <v>55</v>
      </c>
      <c r="F123" s="106" t="s">
        <v>56</v>
      </c>
      <c r="G123" s="106" t="s">
        <v>269</v>
      </c>
      <c r="H123" s="106" t="s">
        <v>270</v>
      </c>
      <c r="I123" s="106" t="s">
        <v>271</v>
      </c>
      <c r="J123" s="106" t="s">
        <v>255</v>
      </c>
      <c r="K123" s="107" t="s">
        <v>272</v>
      </c>
      <c r="L123" s="437" t="s">
        <v>3307</v>
      </c>
      <c r="M123" s="438"/>
      <c r="N123" s="438"/>
      <c r="O123" s="438"/>
      <c r="P123" s="438"/>
      <c r="Q123" s="439"/>
      <c r="DD123" s="52" t="s">
        <v>1</v>
      </c>
      <c r="DE123" s="53" t="s">
        <v>39</v>
      </c>
      <c r="DF123" s="53" t="s">
        <v>273</v>
      </c>
      <c r="DG123" s="53" t="s">
        <v>274</v>
      </c>
      <c r="DH123" s="53" t="s">
        <v>275</v>
      </c>
      <c r="DI123" s="53" t="s">
        <v>276</v>
      </c>
      <c r="DJ123" s="53" t="s">
        <v>277</v>
      </c>
      <c r="DK123" s="54" t="s">
        <v>278</v>
      </c>
    </row>
    <row r="124" spans="2:160" s="1" customFormat="1" ht="22.9" customHeight="1" x14ac:dyDescent="0.25">
      <c r="B124" s="31"/>
      <c r="C124" s="57" t="s">
        <v>279</v>
      </c>
      <c r="G124" s="1" t="s">
        <v>3306</v>
      </c>
      <c r="J124" s="108">
        <f>FB124</f>
        <v>2943814.55</v>
      </c>
      <c r="L124" s="440" t="s">
        <v>3308</v>
      </c>
      <c r="M124" s="441"/>
      <c r="N124" s="440" t="s">
        <v>3343</v>
      </c>
      <c r="O124" s="441"/>
      <c r="P124" s="440" t="s">
        <v>3309</v>
      </c>
      <c r="Q124" s="441"/>
      <c r="S124" s="442" t="s">
        <v>3312</v>
      </c>
      <c r="T124" s="443"/>
      <c r="U124" s="443" t="s">
        <v>3313</v>
      </c>
      <c r="V124" s="443"/>
      <c r="W124" s="444" t="s">
        <v>3321</v>
      </c>
      <c r="X124" s="444"/>
      <c r="Y124" s="444" t="s">
        <v>3322</v>
      </c>
      <c r="Z124" s="444"/>
      <c r="AA124" s="444" t="s">
        <v>3323</v>
      </c>
      <c r="AB124" s="444"/>
      <c r="AC124" s="444" t="s">
        <v>3324</v>
      </c>
      <c r="AD124" s="444"/>
      <c r="AE124" s="444" t="s">
        <v>3325</v>
      </c>
      <c r="AF124" s="444"/>
      <c r="AG124" s="444" t="s">
        <v>3326</v>
      </c>
      <c r="AH124" s="444"/>
      <c r="AI124" s="444" t="s">
        <v>3327</v>
      </c>
      <c r="AJ124" s="445"/>
      <c r="DD124" s="55"/>
      <c r="DE124" s="49"/>
      <c r="DF124" s="49"/>
      <c r="DG124" s="109">
        <f>DG125</f>
        <v>0</v>
      </c>
      <c r="DH124" s="49"/>
      <c r="DI124" s="109">
        <f>DI125</f>
        <v>111.85743589</v>
      </c>
      <c r="DJ124" s="49"/>
      <c r="DK124" s="110">
        <f>DK125</f>
        <v>24.519869999999997</v>
      </c>
      <c r="EK124" s="16" t="s">
        <v>73</v>
      </c>
      <c r="EL124" s="16" t="s">
        <v>257</v>
      </c>
      <c r="FB124" s="111">
        <f>FB125</f>
        <v>2943814.55</v>
      </c>
    </row>
    <row r="125" spans="2:160" s="10" customFormat="1" ht="25.9" customHeight="1" thickBot="1" x14ac:dyDescent="0.25">
      <c r="B125" s="112"/>
      <c r="D125" s="113" t="s">
        <v>73</v>
      </c>
      <c r="E125" s="114" t="s">
        <v>280</v>
      </c>
      <c r="F125" s="114" t="s">
        <v>281</v>
      </c>
      <c r="G125" s="10" t="s">
        <v>3306</v>
      </c>
      <c r="I125" s="115"/>
      <c r="J125" s="116">
        <f>FB125</f>
        <v>2943814.55</v>
      </c>
      <c r="L125" s="190" t="s">
        <v>270</v>
      </c>
      <c r="M125" s="190" t="s">
        <v>3310</v>
      </c>
      <c r="N125" s="190" t="s">
        <v>270</v>
      </c>
      <c r="O125" s="190" t="s">
        <v>3310</v>
      </c>
      <c r="P125" s="190" t="s">
        <v>3311</v>
      </c>
      <c r="Q125" s="190" t="s">
        <v>3310</v>
      </c>
      <c r="S125" s="193" t="s">
        <v>270</v>
      </c>
      <c r="T125" s="194" t="s">
        <v>3310</v>
      </c>
      <c r="U125" s="194" t="s">
        <v>270</v>
      </c>
      <c r="V125" s="194" t="s">
        <v>3310</v>
      </c>
      <c r="W125" s="194" t="s">
        <v>270</v>
      </c>
      <c r="X125" s="194" t="s">
        <v>3328</v>
      </c>
      <c r="Y125" s="194" t="s">
        <v>270</v>
      </c>
      <c r="Z125" s="194" t="s">
        <v>3328</v>
      </c>
      <c r="AA125" s="194" t="s">
        <v>270</v>
      </c>
      <c r="AB125" s="194" t="s">
        <v>3328</v>
      </c>
      <c r="AC125" s="194" t="s">
        <v>270</v>
      </c>
      <c r="AD125" s="194" t="s">
        <v>3328</v>
      </c>
      <c r="AE125" s="194" t="s">
        <v>270</v>
      </c>
      <c r="AF125" s="194" t="s">
        <v>3328</v>
      </c>
      <c r="AG125" s="194" t="s">
        <v>270</v>
      </c>
      <c r="AH125" s="194" t="s">
        <v>3328</v>
      </c>
      <c r="AI125" s="194" t="s">
        <v>270</v>
      </c>
      <c r="AJ125" s="195" t="s">
        <v>3328</v>
      </c>
      <c r="DD125" s="117"/>
      <c r="DG125" s="118">
        <f>DG127+DG217+DG256+DG266+DG285+DG295+DG315</f>
        <v>0</v>
      </c>
      <c r="DI125" s="118">
        <f>DI127+DI217+DI256+DI266+DI285+DI295+DI315</f>
        <v>111.85743589</v>
      </c>
      <c r="DK125" s="119">
        <f>DK127+DK217+DK256+DK266+DK285+DK295+DK315</f>
        <v>24.519869999999997</v>
      </c>
      <c r="EI125" s="113" t="s">
        <v>81</v>
      </c>
      <c r="EK125" s="120" t="s">
        <v>73</v>
      </c>
      <c r="EL125" s="120" t="s">
        <v>74</v>
      </c>
      <c r="EP125" s="113" t="s">
        <v>282</v>
      </c>
      <c r="FB125" s="121">
        <f>FB127+FB217+FB256+FB266+FB285+FB295+FB315</f>
        <v>2943814.55</v>
      </c>
    </row>
    <row r="126" spans="2:160" s="10" customFormat="1" ht="25.9" customHeight="1" thickBot="1" x14ac:dyDescent="0.25">
      <c r="B126" s="112"/>
      <c r="D126" s="113"/>
      <c r="E126" s="114"/>
      <c r="F126" s="114"/>
      <c r="G126" s="10" t="s">
        <v>3306</v>
      </c>
      <c r="I126" s="115"/>
      <c r="J126" s="116" t="s">
        <v>3306</v>
      </c>
      <c r="L126" s="191"/>
      <c r="M126" s="192">
        <f>M127+M217+M256+M266+M285+M295+M315</f>
        <v>0</v>
      </c>
      <c r="N126" s="208"/>
      <c r="O126" s="208">
        <f t="shared" ref="O126:Q126" si="0">O127+O217+O256+O266+O285+O295+O315</f>
        <v>0</v>
      </c>
      <c r="P126" s="192"/>
      <c r="Q126" s="192">
        <f t="shared" si="0"/>
        <v>2943814.55</v>
      </c>
      <c r="S126" s="196"/>
      <c r="T126" s="197">
        <f>T127+T217+T256+T266+T285+T295+T315</f>
        <v>0</v>
      </c>
      <c r="U126" s="197"/>
      <c r="V126" s="197">
        <f t="shared" ref="V126:AJ126" si="1">V127+V217+V256+V266+V285+V295+V315</f>
        <v>2943814.55</v>
      </c>
      <c r="W126" s="197"/>
      <c r="X126" s="197">
        <f t="shared" si="1"/>
        <v>0</v>
      </c>
      <c r="Y126" s="197"/>
      <c r="Z126" s="197">
        <f t="shared" si="1"/>
        <v>0</v>
      </c>
      <c r="AA126" s="197"/>
      <c r="AB126" s="197">
        <f t="shared" si="1"/>
        <v>0</v>
      </c>
      <c r="AC126" s="197"/>
      <c r="AD126" s="197">
        <f t="shared" si="1"/>
        <v>0</v>
      </c>
      <c r="AE126" s="197"/>
      <c r="AF126" s="197">
        <f t="shared" si="1"/>
        <v>0</v>
      </c>
      <c r="AG126" s="197"/>
      <c r="AH126" s="197">
        <f t="shared" si="1"/>
        <v>0</v>
      </c>
      <c r="AI126" s="197"/>
      <c r="AJ126" s="197">
        <f t="shared" si="1"/>
        <v>0</v>
      </c>
      <c r="DD126" s="117"/>
      <c r="DG126" s="118"/>
      <c r="DI126" s="118"/>
      <c r="DK126" s="119"/>
      <c r="EI126" s="113"/>
      <c r="EK126" s="120"/>
      <c r="EL126" s="120"/>
      <c r="EP126" s="113"/>
      <c r="FB126" s="121"/>
    </row>
    <row r="127" spans="2:160" s="10" customFormat="1" ht="22.9" customHeight="1" x14ac:dyDescent="0.2">
      <c r="B127" s="112"/>
      <c r="D127" s="113" t="s">
        <v>73</v>
      </c>
      <c r="E127" s="122" t="s">
        <v>81</v>
      </c>
      <c r="F127" s="122" t="s">
        <v>283</v>
      </c>
      <c r="G127" s="10" t="s">
        <v>3306</v>
      </c>
      <c r="I127" s="115"/>
      <c r="J127" s="123">
        <f>FB127</f>
        <v>456062.33999999997</v>
      </c>
      <c r="L127" s="112"/>
      <c r="M127" s="270">
        <f>SUM(M128:M214)</f>
        <v>0</v>
      </c>
      <c r="N127" s="299"/>
      <c r="O127" s="300">
        <f t="shared" ref="O127:V127" si="2">SUM(O128:O214)</f>
        <v>0</v>
      </c>
      <c r="P127" s="270"/>
      <c r="Q127" s="286">
        <f t="shared" si="2"/>
        <v>456062.33999999997</v>
      </c>
      <c r="R127" s="270"/>
      <c r="S127" s="270"/>
      <c r="T127" s="270">
        <f t="shared" si="2"/>
        <v>0</v>
      </c>
      <c r="U127" s="270"/>
      <c r="V127" s="270">
        <f t="shared" si="2"/>
        <v>456062.33999999997</v>
      </c>
      <c r="DD127" s="117"/>
      <c r="DG127" s="118">
        <f>SUM(DG128:DG216)</f>
        <v>0</v>
      </c>
      <c r="DI127" s="118">
        <f>SUM(DI128:DI216)</f>
        <v>90.997731160000001</v>
      </c>
      <c r="DK127" s="119">
        <f>SUM(DK128:DK216)</f>
        <v>24.519869999999997</v>
      </c>
      <c r="EI127" s="113" t="s">
        <v>81</v>
      </c>
      <c r="EK127" s="120" t="s">
        <v>73</v>
      </c>
      <c r="EL127" s="120" t="s">
        <v>81</v>
      </c>
      <c r="EP127" s="113" t="s">
        <v>282</v>
      </c>
      <c r="FB127" s="121">
        <f>SUM(FB128:FB216)</f>
        <v>456062.33999999997</v>
      </c>
    </row>
    <row r="128" spans="2:160" s="1" customFormat="1" ht="24.2" customHeight="1" x14ac:dyDescent="0.2">
      <c r="B128" s="124"/>
      <c r="C128" s="125" t="s">
        <v>81</v>
      </c>
      <c r="D128" s="125" t="s">
        <v>284</v>
      </c>
      <c r="E128" s="126" t="s">
        <v>291</v>
      </c>
      <c r="F128" s="127" t="s">
        <v>292</v>
      </c>
      <c r="G128" s="128" t="s">
        <v>287</v>
      </c>
      <c r="H128" s="129">
        <v>17.64</v>
      </c>
      <c r="I128" s="130">
        <v>68.767172335543137</v>
      </c>
      <c r="J128" s="131">
        <f>ROUND(I128*H128,2)</f>
        <v>1213.05</v>
      </c>
      <c r="K128" s="127" t="s">
        <v>293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17.64</v>
      </c>
      <c r="Q128" s="287">
        <f>ROUND(P128*I128,2)</f>
        <v>1213.05</v>
      </c>
      <c r="R128" s="137"/>
      <c r="S128" s="269">
        <f>W128+Y128+AA128+AC128+AE128+AG128+AI128</f>
        <v>0</v>
      </c>
      <c r="T128" s="269">
        <f>ROUND(S128*I128,2)</f>
        <v>0</v>
      </c>
      <c r="U128" s="269">
        <f>H128-S128</f>
        <v>17.64</v>
      </c>
      <c r="V128" s="269">
        <f>ROUND(U128*I128,2)</f>
        <v>1213.05</v>
      </c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DD128" s="132" t="s">
        <v>1</v>
      </c>
      <c r="DE128" s="133" t="s">
        <v>40</v>
      </c>
      <c r="DG128" s="134">
        <f>DF128*H128</f>
        <v>0</v>
      </c>
      <c r="DH128" s="134">
        <v>0</v>
      </c>
      <c r="DI128" s="134">
        <f>DH128*H128</f>
        <v>0</v>
      </c>
      <c r="DJ128" s="134">
        <v>0.57999999999999996</v>
      </c>
      <c r="DK128" s="135">
        <f>DJ128*H128</f>
        <v>10.231199999999999</v>
      </c>
      <c r="EI128" s="136" t="s">
        <v>95</v>
      </c>
      <c r="EK128" s="136" t="s">
        <v>284</v>
      </c>
      <c r="EL128" s="136" t="s">
        <v>83</v>
      </c>
      <c r="EP128" s="16" t="s">
        <v>282</v>
      </c>
      <c r="EV128" s="137">
        <f>IF(DE128="základní",J128,0)</f>
        <v>1213.05</v>
      </c>
      <c r="EW128" s="137">
        <f>IF(DE128="snížená",J128,0)</f>
        <v>0</v>
      </c>
      <c r="EX128" s="137">
        <f>IF(DE128="zákl. přenesená",J128,0)</f>
        <v>0</v>
      </c>
      <c r="EY128" s="137">
        <f>IF(DE128="sníž. přenesená",J128,0)</f>
        <v>0</v>
      </c>
      <c r="EZ128" s="137">
        <f>IF(DE128="nulová",J128,0)</f>
        <v>0</v>
      </c>
      <c r="FA128" s="16" t="s">
        <v>81</v>
      </c>
      <c r="FB128" s="137">
        <f>ROUND(I128*H128,2)</f>
        <v>1213.05</v>
      </c>
      <c r="FC128" s="16" t="s">
        <v>95</v>
      </c>
      <c r="FD128" s="136" t="s">
        <v>2205</v>
      </c>
    </row>
    <row r="129" spans="2:160" s="1" customFormat="1" ht="39" x14ac:dyDescent="0.2">
      <c r="B129" s="31"/>
      <c r="D129" s="138" t="s">
        <v>289</v>
      </c>
      <c r="F129" s="139" t="s">
        <v>290</v>
      </c>
      <c r="I129" s="140"/>
      <c r="L129" s="31"/>
      <c r="N129" s="213"/>
      <c r="O129" s="214"/>
      <c r="Q129" s="229"/>
      <c r="DD129" s="141"/>
      <c r="DK129" s="50"/>
      <c r="EK129" s="16" t="s">
        <v>289</v>
      </c>
      <c r="EL129" s="16" t="s">
        <v>83</v>
      </c>
    </row>
    <row r="130" spans="2:160" s="1" customFormat="1" ht="24.2" customHeight="1" x14ac:dyDescent="0.2">
      <c r="B130" s="124"/>
      <c r="C130" s="125" t="s">
        <v>83</v>
      </c>
      <c r="D130" s="125" t="s">
        <v>284</v>
      </c>
      <c r="E130" s="126" t="s">
        <v>285</v>
      </c>
      <c r="F130" s="127" t="s">
        <v>286</v>
      </c>
      <c r="G130" s="128" t="s">
        <v>287</v>
      </c>
      <c r="H130" s="129">
        <v>17.64</v>
      </c>
      <c r="I130" s="130">
        <v>68.767172335543137</v>
      </c>
      <c r="J130" s="131">
        <f>ROUND(I130*H130,2)</f>
        <v>1213.05</v>
      </c>
      <c r="K130" s="127" t="s">
        <v>1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17.64</v>
      </c>
      <c r="Q130" s="287">
        <f>ROUND(P130*I130,2)</f>
        <v>1213.05</v>
      </c>
      <c r="R130" s="137"/>
      <c r="S130" s="269">
        <f>W130+Y130+AA130+AC130+AE130+AG130+AI130</f>
        <v>0</v>
      </c>
      <c r="T130" s="269">
        <f>ROUND(S130*I130,2)</f>
        <v>0</v>
      </c>
      <c r="U130" s="269">
        <f>H130-S130</f>
        <v>17.64</v>
      </c>
      <c r="V130" s="269">
        <f>ROUND(U130*I130,2)</f>
        <v>1213.05</v>
      </c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DD130" s="132" t="s">
        <v>1</v>
      </c>
      <c r="DE130" s="133" t="s">
        <v>40</v>
      </c>
      <c r="DG130" s="134">
        <f>DF130*H130</f>
        <v>0</v>
      </c>
      <c r="DH130" s="134">
        <v>0</v>
      </c>
      <c r="DI130" s="134">
        <f>DH130*H130</f>
        <v>0</v>
      </c>
      <c r="DJ130" s="134">
        <v>0.57999999999999996</v>
      </c>
      <c r="DK130" s="135">
        <f>DJ130*H130</f>
        <v>10.231199999999999</v>
      </c>
      <c r="EI130" s="136" t="s">
        <v>95</v>
      </c>
      <c r="EK130" s="136" t="s">
        <v>284</v>
      </c>
      <c r="EL130" s="136" t="s">
        <v>83</v>
      </c>
      <c r="EP130" s="16" t="s">
        <v>282</v>
      </c>
      <c r="EV130" s="137">
        <f>IF(DE130="základní",J130,0)</f>
        <v>1213.05</v>
      </c>
      <c r="EW130" s="137">
        <f>IF(DE130="snížená",J130,0)</f>
        <v>0</v>
      </c>
      <c r="EX130" s="137">
        <f>IF(DE130="zákl. přenesená",J130,0)</f>
        <v>0</v>
      </c>
      <c r="EY130" s="137">
        <f>IF(DE130="sníž. přenesená",J130,0)</f>
        <v>0</v>
      </c>
      <c r="EZ130" s="137">
        <f>IF(DE130="nulová",J130,0)</f>
        <v>0</v>
      </c>
      <c r="FA130" s="16" t="s">
        <v>81</v>
      </c>
      <c r="FB130" s="137">
        <f>ROUND(I130*H130,2)</f>
        <v>1213.05</v>
      </c>
      <c r="FC130" s="16" t="s">
        <v>95</v>
      </c>
      <c r="FD130" s="136" t="s">
        <v>2206</v>
      </c>
    </row>
    <row r="131" spans="2:160" s="1" customFormat="1" ht="39" x14ac:dyDescent="0.2">
      <c r="B131" s="31"/>
      <c r="D131" s="138" t="s">
        <v>289</v>
      </c>
      <c r="F131" s="139" t="s">
        <v>290</v>
      </c>
      <c r="I131" s="140"/>
      <c r="L131" s="31"/>
      <c r="N131" s="213"/>
      <c r="O131" s="214"/>
      <c r="Q131" s="229"/>
      <c r="DD131" s="141"/>
      <c r="DK131" s="50"/>
      <c r="EK131" s="16" t="s">
        <v>289</v>
      </c>
      <c r="EL131" s="16" t="s">
        <v>83</v>
      </c>
    </row>
    <row r="132" spans="2:160" s="1" customFormat="1" ht="24.2" customHeight="1" x14ac:dyDescent="0.2">
      <c r="B132" s="124"/>
      <c r="C132" s="125" t="s">
        <v>90</v>
      </c>
      <c r="D132" s="125" t="s">
        <v>284</v>
      </c>
      <c r="E132" s="126" t="s">
        <v>295</v>
      </c>
      <c r="F132" s="127" t="s">
        <v>296</v>
      </c>
      <c r="G132" s="128" t="s">
        <v>287</v>
      </c>
      <c r="H132" s="129">
        <v>17.64</v>
      </c>
      <c r="I132" s="130">
        <v>27.886826761540966</v>
      </c>
      <c r="J132" s="131">
        <f>ROUND(I132*H132,2)</f>
        <v>491.92</v>
      </c>
      <c r="K132" s="127" t="s">
        <v>293</v>
      </c>
      <c r="L132" s="268">
        <f>S132</f>
        <v>0</v>
      </c>
      <c r="M132" s="272">
        <f>ROUND(L132*I132,2)</f>
        <v>0</v>
      </c>
      <c r="N132" s="243"/>
      <c r="O132" s="294">
        <f>ROUND(N132*I132,2)</f>
        <v>0</v>
      </c>
      <c r="P132" s="273">
        <f>H132-L132-N132</f>
        <v>17.64</v>
      </c>
      <c r="Q132" s="287">
        <f>ROUND(P132*I132,2)</f>
        <v>491.92</v>
      </c>
      <c r="R132" s="137"/>
      <c r="S132" s="269">
        <f>W132+Y132+AA132+AC132+AE132+AG132+AI132</f>
        <v>0</v>
      </c>
      <c r="T132" s="269">
        <f>ROUND(S132*I132,2)</f>
        <v>0</v>
      </c>
      <c r="U132" s="269">
        <f>H132-S132</f>
        <v>17.64</v>
      </c>
      <c r="V132" s="269">
        <f>ROUND(U132*I132,2)</f>
        <v>491.92</v>
      </c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DD132" s="132" t="s">
        <v>1</v>
      </c>
      <c r="DE132" s="133" t="s">
        <v>40</v>
      </c>
      <c r="DG132" s="134">
        <f>DF132*H132</f>
        <v>0</v>
      </c>
      <c r="DH132" s="134">
        <v>0</v>
      </c>
      <c r="DI132" s="134">
        <f>DH132*H132</f>
        <v>0</v>
      </c>
      <c r="DJ132" s="134">
        <v>9.8000000000000004E-2</v>
      </c>
      <c r="DK132" s="135">
        <f>DJ132*H132</f>
        <v>1.72872</v>
      </c>
      <c r="EI132" s="136" t="s">
        <v>95</v>
      </c>
      <c r="EK132" s="136" t="s">
        <v>284</v>
      </c>
      <c r="EL132" s="136" t="s">
        <v>83</v>
      </c>
      <c r="EP132" s="16" t="s">
        <v>282</v>
      </c>
      <c r="EV132" s="137">
        <f>IF(DE132="základní",J132,0)</f>
        <v>491.92</v>
      </c>
      <c r="EW132" s="137">
        <f>IF(DE132="snížená",J132,0)</f>
        <v>0</v>
      </c>
      <c r="EX132" s="137">
        <f>IF(DE132="zákl. přenesená",J132,0)</f>
        <v>0</v>
      </c>
      <c r="EY132" s="137">
        <f>IF(DE132="sníž. přenesená",J132,0)</f>
        <v>0</v>
      </c>
      <c r="EZ132" s="137">
        <f>IF(DE132="nulová",J132,0)</f>
        <v>0</v>
      </c>
      <c r="FA132" s="16" t="s">
        <v>81</v>
      </c>
      <c r="FB132" s="137">
        <f>ROUND(I132*H132,2)</f>
        <v>491.92</v>
      </c>
      <c r="FC132" s="16" t="s">
        <v>95</v>
      </c>
      <c r="FD132" s="136" t="s">
        <v>2207</v>
      </c>
    </row>
    <row r="133" spans="2:160" s="1" customFormat="1" ht="29.25" x14ac:dyDescent="0.2">
      <c r="B133" s="31"/>
      <c r="D133" s="138" t="s">
        <v>289</v>
      </c>
      <c r="F133" s="139" t="s">
        <v>298</v>
      </c>
      <c r="I133" s="140"/>
      <c r="L133" s="31"/>
      <c r="N133" s="213"/>
      <c r="O133" s="214"/>
      <c r="Q133" s="229"/>
      <c r="DD133" s="141"/>
      <c r="DK133" s="50"/>
      <c r="EK133" s="16" t="s">
        <v>289</v>
      </c>
      <c r="EL133" s="16" t="s">
        <v>83</v>
      </c>
    </row>
    <row r="134" spans="2:160" s="1" customFormat="1" ht="19.5" x14ac:dyDescent="0.2">
      <c r="B134" s="31"/>
      <c r="D134" s="138" t="s">
        <v>299</v>
      </c>
      <c r="F134" s="142" t="s">
        <v>2208</v>
      </c>
      <c r="I134" s="140"/>
      <c r="L134" s="31"/>
      <c r="N134" s="213"/>
      <c r="O134" s="214"/>
      <c r="Q134" s="229"/>
      <c r="DD134" s="141"/>
      <c r="DK134" s="50"/>
      <c r="EK134" s="16" t="s">
        <v>299</v>
      </c>
      <c r="EL134" s="16" t="s">
        <v>83</v>
      </c>
    </row>
    <row r="135" spans="2:160" s="11" customFormat="1" x14ac:dyDescent="0.2">
      <c r="B135" s="143"/>
      <c r="D135" s="138" t="s">
        <v>301</v>
      </c>
      <c r="E135" s="144" t="s">
        <v>1</v>
      </c>
      <c r="F135" s="145" t="s">
        <v>1796</v>
      </c>
      <c r="H135" s="144" t="s">
        <v>1</v>
      </c>
      <c r="I135" s="146"/>
      <c r="L135" s="143"/>
      <c r="N135" s="215"/>
      <c r="O135" s="216"/>
      <c r="Q135" s="230"/>
      <c r="DD135" s="147"/>
      <c r="DK135" s="148"/>
      <c r="EK135" s="144" t="s">
        <v>301</v>
      </c>
      <c r="EL135" s="144" t="s">
        <v>83</v>
      </c>
      <c r="EM135" s="11" t="s">
        <v>81</v>
      </c>
      <c r="EN135" s="11" t="s">
        <v>32</v>
      </c>
      <c r="EO135" s="11" t="s">
        <v>74</v>
      </c>
      <c r="EP135" s="144" t="s">
        <v>282</v>
      </c>
    </row>
    <row r="136" spans="2:160" s="12" customFormat="1" x14ac:dyDescent="0.2">
      <c r="B136" s="149"/>
      <c r="D136" s="138" t="s">
        <v>301</v>
      </c>
      <c r="E136" s="150" t="s">
        <v>1</v>
      </c>
      <c r="F136" s="151" t="s">
        <v>2052</v>
      </c>
      <c r="H136" s="152">
        <v>17.64</v>
      </c>
      <c r="I136" s="153"/>
      <c r="L136" s="149"/>
      <c r="N136" s="217"/>
      <c r="O136" s="218"/>
      <c r="Q136" s="231"/>
      <c r="DD136" s="154"/>
      <c r="DK136" s="155"/>
      <c r="EK136" s="150" t="s">
        <v>301</v>
      </c>
      <c r="EL136" s="150" t="s">
        <v>83</v>
      </c>
      <c r="EM136" s="12" t="s">
        <v>83</v>
      </c>
      <c r="EN136" s="12" t="s">
        <v>32</v>
      </c>
      <c r="EO136" s="12" t="s">
        <v>81</v>
      </c>
      <c r="EP136" s="150" t="s">
        <v>282</v>
      </c>
    </row>
    <row r="137" spans="2:160" s="1" customFormat="1" ht="24.2" customHeight="1" x14ac:dyDescent="0.2">
      <c r="B137" s="124"/>
      <c r="C137" s="125" t="s">
        <v>95</v>
      </c>
      <c r="D137" s="125" t="s">
        <v>284</v>
      </c>
      <c r="E137" s="126" t="s">
        <v>306</v>
      </c>
      <c r="F137" s="127" t="s">
        <v>307</v>
      </c>
      <c r="G137" s="128" t="s">
        <v>287</v>
      </c>
      <c r="H137" s="129">
        <v>20.25</v>
      </c>
      <c r="I137" s="130">
        <v>55.314624729404002</v>
      </c>
      <c r="J137" s="131">
        <f>ROUND(I137*H137,2)</f>
        <v>1120.1199999999999</v>
      </c>
      <c r="K137" s="127" t="s">
        <v>293</v>
      </c>
      <c r="L137" s="268">
        <f>S137</f>
        <v>0</v>
      </c>
      <c r="M137" s="272">
        <f>ROUND(L137*I137,2)</f>
        <v>0</v>
      </c>
      <c r="N137" s="243"/>
      <c r="O137" s="294">
        <f>ROUND(N137*I137,2)</f>
        <v>0</v>
      </c>
      <c r="P137" s="273">
        <f>H137-L137-N137</f>
        <v>20.25</v>
      </c>
      <c r="Q137" s="287">
        <f>ROUND(P137*I137,2)</f>
        <v>1120.1199999999999</v>
      </c>
      <c r="R137" s="137"/>
      <c r="S137" s="269">
        <f>W137+Y137+AA137+AC137+AE137+AG137+AI137</f>
        <v>0</v>
      </c>
      <c r="T137" s="269">
        <f>ROUND(S137*I137,2)</f>
        <v>0</v>
      </c>
      <c r="U137" s="269">
        <f>H137-S137</f>
        <v>20.25</v>
      </c>
      <c r="V137" s="269">
        <f>ROUND(U137*I137,2)</f>
        <v>1120.1199999999999</v>
      </c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DD137" s="132" t="s">
        <v>1</v>
      </c>
      <c r="DE137" s="133" t="s">
        <v>40</v>
      </c>
      <c r="DG137" s="134">
        <f>DF137*H137</f>
        <v>0</v>
      </c>
      <c r="DH137" s="134">
        <v>6.9999999999999994E-5</v>
      </c>
      <c r="DI137" s="134">
        <f>DH137*H137</f>
        <v>1.4174999999999999E-3</v>
      </c>
      <c r="DJ137" s="134">
        <v>0.115</v>
      </c>
      <c r="DK137" s="135">
        <f>DJ137*H137</f>
        <v>2.3287500000000003</v>
      </c>
      <c r="EI137" s="136" t="s">
        <v>95</v>
      </c>
      <c r="EK137" s="136" t="s">
        <v>284</v>
      </c>
      <c r="EL137" s="136" t="s">
        <v>83</v>
      </c>
      <c r="EP137" s="16" t="s">
        <v>282</v>
      </c>
      <c r="EV137" s="137">
        <f>IF(DE137="základní",J137,0)</f>
        <v>1120.1199999999999</v>
      </c>
      <c r="EW137" s="137">
        <f>IF(DE137="snížená",J137,0)</f>
        <v>0</v>
      </c>
      <c r="EX137" s="137">
        <f>IF(DE137="zákl. přenesená",J137,0)</f>
        <v>0</v>
      </c>
      <c r="EY137" s="137">
        <f>IF(DE137="sníž. přenesená",J137,0)</f>
        <v>0</v>
      </c>
      <c r="EZ137" s="137">
        <f>IF(DE137="nulová",J137,0)</f>
        <v>0</v>
      </c>
      <c r="FA137" s="16" t="s">
        <v>81</v>
      </c>
      <c r="FB137" s="137">
        <f>ROUND(I137*H137,2)</f>
        <v>1120.1199999999999</v>
      </c>
      <c r="FC137" s="16" t="s">
        <v>95</v>
      </c>
      <c r="FD137" s="136" t="s">
        <v>2209</v>
      </c>
    </row>
    <row r="138" spans="2:160" s="1" customFormat="1" ht="29.25" x14ac:dyDescent="0.2">
      <c r="B138" s="31"/>
      <c r="D138" s="138" t="s">
        <v>289</v>
      </c>
      <c r="F138" s="139" t="s">
        <v>309</v>
      </c>
      <c r="I138" s="140"/>
      <c r="L138" s="31"/>
      <c r="N138" s="213"/>
      <c r="O138" s="214"/>
      <c r="Q138" s="229"/>
      <c r="DD138" s="141"/>
      <c r="DK138" s="50"/>
      <c r="EK138" s="16" t="s">
        <v>289</v>
      </c>
      <c r="EL138" s="16" t="s">
        <v>83</v>
      </c>
    </row>
    <row r="139" spans="2:160" s="1" customFormat="1" ht="19.5" x14ac:dyDescent="0.2">
      <c r="B139" s="31"/>
      <c r="D139" s="138" t="s">
        <v>299</v>
      </c>
      <c r="F139" s="142" t="s">
        <v>2208</v>
      </c>
      <c r="I139" s="140"/>
      <c r="L139" s="31"/>
      <c r="N139" s="213"/>
      <c r="O139" s="214"/>
      <c r="Q139" s="229"/>
      <c r="DD139" s="141"/>
      <c r="DK139" s="50"/>
      <c r="EK139" s="16" t="s">
        <v>299</v>
      </c>
      <c r="EL139" s="16" t="s">
        <v>83</v>
      </c>
    </row>
    <row r="140" spans="2:160" s="11" customFormat="1" x14ac:dyDescent="0.2">
      <c r="B140" s="143"/>
      <c r="D140" s="138" t="s">
        <v>301</v>
      </c>
      <c r="E140" s="144" t="s">
        <v>1</v>
      </c>
      <c r="F140" s="145" t="s">
        <v>310</v>
      </c>
      <c r="H140" s="144" t="s">
        <v>1</v>
      </c>
      <c r="I140" s="146"/>
      <c r="L140" s="143"/>
      <c r="N140" s="215"/>
      <c r="O140" s="216"/>
      <c r="Q140" s="230"/>
      <c r="DD140" s="147"/>
      <c r="DK140" s="148"/>
      <c r="EK140" s="144" t="s">
        <v>301</v>
      </c>
      <c r="EL140" s="144" t="s">
        <v>83</v>
      </c>
      <c r="EM140" s="11" t="s">
        <v>81</v>
      </c>
      <c r="EN140" s="11" t="s">
        <v>32</v>
      </c>
      <c r="EO140" s="11" t="s">
        <v>74</v>
      </c>
      <c r="EP140" s="144" t="s">
        <v>282</v>
      </c>
    </row>
    <row r="141" spans="2:160" s="12" customFormat="1" x14ac:dyDescent="0.2">
      <c r="B141" s="149"/>
      <c r="D141" s="138" t="s">
        <v>301</v>
      </c>
      <c r="E141" s="150" t="s">
        <v>1</v>
      </c>
      <c r="F141" s="151" t="s">
        <v>2054</v>
      </c>
      <c r="H141" s="152">
        <v>20.25</v>
      </c>
      <c r="I141" s="153"/>
      <c r="L141" s="149"/>
      <c r="N141" s="217"/>
      <c r="O141" s="218"/>
      <c r="Q141" s="231"/>
      <c r="DD141" s="154"/>
      <c r="DK141" s="155"/>
      <c r="EK141" s="150" t="s">
        <v>301</v>
      </c>
      <c r="EL141" s="150" t="s">
        <v>83</v>
      </c>
      <c r="EM141" s="12" t="s">
        <v>83</v>
      </c>
      <c r="EN141" s="12" t="s">
        <v>32</v>
      </c>
      <c r="EO141" s="12" t="s">
        <v>81</v>
      </c>
      <c r="EP141" s="150" t="s">
        <v>282</v>
      </c>
    </row>
    <row r="142" spans="2:160" s="1" customFormat="1" ht="24.2" customHeight="1" x14ac:dyDescent="0.2">
      <c r="B142" s="124"/>
      <c r="C142" s="125" t="s">
        <v>312</v>
      </c>
      <c r="D142" s="125" t="s">
        <v>284</v>
      </c>
      <c r="E142" s="126" t="s">
        <v>1800</v>
      </c>
      <c r="F142" s="127" t="s">
        <v>1801</v>
      </c>
      <c r="G142" s="128" t="s">
        <v>315</v>
      </c>
      <c r="H142" s="129">
        <v>1</v>
      </c>
      <c r="I142" s="130">
        <v>5493.85106</v>
      </c>
      <c r="J142" s="131">
        <f>ROUND(I142*H142,2)</f>
        <v>5493.85</v>
      </c>
      <c r="K142" s="127" t="s">
        <v>1</v>
      </c>
      <c r="L142" s="268">
        <f>S142</f>
        <v>0</v>
      </c>
      <c r="M142" s="272">
        <f>ROUND(L142*I142,2)</f>
        <v>0</v>
      </c>
      <c r="N142" s="243"/>
      <c r="O142" s="294">
        <f>ROUND(N142*I142,2)</f>
        <v>0</v>
      </c>
      <c r="P142" s="273">
        <f>H142-L142-N142</f>
        <v>1</v>
      </c>
      <c r="Q142" s="287">
        <f>ROUND(P142*I142,2)</f>
        <v>5493.85</v>
      </c>
      <c r="R142" s="137"/>
      <c r="S142" s="269">
        <f>W142+Y142+AA142+AC142+AE142+AG142+AI142</f>
        <v>0</v>
      </c>
      <c r="T142" s="269">
        <f>ROUND(S142*I142,2)</f>
        <v>0</v>
      </c>
      <c r="U142" s="269">
        <f>H142-S142</f>
        <v>1</v>
      </c>
      <c r="V142" s="269">
        <f>ROUND(U142*I142,2)</f>
        <v>5493.85</v>
      </c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DD142" s="132" t="s">
        <v>1</v>
      </c>
      <c r="DE142" s="133" t="s">
        <v>40</v>
      </c>
      <c r="DG142" s="134">
        <f>DF142*H142</f>
        <v>0</v>
      </c>
      <c r="DH142" s="134">
        <v>0</v>
      </c>
      <c r="DI142" s="134">
        <f>DH142*H142</f>
        <v>0</v>
      </c>
      <c r="DJ142" s="134">
        <v>0</v>
      </c>
      <c r="DK142" s="135">
        <f>DJ142*H142</f>
        <v>0</v>
      </c>
      <c r="EI142" s="136" t="s">
        <v>95</v>
      </c>
      <c r="EK142" s="136" t="s">
        <v>284</v>
      </c>
      <c r="EL142" s="136" t="s">
        <v>83</v>
      </c>
      <c r="EP142" s="16" t="s">
        <v>282</v>
      </c>
      <c r="EV142" s="137">
        <f>IF(DE142="základní",J142,0)</f>
        <v>5493.85</v>
      </c>
      <c r="EW142" s="137">
        <f>IF(DE142="snížená",J142,0)</f>
        <v>0</v>
      </c>
      <c r="EX142" s="137">
        <f>IF(DE142="zákl. přenesená",J142,0)</f>
        <v>0</v>
      </c>
      <c r="EY142" s="137">
        <f>IF(DE142="sníž. přenesená",J142,0)</f>
        <v>0</v>
      </c>
      <c r="EZ142" s="137">
        <f>IF(DE142="nulová",J142,0)</f>
        <v>0</v>
      </c>
      <c r="FA142" s="16" t="s">
        <v>81</v>
      </c>
      <c r="FB142" s="137">
        <f>ROUND(I142*H142,2)</f>
        <v>5493.85</v>
      </c>
      <c r="FC142" s="16" t="s">
        <v>95</v>
      </c>
      <c r="FD142" s="136" t="s">
        <v>2210</v>
      </c>
    </row>
    <row r="143" spans="2:160" s="1" customFormat="1" ht="19.5" x14ac:dyDescent="0.2">
      <c r="B143" s="31"/>
      <c r="D143" s="138" t="s">
        <v>289</v>
      </c>
      <c r="F143" s="139" t="s">
        <v>1801</v>
      </c>
      <c r="I143" s="140"/>
      <c r="L143" s="31"/>
      <c r="N143" s="213"/>
      <c r="O143" s="214"/>
      <c r="Q143" s="229"/>
      <c r="DD143" s="141"/>
      <c r="DK143" s="50"/>
      <c r="EK143" s="16" t="s">
        <v>289</v>
      </c>
      <c r="EL143" s="16" t="s">
        <v>83</v>
      </c>
    </row>
    <row r="144" spans="2:160" s="1" customFormat="1" ht="19.5" x14ac:dyDescent="0.2">
      <c r="B144" s="31"/>
      <c r="D144" s="138" t="s">
        <v>299</v>
      </c>
      <c r="F144" s="142" t="s">
        <v>2208</v>
      </c>
      <c r="I144" s="140"/>
      <c r="L144" s="31"/>
      <c r="N144" s="213"/>
      <c r="O144" s="214"/>
      <c r="Q144" s="229"/>
      <c r="DD144" s="141"/>
      <c r="DK144" s="50"/>
      <c r="EK144" s="16" t="s">
        <v>299</v>
      </c>
      <c r="EL144" s="16" t="s">
        <v>83</v>
      </c>
    </row>
    <row r="145" spans="2:160" s="12" customFormat="1" x14ac:dyDescent="0.2">
      <c r="B145" s="149"/>
      <c r="D145" s="138" t="s">
        <v>301</v>
      </c>
      <c r="E145" s="150" t="s">
        <v>1</v>
      </c>
      <c r="F145" s="151" t="s">
        <v>81</v>
      </c>
      <c r="H145" s="152">
        <v>1</v>
      </c>
      <c r="I145" s="153"/>
      <c r="L145" s="149"/>
      <c r="N145" s="217"/>
      <c r="O145" s="218"/>
      <c r="Q145" s="231"/>
      <c r="DD145" s="154"/>
      <c r="DK145" s="155"/>
      <c r="EK145" s="150" t="s">
        <v>301</v>
      </c>
      <c r="EL145" s="150" t="s">
        <v>83</v>
      </c>
      <c r="EM145" s="12" t="s">
        <v>83</v>
      </c>
      <c r="EN145" s="12" t="s">
        <v>32</v>
      </c>
      <c r="EO145" s="12" t="s">
        <v>81</v>
      </c>
      <c r="EP145" s="150" t="s">
        <v>282</v>
      </c>
    </row>
    <row r="146" spans="2:160" s="1" customFormat="1" ht="49.15" customHeight="1" x14ac:dyDescent="0.2">
      <c r="B146" s="124"/>
      <c r="C146" s="125" t="s">
        <v>318</v>
      </c>
      <c r="D146" s="125" t="s">
        <v>284</v>
      </c>
      <c r="E146" s="126" t="s">
        <v>1803</v>
      </c>
      <c r="F146" s="127" t="s">
        <v>1804</v>
      </c>
      <c r="G146" s="128" t="s">
        <v>344</v>
      </c>
      <c r="H146" s="129">
        <v>16</v>
      </c>
      <c r="I146" s="130">
        <v>7388.2824600000004</v>
      </c>
      <c r="J146" s="131">
        <f>ROUND(I146*H146,2)</f>
        <v>118212.52</v>
      </c>
      <c r="K146" s="127" t="s">
        <v>1</v>
      </c>
      <c r="L146" s="268">
        <f>S146</f>
        <v>0</v>
      </c>
      <c r="M146" s="272">
        <f>ROUND(L146*I146,2)</f>
        <v>0</v>
      </c>
      <c r="N146" s="243"/>
      <c r="O146" s="294">
        <f>ROUND(N146*I146,2)</f>
        <v>0</v>
      </c>
      <c r="P146" s="273">
        <f>H146-L146-N146</f>
        <v>16</v>
      </c>
      <c r="Q146" s="287">
        <f>ROUND(P146*I146,2)</f>
        <v>118212.52</v>
      </c>
      <c r="R146" s="137"/>
      <c r="S146" s="269">
        <f>W146+Y146+AA146+AC146+AE146+AG146+AI146</f>
        <v>0</v>
      </c>
      <c r="T146" s="269">
        <f>ROUND(S146*I146,2)</f>
        <v>0</v>
      </c>
      <c r="U146" s="269">
        <f>H146-S146</f>
        <v>16</v>
      </c>
      <c r="V146" s="269">
        <f>ROUND(U146*I146,2)</f>
        <v>118212.52</v>
      </c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DD146" s="132" t="s">
        <v>1</v>
      </c>
      <c r="DE146" s="133" t="s">
        <v>40</v>
      </c>
      <c r="DG146" s="134">
        <f>DF146*H146</f>
        <v>0</v>
      </c>
      <c r="DH146" s="134">
        <v>0</v>
      </c>
      <c r="DI146" s="134">
        <f>DH146*H146</f>
        <v>0</v>
      </c>
      <c r="DJ146" s="134">
        <v>0</v>
      </c>
      <c r="DK146" s="135">
        <f>DJ146*H146</f>
        <v>0</v>
      </c>
      <c r="EI146" s="136" t="s">
        <v>95</v>
      </c>
      <c r="EK146" s="136" t="s">
        <v>284</v>
      </c>
      <c r="EL146" s="136" t="s">
        <v>83</v>
      </c>
      <c r="EP146" s="16" t="s">
        <v>282</v>
      </c>
      <c r="EV146" s="137">
        <f>IF(DE146="základní",J146,0)</f>
        <v>118212.52</v>
      </c>
      <c r="EW146" s="137">
        <f>IF(DE146="snížená",J146,0)</f>
        <v>0</v>
      </c>
      <c r="EX146" s="137">
        <f>IF(DE146="zákl. přenesená",J146,0)</f>
        <v>0</v>
      </c>
      <c r="EY146" s="137">
        <f>IF(DE146="sníž. přenesená",J146,0)</f>
        <v>0</v>
      </c>
      <c r="EZ146" s="137">
        <f>IF(DE146="nulová",J146,0)</f>
        <v>0</v>
      </c>
      <c r="FA146" s="16" t="s">
        <v>81</v>
      </c>
      <c r="FB146" s="137">
        <f>ROUND(I146*H146,2)</f>
        <v>118212.52</v>
      </c>
      <c r="FC146" s="16" t="s">
        <v>95</v>
      </c>
      <c r="FD146" s="136" t="s">
        <v>2211</v>
      </c>
    </row>
    <row r="147" spans="2:160" s="1" customFormat="1" ht="19.5" x14ac:dyDescent="0.2">
      <c r="B147" s="31"/>
      <c r="D147" s="138" t="s">
        <v>289</v>
      </c>
      <c r="F147" s="139" t="s">
        <v>1801</v>
      </c>
      <c r="I147" s="140"/>
      <c r="L147" s="31"/>
      <c r="N147" s="213"/>
      <c r="O147" s="214"/>
      <c r="Q147" s="229"/>
      <c r="DD147" s="141"/>
      <c r="DK147" s="50"/>
      <c r="EK147" s="16" t="s">
        <v>289</v>
      </c>
      <c r="EL147" s="16" t="s">
        <v>83</v>
      </c>
    </row>
    <row r="148" spans="2:160" s="1" customFormat="1" ht="19.5" x14ac:dyDescent="0.2">
      <c r="B148" s="31"/>
      <c r="D148" s="138" t="s">
        <v>299</v>
      </c>
      <c r="F148" s="142" t="s">
        <v>2208</v>
      </c>
      <c r="I148" s="140"/>
      <c r="L148" s="31"/>
      <c r="N148" s="213"/>
      <c r="O148" s="214"/>
      <c r="Q148" s="229"/>
      <c r="DD148" s="141"/>
      <c r="DK148" s="50"/>
      <c r="EK148" s="16" t="s">
        <v>299</v>
      </c>
      <c r="EL148" s="16" t="s">
        <v>83</v>
      </c>
    </row>
    <row r="149" spans="2:160" s="12" customFormat="1" x14ac:dyDescent="0.2">
      <c r="B149" s="149"/>
      <c r="D149" s="138" t="s">
        <v>301</v>
      </c>
      <c r="E149" s="150" t="s">
        <v>1</v>
      </c>
      <c r="F149" s="151" t="s">
        <v>1806</v>
      </c>
      <c r="H149" s="152">
        <v>16</v>
      </c>
      <c r="I149" s="153"/>
      <c r="L149" s="149"/>
      <c r="N149" s="217"/>
      <c r="O149" s="218"/>
      <c r="Q149" s="231"/>
      <c r="DD149" s="154"/>
      <c r="DK149" s="155"/>
      <c r="EK149" s="150" t="s">
        <v>301</v>
      </c>
      <c r="EL149" s="150" t="s">
        <v>83</v>
      </c>
      <c r="EM149" s="12" t="s">
        <v>83</v>
      </c>
      <c r="EN149" s="12" t="s">
        <v>32</v>
      </c>
      <c r="EO149" s="12" t="s">
        <v>81</v>
      </c>
      <c r="EP149" s="150" t="s">
        <v>282</v>
      </c>
    </row>
    <row r="150" spans="2:160" s="1" customFormat="1" ht="24.2" customHeight="1" x14ac:dyDescent="0.2">
      <c r="B150" s="124"/>
      <c r="C150" s="125" t="s">
        <v>323</v>
      </c>
      <c r="D150" s="125" t="s">
        <v>284</v>
      </c>
      <c r="E150" s="126" t="s">
        <v>1807</v>
      </c>
      <c r="F150" s="127" t="s">
        <v>1808</v>
      </c>
      <c r="G150" s="128" t="s">
        <v>331</v>
      </c>
      <c r="H150" s="129">
        <v>720</v>
      </c>
      <c r="I150" s="130">
        <v>118.60665336417955</v>
      </c>
      <c r="J150" s="131">
        <f>ROUND(I150*H150,2)</f>
        <v>85396.79</v>
      </c>
      <c r="K150" s="127" t="s">
        <v>293</v>
      </c>
      <c r="L150" s="268">
        <f>S150</f>
        <v>0</v>
      </c>
      <c r="M150" s="272">
        <f>ROUND(L150*I150,2)</f>
        <v>0</v>
      </c>
      <c r="N150" s="243"/>
      <c r="O150" s="294">
        <f>ROUND(N150*I150,2)</f>
        <v>0</v>
      </c>
      <c r="P150" s="273">
        <f>H150-L150-N150</f>
        <v>720</v>
      </c>
      <c r="Q150" s="287">
        <f>ROUND(P150*I150,2)</f>
        <v>85396.79</v>
      </c>
      <c r="R150" s="137"/>
      <c r="S150" s="269">
        <f>W150+Y150+AA150+AC150+AE150+AG150+AI150</f>
        <v>0</v>
      </c>
      <c r="T150" s="269">
        <f>ROUND(S150*I150,2)</f>
        <v>0</v>
      </c>
      <c r="U150" s="269">
        <f>H150-S150</f>
        <v>720</v>
      </c>
      <c r="V150" s="269">
        <f>ROUND(U150*I150,2)</f>
        <v>85396.79</v>
      </c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DD150" s="132" t="s">
        <v>1</v>
      </c>
      <c r="DE150" s="133" t="s">
        <v>40</v>
      </c>
      <c r="DG150" s="134">
        <f>DF150*H150</f>
        <v>0</v>
      </c>
      <c r="DH150" s="134">
        <v>4.0000000000000003E-5</v>
      </c>
      <c r="DI150" s="134">
        <f>DH150*H150</f>
        <v>2.8800000000000003E-2</v>
      </c>
      <c r="DJ150" s="134">
        <v>0</v>
      </c>
      <c r="DK150" s="135">
        <f>DJ150*H150</f>
        <v>0</v>
      </c>
      <c r="EI150" s="136" t="s">
        <v>95</v>
      </c>
      <c r="EK150" s="136" t="s">
        <v>284</v>
      </c>
      <c r="EL150" s="136" t="s">
        <v>83</v>
      </c>
      <c r="EP150" s="16" t="s">
        <v>282</v>
      </c>
      <c r="EV150" s="137">
        <f>IF(DE150="základní",J150,0)</f>
        <v>85396.79</v>
      </c>
      <c r="EW150" s="137">
        <f>IF(DE150="snížená",J150,0)</f>
        <v>0</v>
      </c>
      <c r="EX150" s="137">
        <f>IF(DE150="zákl. přenesená",J150,0)</f>
        <v>0</v>
      </c>
      <c r="EY150" s="137">
        <f>IF(DE150="sníž. přenesená",J150,0)</f>
        <v>0</v>
      </c>
      <c r="EZ150" s="137">
        <f>IF(DE150="nulová",J150,0)</f>
        <v>0</v>
      </c>
      <c r="FA150" s="16" t="s">
        <v>81</v>
      </c>
      <c r="FB150" s="137">
        <f>ROUND(I150*H150,2)</f>
        <v>85396.79</v>
      </c>
      <c r="FC150" s="16" t="s">
        <v>95</v>
      </c>
      <c r="FD150" s="136" t="s">
        <v>2212</v>
      </c>
    </row>
    <row r="151" spans="2:160" s="1" customFormat="1" ht="19.5" x14ac:dyDescent="0.2">
      <c r="B151" s="31"/>
      <c r="D151" s="138" t="s">
        <v>289</v>
      </c>
      <c r="F151" s="139" t="s">
        <v>1810</v>
      </c>
      <c r="I151" s="140"/>
      <c r="L151" s="31"/>
      <c r="N151" s="213"/>
      <c r="O151" s="214"/>
      <c r="Q151" s="229"/>
      <c r="DD151" s="141"/>
      <c r="DK151" s="50"/>
      <c r="EK151" s="16" t="s">
        <v>289</v>
      </c>
      <c r="EL151" s="16" t="s">
        <v>83</v>
      </c>
    </row>
    <row r="152" spans="2:160" s="11" customFormat="1" x14ac:dyDescent="0.2">
      <c r="B152" s="143"/>
      <c r="D152" s="138" t="s">
        <v>301</v>
      </c>
      <c r="E152" s="144" t="s">
        <v>1</v>
      </c>
      <c r="F152" s="145" t="s">
        <v>1811</v>
      </c>
      <c r="H152" s="144" t="s">
        <v>1</v>
      </c>
      <c r="I152" s="146"/>
      <c r="L152" s="143"/>
      <c r="N152" s="215"/>
      <c r="O152" s="216"/>
      <c r="Q152" s="230"/>
      <c r="DD152" s="147"/>
      <c r="DK152" s="148"/>
      <c r="EK152" s="144" t="s">
        <v>301</v>
      </c>
      <c r="EL152" s="144" t="s">
        <v>83</v>
      </c>
      <c r="EM152" s="11" t="s">
        <v>81</v>
      </c>
      <c r="EN152" s="11" t="s">
        <v>32</v>
      </c>
      <c r="EO152" s="11" t="s">
        <v>74</v>
      </c>
      <c r="EP152" s="144" t="s">
        <v>282</v>
      </c>
    </row>
    <row r="153" spans="2:160" s="12" customFormat="1" x14ac:dyDescent="0.2">
      <c r="B153" s="149"/>
      <c r="D153" s="138" t="s">
        <v>301</v>
      </c>
      <c r="E153" s="150" t="s">
        <v>1</v>
      </c>
      <c r="F153" s="151" t="s">
        <v>1812</v>
      </c>
      <c r="H153" s="152">
        <v>720</v>
      </c>
      <c r="I153" s="153"/>
      <c r="L153" s="149"/>
      <c r="N153" s="217"/>
      <c r="O153" s="218"/>
      <c r="Q153" s="231"/>
      <c r="DD153" s="154"/>
      <c r="DK153" s="155"/>
      <c r="EK153" s="150" t="s">
        <v>301</v>
      </c>
      <c r="EL153" s="150" t="s">
        <v>83</v>
      </c>
      <c r="EM153" s="12" t="s">
        <v>83</v>
      </c>
      <c r="EN153" s="12" t="s">
        <v>32</v>
      </c>
      <c r="EO153" s="12" t="s">
        <v>81</v>
      </c>
      <c r="EP153" s="150" t="s">
        <v>282</v>
      </c>
    </row>
    <row r="154" spans="2:160" s="1" customFormat="1" ht="24.2" customHeight="1" x14ac:dyDescent="0.2">
      <c r="B154" s="124"/>
      <c r="C154" s="125" t="s">
        <v>328</v>
      </c>
      <c r="D154" s="125" t="s">
        <v>284</v>
      </c>
      <c r="E154" s="126" t="s">
        <v>1813</v>
      </c>
      <c r="F154" s="127" t="s">
        <v>1814</v>
      </c>
      <c r="G154" s="128" t="s">
        <v>338</v>
      </c>
      <c r="H154" s="129">
        <v>90</v>
      </c>
      <c r="I154" s="130">
        <v>58.597508233098601</v>
      </c>
      <c r="J154" s="131">
        <f>ROUND(I154*H154,2)</f>
        <v>5273.78</v>
      </c>
      <c r="K154" s="127" t="s">
        <v>293</v>
      </c>
      <c r="L154" s="268">
        <f>S154</f>
        <v>0</v>
      </c>
      <c r="M154" s="272">
        <f>ROUND(L154*I154,2)</f>
        <v>0</v>
      </c>
      <c r="N154" s="243"/>
      <c r="O154" s="294">
        <f>ROUND(N154*I154,2)</f>
        <v>0</v>
      </c>
      <c r="P154" s="273">
        <f>H154-L154-N154</f>
        <v>90</v>
      </c>
      <c r="Q154" s="287">
        <f>ROUND(P154*I154,2)</f>
        <v>5273.78</v>
      </c>
      <c r="R154" s="137"/>
      <c r="S154" s="269">
        <f>W154+Y154+AA154+AC154+AE154+AG154+AI154</f>
        <v>0</v>
      </c>
      <c r="T154" s="269">
        <f>ROUND(S154*I154,2)</f>
        <v>0</v>
      </c>
      <c r="U154" s="269">
        <f>H154-S154</f>
        <v>90</v>
      </c>
      <c r="V154" s="269">
        <f>ROUND(U154*I154,2)</f>
        <v>5273.78</v>
      </c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DD154" s="132" t="s">
        <v>1</v>
      </c>
      <c r="DE154" s="133" t="s">
        <v>40</v>
      </c>
      <c r="DG154" s="134">
        <f>DF154*H154</f>
        <v>0</v>
      </c>
      <c r="DH154" s="134">
        <v>0</v>
      </c>
      <c r="DI154" s="134">
        <f>DH154*H154</f>
        <v>0</v>
      </c>
      <c r="DJ154" s="134">
        <v>0</v>
      </c>
      <c r="DK154" s="135">
        <f>DJ154*H154</f>
        <v>0</v>
      </c>
      <c r="EI154" s="136" t="s">
        <v>95</v>
      </c>
      <c r="EK154" s="136" t="s">
        <v>284</v>
      </c>
      <c r="EL154" s="136" t="s">
        <v>83</v>
      </c>
      <c r="EP154" s="16" t="s">
        <v>282</v>
      </c>
      <c r="EV154" s="137">
        <f>IF(DE154="základní",J154,0)</f>
        <v>5273.78</v>
      </c>
      <c r="EW154" s="137">
        <f>IF(DE154="snížená",J154,0)</f>
        <v>0</v>
      </c>
      <c r="EX154" s="137">
        <f>IF(DE154="zákl. přenesená",J154,0)</f>
        <v>0</v>
      </c>
      <c r="EY154" s="137">
        <f>IF(DE154="sníž. přenesená",J154,0)</f>
        <v>0</v>
      </c>
      <c r="EZ154" s="137">
        <f>IF(DE154="nulová",J154,0)</f>
        <v>0</v>
      </c>
      <c r="FA154" s="16" t="s">
        <v>81</v>
      </c>
      <c r="FB154" s="137">
        <f>ROUND(I154*H154,2)</f>
        <v>5273.78</v>
      </c>
      <c r="FC154" s="16" t="s">
        <v>95</v>
      </c>
      <c r="FD154" s="136" t="s">
        <v>2213</v>
      </c>
    </row>
    <row r="155" spans="2:160" s="1" customFormat="1" ht="19.5" x14ac:dyDescent="0.2">
      <c r="B155" s="31"/>
      <c r="D155" s="138" t="s">
        <v>289</v>
      </c>
      <c r="F155" s="139" t="s">
        <v>1816</v>
      </c>
      <c r="I155" s="140"/>
      <c r="L155" s="31"/>
      <c r="N155" s="213"/>
      <c r="O155" s="214"/>
      <c r="Q155" s="229"/>
      <c r="DD155" s="141"/>
      <c r="DK155" s="50"/>
      <c r="EK155" s="16" t="s">
        <v>289</v>
      </c>
      <c r="EL155" s="16" t="s">
        <v>83</v>
      </c>
    </row>
    <row r="156" spans="2:160" s="12" customFormat="1" x14ac:dyDescent="0.2">
      <c r="B156" s="149"/>
      <c r="D156" s="138" t="s">
        <v>301</v>
      </c>
      <c r="E156" s="150" t="s">
        <v>1</v>
      </c>
      <c r="F156" s="151" t="s">
        <v>1817</v>
      </c>
      <c r="H156" s="152">
        <v>90</v>
      </c>
      <c r="I156" s="153"/>
      <c r="L156" s="149"/>
      <c r="N156" s="217"/>
      <c r="O156" s="218"/>
      <c r="Q156" s="231"/>
      <c r="DD156" s="154"/>
      <c r="DK156" s="155"/>
      <c r="EK156" s="150" t="s">
        <v>301</v>
      </c>
      <c r="EL156" s="150" t="s">
        <v>83</v>
      </c>
      <c r="EM156" s="12" t="s">
        <v>83</v>
      </c>
      <c r="EN156" s="12" t="s">
        <v>32</v>
      </c>
      <c r="EO156" s="12" t="s">
        <v>81</v>
      </c>
      <c r="EP156" s="150" t="s">
        <v>282</v>
      </c>
    </row>
    <row r="157" spans="2:160" s="1" customFormat="1" ht="24.2" customHeight="1" x14ac:dyDescent="0.2">
      <c r="B157" s="124"/>
      <c r="C157" s="125" t="s">
        <v>335</v>
      </c>
      <c r="D157" s="125" t="s">
        <v>284</v>
      </c>
      <c r="E157" s="126" t="s">
        <v>1818</v>
      </c>
      <c r="F157" s="127" t="s">
        <v>1819</v>
      </c>
      <c r="G157" s="128" t="s">
        <v>344</v>
      </c>
      <c r="H157" s="129">
        <v>16.8</v>
      </c>
      <c r="I157" s="130">
        <v>64.561174834479445</v>
      </c>
      <c r="J157" s="131">
        <f>ROUND(I157*H157,2)</f>
        <v>1084.6300000000001</v>
      </c>
      <c r="K157" s="127" t="s">
        <v>293</v>
      </c>
      <c r="L157" s="268">
        <f>S157</f>
        <v>0</v>
      </c>
      <c r="M157" s="272">
        <f>ROUND(L157*I157,2)</f>
        <v>0</v>
      </c>
      <c r="N157" s="243"/>
      <c r="O157" s="294">
        <f>ROUND(N157*I157,2)</f>
        <v>0</v>
      </c>
      <c r="P157" s="273">
        <f>H157-L157-N157</f>
        <v>16.8</v>
      </c>
      <c r="Q157" s="287">
        <f>ROUND(P157*I157,2)</f>
        <v>1084.6300000000001</v>
      </c>
      <c r="R157" s="137"/>
      <c r="S157" s="269">
        <f>W157+Y157+AA157+AC157+AE157+AG157+AI157</f>
        <v>0</v>
      </c>
      <c r="T157" s="269">
        <f>ROUND(S157*I157,2)</f>
        <v>0</v>
      </c>
      <c r="U157" s="269">
        <f>H157-S157</f>
        <v>16.8</v>
      </c>
      <c r="V157" s="269">
        <f>ROUND(U157*I157,2)</f>
        <v>1084.6300000000001</v>
      </c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DD157" s="132" t="s">
        <v>1</v>
      </c>
      <c r="DE157" s="133" t="s">
        <v>40</v>
      </c>
      <c r="DG157" s="134">
        <f>DF157*H157</f>
        <v>0</v>
      </c>
      <c r="DH157" s="134">
        <v>1.4999999999999999E-4</v>
      </c>
      <c r="DI157" s="134">
        <f>DH157*H157</f>
        <v>2.5199999999999997E-3</v>
      </c>
      <c r="DJ157" s="134">
        <v>0</v>
      </c>
      <c r="DK157" s="135">
        <f>DJ157*H157</f>
        <v>0</v>
      </c>
      <c r="EI157" s="136" t="s">
        <v>95</v>
      </c>
      <c r="EK157" s="136" t="s">
        <v>284</v>
      </c>
      <c r="EL157" s="136" t="s">
        <v>83</v>
      </c>
      <c r="EP157" s="16" t="s">
        <v>282</v>
      </c>
      <c r="EV157" s="137">
        <f>IF(DE157="základní",J157,0)</f>
        <v>1084.6300000000001</v>
      </c>
      <c r="EW157" s="137">
        <f>IF(DE157="snížená",J157,0)</f>
        <v>0</v>
      </c>
      <c r="EX157" s="137">
        <f>IF(DE157="zákl. přenesená",J157,0)</f>
        <v>0</v>
      </c>
      <c r="EY157" s="137">
        <f>IF(DE157="sníž. přenesená",J157,0)</f>
        <v>0</v>
      </c>
      <c r="EZ157" s="137">
        <f>IF(DE157="nulová",J157,0)</f>
        <v>0</v>
      </c>
      <c r="FA157" s="16" t="s">
        <v>81</v>
      </c>
      <c r="FB157" s="137">
        <f>ROUND(I157*H157,2)</f>
        <v>1084.6300000000001</v>
      </c>
      <c r="FC157" s="16" t="s">
        <v>95</v>
      </c>
      <c r="FD157" s="136" t="s">
        <v>2214</v>
      </c>
    </row>
    <row r="158" spans="2:160" s="1" customFormat="1" ht="29.25" x14ac:dyDescent="0.2">
      <c r="B158" s="31"/>
      <c r="D158" s="138" t="s">
        <v>289</v>
      </c>
      <c r="F158" s="139" t="s">
        <v>1821</v>
      </c>
      <c r="I158" s="140"/>
      <c r="L158" s="31"/>
      <c r="N158" s="213"/>
      <c r="O158" s="214"/>
      <c r="Q158" s="229"/>
      <c r="DD158" s="141"/>
      <c r="DK158" s="50"/>
      <c r="EK158" s="16" t="s">
        <v>289</v>
      </c>
      <c r="EL158" s="16" t="s">
        <v>83</v>
      </c>
    </row>
    <row r="159" spans="2:160" s="1" customFormat="1" ht="19.5" x14ac:dyDescent="0.2">
      <c r="B159" s="31"/>
      <c r="D159" s="138" t="s">
        <v>299</v>
      </c>
      <c r="F159" s="142" t="s">
        <v>2208</v>
      </c>
      <c r="I159" s="140"/>
      <c r="L159" s="31"/>
      <c r="N159" s="213"/>
      <c r="O159" s="214"/>
      <c r="Q159" s="229"/>
      <c r="DD159" s="141"/>
      <c r="DK159" s="50"/>
      <c r="EK159" s="16" t="s">
        <v>299</v>
      </c>
      <c r="EL159" s="16" t="s">
        <v>83</v>
      </c>
    </row>
    <row r="160" spans="2:160" s="12" customFormat="1" x14ac:dyDescent="0.2">
      <c r="B160" s="149"/>
      <c r="D160" s="138" t="s">
        <v>301</v>
      </c>
      <c r="E160" s="150" t="s">
        <v>1</v>
      </c>
      <c r="F160" s="151" t="s">
        <v>2059</v>
      </c>
      <c r="H160" s="152">
        <v>16.8</v>
      </c>
      <c r="I160" s="153"/>
      <c r="L160" s="149"/>
      <c r="N160" s="217"/>
      <c r="O160" s="218"/>
      <c r="Q160" s="231"/>
      <c r="DD160" s="154"/>
      <c r="DK160" s="155"/>
      <c r="EK160" s="150" t="s">
        <v>301</v>
      </c>
      <c r="EL160" s="150" t="s">
        <v>83</v>
      </c>
      <c r="EM160" s="12" t="s">
        <v>83</v>
      </c>
      <c r="EN160" s="12" t="s">
        <v>32</v>
      </c>
      <c r="EO160" s="12" t="s">
        <v>81</v>
      </c>
      <c r="EP160" s="150" t="s">
        <v>282</v>
      </c>
    </row>
    <row r="161" spans="2:160" s="1" customFormat="1" ht="24.2" customHeight="1" x14ac:dyDescent="0.2">
      <c r="B161" s="124"/>
      <c r="C161" s="125" t="s">
        <v>341</v>
      </c>
      <c r="D161" s="125" t="s">
        <v>284</v>
      </c>
      <c r="E161" s="126" t="s">
        <v>1823</v>
      </c>
      <c r="F161" s="127" t="s">
        <v>1824</v>
      </c>
      <c r="G161" s="128" t="s">
        <v>344</v>
      </c>
      <c r="H161" s="129">
        <v>16.8</v>
      </c>
      <c r="I161" s="130">
        <v>39.716875079109904</v>
      </c>
      <c r="J161" s="131">
        <f>ROUND(I161*H161,2)</f>
        <v>667.24</v>
      </c>
      <c r="K161" s="127" t="s">
        <v>293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16.8</v>
      </c>
      <c r="Q161" s="287">
        <f>ROUND(P161*I161,2)</f>
        <v>667.24</v>
      </c>
      <c r="R161" s="137"/>
      <c r="S161" s="269">
        <f>W161+Y161+AA161+AC161+AE161+AG161+AI161</f>
        <v>0</v>
      </c>
      <c r="T161" s="269">
        <f>ROUND(S161*I161,2)</f>
        <v>0</v>
      </c>
      <c r="U161" s="269">
        <f>H161-S161</f>
        <v>16.8</v>
      </c>
      <c r="V161" s="269">
        <f>ROUND(U161*I161,2)</f>
        <v>667.24</v>
      </c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DD161" s="132" t="s">
        <v>1</v>
      </c>
      <c r="DE161" s="133" t="s">
        <v>40</v>
      </c>
      <c r="DG161" s="134">
        <f>DF161*H161</f>
        <v>0</v>
      </c>
      <c r="DH161" s="134">
        <v>0</v>
      </c>
      <c r="DI161" s="134">
        <f>DH161*H161</f>
        <v>0</v>
      </c>
      <c r="DJ161" s="134">
        <v>0</v>
      </c>
      <c r="DK161" s="135">
        <f>DJ161*H161</f>
        <v>0</v>
      </c>
      <c r="EI161" s="136" t="s">
        <v>95</v>
      </c>
      <c r="EK161" s="136" t="s">
        <v>284</v>
      </c>
      <c r="EL161" s="136" t="s">
        <v>83</v>
      </c>
      <c r="EP161" s="16" t="s">
        <v>282</v>
      </c>
      <c r="EV161" s="137">
        <f>IF(DE161="základní",J161,0)</f>
        <v>667.24</v>
      </c>
      <c r="EW161" s="137">
        <f>IF(DE161="snížená",J161,0)</f>
        <v>0</v>
      </c>
      <c r="EX161" s="137">
        <f>IF(DE161="zákl. přenesená",J161,0)</f>
        <v>0</v>
      </c>
      <c r="EY161" s="137">
        <f>IF(DE161="sníž. přenesená",J161,0)</f>
        <v>0</v>
      </c>
      <c r="EZ161" s="137">
        <f>IF(DE161="nulová",J161,0)</f>
        <v>0</v>
      </c>
      <c r="FA161" s="16" t="s">
        <v>81</v>
      </c>
      <c r="FB161" s="137">
        <f>ROUND(I161*H161,2)</f>
        <v>667.24</v>
      </c>
      <c r="FC161" s="16" t="s">
        <v>95</v>
      </c>
      <c r="FD161" s="136" t="s">
        <v>2215</v>
      </c>
    </row>
    <row r="162" spans="2:160" s="1" customFormat="1" ht="29.25" x14ac:dyDescent="0.2">
      <c r="B162" s="31"/>
      <c r="D162" s="138" t="s">
        <v>289</v>
      </c>
      <c r="F162" s="139" t="s">
        <v>1826</v>
      </c>
      <c r="I162" s="140"/>
      <c r="L162" s="31"/>
      <c r="N162" s="213"/>
      <c r="O162" s="214"/>
      <c r="Q162" s="229"/>
      <c r="DD162" s="141"/>
      <c r="DK162" s="50"/>
      <c r="EK162" s="16" t="s">
        <v>289</v>
      </c>
      <c r="EL162" s="16" t="s">
        <v>83</v>
      </c>
    </row>
    <row r="163" spans="2:160" s="1" customFormat="1" ht="24.2" customHeight="1" x14ac:dyDescent="0.2">
      <c r="B163" s="124"/>
      <c r="C163" s="125" t="s">
        <v>348</v>
      </c>
      <c r="D163" s="125" t="s">
        <v>284</v>
      </c>
      <c r="E163" s="126" t="s">
        <v>1827</v>
      </c>
      <c r="F163" s="127" t="s">
        <v>1828</v>
      </c>
      <c r="G163" s="128" t="s">
        <v>344</v>
      </c>
      <c r="H163" s="129">
        <v>3.93</v>
      </c>
      <c r="I163" s="130">
        <v>162.37099591398675</v>
      </c>
      <c r="J163" s="131">
        <f>ROUND(I163*H163,2)</f>
        <v>638.12</v>
      </c>
      <c r="K163" s="127" t="s">
        <v>293</v>
      </c>
      <c r="L163" s="268">
        <f>S163</f>
        <v>0</v>
      </c>
      <c r="M163" s="272">
        <f>ROUND(L163*I163,2)</f>
        <v>0</v>
      </c>
      <c r="N163" s="243"/>
      <c r="O163" s="294">
        <f>ROUND(N163*I163,2)</f>
        <v>0</v>
      </c>
      <c r="P163" s="273">
        <f>H163-L163-N163</f>
        <v>3.93</v>
      </c>
      <c r="Q163" s="287">
        <f>ROUND(P163*I163,2)</f>
        <v>638.12</v>
      </c>
      <c r="R163" s="137"/>
      <c r="S163" s="269">
        <f>W163+Y163+AA163+AC163+AE163+AG163+AI163</f>
        <v>0</v>
      </c>
      <c r="T163" s="269">
        <f>ROUND(S163*I163,2)</f>
        <v>0</v>
      </c>
      <c r="U163" s="269">
        <f>H163-S163</f>
        <v>3.93</v>
      </c>
      <c r="V163" s="269">
        <f>ROUND(U163*I163,2)</f>
        <v>638.12</v>
      </c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DD163" s="132" t="s">
        <v>1</v>
      </c>
      <c r="DE163" s="133" t="s">
        <v>40</v>
      </c>
      <c r="DG163" s="134">
        <f>DF163*H163</f>
        <v>0</v>
      </c>
      <c r="DH163" s="134">
        <v>4.6999999999999999E-4</v>
      </c>
      <c r="DI163" s="134">
        <f>DH163*H163</f>
        <v>1.8471E-3</v>
      </c>
      <c r="DJ163" s="134">
        <v>0</v>
      </c>
      <c r="DK163" s="135">
        <f>DJ163*H163</f>
        <v>0</v>
      </c>
      <c r="EI163" s="136" t="s">
        <v>95</v>
      </c>
      <c r="EK163" s="136" t="s">
        <v>284</v>
      </c>
      <c r="EL163" s="136" t="s">
        <v>83</v>
      </c>
      <c r="EP163" s="16" t="s">
        <v>282</v>
      </c>
      <c r="EV163" s="137">
        <f>IF(DE163="základní",J163,0)</f>
        <v>638.12</v>
      </c>
      <c r="EW163" s="137">
        <f>IF(DE163="snížená",J163,0)</f>
        <v>0</v>
      </c>
      <c r="EX163" s="137">
        <f>IF(DE163="zákl. přenesená",J163,0)</f>
        <v>0</v>
      </c>
      <c r="EY163" s="137">
        <f>IF(DE163="sníž. přenesená",J163,0)</f>
        <v>0</v>
      </c>
      <c r="EZ163" s="137">
        <f>IF(DE163="nulová",J163,0)</f>
        <v>0</v>
      </c>
      <c r="FA163" s="16" t="s">
        <v>81</v>
      </c>
      <c r="FB163" s="137">
        <f>ROUND(I163*H163,2)</f>
        <v>638.12</v>
      </c>
      <c r="FC163" s="16" t="s">
        <v>95</v>
      </c>
      <c r="FD163" s="136" t="s">
        <v>2216</v>
      </c>
    </row>
    <row r="164" spans="2:160" s="1" customFormat="1" ht="19.5" x14ac:dyDescent="0.2">
      <c r="B164" s="31"/>
      <c r="D164" s="138" t="s">
        <v>289</v>
      </c>
      <c r="F164" s="139" t="s">
        <v>1830</v>
      </c>
      <c r="I164" s="140"/>
      <c r="L164" s="31"/>
      <c r="N164" s="213"/>
      <c r="O164" s="214"/>
      <c r="Q164" s="229"/>
      <c r="DD164" s="141"/>
      <c r="DK164" s="50"/>
      <c r="EK164" s="16" t="s">
        <v>289</v>
      </c>
      <c r="EL164" s="16" t="s">
        <v>83</v>
      </c>
    </row>
    <row r="165" spans="2:160" s="1" customFormat="1" ht="19.5" x14ac:dyDescent="0.2">
      <c r="B165" s="31"/>
      <c r="D165" s="138" t="s">
        <v>299</v>
      </c>
      <c r="F165" s="142" t="s">
        <v>2208</v>
      </c>
      <c r="I165" s="140"/>
      <c r="L165" s="31"/>
      <c r="N165" s="213"/>
      <c r="O165" s="214"/>
      <c r="Q165" s="229"/>
      <c r="DD165" s="141"/>
      <c r="DK165" s="50"/>
      <c r="EK165" s="16" t="s">
        <v>299</v>
      </c>
      <c r="EL165" s="16" t="s">
        <v>83</v>
      </c>
    </row>
    <row r="166" spans="2:160" s="12" customFormat="1" x14ac:dyDescent="0.2">
      <c r="B166" s="149"/>
      <c r="D166" s="138" t="s">
        <v>301</v>
      </c>
      <c r="E166" s="150" t="s">
        <v>1</v>
      </c>
      <c r="F166" s="151" t="s">
        <v>2217</v>
      </c>
      <c r="H166" s="152">
        <v>3.93</v>
      </c>
      <c r="I166" s="153"/>
      <c r="L166" s="149"/>
      <c r="N166" s="217"/>
      <c r="O166" s="218"/>
      <c r="Q166" s="231"/>
      <c r="DD166" s="154"/>
      <c r="DK166" s="155"/>
      <c r="EK166" s="150" t="s">
        <v>301</v>
      </c>
      <c r="EL166" s="150" t="s">
        <v>83</v>
      </c>
      <c r="EM166" s="12" t="s">
        <v>83</v>
      </c>
      <c r="EN166" s="12" t="s">
        <v>32</v>
      </c>
      <c r="EO166" s="12" t="s">
        <v>81</v>
      </c>
      <c r="EP166" s="150" t="s">
        <v>282</v>
      </c>
    </row>
    <row r="167" spans="2:160" s="1" customFormat="1" ht="24.2" customHeight="1" x14ac:dyDescent="0.2">
      <c r="B167" s="124"/>
      <c r="C167" s="125" t="s">
        <v>327</v>
      </c>
      <c r="D167" s="125" t="s">
        <v>284</v>
      </c>
      <c r="E167" s="126" t="s">
        <v>1832</v>
      </c>
      <c r="F167" s="127" t="s">
        <v>1833</v>
      </c>
      <c r="G167" s="128" t="s">
        <v>344</v>
      </c>
      <c r="H167" s="129">
        <v>3.93</v>
      </c>
      <c r="I167" s="130">
        <v>47.324340004731368</v>
      </c>
      <c r="J167" s="131">
        <f>ROUND(I167*H167,2)</f>
        <v>185.98</v>
      </c>
      <c r="K167" s="127" t="s">
        <v>293</v>
      </c>
      <c r="L167" s="268">
        <f>S167</f>
        <v>0</v>
      </c>
      <c r="M167" s="272">
        <f>ROUND(L167*I167,2)</f>
        <v>0</v>
      </c>
      <c r="N167" s="243"/>
      <c r="O167" s="294">
        <f>ROUND(N167*I167,2)</f>
        <v>0</v>
      </c>
      <c r="P167" s="273">
        <f>H167-L167-N167</f>
        <v>3.93</v>
      </c>
      <c r="Q167" s="287">
        <f>ROUND(P167*I167,2)</f>
        <v>185.98</v>
      </c>
      <c r="R167" s="137"/>
      <c r="S167" s="269">
        <f>W167+Y167+AA167+AC167+AE167+AG167+AI167</f>
        <v>0</v>
      </c>
      <c r="T167" s="269">
        <f>ROUND(S167*I167,2)</f>
        <v>0</v>
      </c>
      <c r="U167" s="269">
        <f>H167-S167</f>
        <v>3.93</v>
      </c>
      <c r="V167" s="269">
        <f>ROUND(U167*I167,2)</f>
        <v>185.98</v>
      </c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DD167" s="132" t="s">
        <v>1</v>
      </c>
      <c r="DE167" s="133" t="s">
        <v>40</v>
      </c>
      <c r="DG167" s="134">
        <f>DF167*H167</f>
        <v>0</v>
      </c>
      <c r="DH167" s="134">
        <v>0</v>
      </c>
      <c r="DI167" s="134">
        <f>DH167*H167</f>
        <v>0</v>
      </c>
      <c r="DJ167" s="134">
        <v>0</v>
      </c>
      <c r="DK167" s="135">
        <f>DJ167*H167</f>
        <v>0</v>
      </c>
      <c r="EI167" s="136" t="s">
        <v>95</v>
      </c>
      <c r="EK167" s="136" t="s">
        <v>284</v>
      </c>
      <c r="EL167" s="136" t="s">
        <v>83</v>
      </c>
      <c r="EP167" s="16" t="s">
        <v>282</v>
      </c>
      <c r="EV167" s="137">
        <f>IF(DE167="základní",J167,0)</f>
        <v>185.98</v>
      </c>
      <c r="EW167" s="137">
        <f>IF(DE167="snížená",J167,0)</f>
        <v>0</v>
      </c>
      <c r="EX167" s="137">
        <f>IF(DE167="zákl. přenesená",J167,0)</f>
        <v>0</v>
      </c>
      <c r="EY167" s="137">
        <f>IF(DE167="sníž. přenesená",J167,0)</f>
        <v>0</v>
      </c>
      <c r="EZ167" s="137">
        <f>IF(DE167="nulová",J167,0)</f>
        <v>0</v>
      </c>
      <c r="FA167" s="16" t="s">
        <v>81</v>
      </c>
      <c r="FB167" s="137">
        <f>ROUND(I167*H167,2)</f>
        <v>185.98</v>
      </c>
      <c r="FC167" s="16" t="s">
        <v>95</v>
      </c>
      <c r="FD167" s="136" t="s">
        <v>2218</v>
      </c>
    </row>
    <row r="168" spans="2:160" s="1" customFormat="1" ht="19.5" x14ac:dyDescent="0.2">
      <c r="B168" s="31"/>
      <c r="D168" s="138" t="s">
        <v>289</v>
      </c>
      <c r="F168" s="139" t="s">
        <v>1835</v>
      </c>
      <c r="I168" s="140"/>
      <c r="L168" s="31"/>
      <c r="N168" s="213"/>
      <c r="O168" s="214"/>
      <c r="Q168" s="229"/>
      <c r="DD168" s="141"/>
      <c r="DK168" s="50"/>
      <c r="EK168" s="16" t="s">
        <v>289</v>
      </c>
      <c r="EL168" s="16" t="s">
        <v>83</v>
      </c>
    </row>
    <row r="169" spans="2:160" s="1" customFormat="1" ht="24.2" customHeight="1" x14ac:dyDescent="0.2">
      <c r="B169" s="124"/>
      <c r="C169" s="125" t="s">
        <v>359</v>
      </c>
      <c r="D169" s="125" t="s">
        <v>284</v>
      </c>
      <c r="E169" s="126" t="s">
        <v>1836</v>
      </c>
      <c r="F169" s="127" t="s">
        <v>1837</v>
      </c>
      <c r="G169" s="128" t="s">
        <v>366</v>
      </c>
      <c r="H169" s="129">
        <v>30.693999999999999</v>
      </c>
      <c r="I169" s="130">
        <v>1176.19125848302</v>
      </c>
      <c r="J169" s="131">
        <f>ROUND(I169*H169,2)</f>
        <v>36102.01</v>
      </c>
      <c r="K169" s="127" t="s">
        <v>293</v>
      </c>
      <c r="L169" s="268">
        <f>S169</f>
        <v>0</v>
      </c>
      <c r="M169" s="272">
        <f>ROUND(L169*I169,2)</f>
        <v>0</v>
      </c>
      <c r="N169" s="243"/>
      <c r="O169" s="294">
        <f>ROUND(N169*I169,2)</f>
        <v>0</v>
      </c>
      <c r="P169" s="273">
        <f>H169-L169-N169</f>
        <v>30.693999999999999</v>
      </c>
      <c r="Q169" s="287">
        <f>ROUND(P169*I169,2)</f>
        <v>36102.01</v>
      </c>
      <c r="R169" s="137"/>
      <c r="S169" s="269">
        <f>W169+Y169+AA169+AC169+AE169+AG169+AI169</f>
        <v>0</v>
      </c>
      <c r="T169" s="269">
        <f>ROUND(S169*I169,2)</f>
        <v>0</v>
      </c>
      <c r="U169" s="269">
        <f>H169-S169</f>
        <v>30.693999999999999</v>
      </c>
      <c r="V169" s="269">
        <f>ROUND(U169*I169,2)</f>
        <v>36102.01</v>
      </c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DD169" s="132" t="s">
        <v>1</v>
      </c>
      <c r="DE169" s="133" t="s">
        <v>40</v>
      </c>
      <c r="DG169" s="134">
        <f>DF169*H169</f>
        <v>0</v>
      </c>
      <c r="DH169" s="134">
        <v>0</v>
      </c>
      <c r="DI169" s="134">
        <f>DH169*H169</f>
        <v>0</v>
      </c>
      <c r="DJ169" s="134">
        <v>0</v>
      </c>
      <c r="DK169" s="135">
        <f>DJ169*H169</f>
        <v>0</v>
      </c>
      <c r="EI169" s="136" t="s">
        <v>95</v>
      </c>
      <c r="EK169" s="136" t="s">
        <v>284</v>
      </c>
      <c r="EL169" s="136" t="s">
        <v>83</v>
      </c>
      <c r="EP169" s="16" t="s">
        <v>282</v>
      </c>
      <c r="EV169" s="137">
        <f>IF(DE169="základní",J169,0)</f>
        <v>36102.01</v>
      </c>
      <c r="EW169" s="137">
        <f>IF(DE169="snížená",J169,0)</f>
        <v>0</v>
      </c>
      <c r="EX169" s="137">
        <f>IF(DE169="zákl. přenesená",J169,0)</f>
        <v>0</v>
      </c>
      <c r="EY169" s="137">
        <f>IF(DE169="sníž. přenesená",J169,0)</f>
        <v>0</v>
      </c>
      <c r="EZ169" s="137">
        <f>IF(DE169="nulová",J169,0)</f>
        <v>0</v>
      </c>
      <c r="FA169" s="16" t="s">
        <v>81</v>
      </c>
      <c r="FB169" s="137">
        <f>ROUND(I169*H169,2)</f>
        <v>36102.01</v>
      </c>
      <c r="FC169" s="16" t="s">
        <v>95</v>
      </c>
      <c r="FD169" s="136" t="s">
        <v>2219</v>
      </c>
    </row>
    <row r="170" spans="2:160" s="1" customFormat="1" ht="29.25" x14ac:dyDescent="0.2">
      <c r="B170" s="31"/>
      <c r="D170" s="138" t="s">
        <v>289</v>
      </c>
      <c r="F170" s="139" t="s">
        <v>1839</v>
      </c>
      <c r="I170" s="140"/>
      <c r="L170" s="31"/>
      <c r="N170" s="213"/>
      <c r="O170" s="214"/>
      <c r="Q170" s="229"/>
      <c r="DD170" s="141"/>
      <c r="DK170" s="50"/>
      <c r="EK170" s="16" t="s">
        <v>289</v>
      </c>
      <c r="EL170" s="16" t="s">
        <v>83</v>
      </c>
    </row>
    <row r="171" spans="2:160" s="1" customFormat="1" ht="29.25" x14ac:dyDescent="0.2">
      <c r="B171" s="31"/>
      <c r="D171" s="138" t="s">
        <v>299</v>
      </c>
      <c r="F171" s="142" t="s">
        <v>2220</v>
      </c>
      <c r="I171" s="140"/>
      <c r="L171" s="31"/>
      <c r="N171" s="213"/>
      <c r="O171" s="214"/>
      <c r="Q171" s="229"/>
      <c r="DD171" s="141"/>
      <c r="DK171" s="50"/>
      <c r="EK171" s="16" t="s">
        <v>299</v>
      </c>
      <c r="EL171" s="16" t="s">
        <v>83</v>
      </c>
    </row>
    <row r="172" spans="2:160" s="11" customFormat="1" ht="22.5" x14ac:dyDescent="0.2">
      <c r="B172" s="143"/>
      <c r="D172" s="138" t="s">
        <v>301</v>
      </c>
      <c r="E172" s="144" t="s">
        <v>1</v>
      </c>
      <c r="F172" s="145" t="s">
        <v>370</v>
      </c>
      <c r="H172" s="144" t="s">
        <v>1</v>
      </c>
      <c r="I172" s="146"/>
      <c r="L172" s="143"/>
      <c r="N172" s="215"/>
      <c r="O172" s="216"/>
      <c r="Q172" s="230"/>
      <c r="DD172" s="147"/>
      <c r="DK172" s="148"/>
      <c r="EK172" s="144" t="s">
        <v>301</v>
      </c>
      <c r="EL172" s="144" t="s">
        <v>83</v>
      </c>
      <c r="EM172" s="11" t="s">
        <v>81</v>
      </c>
      <c r="EN172" s="11" t="s">
        <v>32</v>
      </c>
      <c r="EO172" s="11" t="s">
        <v>74</v>
      </c>
      <c r="EP172" s="144" t="s">
        <v>282</v>
      </c>
    </row>
    <row r="173" spans="2:160" s="12" customFormat="1" x14ac:dyDescent="0.2">
      <c r="B173" s="149"/>
      <c r="D173" s="138" t="s">
        <v>301</v>
      </c>
      <c r="E173" s="150" t="s">
        <v>1</v>
      </c>
      <c r="F173" s="151" t="s">
        <v>2221</v>
      </c>
      <c r="H173" s="152">
        <v>61.387</v>
      </c>
      <c r="I173" s="153"/>
      <c r="L173" s="149"/>
      <c r="N173" s="217"/>
      <c r="O173" s="218"/>
      <c r="Q173" s="231"/>
      <c r="DD173" s="154"/>
      <c r="DK173" s="155"/>
      <c r="EK173" s="150" t="s">
        <v>301</v>
      </c>
      <c r="EL173" s="150" t="s">
        <v>83</v>
      </c>
      <c r="EM173" s="12" t="s">
        <v>83</v>
      </c>
      <c r="EN173" s="12" t="s">
        <v>32</v>
      </c>
      <c r="EO173" s="12" t="s">
        <v>74</v>
      </c>
      <c r="EP173" s="150" t="s">
        <v>282</v>
      </c>
    </row>
    <row r="174" spans="2:160" s="14" customFormat="1" x14ac:dyDescent="0.2">
      <c r="B174" s="163"/>
      <c r="D174" s="138" t="s">
        <v>301</v>
      </c>
      <c r="E174" s="164" t="s">
        <v>1</v>
      </c>
      <c r="F174" s="165" t="s">
        <v>373</v>
      </c>
      <c r="H174" s="166">
        <v>61.387</v>
      </c>
      <c r="I174" s="167"/>
      <c r="L174" s="163"/>
      <c r="N174" s="221"/>
      <c r="O174" s="222"/>
      <c r="Q174" s="233"/>
      <c r="DD174" s="168"/>
      <c r="DK174" s="169"/>
      <c r="EK174" s="164" t="s">
        <v>301</v>
      </c>
      <c r="EL174" s="164" t="s">
        <v>83</v>
      </c>
      <c r="EM174" s="14" t="s">
        <v>90</v>
      </c>
      <c r="EN174" s="14" t="s">
        <v>32</v>
      </c>
      <c r="EO174" s="14" t="s">
        <v>74</v>
      </c>
      <c r="EP174" s="164" t="s">
        <v>282</v>
      </c>
    </row>
    <row r="175" spans="2:160" s="12" customFormat="1" x14ac:dyDescent="0.2">
      <c r="B175" s="149"/>
      <c r="D175" s="138" t="s">
        <v>301</v>
      </c>
      <c r="E175" s="150" t="s">
        <v>1</v>
      </c>
      <c r="F175" s="151" t="s">
        <v>2222</v>
      </c>
      <c r="H175" s="152">
        <v>30.693999999999999</v>
      </c>
      <c r="I175" s="153"/>
      <c r="L175" s="149"/>
      <c r="N175" s="217"/>
      <c r="O175" s="218"/>
      <c r="Q175" s="231"/>
      <c r="DD175" s="154"/>
      <c r="DK175" s="155"/>
      <c r="EK175" s="150" t="s">
        <v>301</v>
      </c>
      <c r="EL175" s="150" t="s">
        <v>83</v>
      </c>
      <c r="EM175" s="12" t="s">
        <v>83</v>
      </c>
      <c r="EN175" s="12" t="s">
        <v>32</v>
      </c>
      <c r="EO175" s="12" t="s">
        <v>81</v>
      </c>
      <c r="EP175" s="150" t="s">
        <v>282</v>
      </c>
    </row>
    <row r="176" spans="2:160" s="1" customFormat="1" ht="24.2" customHeight="1" x14ac:dyDescent="0.2">
      <c r="B176" s="124"/>
      <c r="C176" s="125" t="s">
        <v>363</v>
      </c>
      <c r="D176" s="125" t="s">
        <v>284</v>
      </c>
      <c r="E176" s="126" t="s">
        <v>1843</v>
      </c>
      <c r="F176" s="127" t="s">
        <v>1844</v>
      </c>
      <c r="G176" s="128" t="s">
        <v>366</v>
      </c>
      <c r="H176" s="129">
        <v>30.693999999999999</v>
      </c>
      <c r="I176" s="130">
        <v>1412.9317984290899</v>
      </c>
      <c r="J176" s="131">
        <f>ROUND(I176*H176,2)</f>
        <v>43368.53</v>
      </c>
      <c r="K176" s="127" t="s">
        <v>293</v>
      </c>
      <c r="L176" s="268">
        <f>S176</f>
        <v>0</v>
      </c>
      <c r="M176" s="272">
        <f>ROUND(L176*I176,2)</f>
        <v>0</v>
      </c>
      <c r="N176" s="243"/>
      <c r="O176" s="294">
        <f>ROUND(N176*I176,2)</f>
        <v>0</v>
      </c>
      <c r="P176" s="273">
        <f>H176-L176-N176</f>
        <v>30.693999999999999</v>
      </c>
      <c r="Q176" s="287">
        <f>ROUND(P176*I176,2)</f>
        <v>43368.53</v>
      </c>
      <c r="R176" s="137"/>
      <c r="S176" s="269">
        <f>W176+Y176+AA176+AC176+AE176+AG176+AI176</f>
        <v>0</v>
      </c>
      <c r="T176" s="269">
        <f>ROUND(S176*I176,2)</f>
        <v>0</v>
      </c>
      <c r="U176" s="269">
        <f>H176-S176</f>
        <v>30.693999999999999</v>
      </c>
      <c r="V176" s="269">
        <f>ROUND(U176*I176,2)</f>
        <v>43368.53</v>
      </c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DD176" s="132" t="s">
        <v>1</v>
      </c>
      <c r="DE176" s="133" t="s">
        <v>40</v>
      </c>
      <c r="DG176" s="134">
        <f>DF176*H176</f>
        <v>0</v>
      </c>
      <c r="DH176" s="134">
        <v>0</v>
      </c>
      <c r="DI176" s="134">
        <f>DH176*H176</f>
        <v>0</v>
      </c>
      <c r="DJ176" s="134">
        <v>0</v>
      </c>
      <c r="DK176" s="135">
        <f>DJ176*H176</f>
        <v>0</v>
      </c>
      <c r="EI176" s="136" t="s">
        <v>95</v>
      </c>
      <c r="EK176" s="136" t="s">
        <v>284</v>
      </c>
      <c r="EL176" s="136" t="s">
        <v>83</v>
      </c>
      <c r="EP176" s="16" t="s">
        <v>282</v>
      </c>
      <c r="EV176" s="137">
        <f>IF(DE176="základní",J176,0)</f>
        <v>43368.53</v>
      </c>
      <c r="EW176" s="137">
        <f>IF(DE176="snížená",J176,0)</f>
        <v>0</v>
      </c>
      <c r="EX176" s="137">
        <f>IF(DE176="zákl. přenesená",J176,0)</f>
        <v>0</v>
      </c>
      <c r="EY176" s="137">
        <f>IF(DE176="sníž. přenesená",J176,0)</f>
        <v>0</v>
      </c>
      <c r="EZ176" s="137">
        <f>IF(DE176="nulová",J176,0)</f>
        <v>0</v>
      </c>
      <c r="FA176" s="16" t="s">
        <v>81</v>
      </c>
      <c r="FB176" s="137">
        <f>ROUND(I176*H176,2)</f>
        <v>43368.53</v>
      </c>
      <c r="FC176" s="16" t="s">
        <v>95</v>
      </c>
      <c r="FD176" s="136" t="s">
        <v>2223</v>
      </c>
    </row>
    <row r="177" spans="2:160" s="1" customFormat="1" ht="29.25" x14ac:dyDescent="0.2">
      <c r="B177" s="31"/>
      <c r="D177" s="138" t="s">
        <v>289</v>
      </c>
      <c r="F177" s="139" t="s">
        <v>1846</v>
      </c>
      <c r="I177" s="140"/>
      <c r="L177" s="31"/>
      <c r="N177" s="213"/>
      <c r="O177" s="214"/>
      <c r="Q177" s="229"/>
      <c r="DD177" s="141"/>
      <c r="DK177" s="50"/>
      <c r="EK177" s="16" t="s">
        <v>289</v>
      </c>
      <c r="EL177" s="16" t="s">
        <v>83</v>
      </c>
    </row>
    <row r="178" spans="2:160" s="1" customFormat="1" ht="29.25" x14ac:dyDescent="0.2">
      <c r="B178" s="31"/>
      <c r="D178" s="138" t="s">
        <v>299</v>
      </c>
      <c r="F178" s="142" t="s">
        <v>2220</v>
      </c>
      <c r="I178" s="140"/>
      <c r="L178" s="31"/>
      <c r="N178" s="213"/>
      <c r="O178" s="214"/>
      <c r="Q178" s="229"/>
      <c r="DD178" s="141"/>
      <c r="DK178" s="50"/>
      <c r="EK178" s="16" t="s">
        <v>299</v>
      </c>
      <c r="EL178" s="16" t="s">
        <v>83</v>
      </c>
    </row>
    <row r="179" spans="2:160" s="1" customFormat="1" ht="14.45" customHeight="1" x14ac:dyDescent="0.2">
      <c r="B179" s="124"/>
      <c r="C179" s="125" t="s">
        <v>8</v>
      </c>
      <c r="D179" s="125" t="s">
        <v>284</v>
      </c>
      <c r="E179" s="126" t="s">
        <v>1848</v>
      </c>
      <c r="F179" s="127" t="s">
        <v>1849</v>
      </c>
      <c r="G179" s="128" t="s">
        <v>287</v>
      </c>
      <c r="H179" s="129">
        <v>66.024000000000001</v>
      </c>
      <c r="I179" s="130">
        <v>1000.41610079359</v>
      </c>
      <c r="J179" s="131">
        <f>ROUND(I179*H179,2)</f>
        <v>66051.47</v>
      </c>
      <c r="K179" s="127" t="s">
        <v>293</v>
      </c>
      <c r="L179" s="268">
        <f>S179</f>
        <v>0</v>
      </c>
      <c r="M179" s="272">
        <f>ROUND(L179*I179,2)</f>
        <v>0</v>
      </c>
      <c r="N179" s="243"/>
      <c r="O179" s="294">
        <f>ROUND(N179*I179,2)</f>
        <v>0</v>
      </c>
      <c r="P179" s="273">
        <f>H179-L179-N179</f>
        <v>66.024000000000001</v>
      </c>
      <c r="Q179" s="287">
        <f>ROUND(P179*I179,2)</f>
        <v>66051.47</v>
      </c>
      <c r="R179" s="137"/>
      <c r="S179" s="269">
        <f>W179+Y179+AA179+AC179+AE179+AG179+AI179</f>
        <v>0</v>
      </c>
      <c r="T179" s="269">
        <f>ROUND(S179*I179,2)</f>
        <v>0</v>
      </c>
      <c r="U179" s="269">
        <f>H179-S179</f>
        <v>66.024000000000001</v>
      </c>
      <c r="V179" s="269">
        <f>ROUND(U179*I179,2)</f>
        <v>66051.47</v>
      </c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DD179" s="132" t="s">
        <v>1</v>
      </c>
      <c r="DE179" s="133" t="s">
        <v>40</v>
      </c>
      <c r="DG179" s="134">
        <f>DF179*H179</f>
        <v>0</v>
      </c>
      <c r="DH179" s="134">
        <v>4.4400000000000004E-3</v>
      </c>
      <c r="DI179" s="134">
        <f>DH179*H179</f>
        <v>0.29314656000000006</v>
      </c>
      <c r="DJ179" s="134">
        <v>0</v>
      </c>
      <c r="DK179" s="135">
        <f>DJ179*H179</f>
        <v>0</v>
      </c>
      <c r="EI179" s="136" t="s">
        <v>95</v>
      </c>
      <c r="EK179" s="136" t="s">
        <v>284</v>
      </c>
      <c r="EL179" s="136" t="s">
        <v>83</v>
      </c>
      <c r="EP179" s="16" t="s">
        <v>282</v>
      </c>
      <c r="EV179" s="137">
        <f>IF(DE179="základní",J179,0)</f>
        <v>66051.47</v>
      </c>
      <c r="EW179" s="137">
        <f>IF(DE179="snížená",J179,0)</f>
        <v>0</v>
      </c>
      <c r="EX179" s="137">
        <f>IF(DE179="zákl. přenesená",J179,0)</f>
        <v>0</v>
      </c>
      <c r="EY179" s="137">
        <f>IF(DE179="sníž. přenesená",J179,0)</f>
        <v>0</v>
      </c>
      <c r="EZ179" s="137">
        <f>IF(DE179="nulová",J179,0)</f>
        <v>0</v>
      </c>
      <c r="FA179" s="16" t="s">
        <v>81</v>
      </c>
      <c r="FB179" s="137">
        <f>ROUND(I179*H179,2)</f>
        <v>66051.47</v>
      </c>
      <c r="FC179" s="16" t="s">
        <v>95</v>
      </c>
      <c r="FD179" s="136" t="s">
        <v>2224</v>
      </c>
    </row>
    <row r="180" spans="2:160" s="1" customFormat="1" ht="19.5" x14ac:dyDescent="0.2">
      <c r="B180" s="31"/>
      <c r="D180" s="138" t="s">
        <v>289</v>
      </c>
      <c r="F180" s="139" t="s">
        <v>1851</v>
      </c>
      <c r="I180" s="140"/>
      <c r="L180" s="31"/>
      <c r="N180" s="213"/>
      <c r="O180" s="214"/>
      <c r="Q180" s="229"/>
      <c r="DD180" s="141"/>
      <c r="DK180" s="50"/>
      <c r="EK180" s="16" t="s">
        <v>289</v>
      </c>
      <c r="EL180" s="16" t="s">
        <v>83</v>
      </c>
    </row>
    <row r="181" spans="2:160" s="1" customFormat="1" ht="19.5" x14ac:dyDescent="0.2">
      <c r="B181" s="31"/>
      <c r="D181" s="138" t="s">
        <v>299</v>
      </c>
      <c r="F181" s="142" t="s">
        <v>2208</v>
      </c>
      <c r="I181" s="140"/>
      <c r="L181" s="31"/>
      <c r="N181" s="213"/>
      <c r="O181" s="214"/>
      <c r="Q181" s="229"/>
      <c r="DD181" s="141"/>
      <c r="DK181" s="50"/>
      <c r="EK181" s="16" t="s">
        <v>299</v>
      </c>
      <c r="EL181" s="16" t="s">
        <v>83</v>
      </c>
    </row>
    <row r="182" spans="2:160" s="12" customFormat="1" x14ac:dyDescent="0.2">
      <c r="B182" s="149"/>
      <c r="D182" s="138" t="s">
        <v>301</v>
      </c>
      <c r="E182" s="150" t="s">
        <v>1</v>
      </c>
      <c r="F182" s="151" t="s">
        <v>2225</v>
      </c>
      <c r="H182" s="152">
        <v>66.024000000000001</v>
      </c>
      <c r="I182" s="153"/>
      <c r="L182" s="149"/>
      <c r="N182" s="217"/>
      <c r="O182" s="218"/>
      <c r="Q182" s="231"/>
      <c r="DD182" s="154"/>
      <c r="DK182" s="155"/>
      <c r="EK182" s="150" t="s">
        <v>301</v>
      </c>
      <c r="EL182" s="150" t="s">
        <v>83</v>
      </c>
      <c r="EM182" s="12" t="s">
        <v>83</v>
      </c>
      <c r="EN182" s="12" t="s">
        <v>32</v>
      </c>
      <c r="EO182" s="12" t="s">
        <v>81</v>
      </c>
      <c r="EP182" s="150" t="s">
        <v>282</v>
      </c>
    </row>
    <row r="183" spans="2:160" s="1" customFormat="1" ht="14.45" customHeight="1" x14ac:dyDescent="0.2">
      <c r="B183" s="124"/>
      <c r="C183" s="125" t="s">
        <v>379</v>
      </c>
      <c r="D183" s="125" t="s">
        <v>284</v>
      </c>
      <c r="E183" s="126" t="s">
        <v>1853</v>
      </c>
      <c r="F183" s="127" t="s">
        <v>1854</v>
      </c>
      <c r="G183" s="128" t="s">
        <v>287</v>
      </c>
      <c r="H183" s="129">
        <v>66.024000000000001</v>
      </c>
      <c r="I183" s="130">
        <v>176.46630360754</v>
      </c>
      <c r="J183" s="131">
        <f>ROUND(I183*H183,2)</f>
        <v>11651.01</v>
      </c>
      <c r="K183" s="127" t="s">
        <v>293</v>
      </c>
      <c r="L183" s="268">
        <f>S183</f>
        <v>0</v>
      </c>
      <c r="M183" s="272">
        <f>ROUND(L183*I183,2)</f>
        <v>0</v>
      </c>
      <c r="N183" s="243"/>
      <c r="O183" s="294">
        <f>ROUND(N183*I183,2)</f>
        <v>0</v>
      </c>
      <c r="P183" s="273">
        <f>H183-L183-N183</f>
        <v>66.024000000000001</v>
      </c>
      <c r="Q183" s="287">
        <f>ROUND(P183*I183,2)</f>
        <v>11651.01</v>
      </c>
      <c r="R183" s="137"/>
      <c r="S183" s="269">
        <f>W183+Y183+AA183+AC183+AE183+AG183+AI183</f>
        <v>0</v>
      </c>
      <c r="T183" s="269">
        <f>ROUND(S183*I183,2)</f>
        <v>0</v>
      </c>
      <c r="U183" s="269">
        <f>H183-S183</f>
        <v>66.024000000000001</v>
      </c>
      <c r="V183" s="269">
        <f>ROUND(U183*I183,2)</f>
        <v>11651.01</v>
      </c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DD183" s="132" t="s">
        <v>1</v>
      </c>
      <c r="DE183" s="133" t="s">
        <v>40</v>
      </c>
      <c r="DG183" s="134">
        <f>DF183*H183</f>
        <v>0</v>
      </c>
      <c r="DH183" s="134">
        <v>0</v>
      </c>
      <c r="DI183" s="134">
        <f>DH183*H183</f>
        <v>0</v>
      </c>
      <c r="DJ183" s="134">
        <v>0</v>
      </c>
      <c r="DK183" s="135">
        <f>DJ183*H183</f>
        <v>0</v>
      </c>
      <c r="EI183" s="136" t="s">
        <v>95</v>
      </c>
      <c r="EK183" s="136" t="s">
        <v>284</v>
      </c>
      <c r="EL183" s="136" t="s">
        <v>83</v>
      </c>
      <c r="EP183" s="16" t="s">
        <v>282</v>
      </c>
      <c r="EV183" s="137">
        <f>IF(DE183="základní",J183,0)</f>
        <v>11651.01</v>
      </c>
      <c r="EW183" s="137">
        <f>IF(DE183="snížená",J183,0)</f>
        <v>0</v>
      </c>
      <c r="EX183" s="137">
        <f>IF(DE183="zákl. přenesená",J183,0)</f>
        <v>0</v>
      </c>
      <c r="EY183" s="137">
        <f>IF(DE183="sníž. přenesená",J183,0)</f>
        <v>0</v>
      </c>
      <c r="EZ183" s="137">
        <f>IF(DE183="nulová",J183,0)</f>
        <v>0</v>
      </c>
      <c r="FA183" s="16" t="s">
        <v>81</v>
      </c>
      <c r="FB183" s="137">
        <f>ROUND(I183*H183,2)</f>
        <v>11651.01</v>
      </c>
      <c r="FC183" s="16" t="s">
        <v>95</v>
      </c>
      <c r="FD183" s="136" t="s">
        <v>2226</v>
      </c>
    </row>
    <row r="184" spans="2:160" s="1" customFormat="1" ht="29.25" x14ac:dyDescent="0.2">
      <c r="B184" s="31"/>
      <c r="D184" s="138" t="s">
        <v>289</v>
      </c>
      <c r="F184" s="139" t="s">
        <v>1856</v>
      </c>
      <c r="I184" s="140"/>
      <c r="L184" s="31"/>
      <c r="N184" s="213"/>
      <c r="O184" s="214"/>
      <c r="Q184" s="229"/>
      <c r="DD184" s="141"/>
      <c r="DK184" s="50"/>
      <c r="EK184" s="16" t="s">
        <v>289</v>
      </c>
      <c r="EL184" s="16" t="s">
        <v>83</v>
      </c>
    </row>
    <row r="185" spans="2:160" s="1" customFormat="1" ht="19.5" x14ac:dyDescent="0.2">
      <c r="B185" s="31"/>
      <c r="D185" s="138" t="s">
        <v>299</v>
      </c>
      <c r="F185" s="142" t="s">
        <v>317</v>
      </c>
      <c r="I185" s="140"/>
      <c r="L185" s="31"/>
      <c r="N185" s="213"/>
      <c r="O185" s="214"/>
      <c r="Q185" s="229"/>
      <c r="DD185" s="141"/>
      <c r="DK185" s="50"/>
      <c r="EK185" s="16" t="s">
        <v>299</v>
      </c>
      <c r="EL185" s="16" t="s">
        <v>83</v>
      </c>
    </row>
    <row r="186" spans="2:160" s="1" customFormat="1" ht="37.9" customHeight="1" x14ac:dyDescent="0.2">
      <c r="B186" s="124"/>
      <c r="C186" s="125" t="s">
        <v>386</v>
      </c>
      <c r="D186" s="125" t="s">
        <v>284</v>
      </c>
      <c r="E186" s="126" t="s">
        <v>398</v>
      </c>
      <c r="F186" s="127" t="s">
        <v>399</v>
      </c>
      <c r="G186" s="128" t="s">
        <v>366</v>
      </c>
      <c r="H186" s="129">
        <v>61.088000000000001</v>
      </c>
      <c r="I186" s="130">
        <v>282.06861194786097</v>
      </c>
      <c r="J186" s="131">
        <f>ROUND(I186*H186,2)</f>
        <v>17231.009999999998</v>
      </c>
      <c r="K186" s="127" t="s">
        <v>293</v>
      </c>
      <c r="L186" s="268">
        <f>S186</f>
        <v>0</v>
      </c>
      <c r="M186" s="272">
        <f>ROUND(L186*I186,2)</f>
        <v>0</v>
      </c>
      <c r="N186" s="243"/>
      <c r="O186" s="294">
        <f>ROUND(N186*I186,2)</f>
        <v>0</v>
      </c>
      <c r="P186" s="273">
        <f>H186-L186-N186</f>
        <v>61.088000000000001</v>
      </c>
      <c r="Q186" s="287">
        <f>ROUND(P186*I186,2)</f>
        <v>17231.009999999998</v>
      </c>
      <c r="R186" s="137"/>
      <c r="S186" s="269">
        <f>W186+Y186+AA186+AC186+AE186+AG186+AI186</f>
        <v>0</v>
      </c>
      <c r="T186" s="269">
        <f>ROUND(S186*I186,2)</f>
        <v>0</v>
      </c>
      <c r="U186" s="269">
        <f>H186-S186</f>
        <v>61.088000000000001</v>
      </c>
      <c r="V186" s="269">
        <f>ROUND(U186*I186,2)</f>
        <v>17231.009999999998</v>
      </c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DD186" s="132" t="s">
        <v>1</v>
      </c>
      <c r="DE186" s="133" t="s">
        <v>40</v>
      </c>
      <c r="DG186" s="134">
        <f>DF186*H186</f>
        <v>0</v>
      </c>
      <c r="DH186" s="134">
        <v>0</v>
      </c>
      <c r="DI186" s="134">
        <f>DH186*H186</f>
        <v>0</v>
      </c>
      <c r="DJ186" s="134">
        <v>0</v>
      </c>
      <c r="DK186" s="135">
        <f>DJ186*H186</f>
        <v>0</v>
      </c>
      <c r="EI186" s="136" t="s">
        <v>95</v>
      </c>
      <c r="EK186" s="136" t="s">
        <v>284</v>
      </c>
      <c r="EL186" s="136" t="s">
        <v>83</v>
      </c>
      <c r="EP186" s="16" t="s">
        <v>282</v>
      </c>
      <c r="EV186" s="137">
        <f>IF(DE186="základní",J186,0)</f>
        <v>17231.009999999998</v>
      </c>
      <c r="EW186" s="137">
        <f>IF(DE186="snížená",J186,0)</f>
        <v>0</v>
      </c>
      <c r="EX186" s="137">
        <f>IF(DE186="zákl. přenesená",J186,0)</f>
        <v>0</v>
      </c>
      <c r="EY186" s="137">
        <f>IF(DE186="sníž. přenesená",J186,0)</f>
        <v>0</v>
      </c>
      <c r="EZ186" s="137">
        <f>IF(DE186="nulová",J186,0)</f>
        <v>0</v>
      </c>
      <c r="FA186" s="16" t="s">
        <v>81</v>
      </c>
      <c r="FB186" s="137">
        <f>ROUND(I186*H186,2)</f>
        <v>17231.009999999998</v>
      </c>
      <c r="FC186" s="16" t="s">
        <v>95</v>
      </c>
      <c r="FD186" s="136" t="s">
        <v>2227</v>
      </c>
    </row>
    <row r="187" spans="2:160" s="1" customFormat="1" ht="39" x14ac:dyDescent="0.2">
      <c r="B187" s="31"/>
      <c r="D187" s="138" t="s">
        <v>289</v>
      </c>
      <c r="F187" s="139" t="s">
        <v>401</v>
      </c>
      <c r="I187" s="140"/>
      <c r="L187" s="31"/>
      <c r="N187" s="213"/>
      <c r="O187" s="214"/>
      <c r="Q187" s="229"/>
      <c r="DD187" s="141"/>
      <c r="DK187" s="50"/>
      <c r="EK187" s="16" t="s">
        <v>289</v>
      </c>
      <c r="EL187" s="16" t="s">
        <v>83</v>
      </c>
    </row>
    <row r="188" spans="2:160" s="11" customFormat="1" x14ac:dyDescent="0.2">
      <c r="B188" s="143"/>
      <c r="D188" s="138" t="s">
        <v>301</v>
      </c>
      <c r="E188" s="144" t="s">
        <v>1</v>
      </c>
      <c r="F188" s="145" t="s">
        <v>1858</v>
      </c>
      <c r="H188" s="144" t="s">
        <v>1</v>
      </c>
      <c r="I188" s="146"/>
      <c r="L188" s="143"/>
      <c r="N188" s="215"/>
      <c r="O188" s="216"/>
      <c r="Q188" s="230"/>
      <c r="DD188" s="147"/>
      <c r="DK188" s="148"/>
      <c r="EK188" s="144" t="s">
        <v>301</v>
      </c>
      <c r="EL188" s="144" t="s">
        <v>83</v>
      </c>
      <c r="EM188" s="11" t="s">
        <v>81</v>
      </c>
      <c r="EN188" s="11" t="s">
        <v>32</v>
      </c>
      <c r="EO188" s="11" t="s">
        <v>74</v>
      </c>
      <c r="EP188" s="144" t="s">
        <v>282</v>
      </c>
    </row>
    <row r="189" spans="2:160" s="12" customFormat="1" x14ac:dyDescent="0.2">
      <c r="B189" s="149"/>
      <c r="D189" s="138" t="s">
        <v>301</v>
      </c>
      <c r="E189" s="150" t="s">
        <v>1</v>
      </c>
      <c r="F189" s="151" t="s">
        <v>2228</v>
      </c>
      <c r="H189" s="152">
        <v>61.088000000000001</v>
      </c>
      <c r="I189" s="153"/>
      <c r="L189" s="149"/>
      <c r="N189" s="217"/>
      <c r="O189" s="218"/>
      <c r="Q189" s="231"/>
      <c r="DD189" s="154"/>
      <c r="DK189" s="155"/>
      <c r="EK189" s="150" t="s">
        <v>301</v>
      </c>
      <c r="EL189" s="150" t="s">
        <v>83</v>
      </c>
      <c r="EM189" s="12" t="s">
        <v>83</v>
      </c>
      <c r="EN189" s="12" t="s">
        <v>32</v>
      </c>
      <c r="EO189" s="12" t="s">
        <v>81</v>
      </c>
      <c r="EP189" s="150" t="s">
        <v>282</v>
      </c>
    </row>
    <row r="190" spans="2:160" s="1" customFormat="1" ht="37.9" customHeight="1" x14ac:dyDescent="0.2">
      <c r="B190" s="124"/>
      <c r="C190" s="125" t="s">
        <v>392</v>
      </c>
      <c r="D190" s="125" t="s">
        <v>284</v>
      </c>
      <c r="E190" s="126" t="s">
        <v>405</v>
      </c>
      <c r="F190" s="127" t="s">
        <v>406</v>
      </c>
      <c r="G190" s="128" t="s">
        <v>366</v>
      </c>
      <c r="H190" s="129">
        <v>305.44</v>
      </c>
      <c r="I190" s="130">
        <v>3.4208109177592001</v>
      </c>
      <c r="J190" s="131">
        <f>ROUND(I190*H190,2)</f>
        <v>1044.8499999999999</v>
      </c>
      <c r="K190" s="127" t="s">
        <v>293</v>
      </c>
      <c r="L190" s="268">
        <f>S190</f>
        <v>0</v>
      </c>
      <c r="M190" s="272">
        <f>ROUND(L190*I190,2)</f>
        <v>0</v>
      </c>
      <c r="N190" s="243"/>
      <c r="O190" s="294">
        <f>ROUND(N190*I190,2)</f>
        <v>0</v>
      </c>
      <c r="P190" s="273">
        <f>H190-L190-N190</f>
        <v>305.44</v>
      </c>
      <c r="Q190" s="287">
        <f>ROUND(P190*I190,2)</f>
        <v>1044.8499999999999</v>
      </c>
      <c r="R190" s="137"/>
      <c r="S190" s="269">
        <f>W190+Y190+AA190+AC190+AE190+AG190+AI190</f>
        <v>0</v>
      </c>
      <c r="T190" s="269">
        <f>ROUND(S190*I190,2)</f>
        <v>0</v>
      </c>
      <c r="U190" s="269">
        <f>H190-S190</f>
        <v>305.44</v>
      </c>
      <c r="V190" s="269">
        <f>ROUND(U190*I190,2)</f>
        <v>1044.8499999999999</v>
      </c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DD190" s="132" t="s">
        <v>1</v>
      </c>
      <c r="DE190" s="133" t="s">
        <v>40</v>
      </c>
      <c r="DG190" s="134">
        <f>DF190*H190</f>
        <v>0</v>
      </c>
      <c r="DH190" s="134">
        <v>0</v>
      </c>
      <c r="DI190" s="134">
        <f>DH190*H190</f>
        <v>0</v>
      </c>
      <c r="DJ190" s="134">
        <v>0</v>
      </c>
      <c r="DK190" s="135">
        <f>DJ190*H190</f>
        <v>0</v>
      </c>
      <c r="EI190" s="136" t="s">
        <v>95</v>
      </c>
      <c r="EK190" s="136" t="s">
        <v>284</v>
      </c>
      <c r="EL190" s="136" t="s">
        <v>83</v>
      </c>
      <c r="EP190" s="16" t="s">
        <v>282</v>
      </c>
      <c r="EV190" s="137">
        <f>IF(DE190="základní",J190,0)</f>
        <v>1044.8499999999999</v>
      </c>
      <c r="EW190" s="137">
        <f>IF(DE190="snížená",J190,0)</f>
        <v>0</v>
      </c>
      <c r="EX190" s="137">
        <f>IF(DE190="zákl. přenesená",J190,0)</f>
        <v>0</v>
      </c>
      <c r="EY190" s="137">
        <f>IF(DE190="sníž. přenesená",J190,0)</f>
        <v>0</v>
      </c>
      <c r="EZ190" s="137">
        <f>IF(DE190="nulová",J190,0)</f>
        <v>0</v>
      </c>
      <c r="FA190" s="16" t="s">
        <v>81</v>
      </c>
      <c r="FB190" s="137">
        <f>ROUND(I190*H190,2)</f>
        <v>1044.8499999999999</v>
      </c>
      <c r="FC190" s="16" t="s">
        <v>95</v>
      </c>
      <c r="FD190" s="136" t="s">
        <v>2229</v>
      </c>
    </row>
    <row r="191" spans="2:160" s="1" customFormat="1" ht="48.75" x14ac:dyDescent="0.2">
      <c r="B191" s="31"/>
      <c r="D191" s="138" t="s">
        <v>289</v>
      </c>
      <c r="F191" s="139" t="s">
        <v>408</v>
      </c>
      <c r="I191" s="140"/>
      <c r="L191" s="31"/>
      <c r="N191" s="213"/>
      <c r="O191" s="214"/>
      <c r="Q191" s="229"/>
      <c r="DD191" s="141"/>
      <c r="DK191" s="50"/>
      <c r="EK191" s="16" t="s">
        <v>289</v>
      </c>
      <c r="EL191" s="16" t="s">
        <v>83</v>
      </c>
    </row>
    <row r="192" spans="2:160" s="12" customFormat="1" x14ac:dyDescent="0.2">
      <c r="B192" s="149"/>
      <c r="D192" s="138" t="s">
        <v>301</v>
      </c>
      <c r="F192" s="151" t="s">
        <v>2230</v>
      </c>
      <c r="H192" s="152">
        <v>305.44</v>
      </c>
      <c r="I192" s="153"/>
      <c r="L192" s="149"/>
      <c r="N192" s="217"/>
      <c r="O192" s="218"/>
      <c r="Q192" s="231"/>
      <c r="DD192" s="154"/>
      <c r="DK192" s="155"/>
      <c r="EK192" s="150" t="s">
        <v>301</v>
      </c>
      <c r="EL192" s="150" t="s">
        <v>83</v>
      </c>
      <c r="EM192" s="12" t="s">
        <v>83</v>
      </c>
      <c r="EN192" s="12" t="s">
        <v>3</v>
      </c>
      <c r="EO192" s="12" t="s">
        <v>81</v>
      </c>
      <c r="EP192" s="150" t="s">
        <v>282</v>
      </c>
    </row>
    <row r="193" spans="2:160" s="1" customFormat="1" ht="24.2" customHeight="1" x14ac:dyDescent="0.2">
      <c r="B193" s="124"/>
      <c r="C193" s="125" t="s">
        <v>397</v>
      </c>
      <c r="D193" s="125" t="s">
        <v>284</v>
      </c>
      <c r="E193" s="126" t="s">
        <v>410</v>
      </c>
      <c r="F193" s="127" t="s">
        <v>411</v>
      </c>
      <c r="G193" s="128" t="s">
        <v>287</v>
      </c>
      <c r="H193" s="129">
        <v>17.64</v>
      </c>
      <c r="I193" s="130">
        <v>6.3644601414457247</v>
      </c>
      <c r="J193" s="131">
        <f>ROUND(I193*H193,2)</f>
        <v>112.27</v>
      </c>
      <c r="K193" s="127" t="s">
        <v>293</v>
      </c>
      <c r="L193" s="268">
        <f>S193</f>
        <v>0</v>
      </c>
      <c r="M193" s="272">
        <f>ROUND(L193*I193,2)</f>
        <v>0</v>
      </c>
      <c r="N193" s="243"/>
      <c r="O193" s="294">
        <f>ROUND(N193*I193,2)</f>
        <v>0</v>
      </c>
      <c r="P193" s="273">
        <f>H193-L193-N193</f>
        <v>17.64</v>
      </c>
      <c r="Q193" s="287">
        <f>ROUND(P193*I193,2)</f>
        <v>112.27</v>
      </c>
      <c r="R193" s="137"/>
      <c r="S193" s="269">
        <f>W193+Y193+AA193+AC193+AE193+AG193+AI193</f>
        <v>0</v>
      </c>
      <c r="T193" s="269">
        <f>ROUND(S193*I193,2)</f>
        <v>0</v>
      </c>
      <c r="U193" s="269">
        <f>H193-S193</f>
        <v>17.64</v>
      </c>
      <c r="V193" s="269">
        <f>ROUND(U193*I193,2)</f>
        <v>112.27</v>
      </c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DD193" s="132" t="s">
        <v>1</v>
      </c>
      <c r="DE193" s="133" t="s">
        <v>40</v>
      </c>
      <c r="DG193" s="134">
        <f>DF193*H193</f>
        <v>0</v>
      </c>
      <c r="DH193" s="134">
        <v>0</v>
      </c>
      <c r="DI193" s="134">
        <f>DH193*H193</f>
        <v>0</v>
      </c>
      <c r="DJ193" s="134">
        <v>0</v>
      </c>
      <c r="DK193" s="135">
        <f>DJ193*H193</f>
        <v>0</v>
      </c>
      <c r="EI193" s="136" t="s">
        <v>95</v>
      </c>
      <c r="EK193" s="136" t="s">
        <v>284</v>
      </c>
      <c r="EL193" s="136" t="s">
        <v>83</v>
      </c>
      <c r="EP193" s="16" t="s">
        <v>282</v>
      </c>
      <c r="EV193" s="137">
        <f>IF(DE193="základní",J193,0)</f>
        <v>112.27</v>
      </c>
      <c r="EW193" s="137">
        <f>IF(DE193="snížená",J193,0)</f>
        <v>0</v>
      </c>
      <c r="EX193" s="137">
        <f>IF(DE193="zákl. přenesená",J193,0)</f>
        <v>0</v>
      </c>
      <c r="EY193" s="137">
        <f>IF(DE193="sníž. přenesená",J193,0)</f>
        <v>0</v>
      </c>
      <c r="EZ193" s="137">
        <f>IF(DE193="nulová",J193,0)</f>
        <v>0</v>
      </c>
      <c r="FA193" s="16" t="s">
        <v>81</v>
      </c>
      <c r="FB193" s="137">
        <f>ROUND(I193*H193,2)</f>
        <v>112.27</v>
      </c>
      <c r="FC193" s="16" t="s">
        <v>95</v>
      </c>
      <c r="FD193" s="136" t="s">
        <v>2231</v>
      </c>
    </row>
    <row r="194" spans="2:160" s="1" customFormat="1" ht="19.5" x14ac:dyDescent="0.2">
      <c r="B194" s="31"/>
      <c r="D194" s="138" t="s">
        <v>289</v>
      </c>
      <c r="F194" s="139" t="s">
        <v>413</v>
      </c>
      <c r="I194" s="140"/>
      <c r="L194" s="31"/>
      <c r="N194" s="213"/>
      <c r="O194" s="214"/>
      <c r="Q194" s="229"/>
      <c r="DD194" s="141"/>
      <c r="DK194" s="50"/>
      <c r="EK194" s="16" t="s">
        <v>289</v>
      </c>
      <c r="EL194" s="16" t="s">
        <v>83</v>
      </c>
    </row>
    <row r="195" spans="2:160" s="1" customFormat="1" ht="19.5" x14ac:dyDescent="0.2">
      <c r="B195" s="31"/>
      <c r="D195" s="138" t="s">
        <v>299</v>
      </c>
      <c r="F195" s="142" t="s">
        <v>2208</v>
      </c>
      <c r="I195" s="140"/>
      <c r="L195" s="31"/>
      <c r="N195" s="213"/>
      <c r="O195" s="214"/>
      <c r="Q195" s="229"/>
      <c r="DD195" s="141"/>
      <c r="DK195" s="50"/>
      <c r="EK195" s="16" t="s">
        <v>299</v>
      </c>
      <c r="EL195" s="16" t="s">
        <v>83</v>
      </c>
    </row>
    <row r="196" spans="2:160" s="12" customFormat="1" x14ac:dyDescent="0.2">
      <c r="B196" s="149"/>
      <c r="D196" s="138" t="s">
        <v>301</v>
      </c>
      <c r="E196" s="150" t="s">
        <v>1</v>
      </c>
      <c r="F196" s="151" t="s">
        <v>2052</v>
      </c>
      <c r="H196" s="152">
        <v>17.64</v>
      </c>
      <c r="I196" s="153"/>
      <c r="L196" s="149"/>
      <c r="N196" s="217"/>
      <c r="O196" s="218"/>
      <c r="Q196" s="231"/>
      <c r="DD196" s="154"/>
      <c r="DK196" s="155"/>
      <c r="EK196" s="150" t="s">
        <v>301</v>
      </c>
      <c r="EL196" s="150" t="s">
        <v>83</v>
      </c>
      <c r="EM196" s="12" t="s">
        <v>83</v>
      </c>
      <c r="EN196" s="12" t="s">
        <v>32</v>
      </c>
      <c r="EO196" s="12" t="s">
        <v>81</v>
      </c>
      <c r="EP196" s="150" t="s">
        <v>282</v>
      </c>
    </row>
    <row r="197" spans="2:160" s="1" customFormat="1" ht="24.2" customHeight="1" x14ac:dyDescent="0.2">
      <c r="B197" s="124"/>
      <c r="C197" s="125" t="s">
        <v>404</v>
      </c>
      <c r="D197" s="125" t="s">
        <v>284</v>
      </c>
      <c r="E197" s="126" t="s">
        <v>416</v>
      </c>
      <c r="F197" s="127" t="s">
        <v>417</v>
      </c>
      <c r="G197" s="128" t="s">
        <v>418</v>
      </c>
      <c r="H197" s="129">
        <v>109.958</v>
      </c>
      <c r="I197" s="130">
        <v>110.6455721</v>
      </c>
      <c r="J197" s="131">
        <f>ROUND(I197*H197,2)</f>
        <v>12166.37</v>
      </c>
      <c r="K197" s="127" t="s">
        <v>293</v>
      </c>
      <c r="L197" s="268">
        <f>S197</f>
        <v>0</v>
      </c>
      <c r="M197" s="272">
        <f>ROUND(L197*I197,2)</f>
        <v>0</v>
      </c>
      <c r="N197" s="243"/>
      <c r="O197" s="294">
        <f>ROUND(N197*I197,2)</f>
        <v>0</v>
      </c>
      <c r="P197" s="273">
        <f>H197-L197-N197</f>
        <v>109.958</v>
      </c>
      <c r="Q197" s="287">
        <f>ROUND(P197*I197,2)</f>
        <v>12166.37</v>
      </c>
      <c r="R197" s="137"/>
      <c r="S197" s="269">
        <f>W197+Y197+AA197+AC197+AE197+AG197+AI197</f>
        <v>0</v>
      </c>
      <c r="T197" s="269">
        <f>ROUND(S197*I197,2)</f>
        <v>0</v>
      </c>
      <c r="U197" s="269">
        <f>H197-S197</f>
        <v>109.958</v>
      </c>
      <c r="V197" s="269">
        <f>ROUND(U197*I197,2)</f>
        <v>12166.37</v>
      </c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DD197" s="132" t="s">
        <v>1</v>
      </c>
      <c r="DE197" s="133" t="s">
        <v>40</v>
      </c>
      <c r="DG197" s="134">
        <f>DF197*H197</f>
        <v>0</v>
      </c>
      <c r="DH197" s="134">
        <v>0</v>
      </c>
      <c r="DI197" s="134">
        <f>DH197*H197</f>
        <v>0</v>
      </c>
      <c r="DJ197" s="134">
        <v>0</v>
      </c>
      <c r="DK197" s="135">
        <f>DJ197*H197</f>
        <v>0</v>
      </c>
      <c r="EI197" s="136" t="s">
        <v>95</v>
      </c>
      <c r="EK197" s="136" t="s">
        <v>284</v>
      </c>
      <c r="EL197" s="136" t="s">
        <v>83</v>
      </c>
      <c r="EP197" s="16" t="s">
        <v>282</v>
      </c>
      <c r="EV197" s="137">
        <f>IF(DE197="základní",J197,0)</f>
        <v>12166.37</v>
      </c>
      <c r="EW197" s="137">
        <f>IF(DE197="snížená",J197,0)</f>
        <v>0</v>
      </c>
      <c r="EX197" s="137">
        <f>IF(DE197="zákl. přenesená",J197,0)</f>
        <v>0</v>
      </c>
      <c r="EY197" s="137">
        <f>IF(DE197="sníž. přenesená",J197,0)</f>
        <v>0</v>
      </c>
      <c r="EZ197" s="137">
        <f>IF(DE197="nulová",J197,0)</f>
        <v>0</v>
      </c>
      <c r="FA197" s="16" t="s">
        <v>81</v>
      </c>
      <c r="FB197" s="137">
        <f>ROUND(I197*H197,2)</f>
        <v>12166.37</v>
      </c>
      <c r="FC197" s="16" t="s">
        <v>95</v>
      </c>
      <c r="FD197" s="136" t="s">
        <v>2232</v>
      </c>
    </row>
    <row r="198" spans="2:160" s="1" customFormat="1" ht="29.25" x14ac:dyDescent="0.2">
      <c r="B198" s="31"/>
      <c r="D198" s="138" t="s">
        <v>289</v>
      </c>
      <c r="F198" s="139" t="s">
        <v>420</v>
      </c>
      <c r="I198" s="140"/>
      <c r="L198" s="31"/>
      <c r="N198" s="213"/>
      <c r="O198" s="214"/>
      <c r="Q198" s="229"/>
      <c r="DD198" s="141"/>
      <c r="DK198" s="50"/>
      <c r="EK198" s="16" t="s">
        <v>289</v>
      </c>
      <c r="EL198" s="16" t="s">
        <v>83</v>
      </c>
    </row>
    <row r="199" spans="2:160" s="12" customFormat="1" x14ac:dyDescent="0.2">
      <c r="B199" s="149"/>
      <c r="D199" s="138" t="s">
        <v>301</v>
      </c>
      <c r="F199" s="151" t="s">
        <v>2233</v>
      </c>
      <c r="H199" s="152">
        <v>109.958</v>
      </c>
      <c r="I199" s="153"/>
      <c r="L199" s="149"/>
      <c r="N199" s="217"/>
      <c r="O199" s="218"/>
      <c r="Q199" s="231"/>
      <c r="DD199" s="154"/>
      <c r="DK199" s="155"/>
      <c r="EK199" s="150" t="s">
        <v>301</v>
      </c>
      <c r="EL199" s="150" t="s">
        <v>83</v>
      </c>
      <c r="EM199" s="12" t="s">
        <v>83</v>
      </c>
      <c r="EN199" s="12" t="s">
        <v>3</v>
      </c>
      <c r="EO199" s="12" t="s">
        <v>81</v>
      </c>
      <c r="EP199" s="150" t="s">
        <v>282</v>
      </c>
    </row>
    <row r="200" spans="2:160" s="1" customFormat="1" ht="24.2" customHeight="1" x14ac:dyDescent="0.2">
      <c r="B200" s="124"/>
      <c r="C200" s="125" t="s">
        <v>7</v>
      </c>
      <c r="D200" s="125" t="s">
        <v>284</v>
      </c>
      <c r="E200" s="126" t="s">
        <v>423</v>
      </c>
      <c r="F200" s="127" t="s">
        <v>424</v>
      </c>
      <c r="G200" s="128" t="s">
        <v>366</v>
      </c>
      <c r="H200" s="129">
        <v>45.335000000000001</v>
      </c>
      <c r="I200" s="130">
        <v>140.64048227116101</v>
      </c>
      <c r="J200" s="131">
        <f>ROUND(I200*H200,2)</f>
        <v>6375.94</v>
      </c>
      <c r="K200" s="127" t="s">
        <v>293</v>
      </c>
      <c r="L200" s="268">
        <f>S200</f>
        <v>0</v>
      </c>
      <c r="M200" s="272">
        <f>ROUND(L200*I200,2)</f>
        <v>0</v>
      </c>
      <c r="N200" s="243"/>
      <c r="O200" s="294">
        <f>ROUND(N200*I200,2)</f>
        <v>0</v>
      </c>
      <c r="P200" s="273">
        <f>H200-L200-N200</f>
        <v>45.335000000000001</v>
      </c>
      <c r="Q200" s="287">
        <f>ROUND(P200*I200,2)</f>
        <v>6375.94</v>
      </c>
      <c r="R200" s="137"/>
      <c r="S200" s="269">
        <f>W200+Y200+AA200+AC200+AE200+AG200+AI200</f>
        <v>0</v>
      </c>
      <c r="T200" s="269">
        <f>ROUND(S200*I200,2)</f>
        <v>0</v>
      </c>
      <c r="U200" s="269">
        <f>H200-S200</f>
        <v>45.335000000000001</v>
      </c>
      <c r="V200" s="269">
        <f>ROUND(U200*I200,2)</f>
        <v>6375.94</v>
      </c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DD200" s="132" t="s">
        <v>1</v>
      </c>
      <c r="DE200" s="133" t="s">
        <v>40</v>
      </c>
      <c r="DG200" s="134">
        <f>DF200*H200</f>
        <v>0</v>
      </c>
      <c r="DH200" s="134">
        <v>0</v>
      </c>
      <c r="DI200" s="134">
        <f>DH200*H200</f>
        <v>0</v>
      </c>
      <c r="DJ200" s="134">
        <v>0</v>
      </c>
      <c r="DK200" s="135">
        <f>DJ200*H200</f>
        <v>0</v>
      </c>
      <c r="EI200" s="136" t="s">
        <v>95</v>
      </c>
      <c r="EK200" s="136" t="s">
        <v>284</v>
      </c>
      <c r="EL200" s="136" t="s">
        <v>83</v>
      </c>
      <c r="EP200" s="16" t="s">
        <v>282</v>
      </c>
      <c r="EV200" s="137">
        <f>IF(DE200="základní",J200,0)</f>
        <v>6375.94</v>
      </c>
      <c r="EW200" s="137">
        <f>IF(DE200="snížená",J200,0)</f>
        <v>0</v>
      </c>
      <c r="EX200" s="137">
        <f>IF(DE200="zákl. přenesená",J200,0)</f>
        <v>0</v>
      </c>
      <c r="EY200" s="137">
        <f>IF(DE200="sníž. přenesená",J200,0)</f>
        <v>0</v>
      </c>
      <c r="EZ200" s="137">
        <f>IF(DE200="nulová",J200,0)</f>
        <v>0</v>
      </c>
      <c r="FA200" s="16" t="s">
        <v>81</v>
      </c>
      <c r="FB200" s="137">
        <f>ROUND(I200*H200,2)</f>
        <v>6375.94</v>
      </c>
      <c r="FC200" s="16" t="s">
        <v>95</v>
      </c>
      <c r="FD200" s="136" t="s">
        <v>2234</v>
      </c>
    </row>
    <row r="201" spans="2:160" s="1" customFormat="1" ht="29.25" x14ac:dyDescent="0.2">
      <c r="B201" s="31"/>
      <c r="D201" s="138" t="s">
        <v>289</v>
      </c>
      <c r="F201" s="139" t="s">
        <v>426</v>
      </c>
      <c r="I201" s="140"/>
      <c r="L201" s="31"/>
      <c r="N201" s="213"/>
      <c r="O201" s="214"/>
      <c r="Q201" s="229"/>
      <c r="DD201" s="141"/>
      <c r="DK201" s="50"/>
      <c r="EK201" s="16" t="s">
        <v>289</v>
      </c>
      <c r="EL201" s="16" t="s">
        <v>83</v>
      </c>
    </row>
    <row r="202" spans="2:160" s="11" customFormat="1" x14ac:dyDescent="0.2">
      <c r="B202" s="143"/>
      <c r="D202" s="138" t="s">
        <v>301</v>
      </c>
      <c r="E202" s="144" t="s">
        <v>1</v>
      </c>
      <c r="F202" s="145" t="s">
        <v>1866</v>
      </c>
      <c r="H202" s="144" t="s">
        <v>1</v>
      </c>
      <c r="I202" s="146"/>
      <c r="L202" s="143"/>
      <c r="N202" s="215"/>
      <c r="O202" s="216"/>
      <c r="Q202" s="230"/>
      <c r="DD202" s="147"/>
      <c r="DK202" s="148"/>
      <c r="EK202" s="144" t="s">
        <v>301</v>
      </c>
      <c r="EL202" s="144" t="s">
        <v>83</v>
      </c>
      <c r="EM202" s="11" t="s">
        <v>81</v>
      </c>
      <c r="EN202" s="11" t="s">
        <v>32</v>
      </c>
      <c r="EO202" s="11" t="s">
        <v>74</v>
      </c>
      <c r="EP202" s="144" t="s">
        <v>282</v>
      </c>
    </row>
    <row r="203" spans="2:160" s="12" customFormat="1" x14ac:dyDescent="0.2">
      <c r="B203" s="149"/>
      <c r="D203" s="138" t="s">
        <v>301</v>
      </c>
      <c r="E203" s="150" t="s">
        <v>1</v>
      </c>
      <c r="F203" s="151" t="s">
        <v>2235</v>
      </c>
      <c r="H203" s="152">
        <v>61.387999999999998</v>
      </c>
      <c r="I203" s="153"/>
      <c r="L203" s="149"/>
      <c r="N203" s="217"/>
      <c r="O203" s="218"/>
      <c r="Q203" s="231"/>
      <c r="DD203" s="154"/>
      <c r="DK203" s="155"/>
      <c r="EK203" s="150" t="s">
        <v>301</v>
      </c>
      <c r="EL203" s="150" t="s">
        <v>83</v>
      </c>
      <c r="EM203" s="12" t="s">
        <v>83</v>
      </c>
      <c r="EN203" s="12" t="s">
        <v>32</v>
      </c>
      <c r="EO203" s="12" t="s">
        <v>74</v>
      </c>
      <c r="EP203" s="150" t="s">
        <v>282</v>
      </c>
    </row>
    <row r="204" spans="2:160" s="11" customFormat="1" x14ac:dyDescent="0.2">
      <c r="B204" s="143"/>
      <c r="D204" s="138" t="s">
        <v>301</v>
      </c>
      <c r="E204" s="144" t="s">
        <v>1</v>
      </c>
      <c r="F204" s="145" t="s">
        <v>1867</v>
      </c>
      <c r="H204" s="144" t="s">
        <v>1</v>
      </c>
      <c r="I204" s="146"/>
      <c r="L204" s="143"/>
      <c r="N204" s="215"/>
      <c r="O204" s="216"/>
      <c r="Q204" s="230"/>
      <c r="DD204" s="147"/>
      <c r="DK204" s="148"/>
      <c r="EK204" s="144" t="s">
        <v>301</v>
      </c>
      <c r="EL204" s="144" t="s">
        <v>83</v>
      </c>
      <c r="EM204" s="11" t="s">
        <v>81</v>
      </c>
      <c r="EN204" s="11" t="s">
        <v>32</v>
      </c>
      <c r="EO204" s="11" t="s">
        <v>74</v>
      </c>
      <c r="EP204" s="144" t="s">
        <v>282</v>
      </c>
    </row>
    <row r="205" spans="2:160" s="12" customFormat="1" x14ac:dyDescent="0.2">
      <c r="B205" s="149"/>
      <c r="D205" s="138" t="s">
        <v>301</v>
      </c>
      <c r="E205" s="150" t="s">
        <v>1</v>
      </c>
      <c r="F205" s="151" t="s">
        <v>2081</v>
      </c>
      <c r="H205" s="152">
        <v>-3.528</v>
      </c>
      <c r="I205" s="153"/>
      <c r="L205" s="149"/>
      <c r="N205" s="217"/>
      <c r="O205" s="218"/>
      <c r="Q205" s="231"/>
      <c r="DD205" s="154"/>
      <c r="DK205" s="155"/>
      <c r="EK205" s="150" t="s">
        <v>301</v>
      </c>
      <c r="EL205" s="150" t="s">
        <v>83</v>
      </c>
      <c r="EM205" s="12" t="s">
        <v>83</v>
      </c>
      <c r="EN205" s="12" t="s">
        <v>32</v>
      </c>
      <c r="EO205" s="12" t="s">
        <v>74</v>
      </c>
      <c r="EP205" s="150" t="s">
        <v>282</v>
      </c>
    </row>
    <row r="206" spans="2:160" s="11" customFormat="1" x14ac:dyDescent="0.2">
      <c r="B206" s="143"/>
      <c r="D206" s="138" t="s">
        <v>301</v>
      </c>
      <c r="E206" s="144" t="s">
        <v>1</v>
      </c>
      <c r="F206" s="145" t="s">
        <v>1869</v>
      </c>
      <c r="H206" s="144" t="s">
        <v>1</v>
      </c>
      <c r="I206" s="146"/>
      <c r="L206" s="143"/>
      <c r="N206" s="215"/>
      <c r="O206" s="216"/>
      <c r="Q206" s="230"/>
      <c r="DD206" s="147"/>
      <c r="DK206" s="148"/>
      <c r="EK206" s="144" t="s">
        <v>301</v>
      </c>
      <c r="EL206" s="144" t="s">
        <v>83</v>
      </c>
      <c r="EM206" s="11" t="s">
        <v>81</v>
      </c>
      <c r="EN206" s="11" t="s">
        <v>32</v>
      </c>
      <c r="EO206" s="11" t="s">
        <v>74</v>
      </c>
      <c r="EP206" s="144" t="s">
        <v>282</v>
      </c>
    </row>
    <row r="207" spans="2:160" s="12" customFormat="1" x14ac:dyDescent="0.2">
      <c r="B207" s="149"/>
      <c r="D207" s="138" t="s">
        <v>301</v>
      </c>
      <c r="E207" s="150" t="s">
        <v>1</v>
      </c>
      <c r="F207" s="151" t="s">
        <v>2082</v>
      </c>
      <c r="H207" s="152">
        <v>-1.0609999999999999</v>
      </c>
      <c r="I207" s="153"/>
      <c r="L207" s="149"/>
      <c r="N207" s="217"/>
      <c r="O207" s="218"/>
      <c r="Q207" s="231"/>
      <c r="DD207" s="154"/>
      <c r="DK207" s="155"/>
      <c r="EK207" s="150" t="s">
        <v>301</v>
      </c>
      <c r="EL207" s="150" t="s">
        <v>83</v>
      </c>
      <c r="EM207" s="12" t="s">
        <v>83</v>
      </c>
      <c r="EN207" s="12" t="s">
        <v>32</v>
      </c>
      <c r="EO207" s="12" t="s">
        <v>74</v>
      </c>
      <c r="EP207" s="150" t="s">
        <v>282</v>
      </c>
    </row>
    <row r="208" spans="2:160" s="12" customFormat="1" x14ac:dyDescent="0.2">
      <c r="B208" s="149"/>
      <c r="D208" s="138" t="s">
        <v>301</v>
      </c>
      <c r="E208" s="150" t="s">
        <v>1</v>
      </c>
      <c r="F208" s="151" t="s">
        <v>2236</v>
      </c>
      <c r="H208" s="152">
        <v>-11.464</v>
      </c>
      <c r="I208" s="153"/>
      <c r="L208" s="149"/>
      <c r="N208" s="217"/>
      <c r="O208" s="218"/>
      <c r="Q208" s="231"/>
      <c r="DD208" s="154"/>
      <c r="DK208" s="155"/>
      <c r="EK208" s="150" t="s">
        <v>301</v>
      </c>
      <c r="EL208" s="150" t="s">
        <v>83</v>
      </c>
      <c r="EM208" s="12" t="s">
        <v>83</v>
      </c>
      <c r="EN208" s="12" t="s">
        <v>32</v>
      </c>
      <c r="EO208" s="12" t="s">
        <v>74</v>
      </c>
      <c r="EP208" s="150" t="s">
        <v>282</v>
      </c>
    </row>
    <row r="209" spans="2:160" s="13" customFormat="1" x14ac:dyDescent="0.2">
      <c r="B209" s="156"/>
      <c r="D209" s="138" t="s">
        <v>301</v>
      </c>
      <c r="E209" s="157" t="s">
        <v>1</v>
      </c>
      <c r="F209" s="158" t="s">
        <v>305</v>
      </c>
      <c r="H209" s="159">
        <v>45.335000000000001</v>
      </c>
      <c r="I209" s="160"/>
      <c r="L209" s="156"/>
      <c r="N209" s="219"/>
      <c r="O209" s="220"/>
      <c r="Q209" s="232"/>
      <c r="DD209" s="161"/>
      <c r="DK209" s="162"/>
      <c r="EK209" s="157" t="s">
        <v>301</v>
      </c>
      <c r="EL209" s="157" t="s">
        <v>83</v>
      </c>
      <c r="EM209" s="13" t="s">
        <v>95</v>
      </c>
      <c r="EN209" s="13" t="s">
        <v>32</v>
      </c>
      <c r="EO209" s="13" t="s">
        <v>81</v>
      </c>
      <c r="EP209" s="157" t="s">
        <v>282</v>
      </c>
    </row>
    <row r="210" spans="2:160" s="1" customFormat="1" ht="14.45" customHeight="1" x14ac:dyDescent="0.2">
      <c r="B210" s="124"/>
      <c r="C210" s="170" t="s">
        <v>415</v>
      </c>
      <c r="D210" s="170" t="s">
        <v>439</v>
      </c>
      <c r="E210" s="171" t="s">
        <v>440</v>
      </c>
      <c r="F210" s="172" t="s">
        <v>441</v>
      </c>
      <c r="G210" s="173" t="s">
        <v>418</v>
      </c>
      <c r="H210" s="174">
        <v>90.67</v>
      </c>
      <c r="I210" s="175">
        <v>390.0974172</v>
      </c>
      <c r="J210" s="176">
        <f>ROUND(I210*H210,2)</f>
        <v>35370.129999999997</v>
      </c>
      <c r="K210" s="172" t="s">
        <v>293</v>
      </c>
      <c r="L210" s="268">
        <f>S210</f>
        <v>0</v>
      </c>
      <c r="M210" s="272">
        <f>ROUND(L210*I210,2)</f>
        <v>0</v>
      </c>
      <c r="N210" s="243"/>
      <c r="O210" s="294">
        <f>ROUND(N210*I210,2)</f>
        <v>0</v>
      </c>
      <c r="P210" s="273">
        <f>H210-L210-N210</f>
        <v>90.67</v>
      </c>
      <c r="Q210" s="287">
        <f>ROUND(P210*I210,2)</f>
        <v>35370.129999999997</v>
      </c>
      <c r="R210" s="137"/>
      <c r="S210" s="269">
        <f>W210+Y210+AA210+AC210+AE210+AG210+AI210</f>
        <v>0</v>
      </c>
      <c r="T210" s="269">
        <f>ROUND(S210*I210,2)</f>
        <v>0</v>
      </c>
      <c r="U210" s="269">
        <f>H210-S210</f>
        <v>90.67</v>
      </c>
      <c r="V210" s="269">
        <f>ROUND(U210*I210,2)</f>
        <v>35370.129999999997</v>
      </c>
      <c r="W210" s="290"/>
      <c r="X210" s="290"/>
      <c r="Y210" s="290"/>
      <c r="Z210" s="290"/>
      <c r="AA210" s="290"/>
      <c r="AB210" s="290"/>
      <c r="AC210" s="290"/>
      <c r="AD210" s="290"/>
      <c r="AE210" s="290"/>
      <c r="AF210" s="290"/>
      <c r="AG210" s="290"/>
      <c r="AH210" s="290"/>
      <c r="AI210" s="290"/>
      <c r="AJ210" s="290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77" t="s">
        <v>1</v>
      </c>
      <c r="DE210" s="178" t="s">
        <v>40</v>
      </c>
      <c r="DG210" s="134">
        <f>DF210*H210</f>
        <v>0</v>
      </c>
      <c r="DH210" s="134">
        <v>1</v>
      </c>
      <c r="DI210" s="134">
        <f>DH210*H210</f>
        <v>90.67</v>
      </c>
      <c r="DJ210" s="134">
        <v>0</v>
      </c>
      <c r="DK210" s="135">
        <f>DJ210*H210</f>
        <v>0</v>
      </c>
      <c r="EI210" s="136" t="s">
        <v>328</v>
      </c>
      <c r="EK210" s="136" t="s">
        <v>439</v>
      </c>
      <c r="EL210" s="136" t="s">
        <v>83</v>
      </c>
      <c r="EP210" s="16" t="s">
        <v>282</v>
      </c>
      <c r="EV210" s="137">
        <f>IF(DE210="základní",J210,0)</f>
        <v>35370.129999999997</v>
      </c>
      <c r="EW210" s="137">
        <f>IF(DE210="snížená",J210,0)</f>
        <v>0</v>
      </c>
      <c r="EX210" s="137">
        <f>IF(DE210="zákl. přenesená",J210,0)</f>
        <v>0</v>
      </c>
      <c r="EY210" s="137">
        <f>IF(DE210="sníž. přenesená",J210,0)</f>
        <v>0</v>
      </c>
      <c r="EZ210" s="137">
        <f>IF(DE210="nulová",J210,0)</f>
        <v>0</v>
      </c>
      <c r="FA210" s="16" t="s">
        <v>81</v>
      </c>
      <c r="FB210" s="137">
        <f>ROUND(I210*H210,2)</f>
        <v>35370.129999999997</v>
      </c>
      <c r="FC210" s="16" t="s">
        <v>95</v>
      </c>
      <c r="FD210" s="136" t="s">
        <v>2237</v>
      </c>
    </row>
    <row r="211" spans="2:160" s="1" customFormat="1" x14ac:dyDescent="0.2">
      <c r="B211" s="31"/>
      <c r="D211" s="138" t="s">
        <v>289</v>
      </c>
      <c r="F211" s="139" t="s">
        <v>441</v>
      </c>
      <c r="I211" s="140"/>
      <c r="L211" s="31"/>
      <c r="N211" s="213"/>
      <c r="O211" s="214"/>
      <c r="Q211" s="229"/>
      <c r="DD211" s="141"/>
      <c r="DK211" s="50"/>
      <c r="EK211" s="16" t="s">
        <v>289</v>
      </c>
      <c r="EL211" s="16" t="s">
        <v>83</v>
      </c>
    </row>
    <row r="212" spans="2:160" s="1" customFormat="1" ht="19.5" x14ac:dyDescent="0.2">
      <c r="B212" s="31"/>
      <c r="D212" s="138" t="s">
        <v>299</v>
      </c>
      <c r="F212" s="142" t="s">
        <v>443</v>
      </c>
      <c r="I212" s="140"/>
      <c r="L212" s="31"/>
      <c r="N212" s="213"/>
      <c r="O212" s="214"/>
      <c r="Q212" s="229"/>
      <c r="DD212" s="141"/>
      <c r="DK212" s="50"/>
      <c r="EK212" s="16" t="s">
        <v>299</v>
      </c>
      <c r="EL212" s="16" t="s">
        <v>83</v>
      </c>
    </row>
    <row r="213" spans="2:160" s="12" customFormat="1" x14ac:dyDescent="0.2">
      <c r="B213" s="149"/>
      <c r="D213" s="138" t="s">
        <v>301</v>
      </c>
      <c r="F213" s="151" t="s">
        <v>2238</v>
      </c>
      <c r="H213" s="152">
        <v>90.67</v>
      </c>
      <c r="I213" s="153"/>
      <c r="L213" s="149"/>
      <c r="N213" s="217"/>
      <c r="O213" s="218"/>
      <c r="Q213" s="231"/>
      <c r="DD213" s="154"/>
      <c r="DK213" s="155"/>
      <c r="EK213" s="150" t="s">
        <v>301</v>
      </c>
      <c r="EL213" s="150" t="s">
        <v>83</v>
      </c>
      <c r="EM213" s="12" t="s">
        <v>83</v>
      </c>
      <c r="EN213" s="12" t="s">
        <v>3</v>
      </c>
      <c r="EO213" s="12" t="s">
        <v>81</v>
      </c>
      <c r="EP213" s="150" t="s">
        <v>282</v>
      </c>
    </row>
    <row r="214" spans="2:160" s="1" customFormat="1" ht="24.2" customHeight="1" x14ac:dyDescent="0.2">
      <c r="B214" s="124"/>
      <c r="C214" s="125" t="s">
        <v>422</v>
      </c>
      <c r="D214" s="125" t="s">
        <v>284</v>
      </c>
      <c r="E214" s="126" t="s">
        <v>457</v>
      </c>
      <c r="F214" s="127" t="s">
        <v>458</v>
      </c>
      <c r="G214" s="128" t="s">
        <v>418</v>
      </c>
      <c r="H214" s="129">
        <v>90.67</v>
      </c>
      <c r="I214" s="130">
        <v>61.737071122597108</v>
      </c>
      <c r="J214" s="131">
        <f>ROUND(I214*H214,2)</f>
        <v>5597.7</v>
      </c>
      <c r="K214" s="127" t="s">
        <v>293</v>
      </c>
      <c r="L214" s="268">
        <f>S214</f>
        <v>0</v>
      </c>
      <c r="M214" s="272">
        <f>ROUND(L214*I214,2)</f>
        <v>0</v>
      </c>
      <c r="N214" s="243"/>
      <c r="O214" s="294">
        <f>ROUND(N214*I214,2)</f>
        <v>0</v>
      </c>
      <c r="P214" s="273">
        <f>H214-L214-N214</f>
        <v>90.67</v>
      </c>
      <c r="Q214" s="287">
        <f>ROUND(P214*I214,2)</f>
        <v>5597.7</v>
      </c>
      <c r="R214" s="137"/>
      <c r="S214" s="269">
        <f>W214+Y214+AA214+AC214+AE214+AG214+AI214</f>
        <v>0</v>
      </c>
      <c r="T214" s="269">
        <f>ROUND(S214*I214,2)</f>
        <v>0</v>
      </c>
      <c r="U214" s="269">
        <f>H214-S214</f>
        <v>90.67</v>
      </c>
      <c r="V214" s="269">
        <f>ROUND(U214*I214,2)</f>
        <v>5597.7</v>
      </c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DD214" s="132" t="s">
        <v>1</v>
      </c>
      <c r="DE214" s="133" t="s">
        <v>40</v>
      </c>
      <c r="DG214" s="134">
        <f>DF214*H214</f>
        <v>0</v>
      </c>
      <c r="DH214" s="134">
        <v>0</v>
      </c>
      <c r="DI214" s="134">
        <f>DH214*H214</f>
        <v>0</v>
      </c>
      <c r="DJ214" s="134">
        <v>0</v>
      </c>
      <c r="DK214" s="135">
        <f>DJ214*H214</f>
        <v>0</v>
      </c>
      <c r="EI214" s="136" t="s">
        <v>95</v>
      </c>
      <c r="EK214" s="136" t="s">
        <v>284</v>
      </c>
      <c r="EL214" s="136" t="s">
        <v>83</v>
      </c>
      <c r="EP214" s="16" t="s">
        <v>282</v>
      </c>
      <c r="EV214" s="137">
        <f>IF(DE214="základní",J214,0)</f>
        <v>5597.7</v>
      </c>
      <c r="EW214" s="137">
        <f>IF(DE214="snížená",J214,0)</f>
        <v>0</v>
      </c>
      <c r="EX214" s="137">
        <f>IF(DE214="zákl. přenesená",J214,0)</f>
        <v>0</v>
      </c>
      <c r="EY214" s="137">
        <f>IF(DE214="sníž. přenesená",J214,0)</f>
        <v>0</v>
      </c>
      <c r="EZ214" s="137">
        <f>IF(DE214="nulová",J214,0)</f>
        <v>0</v>
      </c>
      <c r="FA214" s="16" t="s">
        <v>81</v>
      </c>
      <c r="FB214" s="137">
        <f>ROUND(I214*H214,2)</f>
        <v>5597.7</v>
      </c>
      <c r="FC214" s="16" t="s">
        <v>95</v>
      </c>
      <c r="FD214" s="136" t="s">
        <v>2239</v>
      </c>
    </row>
    <row r="215" spans="2:160" s="1" customFormat="1" ht="29.25" x14ac:dyDescent="0.2">
      <c r="B215" s="31"/>
      <c r="D215" s="138" t="s">
        <v>289</v>
      </c>
      <c r="F215" s="139" t="s">
        <v>460</v>
      </c>
      <c r="I215" s="140"/>
      <c r="L215" s="31"/>
      <c r="N215" s="213"/>
      <c r="O215" s="214"/>
      <c r="Q215" s="229"/>
      <c r="DD215" s="141"/>
      <c r="DK215" s="50"/>
      <c r="EK215" s="16" t="s">
        <v>289</v>
      </c>
      <c r="EL215" s="16" t="s">
        <v>83</v>
      </c>
    </row>
    <row r="216" spans="2:160" s="12" customFormat="1" x14ac:dyDescent="0.2">
      <c r="B216" s="149"/>
      <c r="D216" s="138" t="s">
        <v>301</v>
      </c>
      <c r="E216" s="150" t="s">
        <v>1</v>
      </c>
      <c r="F216" s="151" t="s">
        <v>2240</v>
      </c>
      <c r="H216" s="152">
        <v>90.67</v>
      </c>
      <c r="I216" s="153"/>
      <c r="L216" s="149"/>
      <c r="N216" s="217"/>
      <c r="O216" s="218"/>
      <c r="Q216" s="231"/>
      <c r="DD216" s="154"/>
      <c r="DK216" s="155"/>
      <c r="EK216" s="150" t="s">
        <v>301</v>
      </c>
      <c r="EL216" s="150" t="s">
        <v>83</v>
      </c>
      <c r="EM216" s="12" t="s">
        <v>83</v>
      </c>
      <c r="EN216" s="12" t="s">
        <v>32</v>
      </c>
      <c r="EO216" s="12" t="s">
        <v>81</v>
      </c>
      <c r="EP216" s="150" t="s">
        <v>282</v>
      </c>
    </row>
    <row r="217" spans="2:160" s="10" customFormat="1" ht="22.9" customHeight="1" x14ac:dyDescent="0.2">
      <c r="B217" s="112"/>
      <c r="D217" s="113" t="s">
        <v>73</v>
      </c>
      <c r="E217" s="122" t="s">
        <v>83</v>
      </c>
      <c r="F217" s="122" t="s">
        <v>462</v>
      </c>
      <c r="I217" s="115"/>
      <c r="J217" s="123">
        <f>FB217</f>
        <v>198309.84</v>
      </c>
      <c r="L217" s="112"/>
      <c r="M217" s="270">
        <f>SUM(M218:M254)</f>
        <v>0</v>
      </c>
      <c r="N217" s="301"/>
      <c r="O217" s="302">
        <f t="shared" ref="O217:V217" si="3">SUM(O218:O254)</f>
        <v>0</v>
      </c>
      <c r="P217" s="270"/>
      <c r="Q217" s="288">
        <f t="shared" si="3"/>
        <v>198309.84</v>
      </c>
      <c r="R217" s="270"/>
      <c r="S217" s="270"/>
      <c r="T217" s="270">
        <f t="shared" si="3"/>
        <v>0</v>
      </c>
      <c r="U217" s="270"/>
      <c r="V217" s="270">
        <f t="shared" si="3"/>
        <v>198309.84</v>
      </c>
      <c r="DD217" s="117"/>
      <c r="DG217" s="118">
        <f>SUM(DG218:DG255)</f>
        <v>0</v>
      </c>
      <c r="DI217" s="118">
        <f>SUM(DI218:DI255)</f>
        <v>18.45729622</v>
      </c>
      <c r="DK217" s="119">
        <f>SUM(DK218:DK255)</f>
        <v>0</v>
      </c>
      <c r="EI217" s="113" t="s">
        <v>81</v>
      </c>
      <c r="EK217" s="120" t="s">
        <v>73</v>
      </c>
      <c r="EL217" s="120" t="s">
        <v>81</v>
      </c>
      <c r="EP217" s="113" t="s">
        <v>282</v>
      </c>
      <c r="FB217" s="121">
        <f>SUM(FB218:FB255)</f>
        <v>198309.84</v>
      </c>
    </row>
    <row r="218" spans="2:160" s="1" customFormat="1" ht="37.9" customHeight="1" x14ac:dyDescent="0.2">
      <c r="B218" s="124"/>
      <c r="C218" s="125" t="s">
        <v>438</v>
      </c>
      <c r="D218" s="125" t="s">
        <v>284</v>
      </c>
      <c r="E218" s="126" t="s">
        <v>464</v>
      </c>
      <c r="F218" s="127" t="s">
        <v>465</v>
      </c>
      <c r="G218" s="128" t="s">
        <v>344</v>
      </c>
      <c r="H218" s="129">
        <v>16.8</v>
      </c>
      <c r="I218" s="130">
        <v>264.06831423630393</v>
      </c>
      <c r="J218" s="131">
        <f>ROUND(I218*H218,2)</f>
        <v>4436.3500000000004</v>
      </c>
      <c r="K218" s="127" t="s">
        <v>293</v>
      </c>
      <c r="L218" s="268">
        <f>S218</f>
        <v>0</v>
      </c>
      <c r="M218" s="272">
        <f>ROUND(L218*I218,2)</f>
        <v>0</v>
      </c>
      <c r="N218" s="243"/>
      <c r="O218" s="294">
        <f>ROUND(N218*I218,2)</f>
        <v>0</v>
      </c>
      <c r="P218" s="273">
        <f>H218-L218-N218</f>
        <v>16.8</v>
      </c>
      <c r="Q218" s="287">
        <f>ROUND(P218*I218,2)</f>
        <v>4436.3500000000004</v>
      </c>
      <c r="R218" s="137"/>
      <c r="S218" s="269">
        <f>W218+Y218+AA218+AC218+AE218+AG218+AI218</f>
        <v>0</v>
      </c>
      <c r="T218" s="269">
        <f>ROUND(S218*I218,2)</f>
        <v>0</v>
      </c>
      <c r="U218" s="269">
        <f>H218-S218</f>
        <v>16.8</v>
      </c>
      <c r="V218" s="269">
        <f>ROUND(U218*I218,2)</f>
        <v>4436.3500000000004</v>
      </c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DD218" s="132" t="s">
        <v>1</v>
      </c>
      <c r="DE218" s="133" t="s">
        <v>40</v>
      </c>
      <c r="DG218" s="134">
        <f>DF218*H218</f>
        <v>0</v>
      </c>
      <c r="DH218" s="134">
        <v>0.20469000000000001</v>
      </c>
      <c r="DI218" s="134">
        <f>DH218*H218</f>
        <v>3.4387920000000003</v>
      </c>
      <c r="DJ218" s="134">
        <v>0</v>
      </c>
      <c r="DK218" s="135">
        <f>DJ218*H218</f>
        <v>0</v>
      </c>
      <c r="EI218" s="136" t="s">
        <v>95</v>
      </c>
      <c r="EK218" s="136" t="s">
        <v>284</v>
      </c>
      <c r="EL218" s="136" t="s">
        <v>83</v>
      </c>
      <c r="EP218" s="16" t="s">
        <v>282</v>
      </c>
      <c r="EV218" s="137">
        <f>IF(DE218="základní",J218,0)</f>
        <v>4436.3500000000004</v>
      </c>
      <c r="EW218" s="137">
        <f>IF(DE218="snížená",J218,0)</f>
        <v>0</v>
      </c>
      <c r="EX218" s="137">
        <f>IF(DE218="zákl. přenesená",J218,0)</f>
        <v>0</v>
      </c>
      <c r="EY218" s="137">
        <f>IF(DE218="sníž. přenesená",J218,0)</f>
        <v>0</v>
      </c>
      <c r="EZ218" s="137">
        <f>IF(DE218="nulová",J218,0)</f>
        <v>0</v>
      </c>
      <c r="FA218" s="16" t="s">
        <v>81</v>
      </c>
      <c r="FB218" s="137">
        <f>ROUND(I218*H218,2)</f>
        <v>4436.3500000000004</v>
      </c>
      <c r="FC218" s="16" t="s">
        <v>95</v>
      </c>
      <c r="FD218" s="136" t="s">
        <v>2241</v>
      </c>
    </row>
    <row r="219" spans="2:160" s="1" customFormat="1" ht="39" x14ac:dyDescent="0.2">
      <c r="B219" s="31"/>
      <c r="D219" s="138" t="s">
        <v>289</v>
      </c>
      <c r="F219" s="139" t="s">
        <v>467</v>
      </c>
      <c r="I219" s="140"/>
      <c r="L219" s="31"/>
      <c r="N219" s="213"/>
      <c r="O219" s="214"/>
      <c r="Q219" s="229"/>
      <c r="DD219" s="141"/>
      <c r="DK219" s="50"/>
      <c r="EK219" s="16" t="s">
        <v>289</v>
      </c>
      <c r="EL219" s="16" t="s">
        <v>83</v>
      </c>
    </row>
    <row r="220" spans="2:160" s="1" customFormat="1" ht="19.5" x14ac:dyDescent="0.2">
      <c r="B220" s="31"/>
      <c r="D220" s="138" t="s">
        <v>299</v>
      </c>
      <c r="F220" s="142" t="s">
        <v>2208</v>
      </c>
      <c r="I220" s="140"/>
      <c r="L220" s="31"/>
      <c r="N220" s="213"/>
      <c r="O220" s="214"/>
      <c r="Q220" s="229"/>
      <c r="DD220" s="141"/>
      <c r="DK220" s="50"/>
      <c r="EK220" s="16" t="s">
        <v>299</v>
      </c>
      <c r="EL220" s="16" t="s">
        <v>83</v>
      </c>
    </row>
    <row r="221" spans="2:160" s="12" customFormat="1" x14ac:dyDescent="0.2">
      <c r="B221" s="149"/>
      <c r="D221" s="138" t="s">
        <v>301</v>
      </c>
      <c r="E221" s="150" t="s">
        <v>1</v>
      </c>
      <c r="F221" s="151" t="s">
        <v>2059</v>
      </c>
      <c r="H221" s="152">
        <v>16.8</v>
      </c>
      <c r="I221" s="153"/>
      <c r="L221" s="149"/>
      <c r="N221" s="217"/>
      <c r="O221" s="218"/>
      <c r="Q221" s="231"/>
      <c r="DD221" s="154"/>
      <c r="DK221" s="155"/>
      <c r="EK221" s="150" t="s">
        <v>301</v>
      </c>
      <c r="EL221" s="150" t="s">
        <v>83</v>
      </c>
      <c r="EM221" s="12" t="s">
        <v>83</v>
      </c>
      <c r="EN221" s="12" t="s">
        <v>32</v>
      </c>
      <c r="EO221" s="12" t="s">
        <v>81</v>
      </c>
      <c r="EP221" s="150" t="s">
        <v>282</v>
      </c>
    </row>
    <row r="222" spans="2:160" s="1" customFormat="1" ht="24.2" customHeight="1" x14ac:dyDescent="0.2">
      <c r="B222" s="124"/>
      <c r="C222" s="125" t="s">
        <v>445</v>
      </c>
      <c r="D222" s="125" t="s">
        <v>284</v>
      </c>
      <c r="E222" s="126" t="s">
        <v>1879</v>
      </c>
      <c r="F222" s="127" t="s">
        <v>1880</v>
      </c>
      <c r="G222" s="128" t="s">
        <v>366</v>
      </c>
      <c r="H222" s="129">
        <v>3.528</v>
      </c>
      <c r="I222" s="130">
        <v>1340.7472201353823</v>
      </c>
      <c r="J222" s="131">
        <f>ROUND(I222*H222,2)</f>
        <v>4730.16</v>
      </c>
      <c r="K222" s="127" t="s">
        <v>293</v>
      </c>
      <c r="L222" s="268">
        <f>S222</f>
        <v>0</v>
      </c>
      <c r="M222" s="272">
        <f>ROUND(L222*I222,2)</f>
        <v>0</v>
      </c>
      <c r="N222" s="243"/>
      <c r="O222" s="294">
        <f>ROUND(N222*I222,2)</f>
        <v>0</v>
      </c>
      <c r="P222" s="273">
        <f>H222-L222-N222</f>
        <v>3.528</v>
      </c>
      <c r="Q222" s="287">
        <f>ROUND(P222*I222,2)</f>
        <v>4730.16</v>
      </c>
      <c r="R222" s="137"/>
      <c r="S222" s="269">
        <f>W222+Y222+AA222+AC222+AE222+AG222+AI222</f>
        <v>0</v>
      </c>
      <c r="T222" s="269">
        <f>ROUND(S222*I222,2)</f>
        <v>0</v>
      </c>
      <c r="U222" s="269">
        <f>H222-S222</f>
        <v>3.528</v>
      </c>
      <c r="V222" s="269">
        <f>ROUND(U222*I222,2)</f>
        <v>4730.16</v>
      </c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DD222" s="132" t="s">
        <v>1</v>
      </c>
      <c r="DE222" s="133" t="s">
        <v>40</v>
      </c>
      <c r="DG222" s="134">
        <f>DF222*H222</f>
        <v>0</v>
      </c>
      <c r="DH222" s="134">
        <v>2.16</v>
      </c>
      <c r="DI222" s="134">
        <f>DH222*H222</f>
        <v>7.6204800000000006</v>
      </c>
      <c r="DJ222" s="134">
        <v>0</v>
      </c>
      <c r="DK222" s="135">
        <f>DJ222*H222</f>
        <v>0</v>
      </c>
      <c r="EI222" s="136" t="s">
        <v>95</v>
      </c>
      <c r="EK222" s="136" t="s">
        <v>284</v>
      </c>
      <c r="EL222" s="136" t="s">
        <v>83</v>
      </c>
      <c r="EP222" s="16" t="s">
        <v>282</v>
      </c>
      <c r="EV222" s="137">
        <f>IF(DE222="základní",J222,0)</f>
        <v>4730.16</v>
      </c>
      <c r="EW222" s="137">
        <f>IF(DE222="snížená",J222,0)</f>
        <v>0</v>
      </c>
      <c r="EX222" s="137">
        <f>IF(DE222="zákl. přenesená",J222,0)</f>
        <v>0</v>
      </c>
      <c r="EY222" s="137">
        <f>IF(DE222="sníž. přenesená",J222,0)</f>
        <v>0</v>
      </c>
      <c r="EZ222" s="137">
        <f>IF(DE222="nulová",J222,0)</f>
        <v>0</v>
      </c>
      <c r="FA222" s="16" t="s">
        <v>81</v>
      </c>
      <c r="FB222" s="137">
        <f>ROUND(I222*H222,2)</f>
        <v>4730.16</v>
      </c>
      <c r="FC222" s="16" t="s">
        <v>95</v>
      </c>
      <c r="FD222" s="136" t="s">
        <v>2242</v>
      </c>
    </row>
    <row r="223" spans="2:160" s="1" customFormat="1" ht="19.5" x14ac:dyDescent="0.2">
      <c r="B223" s="31"/>
      <c r="D223" s="138" t="s">
        <v>289</v>
      </c>
      <c r="F223" s="139" t="s">
        <v>1882</v>
      </c>
      <c r="I223" s="140"/>
      <c r="L223" s="31"/>
      <c r="N223" s="213"/>
      <c r="O223" s="214"/>
      <c r="Q223" s="229"/>
      <c r="DD223" s="141"/>
      <c r="DK223" s="50"/>
      <c r="EK223" s="16" t="s">
        <v>289</v>
      </c>
      <c r="EL223" s="16" t="s">
        <v>83</v>
      </c>
    </row>
    <row r="224" spans="2:160" s="1" customFormat="1" ht="19.5" x14ac:dyDescent="0.2">
      <c r="B224" s="31"/>
      <c r="D224" s="138" t="s">
        <v>299</v>
      </c>
      <c r="F224" s="142" t="s">
        <v>2208</v>
      </c>
      <c r="I224" s="140"/>
      <c r="L224" s="31"/>
      <c r="N224" s="213"/>
      <c r="O224" s="214"/>
      <c r="Q224" s="229"/>
      <c r="DD224" s="141"/>
      <c r="DK224" s="50"/>
      <c r="EK224" s="16" t="s">
        <v>299</v>
      </c>
      <c r="EL224" s="16" t="s">
        <v>83</v>
      </c>
    </row>
    <row r="225" spans="2:160" s="12" customFormat="1" x14ac:dyDescent="0.2">
      <c r="B225" s="149"/>
      <c r="D225" s="138" t="s">
        <v>301</v>
      </c>
      <c r="E225" s="150" t="s">
        <v>1</v>
      </c>
      <c r="F225" s="151" t="s">
        <v>2090</v>
      </c>
      <c r="H225" s="152">
        <v>3.528</v>
      </c>
      <c r="I225" s="153"/>
      <c r="L225" s="149"/>
      <c r="N225" s="217"/>
      <c r="O225" s="218"/>
      <c r="Q225" s="231"/>
      <c r="DD225" s="154"/>
      <c r="DK225" s="155"/>
      <c r="EK225" s="150" t="s">
        <v>301</v>
      </c>
      <c r="EL225" s="150" t="s">
        <v>83</v>
      </c>
      <c r="EM225" s="12" t="s">
        <v>83</v>
      </c>
      <c r="EN225" s="12" t="s">
        <v>32</v>
      </c>
      <c r="EO225" s="12" t="s">
        <v>81</v>
      </c>
      <c r="EP225" s="150" t="s">
        <v>282</v>
      </c>
    </row>
    <row r="226" spans="2:160" s="1" customFormat="1" ht="24.2" customHeight="1" x14ac:dyDescent="0.2">
      <c r="B226" s="124"/>
      <c r="C226" s="125" t="s">
        <v>451</v>
      </c>
      <c r="D226" s="125" t="s">
        <v>284</v>
      </c>
      <c r="E226" s="126" t="s">
        <v>1884</v>
      </c>
      <c r="F226" s="127" t="s">
        <v>1885</v>
      </c>
      <c r="G226" s="128" t="s">
        <v>366</v>
      </c>
      <c r="H226" s="129">
        <v>1.0609999999999999</v>
      </c>
      <c r="I226" s="130">
        <v>3211.059415589079</v>
      </c>
      <c r="J226" s="131">
        <f>ROUND(I226*H226,2)</f>
        <v>3406.93</v>
      </c>
      <c r="K226" s="127" t="s">
        <v>293</v>
      </c>
      <c r="L226" s="268">
        <f>S226</f>
        <v>0</v>
      </c>
      <c r="M226" s="272">
        <f>ROUND(L226*I226,2)</f>
        <v>0</v>
      </c>
      <c r="N226" s="243"/>
      <c r="O226" s="294">
        <f>ROUND(N226*I226,2)</f>
        <v>0</v>
      </c>
      <c r="P226" s="273">
        <f>H226-L226-N226</f>
        <v>1.0609999999999999</v>
      </c>
      <c r="Q226" s="287">
        <f>ROUND(P226*I226,2)</f>
        <v>3406.93</v>
      </c>
      <c r="R226" s="137"/>
      <c r="S226" s="269">
        <f>W226+Y226+AA226+AC226+AE226+AG226+AI226</f>
        <v>0</v>
      </c>
      <c r="T226" s="269">
        <f>ROUND(S226*I226,2)</f>
        <v>0</v>
      </c>
      <c r="U226" s="269">
        <f>H226-S226</f>
        <v>1.0609999999999999</v>
      </c>
      <c r="V226" s="269">
        <f>ROUND(U226*I226,2)</f>
        <v>3406.93</v>
      </c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DD226" s="132" t="s">
        <v>1</v>
      </c>
      <c r="DE226" s="133" t="s">
        <v>40</v>
      </c>
      <c r="DG226" s="134">
        <f>DF226*H226</f>
        <v>0</v>
      </c>
      <c r="DH226" s="134">
        <v>2.45329</v>
      </c>
      <c r="DI226" s="134">
        <f>DH226*H226</f>
        <v>2.6029406899999996</v>
      </c>
      <c r="DJ226" s="134">
        <v>0</v>
      </c>
      <c r="DK226" s="135">
        <f>DJ226*H226</f>
        <v>0</v>
      </c>
      <c r="EI226" s="136" t="s">
        <v>95</v>
      </c>
      <c r="EK226" s="136" t="s">
        <v>284</v>
      </c>
      <c r="EL226" s="136" t="s">
        <v>83</v>
      </c>
      <c r="EP226" s="16" t="s">
        <v>282</v>
      </c>
      <c r="EV226" s="137">
        <f>IF(DE226="základní",J226,0)</f>
        <v>3406.93</v>
      </c>
      <c r="EW226" s="137">
        <f>IF(DE226="snížená",J226,0)</f>
        <v>0</v>
      </c>
      <c r="EX226" s="137">
        <f>IF(DE226="zákl. přenesená",J226,0)</f>
        <v>0</v>
      </c>
      <c r="EY226" s="137">
        <f>IF(DE226="sníž. přenesená",J226,0)</f>
        <v>0</v>
      </c>
      <c r="EZ226" s="137">
        <f>IF(DE226="nulová",J226,0)</f>
        <v>0</v>
      </c>
      <c r="FA226" s="16" t="s">
        <v>81</v>
      </c>
      <c r="FB226" s="137">
        <f>ROUND(I226*H226,2)</f>
        <v>3406.93</v>
      </c>
      <c r="FC226" s="16" t="s">
        <v>95</v>
      </c>
      <c r="FD226" s="136" t="s">
        <v>2243</v>
      </c>
    </row>
    <row r="227" spans="2:160" s="1" customFormat="1" ht="19.5" x14ac:dyDescent="0.2">
      <c r="B227" s="31"/>
      <c r="D227" s="138" t="s">
        <v>289</v>
      </c>
      <c r="F227" s="139" t="s">
        <v>1887</v>
      </c>
      <c r="I227" s="140"/>
      <c r="L227" s="31"/>
      <c r="N227" s="213"/>
      <c r="O227" s="214"/>
      <c r="Q227" s="229"/>
      <c r="DD227" s="141"/>
      <c r="DK227" s="50"/>
      <c r="EK227" s="16" t="s">
        <v>289</v>
      </c>
      <c r="EL227" s="16" t="s">
        <v>83</v>
      </c>
    </row>
    <row r="228" spans="2:160" s="1" customFormat="1" ht="19.5" x14ac:dyDescent="0.2">
      <c r="B228" s="31"/>
      <c r="D228" s="138" t="s">
        <v>299</v>
      </c>
      <c r="F228" s="142" t="s">
        <v>2208</v>
      </c>
      <c r="I228" s="140"/>
      <c r="L228" s="31"/>
      <c r="N228" s="213"/>
      <c r="O228" s="214"/>
      <c r="Q228" s="229"/>
      <c r="DD228" s="141"/>
      <c r="DK228" s="50"/>
      <c r="EK228" s="16" t="s">
        <v>299</v>
      </c>
      <c r="EL228" s="16" t="s">
        <v>83</v>
      </c>
    </row>
    <row r="229" spans="2:160" s="12" customFormat="1" x14ac:dyDescent="0.2">
      <c r="B229" s="149"/>
      <c r="D229" s="138" t="s">
        <v>301</v>
      </c>
      <c r="E229" s="150" t="s">
        <v>1</v>
      </c>
      <c r="F229" s="151" t="s">
        <v>2092</v>
      </c>
      <c r="H229" s="152">
        <v>1.0609999999999999</v>
      </c>
      <c r="I229" s="153"/>
      <c r="L229" s="149"/>
      <c r="N229" s="217"/>
      <c r="O229" s="218"/>
      <c r="Q229" s="231"/>
      <c r="DD229" s="154"/>
      <c r="DK229" s="155"/>
      <c r="EK229" s="150" t="s">
        <v>301</v>
      </c>
      <c r="EL229" s="150" t="s">
        <v>83</v>
      </c>
      <c r="EM229" s="12" t="s">
        <v>83</v>
      </c>
      <c r="EN229" s="12" t="s">
        <v>32</v>
      </c>
      <c r="EO229" s="12" t="s">
        <v>81</v>
      </c>
      <c r="EP229" s="150" t="s">
        <v>282</v>
      </c>
    </row>
    <row r="230" spans="2:160" s="1" customFormat="1" ht="14.45" customHeight="1" x14ac:dyDescent="0.2">
      <c r="B230" s="124"/>
      <c r="C230" s="125" t="s">
        <v>456</v>
      </c>
      <c r="D230" s="125" t="s">
        <v>284</v>
      </c>
      <c r="E230" s="126" t="s">
        <v>1893</v>
      </c>
      <c r="F230" s="127" t="s">
        <v>1894</v>
      </c>
      <c r="G230" s="128" t="s">
        <v>287</v>
      </c>
      <c r="H230" s="129">
        <v>1.5960000000000001</v>
      </c>
      <c r="I230" s="130">
        <v>379.79538976632074</v>
      </c>
      <c r="J230" s="131">
        <f>ROUND(I230*H230,2)</f>
        <v>606.15</v>
      </c>
      <c r="K230" s="127" t="s">
        <v>293</v>
      </c>
      <c r="L230" s="268">
        <f>S230</f>
        <v>0</v>
      </c>
      <c r="M230" s="272">
        <f>ROUND(L230*I230,2)</f>
        <v>0</v>
      </c>
      <c r="N230" s="243"/>
      <c r="O230" s="294">
        <f>ROUND(N230*I230,2)</f>
        <v>0</v>
      </c>
      <c r="P230" s="273">
        <f>H230-L230-N230</f>
        <v>1.5960000000000001</v>
      </c>
      <c r="Q230" s="287">
        <f>ROUND(P230*I230,2)</f>
        <v>606.15</v>
      </c>
      <c r="R230" s="137"/>
      <c r="S230" s="269">
        <f>W230+Y230+AA230+AC230+AE230+AG230+AI230</f>
        <v>0</v>
      </c>
      <c r="T230" s="269">
        <f>ROUND(S230*I230,2)</f>
        <v>0</v>
      </c>
      <c r="U230" s="269">
        <f>H230-S230</f>
        <v>1.5960000000000001</v>
      </c>
      <c r="V230" s="269">
        <f>ROUND(U230*I230,2)</f>
        <v>606.15</v>
      </c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DD230" s="132" t="s">
        <v>1</v>
      </c>
      <c r="DE230" s="133" t="s">
        <v>40</v>
      </c>
      <c r="DG230" s="134">
        <f>DF230*H230</f>
        <v>0</v>
      </c>
      <c r="DH230" s="134">
        <v>2.47E-3</v>
      </c>
      <c r="DI230" s="134">
        <f>DH230*H230</f>
        <v>3.9421200000000003E-3</v>
      </c>
      <c r="DJ230" s="134">
        <v>0</v>
      </c>
      <c r="DK230" s="135">
        <f>DJ230*H230</f>
        <v>0</v>
      </c>
      <c r="EI230" s="136" t="s">
        <v>95</v>
      </c>
      <c r="EK230" s="136" t="s">
        <v>284</v>
      </c>
      <c r="EL230" s="136" t="s">
        <v>83</v>
      </c>
      <c r="EP230" s="16" t="s">
        <v>282</v>
      </c>
      <c r="EV230" s="137">
        <f>IF(DE230="základní",J230,0)</f>
        <v>606.15</v>
      </c>
      <c r="EW230" s="137">
        <f>IF(DE230="snížená",J230,0)</f>
        <v>0</v>
      </c>
      <c r="EX230" s="137">
        <f>IF(DE230="zákl. přenesená",J230,0)</f>
        <v>0</v>
      </c>
      <c r="EY230" s="137">
        <f>IF(DE230="sníž. přenesená",J230,0)</f>
        <v>0</v>
      </c>
      <c r="EZ230" s="137">
        <f>IF(DE230="nulová",J230,0)</f>
        <v>0</v>
      </c>
      <c r="FA230" s="16" t="s">
        <v>81</v>
      </c>
      <c r="FB230" s="137">
        <f>ROUND(I230*H230,2)</f>
        <v>606.15</v>
      </c>
      <c r="FC230" s="16" t="s">
        <v>95</v>
      </c>
      <c r="FD230" s="136" t="s">
        <v>2244</v>
      </c>
    </row>
    <row r="231" spans="2:160" s="1" customFormat="1" x14ac:dyDescent="0.2">
      <c r="B231" s="31"/>
      <c r="D231" s="138" t="s">
        <v>289</v>
      </c>
      <c r="F231" s="139" t="s">
        <v>1896</v>
      </c>
      <c r="I231" s="140"/>
      <c r="L231" s="31"/>
      <c r="N231" s="213"/>
      <c r="O231" s="214"/>
      <c r="Q231" s="229"/>
      <c r="DD231" s="141"/>
      <c r="DK231" s="50"/>
      <c r="EK231" s="16" t="s">
        <v>289</v>
      </c>
      <c r="EL231" s="16" t="s">
        <v>83</v>
      </c>
    </row>
    <row r="232" spans="2:160" s="1" customFormat="1" ht="19.5" x14ac:dyDescent="0.2">
      <c r="B232" s="31"/>
      <c r="D232" s="138" t="s">
        <v>299</v>
      </c>
      <c r="F232" s="142" t="s">
        <v>2208</v>
      </c>
      <c r="I232" s="140"/>
      <c r="L232" s="31"/>
      <c r="N232" s="213"/>
      <c r="O232" s="214"/>
      <c r="Q232" s="229"/>
      <c r="DD232" s="141"/>
      <c r="DK232" s="50"/>
      <c r="EK232" s="16" t="s">
        <v>299</v>
      </c>
      <c r="EL232" s="16" t="s">
        <v>83</v>
      </c>
    </row>
    <row r="233" spans="2:160" s="12" customFormat="1" x14ac:dyDescent="0.2">
      <c r="B233" s="149"/>
      <c r="D233" s="138" t="s">
        <v>301</v>
      </c>
      <c r="E233" s="150" t="s">
        <v>1</v>
      </c>
      <c r="F233" s="151" t="s">
        <v>2094</v>
      </c>
      <c r="H233" s="152">
        <v>1.5960000000000001</v>
      </c>
      <c r="I233" s="153"/>
      <c r="L233" s="149"/>
      <c r="N233" s="217"/>
      <c r="O233" s="218"/>
      <c r="Q233" s="231"/>
      <c r="DD233" s="154"/>
      <c r="DK233" s="155"/>
      <c r="EK233" s="150" t="s">
        <v>301</v>
      </c>
      <c r="EL233" s="150" t="s">
        <v>83</v>
      </c>
      <c r="EM233" s="12" t="s">
        <v>83</v>
      </c>
      <c r="EN233" s="12" t="s">
        <v>32</v>
      </c>
      <c r="EO233" s="12" t="s">
        <v>81</v>
      </c>
      <c r="EP233" s="150" t="s">
        <v>282</v>
      </c>
    </row>
    <row r="234" spans="2:160" s="1" customFormat="1" ht="14.45" customHeight="1" x14ac:dyDescent="0.2">
      <c r="B234" s="124"/>
      <c r="C234" s="125" t="s">
        <v>463</v>
      </c>
      <c r="D234" s="125" t="s">
        <v>284</v>
      </c>
      <c r="E234" s="126" t="s">
        <v>1899</v>
      </c>
      <c r="F234" s="127" t="s">
        <v>1900</v>
      </c>
      <c r="G234" s="128" t="s">
        <v>287</v>
      </c>
      <c r="H234" s="129">
        <v>1.5960000000000001</v>
      </c>
      <c r="I234" s="130">
        <v>102.41615913446736</v>
      </c>
      <c r="J234" s="131">
        <f>ROUND(I234*H234,2)</f>
        <v>163.46</v>
      </c>
      <c r="K234" s="127" t="s">
        <v>293</v>
      </c>
      <c r="L234" s="268">
        <f>S234</f>
        <v>0</v>
      </c>
      <c r="M234" s="272">
        <f>ROUND(L234*I234,2)</f>
        <v>0</v>
      </c>
      <c r="N234" s="243"/>
      <c r="O234" s="294">
        <f>ROUND(N234*I234,2)</f>
        <v>0</v>
      </c>
      <c r="P234" s="273">
        <f>H234-L234-N234</f>
        <v>1.5960000000000001</v>
      </c>
      <c r="Q234" s="287">
        <f>ROUND(P234*I234,2)</f>
        <v>163.46</v>
      </c>
      <c r="R234" s="137"/>
      <c r="S234" s="269">
        <f>W234+Y234+AA234+AC234+AE234+AG234+AI234</f>
        <v>0</v>
      </c>
      <c r="T234" s="269">
        <f>ROUND(S234*I234,2)</f>
        <v>0</v>
      </c>
      <c r="U234" s="269">
        <f>H234-S234</f>
        <v>1.5960000000000001</v>
      </c>
      <c r="V234" s="269">
        <f>ROUND(U234*I234,2)</f>
        <v>163.46</v>
      </c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DD234" s="132" t="s">
        <v>1</v>
      </c>
      <c r="DE234" s="133" t="s">
        <v>40</v>
      </c>
      <c r="DG234" s="134">
        <f>DF234*H234</f>
        <v>0</v>
      </c>
      <c r="DH234" s="134">
        <v>0</v>
      </c>
      <c r="DI234" s="134">
        <f>DH234*H234</f>
        <v>0</v>
      </c>
      <c r="DJ234" s="134">
        <v>0</v>
      </c>
      <c r="DK234" s="135">
        <f>DJ234*H234</f>
        <v>0</v>
      </c>
      <c r="EI234" s="136" t="s">
        <v>95</v>
      </c>
      <c r="EK234" s="136" t="s">
        <v>284</v>
      </c>
      <c r="EL234" s="136" t="s">
        <v>83</v>
      </c>
      <c r="EP234" s="16" t="s">
        <v>282</v>
      </c>
      <c r="EV234" s="137">
        <f>IF(DE234="základní",J234,0)</f>
        <v>163.46</v>
      </c>
      <c r="EW234" s="137">
        <f>IF(DE234="snížená",J234,0)</f>
        <v>0</v>
      </c>
      <c r="EX234" s="137">
        <f>IF(DE234="zákl. přenesená",J234,0)</f>
        <v>0</v>
      </c>
      <c r="EY234" s="137">
        <f>IF(DE234="sníž. přenesená",J234,0)</f>
        <v>0</v>
      </c>
      <c r="EZ234" s="137">
        <f>IF(DE234="nulová",J234,0)</f>
        <v>0</v>
      </c>
      <c r="FA234" s="16" t="s">
        <v>81</v>
      </c>
      <c r="FB234" s="137">
        <f>ROUND(I234*H234,2)</f>
        <v>163.46</v>
      </c>
      <c r="FC234" s="16" t="s">
        <v>95</v>
      </c>
      <c r="FD234" s="136" t="s">
        <v>2245</v>
      </c>
    </row>
    <row r="235" spans="2:160" s="1" customFormat="1" x14ac:dyDescent="0.2">
      <c r="B235" s="31"/>
      <c r="D235" s="138" t="s">
        <v>289</v>
      </c>
      <c r="F235" s="139" t="s">
        <v>1902</v>
      </c>
      <c r="I235" s="140"/>
      <c r="L235" s="31"/>
      <c r="N235" s="213"/>
      <c r="O235" s="214"/>
      <c r="Q235" s="229"/>
      <c r="DD235" s="141"/>
      <c r="DK235" s="50"/>
      <c r="EK235" s="16" t="s">
        <v>289</v>
      </c>
      <c r="EL235" s="16" t="s">
        <v>83</v>
      </c>
    </row>
    <row r="236" spans="2:160" s="1" customFormat="1" ht="14.45" customHeight="1" x14ac:dyDescent="0.2">
      <c r="B236" s="124"/>
      <c r="C236" s="125" t="s">
        <v>470</v>
      </c>
      <c r="D236" s="125" t="s">
        <v>284</v>
      </c>
      <c r="E236" s="126" t="s">
        <v>1903</v>
      </c>
      <c r="F236" s="127" t="s">
        <v>1904</v>
      </c>
      <c r="G236" s="128" t="s">
        <v>418</v>
      </c>
      <c r="H236" s="129">
        <v>0.106</v>
      </c>
      <c r="I236" s="130">
        <v>28099.214400180317</v>
      </c>
      <c r="J236" s="131">
        <f>ROUND(I236*H236,2)</f>
        <v>2978.52</v>
      </c>
      <c r="K236" s="127" t="s">
        <v>293</v>
      </c>
      <c r="L236" s="268">
        <f>S236</f>
        <v>0</v>
      </c>
      <c r="M236" s="272">
        <f>ROUND(L236*I236,2)</f>
        <v>0</v>
      </c>
      <c r="N236" s="243"/>
      <c r="O236" s="294">
        <f>ROUND(N236*I236,2)</f>
        <v>0</v>
      </c>
      <c r="P236" s="273">
        <f>H236-L236-N236</f>
        <v>0.106</v>
      </c>
      <c r="Q236" s="287">
        <f>ROUND(P236*I236,2)</f>
        <v>2978.52</v>
      </c>
      <c r="R236" s="137"/>
      <c r="S236" s="269">
        <f>W236+Y236+AA236+AC236+AE236+AG236+AI236</f>
        <v>0</v>
      </c>
      <c r="T236" s="269">
        <f>ROUND(S236*I236,2)</f>
        <v>0</v>
      </c>
      <c r="U236" s="269">
        <f>H236-S236</f>
        <v>0.106</v>
      </c>
      <c r="V236" s="269">
        <f>ROUND(U236*I236,2)</f>
        <v>2978.52</v>
      </c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DD236" s="132" t="s">
        <v>1</v>
      </c>
      <c r="DE236" s="133" t="s">
        <v>40</v>
      </c>
      <c r="DG236" s="134">
        <f>DF236*H236</f>
        <v>0</v>
      </c>
      <c r="DH236" s="134">
        <v>1.06277</v>
      </c>
      <c r="DI236" s="134">
        <f>DH236*H236</f>
        <v>0.11265362</v>
      </c>
      <c r="DJ236" s="134">
        <v>0</v>
      </c>
      <c r="DK236" s="135">
        <f>DJ236*H236</f>
        <v>0</v>
      </c>
      <c r="EI236" s="136" t="s">
        <v>95</v>
      </c>
      <c r="EK236" s="136" t="s">
        <v>284</v>
      </c>
      <c r="EL236" s="136" t="s">
        <v>83</v>
      </c>
      <c r="EP236" s="16" t="s">
        <v>282</v>
      </c>
      <c r="EV236" s="137">
        <f>IF(DE236="základní",J236,0)</f>
        <v>2978.52</v>
      </c>
      <c r="EW236" s="137">
        <f>IF(DE236="snížená",J236,0)</f>
        <v>0</v>
      </c>
      <c r="EX236" s="137">
        <f>IF(DE236="zákl. přenesená",J236,0)</f>
        <v>0</v>
      </c>
      <c r="EY236" s="137">
        <f>IF(DE236="sníž. přenesená",J236,0)</f>
        <v>0</v>
      </c>
      <c r="EZ236" s="137">
        <f>IF(DE236="nulová",J236,0)</f>
        <v>0</v>
      </c>
      <c r="FA236" s="16" t="s">
        <v>81</v>
      </c>
      <c r="FB236" s="137">
        <f>ROUND(I236*H236,2)</f>
        <v>2978.52</v>
      </c>
      <c r="FC236" s="16" t="s">
        <v>95</v>
      </c>
      <c r="FD236" s="136" t="s">
        <v>2246</v>
      </c>
    </row>
    <row r="237" spans="2:160" s="1" customFormat="1" x14ac:dyDescent="0.2">
      <c r="B237" s="31"/>
      <c r="D237" s="138" t="s">
        <v>289</v>
      </c>
      <c r="F237" s="139" t="s">
        <v>1906</v>
      </c>
      <c r="I237" s="140"/>
      <c r="L237" s="31"/>
      <c r="N237" s="213"/>
      <c r="O237" s="214"/>
      <c r="Q237" s="229"/>
      <c r="DD237" s="141"/>
      <c r="DK237" s="50"/>
      <c r="EK237" s="16" t="s">
        <v>289</v>
      </c>
      <c r="EL237" s="16" t="s">
        <v>83</v>
      </c>
    </row>
    <row r="238" spans="2:160" s="1" customFormat="1" ht="19.5" x14ac:dyDescent="0.2">
      <c r="B238" s="31"/>
      <c r="D238" s="138" t="s">
        <v>299</v>
      </c>
      <c r="F238" s="142" t="s">
        <v>2208</v>
      </c>
      <c r="I238" s="140"/>
      <c r="L238" s="31"/>
      <c r="N238" s="213"/>
      <c r="O238" s="214"/>
      <c r="Q238" s="229"/>
      <c r="DD238" s="141"/>
      <c r="DK238" s="50"/>
      <c r="EK238" s="16" t="s">
        <v>299</v>
      </c>
      <c r="EL238" s="16" t="s">
        <v>83</v>
      </c>
    </row>
    <row r="239" spans="2:160" s="12" customFormat="1" x14ac:dyDescent="0.2">
      <c r="B239" s="149"/>
      <c r="D239" s="138" t="s">
        <v>301</v>
      </c>
      <c r="E239" s="150" t="s">
        <v>1</v>
      </c>
      <c r="F239" s="151" t="s">
        <v>2097</v>
      </c>
      <c r="H239" s="152">
        <v>0.106</v>
      </c>
      <c r="I239" s="153"/>
      <c r="L239" s="149"/>
      <c r="N239" s="217"/>
      <c r="O239" s="218"/>
      <c r="Q239" s="231"/>
      <c r="DD239" s="154"/>
      <c r="DK239" s="155"/>
      <c r="EK239" s="150" t="s">
        <v>301</v>
      </c>
      <c r="EL239" s="150" t="s">
        <v>83</v>
      </c>
      <c r="EM239" s="12" t="s">
        <v>83</v>
      </c>
      <c r="EN239" s="12" t="s">
        <v>32</v>
      </c>
      <c r="EO239" s="12" t="s">
        <v>81</v>
      </c>
      <c r="EP239" s="150" t="s">
        <v>282</v>
      </c>
    </row>
    <row r="240" spans="2:160" s="1" customFormat="1" ht="24.2" customHeight="1" x14ac:dyDescent="0.2">
      <c r="B240" s="124"/>
      <c r="C240" s="125" t="s">
        <v>476</v>
      </c>
      <c r="D240" s="125" t="s">
        <v>284</v>
      </c>
      <c r="E240" s="126" t="s">
        <v>1908</v>
      </c>
      <c r="F240" s="127" t="s">
        <v>1909</v>
      </c>
      <c r="G240" s="128" t="s">
        <v>366</v>
      </c>
      <c r="H240" s="129">
        <v>6.5</v>
      </c>
      <c r="I240" s="130">
        <v>2941.41966</v>
      </c>
      <c r="J240" s="131">
        <f>ROUND(I240*H240,2)</f>
        <v>19119.23</v>
      </c>
      <c r="K240" s="127" t="s">
        <v>1</v>
      </c>
      <c r="L240" s="268">
        <f>S240</f>
        <v>0</v>
      </c>
      <c r="M240" s="272">
        <f>ROUND(L240*I240,2)</f>
        <v>0</v>
      </c>
      <c r="N240" s="243"/>
      <c r="O240" s="294">
        <f>ROUND(N240*I240,2)</f>
        <v>0</v>
      </c>
      <c r="P240" s="273">
        <f>H240-L240-N240</f>
        <v>6.5</v>
      </c>
      <c r="Q240" s="287">
        <f>ROUND(P240*I240,2)</f>
        <v>19119.23</v>
      </c>
      <c r="R240" s="137"/>
      <c r="S240" s="269">
        <f>W240+Y240+AA240+AC240+AE240+AG240+AI240</f>
        <v>0</v>
      </c>
      <c r="T240" s="269">
        <f>ROUND(S240*I240,2)</f>
        <v>0</v>
      </c>
      <c r="U240" s="269">
        <f>H240-S240</f>
        <v>6.5</v>
      </c>
      <c r="V240" s="269">
        <f>ROUND(U240*I240,2)</f>
        <v>19119.23</v>
      </c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DD240" s="132" t="s">
        <v>1</v>
      </c>
      <c r="DE240" s="133" t="s">
        <v>40</v>
      </c>
      <c r="DG240" s="134">
        <f>DF240*H240</f>
        <v>0</v>
      </c>
      <c r="DH240" s="134">
        <v>0</v>
      </c>
      <c r="DI240" s="134">
        <f>DH240*H240</f>
        <v>0</v>
      </c>
      <c r="DJ240" s="134">
        <v>0</v>
      </c>
      <c r="DK240" s="135">
        <f>DJ240*H240</f>
        <v>0</v>
      </c>
      <c r="EI240" s="136" t="s">
        <v>95</v>
      </c>
      <c r="EK240" s="136" t="s">
        <v>284</v>
      </c>
      <c r="EL240" s="136" t="s">
        <v>83</v>
      </c>
      <c r="EP240" s="16" t="s">
        <v>282</v>
      </c>
      <c r="EV240" s="137">
        <f>IF(DE240="základní",J240,0)</f>
        <v>19119.23</v>
      </c>
      <c r="EW240" s="137">
        <f>IF(DE240="snížená",J240,0)</f>
        <v>0</v>
      </c>
      <c r="EX240" s="137">
        <f>IF(DE240="zákl. přenesená",J240,0)</f>
        <v>0</v>
      </c>
      <c r="EY240" s="137">
        <f>IF(DE240="sníž. přenesená",J240,0)</f>
        <v>0</v>
      </c>
      <c r="EZ240" s="137">
        <f>IF(DE240="nulová",J240,0)</f>
        <v>0</v>
      </c>
      <c r="FA240" s="16" t="s">
        <v>81</v>
      </c>
      <c r="FB240" s="137">
        <f>ROUND(I240*H240,2)</f>
        <v>19119.23</v>
      </c>
      <c r="FC240" s="16" t="s">
        <v>95</v>
      </c>
      <c r="FD240" s="136" t="s">
        <v>2247</v>
      </c>
    </row>
    <row r="241" spans="2:160" s="1" customFormat="1" ht="19.5" x14ac:dyDescent="0.2">
      <c r="B241" s="31"/>
      <c r="D241" s="138" t="s">
        <v>289</v>
      </c>
      <c r="F241" s="139" t="s">
        <v>1909</v>
      </c>
      <c r="I241" s="140"/>
      <c r="L241" s="31"/>
      <c r="N241" s="213"/>
      <c r="O241" s="214"/>
      <c r="Q241" s="229"/>
      <c r="DD241" s="141"/>
      <c r="DK241" s="50"/>
      <c r="EK241" s="16" t="s">
        <v>289</v>
      </c>
      <c r="EL241" s="16" t="s">
        <v>83</v>
      </c>
    </row>
    <row r="242" spans="2:160" s="1" customFormat="1" ht="19.5" x14ac:dyDescent="0.2">
      <c r="B242" s="31"/>
      <c r="D242" s="138" t="s">
        <v>299</v>
      </c>
      <c r="F242" s="142" t="s">
        <v>2208</v>
      </c>
      <c r="I242" s="140"/>
      <c r="L242" s="31"/>
      <c r="N242" s="213"/>
      <c r="O242" s="214"/>
      <c r="Q242" s="229"/>
      <c r="DD242" s="141"/>
      <c r="DK242" s="50"/>
      <c r="EK242" s="16" t="s">
        <v>299</v>
      </c>
      <c r="EL242" s="16" t="s">
        <v>83</v>
      </c>
    </row>
    <row r="243" spans="2:160" s="12" customFormat="1" x14ac:dyDescent="0.2">
      <c r="B243" s="149"/>
      <c r="D243" s="138" t="s">
        <v>301</v>
      </c>
      <c r="E243" s="150" t="s">
        <v>1</v>
      </c>
      <c r="F243" s="151" t="s">
        <v>2248</v>
      </c>
      <c r="H243" s="152">
        <v>6.5</v>
      </c>
      <c r="I243" s="153"/>
      <c r="L243" s="149"/>
      <c r="N243" s="217"/>
      <c r="O243" s="218"/>
      <c r="Q243" s="231"/>
      <c r="DD243" s="154"/>
      <c r="DK243" s="155"/>
      <c r="EK243" s="150" t="s">
        <v>301</v>
      </c>
      <c r="EL243" s="150" t="s">
        <v>83</v>
      </c>
      <c r="EM243" s="12" t="s">
        <v>83</v>
      </c>
      <c r="EN243" s="12" t="s">
        <v>32</v>
      </c>
      <c r="EO243" s="12" t="s">
        <v>81</v>
      </c>
      <c r="EP243" s="150" t="s">
        <v>282</v>
      </c>
    </row>
    <row r="244" spans="2:160" s="1" customFormat="1" ht="24.2" customHeight="1" x14ac:dyDescent="0.2">
      <c r="B244" s="124"/>
      <c r="C244" s="125" t="s">
        <v>482</v>
      </c>
      <c r="D244" s="125" t="s">
        <v>284</v>
      </c>
      <c r="E244" s="126" t="s">
        <v>1912</v>
      </c>
      <c r="F244" s="127" t="s">
        <v>1913</v>
      </c>
      <c r="G244" s="128" t="s">
        <v>366</v>
      </c>
      <c r="H244" s="129">
        <v>0.5</v>
      </c>
      <c r="I244" s="130">
        <v>5294.7542038360798</v>
      </c>
      <c r="J244" s="131">
        <f>ROUND(I244*H244,2)</f>
        <v>2647.38</v>
      </c>
      <c r="K244" s="127" t="s">
        <v>1</v>
      </c>
      <c r="L244" s="268">
        <f>S244</f>
        <v>0</v>
      </c>
      <c r="M244" s="272">
        <f>ROUND(L244*I244,2)</f>
        <v>0</v>
      </c>
      <c r="N244" s="243"/>
      <c r="O244" s="294">
        <f>ROUND(N244*I244,2)</f>
        <v>0</v>
      </c>
      <c r="P244" s="273">
        <f>H244-L244-N244</f>
        <v>0.5</v>
      </c>
      <c r="Q244" s="287">
        <f>ROUND(P244*I244,2)</f>
        <v>2647.38</v>
      </c>
      <c r="R244" s="137"/>
      <c r="S244" s="269">
        <f>W244+Y244+AA244+AC244+AE244+AG244+AI244</f>
        <v>0</v>
      </c>
      <c r="T244" s="269">
        <f>ROUND(S244*I244,2)</f>
        <v>0</v>
      </c>
      <c r="U244" s="269">
        <f>H244-S244</f>
        <v>0.5</v>
      </c>
      <c r="V244" s="269">
        <f>ROUND(U244*I244,2)</f>
        <v>2647.38</v>
      </c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DD244" s="132" t="s">
        <v>1</v>
      </c>
      <c r="DE244" s="133" t="s">
        <v>40</v>
      </c>
      <c r="DG244" s="134">
        <f>DF244*H244</f>
        <v>0</v>
      </c>
      <c r="DH244" s="134">
        <v>2.2563399999999998</v>
      </c>
      <c r="DI244" s="134">
        <f>DH244*H244</f>
        <v>1.1281699999999999</v>
      </c>
      <c r="DJ244" s="134">
        <v>0</v>
      </c>
      <c r="DK244" s="135">
        <f>DJ244*H244</f>
        <v>0</v>
      </c>
      <c r="EI244" s="136" t="s">
        <v>95</v>
      </c>
      <c r="EK244" s="136" t="s">
        <v>284</v>
      </c>
      <c r="EL244" s="136" t="s">
        <v>83</v>
      </c>
      <c r="EP244" s="16" t="s">
        <v>282</v>
      </c>
      <c r="EV244" s="137">
        <f>IF(DE244="základní",J244,0)</f>
        <v>2647.38</v>
      </c>
      <c r="EW244" s="137">
        <f>IF(DE244="snížená",J244,0)</f>
        <v>0</v>
      </c>
      <c r="EX244" s="137">
        <f>IF(DE244="zákl. přenesená",J244,0)</f>
        <v>0</v>
      </c>
      <c r="EY244" s="137">
        <f>IF(DE244="sníž. přenesená",J244,0)</f>
        <v>0</v>
      </c>
      <c r="EZ244" s="137">
        <f>IF(DE244="nulová",J244,0)</f>
        <v>0</v>
      </c>
      <c r="FA244" s="16" t="s">
        <v>81</v>
      </c>
      <c r="FB244" s="137">
        <f>ROUND(I244*H244,2)</f>
        <v>2647.38</v>
      </c>
      <c r="FC244" s="16" t="s">
        <v>95</v>
      </c>
      <c r="FD244" s="136" t="s">
        <v>2249</v>
      </c>
    </row>
    <row r="245" spans="2:160" s="1" customFormat="1" ht="19.5" x14ac:dyDescent="0.2">
      <c r="B245" s="31"/>
      <c r="D245" s="138" t="s">
        <v>289</v>
      </c>
      <c r="F245" s="139" t="s">
        <v>1915</v>
      </c>
      <c r="I245" s="140"/>
      <c r="L245" s="31"/>
      <c r="N245" s="213"/>
      <c r="O245" s="214"/>
      <c r="Q245" s="229"/>
      <c r="DD245" s="141"/>
      <c r="DK245" s="50"/>
      <c r="EK245" s="16" t="s">
        <v>289</v>
      </c>
      <c r="EL245" s="16" t="s">
        <v>83</v>
      </c>
    </row>
    <row r="246" spans="2:160" s="1" customFormat="1" ht="19.5" x14ac:dyDescent="0.2">
      <c r="B246" s="31"/>
      <c r="D246" s="138" t="s">
        <v>299</v>
      </c>
      <c r="F246" s="142" t="s">
        <v>2208</v>
      </c>
      <c r="I246" s="140"/>
      <c r="L246" s="31"/>
      <c r="N246" s="213"/>
      <c r="O246" s="214"/>
      <c r="Q246" s="229"/>
      <c r="DD246" s="141"/>
      <c r="DK246" s="50"/>
      <c r="EK246" s="16" t="s">
        <v>299</v>
      </c>
      <c r="EL246" s="16" t="s">
        <v>83</v>
      </c>
    </row>
    <row r="247" spans="2:160" s="12" customFormat="1" x14ac:dyDescent="0.2">
      <c r="B247" s="149"/>
      <c r="D247" s="138" t="s">
        <v>301</v>
      </c>
      <c r="E247" s="150" t="s">
        <v>1</v>
      </c>
      <c r="F247" s="151" t="s">
        <v>1916</v>
      </c>
      <c r="H247" s="152">
        <v>0.5</v>
      </c>
      <c r="I247" s="153"/>
      <c r="L247" s="149"/>
      <c r="N247" s="217"/>
      <c r="O247" s="218"/>
      <c r="Q247" s="231"/>
      <c r="DD247" s="154"/>
      <c r="DK247" s="155"/>
      <c r="EK247" s="150" t="s">
        <v>301</v>
      </c>
      <c r="EL247" s="150" t="s">
        <v>83</v>
      </c>
      <c r="EM247" s="12" t="s">
        <v>83</v>
      </c>
      <c r="EN247" s="12" t="s">
        <v>32</v>
      </c>
      <c r="EO247" s="12" t="s">
        <v>81</v>
      </c>
      <c r="EP247" s="150" t="s">
        <v>282</v>
      </c>
    </row>
    <row r="248" spans="2:160" s="1" customFormat="1" ht="24.2" customHeight="1" x14ac:dyDescent="0.2">
      <c r="B248" s="124"/>
      <c r="C248" s="125" t="s">
        <v>489</v>
      </c>
      <c r="D248" s="125" t="s">
        <v>284</v>
      </c>
      <c r="E248" s="126" t="s">
        <v>1917</v>
      </c>
      <c r="F248" s="127" t="s">
        <v>1918</v>
      </c>
      <c r="G248" s="128" t="s">
        <v>418</v>
      </c>
      <c r="H248" s="129">
        <v>3.2290000000000001</v>
      </c>
      <c r="I248" s="130">
        <v>14500.670050413</v>
      </c>
      <c r="J248" s="131">
        <f>ROUND(I248*H248,2)</f>
        <v>46822.66</v>
      </c>
      <c r="K248" s="127" t="s">
        <v>293</v>
      </c>
      <c r="L248" s="268">
        <f>S248</f>
        <v>0</v>
      </c>
      <c r="M248" s="272">
        <f>ROUND(L248*I248,2)</f>
        <v>0</v>
      </c>
      <c r="N248" s="243"/>
      <c r="O248" s="294">
        <f>ROUND(N248*I248,2)</f>
        <v>0</v>
      </c>
      <c r="P248" s="273">
        <f>H248-L248-N248</f>
        <v>3.2290000000000001</v>
      </c>
      <c r="Q248" s="287">
        <f>ROUND(P248*I248,2)</f>
        <v>46822.66</v>
      </c>
      <c r="R248" s="137"/>
      <c r="S248" s="269">
        <f>W248+Y248+AA248+AC248+AE248+AG248+AI248</f>
        <v>0</v>
      </c>
      <c r="T248" s="269">
        <f>ROUND(S248*I248,2)</f>
        <v>0</v>
      </c>
      <c r="U248" s="269">
        <f>H248-S248</f>
        <v>3.2290000000000001</v>
      </c>
      <c r="V248" s="269">
        <f>ROUND(U248*I248,2)</f>
        <v>46822.66</v>
      </c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DD248" s="132" t="s">
        <v>1</v>
      </c>
      <c r="DE248" s="133" t="s">
        <v>40</v>
      </c>
      <c r="DG248" s="134">
        <f>DF248*H248</f>
        <v>0</v>
      </c>
      <c r="DH248" s="134">
        <v>9.9510000000000001E-2</v>
      </c>
      <c r="DI248" s="134">
        <f>DH248*H248</f>
        <v>0.32131778999999999</v>
      </c>
      <c r="DJ248" s="134">
        <v>0</v>
      </c>
      <c r="DK248" s="135">
        <f>DJ248*H248</f>
        <v>0</v>
      </c>
      <c r="EI248" s="136" t="s">
        <v>95</v>
      </c>
      <c r="EK248" s="136" t="s">
        <v>284</v>
      </c>
      <c r="EL248" s="136" t="s">
        <v>83</v>
      </c>
      <c r="EP248" s="16" t="s">
        <v>282</v>
      </c>
      <c r="EV248" s="137">
        <f>IF(DE248="základní",J248,0)</f>
        <v>46822.66</v>
      </c>
      <c r="EW248" s="137">
        <f>IF(DE248="snížená",J248,0)</f>
        <v>0</v>
      </c>
      <c r="EX248" s="137">
        <f>IF(DE248="zákl. přenesená",J248,0)</f>
        <v>0</v>
      </c>
      <c r="EY248" s="137">
        <f>IF(DE248="sníž. přenesená",J248,0)</f>
        <v>0</v>
      </c>
      <c r="EZ248" s="137">
        <f>IF(DE248="nulová",J248,0)</f>
        <v>0</v>
      </c>
      <c r="FA248" s="16" t="s">
        <v>81</v>
      </c>
      <c r="FB248" s="137">
        <f>ROUND(I248*H248,2)</f>
        <v>46822.66</v>
      </c>
      <c r="FC248" s="16" t="s">
        <v>95</v>
      </c>
      <c r="FD248" s="136" t="s">
        <v>2250</v>
      </c>
    </row>
    <row r="249" spans="2:160" s="1" customFormat="1" ht="19.5" x14ac:dyDescent="0.2">
      <c r="B249" s="31"/>
      <c r="D249" s="138" t="s">
        <v>289</v>
      </c>
      <c r="F249" s="139" t="s">
        <v>1920</v>
      </c>
      <c r="I249" s="140"/>
      <c r="L249" s="31"/>
      <c r="N249" s="213"/>
      <c r="O249" s="214"/>
      <c r="Q249" s="229"/>
      <c r="DD249" s="141"/>
      <c r="DK249" s="50"/>
      <c r="EK249" s="16" t="s">
        <v>289</v>
      </c>
      <c r="EL249" s="16" t="s">
        <v>83</v>
      </c>
    </row>
    <row r="250" spans="2:160" s="1" customFormat="1" ht="19.5" x14ac:dyDescent="0.2">
      <c r="B250" s="31"/>
      <c r="D250" s="138" t="s">
        <v>299</v>
      </c>
      <c r="F250" s="142" t="s">
        <v>2137</v>
      </c>
      <c r="I250" s="140"/>
      <c r="L250" s="31"/>
      <c r="N250" s="213"/>
      <c r="O250" s="214"/>
      <c r="Q250" s="229"/>
      <c r="DD250" s="141"/>
      <c r="DK250" s="50"/>
      <c r="EK250" s="16" t="s">
        <v>299</v>
      </c>
      <c r="EL250" s="16" t="s">
        <v>83</v>
      </c>
    </row>
    <row r="251" spans="2:160" s="12" customFormat="1" x14ac:dyDescent="0.2">
      <c r="B251" s="149"/>
      <c r="D251" s="138" t="s">
        <v>301</v>
      </c>
      <c r="E251" s="150" t="s">
        <v>1</v>
      </c>
      <c r="F251" s="151" t="s">
        <v>2251</v>
      </c>
      <c r="H251" s="152">
        <v>3.2290000000000001</v>
      </c>
      <c r="I251" s="153"/>
      <c r="L251" s="149"/>
      <c r="N251" s="217"/>
      <c r="O251" s="218"/>
      <c r="Q251" s="231"/>
      <c r="DD251" s="154"/>
      <c r="DK251" s="155"/>
      <c r="EK251" s="150" t="s">
        <v>301</v>
      </c>
      <c r="EL251" s="150" t="s">
        <v>83</v>
      </c>
      <c r="EM251" s="12" t="s">
        <v>83</v>
      </c>
      <c r="EN251" s="12" t="s">
        <v>32</v>
      </c>
      <c r="EO251" s="12" t="s">
        <v>81</v>
      </c>
      <c r="EP251" s="150" t="s">
        <v>282</v>
      </c>
    </row>
    <row r="252" spans="2:160" s="1" customFormat="1" ht="14.45" customHeight="1" x14ac:dyDescent="0.2">
      <c r="B252" s="124"/>
      <c r="C252" s="170" t="s">
        <v>493</v>
      </c>
      <c r="D252" s="170" t="s">
        <v>439</v>
      </c>
      <c r="E252" s="171" t="s">
        <v>1922</v>
      </c>
      <c r="F252" s="172" t="s">
        <v>1923</v>
      </c>
      <c r="G252" s="173" t="s">
        <v>418</v>
      </c>
      <c r="H252" s="174">
        <v>3.2290000000000001</v>
      </c>
      <c r="I252" s="175">
        <v>30353.72192</v>
      </c>
      <c r="J252" s="176">
        <f>ROUND(I252*H252,2)</f>
        <v>98012.17</v>
      </c>
      <c r="K252" s="172" t="s">
        <v>293</v>
      </c>
      <c r="L252" s="268">
        <f>S252</f>
        <v>0</v>
      </c>
      <c r="M252" s="272">
        <f>ROUND(L252*I252,2)</f>
        <v>0</v>
      </c>
      <c r="N252" s="243"/>
      <c r="O252" s="294">
        <f>ROUND(N252*I252,2)</f>
        <v>0</v>
      </c>
      <c r="P252" s="273">
        <f>H252-L252-N252</f>
        <v>3.2290000000000001</v>
      </c>
      <c r="Q252" s="287">
        <f>ROUND(P252*I252,2)</f>
        <v>98012.17</v>
      </c>
      <c r="R252" s="137"/>
      <c r="S252" s="269">
        <f>W252+Y252+AA252+AC252+AE252+AG252+AI252</f>
        <v>0</v>
      </c>
      <c r="T252" s="269">
        <f>ROUND(S252*I252,2)</f>
        <v>0</v>
      </c>
      <c r="U252" s="269">
        <f>H252-S252</f>
        <v>3.2290000000000001</v>
      </c>
      <c r="V252" s="269">
        <f>ROUND(U252*I252,2)</f>
        <v>98012.17</v>
      </c>
      <c r="W252" s="290"/>
      <c r="X252" s="290"/>
      <c r="Y252" s="290"/>
      <c r="Z252" s="290"/>
      <c r="AA252" s="290"/>
      <c r="AB252" s="290"/>
      <c r="AC252" s="290"/>
      <c r="AD252" s="290"/>
      <c r="AE252" s="290"/>
      <c r="AF252" s="290"/>
      <c r="AG252" s="290"/>
      <c r="AH252" s="290"/>
      <c r="AI252" s="290"/>
      <c r="AJ252" s="290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77" t="s">
        <v>1</v>
      </c>
      <c r="DE252" s="178" t="s">
        <v>40</v>
      </c>
      <c r="DG252" s="134">
        <f>DF252*H252</f>
        <v>0</v>
      </c>
      <c r="DH252" s="134">
        <v>1</v>
      </c>
      <c r="DI252" s="134">
        <f>DH252*H252</f>
        <v>3.2290000000000001</v>
      </c>
      <c r="DJ252" s="134">
        <v>0</v>
      </c>
      <c r="DK252" s="135">
        <f>DJ252*H252</f>
        <v>0</v>
      </c>
      <c r="EI252" s="136" t="s">
        <v>328</v>
      </c>
      <c r="EK252" s="136" t="s">
        <v>439</v>
      </c>
      <c r="EL252" s="136" t="s">
        <v>83</v>
      </c>
      <c r="EP252" s="16" t="s">
        <v>282</v>
      </c>
      <c r="EV252" s="137">
        <f>IF(DE252="základní",J252,0)</f>
        <v>98012.17</v>
      </c>
      <c r="EW252" s="137">
        <f>IF(DE252="snížená",J252,0)</f>
        <v>0</v>
      </c>
      <c r="EX252" s="137">
        <f>IF(DE252="zákl. přenesená",J252,0)</f>
        <v>0</v>
      </c>
      <c r="EY252" s="137">
        <f>IF(DE252="sníž. přenesená",J252,0)</f>
        <v>0</v>
      </c>
      <c r="EZ252" s="137">
        <f>IF(DE252="nulová",J252,0)</f>
        <v>0</v>
      </c>
      <c r="FA252" s="16" t="s">
        <v>81</v>
      </c>
      <c r="FB252" s="137">
        <f>ROUND(I252*H252,2)</f>
        <v>98012.17</v>
      </c>
      <c r="FC252" s="16" t="s">
        <v>95</v>
      </c>
      <c r="FD252" s="136" t="s">
        <v>2252</v>
      </c>
    </row>
    <row r="253" spans="2:160" s="1" customFormat="1" x14ac:dyDescent="0.2">
      <c r="B253" s="31"/>
      <c r="D253" s="138" t="s">
        <v>289</v>
      </c>
      <c r="F253" s="139" t="s">
        <v>1923</v>
      </c>
      <c r="I253" s="140"/>
      <c r="L253" s="31"/>
      <c r="N253" s="213"/>
      <c r="O253" s="214"/>
      <c r="Q253" s="229"/>
      <c r="DD253" s="141"/>
      <c r="DK253" s="50"/>
      <c r="EK253" s="16" t="s">
        <v>289</v>
      </c>
      <c r="EL253" s="16" t="s">
        <v>83</v>
      </c>
    </row>
    <row r="254" spans="2:160" s="1" customFormat="1" ht="24.2" customHeight="1" x14ac:dyDescent="0.2">
      <c r="B254" s="124"/>
      <c r="C254" s="125" t="s">
        <v>497</v>
      </c>
      <c r="D254" s="125" t="s">
        <v>284</v>
      </c>
      <c r="E254" s="126" t="s">
        <v>1925</v>
      </c>
      <c r="F254" s="127" t="s">
        <v>1926</v>
      </c>
      <c r="G254" s="128" t="s">
        <v>418</v>
      </c>
      <c r="H254" s="129">
        <v>3.2290000000000001</v>
      </c>
      <c r="I254" s="130">
        <v>4765.1989558198602</v>
      </c>
      <c r="J254" s="131">
        <f>ROUND(I254*H254,2)</f>
        <v>15386.83</v>
      </c>
      <c r="K254" s="127" t="s">
        <v>293</v>
      </c>
      <c r="L254" s="268">
        <f>S254</f>
        <v>0</v>
      </c>
      <c r="M254" s="272">
        <f>ROUND(L254*I254,2)</f>
        <v>0</v>
      </c>
      <c r="N254" s="243"/>
      <c r="O254" s="294">
        <f>ROUND(N254*I254,2)</f>
        <v>0</v>
      </c>
      <c r="P254" s="273">
        <f>H254-L254-N254</f>
        <v>3.2290000000000001</v>
      </c>
      <c r="Q254" s="287">
        <f>ROUND(P254*I254,2)</f>
        <v>15386.83</v>
      </c>
      <c r="R254" s="137"/>
      <c r="S254" s="269">
        <f>W254+Y254+AA254+AC254+AE254+AG254+AI254</f>
        <v>0</v>
      </c>
      <c r="T254" s="269">
        <f>ROUND(S254*I254,2)</f>
        <v>0</v>
      </c>
      <c r="U254" s="269">
        <f>H254-S254</f>
        <v>3.2290000000000001</v>
      </c>
      <c r="V254" s="269">
        <f>ROUND(U254*I254,2)</f>
        <v>15386.83</v>
      </c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DD254" s="132" t="s">
        <v>1</v>
      </c>
      <c r="DE254" s="133" t="s">
        <v>40</v>
      </c>
      <c r="DG254" s="134">
        <f>DF254*H254</f>
        <v>0</v>
      </c>
      <c r="DH254" s="134">
        <v>0</v>
      </c>
      <c r="DI254" s="134">
        <f>DH254*H254</f>
        <v>0</v>
      </c>
      <c r="DJ254" s="134">
        <v>0</v>
      </c>
      <c r="DK254" s="135">
        <f>DJ254*H254</f>
        <v>0</v>
      </c>
      <c r="EI254" s="136" t="s">
        <v>95</v>
      </c>
      <c r="EK254" s="136" t="s">
        <v>284</v>
      </c>
      <c r="EL254" s="136" t="s">
        <v>83</v>
      </c>
      <c r="EP254" s="16" t="s">
        <v>282</v>
      </c>
      <c r="EV254" s="137">
        <f>IF(DE254="základní",J254,0)</f>
        <v>15386.83</v>
      </c>
      <c r="EW254" s="137">
        <f>IF(DE254="snížená",J254,0)</f>
        <v>0</v>
      </c>
      <c r="EX254" s="137">
        <f>IF(DE254="zákl. přenesená",J254,0)</f>
        <v>0</v>
      </c>
      <c r="EY254" s="137">
        <f>IF(DE254="sníž. přenesená",J254,0)</f>
        <v>0</v>
      </c>
      <c r="EZ254" s="137">
        <f>IF(DE254="nulová",J254,0)</f>
        <v>0</v>
      </c>
      <c r="FA254" s="16" t="s">
        <v>81</v>
      </c>
      <c r="FB254" s="137">
        <f>ROUND(I254*H254,2)</f>
        <v>15386.83</v>
      </c>
      <c r="FC254" s="16" t="s">
        <v>95</v>
      </c>
      <c r="FD254" s="136" t="s">
        <v>2253</v>
      </c>
    </row>
    <row r="255" spans="2:160" s="1" customFormat="1" ht="19.5" x14ac:dyDescent="0.2">
      <c r="B255" s="31"/>
      <c r="D255" s="138" t="s">
        <v>289</v>
      </c>
      <c r="F255" s="139" t="s">
        <v>1928</v>
      </c>
      <c r="I255" s="140"/>
      <c r="L255" s="31"/>
      <c r="N255" s="213"/>
      <c r="O255" s="214"/>
      <c r="Q255" s="229"/>
      <c r="DD255" s="141"/>
      <c r="DK255" s="50"/>
      <c r="EK255" s="16" t="s">
        <v>289</v>
      </c>
      <c r="EL255" s="16" t="s">
        <v>83</v>
      </c>
    </row>
    <row r="256" spans="2:160" s="10" customFormat="1" ht="22.9" customHeight="1" x14ac:dyDescent="0.2">
      <c r="B256" s="112"/>
      <c r="D256" s="113" t="s">
        <v>73</v>
      </c>
      <c r="E256" s="122" t="s">
        <v>95</v>
      </c>
      <c r="F256" s="122" t="s">
        <v>469</v>
      </c>
      <c r="I256" s="115"/>
      <c r="J256" s="123">
        <f>FB256</f>
        <v>4812.2299999999996</v>
      </c>
      <c r="L256" s="112"/>
      <c r="M256" s="270">
        <f>M257+M262</f>
        <v>0</v>
      </c>
      <c r="N256" s="301"/>
      <c r="O256" s="302">
        <f t="shared" ref="O256:V256" si="4">O257+O262</f>
        <v>0</v>
      </c>
      <c r="P256" s="270"/>
      <c r="Q256" s="288">
        <f t="shared" si="4"/>
        <v>4812.2299999999996</v>
      </c>
      <c r="R256" s="270"/>
      <c r="S256" s="270"/>
      <c r="T256" s="270">
        <f t="shared" si="4"/>
        <v>0</v>
      </c>
      <c r="U256" s="270"/>
      <c r="V256" s="270">
        <f t="shared" si="4"/>
        <v>4812.2299999999996</v>
      </c>
      <c r="DD256" s="117"/>
      <c r="DG256" s="118">
        <f>SUM(DG257:DG265)</f>
        <v>0</v>
      </c>
      <c r="DI256" s="118">
        <f>SUM(DI257:DI265)</f>
        <v>2.3941177099999997</v>
      </c>
      <c r="DK256" s="119">
        <f>SUM(DK257:DK265)</f>
        <v>0</v>
      </c>
      <c r="EI256" s="113" t="s">
        <v>81</v>
      </c>
      <c r="EK256" s="120" t="s">
        <v>73</v>
      </c>
      <c r="EL256" s="120" t="s">
        <v>81</v>
      </c>
      <c r="EP256" s="113" t="s">
        <v>282</v>
      </c>
      <c r="FB256" s="121">
        <f>SUM(FB257:FB265)</f>
        <v>4812.2299999999996</v>
      </c>
    </row>
    <row r="257" spans="2:160" s="1" customFormat="1" ht="14.45" customHeight="1" x14ac:dyDescent="0.2">
      <c r="B257" s="124"/>
      <c r="C257" s="125" t="s">
        <v>501</v>
      </c>
      <c r="D257" s="125" t="s">
        <v>284</v>
      </c>
      <c r="E257" s="126" t="s">
        <v>1929</v>
      </c>
      <c r="F257" s="127" t="s">
        <v>1930</v>
      </c>
      <c r="G257" s="128" t="s">
        <v>366</v>
      </c>
      <c r="H257" s="129">
        <v>0.95199999999999996</v>
      </c>
      <c r="I257" s="130">
        <v>3431.8783609800612</v>
      </c>
      <c r="J257" s="131">
        <f>ROUND(I257*H257,2)</f>
        <v>3267.15</v>
      </c>
      <c r="K257" s="127" t="s">
        <v>293</v>
      </c>
      <c r="L257" s="268">
        <f>S257</f>
        <v>0</v>
      </c>
      <c r="M257" s="272">
        <f>ROUND(L257*I257,2)</f>
        <v>0</v>
      </c>
      <c r="N257" s="243"/>
      <c r="O257" s="294">
        <f>ROUND(N257*I257,2)</f>
        <v>0</v>
      </c>
      <c r="P257" s="273">
        <f>H257-L257-N257</f>
        <v>0.95199999999999996</v>
      </c>
      <c r="Q257" s="287">
        <f>ROUND(P257*I257,2)</f>
        <v>3267.15</v>
      </c>
      <c r="R257" s="137"/>
      <c r="S257" s="269">
        <f>W257+Y257+AA257+AC257+AE257+AG257+AI257</f>
        <v>0</v>
      </c>
      <c r="T257" s="269">
        <f>ROUND(S257*I257,2)</f>
        <v>0</v>
      </c>
      <c r="U257" s="269">
        <f>H257-S257</f>
        <v>0.95199999999999996</v>
      </c>
      <c r="V257" s="269">
        <f>ROUND(U257*I257,2)</f>
        <v>3267.15</v>
      </c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DD257" s="132" t="s">
        <v>1</v>
      </c>
      <c r="DE257" s="133" t="s">
        <v>40</v>
      </c>
      <c r="DG257" s="134">
        <f>DF257*H257</f>
        <v>0</v>
      </c>
      <c r="DH257" s="134">
        <v>2.45343</v>
      </c>
      <c r="DI257" s="134">
        <f>DH257*H257</f>
        <v>2.3356653599999997</v>
      </c>
      <c r="DJ257" s="134">
        <v>0</v>
      </c>
      <c r="DK257" s="135">
        <f>DJ257*H257</f>
        <v>0</v>
      </c>
      <c r="EI257" s="136" t="s">
        <v>95</v>
      </c>
      <c r="EK257" s="136" t="s">
        <v>284</v>
      </c>
      <c r="EL257" s="136" t="s">
        <v>83</v>
      </c>
      <c r="EP257" s="16" t="s">
        <v>282</v>
      </c>
      <c r="EV257" s="137">
        <f>IF(DE257="základní",J257,0)</f>
        <v>3267.15</v>
      </c>
      <c r="EW257" s="137">
        <f>IF(DE257="snížená",J257,0)</f>
        <v>0</v>
      </c>
      <c r="EX257" s="137">
        <f>IF(DE257="zákl. přenesená",J257,0)</f>
        <v>0</v>
      </c>
      <c r="EY257" s="137">
        <f>IF(DE257="sníž. přenesená",J257,0)</f>
        <v>0</v>
      </c>
      <c r="EZ257" s="137">
        <f>IF(DE257="nulová",J257,0)</f>
        <v>0</v>
      </c>
      <c r="FA257" s="16" t="s">
        <v>81</v>
      </c>
      <c r="FB257" s="137">
        <f>ROUND(I257*H257,2)</f>
        <v>3267.15</v>
      </c>
      <c r="FC257" s="16" t="s">
        <v>95</v>
      </c>
      <c r="FD257" s="136" t="s">
        <v>2254</v>
      </c>
    </row>
    <row r="258" spans="2:160" s="1" customFormat="1" ht="29.25" x14ac:dyDescent="0.2">
      <c r="B258" s="31"/>
      <c r="D258" s="138" t="s">
        <v>289</v>
      </c>
      <c r="F258" s="139" t="s">
        <v>1932</v>
      </c>
      <c r="I258" s="140"/>
      <c r="L258" s="31"/>
      <c r="N258" s="213"/>
      <c r="O258" s="214"/>
      <c r="Q258" s="229"/>
      <c r="DD258" s="141"/>
      <c r="DK258" s="50"/>
      <c r="EK258" s="16" t="s">
        <v>289</v>
      </c>
      <c r="EL258" s="16" t="s">
        <v>83</v>
      </c>
    </row>
    <row r="259" spans="2:160" s="1" customFormat="1" ht="19.5" x14ac:dyDescent="0.2">
      <c r="B259" s="31"/>
      <c r="D259" s="138" t="s">
        <v>299</v>
      </c>
      <c r="F259" s="142" t="s">
        <v>2208</v>
      </c>
      <c r="I259" s="140"/>
      <c r="L259" s="31"/>
      <c r="N259" s="213"/>
      <c r="O259" s="214"/>
      <c r="Q259" s="229"/>
      <c r="DD259" s="141"/>
      <c r="DK259" s="50"/>
      <c r="EK259" s="16" t="s">
        <v>299</v>
      </c>
      <c r="EL259" s="16" t="s">
        <v>83</v>
      </c>
    </row>
    <row r="260" spans="2:160" s="11" customFormat="1" x14ac:dyDescent="0.2">
      <c r="B260" s="143"/>
      <c r="D260" s="138" t="s">
        <v>301</v>
      </c>
      <c r="E260" s="144" t="s">
        <v>1</v>
      </c>
      <c r="F260" s="145" t="s">
        <v>1933</v>
      </c>
      <c r="H260" s="144" t="s">
        <v>1</v>
      </c>
      <c r="I260" s="146"/>
      <c r="L260" s="143"/>
      <c r="N260" s="215"/>
      <c r="O260" s="216"/>
      <c r="Q260" s="230"/>
      <c r="DD260" s="147"/>
      <c r="DK260" s="148"/>
      <c r="EK260" s="144" t="s">
        <v>301</v>
      </c>
      <c r="EL260" s="144" t="s">
        <v>83</v>
      </c>
      <c r="EM260" s="11" t="s">
        <v>81</v>
      </c>
      <c r="EN260" s="11" t="s">
        <v>32</v>
      </c>
      <c r="EO260" s="11" t="s">
        <v>74</v>
      </c>
      <c r="EP260" s="144" t="s">
        <v>282</v>
      </c>
    </row>
    <row r="261" spans="2:160" s="12" customFormat="1" x14ac:dyDescent="0.2">
      <c r="B261" s="149"/>
      <c r="D261" s="138" t="s">
        <v>301</v>
      </c>
      <c r="E261" s="150" t="s">
        <v>1</v>
      </c>
      <c r="F261" s="151" t="s">
        <v>1934</v>
      </c>
      <c r="H261" s="152">
        <v>0.95199999999999996</v>
      </c>
      <c r="I261" s="153"/>
      <c r="L261" s="149"/>
      <c r="N261" s="217"/>
      <c r="O261" s="218"/>
      <c r="Q261" s="231"/>
      <c r="DD261" s="154"/>
      <c r="DK261" s="155"/>
      <c r="EK261" s="150" t="s">
        <v>301</v>
      </c>
      <c r="EL261" s="150" t="s">
        <v>83</v>
      </c>
      <c r="EM261" s="12" t="s">
        <v>83</v>
      </c>
      <c r="EN261" s="12" t="s">
        <v>32</v>
      </c>
      <c r="EO261" s="12" t="s">
        <v>81</v>
      </c>
      <c r="EP261" s="150" t="s">
        <v>282</v>
      </c>
    </row>
    <row r="262" spans="2:160" s="1" customFormat="1" ht="14.45" customHeight="1" x14ac:dyDescent="0.2">
      <c r="B262" s="124"/>
      <c r="C262" s="125" t="s">
        <v>505</v>
      </c>
      <c r="D262" s="125" t="s">
        <v>284</v>
      </c>
      <c r="E262" s="126" t="s">
        <v>1935</v>
      </c>
      <c r="F262" s="127" t="s">
        <v>1936</v>
      </c>
      <c r="G262" s="128" t="s">
        <v>418</v>
      </c>
      <c r="H262" s="129">
        <v>5.5E-2</v>
      </c>
      <c r="I262" s="130">
        <v>28092.34584524966</v>
      </c>
      <c r="J262" s="131">
        <f>ROUND(I262*H262,2)</f>
        <v>1545.08</v>
      </c>
      <c r="K262" s="127" t="s">
        <v>293</v>
      </c>
      <c r="L262" s="268">
        <f>S262</f>
        <v>0</v>
      </c>
      <c r="M262" s="272">
        <f>ROUND(L262*I262,2)</f>
        <v>0</v>
      </c>
      <c r="N262" s="243"/>
      <c r="O262" s="294">
        <f>ROUND(N262*I262,2)</f>
        <v>0</v>
      </c>
      <c r="P262" s="273">
        <f>H262-L262-N262</f>
        <v>5.5E-2</v>
      </c>
      <c r="Q262" s="287">
        <f>ROUND(P262*I262,2)</f>
        <v>1545.08</v>
      </c>
      <c r="R262" s="137"/>
      <c r="S262" s="269">
        <f>W262+Y262+AA262+AC262+AE262+AG262+AI262</f>
        <v>0</v>
      </c>
      <c r="T262" s="269">
        <f>ROUND(S262*I262,2)</f>
        <v>0</v>
      </c>
      <c r="U262" s="269">
        <f>H262-S262</f>
        <v>5.5E-2</v>
      </c>
      <c r="V262" s="269">
        <f>ROUND(U262*I262,2)</f>
        <v>1545.08</v>
      </c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DD262" s="132" t="s">
        <v>1</v>
      </c>
      <c r="DE262" s="133" t="s">
        <v>40</v>
      </c>
      <c r="DG262" s="134">
        <f>DF262*H262</f>
        <v>0</v>
      </c>
      <c r="DH262" s="134">
        <v>1.06277</v>
      </c>
      <c r="DI262" s="134">
        <f>DH262*H262</f>
        <v>5.845235E-2</v>
      </c>
      <c r="DJ262" s="134">
        <v>0</v>
      </c>
      <c r="DK262" s="135">
        <f>DJ262*H262</f>
        <v>0</v>
      </c>
      <c r="EI262" s="136" t="s">
        <v>95</v>
      </c>
      <c r="EK262" s="136" t="s">
        <v>284</v>
      </c>
      <c r="EL262" s="136" t="s">
        <v>83</v>
      </c>
      <c r="EP262" s="16" t="s">
        <v>282</v>
      </c>
      <c r="EV262" s="137">
        <f>IF(DE262="základní",J262,0)</f>
        <v>1545.08</v>
      </c>
      <c r="EW262" s="137">
        <f>IF(DE262="snížená",J262,0)</f>
        <v>0</v>
      </c>
      <c r="EX262" s="137">
        <f>IF(DE262="zákl. přenesená",J262,0)</f>
        <v>0</v>
      </c>
      <c r="EY262" s="137">
        <f>IF(DE262="sníž. přenesená",J262,0)</f>
        <v>0</v>
      </c>
      <c r="EZ262" s="137">
        <f>IF(DE262="nulová",J262,0)</f>
        <v>0</v>
      </c>
      <c r="FA262" s="16" t="s">
        <v>81</v>
      </c>
      <c r="FB262" s="137">
        <f>ROUND(I262*H262,2)</f>
        <v>1545.08</v>
      </c>
      <c r="FC262" s="16" t="s">
        <v>95</v>
      </c>
      <c r="FD262" s="136" t="s">
        <v>2255</v>
      </c>
    </row>
    <row r="263" spans="2:160" s="1" customFormat="1" ht="48.75" x14ac:dyDescent="0.2">
      <c r="B263" s="31"/>
      <c r="D263" s="138" t="s">
        <v>289</v>
      </c>
      <c r="F263" s="139" t="s">
        <v>1938</v>
      </c>
      <c r="I263" s="140"/>
      <c r="L263" s="31"/>
      <c r="N263" s="213"/>
      <c r="O263" s="214"/>
      <c r="Q263" s="229"/>
      <c r="DD263" s="141"/>
      <c r="DK263" s="50"/>
      <c r="EK263" s="16" t="s">
        <v>289</v>
      </c>
      <c r="EL263" s="16" t="s">
        <v>83</v>
      </c>
    </row>
    <row r="264" spans="2:160" s="1" customFormat="1" ht="19.5" x14ac:dyDescent="0.2">
      <c r="B264" s="31"/>
      <c r="D264" s="138" t="s">
        <v>299</v>
      </c>
      <c r="F264" s="142" t="s">
        <v>2208</v>
      </c>
      <c r="I264" s="140"/>
      <c r="L264" s="31"/>
      <c r="N264" s="213"/>
      <c r="O264" s="214"/>
      <c r="Q264" s="229"/>
      <c r="DD264" s="141"/>
      <c r="DK264" s="50"/>
      <c r="EK264" s="16" t="s">
        <v>299</v>
      </c>
      <c r="EL264" s="16" t="s">
        <v>83</v>
      </c>
    </row>
    <row r="265" spans="2:160" s="12" customFormat="1" x14ac:dyDescent="0.2">
      <c r="B265" s="149"/>
      <c r="D265" s="138" t="s">
        <v>301</v>
      </c>
      <c r="E265" s="150" t="s">
        <v>1</v>
      </c>
      <c r="F265" s="151" t="s">
        <v>1939</v>
      </c>
      <c r="H265" s="152">
        <v>5.5E-2</v>
      </c>
      <c r="I265" s="153"/>
      <c r="L265" s="149"/>
      <c r="N265" s="217"/>
      <c r="O265" s="218"/>
      <c r="Q265" s="231"/>
      <c r="DD265" s="154"/>
      <c r="DK265" s="155"/>
      <c r="EK265" s="150" t="s">
        <v>301</v>
      </c>
      <c r="EL265" s="150" t="s">
        <v>83</v>
      </c>
      <c r="EM265" s="12" t="s">
        <v>83</v>
      </c>
      <c r="EN265" s="12" t="s">
        <v>32</v>
      </c>
      <c r="EO265" s="12" t="s">
        <v>81</v>
      </c>
      <c r="EP265" s="150" t="s">
        <v>282</v>
      </c>
    </row>
    <row r="266" spans="2:160" s="10" customFormat="1" ht="22.9" customHeight="1" x14ac:dyDescent="0.2">
      <c r="B266" s="112"/>
      <c r="D266" s="113" t="s">
        <v>73</v>
      </c>
      <c r="E266" s="122" t="s">
        <v>312</v>
      </c>
      <c r="F266" s="122" t="s">
        <v>520</v>
      </c>
      <c r="I266" s="115"/>
      <c r="J266" s="123">
        <f>FB266</f>
        <v>21203.75</v>
      </c>
      <c r="L266" s="112"/>
      <c r="M266" s="270">
        <f>SUM(M267:M280)</f>
        <v>0</v>
      </c>
      <c r="N266" s="301"/>
      <c r="O266" s="302">
        <f t="shared" ref="O266:V266" si="5">SUM(O267:O280)</f>
        <v>0</v>
      </c>
      <c r="P266" s="270"/>
      <c r="Q266" s="288">
        <f t="shared" si="5"/>
        <v>21203.75</v>
      </c>
      <c r="R266" s="270"/>
      <c r="S266" s="270"/>
      <c r="T266" s="270">
        <f t="shared" si="5"/>
        <v>0</v>
      </c>
      <c r="U266" s="270"/>
      <c r="V266" s="270">
        <f t="shared" si="5"/>
        <v>21203.75</v>
      </c>
      <c r="DD266" s="117"/>
      <c r="DG266" s="118">
        <f>SUM(DG267:DG284)</f>
        <v>0</v>
      </c>
      <c r="DI266" s="118">
        <f>SUM(DI267:DI284)</f>
        <v>0</v>
      </c>
      <c r="DK266" s="119">
        <f>SUM(DK267:DK284)</f>
        <v>0</v>
      </c>
      <c r="EI266" s="113" t="s">
        <v>81</v>
      </c>
      <c r="EK266" s="120" t="s">
        <v>73</v>
      </c>
      <c r="EL266" s="120" t="s">
        <v>81</v>
      </c>
      <c r="EP266" s="113" t="s">
        <v>282</v>
      </c>
      <c r="FB266" s="121">
        <f>SUM(FB267:FB284)</f>
        <v>21203.75</v>
      </c>
    </row>
    <row r="267" spans="2:160" s="1" customFormat="1" ht="24.2" customHeight="1" x14ac:dyDescent="0.2">
      <c r="B267" s="124"/>
      <c r="C267" s="125" t="s">
        <v>510</v>
      </c>
      <c r="D267" s="125" t="s">
        <v>284</v>
      </c>
      <c r="E267" s="126" t="s">
        <v>522</v>
      </c>
      <c r="F267" s="127" t="s">
        <v>523</v>
      </c>
      <c r="G267" s="128" t="s">
        <v>287</v>
      </c>
      <c r="H267" s="129">
        <v>17.64</v>
      </c>
      <c r="I267" s="130">
        <v>130.95617506780872</v>
      </c>
      <c r="J267" s="131">
        <f>ROUND(I267*H267,2)</f>
        <v>2310.0700000000002</v>
      </c>
      <c r="K267" s="127" t="s">
        <v>293</v>
      </c>
      <c r="L267" s="268">
        <f>S267</f>
        <v>0</v>
      </c>
      <c r="M267" s="272">
        <f>ROUND(L267*I267,2)</f>
        <v>0</v>
      </c>
      <c r="N267" s="243"/>
      <c r="O267" s="294">
        <f>ROUND(N267*I267,2)</f>
        <v>0</v>
      </c>
      <c r="P267" s="273">
        <f>H267-L267-N267</f>
        <v>17.64</v>
      </c>
      <c r="Q267" s="287">
        <f>ROUND(P267*I267,2)</f>
        <v>2310.0700000000002</v>
      </c>
      <c r="R267" s="137"/>
      <c r="S267" s="269">
        <f>W267+Y267+AA267+AC267+AE267+AG267+AI267</f>
        <v>0</v>
      </c>
      <c r="T267" s="269">
        <f>ROUND(S267*I267,2)</f>
        <v>0</v>
      </c>
      <c r="U267" s="269">
        <f>H267-S267</f>
        <v>17.64</v>
      </c>
      <c r="V267" s="269">
        <f>ROUND(U267*I267,2)</f>
        <v>2310.0700000000002</v>
      </c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DD267" s="132" t="s">
        <v>1</v>
      </c>
      <c r="DE267" s="133" t="s">
        <v>40</v>
      </c>
      <c r="DG267" s="134">
        <f>DF267*H267</f>
        <v>0</v>
      </c>
      <c r="DH267" s="134">
        <v>0</v>
      </c>
      <c r="DI267" s="134">
        <f>DH267*H267</f>
        <v>0</v>
      </c>
      <c r="DJ267" s="134">
        <v>0</v>
      </c>
      <c r="DK267" s="135">
        <f>DJ267*H267</f>
        <v>0</v>
      </c>
      <c r="EI267" s="136" t="s">
        <v>95</v>
      </c>
      <c r="EK267" s="136" t="s">
        <v>284</v>
      </c>
      <c r="EL267" s="136" t="s">
        <v>83</v>
      </c>
      <c r="EP267" s="16" t="s">
        <v>282</v>
      </c>
      <c r="EV267" s="137">
        <f>IF(DE267="základní",J267,0)</f>
        <v>2310.0700000000002</v>
      </c>
      <c r="EW267" s="137">
        <f>IF(DE267="snížená",J267,0)</f>
        <v>0</v>
      </c>
      <c r="EX267" s="137">
        <f>IF(DE267="zákl. přenesená",J267,0)</f>
        <v>0</v>
      </c>
      <c r="EY267" s="137">
        <f>IF(DE267="sníž. přenesená",J267,0)</f>
        <v>0</v>
      </c>
      <c r="EZ267" s="137">
        <f>IF(DE267="nulová",J267,0)</f>
        <v>0</v>
      </c>
      <c r="FA267" s="16" t="s">
        <v>81</v>
      </c>
      <c r="FB267" s="137">
        <f>ROUND(I267*H267,2)</f>
        <v>2310.0700000000002</v>
      </c>
      <c r="FC267" s="16" t="s">
        <v>95</v>
      </c>
      <c r="FD267" s="136" t="s">
        <v>2256</v>
      </c>
    </row>
    <row r="268" spans="2:160" s="1" customFormat="1" ht="19.5" x14ac:dyDescent="0.2">
      <c r="B268" s="31"/>
      <c r="D268" s="138" t="s">
        <v>289</v>
      </c>
      <c r="F268" s="139" t="s">
        <v>525</v>
      </c>
      <c r="I268" s="140"/>
      <c r="L268" s="31"/>
      <c r="N268" s="213"/>
      <c r="O268" s="214"/>
      <c r="Q268" s="229"/>
      <c r="DD268" s="141"/>
      <c r="DK268" s="50"/>
      <c r="EK268" s="16" t="s">
        <v>289</v>
      </c>
      <c r="EL268" s="16" t="s">
        <v>83</v>
      </c>
    </row>
    <row r="269" spans="2:160" s="1" customFormat="1" ht="14.45" customHeight="1" x14ac:dyDescent="0.2">
      <c r="B269" s="124"/>
      <c r="C269" s="125" t="s">
        <v>514</v>
      </c>
      <c r="D269" s="125" t="s">
        <v>284</v>
      </c>
      <c r="E269" s="126" t="s">
        <v>527</v>
      </c>
      <c r="F269" s="127" t="s">
        <v>528</v>
      </c>
      <c r="G269" s="128" t="s">
        <v>287</v>
      </c>
      <c r="H269" s="129">
        <v>17.64</v>
      </c>
      <c r="I269" s="130">
        <v>200.20823792465458</v>
      </c>
      <c r="J269" s="131">
        <f>ROUND(I269*H269,2)</f>
        <v>3531.67</v>
      </c>
      <c r="K269" s="127" t="s">
        <v>293</v>
      </c>
      <c r="L269" s="268">
        <f>S269</f>
        <v>0</v>
      </c>
      <c r="M269" s="272">
        <f>ROUND(L269*I269,2)</f>
        <v>0</v>
      </c>
      <c r="N269" s="243"/>
      <c r="O269" s="294">
        <f>ROUND(N269*I269,2)</f>
        <v>0</v>
      </c>
      <c r="P269" s="273">
        <f>H269-L269-N269</f>
        <v>17.64</v>
      </c>
      <c r="Q269" s="287">
        <f>ROUND(P269*I269,2)</f>
        <v>3531.67</v>
      </c>
      <c r="R269" s="137"/>
      <c r="S269" s="269">
        <f>W269+Y269+AA269+AC269+AE269+AG269+AI269</f>
        <v>0</v>
      </c>
      <c r="T269" s="269">
        <f>ROUND(S269*I269,2)</f>
        <v>0</v>
      </c>
      <c r="U269" s="269">
        <f>H269-S269</f>
        <v>17.64</v>
      </c>
      <c r="V269" s="269">
        <f>ROUND(U269*I269,2)</f>
        <v>3531.67</v>
      </c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AG269" s="269"/>
      <c r="AH269" s="269"/>
      <c r="AI269" s="269"/>
      <c r="AJ269" s="269"/>
      <c r="DD269" s="132" t="s">
        <v>1</v>
      </c>
      <c r="DE269" s="133" t="s">
        <v>40</v>
      </c>
      <c r="DG269" s="134">
        <f>DF269*H269</f>
        <v>0</v>
      </c>
      <c r="DH269" s="134">
        <v>0</v>
      </c>
      <c r="DI269" s="134">
        <f>DH269*H269</f>
        <v>0</v>
      </c>
      <c r="DJ269" s="134">
        <v>0</v>
      </c>
      <c r="DK269" s="135">
        <f>DJ269*H269</f>
        <v>0</v>
      </c>
      <c r="EI269" s="136" t="s">
        <v>95</v>
      </c>
      <c r="EK269" s="136" t="s">
        <v>284</v>
      </c>
      <c r="EL269" s="136" t="s">
        <v>83</v>
      </c>
      <c r="EP269" s="16" t="s">
        <v>282</v>
      </c>
      <c r="EV269" s="137">
        <f>IF(DE269="základní",J269,0)</f>
        <v>3531.67</v>
      </c>
      <c r="EW269" s="137">
        <f>IF(DE269="snížená",J269,0)</f>
        <v>0</v>
      </c>
      <c r="EX269" s="137">
        <f>IF(DE269="zákl. přenesená",J269,0)</f>
        <v>0</v>
      </c>
      <c r="EY269" s="137">
        <f>IF(DE269="sníž. přenesená",J269,0)</f>
        <v>0</v>
      </c>
      <c r="EZ269" s="137">
        <f>IF(DE269="nulová",J269,0)</f>
        <v>0</v>
      </c>
      <c r="FA269" s="16" t="s">
        <v>81</v>
      </c>
      <c r="FB269" s="137">
        <f>ROUND(I269*H269,2)</f>
        <v>3531.67</v>
      </c>
      <c r="FC269" s="16" t="s">
        <v>95</v>
      </c>
      <c r="FD269" s="136" t="s">
        <v>2257</v>
      </c>
    </row>
    <row r="270" spans="2:160" s="1" customFormat="1" ht="19.5" x14ac:dyDescent="0.2">
      <c r="B270" s="31"/>
      <c r="D270" s="138" t="s">
        <v>289</v>
      </c>
      <c r="F270" s="139" t="s">
        <v>530</v>
      </c>
      <c r="I270" s="140"/>
      <c r="L270" s="31"/>
      <c r="N270" s="213"/>
      <c r="O270" s="214"/>
      <c r="Q270" s="229"/>
      <c r="DD270" s="141"/>
      <c r="DK270" s="50"/>
      <c r="EK270" s="16" t="s">
        <v>289</v>
      </c>
      <c r="EL270" s="16" t="s">
        <v>83</v>
      </c>
    </row>
    <row r="271" spans="2:160" s="1" customFormat="1" ht="24.2" customHeight="1" x14ac:dyDescent="0.2">
      <c r="B271" s="124"/>
      <c r="C271" s="125" t="s">
        <v>521</v>
      </c>
      <c r="D271" s="125" t="s">
        <v>284</v>
      </c>
      <c r="E271" s="126" t="s">
        <v>532</v>
      </c>
      <c r="F271" s="127" t="s">
        <v>533</v>
      </c>
      <c r="G271" s="128" t="s">
        <v>287</v>
      </c>
      <c r="H271" s="129">
        <v>17.64</v>
      </c>
      <c r="I271" s="130">
        <v>40.878739778868102</v>
      </c>
      <c r="J271" s="131">
        <f>ROUND(I271*H271,2)</f>
        <v>721.1</v>
      </c>
      <c r="K271" s="127" t="s">
        <v>293</v>
      </c>
      <c r="L271" s="268">
        <f>S271</f>
        <v>0</v>
      </c>
      <c r="M271" s="272">
        <f>ROUND(L271*I271,2)</f>
        <v>0</v>
      </c>
      <c r="N271" s="243"/>
      <c r="O271" s="294">
        <f>ROUND(N271*I271,2)</f>
        <v>0</v>
      </c>
      <c r="P271" s="273">
        <f>H271-L271-N271</f>
        <v>17.64</v>
      </c>
      <c r="Q271" s="287">
        <f>ROUND(P271*I271,2)</f>
        <v>721.1</v>
      </c>
      <c r="R271" s="137"/>
      <c r="S271" s="269">
        <f>W271+Y271+AA271+AC271+AE271+AG271+AI271</f>
        <v>0</v>
      </c>
      <c r="T271" s="269">
        <f>ROUND(S271*I271,2)</f>
        <v>0</v>
      </c>
      <c r="U271" s="269">
        <f>H271-S271</f>
        <v>17.64</v>
      </c>
      <c r="V271" s="269">
        <f>ROUND(U271*I271,2)</f>
        <v>721.1</v>
      </c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DD271" s="132" t="s">
        <v>1</v>
      </c>
      <c r="DE271" s="133" t="s">
        <v>40</v>
      </c>
      <c r="DG271" s="134">
        <f>DF271*H271</f>
        <v>0</v>
      </c>
      <c r="DH271" s="134">
        <v>0</v>
      </c>
      <c r="DI271" s="134">
        <f>DH271*H271</f>
        <v>0</v>
      </c>
      <c r="DJ271" s="134">
        <v>0</v>
      </c>
      <c r="DK271" s="135">
        <f>DJ271*H271</f>
        <v>0</v>
      </c>
      <c r="EI271" s="136" t="s">
        <v>95</v>
      </c>
      <c r="EK271" s="136" t="s">
        <v>284</v>
      </c>
      <c r="EL271" s="136" t="s">
        <v>83</v>
      </c>
      <c r="EP271" s="16" t="s">
        <v>282</v>
      </c>
      <c r="EV271" s="137">
        <f>IF(DE271="základní",J271,0)</f>
        <v>721.1</v>
      </c>
      <c r="EW271" s="137">
        <f>IF(DE271="snížená",J271,0)</f>
        <v>0</v>
      </c>
      <c r="EX271" s="137">
        <f>IF(DE271="zákl. přenesená",J271,0)</f>
        <v>0</v>
      </c>
      <c r="EY271" s="137">
        <f>IF(DE271="sníž. přenesená",J271,0)</f>
        <v>0</v>
      </c>
      <c r="EZ271" s="137">
        <f>IF(DE271="nulová",J271,0)</f>
        <v>0</v>
      </c>
      <c r="FA271" s="16" t="s">
        <v>81</v>
      </c>
      <c r="FB271" s="137">
        <f>ROUND(I271*H271,2)</f>
        <v>721.1</v>
      </c>
      <c r="FC271" s="16" t="s">
        <v>95</v>
      </c>
      <c r="FD271" s="136" t="s">
        <v>2258</v>
      </c>
    </row>
    <row r="272" spans="2:160" s="1" customFormat="1" ht="19.5" x14ac:dyDescent="0.2">
      <c r="B272" s="31"/>
      <c r="D272" s="138" t="s">
        <v>289</v>
      </c>
      <c r="F272" s="139" t="s">
        <v>535</v>
      </c>
      <c r="I272" s="140"/>
      <c r="L272" s="31"/>
      <c r="N272" s="213"/>
      <c r="O272" s="214"/>
      <c r="Q272" s="229"/>
      <c r="DD272" s="141"/>
      <c r="DK272" s="50"/>
      <c r="EK272" s="16" t="s">
        <v>289</v>
      </c>
      <c r="EL272" s="16" t="s">
        <v>83</v>
      </c>
    </row>
    <row r="273" spans="2:160" s="1" customFormat="1" ht="24.2" customHeight="1" x14ac:dyDescent="0.2">
      <c r="B273" s="124"/>
      <c r="C273" s="125" t="s">
        <v>526</v>
      </c>
      <c r="D273" s="125" t="s">
        <v>284</v>
      </c>
      <c r="E273" s="126" t="s">
        <v>537</v>
      </c>
      <c r="F273" s="127" t="s">
        <v>538</v>
      </c>
      <c r="G273" s="128" t="s">
        <v>287</v>
      </c>
      <c r="H273" s="129">
        <v>17.64</v>
      </c>
      <c r="I273" s="130">
        <v>362.67856108310502</v>
      </c>
      <c r="J273" s="131">
        <f>ROUND(I273*H273,2)</f>
        <v>6397.65</v>
      </c>
      <c r="K273" s="127" t="s">
        <v>293</v>
      </c>
      <c r="L273" s="268">
        <f>S273</f>
        <v>0</v>
      </c>
      <c r="M273" s="272">
        <f>ROUND(L273*I273,2)</f>
        <v>0</v>
      </c>
      <c r="N273" s="243"/>
      <c r="O273" s="294">
        <f>ROUND(N273*I273,2)</f>
        <v>0</v>
      </c>
      <c r="P273" s="273">
        <f>H273-L273-N273</f>
        <v>17.64</v>
      </c>
      <c r="Q273" s="287">
        <f>ROUND(P273*I273,2)</f>
        <v>6397.65</v>
      </c>
      <c r="R273" s="137"/>
      <c r="S273" s="269">
        <f>W273+Y273+AA273+AC273+AE273+AG273+AI273</f>
        <v>0</v>
      </c>
      <c r="T273" s="269">
        <f>ROUND(S273*I273,2)</f>
        <v>0</v>
      </c>
      <c r="U273" s="269">
        <f>H273-S273</f>
        <v>17.64</v>
      </c>
      <c r="V273" s="269">
        <f>ROUND(U273*I273,2)</f>
        <v>6397.65</v>
      </c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DD273" s="132" t="s">
        <v>1</v>
      </c>
      <c r="DE273" s="133" t="s">
        <v>40</v>
      </c>
      <c r="DG273" s="134">
        <f>DF273*H273</f>
        <v>0</v>
      </c>
      <c r="DH273" s="134">
        <v>0</v>
      </c>
      <c r="DI273" s="134">
        <f>DH273*H273</f>
        <v>0</v>
      </c>
      <c r="DJ273" s="134">
        <v>0</v>
      </c>
      <c r="DK273" s="135">
        <f>DJ273*H273</f>
        <v>0</v>
      </c>
      <c r="EI273" s="136" t="s">
        <v>95</v>
      </c>
      <c r="EK273" s="136" t="s">
        <v>284</v>
      </c>
      <c r="EL273" s="136" t="s">
        <v>83</v>
      </c>
      <c r="EP273" s="16" t="s">
        <v>282</v>
      </c>
      <c r="EV273" s="137">
        <f>IF(DE273="základní",J273,0)</f>
        <v>6397.65</v>
      </c>
      <c r="EW273" s="137">
        <f>IF(DE273="snížená",J273,0)</f>
        <v>0</v>
      </c>
      <c r="EX273" s="137">
        <f>IF(DE273="zákl. přenesená",J273,0)</f>
        <v>0</v>
      </c>
      <c r="EY273" s="137">
        <f>IF(DE273="sníž. přenesená",J273,0)</f>
        <v>0</v>
      </c>
      <c r="EZ273" s="137">
        <f>IF(DE273="nulová",J273,0)</f>
        <v>0</v>
      </c>
      <c r="FA273" s="16" t="s">
        <v>81</v>
      </c>
      <c r="FB273" s="137">
        <f>ROUND(I273*H273,2)</f>
        <v>6397.65</v>
      </c>
      <c r="FC273" s="16" t="s">
        <v>95</v>
      </c>
      <c r="FD273" s="136" t="s">
        <v>2259</v>
      </c>
    </row>
    <row r="274" spans="2:160" s="1" customFormat="1" ht="29.25" x14ac:dyDescent="0.2">
      <c r="B274" s="31"/>
      <c r="D274" s="138" t="s">
        <v>289</v>
      </c>
      <c r="F274" s="139" t="s">
        <v>540</v>
      </c>
      <c r="I274" s="140"/>
      <c r="L274" s="31"/>
      <c r="N274" s="213"/>
      <c r="O274" s="214"/>
      <c r="Q274" s="229"/>
      <c r="DD274" s="141"/>
      <c r="DK274" s="50"/>
      <c r="EK274" s="16" t="s">
        <v>289</v>
      </c>
      <c r="EL274" s="16" t="s">
        <v>83</v>
      </c>
    </row>
    <row r="275" spans="2:160" s="1" customFormat="1" ht="19.5" x14ac:dyDescent="0.2">
      <c r="B275" s="31"/>
      <c r="D275" s="138" t="s">
        <v>299</v>
      </c>
      <c r="F275" s="142" t="s">
        <v>2208</v>
      </c>
      <c r="I275" s="140"/>
      <c r="L275" s="31"/>
      <c r="N275" s="213"/>
      <c r="O275" s="214"/>
      <c r="Q275" s="229"/>
      <c r="DD275" s="141"/>
      <c r="DK275" s="50"/>
      <c r="EK275" s="16" t="s">
        <v>299</v>
      </c>
      <c r="EL275" s="16" t="s">
        <v>83</v>
      </c>
    </row>
    <row r="276" spans="2:160" s="11" customFormat="1" x14ac:dyDescent="0.2">
      <c r="B276" s="143"/>
      <c r="D276" s="138" t="s">
        <v>301</v>
      </c>
      <c r="E276" s="144" t="s">
        <v>1</v>
      </c>
      <c r="F276" s="145" t="s">
        <v>541</v>
      </c>
      <c r="H276" s="144" t="s">
        <v>1</v>
      </c>
      <c r="I276" s="146"/>
      <c r="L276" s="143"/>
      <c r="N276" s="215"/>
      <c r="O276" s="216"/>
      <c r="Q276" s="230"/>
      <c r="DD276" s="147"/>
      <c r="DK276" s="148"/>
      <c r="EK276" s="144" t="s">
        <v>301</v>
      </c>
      <c r="EL276" s="144" t="s">
        <v>83</v>
      </c>
      <c r="EM276" s="11" t="s">
        <v>81</v>
      </c>
      <c r="EN276" s="11" t="s">
        <v>32</v>
      </c>
      <c r="EO276" s="11" t="s">
        <v>74</v>
      </c>
      <c r="EP276" s="144" t="s">
        <v>282</v>
      </c>
    </row>
    <row r="277" spans="2:160" s="12" customFormat="1" x14ac:dyDescent="0.2">
      <c r="B277" s="149"/>
      <c r="D277" s="138" t="s">
        <v>301</v>
      </c>
      <c r="E277" s="150" t="s">
        <v>1</v>
      </c>
      <c r="F277" s="151" t="s">
        <v>2110</v>
      </c>
      <c r="H277" s="152">
        <v>17.64</v>
      </c>
      <c r="I277" s="153"/>
      <c r="L277" s="149"/>
      <c r="N277" s="217"/>
      <c r="O277" s="218"/>
      <c r="Q277" s="231"/>
      <c r="DD277" s="154"/>
      <c r="DK277" s="155"/>
      <c r="EK277" s="150" t="s">
        <v>301</v>
      </c>
      <c r="EL277" s="150" t="s">
        <v>83</v>
      </c>
      <c r="EM277" s="12" t="s">
        <v>83</v>
      </c>
      <c r="EN277" s="12" t="s">
        <v>32</v>
      </c>
      <c r="EO277" s="12" t="s">
        <v>81</v>
      </c>
      <c r="EP277" s="150" t="s">
        <v>282</v>
      </c>
    </row>
    <row r="278" spans="2:160" s="1" customFormat="1" ht="14.45" customHeight="1" x14ac:dyDescent="0.2">
      <c r="B278" s="124"/>
      <c r="C278" s="125" t="s">
        <v>531</v>
      </c>
      <c r="D278" s="125" t="s">
        <v>284</v>
      </c>
      <c r="E278" s="126" t="s">
        <v>544</v>
      </c>
      <c r="F278" s="127" t="s">
        <v>545</v>
      </c>
      <c r="G278" s="128" t="s">
        <v>287</v>
      </c>
      <c r="H278" s="129">
        <v>20.25</v>
      </c>
      <c r="I278" s="130">
        <v>18.105699236185</v>
      </c>
      <c r="J278" s="131">
        <f>ROUND(I278*H278,2)</f>
        <v>366.64</v>
      </c>
      <c r="K278" s="127" t="s">
        <v>293</v>
      </c>
      <c r="L278" s="268">
        <f>S278</f>
        <v>0</v>
      </c>
      <c r="M278" s="272">
        <f>ROUND(L278*I278,2)</f>
        <v>0</v>
      </c>
      <c r="N278" s="243"/>
      <c r="O278" s="294">
        <f>ROUND(N278*I278,2)</f>
        <v>0</v>
      </c>
      <c r="P278" s="273">
        <f>H278-L278-N278</f>
        <v>20.25</v>
      </c>
      <c r="Q278" s="287">
        <f>ROUND(P278*I278,2)</f>
        <v>366.64</v>
      </c>
      <c r="R278" s="137"/>
      <c r="S278" s="269">
        <f>W278+Y278+AA278+AC278+AE278+AG278+AI278</f>
        <v>0</v>
      </c>
      <c r="T278" s="269">
        <f>ROUND(S278*I278,2)</f>
        <v>0</v>
      </c>
      <c r="U278" s="269">
        <f>H278-S278</f>
        <v>20.25</v>
      </c>
      <c r="V278" s="269">
        <f>ROUND(U278*I278,2)</f>
        <v>366.64</v>
      </c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DD278" s="132" t="s">
        <v>1</v>
      </c>
      <c r="DE278" s="133" t="s">
        <v>40</v>
      </c>
      <c r="DG278" s="134">
        <f>DF278*H278</f>
        <v>0</v>
      </c>
      <c r="DH278" s="134">
        <v>0</v>
      </c>
      <c r="DI278" s="134">
        <f>DH278*H278</f>
        <v>0</v>
      </c>
      <c r="DJ278" s="134">
        <v>0</v>
      </c>
      <c r="DK278" s="135">
        <f>DJ278*H278</f>
        <v>0</v>
      </c>
      <c r="EI278" s="136" t="s">
        <v>95</v>
      </c>
      <c r="EK278" s="136" t="s">
        <v>284</v>
      </c>
      <c r="EL278" s="136" t="s">
        <v>83</v>
      </c>
      <c r="EP278" s="16" t="s">
        <v>282</v>
      </c>
      <c r="EV278" s="137">
        <f>IF(DE278="základní",J278,0)</f>
        <v>366.64</v>
      </c>
      <c r="EW278" s="137">
        <f>IF(DE278="snížená",J278,0)</f>
        <v>0</v>
      </c>
      <c r="EX278" s="137">
        <f>IF(DE278="zákl. přenesená",J278,0)</f>
        <v>0</v>
      </c>
      <c r="EY278" s="137">
        <f>IF(DE278="sníž. přenesená",J278,0)</f>
        <v>0</v>
      </c>
      <c r="EZ278" s="137">
        <f>IF(DE278="nulová",J278,0)</f>
        <v>0</v>
      </c>
      <c r="FA278" s="16" t="s">
        <v>81</v>
      </c>
      <c r="FB278" s="137">
        <f>ROUND(I278*H278,2)</f>
        <v>366.64</v>
      </c>
      <c r="FC278" s="16" t="s">
        <v>95</v>
      </c>
      <c r="FD278" s="136" t="s">
        <v>2260</v>
      </c>
    </row>
    <row r="279" spans="2:160" s="1" customFormat="1" ht="19.5" x14ac:dyDescent="0.2">
      <c r="B279" s="31"/>
      <c r="D279" s="138" t="s">
        <v>289</v>
      </c>
      <c r="F279" s="139" t="s">
        <v>547</v>
      </c>
      <c r="I279" s="140"/>
      <c r="L279" s="31"/>
      <c r="N279" s="213"/>
      <c r="O279" s="214"/>
      <c r="Q279" s="229"/>
      <c r="DD279" s="141"/>
      <c r="DK279" s="50"/>
      <c r="EK279" s="16" t="s">
        <v>289</v>
      </c>
      <c r="EL279" s="16" t="s">
        <v>83</v>
      </c>
    </row>
    <row r="280" spans="2:160" s="1" customFormat="1" ht="24.2" customHeight="1" x14ac:dyDescent="0.2">
      <c r="B280" s="124"/>
      <c r="C280" s="125" t="s">
        <v>536</v>
      </c>
      <c r="D280" s="125" t="s">
        <v>284</v>
      </c>
      <c r="E280" s="126" t="s">
        <v>549</v>
      </c>
      <c r="F280" s="127" t="s">
        <v>550</v>
      </c>
      <c r="G280" s="128" t="s">
        <v>287</v>
      </c>
      <c r="H280" s="129">
        <v>20.25</v>
      </c>
      <c r="I280" s="130">
        <v>388.96896513366403</v>
      </c>
      <c r="J280" s="131">
        <f>ROUND(I280*H280,2)</f>
        <v>7876.62</v>
      </c>
      <c r="K280" s="127" t="s">
        <v>293</v>
      </c>
      <c r="L280" s="268">
        <f>S280</f>
        <v>0</v>
      </c>
      <c r="M280" s="272">
        <f>ROUND(L280*I280,2)</f>
        <v>0</v>
      </c>
      <c r="N280" s="243"/>
      <c r="O280" s="294">
        <f>ROUND(N280*I280,2)</f>
        <v>0</v>
      </c>
      <c r="P280" s="273">
        <f>H280-L280-N280</f>
        <v>20.25</v>
      </c>
      <c r="Q280" s="287">
        <f>ROUND(P280*I280,2)</f>
        <v>7876.62</v>
      </c>
      <c r="R280" s="137"/>
      <c r="S280" s="269">
        <f>W280+Y280+AA280+AC280+AE280+AG280+AI280</f>
        <v>0</v>
      </c>
      <c r="T280" s="269">
        <f>ROUND(S280*I280,2)</f>
        <v>0</v>
      </c>
      <c r="U280" s="269">
        <f>H280-S280</f>
        <v>20.25</v>
      </c>
      <c r="V280" s="269">
        <f>ROUND(U280*I280,2)</f>
        <v>7876.62</v>
      </c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DD280" s="132" t="s">
        <v>1</v>
      </c>
      <c r="DE280" s="133" t="s">
        <v>40</v>
      </c>
      <c r="DG280" s="134">
        <f>DF280*H280</f>
        <v>0</v>
      </c>
      <c r="DH280" s="134">
        <v>0</v>
      </c>
      <c r="DI280" s="134">
        <f>DH280*H280</f>
        <v>0</v>
      </c>
      <c r="DJ280" s="134">
        <v>0</v>
      </c>
      <c r="DK280" s="135">
        <f>DJ280*H280</f>
        <v>0</v>
      </c>
      <c r="EI280" s="136" t="s">
        <v>95</v>
      </c>
      <c r="EK280" s="136" t="s">
        <v>284</v>
      </c>
      <c r="EL280" s="136" t="s">
        <v>83</v>
      </c>
      <c r="EP280" s="16" t="s">
        <v>282</v>
      </c>
      <c r="EV280" s="137">
        <f>IF(DE280="základní",J280,0)</f>
        <v>7876.62</v>
      </c>
      <c r="EW280" s="137">
        <f>IF(DE280="snížená",J280,0)</f>
        <v>0</v>
      </c>
      <c r="EX280" s="137">
        <f>IF(DE280="zákl. přenesená",J280,0)</f>
        <v>0</v>
      </c>
      <c r="EY280" s="137">
        <f>IF(DE280="sníž. přenesená",J280,0)</f>
        <v>0</v>
      </c>
      <c r="EZ280" s="137">
        <f>IF(DE280="nulová",J280,0)</f>
        <v>0</v>
      </c>
      <c r="FA280" s="16" t="s">
        <v>81</v>
      </c>
      <c r="FB280" s="137">
        <f>ROUND(I280*H280,2)</f>
        <v>7876.62</v>
      </c>
      <c r="FC280" s="16" t="s">
        <v>95</v>
      </c>
      <c r="FD280" s="136" t="s">
        <v>2261</v>
      </c>
    </row>
    <row r="281" spans="2:160" s="1" customFormat="1" ht="29.25" x14ac:dyDescent="0.2">
      <c r="B281" s="31"/>
      <c r="D281" s="138" t="s">
        <v>289</v>
      </c>
      <c r="F281" s="139" t="s">
        <v>552</v>
      </c>
      <c r="I281" s="140"/>
      <c r="L281" s="31"/>
      <c r="N281" s="213"/>
      <c r="O281" s="214"/>
      <c r="Q281" s="229"/>
      <c r="DD281" s="141"/>
      <c r="DK281" s="50"/>
      <c r="EK281" s="16" t="s">
        <v>289</v>
      </c>
      <c r="EL281" s="16" t="s">
        <v>83</v>
      </c>
    </row>
    <row r="282" spans="2:160" s="1" customFormat="1" ht="19.5" x14ac:dyDescent="0.2">
      <c r="B282" s="31"/>
      <c r="D282" s="138" t="s">
        <v>299</v>
      </c>
      <c r="F282" s="142" t="s">
        <v>2208</v>
      </c>
      <c r="I282" s="140"/>
      <c r="L282" s="31"/>
      <c r="N282" s="213"/>
      <c r="O282" s="214"/>
      <c r="Q282" s="229"/>
      <c r="DD282" s="141"/>
      <c r="DK282" s="50"/>
      <c r="EK282" s="16" t="s">
        <v>299</v>
      </c>
      <c r="EL282" s="16" t="s">
        <v>83</v>
      </c>
    </row>
    <row r="283" spans="2:160" s="11" customFormat="1" x14ac:dyDescent="0.2">
      <c r="B283" s="143"/>
      <c r="D283" s="138" t="s">
        <v>301</v>
      </c>
      <c r="E283" s="144" t="s">
        <v>1</v>
      </c>
      <c r="F283" s="145" t="s">
        <v>553</v>
      </c>
      <c r="H283" s="144" t="s">
        <v>1</v>
      </c>
      <c r="I283" s="146"/>
      <c r="L283" s="143"/>
      <c r="N283" s="215"/>
      <c r="O283" s="216"/>
      <c r="Q283" s="230"/>
      <c r="DD283" s="147"/>
      <c r="DK283" s="148"/>
      <c r="EK283" s="144" t="s">
        <v>301</v>
      </c>
      <c r="EL283" s="144" t="s">
        <v>83</v>
      </c>
      <c r="EM283" s="11" t="s">
        <v>81</v>
      </c>
      <c r="EN283" s="11" t="s">
        <v>32</v>
      </c>
      <c r="EO283" s="11" t="s">
        <v>74</v>
      </c>
      <c r="EP283" s="144" t="s">
        <v>282</v>
      </c>
    </row>
    <row r="284" spans="2:160" s="12" customFormat="1" x14ac:dyDescent="0.2">
      <c r="B284" s="149"/>
      <c r="D284" s="138" t="s">
        <v>301</v>
      </c>
      <c r="E284" s="150" t="s">
        <v>1</v>
      </c>
      <c r="F284" s="151" t="s">
        <v>2113</v>
      </c>
      <c r="H284" s="152">
        <v>20.25</v>
      </c>
      <c r="I284" s="153"/>
      <c r="L284" s="149"/>
      <c r="N284" s="217"/>
      <c r="O284" s="218"/>
      <c r="Q284" s="231"/>
      <c r="DD284" s="154"/>
      <c r="DK284" s="155"/>
      <c r="EK284" s="150" t="s">
        <v>301</v>
      </c>
      <c r="EL284" s="150" t="s">
        <v>83</v>
      </c>
      <c r="EM284" s="12" t="s">
        <v>83</v>
      </c>
      <c r="EN284" s="12" t="s">
        <v>32</v>
      </c>
      <c r="EO284" s="12" t="s">
        <v>81</v>
      </c>
      <c r="EP284" s="150" t="s">
        <v>282</v>
      </c>
    </row>
    <row r="285" spans="2:160" s="10" customFormat="1" ht="22.9" customHeight="1" x14ac:dyDescent="0.2">
      <c r="B285" s="112"/>
      <c r="D285" s="113" t="s">
        <v>73</v>
      </c>
      <c r="E285" s="122" t="s">
        <v>335</v>
      </c>
      <c r="F285" s="122" t="s">
        <v>674</v>
      </c>
      <c r="I285" s="115"/>
      <c r="J285" s="123">
        <f>FB285</f>
        <v>2241052.0499999998</v>
      </c>
      <c r="L285" s="112"/>
      <c r="M285" s="270">
        <f>M286+M291</f>
        <v>0</v>
      </c>
      <c r="N285" s="301"/>
      <c r="O285" s="302">
        <f t="shared" ref="O285:V285" si="6">O286+O291</f>
        <v>0</v>
      </c>
      <c r="P285" s="270"/>
      <c r="Q285" s="288">
        <f t="shared" si="6"/>
        <v>2241052.0499999998</v>
      </c>
      <c r="R285" s="270"/>
      <c r="S285" s="270"/>
      <c r="T285" s="270">
        <f t="shared" si="6"/>
        <v>0</v>
      </c>
      <c r="U285" s="270"/>
      <c r="V285" s="270">
        <f t="shared" si="6"/>
        <v>2241052.0499999998</v>
      </c>
      <c r="DD285" s="117"/>
      <c r="DG285" s="118">
        <f>SUM(DG286:DG294)</f>
        <v>0</v>
      </c>
      <c r="DI285" s="118">
        <f>SUM(DI286:DI294)</f>
        <v>8.2907999999999992E-3</v>
      </c>
      <c r="DK285" s="119">
        <f>SUM(DK286:DK294)</f>
        <v>0</v>
      </c>
      <c r="EI285" s="113" t="s">
        <v>81</v>
      </c>
      <c r="EK285" s="120" t="s">
        <v>73</v>
      </c>
      <c r="EL285" s="120" t="s">
        <v>81</v>
      </c>
      <c r="EP285" s="113" t="s">
        <v>282</v>
      </c>
      <c r="FB285" s="121">
        <f>SUM(FB286:FB294)</f>
        <v>2241052.0499999998</v>
      </c>
    </row>
    <row r="286" spans="2:160" s="1" customFormat="1" ht="37.9" customHeight="1" x14ac:dyDescent="0.2">
      <c r="B286" s="124"/>
      <c r="C286" s="125" t="s">
        <v>543</v>
      </c>
      <c r="D286" s="125" t="s">
        <v>284</v>
      </c>
      <c r="E286" s="126" t="s">
        <v>676</v>
      </c>
      <c r="F286" s="127" t="s">
        <v>2262</v>
      </c>
      <c r="G286" s="128" t="s">
        <v>1948</v>
      </c>
      <c r="H286" s="129">
        <v>1</v>
      </c>
      <c r="I286" s="130">
        <v>2240165.1305</v>
      </c>
      <c r="J286" s="131">
        <f>ROUND(I286*H286,2)</f>
        <v>2240165.13</v>
      </c>
      <c r="K286" s="127" t="s">
        <v>1</v>
      </c>
      <c r="L286" s="268">
        <f>S286</f>
        <v>0</v>
      </c>
      <c r="M286" s="272">
        <f>ROUND(L286*I286,2)</f>
        <v>0</v>
      </c>
      <c r="N286" s="243"/>
      <c r="O286" s="294">
        <f>ROUND(N286*I286,2)</f>
        <v>0</v>
      </c>
      <c r="P286" s="273">
        <f>H286-L286-N286</f>
        <v>1</v>
      </c>
      <c r="Q286" s="287">
        <f>ROUND(P286*I286,2)</f>
        <v>2240165.13</v>
      </c>
      <c r="R286" s="137"/>
      <c r="S286" s="269">
        <f>W286+Y286+AA286+AC286+AE286+AG286+AI286</f>
        <v>0</v>
      </c>
      <c r="T286" s="269">
        <f>ROUND(S286*I286,2)</f>
        <v>0</v>
      </c>
      <c r="U286" s="269">
        <f>H286-S286</f>
        <v>1</v>
      </c>
      <c r="V286" s="269">
        <f>ROUND(U286*I286,2)</f>
        <v>2240165.13</v>
      </c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DD286" s="132" t="s">
        <v>1</v>
      </c>
      <c r="DE286" s="133" t="s">
        <v>40</v>
      </c>
      <c r="DG286" s="134">
        <f>DF286*H286</f>
        <v>0</v>
      </c>
      <c r="DH286" s="134">
        <v>0</v>
      </c>
      <c r="DI286" s="134">
        <f>DH286*H286</f>
        <v>0</v>
      </c>
      <c r="DJ286" s="134">
        <v>0</v>
      </c>
      <c r="DK286" s="135">
        <f>DJ286*H286</f>
        <v>0</v>
      </c>
      <c r="EI286" s="136" t="s">
        <v>95</v>
      </c>
      <c r="EK286" s="136" t="s">
        <v>284</v>
      </c>
      <c r="EL286" s="136" t="s">
        <v>83</v>
      </c>
      <c r="EP286" s="16" t="s">
        <v>282</v>
      </c>
      <c r="EV286" s="137">
        <f>IF(DE286="základní",J286,0)</f>
        <v>2240165.13</v>
      </c>
      <c r="EW286" s="137">
        <f>IF(DE286="snížená",J286,0)</f>
        <v>0</v>
      </c>
      <c r="EX286" s="137">
        <f>IF(DE286="zákl. přenesená",J286,0)</f>
        <v>0</v>
      </c>
      <c r="EY286" s="137">
        <f>IF(DE286="sníž. přenesená",J286,0)</f>
        <v>0</v>
      </c>
      <c r="EZ286" s="137">
        <f>IF(DE286="nulová",J286,0)</f>
        <v>0</v>
      </c>
      <c r="FA286" s="16" t="s">
        <v>81</v>
      </c>
      <c r="FB286" s="137">
        <f>ROUND(I286*H286,2)</f>
        <v>2240165.13</v>
      </c>
      <c r="FC286" s="16" t="s">
        <v>95</v>
      </c>
      <c r="FD286" s="136" t="s">
        <v>2263</v>
      </c>
    </row>
    <row r="287" spans="2:160" s="1" customFormat="1" ht="19.5" x14ac:dyDescent="0.2">
      <c r="B287" s="31"/>
      <c r="D287" s="138" t="s">
        <v>289</v>
      </c>
      <c r="F287" s="139" t="s">
        <v>2262</v>
      </c>
      <c r="I287" s="140"/>
      <c r="L287" s="31"/>
      <c r="N287" s="213"/>
      <c r="O287" s="214"/>
      <c r="Q287" s="229"/>
      <c r="DD287" s="141"/>
      <c r="DK287" s="50"/>
      <c r="EK287" s="16" t="s">
        <v>289</v>
      </c>
      <c r="EL287" s="16" t="s">
        <v>83</v>
      </c>
    </row>
    <row r="288" spans="2:160" s="1" customFormat="1" ht="19.5" x14ac:dyDescent="0.2">
      <c r="B288" s="31"/>
      <c r="D288" s="138" t="s">
        <v>299</v>
      </c>
      <c r="F288" s="142" t="s">
        <v>2208</v>
      </c>
      <c r="I288" s="140"/>
      <c r="L288" s="31"/>
      <c r="N288" s="213"/>
      <c r="O288" s="214"/>
      <c r="Q288" s="229"/>
      <c r="DD288" s="141"/>
      <c r="DK288" s="50"/>
      <c r="EK288" s="16" t="s">
        <v>299</v>
      </c>
      <c r="EL288" s="16" t="s">
        <v>83</v>
      </c>
    </row>
    <row r="289" spans="2:160" s="11" customFormat="1" x14ac:dyDescent="0.2">
      <c r="B289" s="143"/>
      <c r="D289" s="138" t="s">
        <v>301</v>
      </c>
      <c r="E289" s="144" t="s">
        <v>1</v>
      </c>
      <c r="F289" s="145" t="s">
        <v>1950</v>
      </c>
      <c r="H289" s="144" t="s">
        <v>1</v>
      </c>
      <c r="I289" s="146"/>
      <c r="L289" s="143"/>
      <c r="N289" s="215"/>
      <c r="O289" s="216"/>
      <c r="Q289" s="230"/>
      <c r="DD289" s="147"/>
      <c r="DK289" s="148"/>
      <c r="EK289" s="144" t="s">
        <v>301</v>
      </c>
      <c r="EL289" s="144" t="s">
        <v>83</v>
      </c>
      <c r="EM289" s="11" t="s">
        <v>81</v>
      </c>
      <c r="EN289" s="11" t="s">
        <v>32</v>
      </c>
      <c r="EO289" s="11" t="s">
        <v>74</v>
      </c>
      <c r="EP289" s="144" t="s">
        <v>282</v>
      </c>
    </row>
    <row r="290" spans="2:160" s="12" customFormat="1" x14ac:dyDescent="0.2">
      <c r="B290" s="149"/>
      <c r="D290" s="138" t="s">
        <v>301</v>
      </c>
      <c r="E290" s="150" t="s">
        <v>1</v>
      </c>
      <c r="F290" s="151" t="s">
        <v>2264</v>
      </c>
      <c r="H290" s="152">
        <v>1</v>
      </c>
      <c r="I290" s="153"/>
      <c r="L290" s="149"/>
      <c r="N290" s="217"/>
      <c r="O290" s="218"/>
      <c r="Q290" s="231"/>
      <c r="DD290" s="154"/>
      <c r="DK290" s="155"/>
      <c r="EK290" s="150" t="s">
        <v>301</v>
      </c>
      <c r="EL290" s="150" t="s">
        <v>83</v>
      </c>
      <c r="EM290" s="12" t="s">
        <v>83</v>
      </c>
      <c r="EN290" s="12" t="s">
        <v>32</v>
      </c>
      <c r="EO290" s="12" t="s">
        <v>81</v>
      </c>
      <c r="EP290" s="150" t="s">
        <v>282</v>
      </c>
    </row>
    <row r="291" spans="2:160" s="1" customFormat="1" ht="24.2" customHeight="1" x14ac:dyDescent="0.2">
      <c r="B291" s="124"/>
      <c r="C291" s="125" t="s">
        <v>548</v>
      </c>
      <c r="D291" s="125" t="s">
        <v>284</v>
      </c>
      <c r="E291" s="126" t="s">
        <v>1952</v>
      </c>
      <c r="F291" s="127" t="s">
        <v>1953</v>
      </c>
      <c r="G291" s="128" t="s">
        <v>287</v>
      </c>
      <c r="H291" s="129">
        <v>17.64</v>
      </c>
      <c r="I291" s="130">
        <v>50.278961448296904</v>
      </c>
      <c r="J291" s="131">
        <f>ROUND(I291*H291,2)</f>
        <v>886.92</v>
      </c>
      <c r="K291" s="127" t="s">
        <v>293</v>
      </c>
      <c r="L291" s="268">
        <f>S291</f>
        <v>0</v>
      </c>
      <c r="M291" s="272">
        <f>ROUND(L291*I291,2)</f>
        <v>0</v>
      </c>
      <c r="N291" s="243"/>
      <c r="O291" s="294">
        <f>ROUND(N291*I291,2)</f>
        <v>0</v>
      </c>
      <c r="P291" s="273">
        <f>H291-L291-N291</f>
        <v>17.64</v>
      </c>
      <c r="Q291" s="287">
        <f>ROUND(P291*I291,2)</f>
        <v>886.92</v>
      </c>
      <c r="R291" s="137"/>
      <c r="S291" s="269">
        <f>W291+Y291+AA291+AC291+AE291+AG291+AI291</f>
        <v>0</v>
      </c>
      <c r="T291" s="269">
        <f>ROUND(S291*I291,2)</f>
        <v>0</v>
      </c>
      <c r="U291" s="269">
        <f>H291-S291</f>
        <v>17.64</v>
      </c>
      <c r="V291" s="269">
        <f>ROUND(U291*I291,2)</f>
        <v>886.92</v>
      </c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DD291" s="132" t="s">
        <v>1</v>
      </c>
      <c r="DE291" s="133" t="s">
        <v>40</v>
      </c>
      <c r="DG291" s="134">
        <f>DF291*H291</f>
        <v>0</v>
      </c>
      <c r="DH291" s="134">
        <v>4.6999999999999999E-4</v>
      </c>
      <c r="DI291" s="134">
        <f>DH291*H291</f>
        <v>8.2907999999999992E-3</v>
      </c>
      <c r="DJ291" s="134">
        <v>0</v>
      </c>
      <c r="DK291" s="135">
        <f>DJ291*H291</f>
        <v>0</v>
      </c>
      <c r="EI291" s="136" t="s">
        <v>95</v>
      </c>
      <c r="EK291" s="136" t="s">
        <v>284</v>
      </c>
      <c r="EL291" s="136" t="s">
        <v>83</v>
      </c>
      <c r="EP291" s="16" t="s">
        <v>282</v>
      </c>
      <c r="EV291" s="137">
        <f>IF(DE291="základní",J291,0)</f>
        <v>886.92</v>
      </c>
      <c r="EW291" s="137">
        <f>IF(DE291="snížená",J291,0)</f>
        <v>0</v>
      </c>
      <c r="EX291" s="137">
        <f>IF(DE291="zákl. přenesená",J291,0)</f>
        <v>0</v>
      </c>
      <c r="EY291" s="137">
        <f>IF(DE291="sníž. přenesená",J291,0)</f>
        <v>0</v>
      </c>
      <c r="EZ291" s="137">
        <f>IF(DE291="nulová",J291,0)</f>
        <v>0</v>
      </c>
      <c r="FA291" s="16" t="s">
        <v>81</v>
      </c>
      <c r="FB291" s="137">
        <f>ROUND(I291*H291,2)</f>
        <v>886.92</v>
      </c>
      <c r="FC291" s="16" t="s">
        <v>95</v>
      </c>
      <c r="FD291" s="136" t="s">
        <v>2265</v>
      </c>
    </row>
    <row r="292" spans="2:160" s="1" customFormat="1" ht="19.5" x14ac:dyDescent="0.2">
      <c r="B292" s="31"/>
      <c r="D292" s="138" t="s">
        <v>289</v>
      </c>
      <c r="F292" s="139" t="s">
        <v>1955</v>
      </c>
      <c r="I292" s="140"/>
      <c r="L292" s="31"/>
      <c r="N292" s="213"/>
      <c r="O292" s="214"/>
      <c r="Q292" s="229"/>
      <c r="DD292" s="141"/>
      <c r="DK292" s="50"/>
      <c r="EK292" s="16" t="s">
        <v>289</v>
      </c>
      <c r="EL292" s="16" t="s">
        <v>83</v>
      </c>
    </row>
    <row r="293" spans="2:160" s="1" customFormat="1" ht="19.5" x14ac:dyDescent="0.2">
      <c r="B293" s="31"/>
      <c r="D293" s="138" t="s">
        <v>299</v>
      </c>
      <c r="F293" s="142" t="s">
        <v>2208</v>
      </c>
      <c r="I293" s="140"/>
      <c r="L293" s="31"/>
      <c r="N293" s="213"/>
      <c r="O293" s="214"/>
      <c r="Q293" s="229"/>
      <c r="DD293" s="141"/>
      <c r="DK293" s="50"/>
      <c r="EK293" s="16" t="s">
        <v>299</v>
      </c>
      <c r="EL293" s="16" t="s">
        <v>83</v>
      </c>
    </row>
    <row r="294" spans="2:160" s="12" customFormat="1" x14ac:dyDescent="0.2">
      <c r="B294" s="149"/>
      <c r="D294" s="138" t="s">
        <v>301</v>
      </c>
      <c r="E294" s="150" t="s">
        <v>1</v>
      </c>
      <c r="F294" s="151" t="s">
        <v>2052</v>
      </c>
      <c r="H294" s="152">
        <v>17.64</v>
      </c>
      <c r="I294" s="153"/>
      <c r="L294" s="149"/>
      <c r="N294" s="217"/>
      <c r="O294" s="218"/>
      <c r="Q294" s="231"/>
      <c r="DD294" s="154"/>
      <c r="DK294" s="155"/>
      <c r="EK294" s="150" t="s">
        <v>301</v>
      </c>
      <c r="EL294" s="150" t="s">
        <v>83</v>
      </c>
      <c r="EM294" s="12" t="s">
        <v>83</v>
      </c>
      <c r="EN294" s="12" t="s">
        <v>32</v>
      </c>
      <c r="EO294" s="12" t="s">
        <v>81</v>
      </c>
      <c r="EP294" s="150" t="s">
        <v>282</v>
      </c>
    </row>
    <row r="295" spans="2:160" s="10" customFormat="1" ht="22.9" customHeight="1" x14ac:dyDescent="0.2">
      <c r="B295" s="112"/>
      <c r="D295" s="113" t="s">
        <v>73</v>
      </c>
      <c r="E295" s="122" t="s">
        <v>695</v>
      </c>
      <c r="F295" s="122" t="s">
        <v>696</v>
      </c>
      <c r="I295" s="115"/>
      <c r="J295" s="123">
        <f>FB295</f>
        <v>9167.92</v>
      </c>
      <c r="L295" s="112"/>
      <c r="M295" s="270">
        <f>SUM(M296:M312)</f>
        <v>0</v>
      </c>
      <c r="N295" s="301"/>
      <c r="O295" s="302">
        <f t="shared" ref="O295:V295" si="7">SUM(O296:O312)</f>
        <v>0</v>
      </c>
      <c r="P295" s="270"/>
      <c r="Q295" s="288">
        <f t="shared" si="7"/>
        <v>9167.92</v>
      </c>
      <c r="R295" s="270"/>
      <c r="S295" s="270"/>
      <c r="T295" s="270">
        <f t="shared" si="7"/>
        <v>0</v>
      </c>
      <c r="U295" s="270"/>
      <c r="V295" s="270">
        <f t="shared" si="7"/>
        <v>9167.92</v>
      </c>
      <c r="DD295" s="117"/>
      <c r="DG295" s="118">
        <f>SUM(DG296:DG314)</f>
        <v>0</v>
      </c>
      <c r="DI295" s="118">
        <f>SUM(DI296:DI314)</f>
        <v>0</v>
      </c>
      <c r="DK295" s="119">
        <f>SUM(DK296:DK314)</f>
        <v>0</v>
      </c>
      <c r="EI295" s="113" t="s">
        <v>81</v>
      </c>
      <c r="EK295" s="120" t="s">
        <v>73</v>
      </c>
      <c r="EL295" s="120" t="s">
        <v>81</v>
      </c>
      <c r="EP295" s="113" t="s">
        <v>282</v>
      </c>
      <c r="FB295" s="121">
        <f>SUM(FB296:FB314)</f>
        <v>9167.92</v>
      </c>
    </row>
    <row r="296" spans="2:160" s="1" customFormat="1" ht="14.45" customHeight="1" x14ac:dyDescent="0.2">
      <c r="B296" s="124"/>
      <c r="C296" s="125" t="s">
        <v>556</v>
      </c>
      <c r="D296" s="125" t="s">
        <v>284</v>
      </c>
      <c r="E296" s="126" t="s">
        <v>698</v>
      </c>
      <c r="F296" s="127" t="s">
        <v>699</v>
      </c>
      <c r="G296" s="128" t="s">
        <v>418</v>
      </c>
      <c r="H296" s="129">
        <v>24.52</v>
      </c>
      <c r="I296" s="130">
        <v>40.477390926043419</v>
      </c>
      <c r="J296" s="131">
        <f>ROUND(I296*H296,2)</f>
        <v>992.51</v>
      </c>
      <c r="K296" s="127" t="s">
        <v>293</v>
      </c>
      <c r="L296" s="268">
        <f>S296</f>
        <v>0</v>
      </c>
      <c r="M296" s="272">
        <f>ROUND(L296*I296,2)</f>
        <v>0</v>
      </c>
      <c r="N296" s="243"/>
      <c r="O296" s="294">
        <f>ROUND(N296*I296,2)</f>
        <v>0</v>
      </c>
      <c r="P296" s="273">
        <f>H296-L296-N296</f>
        <v>24.52</v>
      </c>
      <c r="Q296" s="287">
        <f>ROUND(P296*I296,2)</f>
        <v>992.51</v>
      </c>
      <c r="R296" s="137"/>
      <c r="S296" s="269">
        <f>W296+Y296+AA296+AC296+AE296+AG296+AI296</f>
        <v>0</v>
      </c>
      <c r="T296" s="269">
        <f>ROUND(S296*I296,2)</f>
        <v>0</v>
      </c>
      <c r="U296" s="269">
        <f>H296-S296</f>
        <v>24.52</v>
      </c>
      <c r="V296" s="269">
        <f>ROUND(U296*I296,2)</f>
        <v>992.51</v>
      </c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I296" s="269"/>
      <c r="AJ296" s="269"/>
      <c r="DD296" s="132" t="s">
        <v>1</v>
      </c>
      <c r="DE296" s="133" t="s">
        <v>40</v>
      </c>
      <c r="DG296" s="134">
        <f>DF296*H296</f>
        <v>0</v>
      </c>
      <c r="DH296" s="134">
        <v>0</v>
      </c>
      <c r="DI296" s="134">
        <f>DH296*H296</f>
        <v>0</v>
      </c>
      <c r="DJ296" s="134">
        <v>0</v>
      </c>
      <c r="DK296" s="135">
        <f>DJ296*H296</f>
        <v>0</v>
      </c>
      <c r="EI296" s="136" t="s">
        <v>95</v>
      </c>
      <c r="EK296" s="136" t="s">
        <v>284</v>
      </c>
      <c r="EL296" s="136" t="s">
        <v>83</v>
      </c>
      <c r="EP296" s="16" t="s">
        <v>282</v>
      </c>
      <c r="EV296" s="137">
        <f>IF(DE296="základní",J296,0)</f>
        <v>992.51</v>
      </c>
      <c r="EW296" s="137">
        <f>IF(DE296="snížená",J296,0)</f>
        <v>0</v>
      </c>
      <c r="EX296" s="137">
        <f>IF(DE296="zákl. přenesená",J296,0)</f>
        <v>0</v>
      </c>
      <c r="EY296" s="137">
        <f>IF(DE296="sníž. přenesená",J296,0)</f>
        <v>0</v>
      </c>
      <c r="EZ296" s="137">
        <f>IF(DE296="nulová",J296,0)</f>
        <v>0</v>
      </c>
      <c r="FA296" s="16" t="s">
        <v>81</v>
      </c>
      <c r="FB296" s="137">
        <f>ROUND(I296*H296,2)</f>
        <v>992.51</v>
      </c>
      <c r="FC296" s="16" t="s">
        <v>95</v>
      </c>
      <c r="FD296" s="136" t="s">
        <v>2266</v>
      </c>
    </row>
    <row r="297" spans="2:160" s="1" customFormat="1" ht="19.5" x14ac:dyDescent="0.2">
      <c r="B297" s="31"/>
      <c r="D297" s="138" t="s">
        <v>289</v>
      </c>
      <c r="F297" s="139" t="s">
        <v>701</v>
      </c>
      <c r="I297" s="140"/>
      <c r="L297" s="31"/>
      <c r="N297" s="213"/>
      <c r="O297" s="214"/>
      <c r="Q297" s="229"/>
      <c r="DD297" s="141"/>
      <c r="DK297" s="50"/>
      <c r="EK297" s="16" t="s">
        <v>289</v>
      </c>
      <c r="EL297" s="16" t="s">
        <v>83</v>
      </c>
    </row>
    <row r="298" spans="2:160" s="12" customFormat="1" x14ac:dyDescent="0.2">
      <c r="B298" s="149"/>
      <c r="D298" s="138" t="s">
        <v>301</v>
      </c>
      <c r="E298" s="150" t="s">
        <v>1</v>
      </c>
      <c r="F298" s="151" t="s">
        <v>2119</v>
      </c>
      <c r="H298" s="152">
        <v>20.462</v>
      </c>
      <c r="I298" s="153"/>
      <c r="L298" s="149"/>
      <c r="N298" s="217"/>
      <c r="O298" s="218"/>
      <c r="Q298" s="231"/>
      <c r="DD298" s="154"/>
      <c r="DK298" s="155"/>
      <c r="EK298" s="150" t="s">
        <v>301</v>
      </c>
      <c r="EL298" s="150" t="s">
        <v>83</v>
      </c>
      <c r="EM298" s="12" t="s">
        <v>83</v>
      </c>
      <c r="EN298" s="12" t="s">
        <v>32</v>
      </c>
      <c r="EO298" s="12" t="s">
        <v>74</v>
      </c>
      <c r="EP298" s="150" t="s">
        <v>282</v>
      </c>
    </row>
    <row r="299" spans="2:160" s="12" customFormat="1" x14ac:dyDescent="0.2">
      <c r="B299" s="149"/>
      <c r="D299" s="138" t="s">
        <v>301</v>
      </c>
      <c r="E299" s="150" t="s">
        <v>1</v>
      </c>
      <c r="F299" s="151" t="s">
        <v>2120</v>
      </c>
      <c r="H299" s="152">
        <v>4.0579999999999998</v>
      </c>
      <c r="I299" s="153"/>
      <c r="L299" s="149"/>
      <c r="N299" s="217"/>
      <c r="O299" s="218"/>
      <c r="Q299" s="231"/>
      <c r="DD299" s="154"/>
      <c r="DK299" s="155"/>
      <c r="EK299" s="150" t="s">
        <v>301</v>
      </c>
      <c r="EL299" s="150" t="s">
        <v>83</v>
      </c>
      <c r="EM299" s="12" t="s">
        <v>83</v>
      </c>
      <c r="EN299" s="12" t="s">
        <v>32</v>
      </c>
      <c r="EO299" s="12" t="s">
        <v>74</v>
      </c>
      <c r="EP299" s="150" t="s">
        <v>282</v>
      </c>
    </row>
    <row r="300" spans="2:160" s="13" customFormat="1" x14ac:dyDescent="0.2">
      <c r="B300" s="156"/>
      <c r="D300" s="138" t="s">
        <v>301</v>
      </c>
      <c r="E300" s="157" t="s">
        <v>1</v>
      </c>
      <c r="F300" s="158" t="s">
        <v>305</v>
      </c>
      <c r="H300" s="159">
        <v>24.52</v>
      </c>
      <c r="I300" s="160"/>
      <c r="L300" s="156"/>
      <c r="N300" s="219"/>
      <c r="O300" s="220"/>
      <c r="Q300" s="232"/>
      <c r="DD300" s="161"/>
      <c r="DK300" s="162"/>
      <c r="EK300" s="157" t="s">
        <v>301</v>
      </c>
      <c r="EL300" s="157" t="s">
        <v>83</v>
      </c>
      <c r="EM300" s="13" t="s">
        <v>95</v>
      </c>
      <c r="EN300" s="13" t="s">
        <v>32</v>
      </c>
      <c r="EO300" s="13" t="s">
        <v>81</v>
      </c>
      <c r="EP300" s="157" t="s">
        <v>282</v>
      </c>
    </row>
    <row r="301" spans="2:160" s="1" customFormat="1" ht="24.2" customHeight="1" x14ac:dyDescent="0.2">
      <c r="B301" s="124"/>
      <c r="C301" s="125" t="s">
        <v>562</v>
      </c>
      <c r="D301" s="125" t="s">
        <v>284</v>
      </c>
      <c r="E301" s="126" t="s">
        <v>705</v>
      </c>
      <c r="F301" s="127" t="s">
        <v>706</v>
      </c>
      <c r="G301" s="128" t="s">
        <v>418</v>
      </c>
      <c r="H301" s="129">
        <v>343.28</v>
      </c>
      <c r="I301" s="130">
        <v>3.1192340975392101</v>
      </c>
      <c r="J301" s="131">
        <f>ROUND(I301*H301,2)</f>
        <v>1070.77</v>
      </c>
      <c r="K301" s="127" t="s">
        <v>293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343.28</v>
      </c>
      <c r="Q301" s="287">
        <f>ROUND(P301*I301,2)</f>
        <v>1070.77</v>
      </c>
      <c r="R301" s="137"/>
      <c r="S301" s="269">
        <f>W301+Y301+AA301+AC301+AE301+AG301+AI301</f>
        <v>0</v>
      </c>
      <c r="T301" s="269">
        <f>ROUND(S301*I301,2)</f>
        <v>0</v>
      </c>
      <c r="U301" s="269">
        <f>H301-S301</f>
        <v>343.28</v>
      </c>
      <c r="V301" s="269">
        <f>ROUND(U301*I301,2)</f>
        <v>1070.77</v>
      </c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DD301" s="132" t="s">
        <v>1</v>
      </c>
      <c r="DE301" s="133" t="s">
        <v>40</v>
      </c>
      <c r="DG301" s="134">
        <f>DF301*H301</f>
        <v>0</v>
      </c>
      <c r="DH301" s="134">
        <v>0</v>
      </c>
      <c r="DI301" s="134">
        <f>DH301*H301</f>
        <v>0</v>
      </c>
      <c r="DJ301" s="134">
        <v>0</v>
      </c>
      <c r="DK301" s="135">
        <f>DJ301*H301</f>
        <v>0</v>
      </c>
      <c r="EI301" s="136" t="s">
        <v>95</v>
      </c>
      <c r="EK301" s="136" t="s">
        <v>284</v>
      </c>
      <c r="EL301" s="136" t="s">
        <v>83</v>
      </c>
      <c r="EP301" s="16" t="s">
        <v>282</v>
      </c>
      <c r="EV301" s="137">
        <f>IF(DE301="základní",J301,0)</f>
        <v>1070.77</v>
      </c>
      <c r="EW301" s="137">
        <f>IF(DE301="snížená",J301,0)</f>
        <v>0</v>
      </c>
      <c r="EX301" s="137">
        <f>IF(DE301="zákl. přenesená",J301,0)</f>
        <v>0</v>
      </c>
      <c r="EY301" s="137">
        <f>IF(DE301="sníž. přenesená",J301,0)</f>
        <v>0</v>
      </c>
      <c r="EZ301" s="137">
        <f>IF(DE301="nulová",J301,0)</f>
        <v>0</v>
      </c>
      <c r="FA301" s="16" t="s">
        <v>81</v>
      </c>
      <c r="FB301" s="137">
        <f>ROUND(I301*H301,2)</f>
        <v>1070.77</v>
      </c>
      <c r="FC301" s="16" t="s">
        <v>95</v>
      </c>
      <c r="FD301" s="136" t="s">
        <v>2267</v>
      </c>
    </row>
    <row r="302" spans="2:160" s="1" customFormat="1" ht="29.25" x14ac:dyDescent="0.2">
      <c r="B302" s="31"/>
      <c r="D302" s="138" t="s">
        <v>289</v>
      </c>
      <c r="F302" s="139" t="s">
        <v>708</v>
      </c>
      <c r="I302" s="140"/>
      <c r="L302" s="31"/>
      <c r="N302" s="213"/>
      <c r="O302" s="214"/>
      <c r="Q302" s="229"/>
      <c r="DD302" s="141"/>
      <c r="DK302" s="50"/>
      <c r="EK302" s="16" t="s">
        <v>289</v>
      </c>
      <c r="EL302" s="16" t="s">
        <v>83</v>
      </c>
    </row>
    <row r="303" spans="2:160" s="12" customFormat="1" x14ac:dyDescent="0.2">
      <c r="B303" s="149"/>
      <c r="D303" s="138" t="s">
        <v>301</v>
      </c>
      <c r="E303" s="150" t="s">
        <v>1</v>
      </c>
      <c r="F303" s="151" t="s">
        <v>2119</v>
      </c>
      <c r="H303" s="152">
        <v>20.462</v>
      </c>
      <c r="I303" s="153"/>
      <c r="L303" s="149"/>
      <c r="N303" s="217"/>
      <c r="O303" s="218"/>
      <c r="Q303" s="231"/>
      <c r="DD303" s="154"/>
      <c r="DK303" s="155"/>
      <c r="EK303" s="150" t="s">
        <v>301</v>
      </c>
      <c r="EL303" s="150" t="s">
        <v>83</v>
      </c>
      <c r="EM303" s="12" t="s">
        <v>83</v>
      </c>
      <c r="EN303" s="12" t="s">
        <v>32</v>
      </c>
      <c r="EO303" s="12" t="s">
        <v>74</v>
      </c>
      <c r="EP303" s="150" t="s">
        <v>282</v>
      </c>
    </row>
    <row r="304" spans="2:160" s="12" customFormat="1" x14ac:dyDescent="0.2">
      <c r="B304" s="149"/>
      <c r="D304" s="138" t="s">
        <v>301</v>
      </c>
      <c r="E304" s="150" t="s">
        <v>1</v>
      </c>
      <c r="F304" s="151" t="s">
        <v>2120</v>
      </c>
      <c r="H304" s="152">
        <v>4.0579999999999998</v>
      </c>
      <c r="I304" s="153"/>
      <c r="L304" s="149"/>
      <c r="N304" s="217"/>
      <c r="O304" s="218"/>
      <c r="Q304" s="231"/>
      <c r="DD304" s="154"/>
      <c r="DK304" s="155"/>
      <c r="EK304" s="150" t="s">
        <v>301</v>
      </c>
      <c r="EL304" s="150" t="s">
        <v>83</v>
      </c>
      <c r="EM304" s="12" t="s">
        <v>83</v>
      </c>
      <c r="EN304" s="12" t="s">
        <v>32</v>
      </c>
      <c r="EO304" s="12" t="s">
        <v>74</v>
      </c>
      <c r="EP304" s="150" t="s">
        <v>282</v>
      </c>
    </row>
    <row r="305" spans="2:160" s="13" customFormat="1" x14ac:dyDescent="0.2">
      <c r="B305" s="156"/>
      <c r="D305" s="138" t="s">
        <v>301</v>
      </c>
      <c r="E305" s="157" t="s">
        <v>1</v>
      </c>
      <c r="F305" s="158" t="s">
        <v>305</v>
      </c>
      <c r="H305" s="159">
        <v>24.52</v>
      </c>
      <c r="I305" s="160"/>
      <c r="L305" s="156"/>
      <c r="N305" s="219"/>
      <c r="O305" s="220"/>
      <c r="Q305" s="232"/>
      <c r="DD305" s="161"/>
      <c r="DK305" s="162"/>
      <c r="EK305" s="157" t="s">
        <v>301</v>
      </c>
      <c r="EL305" s="157" t="s">
        <v>83</v>
      </c>
      <c r="EM305" s="13" t="s">
        <v>95</v>
      </c>
      <c r="EN305" s="13" t="s">
        <v>32</v>
      </c>
      <c r="EO305" s="13" t="s">
        <v>81</v>
      </c>
      <c r="EP305" s="157" t="s">
        <v>282</v>
      </c>
    </row>
    <row r="306" spans="2:160" s="12" customFormat="1" x14ac:dyDescent="0.2">
      <c r="B306" s="149"/>
      <c r="D306" s="138" t="s">
        <v>301</v>
      </c>
      <c r="F306" s="151" t="s">
        <v>2122</v>
      </c>
      <c r="H306" s="152">
        <v>343.28</v>
      </c>
      <c r="I306" s="153"/>
      <c r="L306" s="149"/>
      <c r="N306" s="217"/>
      <c r="O306" s="218"/>
      <c r="Q306" s="231"/>
      <c r="DD306" s="154"/>
      <c r="DK306" s="155"/>
      <c r="EK306" s="150" t="s">
        <v>301</v>
      </c>
      <c r="EL306" s="150" t="s">
        <v>83</v>
      </c>
      <c r="EM306" s="12" t="s">
        <v>83</v>
      </c>
      <c r="EN306" s="12" t="s">
        <v>3</v>
      </c>
      <c r="EO306" s="12" t="s">
        <v>81</v>
      </c>
      <c r="EP306" s="150" t="s">
        <v>282</v>
      </c>
    </row>
    <row r="307" spans="2:160" s="1" customFormat="1" ht="24.2" customHeight="1" x14ac:dyDescent="0.2">
      <c r="B307" s="124"/>
      <c r="C307" s="125" t="s">
        <v>568</v>
      </c>
      <c r="D307" s="125" t="s">
        <v>284</v>
      </c>
      <c r="E307" s="126" t="s">
        <v>711</v>
      </c>
      <c r="F307" s="127" t="s">
        <v>712</v>
      </c>
      <c r="G307" s="128" t="s">
        <v>418</v>
      </c>
      <c r="H307" s="129">
        <v>24.52</v>
      </c>
      <c r="I307" s="130">
        <v>155.98322812074767</v>
      </c>
      <c r="J307" s="131">
        <f>ROUND(I307*H307,2)</f>
        <v>3824.71</v>
      </c>
      <c r="K307" s="127" t="s">
        <v>293</v>
      </c>
      <c r="L307" s="268">
        <f>S307</f>
        <v>0</v>
      </c>
      <c r="M307" s="272">
        <f>ROUND(L307*I307,2)</f>
        <v>0</v>
      </c>
      <c r="N307" s="243"/>
      <c r="O307" s="294">
        <f>ROUND(N307*I307,2)</f>
        <v>0</v>
      </c>
      <c r="P307" s="273">
        <f>H307-L307-N307</f>
        <v>24.52</v>
      </c>
      <c r="Q307" s="287">
        <f>ROUND(P307*I307,2)</f>
        <v>3824.71</v>
      </c>
      <c r="R307" s="137"/>
      <c r="S307" s="269">
        <f>W307+Y307+AA307+AC307+AE307+AG307+AI307</f>
        <v>0</v>
      </c>
      <c r="T307" s="269">
        <f>ROUND(S307*I307,2)</f>
        <v>0</v>
      </c>
      <c r="U307" s="269">
        <f>H307-S307</f>
        <v>24.52</v>
      </c>
      <c r="V307" s="269">
        <f>ROUND(U307*I307,2)</f>
        <v>3824.71</v>
      </c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DD307" s="132" t="s">
        <v>1</v>
      </c>
      <c r="DE307" s="133" t="s">
        <v>40</v>
      </c>
      <c r="DG307" s="134">
        <f>DF307*H307</f>
        <v>0</v>
      </c>
      <c r="DH307" s="134">
        <v>0</v>
      </c>
      <c r="DI307" s="134">
        <f>DH307*H307</f>
        <v>0</v>
      </c>
      <c r="DJ307" s="134">
        <v>0</v>
      </c>
      <c r="DK307" s="135">
        <f>DJ307*H307</f>
        <v>0</v>
      </c>
      <c r="EI307" s="136" t="s">
        <v>95</v>
      </c>
      <c r="EK307" s="136" t="s">
        <v>284</v>
      </c>
      <c r="EL307" s="136" t="s">
        <v>83</v>
      </c>
      <c r="EP307" s="16" t="s">
        <v>282</v>
      </c>
      <c r="EV307" s="137">
        <f>IF(DE307="základní",J307,0)</f>
        <v>3824.71</v>
      </c>
      <c r="EW307" s="137">
        <f>IF(DE307="snížená",J307,0)</f>
        <v>0</v>
      </c>
      <c r="EX307" s="137">
        <f>IF(DE307="zákl. přenesená",J307,0)</f>
        <v>0</v>
      </c>
      <c r="EY307" s="137">
        <f>IF(DE307="sníž. přenesená",J307,0)</f>
        <v>0</v>
      </c>
      <c r="EZ307" s="137">
        <f>IF(DE307="nulová",J307,0)</f>
        <v>0</v>
      </c>
      <c r="FA307" s="16" t="s">
        <v>81</v>
      </c>
      <c r="FB307" s="137">
        <f>ROUND(I307*H307,2)</f>
        <v>3824.71</v>
      </c>
      <c r="FC307" s="16" t="s">
        <v>95</v>
      </c>
      <c r="FD307" s="136" t="s">
        <v>2268</v>
      </c>
    </row>
    <row r="308" spans="2:160" s="1" customFormat="1" x14ac:dyDescent="0.2">
      <c r="B308" s="31"/>
      <c r="D308" s="138" t="s">
        <v>289</v>
      </c>
      <c r="F308" s="139" t="s">
        <v>714</v>
      </c>
      <c r="I308" s="140"/>
      <c r="L308" s="31"/>
      <c r="N308" s="213"/>
      <c r="O308" s="214"/>
      <c r="Q308" s="229"/>
      <c r="DD308" s="141"/>
      <c r="DK308" s="50"/>
      <c r="EK308" s="16" t="s">
        <v>289</v>
      </c>
      <c r="EL308" s="16" t="s">
        <v>83</v>
      </c>
    </row>
    <row r="309" spans="2:160" s="1" customFormat="1" ht="37.9" customHeight="1" x14ac:dyDescent="0.2">
      <c r="B309" s="124"/>
      <c r="C309" s="125" t="s">
        <v>572</v>
      </c>
      <c r="D309" s="125" t="s">
        <v>284</v>
      </c>
      <c r="E309" s="126" t="s">
        <v>716</v>
      </c>
      <c r="F309" s="127" t="s">
        <v>420</v>
      </c>
      <c r="G309" s="128" t="s">
        <v>418</v>
      </c>
      <c r="H309" s="129">
        <v>20.462</v>
      </c>
      <c r="I309" s="130">
        <v>110.6455721</v>
      </c>
      <c r="J309" s="131">
        <f>ROUND(I309*H309,2)</f>
        <v>2264.0300000000002</v>
      </c>
      <c r="K309" s="127" t="s">
        <v>293</v>
      </c>
      <c r="L309" s="268">
        <f>S309</f>
        <v>0</v>
      </c>
      <c r="M309" s="272">
        <f>ROUND(L309*I309,2)</f>
        <v>0</v>
      </c>
      <c r="N309" s="243"/>
      <c r="O309" s="294">
        <f>ROUND(N309*I309,2)</f>
        <v>0</v>
      </c>
      <c r="P309" s="273">
        <f>H309-L309-N309</f>
        <v>20.462</v>
      </c>
      <c r="Q309" s="287">
        <f>ROUND(P309*I309,2)</f>
        <v>2264.0300000000002</v>
      </c>
      <c r="R309" s="137"/>
      <c r="S309" s="269">
        <f>W309+Y309+AA309+AC309+AE309+AG309+AI309</f>
        <v>0</v>
      </c>
      <c r="T309" s="269">
        <f>ROUND(S309*I309,2)</f>
        <v>0</v>
      </c>
      <c r="U309" s="269">
        <f>H309-S309</f>
        <v>20.462</v>
      </c>
      <c r="V309" s="269">
        <f>ROUND(U309*I309,2)</f>
        <v>2264.0300000000002</v>
      </c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DD309" s="132" t="s">
        <v>1</v>
      </c>
      <c r="DE309" s="133" t="s">
        <v>40</v>
      </c>
      <c r="DG309" s="134">
        <f>DF309*H309</f>
        <v>0</v>
      </c>
      <c r="DH309" s="134">
        <v>0</v>
      </c>
      <c r="DI309" s="134">
        <f>DH309*H309</f>
        <v>0</v>
      </c>
      <c r="DJ309" s="134">
        <v>0</v>
      </c>
      <c r="DK309" s="135">
        <f>DJ309*H309</f>
        <v>0</v>
      </c>
      <c r="EI309" s="136" t="s">
        <v>95</v>
      </c>
      <c r="EK309" s="136" t="s">
        <v>284</v>
      </c>
      <c r="EL309" s="136" t="s">
        <v>83</v>
      </c>
      <c r="EP309" s="16" t="s">
        <v>282</v>
      </c>
      <c r="EV309" s="137">
        <f>IF(DE309="základní",J309,0)</f>
        <v>2264.0300000000002</v>
      </c>
      <c r="EW309" s="137">
        <f>IF(DE309="snížená",J309,0)</f>
        <v>0</v>
      </c>
      <c r="EX309" s="137">
        <f>IF(DE309="zákl. přenesená",J309,0)</f>
        <v>0</v>
      </c>
      <c r="EY309" s="137">
        <f>IF(DE309="sníž. přenesená",J309,0)</f>
        <v>0</v>
      </c>
      <c r="EZ309" s="137">
        <f>IF(DE309="nulová",J309,0)</f>
        <v>0</v>
      </c>
      <c r="FA309" s="16" t="s">
        <v>81</v>
      </c>
      <c r="FB309" s="137">
        <f>ROUND(I309*H309,2)</f>
        <v>2264.0300000000002</v>
      </c>
      <c r="FC309" s="16" t="s">
        <v>95</v>
      </c>
      <c r="FD309" s="136" t="s">
        <v>2269</v>
      </c>
    </row>
    <row r="310" spans="2:160" s="1" customFormat="1" ht="29.25" x14ac:dyDescent="0.2">
      <c r="B310" s="31"/>
      <c r="D310" s="138" t="s">
        <v>289</v>
      </c>
      <c r="F310" s="139" t="s">
        <v>420</v>
      </c>
      <c r="I310" s="140"/>
      <c r="L310" s="31"/>
      <c r="N310" s="213"/>
      <c r="O310" s="214"/>
      <c r="Q310" s="229"/>
      <c r="DD310" s="141"/>
      <c r="DK310" s="50"/>
      <c r="EK310" s="16" t="s">
        <v>289</v>
      </c>
      <c r="EL310" s="16" t="s">
        <v>83</v>
      </c>
    </row>
    <row r="311" spans="2:160" s="12" customFormat="1" x14ac:dyDescent="0.2">
      <c r="B311" s="149"/>
      <c r="D311" s="138" t="s">
        <v>301</v>
      </c>
      <c r="E311" s="150" t="s">
        <v>1</v>
      </c>
      <c r="F311" s="151" t="s">
        <v>2119</v>
      </c>
      <c r="H311" s="152">
        <v>20.462</v>
      </c>
      <c r="I311" s="153"/>
      <c r="L311" s="149"/>
      <c r="N311" s="217"/>
      <c r="O311" s="218"/>
      <c r="Q311" s="231"/>
      <c r="DD311" s="154"/>
      <c r="DK311" s="155"/>
      <c r="EK311" s="150" t="s">
        <v>301</v>
      </c>
      <c r="EL311" s="150" t="s">
        <v>83</v>
      </c>
      <c r="EM311" s="12" t="s">
        <v>83</v>
      </c>
      <c r="EN311" s="12" t="s">
        <v>32</v>
      </c>
      <c r="EO311" s="12" t="s">
        <v>81</v>
      </c>
      <c r="EP311" s="150" t="s">
        <v>282</v>
      </c>
    </row>
    <row r="312" spans="2:160" s="1" customFormat="1" ht="37.9" customHeight="1" x14ac:dyDescent="0.2">
      <c r="B312" s="124"/>
      <c r="C312" s="125" t="s">
        <v>576</v>
      </c>
      <c r="D312" s="125" t="s">
        <v>284</v>
      </c>
      <c r="E312" s="126" t="s">
        <v>719</v>
      </c>
      <c r="F312" s="127" t="s">
        <v>720</v>
      </c>
      <c r="G312" s="128" t="s">
        <v>418</v>
      </c>
      <c r="H312" s="129">
        <v>4.0579999999999998</v>
      </c>
      <c r="I312" s="130">
        <v>250.3439285</v>
      </c>
      <c r="J312" s="131">
        <f>ROUND(I312*H312,2)</f>
        <v>1015.9</v>
      </c>
      <c r="K312" s="127" t="s">
        <v>293</v>
      </c>
      <c r="L312" s="268">
        <f>S312</f>
        <v>0</v>
      </c>
      <c r="M312" s="272">
        <f>ROUND(L312*I312,2)</f>
        <v>0</v>
      </c>
      <c r="N312" s="243"/>
      <c r="O312" s="294">
        <f>ROUND(N312*I312,2)</f>
        <v>0</v>
      </c>
      <c r="P312" s="273">
        <f>H312-L312-N312</f>
        <v>4.0579999999999998</v>
      </c>
      <c r="Q312" s="287">
        <f>ROUND(P312*I312,2)</f>
        <v>1015.9</v>
      </c>
      <c r="R312" s="137"/>
      <c r="S312" s="269">
        <f>W312+Y312+AA312+AC312+AE312+AG312+AI312</f>
        <v>0</v>
      </c>
      <c r="T312" s="269">
        <f>ROUND(S312*I312,2)</f>
        <v>0</v>
      </c>
      <c r="U312" s="269">
        <f>H312-S312</f>
        <v>4.0579999999999998</v>
      </c>
      <c r="V312" s="269">
        <f>ROUND(U312*I312,2)</f>
        <v>1015.9</v>
      </c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DD312" s="132" t="s">
        <v>1</v>
      </c>
      <c r="DE312" s="133" t="s">
        <v>40</v>
      </c>
      <c r="DG312" s="134">
        <f>DF312*H312</f>
        <v>0</v>
      </c>
      <c r="DH312" s="134">
        <v>0</v>
      </c>
      <c r="DI312" s="134">
        <f>DH312*H312</f>
        <v>0</v>
      </c>
      <c r="DJ312" s="134">
        <v>0</v>
      </c>
      <c r="DK312" s="135">
        <f>DJ312*H312</f>
        <v>0</v>
      </c>
      <c r="EI312" s="136" t="s">
        <v>95</v>
      </c>
      <c r="EK312" s="136" t="s">
        <v>284</v>
      </c>
      <c r="EL312" s="136" t="s">
        <v>83</v>
      </c>
      <c r="EP312" s="16" t="s">
        <v>282</v>
      </c>
      <c r="EV312" s="137">
        <f>IF(DE312="základní",J312,0)</f>
        <v>1015.9</v>
      </c>
      <c r="EW312" s="137">
        <f>IF(DE312="snížená",J312,0)</f>
        <v>0</v>
      </c>
      <c r="EX312" s="137">
        <f>IF(DE312="zákl. přenesená",J312,0)</f>
        <v>0</v>
      </c>
      <c r="EY312" s="137">
        <f>IF(DE312="sníž. přenesená",J312,0)</f>
        <v>0</v>
      </c>
      <c r="EZ312" s="137">
        <f>IF(DE312="nulová",J312,0)</f>
        <v>0</v>
      </c>
      <c r="FA312" s="16" t="s">
        <v>81</v>
      </c>
      <c r="FB312" s="137">
        <f>ROUND(I312*H312,2)</f>
        <v>1015.9</v>
      </c>
      <c r="FC312" s="16" t="s">
        <v>95</v>
      </c>
      <c r="FD312" s="136" t="s">
        <v>2270</v>
      </c>
    </row>
    <row r="313" spans="2:160" s="1" customFormat="1" ht="29.25" x14ac:dyDescent="0.2">
      <c r="B313" s="31"/>
      <c r="D313" s="138" t="s">
        <v>289</v>
      </c>
      <c r="F313" s="139" t="s">
        <v>720</v>
      </c>
      <c r="I313" s="140"/>
      <c r="L313" s="31"/>
      <c r="N313" s="213"/>
      <c r="O313" s="214"/>
      <c r="Q313" s="229"/>
      <c r="DD313" s="141"/>
      <c r="DK313" s="50"/>
      <c r="EK313" s="16" t="s">
        <v>289</v>
      </c>
      <c r="EL313" s="16" t="s">
        <v>83</v>
      </c>
    </row>
    <row r="314" spans="2:160" s="12" customFormat="1" x14ac:dyDescent="0.2">
      <c r="B314" s="149"/>
      <c r="D314" s="138" t="s">
        <v>301</v>
      </c>
      <c r="E314" s="150" t="s">
        <v>1</v>
      </c>
      <c r="F314" s="151" t="s">
        <v>2120</v>
      </c>
      <c r="H314" s="152">
        <v>4.0579999999999998</v>
      </c>
      <c r="I314" s="153"/>
      <c r="L314" s="149"/>
      <c r="N314" s="217"/>
      <c r="O314" s="218"/>
      <c r="Q314" s="231"/>
      <c r="DD314" s="154"/>
      <c r="DK314" s="155"/>
      <c r="EK314" s="150" t="s">
        <v>301</v>
      </c>
      <c r="EL314" s="150" t="s">
        <v>83</v>
      </c>
      <c r="EM314" s="12" t="s">
        <v>83</v>
      </c>
      <c r="EN314" s="12" t="s">
        <v>32</v>
      </c>
      <c r="EO314" s="12" t="s">
        <v>81</v>
      </c>
      <c r="EP314" s="150" t="s">
        <v>282</v>
      </c>
    </row>
    <row r="315" spans="2:160" s="10" customFormat="1" ht="22.9" customHeight="1" x14ac:dyDescent="0.2">
      <c r="B315" s="112"/>
      <c r="D315" s="113" t="s">
        <v>73</v>
      </c>
      <c r="E315" s="122" t="s">
        <v>722</v>
      </c>
      <c r="F315" s="122" t="s">
        <v>723</v>
      </c>
      <c r="I315" s="115"/>
      <c r="J315" s="123">
        <f>FB315</f>
        <v>13206.42</v>
      </c>
      <c r="L315" s="112"/>
      <c r="M315" s="270">
        <f>M316</f>
        <v>0</v>
      </c>
      <c r="N315" s="301"/>
      <c r="O315" s="302">
        <f t="shared" ref="O315:V315" si="8">O316</f>
        <v>0</v>
      </c>
      <c r="P315" s="270"/>
      <c r="Q315" s="288">
        <f t="shared" si="8"/>
        <v>13206.42</v>
      </c>
      <c r="R315" s="270"/>
      <c r="S315" s="270"/>
      <c r="T315" s="270">
        <f t="shared" si="8"/>
        <v>0</v>
      </c>
      <c r="U315" s="270"/>
      <c r="V315" s="270">
        <f t="shared" si="8"/>
        <v>13206.42</v>
      </c>
      <c r="DD315" s="117"/>
      <c r="DG315" s="118">
        <f>SUM(DG316:DG319)</f>
        <v>0</v>
      </c>
      <c r="DI315" s="118">
        <f>SUM(DI316:DI319)</f>
        <v>0</v>
      </c>
      <c r="DK315" s="119">
        <f>SUM(DK316:DK319)</f>
        <v>0</v>
      </c>
      <c r="EI315" s="113" t="s">
        <v>81</v>
      </c>
      <c r="EK315" s="120" t="s">
        <v>73</v>
      </c>
      <c r="EL315" s="120" t="s">
        <v>81</v>
      </c>
      <c r="EP315" s="113" t="s">
        <v>282</v>
      </c>
      <c r="FB315" s="121">
        <f>SUM(FB316:FB319)</f>
        <v>13206.42</v>
      </c>
    </row>
    <row r="316" spans="2:160" s="1" customFormat="1" ht="24.2" customHeight="1" x14ac:dyDescent="0.2">
      <c r="B316" s="124"/>
      <c r="C316" s="125" t="s">
        <v>581</v>
      </c>
      <c r="D316" s="125" t="s">
        <v>284</v>
      </c>
      <c r="E316" s="126" t="s">
        <v>1964</v>
      </c>
      <c r="F316" s="127" t="s">
        <v>1965</v>
      </c>
      <c r="G316" s="128" t="s">
        <v>418</v>
      </c>
      <c r="H316" s="129">
        <v>21.169</v>
      </c>
      <c r="I316" s="130">
        <v>623.85641047656759</v>
      </c>
      <c r="J316" s="131">
        <f>ROUND(I316*H316,2)</f>
        <v>13206.42</v>
      </c>
      <c r="K316" s="127" t="s">
        <v>293</v>
      </c>
      <c r="L316" s="268">
        <f>S316</f>
        <v>0</v>
      </c>
      <c r="M316" s="272">
        <f>ROUND(L316*I316,2)</f>
        <v>0</v>
      </c>
      <c r="N316" s="243"/>
      <c r="O316" s="294">
        <f>ROUND(N316*I316,2)</f>
        <v>0</v>
      </c>
      <c r="P316" s="273">
        <f>H316-L316-N316</f>
        <v>21.169</v>
      </c>
      <c r="Q316" s="287">
        <f>ROUND(P316*I316,2)</f>
        <v>13206.42</v>
      </c>
      <c r="R316" s="137"/>
      <c r="S316" s="269">
        <f>W316+Y316+AA316+AC316+AE316+AG316+AI316</f>
        <v>0</v>
      </c>
      <c r="T316" s="269">
        <f>ROUND(S316*I316,2)</f>
        <v>0</v>
      </c>
      <c r="U316" s="269">
        <f>H316-S316</f>
        <v>21.169</v>
      </c>
      <c r="V316" s="269">
        <f>ROUND(U316*I316,2)</f>
        <v>13206.42</v>
      </c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DD316" s="132" t="s">
        <v>1</v>
      </c>
      <c r="DE316" s="133" t="s">
        <v>40</v>
      </c>
      <c r="DG316" s="134">
        <f>DF316*H316</f>
        <v>0</v>
      </c>
      <c r="DH316" s="134">
        <v>0</v>
      </c>
      <c r="DI316" s="134">
        <f>DH316*H316</f>
        <v>0</v>
      </c>
      <c r="DJ316" s="134">
        <v>0</v>
      </c>
      <c r="DK316" s="135">
        <f>DJ316*H316</f>
        <v>0</v>
      </c>
      <c r="EI316" s="136" t="s">
        <v>95</v>
      </c>
      <c r="EK316" s="136" t="s">
        <v>284</v>
      </c>
      <c r="EL316" s="136" t="s">
        <v>83</v>
      </c>
      <c r="EP316" s="16" t="s">
        <v>282</v>
      </c>
      <c r="EV316" s="137">
        <f>IF(DE316="základní",J316,0)</f>
        <v>13206.42</v>
      </c>
      <c r="EW316" s="137">
        <f>IF(DE316="snížená",J316,0)</f>
        <v>0</v>
      </c>
      <c r="EX316" s="137">
        <f>IF(DE316="zákl. přenesená",J316,0)</f>
        <v>0</v>
      </c>
      <c r="EY316" s="137">
        <f>IF(DE316="sníž. přenesená",J316,0)</f>
        <v>0</v>
      </c>
      <c r="EZ316" s="137">
        <f>IF(DE316="nulová",J316,0)</f>
        <v>0</v>
      </c>
      <c r="FA316" s="16" t="s">
        <v>81</v>
      </c>
      <c r="FB316" s="137">
        <f>ROUND(I316*H316,2)</f>
        <v>13206.42</v>
      </c>
      <c r="FC316" s="16" t="s">
        <v>95</v>
      </c>
      <c r="FD316" s="136" t="s">
        <v>2271</v>
      </c>
    </row>
    <row r="317" spans="2:160" s="1" customFormat="1" ht="39" x14ac:dyDescent="0.2">
      <c r="B317" s="31"/>
      <c r="D317" s="138" t="s">
        <v>289</v>
      </c>
      <c r="F317" s="139" t="s">
        <v>1967</v>
      </c>
      <c r="I317" s="140"/>
      <c r="L317" s="31"/>
      <c r="N317" s="213"/>
      <c r="O317" s="214"/>
      <c r="Q317" s="229"/>
      <c r="DD317" s="141"/>
      <c r="DK317" s="50"/>
      <c r="EK317" s="16" t="s">
        <v>289</v>
      </c>
      <c r="EL317" s="16" t="s">
        <v>83</v>
      </c>
    </row>
    <row r="318" spans="2:160" s="11" customFormat="1" x14ac:dyDescent="0.2">
      <c r="B318" s="143"/>
      <c r="D318" s="138" t="s">
        <v>301</v>
      </c>
      <c r="E318" s="144" t="s">
        <v>1</v>
      </c>
      <c r="F318" s="145" t="s">
        <v>729</v>
      </c>
      <c r="H318" s="144" t="s">
        <v>1</v>
      </c>
      <c r="I318" s="146"/>
      <c r="L318" s="143"/>
      <c r="N318" s="215"/>
      <c r="O318" s="216"/>
      <c r="Q318" s="230"/>
      <c r="DD318" s="147"/>
      <c r="DK318" s="148"/>
      <c r="EK318" s="144" t="s">
        <v>301</v>
      </c>
      <c r="EL318" s="144" t="s">
        <v>83</v>
      </c>
      <c r="EM318" s="11" t="s">
        <v>81</v>
      </c>
      <c r="EN318" s="11" t="s">
        <v>32</v>
      </c>
      <c r="EO318" s="11" t="s">
        <v>74</v>
      </c>
      <c r="EP318" s="144" t="s">
        <v>282</v>
      </c>
    </row>
    <row r="319" spans="2:160" s="12" customFormat="1" x14ac:dyDescent="0.2">
      <c r="B319" s="149"/>
      <c r="D319" s="138" t="s">
        <v>301</v>
      </c>
      <c r="E319" s="150" t="s">
        <v>1</v>
      </c>
      <c r="F319" s="151" t="s">
        <v>2272</v>
      </c>
      <c r="H319" s="152">
        <v>21.169</v>
      </c>
      <c r="I319" s="153"/>
      <c r="L319" s="149"/>
      <c r="N319" s="217"/>
      <c r="O319" s="218"/>
      <c r="Q319" s="231"/>
      <c r="DD319" s="179"/>
      <c r="DE319" s="180"/>
      <c r="DF319" s="180"/>
      <c r="DG319" s="180"/>
      <c r="DH319" s="180"/>
      <c r="DI319" s="180"/>
      <c r="DJ319" s="180"/>
      <c r="DK319" s="181"/>
      <c r="EK319" s="150" t="s">
        <v>301</v>
      </c>
      <c r="EL319" s="150" t="s">
        <v>83</v>
      </c>
      <c r="EM319" s="12" t="s">
        <v>83</v>
      </c>
      <c r="EN319" s="12" t="s">
        <v>32</v>
      </c>
      <c r="EO319" s="12" t="s">
        <v>81</v>
      </c>
      <c r="EP319" s="150" t="s">
        <v>282</v>
      </c>
    </row>
    <row r="320" spans="2:160" s="1" customFormat="1" ht="6.95" customHeight="1" thickBot="1" x14ac:dyDescent="0.25">
      <c r="B320" s="43"/>
      <c r="C320" s="44"/>
      <c r="D320" s="44"/>
      <c r="E320" s="44"/>
      <c r="F320" s="44"/>
      <c r="G320" s="44"/>
      <c r="H320" s="44"/>
      <c r="I320" s="44"/>
      <c r="J320" s="44"/>
      <c r="K320" s="44"/>
      <c r="L320" s="235"/>
      <c r="M320" s="237"/>
      <c r="N320" s="239"/>
      <c r="O320" s="240"/>
      <c r="P320" s="238"/>
      <c r="Q320" s="241"/>
      <c r="S320" s="23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  <c r="AG320" s="236"/>
      <c r="AH320" s="236"/>
      <c r="AI320" s="236"/>
      <c r="AJ320" s="236"/>
    </row>
  </sheetData>
  <autoFilter ref="C123:K319"/>
  <mergeCells count="26">
    <mergeCell ref="AE124:AF124"/>
    <mergeCell ref="AG124:AH124"/>
    <mergeCell ref="AI124:AJ124"/>
    <mergeCell ref="U124:V124"/>
    <mergeCell ref="W124:X124"/>
    <mergeCell ref="Y124:Z124"/>
    <mergeCell ref="AA124:AB124"/>
    <mergeCell ref="AC124:AD124"/>
    <mergeCell ref="L123:Q123"/>
    <mergeCell ref="L124:M124"/>
    <mergeCell ref="N124:O124"/>
    <mergeCell ref="P124:Q124"/>
    <mergeCell ref="S124:T124"/>
    <mergeCell ref="G122:K122"/>
    <mergeCell ref="E117:H117"/>
    <mergeCell ref="L2:DM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windowProtection="1" showGridLines="0" topLeftCell="A114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184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2203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24.75" customHeight="1" x14ac:dyDescent="0.2">
      <c r="B13" s="31"/>
      <c r="E13" s="432" t="s">
        <v>2273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ROUND(J126, 2)</f>
        <v>0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ROUND((SUM(BE126:BE129)),  2)</f>
        <v>0</v>
      </c>
      <c r="I37" s="84">
        <v>0.21</v>
      </c>
      <c r="J37" s="71">
        <f>ROUND(((SUM(BE126:BE129))*I37),  2)</f>
        <v>0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ROUND((SUM(BF126:BF129)),  2)</f>
        <v>0</v>
      </c>
      <c r="I38" s="84">
        <v>0.15</v>
      </c>
      <c r="J38" s="71">
        <f>ROUND(((SUM(BF126:BF129))*I38),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ROUND((SUM(BG126:BG129)),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ROUND((SUM(BH126:BH129)),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ROUND((SUM(BI126:BI129)),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0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2203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24.75" customHeight="1" x14ac:dyDescent="0.2">
      <c r="B91" s="31"/>
      <c r="E91" s="432" t="str">
        <f>E13</f>
        <v>0002 - DSO 09.2 Čerpací stanice ČS11 - zpevněná plocha - součástí dílčího stavebního objektu DSO 09.1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J126</f>
        <v>0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J127</f>
        <v>0</v>
      </c>
      <c r="L101" s="96"/>
    </row>
    <row r="102" spans="2:47" s="8" customFormat="1" ht="19.899999999999999" customHeight="1" x14ac:dyDescent="0.2">
      <c r="B102" s="100"/>
      <c r="D102" s="101" t="s">
        <v>262</v>
      </c>
      <c r="E102" s="102"/>
      <c r="F102" s="102"/>
      <c r="G102" s="102"/>
      <c r="H102" s="102"/>
      <c r="I102" s="102"/>
      <c r="J102" s="103">
        <f>J128</f>
        <v>0</v>
      </c>
      <c r="L102" s="100"/>
    </row>
    <row r="103" spans="2:47" s="1" customFormat="1" ht="21.75" customHeight="1" x14ac:dyDescent="0.2">
      <c r="B103" s="31"/>
      <c r="L103" s="31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 x14ac:dyDescent="0.2">
      <c r="B109" s="31"/>
      <c r="C109" s="20" t="s">
        <v>267</v>
      </c>
      <c r="L109" s="31"/>
    </row>
    <row r="110" spans="2:47" s="1" customFormat="1" ht="6.95" customHeight="1" x14ac:dyDescent="0.2">
      <c r="B110" s="31"/>
      <c r="L110" s="31"/>
    </row>
    <row r="111" spans="2:47" s="1" customFormat="1" ht="12" customHeight="1" x14ac:dyDescent="0.2">
      <c r="B111" s="31"/>
      <c r="C111" s="26" t="s">
        <v>16</v>
      </c>
      <c r="L111" s="31"/>
    </row>
    <row r="112" spans="2:47" s="1" customFormat="1" ht="16.5" customHeight="1" x14ac:dyDescent="0.2">
      <c r="B112" s="31"/>
      <c r="E112" s="434" t="str">
        <f>E7</f>
        <v>Kanalizace Podlesí - I.Etapa</v>
      </c>
      <c r="F112" s="435"/>
      <c r="G112" s="435"/>
      <c r="H112" s="435"/>
      <c r="L112" s="31"/>
    </row>
    <row r="113" spans="2:63" ht="12" customHeight="1" x14ac:dyDescent="0.2">
      <c r="B113" s="19"/>
      <c r="C113" s="26" t="s">
        <v>244</v>
      </c>
      <c r="L113" s="19"/>
    </row>
    <row r="114" spans="2:63" ht="16.5" customHeight="1" x14ac:dyDescent="0.2">
      <c r="B114" s="19"/>
      <c r="E114" s="434" t="s">
        <v>245</v>
      </c>
      <c r="F114" s="399"/>
      <c r="G114" s="399"/>
      <c r="H114" s="399"/>
      <c r="L114" s="19"/>
    </row>
    <row r="115" spans="2:63" ht="12" customHeight="1" x14ac:dyDescent="0.2">
      <c r="B115" s="19"/>
      <c r="C115" s="26" t="s">
        <v>246</v>
      </c>
      <c r="L115" s="19"/>
    </row>
    <row r="116" spans="2:63" s="1" customFormat="1" ht="16.5" customHeight="1" x14ac:dyDescent="0.2">
      <c r="B116" s="31"/>
      <c r="E116" s="401" t="s">
        <v>2203</v>
      </c>
      <c r="F116" s="433"/>
      <c r="G116" s="433"/>
      <c r="H116" s="433"/>
      <c r="L116" s="31"/>
    </row>
    <row r="117" spans="2:63" s="1" customFormat="1" ht="12" customHeight="1" x14ac:dyDescent="0.2">
      <c r="B117" s="31"/>
      <c r="C117" s="26" t="s">
        <v>1790</v>
      </c>
      <c r="L117" s="31"/>
    </row>
    <row r="118" spans="2:63" s="1" customFormat="1" ht="24.75" customHeight="1" x14ac:dyDescent="0.2">
      <c r="B118" s="31"/>
      <c r="E118" s="432" t="str">
        <f>E13</f>
        <v>0002 - DSO 09.2 Čerpací stanice ČS11 - zpevněná plocha - součástí dílčího stavebního objektu DSO 09.1</v>
      </c>
      <c r="F118" s="433"/>
      <c r="G118" s="433"/>
      <c r="H118" s="433"/>
      <c r="L118" s="31"/>
    </row>
    <row r="119" spans="2:63" s="1" customFormat="1" ht="6.95" customHeight="1" x14ac:dyDescent="0.2">
      <c r="B119" s="31"/>
      <c r="L119" s="31"/>
    </row>
    <row r="120" spans="2:63" s="1" customFormat="1" ht="12" customHeight="1" x14ac:dyDescent="0.2">
      <c r="B120" s="31"/>
      <c r="C120" s="26" t="s">
        <v>20</v>
      </c>
      <c r="F120" s="24" t="str">
        <f>F16</f>
        <v xml:space="preserve"> </v>
      </c>
      <c r="I120" s="26" t="s">
        <v>22</v>
      </c>
      <c r="J120" s="48" t="str">
        <f>IF(J16="","",J16)</f>
        <v>18. 11. 2020</v>
      </c>
      <c r="L120" s="31"/>
    </row>
    <row r="121" spans="2:63" s="1" customFormat="1" ht="6.95" customHeight="1" x14ac:dyDescent="0.2">
      <c r="B121" s="31"/>
      <c r="L121" s="31"/>
    </row>
    <row r="122" spans="2:63" s="1" customFormat="1" ht="40.15" customHeight="1" x14ac:dyDescent="0.2">
      <c r="B122" s="31"/>
      <c r="C122" s="26" t="s">
        <v>24</v>
      </c>
      <c r="F122" s="24" t="str">
        <f>E19</f>
        <v>Město Petřvald</v>
      </c>
      <c r="I122" s="26" t="s">
        <v>30</v>
      </c>
      <c r="J122" s="29" t="str">
        <f>E25</f>
        <v>Sweco Hydroprojekt a.s., divize Morava</v>
      </c>
      <c r="L122" s="31"/>
    </row>
    <row r="123" spans="2:63" s="1" customFormat="1" ht="15.2" customHeight="1" x14ac:dyDescent="0.2">
      <c r="B123" s="31"/>
      <c r="C123" s="26" t="s">
        <v>28</v>
      </c>
      <c r="F123" s="24" t="str">
        <f>IF(E22="","",E22)</f>
        <v>Společnost Podlesí se sídlem Žitenická 871/1, 190 00 Praha 9</v>
      </c>
      <c r="I123" s="26" t="s">
        <v>33</v>
      </c>
      <c r="J123" s="29" t="str">
        <f>E28</f>
        <v xml:space="preserve"> </v>
      </c>
      <c r="L123" s="31"/>
    </row>
    <row r="124" spans="2:63" s="1" customFormat="1" ht="10.35" customHeight="1" x14ac:dyDescent="0.2">
      <c r="B124" s="31"/>
      <c r="L124" s="31"/>
    </row>
    <row r="125" spans="2:63" s="9" customFormat="1" ht="29.25" customHeight="1" x14ac:dyDescent="0.2">
      <c r="B125" s="104"/>
      <c r="C125" s="105" t="s">
        <v>268</v>
      </c>
      <c r="D125" s="106" t="s">
        <v>59</v>
      </c>
      <c r="E125" s="106" t="s">
        <v>55</v>
      </c>
      <c r="F125" s="106" t="s">
        <v>56</v>
      </c>
      <c r="G125" s="106" t="s">
        <v>269</v>
      </c>
      <c r="H125" s="106" t="s">
        <v>270</v>
      </c>
      <c r="I125" s="106" t="s">
        <v>271</v>
      </c>
      <c r="J125" s="106" t="s">
        <v>255</v>
      </c>
      <c r="K125" s="107" t="s">
        <v>272</v>
      </c>
      <c r="L125" s="104"/>
      <c r="M125" s="52" t="s">
        <v>1</v>
      </c>
      <c r="N125" s="53" t="s">
        <v>39</v>
      </c>
      <c r="O125" s="53" t="s">
        <v>273</v>
      </c>
      <c r="P125" s="53" t="s">
        <v>274</v>
      </c>
      <c r="Q125" s="53" t="s">
        <v>275</v>
      </c>
      <c r="R125" s="53" t="s">
        <v>276</v>
      </c>
      <c r="S125" s="53" t="s">
        <v>277</v>
      </c>
      <c r="T125" s="54" t="s">
        <v>278</v>
      </c>
    </row>
    <row r="126" spans="2:63" s="1" customFormat="1" ht="22.9" customHeight="1" x14ac:dyDescent="0.25">
      <c r="B126" s="31"/>
      <c r="C126" s="57" t="s">
        <v>279</v>
      </c>
      <c r="J126" s="108">
        <f>BK126</f>
        <v>0</v>
      </c>
      <c r="L126" s="31"/>
      <c r="M126" s="55"/>
      <c r="N126" s="49"/>
      <c r="O126" s="49"/>
      <c r="P126" s="109">
        <f>P127</f>
        <v>0</v>
      </c>
      <c r="Q126" s="49"/>
      <c r="R126" s="109">
        <f>R127</f>
        <v>0</v>
      </c>
      <c r="S126" s="49"/>
      <c r="T126" s="110">
        <f>T127</f>
        <v>0</v>
      </c>
      <c r="AT126" s="16" t="s">
        <v>73</v>
      </c>
      <c r="AU126" s="16" t="s">
        <v>257</v>
      </c>
      <c r="BK126" s="111">
        <f>BK127</f>
        <v>0</v>
      </c>
    </row>
    <row r="127" spans="2:63" s="10" customFormat="1" ht="25.9" customHeight="1" x14ac:dyDescent="0.2">
      <c r="B127" s="112"/>
      <c r="D127" s="113" t="s">
        <v>73</v>
      </c>
      <c r="E127" s="114" t="s">
        <v>280</v>
      </c>
      <c r="F127" s="114" t="s">
        <v>281</v>
      </c>
      <c r="I127" s="115"/>
      <c r="J127" s="116">
        <f>BK127</f>
        <v>0</v>
      </c>
      <c r="L127" s="112"/>
      <c r="M127" s="117"/>
      <c r="P127" s="118">
        <f>P128</f>
        <v>0</v>
      </c>
      <c r="R127" s="118">
        <f>R128</f>
        <v>0</v>
      </c>
      <c r="T127" s="119">
        <f>T128</f>
        <v>0</v>
      </c>
      <c r="AR127" s="113" t="s">
        <v>81</v>
      </c>
      <c r="AT127" s="120" t="s">
        <v>73</v>
      </c>
      <c r="AU127" s="120" t="s">
        <v>74</v>
      </c>
      <c r="AY127" s="113" t="s">
        <v>282</v>
      </c>
      <c r="BK127" s="121">
        <f>BK128</f>
        <v>0</v>
      </c>
    </row>
    <row r="128" spans="2:63" s="10" customFormat="1" ht="22.9" customHeight="1" x14ac:dyDescent="0.2">
      <c r="B128" s="112"/>
      <c r="D128" s="113" t="s">
        <v>73</v>
      </c>
      <c r="E128" s="122" t="s">
        <v>312</v>
      </c>
      <c r="F128" s="122" t="s">
        <v>520</v>
      </c>
      <c r="I128" s="115"/>
      <c r="J128" s="123">
        <f>BK128</f>
        <v>0</v>
      </c>
      <c r="L128" s="112"/>
      <c r="M128" s="117"/>
      <c r="P128" s="118">
        <f>P129</f>
        <v>0</v>
      </c>
      <c r="R128" s="118">
        <f>R129</f>
        <v>0</v>
      </c>
      <c r="T128" s="119">
        <f>T129</f>
        <v>0</v>
      </c>
      <c r="AR128" s="113" t="s">
        <v>81</v>
      </c>
      <c r="AT128" s="120" t="s">
        <v>73</v>
      </c>
      <c r="AU128" s="120" t="s">
        <v>81</v>
      </c>
      <c r="AY128" s="113" t="s">
        <v>282</v>
      </c>
      <c r="BK128" s="121">
        <f>BK129</f>
        <v>0</v>
      </c>
    </row>
    <row r="129" spans="2:65" s="1" customFormat="1" ht="37.9" customHeight="1" x14ac:dyDescent="0.2">
      <c r="B129" s="124"/>
      <c r="C129" s="125" t="s">
        <v>81</v>
      </c>
      <c r="D129" s="125" t="s">
        <v>284</v>
      </c>
      <c r="E129" s="126" t="s">
        <v>1970</v>
      </c>
      <c r="F129" s="127" t="s">
        <v>2274</v>
      </c>
      <c r="G129" s="128" t="s">
        <v>1948</v>
      </c>
      <c r="H129" s="129">
        <v>0</v>
      </c>
      <c r="I129" s="130"/>
      <c r="J129" s="131">
        <f>ROUND(I129*H129,2)</f>
        <v>0</v>
      </c>
      <c r="K129" s="127" t="s">
        <v>1</v>
      </c>
      <c r="L129" s="31"/>
      <c r="M129" s="182" t="s">
        <v>1</v>
      </c>
      <c r="N129" s="183" t="s">
        <v>40</v>
      </c>
      <c r="O129" s="1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36" t="s">
        <v>95</v>
      </c>
      <c r="AT129" s="136" t="s">
        <v>284</v>
      </c>
      <c r="AU129" s="136" t="s">
        <v>83</v>
      </c>
      <c r="AY129" s="16" t="s">
        <v>282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6" t="s">
        <v>81</v>
      </c>
      <c r="BK129" s="137">
        <f>ROUND(I129*H129,2)</f>
        <v>0</v>
      </c>
      <c r="BL129" s="16" t="s">
        <v>95</v>
      </c>
      <c r="BM129" s="136" t="s">
        <v>2275</v>
      </c>
    </row>
    <row r="130" spans="2:65" s="1" customFormat="1" ht="6.95" customHeight="1" x14ac:dyDescent="0.2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H162"/>
  <sheetViews>
    <sheetView windowProtection="1" showGridLines="0" topLeftCell="D110" zoomScale="80" zoomScaleNormal="80" workbookViewId="0">
      <selection activeCell="W122" sqref="W122:AD16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69" width="14.83203125" customWidth="1"/>
    <col min="70" max="70" width="16.33203125" customWidth="1"/>
    <col min="71" max="71" width="12.33203125" customWidth="1"/>
    <col min="72" max="72" width="15" customWidth="1"/>
    <col min="73" max="73" width="11" customWidth="1"/>
    <col min="74" max="74" width="15" customWidth="1"/>
    <col min="75" max="75" width="16.33203125" customWidth="1"/>
    <col min="76" max="76" width="11" customWidth="1"/>
    <col min="77" max="77" width="15" customWidth="1"/>
    <col min="78" max="78" width="16.33203125" customWidth="1"/>
    <col min="91" max="112" width="9.33203125" hidden="1"/>
  </cols>
  <sheetData>
    <row r="1" spans="2:93" hidden="1" x14ac:dyDescent="0.2"/>
    <row r="2" spans="2:93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CO2" s="16" t="s">
        <v>186</v>
      </c>
    </row>
    <row r="3" spans="2:93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O3" s="16" t="s">
        <v>83</v>
      </c>
    </row>
    <row r="4" spans="2:93" ht="24.95" hidden="1" customHeight="1" x14ac:dyDescent="0.2">
      <c r="B4" s="19"/>
      <c r="D4" s="20" t="s">
        <v>243</v>
      </c>
      <c r="L4" s="19"/>
      <c r="BH4" s="79" t="s">
        <v>10</v>
      </c>
      <c r="CO4" s="16" t="s">
        <v>3</v>
      </c>
    </row>
    <row r="5" spans="2:93" ht="6.95" hidden="1" customHeight="1" x14ac:dyDescent="0.2">
      <c r="B5" s="19"/>
      <c r="L5" s="19"/>
    </row>
    <row r="6" spans="2:93" ht="12" hidden="1" customHeight="1" x14ac:dyDescent="0.2">
      <c r="B6" s="19"/>
      <c r="D6" s="26" t="s">
        <v>16</v>
      </c>
      <c r="L6" s="19"/>
    </row>
    <row r="7" spans="2:93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93" ht="12.75" hidden="1" x14ac:dyDescent="0.2">
      <c r="B8" s="19"/>
      <c r="D8" s="26" t="s">
        <v>244</v>
      </c>
      <c r="L8" s="19"/>
    </row>
    <row r="9" spans="2:93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93" ht="12" hidden="1" customHeight="1" x14ac:dyDescent="0.2">
      <c r="B10" s="19"/>
      <c r="D10" s="26" t="s">
        <v>246</v>
      </c>
      <c r="L10" s="19"/>
    </row>
    <row r="11" spans="2:93" s="1" customFormat="1" ht="16.5" hidden="1" customHeight="1" x14ac:dyDescent="0.2">
      <c r="B11" s="31"/>
      <c r="E11" s="401" t="s">
        <v>2203</v>
      </c>
      <c r="F11" s="433"/>
      <c r="G11" s="433"/>
      <c r="H11" s="433"/>
      <c r="L11" s="31"/>
    </row>
    <row r="12" spans="2:93" s="1" customFormat="1" ht="12" hidden="1" customHeight="1" x14ac:dyDescent="0.2">
      <c r="B12" s="31"/>
      <c r="D12" s="26" t="s">
        <v>1790</v>
      </c>
      <c r="L12" s="31"/>
    </row>
    <row r="13" spans="2:93" s="1" customFormat="1" ht="16.5" hidden="1" customHeight="1" x14ac:dyDescent="0.2">
      <c r="B13" s="31"/>
      <c r="E13" s="432" t="s">
        <v>2276</v>
      </c>
      <c r="F13" s="433"/>
      <c r="G13" s="433"/>
      <c r="H13" s="433"/>
      <c r="L13" s="31"/>
    </row>
    <row r="14" spans="2:93" s="1" customFormat="1" hidden="1" x14ac:dyDescent="0.2">
      <c r="B14" s="31"/>
      <c r="L14" s="31"/>
    </row>
    <row r="15" spans="2:93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93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hidden="1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hidden="1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ROUND(J119, 2)</f>
        <v>106432.93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ROUND((SUM(CZ119:CZ161)),  2)</f>
        <v>106432.93</v>
      </c>
      <c r="I37" s="84">
        <v>0.21</v>
      </c>
      <c r="J37" s="71">
        <f>ROUND(((SUM(CZ119:CZ161))*I37),  2)</f>
        <v>22350.92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ROUND((SUM(DA119:DA161)),  2)</f>
        <v>0</v>
      </c>
      <c r="I38" s="84">
        <v>0.15</v>
      </c>
      <c r="J38" s="71">
        <f>ROUND(((SUM(DA119:DA161))*I38),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ROUND((SUM(DB119:DB161)),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ROUND((SUM(DC119:DC161)),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ROUND((SUM(DD119:DD161)),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128783.84999999999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2203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0003 - DSO 09.3 Čerpací stanice ČS11 - přípojka NN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94" s="1" customFormat="1" ht="10.35" hidden="1" customHeight="1" x14ac:dyDescent="0.2">
      <c r="B97" s="31"/>
      <c r="L97" s="31"/>
    </row>
    <row r="98" spans="2:94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94" s="1" customFormat="1" ht="10.35" hidden="1" customHeight="1" x14ac:dyDescent="0.2">
      <c r="B99" s="31"/>
      <c r="L99" s="31"/>
    </row>
    <row r="100" spans="2:94" s="1" customFormat="1" ht="22.9" hidden="1" customHeight="1" x14ac:dyDescent="0.2">
      <c r="B100" s="31"/>
      <c r="C100" s="95" t="s">
        <v>256</v>
      </c>
      <c r="J100" s="58">
        <f>J119</f>
        <v>106432.93</v>
      </c>
      <c r="L100" s="31"/>
      <c r="CP100" s="16" t="s">
        <v>257</v>
      </c>
    </row>
    <row r="101" spans="2:94" s="7" customFormat="1" ht="24.95" hidden="1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J120</f>
        <v>106432.93</v>
      </c>
      <c r="L101" s="96"/>
    </row>
    <row r="102" spans="2:94" s="8" customFormat="1" ht="19.899999999999999" hidden="1" customHeight="1" x14ac:dyDescent="0.2">
      <c r="B102" s="100"/>
      <c r="D102" s="101" t="s">
        <v>1975</v>
      </c>
      <c r="E102" s="102"/>
      <c r="F102" s="102"/>
      <c r="G102" s="102"/>
      <c r="H102" s="102"/>
      <c r="I102" s="102"/>
      <c r="J102" s="103">
        <f>J122</f>
        <v>14436.94</v>
      </c>
      <c r="L102" s="100"/>
    </row>
    <row r="103" spans="2:94" s="8" customFormat="1" ht="19.899999999999999" hidden="1" customHeight="1" x14ac:dyDescent="0.2">
      <c r="B103" s="100"/>
      <c r="D103" s="101" t="s">
        <v>1976</v>
      </c>
      <c r="E103" s="102"/>
      <c r="F103" s="102"/>
      <c r="G103" s="102"/>
      <c r="H103" s="102"/>
      <c r="I103" s="102"/>
      <c r="J103" s="103">
        <f>J125</f>
        <v>23452.190000000002</v>
      </c>
      <c r="L103" s="100"/>
    </row>
    <row r="104" spans="2:94" s="8" customFormat="1" ht="19.899999999999999" hidden="1" customHeight="1" x14ac:dyDescent="0.2">
      <c r="B104" s="100"/>
      <c r="D104" s="101" t="s">
        <v>1977</v>
      </c>
      <c r="E104" s="102"/>
      <c r="F104" s="102"/>
      <c r="G104" s="102"/>
      <c r="H104" s="102"/>
      <c r="I104" s="102"/>
      <c r="J104" s="103">
        <f>J144</f>
        <v>53530.43</v>
      </c>
      <c r="L104" s="100"/>
    </row>
    <row r="105" spans="2:94" s="8" customFormat="1" ht="19.899999999999999" hidden="1" customHeight="1" x14ac:dyDescent="0.2">
      <c r="B105" s="100"/>
      <c r="D105" s="101" t="s">
        <v>1978</v>
      </c>
      <c r="E105" s="102"/>
      <c r="F105" s="102"/>
      <c r="G105" s="102"/>
      <c r="H105" s="102"/>
      <c r="I105" s="102"/>
      <c r="J105" s="103">
        <f>J153</f>
        <v>15013.37</v>
      </c>
      <c r="L105" s="100"/>
    </row>
    <row r="106" spans="2:94" s="1" customFormat="1" ht="21.75" hidden="1" customHeight="1" x14ac:dyDescent="0.2">
      <c r="B106" s="31"/>
      <c r="L106" s="31"/>
    </row>
    <row r="107" spans="2:94" s="1" customFormat="1" ht="6.95" hidden="1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08" spans="2:94" hidden="1" x14ac:dyDescent="0.2"/>
    <row r="109" spans="2:94" hidden="1" x14ac:dyDescent="0.2"/>
    <row r="111" spans="2:94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94" s="1" customFormat="1" ht="24.95" customHeight="1" x14ac:dyDescent="0.2">
      <c r="B112" s="31"/>
      <c r="C112" s="20" t="s">
        <v>267</v>
      </c>
      <c r="L112" s="31"/>
    </row>
    <row r="113" spans="2:112" s="1" customFormat="1" ht="6.95" customHeight="1" x14ac:dyDescent="0.2">
      <c r="B113" s="31"/>
      <c r="L113" s="31"/>
    </row>
    <row r="114" spans="2:112" s="1" customFormat="1" ht="16.5" customHeight="1" x14ac:dyDescent="0.2">
      <c r="B114" s="31"/>
      <c r="E114" s="432" t="str">
        <f>E13</f>
        <v>0003 - DSO 09.3 Čerpací stanice ČS11 - přípojka NN</v>
      </c>
      <c r="F114" s="433"/>
      <c r="G114" s="433"/>
      <c r="H114" s="433"/>
      <c r="L114" s="31"/>
    </row>
    <row r="115" spans="2:112" s="1" customFormat="1" ht="6.95" customHeight="1" x14ac:dyDescent="0.2">
      <c r="B115" s="31"/>
      <c r="L115" s="31"/>
    </row>
    <row r="116" spans="2:112" s="1" customFormat="1" ht="27.75" customHeight="1" x14ac:dyDescent="0.2">
      <c r="B116" s="31"/>
      <c r="C116" s="26"/>
      <c r="F116" s="24"/>
      <c r="I116" s="26"/>
      <c r="J116" s="29"/>
      <c r="L116" s="31"/>
    </row>
    <row r="117" spans="2:112" s="1" customFormat="1" ht="27.75" customHeight="1" x14ac:dyDescent="0.2">
      <c r="B117" s="31"/>
      <c r="G117" s="446" t="s">
        <v>3305</v>
      </c>
      <c r="H117" s="446"/>
      <c r="I117" s="446"/>
      <c r="J117" s="446"/>
      <c r="K117" s="447"/>
      <c r="L117" s="31"/>
    </row>
    <row r="118" spans="2:112" s="9" customFormat="1" ht="27.75" customHeight="1" thickBot="1" x14ac:dyDescent="0.25">
      <c r="B118" s="104"/>
      <c r="C118" s="105" t="s">
        <v>268</v>
      </c>
      <c r="D118" s="106" t="s">
        <v>59</v>
      </c>
      <c r="E118" s="106" t="s">
        <v>55</v>
      </c>
      <c r="F118" s="106" t="s">
        <v>56</v>
      </c>
      <c r="G118" s="106" t="s">
        <v>269</v>
      </c>
      <c r="H118" s="106" t="s">
        <v>270</v>
      </c>
      <c r="I118" s="106" t="s">
        <v>271</v>
      </c>
      <c r="J118" s="106" t="s">
        <v>255</v>
      </c>
      <c r="K118" s="107" t="s">
        <v>272</v>
      </c>
      <c r="L118" s="437" t="s">
        <v>3307</v>
      </c>
      <c r="M118" s="438"/>
      <c r="N118" s="438"/>
      <c r="O118" s="438"/>
      <c r="P118" s="438"/>
      <c r="Q118" s="439"/>
      <c r="BH118" s="52" t="s">
        <v>1</v>
      </c>
      <c r="BI118" s="53" t="s">
        <v>39</v>
      </c>
      <c r="BJ118" s="53" t="s">
        <v>273</v>
      </c>
      <c r="BK118" s="53" t="s">
        <v>274</v>
      </c>
      <c r="BL118" s="53" t="s">
        <v>275</v>
      </c>
      <c r="BM118" s="53" t="s">
        <v>276</v>
      </c>
      <c r="BN118" s="53" t="s">
        <v>277</v>
      </c>
      <c r="BO118" s="54" t="s">
        <v>278</v>
      </c>
    </row>
    <row r="119" spans="2:112" s="1" customFormat="1" ht="22.9" customHeight="1" x14ac:dyDescent="0.25">
      <c r="B119" s="31"/>
      <c r="C119" s="57" t="s">
        <v>279</v>
      </c>
      <c r="G119" s="1" t="s">
        <v>3306</v>
      </c>
      <c r="J119" s="108">
        <f>DF119</f>
        <v>106432.93</v>
      </c>
      <c r="L119" s="440" t="s">
        <v>3308</v>
      </c>
      <c r="M119" s="441"/>
      <c r="N119" s="440" t="s">
        <v>3347</v>
      </c>
      <c r="O119" s="441"/>
      <c r="P119" s="440" t="s">
        <v>3309</v>
      </c>
      <c r="Q119" s="441"/>
      <c r="S119" s="442" t="s">
        <v>3312</v>
      </c>
      <c r="T119" s="443"/>
      <c r="U119" s="443" t="s">
        <v>3313</v>
      </c>
      <c r="V119" s="443"/>
      <c r="W119" s="444" t="s">
        <v>3324</v>
      </c>
      <c r="X119" s="444"/>
      <c r="Y119" s="444" t="s">
        <v>3325</v>
      </c>
      <c r="Z119" s="444"/>
      <c r="AA119" s="444" t="s">
        <v>3326</v>
      </c>
      <c r="AB119" s="444"/>
      <c r="AC119" s="444" t="s">
        <v>3327</v>
      </c>
      <c r="AD119" s="445"/>
      <c r="BH119" s="55"/>
      <c r="BI119" s="49"/>
      <c r="BJ119" s="49"/>
      <c r="BK119" s="109">
        <f>BK120</f>
        <v>0</v>
      </c>
      <c r="BL119" s="49"/>
      <c r="BM119" s="109">
        <f>BM120</f>
        <v>0</v>
      </c>
      <c r="BN119" s="49"/>
      <c r="BO119" s="110">
        <f>BO120</f>
        <v>0</v>
      </c>
      <c r="CO119" s="16" t="s">
        <v>73</v>
      </c>
      <c r="CP119" s="16" t="s">
        <v>257</v>
      </c>
      <c r="DF119" s="111">
        <f>DF120</f>
        <v>106432.93</v>
      </c>
    </row>
    <row r="120" spans="2:112" s="10" customFormat="1" ht="25.9" customHeight="1" thickBot="1" x14ac:dyDescent="0.25">
      <c r="B120" s="112"/>
      <c r="D120" s="113" t="s">
        <v>73</v>
      </c>
      <c r="E120" s="114" t="s">
        <v>439</v>
      </c>
      <c r="F120" s="114" t="s">
        <v>1979</v>
      </c>
      <c r="G120" s="10" t="s">
        <v>3306</v>
      </c>
      <c r="I120" s="115"/>
      <c r="J120" s="116">
        <f>DF120</f>
        <v>106432.93</v>
      </c>
      <c r="L120" s="190" t="s">
        <v>270</v>
      </c>
      <c r="M120" s="190" t="s">
        <v>3310</v>
      </c>
      <c r="N120" s="190" t="s">
        <v>270</v>
      </c>
      <c r="O120" s="190" t="s">
        <v>3310</v>
      </c>
      <c r="P120" s="190" t="s">
        <v>3311</v>
      </c>
      <c r="Q120" s="190" t="s">
        <v>3310</v>
      </c>
      <c r="S120" s="193" t="s">
        <v>270</v>
      </c>
      <c r="T120" s="194" t="s">
        <v>3310</v>
      </c>
      <c r="U120" s="194" t="s">
        <v>270</v>
      </c>
      <c r="V120" s="194" t="s">
        <v>3310</v>
      </c>
      <c r="W120" s="194" t="s">
        <v>270</v>
      </c>
      <c r="X120" s="194" t="s">
        <v>3328</v>
      </c>
      <c r="Y120" s="194" t="s">
        <v>270</v>
      </c>
      <c r="Z120" s="194" t="s">
        <v>3328</v>
      </c>
      <c r="AA120" s="194" t="s">
        <v>270</v>
      </c>
      <c r="AB120" s="194" t="s">
        <v>3328</v>
      </c>
      <c r="AC120" s="194" t="s">
        <v>270</v>
      </c>
      <c r="AD120" s="195" t="s">
        <v>3328</v>
      </c>
      <c r="BH120" s="117"/>
      <c r="BK120" s="118">
        <f>BK122+BK125+BK144+BK153</f>
        <v>0</v>
      </c>
      <c r="BM120" s="118">
        <f>BM122+BM125+BM144+BM153</f>
        <v>0</v>
      </c>
      <c r="BO120" s="119">
        <f>BO122+BO125+BO144+BO153</f>
        <v>0</v>
      </c>
      <c r="CM120" s="113" t="s">
        <v>90</v>
      </c>
      <c r="CO120" s="120" t="s">
        <v>73</v>
      </c>
      <c r="CP120" s="120" t="s">
        <v>74</v>
      </c>
      <c r="CT120" s="113" t="s">
        <v>282</v>
      </c>
      <c r="DF120" s="121">
        <f>DF122+DF125+DF144+DF153</f>
        <v>106432.93</v>
      </c>
    </row>
    <row r="121" spans="2:112" s="10" customFormat="1" ht="25.9" customHeight="1" thickBot="1" x14ac:dyDescent="0.25">
      <c r="B121" s="112"/>
      <c r="D121" s="113"/>
      <c r="E121" s="114"/>
      <c r="F121" s="114"/>
      <c r="G121" s="10" t="s">
        <v>3306</v>
      </c>
      <c r="I121" s="115"/>
      <c r="J121" s="116" t="s">
        <v>3306</v>
      </c>
      <c r="L121" s="191"/>
      <c r="M121" s="192">
        <f>M122+M125+M144+M153</f>
        <v>0</v>
      </c>
      <c r="N121" s="208"/>
      <c r="O121" s="208">
        <f t="shared" ref="O121:Q121" si="0">O122+O125+O144+O153</f>
        <v>0</v>
      </c>
      <c r="P121" s="192"/>
      <c r="Q121" s="192">
        <f t="shared" si="0"/>
        <v>106432.93</v>
      </c>
      <c r="S121" s="196"/>
      <c r="T121" s="197">
        <f>T122+T125+T144+T153</f>
        <v>0</v>
      </c>
      <c r="U121" s="197"/>
      <c r="V121" s="197">
        <f t="shared" ref="V121:AD121" si="1">V122+V125+V144+V153</f>
        <v>106432.93</v>
      </c>
      <c r="W121" s="197"/>
      <c r="X121" s="197">
        <f t="shared" si="1"/>
        <v>0</v>
      </c>
      <c r="Y121" s="197"/>
      <c r="Z121" s="197">
        <f t="shared" si="1"/>
        <v>0</v>
      </c>
      <c r="AA121" s="197"/>
      <c r="AB121" s="197">
        <f t="shared" si="1"/>
        <v>0</v>
      </c>
      <c r="AC121" s="197"/>
      <c r="AD121" s="197">
        <f t="shared" si="1"/>
        <v>0</v>
      </c>
      <c r="BH121" s="117"/>
      <c r="BK121" s="118"/>
      <c r="BM121" s="118"/>
      <c r="BO121" s="119"/>
      <c r="CM121" s="113"/>
      <c r="CO121" s="120"/>
      <c r="CP121" s="120"/>
      <c r="CT121" s="113"/>
      <c r="DF121" s="121"/>
    </row>
    <row r="122" spans="2:112" s="10" customFormat="1" ht="22.9" customHeight="1" x14ac:dyDescent="0.2">
      <c r="B122" s="112"/>
      <c r="D122" s="113" t="s">
        <v>73</v>
      </c>
      <c r="E122" s="122" t="s">
        <v>1980</v>
      </c>
      <c r="F122" s="122" t="s">
        <v>1981</v>
      </c>
      <c r="G122" s="10" t="s">
        <v>3306</v>
      </c>
      <c r="I122" s="115"/>
      <c r="J122" s="123">
        <f>DF122</f>
        <v>14436.94</v>
      </c>
      <c r="L122" s="112"/>
      <c r="M122" s="270">
        <f>SUM(M123)</f>
        <v>0</v>
      </c>
      <c r="N122" s="299"/>
      <c r="O122" s="300">
        <f t="shared" ref="O122:V122" si="2">SUM(O123)</f>
        <v>0</v>
      </c>
      <c r="P122" s="270"/>
      <c r="Q122" s="286">
        <f t="shared" si="2"/>
        <v>14436.94</v>
      </c>
      <c r="R122" s="270"/>
      <c r="S122" s="270"/>
      <c r="T122" s="270">
        <f t="shared" si="2"/>
        <v>0</v>
      </c>
      <c r="U122" s="270"/>
      <c r="V122" s="270">
        <f t="shared" si="2"/>
        <v>14436.94</v>
      </c>
      <c r="BH122" s="117"/>
      <c r="BK122" s="118">
        <f>SUM(BK123:BK124)</f>
        <v>0</v>
      </c>
      <c r="BM122" s="118">
        <f>SUM(BM123:BM124)</f>
        <v>0</v>
      </c>
      <c r="BO122" s="119">
        <f>SUM(BO123:BO124)</f>
        <v>0</v>
      </c>
      <c r="CM122" s="113" t="s">
        <v>81</v>
      </c>
      <c r="CO122" s="120" t="s">
        <v>73</v>
      </c>
      <c r="CP122" s="120" t="s">
        <v>81</v>
      </c>
      <c r="CT122" s="113" t="s">
        <v>282</v>
      </c>
      <c r="DF122" s="121">
        <f>SUM(DF123:DF124)</f>
        <v>14436.94</v>
      </c>
    </row>
    <row r="123" spans="2:112" s="1" customFormat="1" ht="45" customHeight="1" x14ac:dyDescent="0.2">
      <c r="B123" s="124"/>
      <c r="C123" s="125" t="s">
        <v>81</v>
      </c>
      <c r="D123" s="125" t="s">
        <v>284</v>
      </c>
      <c r="E123" s="126" t="s">
        <v>1982</v>
      </c>
      <c r="F123" s="127" t="s">
        <v>1983</v>
      </c>
      <c r="G123" s="128" t="s">
        <v>315</v>
      </c>
      <c r="H123" s="129">
        <v>1</v>
      </c>
      <c r="I123" s="130">
        <v>14436.940730765</v>
      </c>
      <c r="J123" s="131">
        <f>ROUND(I123*H123,2)</f>
        <v>14436.94</v>
      </c>
      <c r="K123" s="127" t="s">
        <v>1</v>
      </c>
      <c r="L123" s="268">
        <f>S123</f>
        <v>0</v>
      </c>
      <c r="M123" s="272">
        <f>ROUND(L123*I123,2)</f>
        <v>0</v>
      </c>
      <c r="N123" s="243"/>
      <c r="O123" s="294">
        <f>ROUND(N123*I123,2)</f>
        <v>0</v>
      </c>
      <c r="P123" s="273">
        <f>H123-L123-N123</f>
        <v>1</v>
      </c>
      <c r="Q123" s="287">
        <f>ROUND(P123*I123,2)</f>
        <v>14436.94</v>
      </c>
      <c r="R123" s="137"/>
      <c r="S123" s="269">
        <f>W123+Y123+AA123+AC123</f>
        <v>0</v>
      </c>
      <c r="T123" s="269">
        <f>ROUND(S123*I123,2)</f>
        <v>0</v>
      </c>
      <c r="U123" s="269">
        <f>H123-S123</f>
        <v>1</v>
      </c>
      <c r="V123" s="269">
        <f>ROUND(U123*I123,2)</f>
        <v>14436.94</v>
      </c>
      <c r="W123" s="269"/>
      <c r="X123" s="269"/>
      <c r="Y123" s="269"/>
      <c r="Z123" s="269"/>
      <c r="AA123" s="269"/>
      <c r="AB123" s="269"/>
      <c r="AC123" s="269"/>
      <c r="AD123" s="269"/>
      <c r="BH123" s="132" t="s">
        <v>1</v>
      </c>
      <c r="BI123" s="133" t="s">
        <v>40</v>
      </c>
      <c r="BK123" s="134">
        <f>BJ123*H123</f>
        <v>0</v>
      </c>
      <c r="BL123" s="134">
        <v>0</v>
      </c>
      <c r="BM123" s="134">
        <f>BL123*H123</f>
        <v>0</v>
      </c>
      <c r="BN123" s="134">
        <v>0</v>
      </c>
      <c r="BO123" s="135">
        <f>BN123*H123</f>
        <v>0</v>
      </c>
      <c r="CM123" s="136" t="s">
        <v>95</v>
      </c>
      <c r="CO123" s="136" t="s">
        <v>284</v>
      </c>
      <c r="CP123" s="136" t="s">
        <v>83</v>
      </c>
      <c r="CT123" s="16" t="s">
        <v>282</v>
      </c>
      <c r="CZ123" s="137">
        <f>IF(BI123="základní",J123,0)</f>
        <v>14436.94</v>
      </c>
      <c r="DA123" s="137">
        <f>IF(BI123="snížená",J123,0)</f>
        <v>0</v>
      </c>
      <c r="DB123" s="137">
        <f>IF(BI123="zákl. přenesená",J123,0)</f>
        <v>0</v>
      </c>
      <c r="DC123" s="137">
        <f>IF(BI123="sníž. přenesená",J123,0)</f>
        <v>0</v>
      </c>
      <c r="DD123" s="137">
        <f>IF(BI123="nulová",J123,0)</f>
        <v>0</v>
      </c>
      <c r="DE123" s="16" t="s">
        <v>81</v>
      </c>
      <c r="DF123" s="137">
        <f>ROUND(I123*H123,2)</f>
        <v>14436.94</v>
      </c>
      <c r="DG123" s="16" t="s">
        <v>95</v>
      </c>
      <c r="DH123" s="136" t="s">
        <v>83</v>
      </c>
    </row>
    <row r="124" spans="2:112" s="1" customFormat="1" ht="29.25" x14ac:dyDescent="0.2">
      <c r="B124" s="31"/>
      <c r="D124" s="138" t="s">
        <v>289</v>
      </c>
      <c r="F124" s="139" t="s">
        <v>1984</v>
      </c>
      <c r="I124" s="140"/>
      <c r="L124" s="31"/>
      <c r="N124" s="213"/>
      <c r="O124" s="214"/>
      <c r="Q124" s="229"/>
      <c r="BH124" s="141"/>
      <c r="BO124" s="50"/>
      <c r="CO124" s="16" t="s">
        <v>289</v>
      </c>
      <c r="CP124" s="16" t="s">
        <v>83</v>
      </c>
    </row>
    <row r="125" spans="2:112" s="10" customFormat="1" ht="22.9" customHeight="1" x14ac:dyDescent="0.2">
      <c r="B125" s="112"/>
      <c r="D125" s="113" t="s">
        <v>73</v>
      </c>
      <c r="E125" s="122" t="s">
        <v>1985</v>
      </c>
      <c r="F125" s="122" t="s">
        <v>1986</v>
      </c>
      <c r="I125" s="115"/>
      <c r="J125" s="123">
        <f>DF125</f>
        <v>23452.190000000002</v>
      </c>
      <c r="L125" s="112"/>
      <c r="M125" s="270">
        <f>SUM(M126:M142)</f>
        <v>0</v>
      </c>
      <c r="N125" s="301"/>
      <c r="O125" s="302">
        <f t="shared" ref="O125:V125" si="3">SUM(O126:O142)</f>
        <v>0</v>
      </c>
      <c r="P125" s="270"/>
      <c r="Q125" s="288">
        <f t="shared" si="3"/>
        <v>23452.190000000002</v>
      </c>
      <c r="R125" s="270"/>
      <c r="S125" s="270"/>
      <c r="T125" s="270">
        <f t="shared" si="3"/>
        <v>0</v>
      </c>
      <c r="U125" s="270"/>
      <c r="V125" s="270">
        <f t="shared" si="3"/>
        <v>23452.190000000002</v>
      </c>
      <c r="BH125" s="117"/>
      <c r="BK125" s="118">
        <f>SUM(BK126:BK143)</f>
        <v>0</v>
      </c>
      <c r="BM125" s="118">
        <f>SUM(BM126:BM143)</f>
        <v>0</v>
      </c>
      <c r="BO125" s="119">
        <f>SUM(BO126:BO143)</f>
        <v>0</v>
      </c>
      <c r="CM125" s="113" t="s">
        <v>81</v>
      </c>
      <c r="CO125" s="120" t="s">
        <v>73</v>
      </c>
      <c r="CP125" s="120" t="s">
        <v>81</v>
      </c>
      <c r="CT125" s="113" t="s">
        <v>282</v>
      </c>
      <c r="DF125" s="121">
        <f>SUM(DF126:DF143)</f>
        <v>23452.190000000002</v>
      </c>
    </row>
    <row r="126" spans="2:112" s="1" customFormat="1" ht="14.45" customHeight="1" x14ac:dyDescent="0.2">
      <c r="B126" s="124"/>
      <c r="C126" s="125" t="s">
        <v>83</v>
      </c>
      <c r="D126" s="125" t="s">
        <v>284</v>
      </c>
      <c r="E126" s="126" t="s">
        <v>1987</v>
      </c>
      <c r="F126" s="127" t="s">
        <v>1988</v>
      </c>
      <c r="G126" s="128" t="s">
        <v>344</v>
      </c>
      <c r="H126" s="129">
        <v>35</v>
      </c>
      <c r="I126" s="130">
        <v>200.77183977199999</v>
      </c>
      <c r="J126" s="131">
        <f>ROUND(I126*H126,2)</f>
        <v>7027.01</v>
      </c>
      <c r="K126" s="127" t="s">
        <v>1</v>
      </c>
      <c r="L126" s="268">
        <f>S126</f>
        <v>0</v>
      </c>
      <c r="M126" s="272">
        <f>ROUND(L126*I126,2)</f>
        <v>0</v>
      </c>
      <c r="N126" s="243"/>
      <c r="O126" s="294">
        <f>ROUND(N126*I126,2)</f>
        <v>0</v>
      </c>
      <c r="P126" s="273">
        <f>H126-L126-N126</f>
        <v>35</v>
      </c>
      <c r="Q126" s="287">
        <f>ROUND(P126*I126,2)</f>
        <v>7027.01</v>
      </c>
      <c r="R126" s="137"/>
      <c r="S126" s="269">
        <f>W126+Y126+AA126+AC126</f>
        <v>0</v>
      </c>
      <c r="T126" s="269">
        <f>ROUND(S126*I126,2)</f>
        <v>0</v>
      </c>
      <c r="U126" s="269">
        <f>H126-S126</f>
        <v>35</v>
      </c>
      <c r="V126" s="269">
        <f>ROUND(U126*I126,2)</f>
        <v>7027.01</v>
      </c>
      <c r="W126" s="269"/>
      <c r="X126" s="269"/>
      <c r="Y126" s="269"/>
      <c r="Z126" s="269"/>
      <c r="AA126" s="269"/>
      <c r="AB126" s="269"/>
      <c r="AC126" s="269"/>
      <c r="AD126" s="269"/>
      <c r="BH126" s="132" t="s">
        <v>1</v>
      </c>
      <c r="BI126" s="133" t="s">
        <v>40</v>
      </c>
      <c r="BK126" s="134">
        <f>BJ126*H126</f>
        <v>0</v>
      </c>
      <c r="BL126" s="134">
        <v>0</v>
      </c>
      <c r="BM126" s="134">
        <f>BL126*H126</f>
        <v>0</v>
      </c>
      <c r="BN126" s="134">
        <v>0</v>
      </c>
      <c r="BO126" s="135">
        <f>BN126*H126</f>
        <v>0</v>
      </c>
      <c r="CM126" s="136" t="s">
        <v>95</v>
      </c>
      <c r="CO126" s="136" t="s">
        <v>284</v>
      </c>
      <c r="CP126" s="136" t="s">
        <v>83</v>
      </c>
      <c r="CT126" s="16" t="s">
        <v>282</v>
      </c>
      <c r="CZ126" s="137">
        <f>IF(BI126="základní",J126,0)</f>
        <v>7027.01</v>
      </c>
      <c r="DA126" s="137">
        <f>IF(BI126="snížená",J126,0)</f>
        <v>0</v>
      </c>
      <c r="DB126" s="137">
        <f>IF(BI126="zákl. přenesená",J126,0)</f>
        <v>0</v>
      </c>
      <c r="DC126" s="137">
        <f>IF(BI126="sníž. přenesená",J126,0)</f>
        <v>0</v>
      </c>
      <c r="DD126" s="137">
        <f>IF(BI126="nulová",J126,0)</f>
        <v>0</v>
      </c>
      <c r="DE126" s="16" t="s">
        <v>81</v>
      </c>
      <c r="DF126" s="137">
        <f>ROUND(I126*H126,2)</f>
        <v>7027.01</v>
      </c>
      <c r="DG126" s="16" t="s">
        <v>95</v>
      </c>
      <c r="DH126" s="136" t="s">
        <v>318</v>
      </c>
    </row>
    <row r="127" spans="2:112" s="1" customFormat="1" x14ac:dyDescent="0.2">
      <c r="B127" s="31"/>
      <c r="D127" s="138" t="s">
        <v>289</v>
      </c>
      <c r="F127" s="139" t="s">
        <v>1989</v>
      </c>
      <c r="I127" s="140"/>
      <c r="L127" s="31"/>
      <c r="N127" s="213"/>
      <c r="O127" s="214"/>
      <c r="Q127" s="229"/>
      <c r="BH127" s="141"/>
      <c r="BO127" s="50"/>
      <c r="CO127" s="16" t="s">
        <v>289</v>
      </c>
      <c r="CP127" s="16" t="s">
        <v>83</v>
      </c>
    </row>
    <row r="128" spans="2:112" s="1" customFormat="1" ht="14.45" customHeight="1" x14ac:dyDescent="0.2">
      <c r="B128" s="124"/>
      <c r="C128" s="125" t="s">
        <v>90</v>
      </c>
      <c r="D128" s="125" t="s">
        <v>284</v>
      </c>
      <c r="E128" s="126" t="s">
        <v>1990</v>
      </c>
      <c r="F128" s="127" t="s">
        <v>1991</v>
      </c>
      <c r="G128" s="128" t="s">
        <v>344</v>
      </c>
      <c r="H128" s="129">
        <v>15</v>
      </c>
      <c r="I128" s="130">
        <v>172.92369819199999</v>
      </c>
      <c r="J128" s="131">
        <f>ROUND(I128*H128,2)</f>
        <v>2593.86</v>
      </c>
      <c r="K128" s="127" t="s">
        <v>1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15</v>
      </c>
      <c r="Q128" s="287">
        <f>ROUND(P128*I128,2)</f>
        <v>2593.86</v>
      </c>
      <c r="R128" s="137"/>
      <c r="S128" s="269">
        <f>W128+Y128+AA128+AC128</f>
        <v>0</v>
      </c>
      <c r="T128" s="269">
        <f>ROUND(S128*I128,2)</f>
        <v>0</v>
      </c>
      <c r="U128" s="269">
        <f>H128-S128</f>
        <v>15</v>
      </c>
      <c r="V128" s="269">
        <f>ROUND(U128*I128,2)</f>
        <v>2593.86</v>
      </c>
      <c r="W128" s="269"/>
      <c r="X128" s="269"/>
      <c r="Y128" s="269"/>
      <c r="Z128" s="269"/>
      <c r="AA128" s="269"/>
      <c r="AB128" s="269"/>
      <c r="AC128" s="269"/>
      <c r="AD128" s="269"/>
      <c r="BH128" s="132" t="s">
        <v>1</v>
      </c>
      <c r="BI128" s="133" t="s">
        <v>40</v>
      </c>
      <c r="BK128" s="134">
        <f>BJ128*H128</f>
        <v>0</v>
      </c>
      <c r="BL128" s="134">
        <v>0</v>
      </c>
      <c r="BM128" s="134">
        <f>BL128*H128</f>
        <v>0</v>
      </c>
      <c r="BN128" s="134">
        <v>0</v>
      </c>
      <c r="BO128" s="135">
        <f>BN128*H128</f>
        <v>0</v>
      </c>
      <c r="CM128" s="136" t="s">
        <v>95</v>
      </c>
      <c r="CO128" s="136" t="s">
        <v>284</v>
      </c>
      <c r="CP128" s="136" t="s">
        <v>83</v>
      </c>
      <c r="CT128" s="16" t="s">
        <v>282</v>
      </c>
      <c r="CZ128" s="137">
        <f>IF(BI128="základní",J128,0)</f>
        <v>2593.86</v>
      </c>
      <c r="DA128" s="137">
        <f>IF(BI128="snížená",J128,0)</f>
        <v>0</v>
      </c>
      <c r="DB128" s="137">
        <f>IF(BI128="zákl. přenesená",J128,0)</f>
        <v>0</v>
      </c>
      <c r="DC128" s="137">
        <f>IF(BI128="sníž. přenesená",J128,0)</f>
        <v>0</v>
      </c>
      <c r="DD128" s="137">
        <f>IF(BI128="nulová",J128,0)</f>
        <v>0</v>
      </c>
      <c r="DE128" s="16" t="s">
        <v>81</v>
      </c>
      <c r="DF128" s="137">
        <f>ROUND(I128*H128,2)</f>
        <v>2593.86</v>
      </c>
      <c r="DG128" s="16" t="s">
        <v>95</v>
      </c>
      <c r="DH128" s="136" t="s">
        <v>328</v>
      </c>
    </row>
    <row r="129" spans="2:112" s="1" customFormat="1" x14ac:dyDescent="0.2">
      <c r="B129" s="31"/>
      <c r="D129" s="138" t="s">
        <v>289</v>
      </c>
      <c r="F129" s="139" t="s">
        <v>1992</v>
      </c>
      <c r="I129" s="140"/>
      <c r="L129" s="31"/>
      <c r="N129" s="213"/>
      <c r="O129" s="214"/>
      <c r="Q129" s="229"/>
      <c r="BH129" s="141"/>
      <c r="BO129" s="50"/>
      <c r="CO129" s="16" t="s">
        <v>289</v>
      </c>
      <c r="CP129" s="16" t="s">
        <v>83</v>
      </c>
    </row>
    <row r="130" spans="2:112" s="1" customFormat="1" ht="24.2" customHeight="1" x14ac:dyDescent="0.2">
      <c r="B130" s="124"/>
      <c r="C130" s="125" t="s">
        <v>95</v>
      </c>
      <c r="D130" s="125" t="s">
        <v>284</v>
      </c>
      <c r="E130" s="126" t="s">
        <v>1993</v>
      </c>
      <c r="F130" s="127" t="s">
        <v>1994</v>
      </c>
      <c r="G130" s="128" t="s">
        <v>315</v>
      </c>
      <c r="H130" s="129">
        <v>2</v>
      </c>
      <c r="I130" s="130">
        <v>124.388365724</v>
      </c>
      <c r="J130" s="131">
        <f>ROUND(I130*H130,2)</f>
        <v>248.78</v>
      </c>
      <c r="K130" s="127" t="s">
        <v>1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2</v>
      </c>
      <c r="Q130" s="287">
        <f>ROUND(P130*I130,2)</f>
        <v>248.78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2</v>
      </c>
      <c r="V130" s="269">
        <f>ROUND(U130*I130,2)</f>
        <v>248.78</v>
      </c>
      <c r="W130" s="269"/>
      <c r="X130" s="269"/>
      <c r="Y130" s="269"/>
      <c r="Z130" s="269"/>
      <c r="AA130" s="269"/>
      <c r="AB130" s="269"/>
      <c r="AC130" s="269"/>
      <c r="AD130" s="269"/>
      <c r="BH130" s="132" t="s">
        <v>1</v>
      </c>
      <c r="BI130" s="133" t="s">
        <v>40</v>
      </c>
      <c r="BK130" s="134">
        <f>BJ130*H130</f>
        <v>0</v>
      </c>
      <c r="BL130" s="134">
        <v>0</v>
      </c>
      <c r="BM130" s="134">
        <f>BL130*H130</f>
        <v>0</v>
      </c>
      <c r="BN130" s="134">
        <v>0</v>
      </c>
      <c r="BO130" s="135">
        <f>BN130*H130</f>
        <v>0</v>
      </c>
      <c r="CM130" s="136" t="s">
        <v>95</v>
      </c>
      <c r="CO130" s="136" t="s">
        <v>284</v>
      </c>
      <c r="CP130" s="136" t="s">
        <v>83</v>
      </c>
      <c r="CT130" s="16" t="s">
        <v>282</v>
      </c>
      <c r="CZ130" s="137">
        <f>IF(BI130="základní",J130,0)</f>
        <v>248.78</v>
      </c>
      <c r="DA130" s="137">
        <f>IF(BI130="snížená",J130,0)</f>
        <v>0</v>
      </c>
      <c r="DB130" s="137">
        <f>IF(BI130="zákl. přenesená",J130,0)</f>
        <v>0</v>
      </c>
      <c r="DC130" s="137">
        <f>IF(BI130="sníž. přenesená",J130,0)</f>
        <v>0</v>
      </c>
      <c r="DD130" s="137">
        <f>IF(BI130="nulová",J130,0)</f>
        <v>0</v>
      </c>
      <c r="DE130" s="16" t="s">
        <v>81</v>
      </c>
      <c r="DF130" s="137">
        <f>ROUND(I130*H130,2)</f>
        <v>248.78</v>
      </c>
      <c r="DG130" s="16" t="s">
        <v>95</v>
      </c>
      <c r="DH130" s="136" t="s">
        <v>341</v>
      </c>
    </row>
    <row r="131" spans="2:112" s="1" customFormat="1" x14ac:dyDescent="0.2">
      <c r="B131" s="31"/>
      <c r="D131" s="138" t="s">
        <v>289</v>
      </c>
      <c r="F131" s="139" t="s">
        <v>1995</v>
      </c>
      <c r="I131" s="140"/>
      <c r="L131" s="31"/>
      <c r="N131" s="213"/>
      <c r="O131" s="214"/>
      <c r="Q131" s="229"/>
      <c r="BH131" s="141"/>
      <c r="BO131" s="50"/>
      <c r="CO131" s="16" t="s">
        <v>289</v>
      </c>
      <c r="CP131" s="16" t="s">
        <v>83</v>
      </c>
    </row>
    <row r="132" spans="2:112" s="1" customFormat="1" ht="24.2" customHeight="1" x14ac:dyDescent="0.2">
      <c r="B132" s="124"/>
      <c r="C132" s="125" t="s">
        <v>312</v>
      </c>
      <c r="D132" s="125" t="s">
        <v>284</v>
      </c>
      <c r="E132" s="126" t="s">
        <v>1996</v>
      </c>
      <c r="F132" s="127" t="s">
        <v>1997</v>
      </c>
      <c r="G132" s="128" t="s">
        <v>344</v>
      </c>
      <c r="H132" s="129">
        <v>40</v>
      </c>
      <c r="I132" s="130">
        <v>227.596988396</v>
      </c>
      <c r="J132" s="131">
        <f>ROUND(I132*H132,2)</f>
        <v>9103.8799999999992</v>
      </c>
      <c r="K132" s="127" t="s">
        <v>1</v>
      </c>
      <c r="L132" s="268">
        <f>S132</f>
        <v>0</v>
      </c>
      <c r="M132" s="272">
        <f>ROUND(L132*I132,2)</f>
        <v>0</v>
      </c>
      <c r="N132" s="243"/>
      <c r="O132" s="294">
        <f>ROUND(N132*I132,2)</f>
        <v>0</v>
      </c>
      <c r="P132" s="273">
        <f>H132-L132-N132</f>
        <v>40</v>
      </c>
      <c r="Q132" s="287">
        <f>ROUND(P132*I132,2)</f>
        <v>9103.8799999999992</v>
      </c>
      <c r="R132" s="137"/>
      <c r="S132" s="269">
        <f>W132+Y132+AA132+AC132</f>
        <v>0</v>
      </c>
      <c r="T132" s="269">
        <f>ROUND(S132*I132,2)</f>
        <v>0</v>
      </c>
      <c r="U132" s="269">
        <f>H132-S132</f>
        <v>40</v>
      </c>
      <c r="V132" s="269">
        <f>ROUND(U132*I132,2)</f>
        <v>9103.8799999999992</v>
      </c>
      <c r="W132" s="269"/>
      <c r="X132" s="269"/>
      <c r="Y132" s="269"/>
      <c r="Z132" s="269"/>
      <c r="AA132" s="269"/>
      <c r="AB132" s="269"/>
      <c r="AC132" s="269"/>
      <c r="AD132" s="269"/>
      <c r="BH132" s="132" t="s">
        <v>1</v>
      </c>
      <c r="BI132" s="133" t="s">
        <v>40</v>
      </c>
      <c r="BK132" s="134">
        <f>BJ132*H132</f>
        <v>0</v>
      </c>
      <c r="BL132" s="134">
        <v>0</v>
      </c>
      <c r="BM132" s="134">
        <f>BL132*H132</f>
        <v>0</v>
      </c>
      <c r="BN132" s="134">
        <v>0</v>
      </c>
      <c r="BO132" s="135">
        <f>BN132*H132</f>
        <v>0</v>
      </c>
      <c r="CM132" s="136" t="s">
        <v>95</v>
      </c>
      <c r="CO132" s="136" t="s">
        <v>284</v>
      </c>
      <c r="CP132" s="136" t="s">
        <v>83</v>
      </c>
      <c r="CT132" s="16" t="s">
        <v>282</v>
      </c>
      <c r="CZ132" s="137">
        <f>IF(BI132="základní",J132,0)</f>
        <v>9103.8799999999992</v>
      </c>
      <c r="DA132" s="137">
        <f>IF(BI132="snížená",J132,0)</f>
        <v>0</v>
      </c>
      <c r="DB132" s="137">
        <f>IF(BI132="zákl. přenesená",J132,0)</f>
        <v>0</v>
      </c>
      <c r="DC132" s="137">
        <f>IF(BI132="sníž. přenesená",J132,0)</f>
        <v>0</v>
      </c>
      <c r="DD132" s="137">
        <f>IF(BI132="nulová",J132,0)</f>
        <v>0</v>
      </c>
      <c r="DE132" s="16" t="s">
        <v>81</v>
      </c>
      <c r="DF132" s="137">
        <f>ROUND(I132*H132,2)</f>
        <v>9103.8799999999992</v>
      </c>
      <c r="DG132" s="16" t="s">
        <v>95</v>
      </c>
      <c r="DH132" s="136" t="s">
        <v>327</v>
      </c>
    </row>
    <row r="133" spans="2:112" s="1" customFormat="1" ht="19.5" x14ac:dyDescent="0.2">
      <c r="B133" s="31"/>
      <c r="D133" s="138" t="s">
        <v>289</v>
      </c>
      <c r="F133" s="139" t="s">
        <v>1998</v>
      </c>
      <c r="I133" s="140"/>
      <c r="L133" s="31"/>
      <c r="N133" s="213"/>
      <c r="O133" s="214"/>
      <c r="Q133" s="229"/>
      <c r="BH133" s="141"/>
      <c r="BO133" s="50"/>
      <c r="CO133" s="16" t="s">
        <v>289</v>
      </c>
      <c r="CP133" s="16" t="s">
        <v>83</v>
      </c>
    </row>
    <row r="134" spans="2:112" s="1" customFormat="1" ht="14.45" customHeight="1" x14ac:dyDescent="0.2">
      <c r="B134" s="124"/>
      <c r="C134" s="125" t="s">
        <v>318</v>
      </c>
      <c r="D134" s="125" t="s">
        <v>284</v>
      </c>
      <c r="E134" s="126" t="s">
        <v>1999</v>
      </c>
      <c r="F134" s="127" t="s">
        <v>2000</v>
      </c>
      <c r="G134" s="128" t="s">
        <v>344</v>
      </c>
      <c r="H134" s="129">
        <v>25</v>
      </c>
      <c r="I134" s="130">
        <v>76.250863850000002</v>
      </c>
      <c r="J134" s="131">
        <f>ROUND(I134*H134,2)</f>
        <v>1906.27</v>
      </c>
      <c r="K134" s="127" t="s">
        <v>1</v>
      </c>
      <c r="L134" s="268">
        <f>S134</f>
        <v>0</v>
      </c>
      <c r="M134" s="272">
        <f>ROUND(L134*I134,2)</f>
        <v>0</v>
      </c>
      <c r="N134" s="243"/>
      <c r="O134" s="294">
        <f>ROUND(N134*I134,2)</f>
        <v>0</v>
      </c>
      <c r="P134" s="273">
        <f>H134-L134-N134</f>
        <v>25</v>
      </c>
      <c r="Q134" s="287">
        <f>ROUND(P134*I134,2)</f>
        <v>1906.27</v>
      </c>
      <c r="R134" s="137"/>
      <c r="S134" s="269">
        <f>W134+Y134+AA134+AC134</f>
        <v>0</v>
      </c>
      <c r="T134" s="269">
        <f>ROUND(S134*I134,2)</f>
        <v>0</v>
      </c>
      <c r="U134" s="269">
        <f>H134-S134</f>
        <v>25</v>
      </c>
      <c r="V134" s="269">
        <f>ROUND(U134*I134,2)</f>
        <v>1906.27</v>
      </c>
      <c r="W134" s="269"/>
      <c r="X134" s="269"/>
      <c r="Y134" s="269"/>
      <c r="Z134" s="269"/>
      <c r="AA134" s="269"/>
      <c r="AB134" s="269"/>
      <c r="AC134" s="269"/>
      <c r="AD134" s="269"/>
      <c r="BH134" s="132" t="s">
        <v>1</v>
      </c>
      <c r="BI134" s="133" t="s">
        <v>40</v>
      </c>
      <c r="BK134" s="134">
        <f>BJ134*H134</f>
        <v>0</v>
      </c>
      <c r="BL134" s="134">
        <v>0</v>
      </c>
      <c r="BM134" s="134">
        <f>BL134*H134</f>
        <v>0</v>
      </c>
      <c r="BN134" s="134">
        <v>0</v>
      </c>
      <c r="BO134" s="135">
        <f>BN134*H134</f>
        <v>0</v>
      </c>
      <c r="CM134" s="136" t="s">
        <v>95</v>
      </c>
      <c r="CO134" s="136" t="s">
        <v>284</v>
      </c>
      <c r="CP134" s="136" t="s">
        <v>83</v>
      </c>
      <c r="CT134" s="16" t="s">
        <v>282</v>
      </c>
      <c r="CZ134" s="137">
        <f>IF(BI134="základní",J134,0)</f>
        <v>1906.27</v>
      </c>
      <c r="DA134" s="137">
        <f>IF(BI134="snížená",J134,0)</f>
        <v>0</v>
      </c>
      <c r="DB134" s="137">
        <f>IF(BI134="zákl. přenesená",J134,0)</f>
        <v>0</v>
      </c>
      <c r="DC134" s="137">
        <f>IF(BI134="sníž. přenesená",J134,0)</f>
        <v>0</v>
      </c>
      <c r="DD134" s="137">
        <f>IF(BI134="nulová",J134,0)</f>
        <v>0</v>
      </c>
      <c r="DE134" s="16" t="s">
        <v>81</v>
      </c>
      <c r="DF134" s="137">
        <f>ROUND(I134*H134,2)</f>
        <v>1906.27</v>
      </c>
      <c r="DG134" s="16" t="s">
        <v>95</v>
      </c>
      <c r="DH134" s="136" t="s">
        <v>363</v>
      </c>
    </row>
    <row r="135" spans="2:112" s="1" customFormat="1" x14ac:dyDescent="0.2">
      <c r="B135" s="31"/>
      <c r="D135" s="138" t="s">
        <v>289</v>
      </c>
      <c r="F135" s="139" t="s">
        <v>2001</v>
      </c>
      <c r="I135" s="140"/>
      <c r="L135" s="31"/>
      <c r="N135" s="213"/>
      <c r="O135" s="214"/>
      <c r="Q135" s="229"/>
      <c r="BH135" s="141"/>
      <c r="BO135" s="50"/>
      <c r="CO135" s="16" t="s">
        <v>289</v>
      </c>
      <c r="CP135" s="16" t="s">
        <v>83</v>
      </c>
    </row>
    <row r="136" spans="2:112" s="1" customFormat="1" ht="14.45" customHeight="1" x14ac:dyDescent="0.2">
      <c r="B136" s="124"/>
      <c r="C136" s="125" t="s">
        <v>323</v>
      </c>
      <c r="D136" s="125" t="s">
        <v>284</v>
      </c>
      <c r="E136" s="126" t="s">
        <v>2002</v>
      </c>
      <c r="F136" s="127" t="s">
        <v>2003</v>
      </c>
      <c r="G136" s="128" t="s">
        <v>344</v>
      </c>
      <c r="H136" s="129">
        <v>40</v>
      </c>
      <c r="I136" s="130">
        <v>23.869835639999998</v>
      </c>
      <c r="J136" s="131">
        <f>ROUND(I136*H136,2)</f>
        <v>954.79</v>
      </c>
      <c r="K136" s="127" t="s">
        <v>1</v>
      </c>
      <c r="L136" s="268">
        <f>S136</f>
        <v>0</v>
      </c>
      <c r="M136" s="272">
        <f>ROUND(L136*I136,2)</f>
        <v>0</v>
      </c>
      <c r="N136" s="243"/>
      <c r="O136" s="294">
        <f>ROUND(N136*I136,2)</f>
        <v>0</v>
      </c>
      <c r="P136" s="273">
        <f>H136-L136-N136</f>
        <v>40</v>
      </c>
      <c r="Q136" s="287">
        <f>ROUND(P136*I136,2)</f>
        <v>954.79</v>
      </c>
      <c r="R136" s="137"/>
      <c r="S136" s="269">
        <f>W136+Y136+AA136+AC136</f>
        <v>0</v>
      </c>
      <c r="T136" s="269">
        <f>ROUND(S136*I136,2)</f>
        <v>0</v>
      </c>
      <c r="U136" s="269">
        <f>H136-S136</f>
        <v>40</v>
      </c>
      <c r="V136" s="269">
        <f>ROUND(U136*I136,2)</f>
        <v>954.79</v>
      </c>
      <c r="W136" s="269"/>
      <c r="X136" s="269"/>
      <c r="Y136" s="269"/>
      <c r="Z136" s="269"/>
      <c r="AA136" s="269"/>
      <c r="AB136" s="269"/>
      <c r="AC136" s="269"/>
      <c r="AD136" s="269"/>
      <c r="BH136" s="132" t="s">
        <v>1</v>
      </c>
      <c r="BI136" s="133" t="s">
        <v>40</v>
      </c>
      <c r="BK136" s="134">
        <f>BJ136*H136</f>
        <v>0</v>
      </c>
      <c r="BL136" s="134">
        <v>0</v>
      </c>
      <c r="BM136" s="134">
        <f>BL136*H136</f>
        <v>0</v>
      </c>
      <c r="BN136" s="134">
        <v>0</v>
      </c>
      <c r="BO136" s="135">
        <f>BN136*H136</f>
        <v>0</v>
      </c>
      <c r="CM136" s="136" t="s">
        <v>95</v>
      </c>
      <c r="CO136" s="136" t="s">
        <v>284</v>
      </c>
      <c r="CP136" s="136" t="s">
        <v>83</v>
      </c>
      <c r="CT136" s="16" t="s">
        <v>282</v>
      </c>
      <c r="CZ136" s="137">
        <f>IF(BI136="základní",J136,0)</f>
        <v>954.79</v>
      </c>
      <c r="DA136" s="137">
        <f>IF(BI136="snížená",J136,0)</f>
        <v>0</v>
      </c>
      <c r="DB136" s="137">
        <f>IF(BI136="zákl. přenesená",J136,0)</f>
        <v>0</v>
      </c>
      <c r="DC136" s="137">
        <f>IF(BI136="sníž. přenesená",J136,0)</f>
        <v>0</v>
      </c>
      <c r="DD136" s="137">
        <f>IF(BI136="nulová",J136,0)</f>
        <v>0</v>
      </c>
      <c r="DE136" s="16" t="s">
        <v>81</v>
      </c>
      <c r="DF136" s="137">
        <f>ROUND(I136*H136,2)</f>
        <v>954.79</v>
      </c>
      <c r="DG136" s="16" t="s">
        <v>95</v>
      </c>
      <c r="DH136" s="136" t="s">
        <v>379</v>
      </c>
    </row>
    <row r="137" spans="2:112" s="1" customFormat="1" x14ac:dyDescent="0.2">
      <c r="B137" s="31"/>
      <c r="D137" s="138" t="s">
        <v>289</v>
      </c>
      <c r="F137" s="139" t="s">
        <v>2004</v>
      </c>
      <c r="I137" s="140"/>
      <c r="L137" s="31"/>
      <c r="N137" s="213"/>
      <c r="O137" s="214"/>
      <c r="Q137" s="229"/>
      <c r="BH137" s="141"/>
      <c r="BO137" s="50"/>
      <c r="CO137" s="16" t="s">
        <v>289</v>
      </c>
      <c r="CP137" s="16" t="s">
        <v>83</v>
      </c>
    </row>
    <row r="138" spans="2:112" s="1" customFormat="1" ht="14.45" customHeight="1" x14ac:dyDescent="0.2">
      <c r="B138" s="124"/>
      <c r="C138" s="125" t="s">
        <v>328</v>
      </c>
      <c r="D138" s="125" t="s">
        <v>284</v>
      </c>
      <c r="E138" s="126" t="s">
        <v>2005</v>
      </c>
      <c r="F138" s="127" t="s">
        <v>2006</v>
      </c>
      <c r="G138" s="128" t="s">
        <v>315</v>
      </c>
      <c r="H138" s="129">
        <v>6</v>
      </c>
      <c r="I138" s="130">
        <v>116.03392325</v>
      </c>
      <c r="J138" s="131">
        <f>ROUND(I138*H138,2)</f>
        <v>696.2</v>
      </c>
      <c r="K138" s="127" t="s">
        <v>1</v>
      </c>
      <c r="L138" s="268">
        <f>S138</f>
        <v>0</v>
      </c>
      <c r="M138" s="272">
        <f>ROUND(L138*I138,2)</f>
        <v>0</v>
      </c>
      <c r="N138" s="243"/>
      <c r="O138" s="294">
        <f>ROUND(N138*I138,2)</f>
        <v>0</v>
      </c>
      <c r="P138" s="273">
        <f>H138-L138-N138</f>
        <v>6</v>
      </c>
      <c r="Q138" s="287">
        <f>ROUND(P138*I138,2)</f>
        <v>696.2</v>
      </c>
      <c r="R138" s="137"/>
      <c r="S138" s="269">
        <f>W138+Y138+AA138+AC138</f>
        <v>0</v>
      </c>
      <c r="T138" s="269">
        <f>ROUND(S138*I138,2)</f>
        <v>0</v>
      </c>
      <c r="U138" s="269">
        <f>H138-S138</f>
        <v>6</v>
      </c>
      <c r="V138" s="269">
        <f>ROUND(U138*I138,2)</f>
        <v>696.2</v>
      </c>
      <c r="W138" s="269"/>
      <c r="X138" s="269"/>
      <c r="Y138" s="269"/>
      <c r="Z138" s="269"/>
      <c r="AA138" s="269"/>
      <c r="AB138" s="269"/>
      <c r="AC138" s="269"/>
      <c r="AD138" s="269"/>
      <c r="BH138" s="132" t="s">
        <v>1</v>
      </c>
      <c r="BI138" s="133" t="s">
        <v>40</v>
      </c>
      <c r="BK138" s="134">
        <f>BJ138*H138</f>
        <v>0</v>
      </c>
      <c r="BL138" s="134">
        <v>0</v>
      </c>
      <c r="BM138" s="134">
        <f>BL138*H138</f>
        <v>0</v>
      </c>
      <c r="BN138" s="134">
        <v>0</v>
      </c>
      <c r="BO138" s="135">
        <f>BN138*H138</f>
        <v>0</v>
      </c>
      <c r="CM138" s="136" t="s">
        <v>95</v>
      </c>
      <c r="CO138" s="136" t="s">
        <v>284</v>
      </c>
      <c r="CP138" s="136" t="s">
        <v>83</v>
      </c>
      <c r="CT138" s="16" t="s">
        <v>282</v>
      </c>
      <c r="CZ138" s="137">
        <f>IF(BI138="základní",J138,0)</f>
        <v>696.2</v>
      </c>
      <c r="DA138" s="137">
        <f>IF(BI138="snížená",J138,0)</f>
        <v>0</v>
      </c>
      <c r="DB138" s="137">
        <f>IF(BI138="zákl. přenesená",J138,0)</f>
        <v>0</v>
      </c>
      <c r="DC138" s="137">
        <f>IF(BI138="sníž. přenesená",J138,0)</f>
        <v>0</v>
      </c>
      <c r="DD138" s="137">
        <f>IF(BI138="nulová",J138,0)</f>
        <v>0</v>
      </c>
      <c r="DE138" s="16" t="s">
        <v>81</v>
      </c>
      <c r="DF138" s="137">
        <f>ROUND(I138*H138,2)</f>
        <v>696.2</v>
      </c>
      <c r="DG138" s="16" t="s">
        <v>95</v>
      </c>
      <c r="DH138" s="136" t="s">
        <v>392</v>
      </c>
    </row>
    <row r="139" spans="2:112" s="1" customFormat="1" x14ac:dyDescent="0.2">
      <c r="B139" s="31"/>
      <c r="D139" s="138" t="s">
        <v>289</v>
      </c>
      <c r="F139" s="139" t="s">
        <v>2007</v>
      </c>
      <c r="I139" s="140"/>
      <c r="L139" s="31"/>
      <c r="N139" s="213"/>
      <c r="O139" s="214"/>
      <c r="Q139" s="229"/>
      <c r="BH139" s="141"/>
      <c r="BO139" s="50"/>
      <c r="CO139" s="16" t="s">
        <v>289</v>
      </c>
      <c r="CP139" s="16" t="s">
        <v>83</v>
      </c>
    </row>
    <row r="140" spans="2:112" s="1" customFormat="1" ht="14.45" customHeight="1" x14ac:dyDescent="0.2">
      <c r="B140" s="124"/>
      <c r="C140" s="125" t="s">
        <v>335</v>
      </c>
      <c r="D140" s="125" t="s">
        <v>284</v>
      </c>
      <c r="E140" s="126" t="s">
        <v>2008</v>
      </c>
      <c r="F140" s="127" t="s">
        <v>2009</v>
      </c>
      <c r="G140" s="128" t="s">
        <v>315</v>
      </c>
      <c r="H140" s="129">
        <v>4</v>
      </c>
      <c r="I140" s="130">
        <v>32.527387138000002</v>
      </c>
      <c r="J140" s="131">
        <f>ROUND(I140*H140,2)</f>
        <v>130.11000000000001</v>
      </c>
      <c r="K140" s="127" t="s">
        <v>1</v>
      </c>
      <c r="L140" s="268">
        <f>S140</f>
        <v>0</v>
      </c>
      <c r="M140" s="272">
        <f>ROUND(L140*I140,2)</f>
        <v>0</v>
      </c>
      <c r="N140" s="243"/>
      <c r="O140" s="294">
        <f>ROUND(N140*I140,2)</f>
        <v>0</v>
      </c>
      <c r="P140" s="273">
        <f>H140-L140-N140</f>
        <v>4</v>
      </c>
      <c r="Q140" s="287">
        <f>ROUND(P140*I140,2)</f>
        <v>130.11000000000001</v>
      </c>
      <c r="R140" s="137"/>
      <c r="S140" s="269">
        <f>W140+Y140+AA140+AC140</f>
        <v>0</v>
      </c>
      <c r="T140" s="269">
        <f>ROUND(S140*I140,2)</f>
        <v>0</v>
      </c>
      <c r="U140" s="269">
        <f>H140-S140</f>
        <v>4</v>
      </c>
      <c r="V140" s="269">
        <f>ROUND(U140*I140,2)</f>
        <v>130.11000000000001</v>
      </c>
      <c r="W140" s="269"/>
      <c r="X140" s="269"/>
      <c r="Y140" s="269"/>
      <c r="Z140" s="269"/>
      <c r="AA140" s="269"/>
      <c r="AB140" s="269"/>
      <c r="AC140" s="269"/>
      <c r="AD140" s="269"/>
      <c r="BH140" s="132" t="s">
        <v>1</v>
      </c>
      <c r="BI140" s="133" t="s">
        <v>40</v>
      </c>
      <c r="BK140" s="134">
        <f>BJ140*H140</f>
        <v>0</v>
      </c>
      <c r="BL140" s="134">
        <v>0</v>
      </c>
      <c r="BM140" s="134">
        <f>BL140*H140</f>
        <v>0</v>
      </c>
      <c r="BN140" s="134">
        <v>0</v>
      </c>
      <c r="BO140" s="135">
        <f>BN140*H140</f>
        <v>0</v>
      </c>
      <c r="CM140" s="136" t="s">
        <v>95</v>
      </c>
      <c r="CO140" s="136" t="s">
        <v>284</v>
      </c>
      <c r="CP140" s="136" t="s">
        <v>83</v>
      </c>
      <c r="CT140" s="16" t="s">
        <v>282</v>
      </c>
      <c r="CZ140" s="137">
        <f>IF(BI140="základní",J140,0)</f>
        <v>130.11000000000001</v>
      </c>
      <c r="DA140" s="137">
        <f>IF(BI140="snížená",J140,0)</f>
        <v>0</v>
      </c>
      <c r="DB140" s="137">
        <f>IF(BI140="zákl. přenesená",J140,0)</f>
        <v>0</v>
      </c>
      <c r="DC140" s="137">
        <f>IF(BI140="sníž. přenesená",J140,0)</f>
        <v>0</v>
      </c>
      <c r="DD140" s="137">
        <f>IF(BI140="nulová",J140,0)</f>
        <v>0</v>
      </c>
      <c r="DE140" s="16" t="s">
        <v>81</v>
      </c>
      <c r="DF140" s="137">
        <f>ROUND(I140*H140,2)</f>
        <v>130.11000000000001</v>
      </c>
      <c r="DG140" s="16" t="s">
        <v>95</v>
      </c>
      <c r="DH140" s="136" t="s">
        <v>404</v>
      </c>
    </row>
    <row r="141" spans="2:112" s="1" customFormat="1" x14ac:dyDescent="0.2">
      <c r="B141" s="31"/>
      <c r="D141" s="138" t="s">
        <v>289</v>
      </c>
      <c r="F141" s="139" t="s">
        <v>2009</v>
      </c>
      <c r="I141" s="140"/>
      <c r="L141" s="31"/>
      <c r="N141" s="213"/>
      <c r="O141" s="214"/>
      <c r="Q141" s="229"/>
      <c r="BH141" s="141"/>
      <c r="BO141" s="50"/>
      <c r="CO141" s="16" t="s">
        <v>289</v>
      </c>
      <c r="CP141" s="16" t="s">
        <v>83</v>
      </c>
    </row>
    <row r="142" spans="2:112" s="1" customFormat="1" ht="14.45" customHeight="1" x14ac:dyDescent="0.2">
      <c r="B142" s="124"/>
      <c r="C142" s="125" t="s">
        <v>341</v>
      </c>
      <c r="D142" s="125" t="s">
        <v>284</v>
      </c>
      <c r="E142" s="126" t="s">
        <v>2010</v>
      </c>
      <c r="F142" s="127" t="s">
        <v>2011</v>
      </c>
      <c r="G142" s="128" t="s">
        <v>315</v>
      </c>
      <c r="H142" s="129">
        <v>18</v>
      </c>
      <c r="I142" s="130">
        <v>43.960280636999997</v>
      </c>
      <c r="J142" s="131">
        <f>ROUND(I142*H142,2)</f>
        <v>791.29</v>
      </c>
      <c r="K142" s="127" t="s">
        <v>1</v>
      </c>
      <c r="L142" s="268">
        <f>S142</f>
        <v>0</v>
      </c>
      <c r="M142" s="272">
        <f>ROUND(L142*I142,2)</f>
        <v>0</v>
      </c>
      <c r="N142" s="243"/>
      <c r="O142" s="294">
        <f>ROUND(N142*I142,2)</f>
        <v>0</v>
      </c>
      <c r="P142" s="273">
        <f>H142-L142-N142</f>
        <v>18</v>
      </c>
      <c r="Q142" s="287">
        <f>ROUND(P142*I142,2)</f>
        <v>791.29</v>
      </c>
      <c r="R142" s="137"/>
      <c r="S142" s="269">
        <f>W142+Y142+AA142+AC142</f>
        <v>0</v>
      </c>
      <c r="T142" s="269">
        <f>ROUND(S142*I142,2)</f>
        <v>0</v>
      </c>
      <c r="U142" s="269">
        <f>H142-S142</f>
        <v>18</v>
      </c>
      <c r="V142" s="269">
        <f>ROUND(U142*I142,2)</f>
        <v>791.29</v>
      </c>
      <c r="W142" s="269"/>
      <c r="X142" s="269"/>
      <c r="Y142" s="269"/>
      <c r="Z142" s="269"/>
      <c r="AA142" s="269"/>
      <c r="AB142" s="269"/>
      <c r="AC142" s="269"/>
      <c r="AD142" s="269"/>
      <c r="BH142" s="132" t="s">
        <v>1</v>
      </c>
      <c r="BI142" s="133" t="s">
        <v>40</v>
      </c>
      <c r="BK142" s="134">
        <f>BJ142*H142</f>
        <v>0</v>
      </c>
      <c r="BL142" s="134">
        <v>0</v>
      </c>
      <c r="BM142" s="134">
        <f>BL142*H142</f>
        <v>0</v>
      </c>
      <c r="BN142" s="134">
        <v>0</v>
      </c>
      <c r="BO142" s="135">
        <f>BN142*H142</f>
        <v>0</v>
      </c>
      <c r="CM142" s="136" t="s">
        <v>95</v>
      </c>
      <c r="CO142" s="136" t="s">
        <v>284</v>
      </c>
      <c r="CP142" s="136" t="s">
        <v>83</v>
      </c>
      <c r="CT142" s="16" t="s">
        <v>282</v>
      </c>
      <c r="CZ142" s="137">
        <f>IF(BI142="základní",J142,0)</f>
        <v>791.29</v>
      </c>
      <c r="DA142" s="137">
        <f>IF(BI142="snížená",J142,0)</f>
        <v>0</v>
      </c>
      <c r="DB142" s="137">
        <f>IF(BI142="zákl. přenesená",J142,0)</f>
        <v>0</v>
      </c>
      <c r="DC142" s="137">
        <f>IF(BI142="sníž. přenesená",J142,0)</f>
        <v>0</v>
      </c>
      <c r="DD142" s="137">
        <f>IF(BI142="nulová",J142,0)</f>
        <v>0</v>
      </c>
      <c r="DE142" s="16" t="s">
        <v>81</v>
      </c>
      <c r="DF142" s="137">
        <f>ROUND(I142*H142,2)</f>
        <v>791.29</v>
      </c>
      <c r="DG142" s="16" t="s">
        <v>95</v>
      </c>
      <c r="DH142" s="136" t="s">
        <v>415</v>
      </c>
    </row>
    <row r="143" spans="2:112" s="1" customFormat="1" x14ac:dyDescent="0.2">
      <c r="B143" s="31"/>
      <c r="D143" s="138" t="s">
        <v>289</v>
      </c>
      <c r="F143" s="139" t="s">
        <v>2011</v>
      </c>
      <c r="I143" s="140"/>
      <c r="L143" s="31"/>
      <c r="N143" s="213"/>
      <c r="O143" s="214"/>
      <c r="Q143" s="229"/>
      <c r="BH143" s="141"/>
      <c r="BO143" s="50"/>
      <c r="CO143" s="16" t="s">
        <v>289</v>
      </c>
      <c r="CP143" s="16" t="s">
        <v>83</v>
      </c>
    </row>
    <row r="144" spans="2:112" s="10" customFormat="1" ht="22.9" customHeight="1" x14ac:dyDescent="0.2">
      <c r="B144" s="112"/>
      <c r="D144" s="113" t="s">
        <v>73</v>
      </c>
      <c r="E144" s="122" t="s">
        <v>2012</v>
      </c>
      <c r="F144" s="122" t="s">
        <v>2013</v>
      </c>
      <c r="I144" s="115"/>
      <c r="J144" s="123">
        <f>DF144</f>
        <v>53530.43</v>
      </c>
      <c r="L144" s="112"/>
      <c r="M144" s="270">
        <f>SUM(M145:M151)</f>
        <v>0</v>
      </c>
      <c r="N144" s="301"/>
      <c r="O144" s="302">
        <f t="shared" ref="O144:V144" si="4">SUM(O145:O151)</f>
        <v>0</v>
      </c>
      <c r="P144" s="270"/>
      <c r="Q144" s="288">
        <f t="shared" si="4"/>
        <v>53530.43</v>
      </c>
      <c r="R144" s="270"/>
      <c r="S144" s="270"/>
      <c r="T144" s="270">
        <f t="shared" si="4"/>
        <v>0</v>
      </c>
      <c r="U144" s="270"/>
      <c r="V144" s="270">
        <f t="shared" si="4"/>
        <v>53530.43</v>
      </c>
      <c r="BH144" s="117"/>
      <c r="BK144" s="118">
        <f>SUM(BK145:BK152)</f>
        <v>0</v>
      </c>
      <c r="BM144" s="118">
        <f>SUM(BM145:BM152)</f>
        <v>0</v>
      </c>
      <c r="BO144" s="119">
        <f>SUM(BO145:BO152)</f>
        <v>0</v>
      </c>
      <c r="CM144" s="113" t="s">
        <v>81</v>
      </c>
      <c r="CO144" s="120" t="s">
        <v>73</v>
      </c>
      <c r="CP144" s="120" t="s">
        <v>81</v>
      </c>
      <c r="CT144" s="113" t="s">
        <v>282</v>
      </c>
      <c r="DF144" s="121">
        <f>SUM(DF145:DF152)</f>
        <v>53530.43</v>
      </c>
    </row>
    <row r="145" spans="2:112" s="1" customFormat="1" ht="14.45" customHeight="1" x14ac:dyDescent="0.2">
      <c r="B145" s="124"/>
      <c r="C145" s="125" t="s">
        <v>348</v>
      </c>
      <c r="D145" s="125" t="s">
        <v>284</v>
      </c>
      <c r="E145" s="126" t="s">
        <v>2014</v>
      </c>
      <c r="F145" s="127" t="s">
        <v>2015</v>
      </c>
      <c r="G145" s="128" t="s">
        <v>344</v>
      </c>
      <c r="H145" s="129">
        <v>35</v>
      </c>
      <c r="I145" s="130">
        <v>842.07475729999999</v>
      </c>
      <c r="J145" s="131">
        <f>ROUND(I145*H145,2)</f>
        <v>29472.62</v>
      </c>
      <c r="K145" s="127" t="s">
        <v>1</v>
      </c>
      <c r="L145" s="268">
        <f>S145</f>
        <v>0</v>
      </c>
      <c r="M145" s="272">
        <f>ROUND(L145*I145,2)</f>
        <v>0</v>
      </c>
      <c r="N145" s="243"/>
      <c r="O145" s="294">
        <f>ROUND(N145*I145,2)</f>
        <v>0</v>
      </c>
      <c r="P145" s="273">
        <f>H145-L145-N145</f>
        <v>35</v>
      </c>
      <c r="Q145" s="287">
        <f>ROUND(P145*I145,2)</f>
        <v>29472.62</v>
      </c>
      <c r="R145" s="137"/>
      <c r="S145" s="269">
        <f>W145+Y145+AA145+AC145</f>
        <v>0</v>
      </c>
      <c r="T145" s="269">
        <f>ROUND(S145*I145,2)</f>
        <v>0</v>
      </c>
      <c r="U145" s="269">
        <f>H145-S145</f>
        <v>35</v>
      </c>
      <c r="V145" s="269">
        <f>ROUND(U145*I145,2)</f>
        <v>29472.62</v>
      </c>
      <c r="W145" s="269"/>
      <c r="X145" s="269"/>
      <c r="Y145" s="269"/>
      <c r="Z145" s="269"/>
      <c r="AA145" s="269"/>
      <c r="AB145" s="269"/>
      <c r="AC145" s="269"/>
      <c r="AD145" s="269"/>
      <c r="BH145" s="132" t="s">
        <v>1</v>
      </c>
      <c r="BI145" s="133" t="s">
        <v>40</v>
      </c>
      <c r="BK145" s="134">
        <f>BJ145*H145</f>
        <v>0</v>
      </c>
      <c r="BL145" s="134">
        <v>0</v>
      </c>
      <c r="BM145" s="134">
        <f>BL145*H145</f>
        <v>0</v>
      </c>
      <c r="BN145" s="134">
        <v>0</v>
      </c>
      <c r="BO145" s="135">
        <f>BN145*H145</f>
        <v>0</v>
      </c>
      <c r="CM145" s="136" t="s">
        <v>95</v>
      </c>
      <c r="CO145" s="136" t="s">
        <v>284</v>
      </c>
      <c r="CP145" s="136" t="s">
        <v>83</v>
      </c>
      <c r="CT145" s="16" t="s">
        <v>282</v>
      </c>
      <c r="CZ145" s="137">
        <f>IF(BI145="základní",J145,0)</f>
        <v>29472.62</v>
      </c>
      <c r="DA145" s="137">
        <f>IF(BI145="snížená",J145,0)</f>
        <v>0</v>
      </c>
      <c r="DB145" s="137">
        <f>IF(BI145="zákl. přenesená",J145,0)</f>
        <v>0</v>
      </c>
      <c r="DC145" s="137">
        <f>IF(BI145="sníž. přenesená",J145,0)</f>
        <v>0</v>
      </c>
      <c r="DD145" s="137">
        <f>IF(BI145="nulová",J145,0)</f>
        <v>0</v>
      </c>
      <c r="DE145" s="16" t="s">
        <v>81</v>
      </c>
      <c r="DF145" s="137">
        <f>ROUND(I145*H145,2)</f>
        <v>29472.62</v>
      </c>
      <c r="DG145" s="16" t="s">
        <v>95</v>
      </c>
      <c r="DH145" s="136" t="s">
        <v>438</v>
      </c>
    </row>
    <row r="146" spans="2:112" s="1" customFormat="1" x14ac:dyDescent="0.2">
      <c r="B146" s="31"/>
      <c r="D146" s="138" t="s">
        <v>289</v>
      </c>
      <c r="F146" s="139" t="s">
        <v>2015</v>
      </c>
      <c r="I146" s="140"/>
      <c r="L146" s="31"/>
      <c r="N146" s="213"/>
      <c r="O146" s="214"/>
      <c r="Q146" s="229"/>
      <c r="BH146" s="141"/>
      <c r="BO146" s="50"/>
      <c r="CO146" s="16" t="s">
        <v>289</v>
      </c>
      <c r="CP146" s="16" t="s">
        <v>83</v>
      </c>
    </row>
    <row r="147" spans="2:112" s="1" customFormat="1" ht="14.45" customHeight="1" x14ac:dyDescent="0.2">
      <c r="B147" s="124"/>
      <c r="C147" s="125" t="s">
        <v>327</v>
      </c>
      <c r="D147" s="125" t="s">
        <v>284</v>
      </c>
      <c r="E147" s="126" t="s">
        <v>2016</v>
      </c>
      <c r="F147" s="127" t="s">
        <v>2017</v>
      </c>
      <c r="G147" s="128" t="s">
        <v>2018</v>
      </c>
      <c r="H147" s="129">
        <v>35</v>
      </c>
      <c r="I147" s="130">
        <v>199.360488379</v>
      </c>
      <c r="J147" s="131">
        <f>ROUND(I147*H147,2)</f>
        <v>6977.62</v>
      </c>
      <c r="K147" s="127" t="s">
        <v>1</v>
      </c>
      <c r="L147" s="268">
        <f>S147</f>
        <v>0</v>
      </c>
      <c r="M147" s="272">
        <f>ROUND(L147*I147,2)</f>
        <v>0</v>
      </c>
      <c r="N147" s="243"/>
      <c r="O147" s="294">
        <f>ROUND(N147*I147,2)</f>
        <v>0</v>
      </c>
      <c r="P147" s="273">
        <f>H147-L147-N147</f>
        <v>35</v>
      </c>
      <c r="Q147" s="287">
        <f>ROUND(P147*I147,2)</f>
        <v>6977.62</v>
      </c>
      <c r="R147" s="137"/>
      <c r="S147" s="269">
        <f>W147+Y147+AA147+AC147</f>
        <v>0</v>
      </c>
      <c r="T147" s="269">
        <f>ROUND(S147*I147,2)</f>
        <v>0</v>
      </c>
      <c r="U147" s="269">
        <f>H147-S147</f>
        <v>35</v>
      </c>
      <c r="V147" s="269">
        <f>ROUND(U147*I147,2)</f>
        <v>6977.62</v>
      </c>
      <c r="W147" s="269"/>
      <c r="X147" s="269"/>
      <c r="Y147" s="269"/>
      <c r="Z147" s="269"/>
      <c r="AA147" s="269"/>
      <c r="AB147" s="269"/>
      <c r="AC147" s="269"/>
      <c r="AD147" s="269"/>
      <c r="BH147" s="132" t="s">
        <v>1</v>
      </c>
      <c r="BI147" s="133" t="s">
        <v>40</v>
      </c>
      <c r="BK147" s="134">
        <f>BJ147*H147</f>
        <v>0</v>
      </c>
      <c r="BL147" s="134">
        <v>0</v>
      </c>
      <c r="BM147" s="134">
        <f>BL147*H147</f>
        <v>0</v>
      </c>
      <c r="BN147" s="134">
        <v>0</v>
      </c>
      <c r="BO147" s="135">
        <f>BN147*H147</f>
        <v>0</v>
      </c>
      <c r="CM147" s="136" t="s">
        <v>95</v>
      </c>
      <c r="CO147" s="136" t="s">
        <v>284</v>
      </c>
      <c r="CP147" s="136" t="s">
        <v>83</v>
      </c>
      <c r="CT147" s="16" t="s">
        <v>282</v>
      </c>
      <c r="CZ147" s="137">
        <f>IF(BI147="základní",J147,0)</f>
        <v>6977.62</v>
      </c>
      <c r="DA147" s="137">
        <f>IF(BI147="snížená",J147,0)</f>
        <v>0</v>
      </c>
      <c r="DB147" s="137">
        <f>IF(BI147="zákl. přenesená",J147,0)</f>
        <v>0</v>
      </c>
      <c r="DC147" s="137">
        <f>IF(BI147="sníž. přenesená",J147,0)</f>
        <v>0</v>
      </c>
      <c r="DD147" s="137">
        <f>IF(BI147="nulová",J147,0)</f>
        <v>0</v>
      </c>
      <c r="DE147" s="16" t="s">
        <v>81</v>
      </c>
      <c r="DF147" s="137">
        <f>ROUND(I147*H147,2)</f>
        <v>6977.62</v>
      </c>
      <c r="DG147" s="16" t="s">
        <v>95</v>
      </c>
      <c r="DH147" s="136" t="s">
        <v>451</v>
      </c>
    </row>
    <row r="148" spans="2:112" s="1" customFormat="1" x14ac:dyDescent="0.2">
      <c r="B148" s="31"/>
      <c r="D148" s="138" t="s">
        <v>289</v>
      </c>
      <c r="F148" s="139" t="s">
        <v>2017</v>
      </c>
      <c r="I148" s="140"/>
      <c r="L148" s="31"/>
      <c r="N148" s="213"/>
      <c r="O148" s="214"/>
      <c r="Q148" s="229"/>
      <c r="BH148" s="141"/>
      <c r="BO148" s="50"/>
      <c r="CO148" s="16" t="s">
        <v>289</v>
      </c>
      <c r="CP148" s="16" t="s">
        <v>83</v>
      </c>
    </row>
    <row r="149" spans="2:112" s="1" customFormat="1" ht="24.2" customHeight="1" x14ac:dyDescent="0.2">
      <c r="B149" s="124"/>
      <c r="C149" s="125" t="s">
        <v>359</v>
      </c>
      <c r="D149" s="125" t="s">
        <v>284</v>
      </c>
      <c r="E149" s="126" t="s">
        <v>2019</v>
      </c>
      <c r="F149" s="127" t="s">
        <v>2020</v>
      </c>
      <c r="G149" s="128" t="s">
        <v>2018</v>
      </c>
      <c r="H149" s="129">
        <v>35</v>
      </c>
      <c r="I149" s="130">
        <v>311.6339653</v>
      </c>
      <c r="J149" s="131">
        <f>ROUND(I149*H149,2)</f>
        <v>10907.19</v>
      </c>
      <c r="K149" s="127" t="s">
        <v>1</v>
      </c>
      <c r="L149" s="268">
        <f>S149</f>
        <v>0</v>
      </c>
      <c r="M149" s="272">
        <f>ROUND(L149*I149,2)</f>
        <v>0</v>
      </c>
      <c r="N149" s="243"/>
      <c r="O149" s="294">
        <f>ROUND(N149*I149,2)</f>
        <v>0</v>
      </c>
      <c r="P149" s="273">
        <f>H149-L149-N149</f>
        <v>35</v>
      </c>
      <c r="Q149" s="287">
        <f>ROUND(P149*I149,2)</f>
        <v>10907.19</v>
      </c>
      <c r="R149" s="137"/>
      <c r="S149" s="269">
        <f>W149+Y149+AA149+AC149</f>
        <v>0</v>
      </c>
      <c r="T149" s="269">
        <f>ROUND(S149*I149,2)</f>
        <v>0</v>
      </c>
      <c r="U149" s="269">
        <f>H149-S149</f>
        <v>35</v>
      </c>
      <c r="V149" s="269">
        <f>ROUND(U149*I149,2)</f>
        <v>10907.19</v>
      </c>
      <c r="W149" s="269"/>
      <c r="X149" s="269"/>
      <c r="Y149" s="269"/>
      <c r="Z149" s="269"/>
      <c r="AA149" s="269"/>
      <c r="AB149" s="269"/>
      <c r="AC149" s="269"/>
      <c r="AD149" s="269"/>
      <c r="BH149" s="132" t="s">
        <v>1</v>
      </c>
      <c r="BI149" s="133" t="s">
        <v>40</v>
      </c>
      <c r="BK149" s="134">
        <f>BJ149*H149</f>
        <v>0</v>
      </c>
      <c r="BL149" s="134">
        <v>0</v>
      </c>
      <c r="BM149" s="134">
        <f>BL149*H149</f>
        <v>0</v>
      </c>
      <c r="BN149" s="134">
        <v>0</v>
      </c>
      <c r="BO149" s="135">
        <f>BN149*H149</f>
        <v>0</v>
      </c>
      <c r="CM149" s="136" t="s">
        <v>95</v>
      </c>
      <c r="CO149" s="136" t="s">
        <v>284</v>
      </c>
      <c r="CP149" s="136" t="s">
        <v>83</v>
      </c>
      <c r="CT149" s="16" t="s">
        <v>282</v>
      </c>
      <c r="CZ149" s="137">
        <f>IF(BI149="základní",J149,0)</f>
        <v>10907.19</v>
      </c>
      <c r="DA149" s="137">
        <f>IF(BI149="snížená",J149,0)</f>
        <v>0</v>
      </c>
      <c r="DB149" s="137">
        <f>IF(BI149="zákl. přenesená",J149,0)</f>
        <v>0</v>
      </c>
      <c r="DC149" s="137">
        <f>IF(BI149="sníž. přenesená",J149,0)</f>
        <v>0</v>
      </c>
      <c r="DD149" s="137">
        <f>IF(BI149="nulová",J149,0)</f>
        <v>0</v>
      </c>
      <c r="DE149" s="16" t="s">
        <v>81</v>
      </c>
      <c r="DF149" s="137">
        <f>ROUND(I149*H149,2)</f>
        <v>10907.19</v>
      </c>
      <c r="DG149" s="16" t="s">
        <v>95</v>
      </c>
      <c r="DH149" s="136" t="s">
        <v>463</v>
      </c>
    </row>
    <row r="150" spans="2:112" s="1" customFormat="1" x14ac:dyDescent="0.2">
      <c r="B150" s="31"/>
      <c r="D150" s="138" t="s">
        <v>289</v>
      </c>
      <c r="F150" s="139" t="s">
        <v>2020</v>
      </c>
      <c r="I150" s="140"/>
      <c r="L150" s="31"/>
      <c r="N150" s="213"/>
      <c r="O150" s="214"/>
      <c r="Q150" s="229"/>
      <c r="BH150" s="141"/>
      <c r="BO150" s="50"/>
      <c r="CO150" s="16" t="s">
        <v>289</v>
      </c>
      <c r="CP150" s="16" t="s">
        <v>83</v>
      </c>
    </row>
    <row r="151" spans="2:112" s="1" customFormat="1" ht="14.45" customHeight="1" x14ac:dyDescent="0.2">
      <c r="B151" s="124"/>
      <c r="C151" s="125" t="s">
        <v>363</v>
      </c>
      <c r="D151" s="125" t="s">
        <v>284</v>
      </c>
      <c r="E151" s="126" t="s">
        <v>2021</v>
      </c>
      <c r="F151" s="127" t="s">
        <v>2022</v>
      </c>
      <c r="G151" s="128" t="s">
        <v>2018</v>
      </c>
      <c r="H151" s="129">
        <v>35</v>
      </c>
      <c r="I151" s="130">
        <v>176.37156333999999</v>
      </c>
      <c r="J151" s="131">
        <f>ROUND(I151*H151,2)</f>
        <v>6173</v>
      </c>
      <c r="K151" s="127" t="s">
        <v>1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35</v>
      </c>
      <c r="Q151" s="287">
        <f>ROUND(P151*I151,2)</f>
        <v>6173</v>
      </c>
      <c r="R151" s="137"/>
      <c r="S151" s="269">
        <f>W151+Y151+AA151+AC151</f>
        <v>0</v>
      </c>
      <c r="T151" s="269">
        <f>ROUND(S151*I151,2)</f>
        <v>0</v>
      </c>
      <c r="U151" s="269">
        <f>H151-S151</f>
        <v>35</v>
      </c>
      <c r="V151" s="269">
        <f>ROUND(U151*I151,2)</f>
        <v>6173</v>
      </c>
      <c r="W151" s="269"/>
      <c r="X151" s="269"/>
      <c r="Y151" s="269"/>
      <c r="Z151" s="269"/>
      <c r="AA151" s="269"/>
      <c r="AB151" s="269"/>
      <c r="AC151" s="269"/>
      <c r="AD151" s="269"/>
      <c r="BH151" s="132" t="s">
        <v>1</v>
      </c>
      <c r="BI151" s="133" t="s">
        <v>40</v>
      </c>
      <c r="BK151" s="134">
        <f>BJ151*H151</f>
        <v>0</v>
      </c>
      <c r="BL151" s="134">
        <v>0</v>
      </c>
      <c r="BM151" s="134">
        <f>BL151*H151</f>
        <v>0</v>
      </c>
      <c r="BN151" s="134">
        <v>0</v>
      </c>
      <c r="BO151" s="135">
        <f>BN151*H151</f>
        <v>0</v>
      </c>
      <c r="CM151" s="136" t="s">
        <v>95</v>
      </c>
      <c r="CO151" s="136" t="s">
        <v>284</v>
      </c>
      <c r="CP151" s="136" t="s">
        <v>83</v>
      </c>
      <c r="CT151" s="16" t="s">
        <v>282</v>
      </c>
      <c r="CZ151" s="137">
        <f>IF(BI151="základní",J151,0)</f>
        <v>6173</v>
      </c>
      <c r="DA151" s="137">
        <f>IF(BI151="snížená",J151,0)</f>
        <v>0</v>
      </c>
      <c r="DB151" s="137">
        <f>IF(BI151="zákl. přenesená",J151,0)</f>
        <v>0</v>
      </c>
      <c r="DC151" s="137">
        <f>IF(BI151="sníž. přenesená",J151,0)</f>
        <v>0</v>
      </c>
      <c r="DD151" s="137">
        <f>IF(BI151="nulová",J151,0)</f>
        <v>0</v>
      </c>
      <c r="DE151" s="16" t="s">
        <v>81</v>
      </c>
      <c r="DF151" s="137">
        <f>ROUND(I151*H151,2)</f>
        <v>6173</v>
      </c>
      <c r="DG151" s="16" t="s">
        <v>95</v>
      </c>
      <c r="DH151" s="136" t="s">
        <v>476</v>
      </c>
    </row>
    <row r="152" spans="2:112" s="1" customFormat="1" x14ac:dyDescent="0.2">
      <c r="B152" s="31"/>
      <c r="D152" s="138" t="s">
        <v>289</v>
      </c>
      <c r="F152" s="139" t="s">
        <v>2022</v>
      </c>
      <c r="I152" s="140"/>
      <c r="L152" s="31"/>
      <c r="N152" s="213"/>
      <c r="O152" s="214"/>
      <c r="Q152" s="229"/>
      <c r="BH152" s="141"/>
      <c r="BO152" s="50"/>
      <c r="CO152" s="16" t="s">
        <v>289</v>
      </c>
      <c r="CP152" s="16" t="s">
        <v>83</v>
      </c>
    </row>
    <row r="153" spans="2:112" s="10" customFormat="1" ht="22.9" customHeight="1" x14ac:dyDescent="0.2">
      <c r="B153" s="112"/>
      <c r="D153" s="113" t="s">
        <v>73</v>
      </c>
      <c r="E153" s="122" t="s">
        <v>2034</v>
      </c>
      <c r="F153" s="122" t="s">
        <v>2035</v>
      </c>
      <c r="I153" s="115"/>
      <c r="J153" s="123">
        <f>DF153</f>
        <v>15013.37</v>
      </c>
      <c r="L153" s="112"/>
      <c r="M153" s="270">
        <f>SUM(M154:M160)</f>
        <v>0</v>
      </c>
      <c r="N153" s="301"/>
      <c r="O153" s="302">
        <f t="shared" ref="O153:V153" si="5">SUM(O154:O160)</f>
        <v>0</v>
      </c>
      <c r="P153" s="270"/>
      <c r="Q153" s="288">
        <f t="shared" si="5"/>
        <v>15013.37</v>
      </c>
      <c r="R153" s="270"/>
      <c r="S153" s="270"/>
      <c r="T153" s="270">
        <f t="shared" si="5"/>
        <v>0</v>
      </c>
      <c r="U153" s="270"/>
      <c r="V153" s="270">
        <f t="shared" si="5"/>
        <v>15013.37</v>
      </c>
      <c r="BH153" s="117"/>
      <c r="BK153" s="118">
        <f>SUM(BK154:BK161)</f>
        <v>0</v>
      </c>
      <c r="BM153" s="118">
        <f>SUM(BM154:BM161)</f>
        <v>0</v>
      </c>
      <c r="BO153" s="119">
        <f>SUM(BO154:BO161)</f>
        <v>0</v>
      </c>
      <c r="CM153" s="113" t="s">
        <v>81</v>
      </c>
      <c r="CO153" s="120" t="s">
        <v>73</v>
      </c>
      <c r="CP153" s="120" t="s">
        <v>81</v>
      </c>
      <c r="CT153" s="113" t="s">
        <v>282</v>
      </c>
      <c r="DF153" s="121">
        <f>SUM(DF154:DF161)</f>
        <v>15013.37</v>
      </c>
    </row>
    <row r="154" spans="2:112" s="1" customFormat="1" ht="14.45" customHeight="1" x14ac:dyDescent="0.2">
      <c r="B154" s="124"/>
      <c r="C154" s="125" t="s">
        <v>8</v>
      </c>
      <c r="D154" s="125" t="s">
        <v>284</v>
      </c>
      <c r="E154" s="126" t="s">
        <v>2036</v>
      </c>
      <c r="F154" s="127" t="s">
        <v>2037</v>
      </c>
      <c r="G154" s="128" t="s">
        <v>331</v>
      </c>
      <c r="H154" s="129">
        <v>12</v>
      </c>
      <c r="I154" s="130">
        <v>568.32942000000003</v>
      </c>
      <c r="J154" s="131">
        <f>ROUND(I154*H154,2)</f>
        <v>6819.95</v>
      </c>
      <c r="K154" s="127" t="s">
        <v>1</v>
      </c>
      <c r="L154" s="268">
        <f>S154</f>
        <v>0</v>
      </c>
      <c r="M154" s="272">
        <f>ROUND(L154*I154,2)</f>
        <v>0</v>
      </c>
      <c r="N154" s="243"/>
      <c r="O154" s="294">
        <f>ROUND(N154*I154,2)</f>
        <v>0</v>
      </c>
      <c r="P154" s="273">
        <f>H154-L154-N154</f>
        <v>12</v>
      </c>
      <c r="Q154" s="287">
        <f>ROUND(P154*I154,2)</f>
        <v>6819.95</v>
      </c>
      <c r="R154" s="137"/>
      <c r="S154" s="269">
        <f>W154+Y154+AA154+AC154</f>
        <v>0</v>
      </c>
      <c r="T154" s="269">
        <f>ROUND(S154*I154,2)</f>
        <v>0</v>
      </c>
      <c r="U154" s="269">
        <f>H154-S154</f>
        <v>12</v>
      </c>
      <c r="V154" s="269">
        <f>ROUND(U154*I154,2)</f>
        <v>6819.95</v>
      </c>
      <c r="W154" s="269"/>
      <c r="X154" s="269"/>
      <c r="Y154" s="269"/>
      <c r="Z154" s="269"/>
      <c r="AA154" s="269"/>
      <c r="AB154" s="269"/>
      <c r="AC154" s="269"/>
      <c r="AD154" s="269"/>
      <c r="BH154" s="132" t="s">
        <v>1</v>
      </c>
      <c r="BI154" s="133" t="s">
        <v>40</v>
      </c>
      <c r="BK154" s="134">
        <f>BJ154*H154</f>
        <v>0</v>
      </c>
      <c r="BL154" s="134">
        <v>0</v>
      </c>
      <c r="BM154" s="134">
        <f>BL154*H154</f>
        <v>0</v>
      </c>
      <c r="BN154" s="134">
        <v>0</v>
      </c>
      <c r="BO154" s="135">
        <f>BN154*H154</f>
        <v>0</v>
      </c>
      <c r="CM154" s="136" t="s">
        <v>95</v>
      </c>
      <c r="CO154" s="136" t="s">
        <v>284</v>
      </c>
      <c r="CP154" s="136" t="s">
        <v>83</v>
      </c>
      <c r="CT154" s="16" t="s">
        <v>282</v>
      </c>
      <c r="CZ154" s="137">
        <f>IF(BI154="základní",J154,0)</f>
        <v>6819.95</v>
      </c>
      <c r="DA154" s="137">
        <f>IF(BI154="snížená",J154,0)</f>
        <v>0</v>
      </c>
      <c r="DB154" s="137">
        <f>IF(BI154="zákl. přenesená",J154,0)</f>
        <v>0</v>
      </c>
      <c r="DC154" s="137">
        <f>IF(BI154="sníž. přenesená",J154,0)</f>
        <v>0</v>
      </c>
      <c r="DD154" s="137">
        <f>IF(BI154="nulová",J154,0)</f>
        <v>0</v>
      </c>
      <c r="DE154" s="16" t="s">
        <v>81</v>
      </c>
      <c r="DF154" s="137">
        <f>ROUND(I154*H154,2)</f>
        <v>6819.95</v>
      </c>
      <c r="DG154" s="16" t="s">
        <v>95</v>
      </c>
      <c r="DH154" s="136" t="s">
        <v>548</v>
      </c>
    </row>
    <row r="155" spans="2:112" s="1" customFormat="1" x14ac:dyDescent="0.2">
      <c r="B155" s="31"/>
      <c r="D155" s="138" t="s">
        <v>289</v>
      </c>
      <c r="F155" s="139" t="s">
        <v>2037</v>
      </c>
      <c r="I155" s="140"/>
      <c r="L155" s="31"/>
      <c r="N155" s="213"/>
      <c r="O155" s="214"/>
      <c r="Q155" s="229"/>
      <c r="BH155" s="141"/>
      <c r="BO155" s="50"/>
      <c r="CO155" s="16" t="s">
        <v>289</v>
      </c>
      <c r="CP155" s="16" t="s">
        <v>83</v>
      </c>
    </row>
    <row r="156" spans="2:112" s="1" customFormat="1" ht="14.45" customHeight="1" x14ac:dyDescent="0.2">
      <c r="B156" s="124"/>
      <c r="C156" s="125" t="s">
        <v>379</v>
      </c>
      <c r="D156" s="125" t="s">
        <v>284</v>
      </c>
      <c r="E156" s="126" t="s">
        <v>2038</v>
      </c>
      <c r="F156" s="127" t="s">
        <v>2039</v>
      </c>
      <c r="G156" s="128" t="s">
        <v>331</v>
      </c>
      <c r="H156" s="129">
        <v>10</v>
      </c>
      <c r="I156" s="130">
        <v>520.96863499999995</v>
      </c>
      <c r="J156" s="131">
        <f>ROUND(I156*H156,2)</f>
        <v>5209.6899999999996</v>
      </c>
      <c r="K156" s="127" t="s">
        <v>1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10</v>
      </c>
      <c r="Q156" s="287">
        <f>ROUND(P156*I156,2)</f>
        <v>5209.6899999999996</v>
      </c>
      <c r="R156" s="137"/>
      <c r="S156" s="269">
        <f>W156+Y156+AA156+AC156</f>
        <v>0</v>
      </c>
      <c r="T156" s="269">
        <f>ROUND(S156*I156,2)</f>
        <v>0</v>
      </c>
      <c r="U156" s="269">
        <f>H156-S156</f>
        <v>10</v>
      </c>
      <c r="V156" s="269">
        <f>ROUND(U156*I156,2)</f>
        <v>5209.6899999999996</v>
      </c>
      <c r="W156" s="269"/>
      <c r="X156" s="269"/>
      <c r="Y156" s="269"/>
      <c r="Z156" s="269"/>
      <c r="AA156" s="269"/>
      <c r="AB156" s="269"/>
      <c r="AC156" s="269"/>
      <c r="AD156" s="269"/>
      <c r="BH156" s="132" t="s">
        <v>1</v>
      </c>
      <c r="BI156" s="133" t="s">
        <v>40</v>
      </c>
      <c r="BK156" s="134">
        <f>BJ156*H156</f>
        <v>0</v>
      </c>
      <c r="BL156" s="134">
        <v>0</v>
      </c>
      <c r="BM156" s="134">
        <f>BL156*H156</f>
        <v>0</v>
      </c>
      <c r="BN156" s="134">
        <v>0</v>
      </c>
      <c r="BO156" s="135">
        <f>BN156*H156</f>
        <v>0</v>
      </c>
      <c r="CM156" s="136" t="s">
        <v>95</v>
      </c>
      <c r="CO156" s="136" t="s">
        <v>284</v>
      </c>
      <c r="CP156" s="136" t="s">
        <v>83</v>
      </c>
      <c r="CT156" s="16" t="s">
        <v>282</v>
      </c>
      <c r="CZ156" s="137">
        <f>IF(BI156="základní",J156,0)</f>
        <v>5209.6899999999996</v>
      </c>
      <c r="DA156" s="137">
        <f>IF(BI156="snížená",J156,0)</f>
        <v>0</v>
      </c>
      <c r="DB156" s="137">
        <f>IF(BI156="zákl. přenesená",J156,0)</f>
        <v>0</v>
      </c>
      <c r="DC156" s="137">
        <f>IF(BI156="sníž. přenesená",J156,0)</f>
        <v>0</v>
      </c>
      <c r="DD156" s="137">
        <f>IF(BI156="nulová",J156,0)</f>
        <v>0</v>
      </c>
      <c r="DE156" s="16" t="s">
        <v>81</v>
      </c>
      <c r="DF156" s="137">
        <f>ROUND(I156*H156,2)</f>
        <v>5209.6899999999996</v>
      </c>
      <c r="DG156" s="16" t="s">
        <v>95</v>
      </c>
      <c r="DH156" s="136" t="s">
        <v>562</v>
      </c>
    </row>
    <row r="157" spans="2:112" s="1" customFormat="1" x14ac:dyDescent="0.2">
      <c r="B157" s="31"/>
      <c r="D157" s="138" t="s">
        <v>289</v>
      </c>
      <c r="F157" s="139" t="s">
        <v>2039</v>
      </c>
      <c r="I157" s="140"/>
      <c r="L157" s="31"/>
      <c r="N157" s="213"/>
      <c r="O157" s="214"/>
      <c r="Q157" s="229"/>
      <c r="BH157" s="141"/>
      <c r="BO157" s="50"/>
      <c r="CO157" s="16" t="s">
        <v>289</v>
      </c>
      <c r="CP157" s="16" t="s">
        <v>83</v>
      </c>
    </row>
    <row r="158" spans="2:112" s="1" customFormat="1" ht="14.45" customHeight="1" x14ac:dyDescent="0.2">
      <c r="B158" s="124"/>
      <c r="C158" s="125" t="s">
        <v>386</v>
      </c>
      <c r="D158" s="125" t="s">
        <v>284</v>
      </c>
      <c r="E158" s="126" t="s">
        <v>2040</v>
      </c>
      <c r="F158" s="127" t="s">
        <v>2041</v>
      </c>
      <c r="G158" s="128" t="s">
        <v>331</v>
      </c>
      <c r="H158" s="129">
        <v>5</v>
      </c>
      <c r="I158" s="130">
        <v>473.60784999999998</v>
      </c>
      <c r="J158" s="131">
        <f>ROUND(I158*H158,2)</f>
        <v>2368.04</v>
      </c>
      <c r="K158" s="127" t="s">
        <v>1</v>
      </c>
      <c r="L158" s="268">
        <f>S158</f>
        <v>0</v>
      </c>
      <c r="M158" s="272">
        <f>ROUND(L158*I158,2)</f>
        <v>0</v>
      </c>
      <c r="N158" s="243"/>
      <c r="O158" s="294">
        <f>ROUND(N158*I158,2)</f>
        <v>0</v>
      </c>
      <c r="P158" s="273">
        <f>H158-L158-N158</f>
        <v>5</v>
      </c>
      <c r="Q158" s="287">
        <f>ROUND(P158*I158,2)</f>
        <v>2368.04</v>
      </c>
      <c r="R158" s="137"/>
      <c r="S158" s="269">
        <f>W158+Y158+AA158+AC158</f>
        <v>0</v>
      </c>
      <c r="T158" s="269">
        <f>ROUND(S158*I158,2)</f>
        <v>0</v>
      </c>
      <c r="U158" s="269">
        <f>H158-S158</f>
        <v>5</v>
      </c>
      <c r="V158" s="269">
        <f>ROUND(U158*I158,2)</f>
        <v>2368.04</v>
      </c>
      <c r="W158" s="269"/>
      <c r="X158" s="269"/>
      <c r="Y158" s="269"/>
      <c r="Z158" s="269"/>
      <c r="AA158" s="269"/>
      <c r="AB158" s="269"/>
      <c r="AC158" s="269"/>
      <c r="AD158" s="269"/>
      <c r="BH158" s="132" t="s">
        <v>1</v>
      </c>
      <c r="BI158" s="133" t="s">
        <v>40</v>
      </c>
      <c r="BK158" s="134">
        <f>BJ158*H158</f>
        <v>0</v>
      </c>
      <c r="BL158" s="134">
        <v>0</v>
      </c>
      <c r="BM158" s="134">
        <f>BL158*H158</f>
        <v>0</v>
      </c>
      <c r="BN158" s="134">
        <v>0</v>
      </c>
      <c r="BO158" s="135">
        <f>BN158*H158</f>
        <v>0</v>
      </c>
      <c r="CM158" s="136" t="s">
        <v>95</v>
      </c>
      <c r="CO158" s="136" t="s">
        <v>284</v>
      </c>
      <c r="CP158" s="136" t="s">
        <v>83</v>
      </c>
      <c r="CT158" s="16" t="s">
        <v>282</v>
      </c>
      <c r="CZ158" s="137">
        <f>IF(BI158="základní",J158,0)</f>
        <v>2368.04</v>
      </c>
      <c r="DA158" s="137">
        <f>IF(BI158="snížená",J158,0)</f>
        <v>0</v>
      </c>
      <c r="DB158" s="137">
        <f>IF(BI158="zákl. přenesená",J158,0)</f>
        <v>0</v>
      </c>
      <c r="DC158" s="137">
        <f>IF(BI158="sníž. přenesená",J158,0)</f>
        <v>0</v>
      </c>
      <c r="DD158" s="137">
        <f>IF(BI158="nulová",J158,0)</f>
        <v>0</v>
      </c>
      <c r="DE158" s="16" t="s">
        <v>81</v>
      </c>
      <c r="DF158" s="137">
        <f>ROUND(I158*H158,2)</f>
        <v>2368.04</v>
      </c>
      <c r="DG158" s="16" t="s">
        <v>95</v>
      </c>
      <c r="DH158" s="136" t="s">
        <v>572</v>
      </c>
    </row>
    <row r="159" spans="2:112" s="1" customFormat="1" x14ac:dyDescent="0.2">
      <c r="B159" s="31"/>
      <c r="D159" s="138" t="s">
        <v>289</v>
      </c>
      <c r="F159" s="139" t="s">
        <v>2041</v>
      </c>
      <c r="I159" s="140"/>
      <c r="L159" s="31"/>
      <c r="N159" s="213"/>
      <c r="O159" s="214"/>
      <c r="Q159" s="229"/>
      <c r="BH159" s="141"/>
      <c r="BO159" s="50"/>
      <c r="CO159" s="16" t="s">
        <v>289</v>
      </c>
      <c r="CP159" s="16" t="s">
        <v>83</v>
      </c>
    </row>
    <row r="160" spans="2:112" s="1" customFormat="1" ht="14.45" customHeight="1" x14ac:dyDescent="0.2">
      <c r="B160" s="124"/>
      <c r="C160" s="125" t="s">
        <v>7</v>
      </c>
      <c r="D160" s="125" t="s">
        <v>284</v>
      </c>
      <c r="E160" s="126" t="s">
        <v>2042</v>
      </c>
      <c r="F160" s="127" t="s">
        <v>2043</v>
      </c>
      <c r="G160" s="128" t="s">
        <v>1948</v>
      </c>
      <c r="H160" s="129">
        <v>1</v>
      </c>
      <c r="I160" s="130">
        <v>615.69020499999999</v>
      </c>
      <c r="J160" s="131">
        <f>ROUND(I160*H160,2)</f>
        <v>615.69000000000005</v>
      </c>
      <c r="K160" s="127" t="s">
        <v>1</v>
      </c>
      <c r="L160" s="268">
        <f>S160</f>
        <v>0</v>
      </c>
      <c r="M160" s="272">
        <f>ROUND(L160*I160,2)</f>
        <v>0</v>
      </c>
      <c r="N160" s="243"/>
      <c r="O160" s="294">
        <f>ROUND(N160*I160,2)</f>
        <v>0</v>
      </c>
      <c r="P160" s="273">
        <f>H160-L160-N160</f>
        <v>1</v>
      </c>
      <c r="Q160" s="287">
        <f>ROUND(P160*I160,2)</f>
        <v>615.69000000000005</v>
      </c>
      <c r="R160" s="137"/>
      <c r="S160" s="269">
        <f>W160+Y160+AA160+AC160</f>
        <v>0</v>
      </c>
      <c r="T160" s="269">
        <f>ROUND(S160*I160,2)</f>
        <v>0</v>
      </c>
      <c r="U160" s="269">
        <f>H160-S160</f>
        <v>1</v>
      </c>
      <c r="V160" s="269">
        <f>ROUND(U160*I160,2)</f>
        <v>615.69000000000005</v>
      </c>
      <c r="W160" s="269"/>
      <c r="X160" s="269"/>
      <c r="Y160" s="269"/>
      <c r="Z160" s="269"/>
      <c r="AA160" s="269"/>
      <c r="AB160" s="269"/>
      <c r="AC160" s="269"/>
      <c r="AD160" s="269"/>
      <c r="BH160" s="132" t="s">
        <v>1</v>
      </c>
      <c r="BI160" s="133" t="s">
        <v>40</v>
      </c>
      <c r="BK160" s="134">
        <f>BJ160*H160</f>
        <v>0</v>
      </c>
      <c r="BL160" s="134">
        <v>0</v>
      </c>
      <c r="BM160" s="134">
        <f>BL160*H160</f>
        <v>0</v>
      </c>
      <c r="BN160" s="134">
        <v>0</v>
      </c>
      <c r="BO160" s="135">
        <f>BN160*H160</f>
        <v>0</v>
      </c>
      <c r="CM160" s="136" t="s">
        <v>95</v>
      </c>
      <c r="CO160" s="136" t="s">
        <v>284</v>
      </c>
      <c r="CP160" s="136" t="s">
        <v>83</v>
      </c>
      <c r="CT160" s="16" t="s">
        <v>282</v>
      </c>
      <c r="CZ160" s="137">
        <f>IF(BI160="základní",J160,0)</f>
        <v>615.69000000000005</v>
      </c>
      <c r="DA160" s="137">
        <f>IF(BI160="snížená",J160,0)</f>
        <v>0</v>
      </c>
      <c r="DB160" s="137">
        <f>IF(BI160="zákl. přenesená",J160,0)</f>
        <v>0</v>
      </c>
      <c r="DC160" s="137">
        <f>IF(BI160="sníž. přenesená",J160,0)</f>
        <v>0</v>
      </c>
      <c r="DD160" s="137">
        <f>IF(BI160="nulová",J160,0)</f>
        <v>0</v>
      </c>
      <c r="DE160" s="16" t="s">
        <v>81</v>
      </c>
      <c r="DF160" s="137">
        <f>ROUND(I160*H160,2)</f>
        <v>615.69000000000005</v>
      </c>
      <c r="DG160" s="16" t="s">
        <v>95</v>
      </c>
      <c r="DH160" s="136" t="s">
        <v>2044</v>
      </c>
    </row>
    <row r="161" spans="2:94" s="1" customFormat="1" x14ac:dyDescent="0.2">
      <c r="B161" s="31"/>
      <c r="D161" s="138" t="s">
        <v>289</v>
      </c>
      <c r="F161" s="139" t="s">
        <v>2045</v>
      </c>
      <c r="I161" s="140"/>
      <c r="L161" s="31"/>
      <c r="N161" s="213"/>
      <c r="O161" s="214"/>
      <c r="Q161" s="229"/>
      <c r="BH161" s="187"/>
      <c r="BI161" s="184"/>
      <c r="BJ161" s="184"/>
      <c r="BK161" s="184"/>
      <c r="BL161" s="184"/>
      <c r="BM161" s="184"/>
      <c r="BN161" s="184"/>
      <c r="BO161" s="188"/>
      <c r="CO161" s="16" t="s">
        <v>289</v>
      </c>
      <c r="CP161" s="16" t="s">
        <v>83</v>
      </c>
    </row>
    <row r="162" spans="2:94" s="1" customFormat="1" ht="6.95" customHeight="1" thickBot="1" x14ac:dyDescent="0.25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35"/>
      <c r="M162" s="237"/>
      <c r="N162" s="239"/>
      <c r="O162" s="240"/>
      <c r="P162" s="238"/>
      <c r="Q162" s="241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</row>
  </sheetData>
  <autoFilter ref="C118:K161"/>
  <mergeCells count="23">
    <mergeCell ref="G117:K117"/>
    <mergeCell ref="E114:H114"/>
    <mergeCell ref="L2:BQ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  <mergeCell ref="L118:Q118"/>
    <mergeCell ref="L119:M119"/>
    <mergeCell ref="N119:O119"/>
    <mergeCell ref="P119:Q119"/>
    <mergeCell ref="S119:T119"/>
    <mergeCell ref="U119:V119"/>
    <mergeCell ref="W119:X119"/>
    <mergeCell ref="Y119:Z119"/>
    <mergeCell ref="AA119:AB119"/>
    <mergeCell ref="AC119:AD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S359"/>
  <sheetViews>
    <sheetView windowProtection="1" showGridLines="0" topLeftCell="A335" zoomScale="80" zoomScaleNormal="80" workbookViewId="0">
      <selection activeCell="P335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3.33203125" customWidth="1"/>
    <col min="13" max="13" width="16" customWidth="1"/>
    <col min="14" max="14" width="13.33203125" customWidth="1"/>
    <col min="15" max="15" width="21.83203125" customWidth="1"/>
    <col min="16" max="16" width="13.33203125" hidden="1" customWidth="1"/>
    <col min="17" max="17" width="16.6640625" hidden="1" customWidth="1"/>
    <col min="18" max="75" width="13.33203125" customWidth="1"/>
    <col min="76" max="148" width="13" customWidth="1"/>
    <col min="149" max="149" width="10.83203125" customWidth="1"/>
    <col min="151" max="156" width="14.1640625" customWidth="1"/>
    <col min="157" max="157" width="16.33203125" customWidth="1"/>
    <col min="158" max="158" width="12.33203125" customWidth="1"/>
    <col min="159" max="159" width="16.33203125" customWidth="1"/>
    <col min="160" max="160" width="12.33203125" customWidth="1"/>
    <col min="161" max="161" width="15" customWidth="1"/>
    <col min="162" max="162" width="11" customWidth="1"/>
    <col min="163" max="163" width="15" customWidth="1"/>
    <col min="164" max="164" width="16.33203125" customWidth="1"/>
    <col min="165" max="165" width="11" customWidth="1"/>
    <col min="166" max="166" width="15" customWidth="1"/>
    <col min="167" max="167" width="16.33203125" customWidth="1"/>
    <col min="180" max="201" width="9.33203125" hidden="1"/>
  </cols>
  <sheetData>
    <row r="1" spans="2:182" hidden="1" x14ac:dyDescent="0.2"/>
    <row r="2" spans="2:182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8"/>
      <c r="DG2" s="398"/>
      <c r="DH2" s="398"/>
      <c r="DI2" s="398"/>
      <c r="DJ2" s="398"/>
      <c r="DK2" s="398"/>
      <c r="DL2" s="398"/>
      <c r="DM2" s="398"/>
      <c r="DN2" s="398"/>
      <c r="DO2" s="398"/>
      <c r="DP2" s="398"/>
      <c r="DQ2" s="398"/>
      <c r="DR2" s="398"/>
      <c r="DS2" s="398"/>
      <c r="DT2" s="398"/>
      <c r="DU2" s="398"/>
      <c r="DV2" s="398"/>
      <c r="DW2" s="398"/>
      <c r="DX2" s="398"/>
      <c r="DY2" s="398"/>
      <c r="DZ2" s="398"/>
      <c r="EA2" s="398"/>
      <c r="EB2" s="398"/>
      <c r="EC2" s="398"/>
      <c r="ED2" s="398"/>
      <c r="EE2" s="398"/>
      <c r="EF2" s="398"/>
      <c r="EG2" s="398"/>
      <c r="EH2" s="398"/>
      <c r="EI2" s="398"/>
      <c r="EJ2" s="398"/>
      <c r="EK2" s="398"/>
      <c r="EL2" s="398"/>
      <c r="EM2" s="398"/>
      <c r="EN2" s="398"/>
      <c r="EO2" s="398"/>
      <c r="EP2" s="398"/>
      <c r="EQ2" s="398"/>
      <c r="ER2" s="398"/>
      <c r="ES2" s="399"/>
      <c r="ET2" s="399"/>
      <c r="EU2" s="399"/>
      <c r="EV2" s="399"/>
      <c r="EW2" s="399"/>
      <c r="EX2" s="399"/>
      <c r="EY2" s="399"/>
      <c r="EZ2" s="399"/>
      <c r="FA2" s="399"/>
      <c r="FB2" s="399"/>
      <c r="FZ2" s="16" t="s">
        <v>191</v>
      </c>
    </row>
    <row r="3" spans="2:182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FZ3" s="16" t="s">
        <v>83</v>
      </c>
    </row>
    <row r="4" spans="2:182" ht="24.95" hidden="1" customHeight="1" x14ac:dyDescent="0.2">
      <c r="B4" s="19"/>
      <c r="D4" s="20" t="s">
        <v>243</v>
      </c>
      <c r="L4" s="19"/>
      <c r="ES4" s="79" t="s">
        <v>10</v>
      </c>
      <c r="FZ4" s="16" t="s">
        <v>3</v>
      </c>
    </row>
    <row r="5" spans="2:182" ht="6.95" hidden="1" customHeight="1" x14ac:dyDescent="0.2">
      <c r="B5" s="19"/>
      <c r="L5" s="19"/>
    </row>
    <row r="6" spans="2:182" ht="12" hidden="1" customHeight="1" x14ac:dyDescent="0.2">
      <c r="B6" s="19"/>
      <c r="D6" s="26" t="s">
        <v>16</v>
      </c>
      <c r="L6" s="19"/>
    </row>
    <row r="7" spans="2:182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82" ht="12.75" hidden="1" x14ac:dyDescent="0.2">
      <c r="B8" s="19"/>
      <c r="D8" s="26" t="s">
        <v>244</v>
      </c>
      <c r="L8" s="19"/>
    </row>
    <row r="9" spans="2:182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82" ht="12" hidden="1" customHeight="1" x14ac:dyDescent="0.2">
      <c r="B10" s="19"/>
      <c r="D10" s="26" t="s">
        <v>246</v>
      </c>
      <c r="L10" s="19"/>
    </row>
    <row r="11" spans="2:182" s="1" customFormat="1" ht="16.5" hidden="1" customHeight="1" x14ac:dyDescent="0.2">
      <c r="B11" s="31"/>
      <c r="E11" s="401" t="s">
        <v>2277</v>
      </c>
      <c r="F11" s="433"/>
      <c r="G11" s="433"/>
      <c r="H11" s="433"/>
      <c r="L11" s="31"/>
    </row>
    <row r="12" spans="2:182" s="1" customFormat="1" ht="12" hidden="1" customHeight="1" x14ac:dyDescent="0.2">
      <c r="B12" s="31"/>
      <c r="D12" s="26" t="s">
        <v>1790</v>
      </c>
      <c r="L12" s="31"/>
    </row>
    <row r="13" spans="2:182" s="1" customFormat="1" ht="16.5" hidden="1" customHeight="1" x14ac:dyDescent="0.2">
      <c r="B13" s="31"/>
      <c r="E13" s="432" t="s">
        <v>2278</v>
      </c>
      <c r="F13" s="433"/>
      <c r="G13" s="433"/>
      <c r="H13" s="433"/>
      <c r="L13" s="31"/>
    </row>
    <row r="14" spans="2:182" s="1" customFormat="1" hidden="1" x14ac:dyDescent="0.2">
      <c r="B14" s="31"/>
      <c r="L14" s="31"/>
    </row>
    <row r="15" spans="2:182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82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ROUND(J125, 2)</f>
        <v>801193.35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ROUND((SUM(GK125:GK358)),  2)</f>
        <v>801193.35</v>
      </c>
      <c r="I37" s="84">
        <v>0.21</v>
      </c>
      <c r="J37" s="71">
        <f>ROUND(((SUM(GK125:GK358))*I37),  2)</f>
        <v>168250.6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ROUND((SUM(GL125:GL358)),  2)</f>
        <v>0</v>
      </c>
      <c r="I38" s="84">
        <v>0.15</v>
      </c>
      <c r="J38" s="71">
        <f>ROUND(((SUM(GL125:GL358))*I38),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ROUND((SUM(GM125:GM358)),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ROUND((SUM(GN125:GN358)),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ROUND((SUM(GO125:GO358)),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969443.95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2277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1790</v>
      </c>
      <c r="L89" s="31"/>
    </row>
    <row r="90" spans="2:12" s="1" customFormat="1" ht="16.5" hidden="1" customHeight="1" x14ac:dyDescent="0.2">
      <c r="B90" s="31"/>
      <c r="E90" s="432" t="str">
        <f>E13</f>
        <v>0001 - DSO 11.1 Výtlak V1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83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83" s="1" customFormat="1" ht="10.35" hidden="1" customHeight="1" x14ac:dyDescent="0.2">
      <c r="B98" s="31"/>
      <c r="L98" s="31"/>
    </row>
    <row r="99" spans="2:183" s="1" customFormat="1" ht="22.9" hidden="1" customHeight="1" x14ac:dyDescent="0.2">
      <c r="B99" s="31"/>
      <c r="C99" s="95" t="s">
        <v>256</v>
      </c>
      <c r="J99" s="58">
        <f>J125</f>
        <v>801193.34999999986</v>
      </c>
      <c r="L99" s="31"/>
      <c r="GA99" s="16" t="s">
        <v>257</v>
      </c>
    </row>
    <row r="100" spans="2:183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J126</f>
        <v>801193.34999999986</v>
      </c>
      <c r="L100" s="96"/>
    </row>
    <row r="101" spans="2:183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J128</f>
        <v>517692.20999999996</v>
      </c>
      <c r="L101" s="100"/>
    </row>
    <row r="102" spans="2:183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J248</f>
        <v>28994.7</v>
      </c>
      <c r="L102" s="100"/>
    </row>
    <row r="103" spans="2:183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J253</f>
        <v>12528.560000000001</v>
      </c>
      <c r="L103" s="100"/>
    </row>
    <row r="104" spans="2:183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J263</f>
        <v>88114.69</v>
      </c>
      <c r="L104" s="100"/>
    </row>
    <row r="105" spans="2:183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J282</f>
        <v>77227.87000000001</v>
      </c>
      <c r="L105" s="100"/>
    </row>
    <row r="106" spans="2:183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J328</f>
        <v>6819.95</v>
      </c>
      <c r="L106" s="100"/>
    </row>
    <row r="107" spans="2:183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J334</f>
        <v>48871.5</v>
      </c>
      <c r="L107" s="100"/>
    </row>
    <row r="108" spans="2:183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J354</f>
        <v>20943.87</v>
      </c>
      <c r="L108" s="100"/>
    </row>
    <row r="109" spans="2:183" s="1" customFormat="1" ht="21.75" hidden="1" customHeight="1" x14ac:dyDescent="0.2">
      <c r="B109" s="31"/>
      <c r="L109" s="31"/>
    </row>
    <row r="110" spans="2:183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83" hidden="1" x14ac:dyDescent="0.2"/>
    <row r="112" spans="2:183" hidden="1" x14ac:dyDescent="0.2"/>
    <row r="114" spans="2:199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99" s="1" customFormat="1" ht="24.95" customHeight="1" x14ac:dyDescent="0.2">
      <c r="B115" s="31"/>
      <c r="C115" s="20" t="s">
        <v>3330</v>
      </c>
      <c r="L115" s="31"/>
    </row>
    <row r="116" spans="2:199" s="1" customFormat="1" ht="6.95" customHeight="1" x14ac:dyDescent="0.2">
      <c r="B116" s="31"/>
      <c r="L116" s="31"/>
    </row>
    <row r="117" spans="2:199" s="1" customFormat="1" ht="16.5" customHeight="1" x14ac:dyDescent="0.2">
      <c r="B117" s="31"/>
      <c r="E117" s="432" t="str">
        <f>E13</f>
        <v>0001 - DSO 11.1 Výtlak V1</v>
      </c>
      <c r="F117" s="433"/>
      <c r="G117" s="433"/>
      <c r="H117" s="433"/>
      <c r="L117" s="31"/>
    </row>
    <row r="118" spans="2:199" s="1" customFormat="1" ht="6.95" customHeight="1" x14ac:dyDescent="0.2">
      <c r="B118" s="31"/>
      <c r="L118" s="31"/>
    </row>
    <row r="119" spans="2:199" s="1" customFormat="1" ht="12" customHeight="1" x14ac:dyDescent="0.2">
      <c r="B119" s="31"/>
      <c r="C119" s="26"/>
      <c r="F119" s="24"/>
      <c r="I119" s="26"/>
      <c r="J119" s="48"/>
      <c r="L119" s="31"/>
    </row>
    <row r="120" spans="2:199" s="1" customFormat="1" ht="6.95" customHeight="1" x14ac:dyDescent="0.2">
      <c r="B120" s="31"/>
      <c r="L120" s="31"/>
    </row>
    <row r="121" spans="2:199" s="1" customFormat="1" ht="40.15" customHeight="1" x14ac:dyDescent="0.2">
      <c r="B121" s="31"/>
      <c r="C121" s="26"/>
      <c r="F121" s="24"/>
      <c r="I121" s="26"/>
      <c r="J121" s="29"/>
      <c r="L121" s="31"/>
    </row>
    <row r="122" spans="2:199" s="1" customFormat="1" ht="15.2" customHeight="1" x14ac:dyDescent="0.2">
      <c r="B122" s="31"/>
      <c r="C122" s="26"/>
      <c r="F122" s="24"/>
      <c r="I122" s="26"/>
      <c r="J122" s="29"/>
      <c r="L122" s="31"/>
    </row>
    <row r="123" spans="2:199" s="1" customFormat="1" ht="26.25" customHeight="1" x14ac:dyDescent="0.2">
      <c r="B123" s="31"/>
      <c r="I123" s="430" t="s">
        <v>3305</v>
      </c>
      <c r="J123" s="430"/>
      <c r="K123" s="431"/>
      <c r="L123" s="31"/>
    </row>
    <row r="124" spans="2:199" s="9" customFormat="1" ht="29.25" customHeight="1" thickBot="1" x14ac:dyDescent="0.25">
      <c r="B124" s="104"/>
      <c r="C124" s="105" t="s">
        <v>268</v>
      </c>
      <c r="D124" s="106" t="s">
        <v>59</v>
      </c>
      <c r="E124" s="106" t="s">
        <v>55</v>
      </c>
      <c r="F124" s="106" t="s">
        <v>56</v>
      </c>
      <c r="G124" s="106" t="s">
        <v>269</v>
      </c>
      <c r="H124" s="106" t="s">
        <v>270</v>
      </c>
      <c r="I124" s="106" t="s">
        <v>271</v>
      </c>
      <c r="J124" s="106" t="s">
        <v>255</v>
      </c>
      <c r="K124" s="107" t="s">
        <v>272</v>
      </c>
      <c r="L124" s="437" t="s">
        <v>3307</v>
      </c>
      <c r="M124" s="438"/>
      <c r="N124" s="438"/>
      <c r="O124" s="438"/>
      <c r="P124" s="438"/>
      <c r="Q124" s="439"/>
      <c r="ES124" s="52" t="s">
        <v>1</v>
      </c>
      <c r="ET124" s="53" t="s">
        <v>39</v>
      </c>
      <c r="EU124" s="53" t="s">
        <v>273</v>
      </c>
      <c r="EV124" s="53" t="s">
        <v>274</v>
      </c>
      <c r="EW124" s="53" t="s">
        <v>275</v>
      </c>
      <c r="EX124" s="53" t="s">
        <v>276</v>
      </c>
      <c r="EY124" s="53" t="s">
        <v>277</v>
      </c>
      <c r="EZ124" s="54" t="s">
        <v>278</v>
      </c>
    </row>
    <row r="125" spans="2:199" s="1" customFormat="1" ht="22.9" customHeight="1" x14ac:dyDescent="0.25">
      <c r="B125" s="31"/>
      <c r="C125" s="57" t="s">
        <v>279</v>
      </c>
      <c r="G125" s="1" t="s">
        <v>3306</v>
      </c>
      <c r="J125" s="108">
        <f>GQ125</f>
        <v>801193.34999999986</v>
      </c>
      <c r="L125" s="440" t="s">
        <v>3308</v>
      </c>
      <c r="M125" s="441"/>
      <c r="N125" s="440" t="s">
        <v>3377</v>
      </c>
      <c r="O125" s="441"/>
      <c r="P125" s="440" t="s">
        <v>3309</v>
      </c>
      <c r="Q125" s="441"/>
      <c r="S125" s="442" t="s">
        <v>3312</v>
      </c>
      <c r="T125" s="443"/>
      <c r="U125" s="443" t="s">
        <v>3313</v>
      </c>
      <c r="V125" s="443"/>
      <c r="W125" s="444" t="s">
        <v>3319</v>
      </c>
      <c r="X125" s="444"/>
      <c r="Y125" s="444" t="s">
        <v>3320</v>
      </c>
      <c r="Z125" s="444"/>
      <c r="AA125" s="444" t="s">
        <v>3321</v>
      </c>
      <c r="AB125" s="444"/>
      <c r="AC125" s="444" t="s">
        <v>3322</v>
      </c>
      <c r="AD125" s="444"/>
      <c r="AE125" s="444" t="s">
        <v>3323</v>
      </c>
      <c r="AF125" s="444"/>
      <c r="AG125" s="444" t="s">
        <v>3324</v>
      </c>
      <c r="AH125" s="444"/>
      <c r="AI125" s="444" t="s">
        <v>3325</v>
      </c>
      <c r="AJ125" s="444"/>
      <c r="AK125" s="444" t="s">
        <v>3326</v>
      </c>
      <c r="AL125" s="444"/>
      <c r="AM125" s="444" t="s">
        <v>3327</v>
      </c>
      <c r="AN125" s="445"/>
      <c r="ES125" s="55"/>
      <c r="ET125" s="49"/>
      <c r="EU125" s="49"/>
      <c r="EV125" s="109">
        <f>EV126</f>
        <v>0</v>
      </c>
      <c r="EW125" s="49"/>
      <c r="EX125" s="109">
        <f>EX126</f>
        <v>388.52829319999995</v>
      </c>
      <c r="EY125" s="49"/>
      <c r="EZ125" s="110">
        <f>EZ126</f>
        <v>132.29065999999997</v>
      </c>
      <c r="FZ125" s="16" t="s">
        <v>73</v>
      </c>
      <c r="GA125" s="16" t="s">
        <v>257</v>
      </c>
      <c r="GQ125" s="111">
        <f>GQ126</f>
        <v>801193.34999999986</v>
      </c>
    </row>
    <row r="126" spans="2:199" s="10" customFormat="1" ht="25.9" customHeight="1" thickBot="1" x14ac:dyDescent="0.25">
      <c r="B126" s="112"/>
      <c r="D126" s="113" t="s">
        <v>73</v>
      </c>
      <c r="E126" s="114" t="s">
        <v>280</v>
      </c>
      <c r="F126" s="114" t="s">
        <v>281</v>
      </c>
      <c r="G126" s="10" t="s">
        <v>3306</v>
      </c>
      <c r="I126" s="115"/>
      <c r="J126" s="116">
        <f>GQ126</f>
        <v>801193.34999999986</v>
      </c>
      <c r="L126" s="190" t="s">
        <v>270</v>
      </c>
      <c r="M126" s="190" t="s">
        <v>3310</v>
      </c>
      <c r="N126" s="190" t="s">
        <v>270</v>
      </c>
      <c r="O126" s="190" t="s">
        <v>3310</v>
      </c>
      <c r="P126" s="190" t="s">
        <v>3311</v>
      </c>
      <c r="Q126" s="190" t="s">
        <v>3310</v>
      </c>
      <c r="S126" s="193" t="s">
        <v>270</v>
      </c>
      <c r="T126" s="194" t="s">
        <v>3310</v>
      </c>
      <c r="U126" s="194" t="s">
        <v>270</v>
      </c>
      <c r="V126" s="194" t="s">
        <v>3310</v>
      </c>
      <c r="W126" s="194" t="s">
        <v>270</v>
      </c>
      <c r="X126" s="194" t="s">
        <v>3328</v>
      </c>
      <c r="Y126" s="194" t="s">
        <v>270</v>
      </c>
      <c r="Z126" s="194" t="s">
        <v>3328</v>
      </c>
      <c r="AA126" s="194" t="s">
        <v>270</v>
      </c>
      <c r="AB126" s="194" t="s">
        <v>3328</v>
      </c>
      <c r="AC126" s="194" t="s">
        <v>270</v>
      </c>
      <c r="AD126" s="194" t="s">
        <v>3328</v>
      </c>
      <c r="AE126" s="194" t="s">
        <v>270</v>
      </c>
      <c r="AF126" s="194" t="s">
        <v>3328</v>
      </c>
      <c r="AG126" s="194" t="s">
        <v>270</v>
      </c>
      <c r="AH126" s="194" t="s">
        <v>3328</v>
      </c>
      <c r="AI126" s="194" t="s">
        <v>270</v>
      </c>
      <c r="AJ126" s="194" t="s">
        <v>3328</v>
      </c>
      <c r="AK126" s="194" t="s">
        <v>270</v>
      </c>
      <c r="AL126" s="194" t="s">
        <v>3328</v>
      </c>
      <c r="AM126" s="194" t="s">
        <v>270</v>
      </c>
      <c r="AN126" s="195" t="s">
        <v>3328</v>
      </c>
      <c r="ES126" s="117"/>
      <c r="EV126" s="118">
        <f>EV128+EV248+EV253+EV263+EV282+EV328+EV334+EV354</f>
        <v>0</v>
      </c>
      <c r="EX126" s="118">
        <f>EX128+EX248+EX253+EX263+EX282+EX328+EX334+EX354</f>
        <v>388.52829319999995</v>
      </c>
      <c r="EZ126" s="119">
        <f>EZ128+EZ248+EZ253+EZ263+EZ282+EZ328+EZ334+EZ354</f>
        <v>132.29065999999997</v>
      </c>
      <c r="FX126" s="113" t="s">
        <v>81</v>
      </c>
      <c r="FZ126" s="120" t="s">
        <v>73</v>
      </c>
      <c r="GA126" s="120" t="s">
        <v>74</v>
      </c>
      <c r="GE126" s="113" t="s">
        <v>282</v>
      </c>
      <c r="GQ126" s="121">
        <f>GQ128+GQ248+GQ253+GQ263+GQ282+GQ328+GQ334+GQ354</f>
        <v>801193.34999999986</v>
      </c>
    </row>
    <row r="127" spans="2:199" s="10" customFormat="1" ht="25.9" customHeight="1" thickBot="1" x14ac:dyDescent="0.25">
      <c r="B127" s="112"/>
      <c r="D127" s="113"/>
      <c r="E127" s="114"/>
      <c r="F127" s="114"/>
      <c r="G127" s="10" t="s">
        <v>3306</v>
      </c>
      <c r="I127" s="115"/>
      <c r="J127" s="116" t="s">
        <v>3306</v>
      </c>
      <c r="L127" s="191"/>
      <c r="M127" s="192">
        <f>M128+M248+M253+M263+M282+M328+M334+M354</f>
        <v>0</v>
      </c>
      <c r="N127" s="208"/>
      <c r="O127" s="208">
        <f t="shared" ref="O127:Q127" si="0">O128+O248+O253+O263+O282+O328+O334+O354</f>
        <v>-4280.91</v>
      </c>
      <c r="P127" s="192"/>
      <c r="Q127" s="192">
        <f t="shared" si="0"/>
        <v>805474.29999999981</v>
      </c>
      <c r="S127" s="196"/>
      <c r="T127" s="197">
        <f>T128+T248+T253+T263+T282+T328+T334+T354</f>
        <v>0</v>
      </c>
      <c r="U127" s="197"/>
      <c r="V127" s="197">
        <f t="shared" ref="V127:AN127" si="1">V128+V248+V253+V263+V282+V328+V334+V354</f>
        <v>801193.34999999986</v>
      </c>
      <c r="W127" s="197"/>
      <c r="X127" s="197">
        <f t="shared" si="1"/>
        <v>0</v>
      </c>
      <c r="Y127" s="197"/>
      <c r="Z127" s="197">
        <f t="shared" si="1"/>
        <v>0</v>
      </c>
      <c r="AA127" s="197"/>
      <c r="AB127" s="197">
        <f t="shared" si="1"/>
        <v>0</v>
      </c>
      <c r="AC127" s="197"/>
      <c r="AD127" s="197">
        <f t="shared" si="1"/>
        <v>0</v>
      </c>
      <c r="AE127" s="197"/>
      <c r="AF127" s="197">
        <f t="shared" si="1"/>
        <v>0</v>
      </c>
      <c r="AG127" s="197"/>
      <c r="AH127" s="197">
        <f t="shared" si="1"/>
        <v>0</v>
      </c>
      <c r="AI127" s="197"/>
      <c r="AJ127" s="197">
        <f t="shared" si="1"/>
        <v>0</v>
      </c>
      <c r="AK127" s="197"/>
      <c r="AL127" s="197">
        <f t="shared" si="1"/>
        <v>0</v>
      </c>
      <c r="AM127" s="197"/>
      <c r="AN127" s="197">
        <f t="shared" si="1"/>
        <v>0</v>
      </c>
      <c r="ES127" s="117"/>
      <c r="EV127" s="118"/>
      <c r="EX127" s="118"/>
      <c r="EZ127" s="119"/>
      <c r="FX127" s="113"/>
      <c r="FZ127" s="120"/>
      <c r="GA127" s="120"/>
      <c r="GE127" s="113"/>
      <c r="GQ127" s="121"/>
    </row>
    <row r="128" spans="2:199" s="10" customFormat="1" ht="22.9" customHeight="1" x14ac:dyDescent="0.2">
      <c r="B128" s="112"/>
      <c r="D128" s="113" t="s">
        <v>73</v>
      </c>
      <c r="E128" s="122" t="s">
        <v>81</v>
      </c>
      <c r="F128" s="122" t="s">
        <v>283</v>
      </c>
      <c r="G128" s="10" t="s">
        <v>3306</v>
      </c>
      <c r="I128" s="115"/>
      <c r="J128" s="123">
        <f>GQ128</f>
        <v>517692.20999999996</v>
      </c>
      <c r="L128" s="112"/>
      <c r="M128" s="291">
        <f>SUM(M129:M245)</f>
        <v>0</v>
      </c>
      <c r="N128" s="292"/>
      <c r="O128" s="293">
        <f t="shared" ref="O128:V128" si="2">SUM(O129:O245)</f>
        <v>-2049.6099999999997</v>
      </c>
      <c r="P128" s="291"/>
      <c r="Q128" s="297">
        <f t="shared" si="2"/>
        <v>519741.85000000003</v>
      </c>
      <c r="R128" s="291"/>
      <c r="S128" s="291"/>
      <c r="T128" s="291">
        <f t="shared" si="2"/>
        <v>0</v>
      </c>
      <c r="U128" s="291"/>
      <c r="V128" s="291">
        <f t="shared" si="2"/>
        <v>517692.20999999996</v>
      </c>
      <c r="ES128" s="117"/>
      <c r="EV128" s="118">
        <f>SUM(EV129:EV247)</f>
        <v>0</v>
      </c>
      <c r="EX128" s="118">
        <f>SUM(EX129:EX247)</f>
        <v>365.64160899999996</v>
      </c>
      <c r="EZ128" s="119">
        <f>SUM(EZ129:EZ247)</f>
        <v>132.29065999999997</v>
      </c>
      <c r="FX128" s="113" t="s">
        <v>81</v>
      </c>
      <c r="FZ128" s="120" t="s">
        <v>73</v>
      </c>
      <c r="GA128" s="120" t="s">
        <v>81</v>
      </c>
      <c r="GE128" s="113" t="s">
        <v>282</v>
      </c>
      <c r="GQ128" s="121">
        <f>SUM(GQ129:GQ247)</f>
        <v>517692.20999999996</v>
      </c>
    </row>
    <row r="129" spans="2:201" s="1" customFormat="1" ht="24.2" customHeight="1" x14ac:dyDescent="0.2">
      <c r="B129" s="124"/>
      <c r="C129" s="125" t="s">
        <v>81</v>
      </c>
      <c r="D129" s="125" t="s">
        <v>284</v>
      </c>
      <c r="E129" s="126" t="s">
        <v>2279</v>
      </c>
      <c r="F129" s="127" t="s">
        <v>2280</v>
      </c>
      <c r="G129" s="128" t="s">
        <v>287</v>
      </c>
      <c r="H129" s="129">
        <v>98.82</v>
      </c>
      <c r="I129" s="130">
        <v>68.767172335543137</v>
      </c>
      <c r="J129" s="131">
        <f>ROUND(I129*H129,2)</f>
        <v>6795.57</v>
      </c>
      <c r="K129" s="127" t="s">
        <v>1</v>
      </c>
      <c r="L129" s="268">
        <f>S129</f>
        <v>0</v>
      </c>
      <c r="M129" s="272">
        <f>ROUND(L129*I129,2)</f>
        <v>0</v>
      </c>
      <c r="N129" s="243">
        <f>N133</f>
        <v>-0.36899999999998556</v>
      </c>
      <c r="O129" s="294">
        <f>ROUND(N129*I129,2)</f>
        <v>-25.38</v>
      </c>
      <c r="P129" s="273">
        <f>H129-L129-N129</f>
        <v>99.188999999999979</v>
      </c>
      <c r="Q129" s="287">
        <f>ROUND(P129*I129,2)</f>
        <v>6820.95</v>
      </c>
      <c r="R129" s="1">
        <v>0.9</v>
      </c>
      <c r="S129" s="269">
        <f>W129+Y129+AA129+AC129+AE129+AG129+AI129+AK129+AM129</f>
        <v>0</v>
      </c>
      <c r="T129" s="269">
        <f>ROUND(S129*I129,2)</f>
        <v>0</v>
      </c>
      <c r="U129" s="269">
        <f>H129-S129</f>
        <v>98.82</v>
      </c>
      <c r="V129" s="269">
        <f>ROUND(U129*I129,2)</f>
        <v>6795.57</v>
      </c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ES129" s="132" t="s">
        <v>1</v>
      </c>
      <c r="ET129" s="133" t="s">
        <v>40</v>
      </c>
      <c r="EV129" s="134">
        <f>EU129*H129</f>
        <v>0</v>
      </c>
      <c r="EW129" s="134">
        <v>0</v>
      </c>
      <c r="EX129" s="134">
        <f>EW129*H129</f>
        <v>0</v>
      </c>
      <c r="EY129" s="134">
        <v>0.57999999999999996</v>
      </c>
      <c r="EZ129" s="135">
        <f>EY129*H129</f>
        <v>57.315599999999989</v>
      </c>
      <c r="FX129" s="136" t="s">
        <v>95</v>
      </c>
      <c r="FZ129" s="136" t="s">
        <v>284</v>
      </c>
      <c r="GA129" s="136" t="s">
        <v>83</v>
      </c>
      <c r="GE129" s="16" t="s">
        <v>282</v>
      </c>
      <c r="GK129" s="137">
        <f>IF(ET129="základní",J129,0)</f>
        <v>6795.57</v>
      </c>
      <c r="GL129" s="137">
        <f>IF(ET129="snížená",J129,0)</f>
        <v>0</v>
      </c>
      <c r="GM129" s="137">
        <f>IF(ET129="zákl. přenesená",J129,0)</f>
        <v>0</v>
      </c>
      <c r="GN129" s="137">
        <f>IF(ET129="sníž. přenesená",J129,0)</f>
        <v>0</v>
      </c>
      <c r="GO129" s="137">
        <f>IF(ET129="nulová",J129,0)</f>
        <v>0</v>
      </c>
      <c r="GP129" s="16" t="s">
        <v>81</v>
      </c>
      <c r="GQ129" s="137">
        <f>ROUND(I129*H129,2)</f>
        <v>6795.57</v>
      </c>
      <c r="GR129" s="16" t="s">
        <v>95</v>
      </c>
      <c r="GS129" s="136" t="s">
        <v>2281</v>
      </c>
    </row>
    <row r="130" spans="2:201" s="1" customFormat="1" ht="39" x14ac:dyDescent="0.2">
      <c r="B130" s="31"/>
      <c r="D130" s="138" t="s">
        <v>289</v>
      </c>
      <c r="F130" s="139" t="s">
        <v>290</v>
      </c>
      <c r="I130" s="140"/>
      <c r="L130" s="31"/>
      <c r="N130" s="213"/>
      <c r="O130" s="214"/>
      <c r="Q130" s="229"/>
      <c r="ES130" s="141"/>
      <c r="EZ130" s="50"/>
      <c r="FZ130" s="16" t="s">
        <v>289</v>
      </c>
      <c r="GA130" s="16" t="s">
        <v>83</v>
      </c>
    </row>
    <row r="131" spans="2:201" s="1" customFormat="1" ht="29.25" x14ac:dyDescent="0.2">
      <c r="B131" s="31"/>
      <c r="D131" s="138" t="s">
        <v>299</v>
      </c>
      <c r="F131" s="142" t="s">
        <v>2282</v>
      </c>
      <c r="I131" s="140"/>
      <c r="L131" s="31"/>
      <c r="N131" s="213"/>
      <c r="O131" s="214"/>
      <c r="Q131" s="229"/>
      <c r="ES131" s="141"/>
      <c r="EZ131" s="50"/>
      <c r="FZ131" s="16" t="s">
        <v>299</v>
      </c>
      <c r="GA131" s="16" t="s">
        <v>83</v>
      </c>
    </row>
    <row r="132" spans="2:201" s="12" customFormat="1" x14ac:dyDescent="0.2">
      <c r="B132" s="149"/>
      <c r="D132" s="138" t="s">
        <v>301</v>
      </c>
      <c r="E132" s="150" t="s">
        <v>1</v>
      </c>
      <c r="F132" s="151" t="s">
        <v>2283</v>
      </c>
      <c r="H132" s="152">
        <v>98.82</v>
      </c>
      <c r="I132" s="153"/>
      <c r="L132" s="149"/>
      <c r="N132" s="217">
        <f>109.39*0.9</f>
        <v>98.451000000000008</v>
      </c>
      <c r="O132" s="359" t="s">
        <v>3529</v>
      </c>
      <c r="Q132" s="231"/>
      <c r="ES132" s="154"/>
      <c r="EZ132" s="155"/>
      <c r="FZ132" s="150" t="s">
        <v>301</v>
      </c>
      <c r="GA132" s="150" t="s">
        <v>83</v>
      </c>
      <c r="GB132" s="12" t="s">
        <v>83</v>
      </c>
      <c r="GC132" s="12" t="s">
        <v>32</v>
      </c>
      <c r="GD132" s="12" t="s">
        <v>81</v>
      </c>
      <c r="GE132" s="150" t="s">
        <v>282</v>
      </c>
    </row>
    <row r="133" spans="2:201" s="12" customFormat="1" x14ac:dyDescent="0.2">
      <c r="B133" s="149"/>
      <c r="D133" s="138"/>
      <c r="E133" s="150"/>
      <c r="F133" s="151"/>
      <c r="H133" s="152"/>
      <c r="I133" s="153"/>
      <c r="L133" s="149"/>
      <c r="N133" s="310">
        <f>N132-H132</f>
        <v>-0.36899999999998556</v>
      </c>
      <c r="O133" s="359"/>
      <c r="Q133" s="231"/>
      <c r="ES133" s="154"/>
      <c r="EZ133" s="155"/>
      <c r="FZ133" s="150"/>
      <c r="GA133" s="150"/>
      <c r="GE133" s="150"/>
    </row>
    <row r="134" spans="2:201" s="1" customFormat="1" ht="24.2" customHeight="1" x14ac:dyDescent="0.2">
      <c r="B134" s="124"/>
      <c r="C134" s="125" t="s">
        <v>83</v>
      </c>
      <c r="D134" s="125" t="s">
        <v>284</v>
      </c>
      <c r="E134" s="126" t="s">
        <v>285</v>
      </c>
      <c r="F134" s="127" t="s">
        <v>2284</v>
      </c>
      <c r="G134" s="128" t="s">
        <v>287</v>
      </c>
      <c r="H134" s="129">
        <v>32.799999999999997</v>
      </c>
      <c r="I134" s="130">
        <v>68.767172335543137</v>
      </c>
      <c r="J134" s="131">
        <f>ROUND(I134*H134,2)</f>
        <v>2255.56</v>
      </c>
      <c r="K134" s="127" t="s">
        <v>1</v>
      </c>
      <c r="L134" s="268">
        <f>S134</f>
        <v>0</v>
      </c>
      <c r="M134" s="272">
        <f>ROUND(L134*I134,2)</f>
        <v>0</v>
      </c>
      <c r="N134" s="243">
        <f>N138</f>
        <v>0.48000000000000398</v>
      </c>
      <c r="O134" s="294">
        <f>ROUND(N134*I134,2)</f>
        <v>33.01</v>
      </c>
      <c r="P134" s="273">
        <f>H134-L134-N134</f>
        <v>32.319999999999993</v>
      </c>
      <c r="Q134" s="287">
        <f>ROUND(P134*I134,2)</f>
        <v>2222.56</v>
      </c>
      <c r="R134" s="1">
        <v>0.9</v>
      </c>
      <c r="S134" s="269">
        <f>W134+Y134+AA134+AC134+AE134+AG134+AI134+AK134+AM134</f>
        <v>0</v>
      </c>
      <c r="T134" s="269">
        <f>ROUND(S134*I134,2)</f>
        <v>0</v>
      </c>
      <c r="U134" s="269">
        <f>H134-S134</f>
        <v>32.799999999999997</v>
      </c>
      <c r="V134" s="269">
        <f>ROUND(U134*I134,2)</f>
        <v>2255.56</v>
      </c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ES134" s="132" t="s">
        <v>1</v>
      </c>
      <c r="ET134" s="133" t="s">
        <v>40</v>
      </c>
      <c r="EV134" s="134">
        <f>EU134*H134</f>
        <v>0</v>
      </c>
      <c r="EW134" s="134">
        <v>0</v>
      </c>
      <c r="EX134" s="134">
        <f>EW134*H134</f>
        <v>0</v>
      </c>
      <c r="EY134" s="134">
        <v>0.57999999999999996</v>
      </c>
      <c r="EZ134" s="135">
        <f>EY134*H134</f>
        <v>19.023999999999997</v>
      </c>
      <c r="FX134" s="136" t="s">
        <v>95</v>
      </c>
      <c r="FZ134" s="136" t="s">
        <v>284</v>
      </c>
      <c r="GA134" s="136" t="s">
        <v>83</v>
      </c>
      <c r="GE134" s="16" t="s">
        <v>282</v>
      </c>
      <c r="GK134" s="137">
        <f>IF(ET134="základní",J134,0)</f>
        <v>2255.56</v>
      </c>
      <c r="GL134" s="137">
        <f>IF(ET134="snížená",J134,0)</f>
        <v>0</v>
      </c>
      <c r="GM134" s="137">
        <f>IF(ET134="zákl. přenesená",J134,0)</f>
        <v>0</v>
      </c>
      <c r="GN134" s="137">
        <f>IF(ET134="sníž. přenesená",J134,0)</f>
        <v>0</v>
      </c>
      <c r="GO134" s="137">
        <f>IF(ET134="nulová",J134,0)</f>
        <v>0</v>
      </c>
      <c r="GP134" s="16" t="s">
        <v>81</v>
      </c>
      <c r="GQ134" s="137">
        <f>ROUND(I134*H134,2)</f>
        <v>2255.56</v>
      </c>
      <c r="GR134" s="16" t="s">
        <v>95</v>
      </c>
      <c r="GS134" s="136" t="s">
        <v>2285</v>
      </c>
    </row>
    <row r="135" spans="2:201" s="1" customFormat="1" ht="39" x14ac:dyDescent="0.2">
      <c r="B135" s="31"/>
      <c r="D135" s="138" t="s">
        <v>289</v>
      </c>
      <c r="F135" s="139" t="s">
        <v>290</v>
      </c>
      <c r="I135" s="140"/>
      <c r="L135" s="31"/>
      <c r="N135" s="213"/>
      <c r="O135" s="214"/>
      <c r="Q135" s="229"/>
      <c r="R135" s="1">
        <v>0.9</v>
      </c>
      <c r="ES135" s="141"/>
      <c r="EZ135" s="50"/>
      <c r="FZ135" s="16" t="s">
        <v>289</v>
      </c>
      <c r="GA135" s="16" t="s">
        <v>83</v>
      </c>
    </row>
    <row r="136" spans="2:201" s="1" customFormat="1" ht="29.25" x14ac:dyDescent="0.2">
      <c r="B136" s="31"/>
      <c r="D136" s="138" t="s">
        <v>299</v>
      </c>
      <c r="F136" s="142" t="s">
        <v>2282</v>
      </c>
      <c r="I136" s="140"/>
      <c r="L136" s="31"/>
      <c r="N136" s="213"/>
      <c r="O136" s="214"/>
      <c r="Q136" s="229"/>
      <c r="R136" s="1">
        <v>0.9</v>
      </c>
      <c r="ES136" s="141"/>
      <c r="EZ136" s="50"/>
      <c r="FZ136" s="16" t="s">
        <v>299</v>
      </c>
      <c r="GA136" s="16" t="s">
        <v>83</v>
      </c>
    </row>
    <row r="137" spans="2:201" s="12" customFormat="1" x14ac:dyDescent="0.2">
      <c r="B137" s="149"/>
      <c r="D137" s="138" t="s">
        <v>301</v>
      </c>
      <c r="E137" s="150" t="s">
        <v>1</v>
      </c>
      <c r="F137" s="151" t="s">
        <v>2286</v>
      </c>
      <c r="H137" s="152">
        <v>32.799999999999997</v>
      </c>
      <c r="I137" s="153"/>
      <c r="L137" s="149"/>
      <c r="N137" s="217">
        <f>83.2*(0.9-0.5)</f>
        <v>33.28</v>
      </c>
      <c r="O137" s="359" t="s">
        <v>3579</v>
      </c>
      <c r="Q137" s="231"/>
      <c r="ES137" s="154"/>
      <c r="EZ137" s="155"/>
      <c r="FZ137" s="150" t="s">
        <v>301</v>
      </c>
      <c r="GA137" s="150" t="s">
        <v>83</v>
      </c>
      <c r="GB137" s="12" t="s">
        <v>83</v>
      </c>
      <c r="GC137" s="12" t="s">
        <v>32</v>
      </c>
      <c r="GD137" s="12" t="s">
        <v>81</v>
      </c>
      <c r="GE137" s="150" t="s">
        <v>282</v>
      </c>
    </row>
    <row r="138" spans="2:201" s="12" customFormat="1" x14ac:dyDescent="0.2">
      <c r="B138" s="149"/>
      <c r="D138" s="138"/>
      <c r="E138" s="150"/>
      <c r="F138" s="151"/>
      <c r="H138" s="152"/>
      <c r="I138" s="153"/>
      <c r="L138" s="149"/>
      <c r="N138" s="310">
        <f>N137-H137</f>
        <v>0.48000000000000398</v>
      </c>
      <c r="O138" s="359"/>
      <c r="Q138" s="231"/>
      <c r="ES138" s="154"/>
      <c r="EZ138" s="155"/>
      <c r="FZ138" s="150"/>
      <c r="GA138" s="150"/>
      <c r="GE138" s="150"/>
    </row>
    <row r="139" spans="2:201" s="1" customFormat="1" ht="24.2" customHeight="1" x14ac:dyDescent="0.2">
      <c r="B139" s="124"/>
      <c r="C139" s="125" t="s">
        <v>90</v>
      </c>
      <c r="D139" s="125" t="s">
        <v>284</v>
      </c>
      <c r="E139" s="126" t="s">
        <v>291</v>
      </c>
      <c r="F139" s="127" t="s">
        <v>292</v>
      </c>
      <c r="G139" s="128" t="s">
        <v>287</v>
      </c>
      <c r="H139" s="129">
        <v>66.02</v>
      </c>
      <c r="I139" s="130">
        <v>68.767172335543137</v>
      </c>
      <c r="J139" s="131">
        <f>ROUND(I139*H139,2)</f>
        <v>4540.01</v>
      </c>
      <c r="K139" s="127" t="s">
        <v>293</v>
      </c>
      <c r="L139" s="268">
        <f>S139</f>
        <v>0</v>
      </c>
      <c r="M139" s="272">
        <f>ROUND(L139*I139,2)</f>
        <v>0</v>
      </c>
      <c r="N139" s="243">
        <f>N141</f>
        <v>-0.84899999999998954</v>
      </c>
      <c r="O139" s="294">
        <f>ROUND(N139*I139,2)</f>
        <v>-58.38</v>
      </c>
      <c r="P139" s="273">
        <f>H139-L139-N139</f>
        <v>66.868999999999986</v>
      </c>
      <c r="Q139" s="287">
        <f>ROUND(P139*I139,2)</f>
        <v>4598.3900000000003</v>
      </c>
      <c r="R139" s="1">
        <v>0.9</v>
      </c>
      <c r="S139" s="269">
        <f>W139+Y139+AA139+AC139+AE139+AG139+AI139+AK139+AM139</f>
        <v>0</v>
      </c>
      <c r="T139" s="269">
        <f>ROUND(S139*I139,2)</f>
        <v>0</v>
      </c>
      <c r="U139" s="269">
        <f>H139-S139</f>
        <v>66.02</v>
      </c>
      <c r="V139" s="269">
        <f>ROUND(U139*I139,2)</f>
        <v>4540.01</v>
      </c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ES139" s="132" t="s">
        <v>1</v>
      </c>
      <c r="ET139" s="133" t="s">
        <v>40</v>
      </c>
      <c r="EV139" s="134">
        <f>EU139*H139</f>
        <v>0</v>
      </c>
      <c r="EW139" s="134">
        <v>0</v>
      </c>
      <c r="EX139" s="134">
        <f>EW139*H139</f>
        <v>0</v>
      </c>
      <c r="EY139" s="134">
        <v>0.57999999999999996</v>
      </c>
      <c r="EZ139" s="135">
        <f>EY139*H139</f>
        <v>38.291599999999995</v>
      </c>
      <c r="FX139" s="136" t="s">
        <v>95</v>
      </c>
      <c r="FZ139" s="136" t="s">
        <v>284</v>
      </c>
      <c r="GA139" s="136" t="s">
        <v>83</v>
      </c>
      <c r="GE139" s="16" t="s">
        <v>282</v>
      </c>
      <c r="GK139" s="137">
        <f>IF(ET139="základní",J139,0)</f>
        <v>4540.01</v>
      </c>
      <c r="GL139" s="137">
        <f>IF(ET139="snížená",J139,0)</f>
        <v>0</v>
      </c>
      <c r="GM139" s="137">
        <f>IF(ET139="zákl. přenesená",J139,0)</f>
        <v>0</v>
      </c>
      <c r="GN139" s="137">
        <f>IF(ET139="sníž. přenesená",J139,0)</f>
        <v>0</v>
      </c>
      <c r="GO139" s="137">
        <f>IF(ET139="nulová",J139,0)</f>
        <v>0</v>
      </c>
      <c r="GP139" s="16" t="s">
        <v>81</v>
      </c>
      <c r="GQ139" s="137">
        <f>ROUND(I139*H139,2)</f>
        <v>4540.01</v>
      </c>
      <c r="GR139" s="16" t="s">
        <v>95</v>
      </c>
      <c r="GS139" s="136" t="s">
        <v>294</v>
      </c>
    </row>
    <row r="140" spans="2:201" s="1" customFormat="1" ht="39" x14ac:dyDescent="0.2">
      <c r="B140" s="31"/>
      <c r="D140" s="138" t="s">
        <v>289</v>
      </c>
      <c r="F140" s="139" t="s">
        <v>290</v>
      </c>
      <c r="I140" s="140"/>
      <c r="L140" s="31"/>
      <c r="N140" s="213"/>
      <c r="O140" s="214"/>
      <c r="Q140" s="229"/>
      <c r="R140" s="1">
        <v>0.9</v>
      </c>
      <c r="ES140" s="141"/>
      <c r="EZ140" s="50"/>
      <c r="FZ140" s="16" t="s">
        <v>289</v>
      </c>
      <c r="GA140" s="16" t="s">
        <v>83</v>
      </c>
    </row>
    <row r="141" spans="2:201" s="1" customFormat="1" ht="24.2" customHeight="1" x14ac:dyDescent="0.2">
      <c r="B141" s="124"/>
      <c r="C141" s="125" t="s">
        <v>95</v>
      </c>
      <c r="D141" s="125" t="s">
        <v>284</v>
      </c>
      <c r="E141" s="126" t="s">
        <v>295</v>
      </c>
      <c r="F141" s="127" t="s">
        <v>732</v>
      </c>
      <c r="G141" s="128" t="s">
        <v>287</v>
      </c>
      <c r="H141" s="129">
        <v>66.02</v>
      </c>
      <c r="I141" s="130">
        <v>27.886826761540966</v>
      </c>
      <c r="J141" s="131">
        <f>ROUND(I141*H141,2)</f>
        <v>1841.09</v>
      </c>
      <c r="K141" s="127" t="s">
        <v>293</v>
      </c>
      <c r="L141" s="268">
        <f>S141</f>
        <v>0</v>
      </c>
      <c r="M141" s="272">
        <f>ROUND(L141*I141,2)</f>
        <v>0</v>
      </c>
      <c r="N141" s="243">
        <f>N148</f>
        <v>-0.84899999999998954</v>
      </c>
      <c r="O141" s="294">
        <f>ROUND(N141*I141,2)</f>
        <v>-23.68</v>
      </c>
      <c r="P141" s="273">
        <f>H141-L141-N141</f>
        <v>66.868999999999986</v>
      </c>
      <c r="Q141" s="287">
        <f>ROUND(P141*I141,2)</f>
        <v>1864.76</v>
      </c>
      <c r="R141" s="1">
        <v>0.9</v>
      </c>
      <c r="S141" s="269">
        <f>W141+Y141+AA141+AC141+AE141+AG141+AI141+AK141+AM141</f>
        <v>0</v>
      </c>
      <c r="T141" s="269">
        <f>ROUND(S141*I141,2)</f>
        <v>0</v>
      </c>
      <c r="U141" s="269">
        <f>H141-S141</f>
        <v>66.02</v>
      </c>
      <c r="V141" s="269">
        <f>ROUND(U141*I141,2)</f>
        <v>1841.09</v>
      </c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ES141" s="132" t="s">
        <v>1</v>
      </c>
      <c r="ET141" s="133" t="s">
        <v>40</v>
      </c>
      <c r="EV141" s="134">
        <f>EU141*H141</f>
        <v>0</v>
      </c>
      <c r="EW141" s="134">
        <v>0</v>
      </c>
      <c r="EX141" s="134">
        <f>EW141*H141</f>
        <v>0</v>
      </c>
      <c r="EY141" s="134">
        <v>9.8000000000000004E-2</v>
      </c>
      <c r="EZ141" s="135">
        <f>EY141*H141</f>
        <v>6.4699599999999995</v>
      </c>
      <c r="FX141" s="136" t="s">
        <v>95</v>
      </c>
      <c r="FZ141" s="136" t="s">
        <v>284</v>
      </c>
      <c r="GA141" s="136" t="s">
        <v>83</v>
      </c>
      <c r="GE141" s="16" t="s">
        <v>282</v>
      </c>
      <c r="GK141" s="137">
        <f>IF(ET141="základní",J141,0)</f>
        <v>1841.09</v>
      </c>
      <c r="GL141" s="137">
        <f>IF(ET141="snížená",J141,0)</f>
        <v>0</v>
      </c>
      <c r="GM141" s="137">
        <f>IF(ET141="zákl. přenesená",J141,0)</f>
        <v>0</v>
      </c>
      <c r="GN141" s="137">
        <f>IF(ET141="sníž. přenesená",J141,0)</f>
        <v>0</v>
      </c>
      <c r="GO141" s="137">
        <f>IF(ET141="nulová",J141,0)</f>
        <v>0</v>
      </c>
      <c r="GP141" s="16" t="s">
        <v>81</v>
      </c>
      <c r="GQ141" s="137">
        <f>ROUND(I141*H141,2)</f>
        <v>1841.09</v>
      </c>
      <c r="GR141" s="16" t="s">
        <v>95</v>
      </c>
      <c r="GS141" s="136" t="s">
        <v>297</v>
      </c>
    </row>
    <row r="142" spans="2:201" s="1" customFormat="1" ht="29.25" x14ac:dyDescent="0.2">
      <c r="B142" s="31"/>
      <c r="D142" s="138" t="s">
        <v>289</v>
      </c>
      <c r="F142" s="139" t="s">
        <v>298</v>
      </c>
      <c r="I142" s="140"/>
      <c r="L142" s="31"/>
      <c r="N142" s="213"/>
      <c r="O142" s="214"/>
      <c r="Q142" s="229"/>
      <c r="R142" s="1">
        <v>0.9</v>
      </c>
      <c r="ES142" s="141"/>
      <c r="EZ142" s="50"/>
      <c r="FZ142" s="16" t="s">
        <v>289</v>
      </c>
      <c r="GA142" s="16" t="s">
        <v>83</v>
      </c>
    </row>
    <row r="143" spans="2:201" s="1" customFormat="1" ht="29.25" x14ac:dyDescent="0.2">
      <c r="B143" s="31"/>
      <c r="D143" s="138" t="s">
        <v>299</v>
      </c>
      <c r="F143" s="142" t="s">
        <v>2282</v>
      </c>
      <c r="I143" s="140"/>
      <c r="L143" s="31"/>
      <c r="N143" s="213"/>
      <c r="O143" s="214"/>
      <c r="Q143" s="229"/>
      <c r="R143" s="1">
        <v>0.9</v>
      </c>
      <c r="ES143" s="141"/>
      <c r="EZ143" s="50"/>
      <c r="FZ143" s="16" t="s">
        <v>299</v>
      </c>
      <c r="GA143" s="16" t="s">
        <v>83</v>
      </c>
    </row>
    <row r="144" spans="2:201" s="11" customFormat="1" x14ac:dyDescent="0.2">
      <c r="B144" s="143"/>
      <c r="D144" s="138" t="s">
        <v>301</v>
      </c>
      <c r="E144" s="144" t="s">
        <v>1</v>
      </c>
      <c r="F144" s="145" t="s">
        <v>302</v>
      </c>
      <c r="H144" s="144" t="s">
        <v>1</v>
      </c>
      <c r="I144" s="146"/>
      <c r="L144" s="143"/>
      <c r="N144" s="215"/>
      <c r="O144" s="216"/>
      <c r="Q144" s="230"/>
      <c r="R144" s="11">
        <v>0.9</v>
      </c>
      <c r="ES144" s="147"/>
      <c r="EZ144" s="148"/>
      <c r="FZ144" s="144" t="s">
        <v>301</v>
      </c>
      <c r="GA144" s="144" t="s">
        <v>83</v>
      </c>
      <c r="GB144" s="11" t="s">
        <v>81</v>
      </c>
      <c r="GC144" s="11" t="s">
        <v>32</v>
      </c>
      <c r="GD144" s="11" t="s">
        <v>74</v>
      </c>
      <c r="GE144" s="144" t="s">
        <v>282</v>
      </c>
    </row>
    <row r="145" spans="2:201" s="12" customFormat="1" x14ac:dyDescent="0.2">
      <c r="B145" s="149"/>
      <c r="D145" s="138" t="s">
        <v>301</v>
      </c>
      <c r="E145" s="150" t="s">
        <v>1</v>
      </c>
      <c r="F145" s="151" t="s">
        <v>2287</v>
      </c>
      <c r="H145" s="152">
        <v>25.02</v>
      </c>
      <c r="I145" s="153"/>
      <c r="L145" s="149"/>
      <c r="N145" s="217">
        <f>26.19*0.9</f>
        <v>23.571000000000002</v>
      </c>
      <c r="O145" s="359" t="s">
        <v>3581</v>
      </c>
      <c r="Q145" s="231"/>
      <c r="R145" s="12">
        <v>0.9</v>
      </c>
      <c r="ES145" s="154"/>
      <c r="EZ145" s="155"/>
      <c r="FZ145" s="150" t="s">
        <v>301</v>
      </c>
      <c r="GA145" s="150" t="s">
        <v>83</v>
      </c>
      <c r="GB145" s="12" t="s">
        <v>83</v>
      </c>
      <c r="GC145" s="12" t="s">
        <v>32</v>
      </c>
      <c r="GD145" s="12" t="s">
        <v>74</v>
      </c>
      <c r="GE145" s="150" t="s">
        <v>282</v>
      </c>
    </row>
    <row r="146" spans="2:201" s="12" customFormat="1" x14ac:dyDescent="0.2">
      <c r="B146" s="149"/>
      <c r="D146" s="138" t="s">
        <v>301</v>
      </c>
      <c r="E146" s="150" t="s">
        <v>1</v>
      </c>
      <c r="F146" s="151" t="s">
        <v>2288</v>
      </c>
      <c r="H146" s="152">
        <v>41</v>
      </c>
      <c r="I146" s="153"/>
      <c r="L146" s="149"/>
      <c r="N146" s="217">
        <f>83.2*0.5</f>
        <v>41.6</v>
      </c>
      <c r="O146" s="359" t="s">
        <v>3580</v>
      </c>
      <c r="Q146" s="231"/>
      <c r="R146" s="12">
        <v>0.9</v>
      </c>
      <c r="ES146" s="154"/>
      <c r="EZ146" s="155"/>
      <c r="FZ146" s="150" t="s">
        <v>301</v>
      </c>
      <c r="GA146" s="150" t="s">
        <v>83</v>
      </c>
      <c r="GB146" s="12" t="s">
        <v>83</v>
      </c>
      <c r="GC146" s="12" t="s">
        <v>32</v>
      </c>
      <c r="GD146" s="12" t="s">
        <v>74</v>
      </c>
      <c r="GE146" s="150" t="s">
        <v>282</v>
      </c>
    </row>
    <row r="147" spans="2:201" s="13" customFormat="1" x14ac:dyDescent="0.2">
      <c r="B147" s="156"/>
      <c r="D147" s="138" t="s">
        <v>301</v>
      </c>
      <c r="E147" s="157" t="s">
        <v>1</v>
      </c>
      <c r="F147" s="158" t="s">
        <v>305</v>
      </c>
      <c r="H147" s="159">
        <v>66.02</v>
      </c>
      <c r="I147" s="160"/>
      <c r="L147" s="156"/>
      <c r="N147" s="219">
        <f>N145+N146</f>
        <v>65.171000000000006</v>
      </c>
      <c r="O147" s="220"/>
      <c r="Q147" s="232"/>
      <c r="R147" s="13">
        <v>0.9</v>
      </c>
      <c r="ES147" s="161"/>
      <c r="EZ147" s="162"/>
      <c r="FZ147" s="157" t="s">
        <v>301</v>
      </c>
      <c r="GA147" s="157" t="s">
        <v>83</v>
      </c>
      <c r="GB147" s="13" t="s">
        <v>95</v>
      </c>
      <c r="GC147" s="13" t="s">
        <v>32</v>
      </c>
      <c r="GD147" s="13" t="s">
        <v>81</v>
      </c>
      <c r="GE147" s="157" t="s">
        <v>282</v>
      </c>
    </row>
    <row r="148" spans="2:201" s="13" customFormat="1" x14ac:dyDescent="0.2">
      <c r="B148" s="156"/>
      <c r="D148" s="138"/>
      <c r="E148" s="157"/>
      <c r="F148" s="158"/>
      <c r="H148" s="159"/>
      <c r="I148" s="160"/>
      <c r="L148" s="156"/>
      <c r="N148" s="311">
        <f>N147-H147</f>
        <v>-0.84899999999998954</v>
      </c>
      <c r="O148" s="220"/>
      <c r="Q148" s="232"/>
      <c r="ES148" s="161"/>
      <c r="EZ148" s="162"/>
      <c r="FZ148" s="157"/>
      <c r="GA148" s="157"/>
      <c r="GE148" s="157"/>
    </row>
    <row r="149" spans="2:201" s="1" customFormat="1" ht="24.2" customHeight="1" x14ac:dyDescent="0.2">
      <c r="B149" s="124"/>
      <c r="C149" s="125" t="s">
        <v>312</v>
      </c>
      <c r="D149" s="125" t="s">
        <v>284</v>
      </c>
      <c r="E149" s="126" t="s">
        <v>306</v>
      </c>
      <c r="F149" s="127" t="s">
        <v>307</v>
      </c>
      <c r="G149" s="128" t="s">
        <v>287</v>
      </c>
      <c r="H149" s="129">
        <v>97.3</v>
      </c>
      <c r="I149" s="130">
        <v>55.314624729404002</v>
      </c>
      <c r="J149" s="131">
        <f>ROUND(I149*H149,2)</f>
        <v>5382.11</v>
      </c>
      <c r="K149" s="127" t="s">
        <v>293</v>
      </c>
      <c r="L149" s="268">
        <f>S149</f>
        <v>0</v>
      </c>
      <c r="M149" s="272">
        <f>ROUND(L149*I149,2)</f>
        <v>0</v>
      </c>
      <c r="N149" s="243">
        <f>N155</f>
        <v>-5.6349999999999909</v>
      </c>
      <c r="O149" s="294">
        <f>ROUND(N149*I149,2)</f>
        <v>-311.7</v>
      </c>
      <c r="P149" s="273">
        <f>H149-L149-N149</f>
        <v>102.93499999999999</v>
      </c>
      <c r="Q149" s="287">
        <f>ROUND(P149*I149,2)</f>
        <v>5693.81</v>
      </c>
      <c r="R149" s="1">
        <v>0.9</v>
      </c>
      <c r="S149" s="269">
        <f>W149+Y149+AA149+AC149+AE149+AG149+AI149+AK149+AM149</f>
        <v>0</v>
      </c>
      <c r="T149" s="269">
        <f>ROUND(S149*I149,2)</f>
        <v>0</v>
      </c>
      <c r="U149" s="269">
        <f>H149-S149</f>
        <v>97.3</v>
      </c>
      <c r="V149" s="269">
        <f>ROUND(U149*I149,2)</f>
        <v>5382.11</v>
      </c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ES149" s="132" t="s">
        <v>1</v>
      </c>
      <c r="ET149" s="133" t="s">
        <v>40</v>
      </c>
      <c r="EV149" s="134">
        <f>EU149*H149</f>
        <v>0</v>
      </c>
      <c r="EW149" s="134">
        <v>6.9999999999999994E-5</v>
      </c>
      <c r="EX149" s="134">
        <f>EW149*H149</f>
        <v>6.8109999999999993E-3</v>
      </c>
      <c r="EY149" s="134">
        <v>0.115</v>
      </c>
      <c r="EZ149" s="135">
        <f>EY149*H149</f>
        <v>11.189500000000001</v>
      </c>
      <c r="FX149" s="136" t="s">
        <v>95</v>
      </c>
      <c r="FZ149" s="136" t="s">
        <v>284</v>
      </c>
      <c r="GA149" s="136" t="s">
        <v>83</v>
      </c>
      <c r="GE149" s="16" t="s">
        <v>282</v>
      </c>
      <c r="GK149" s="137">
        <f>IF(ET149="základní",J149,0)</f>
        <v>5382.11</v>
      </c>
      <c r="GL149" s="137">
        <f>IF(ET149="snížená",J149,0)</f>
        <v>0</v>
      </c>
      <c r="GM149" s="137">
        <f>IF(ET149="zákl. přenesená",J149,0)</f>
        <v>0</v>
      </c>
      <c r="GN149" s="137">
        <f>IF(ET149="sníž. přenesená",J149,0)</f>
        <v>0</v>
      </c>
      <c r="GO149" s="137">
        <f>IF(ET149="nulová",J149,0)</f>
        <v>0</v>
      </c>
      <c r="GP149" s="16" t="s">
        <v>81</v>
      </c>
      <c r="GQ149" s="137">
        <f>ROUND(I149*H149,2)</f>
        <v>5382.11</v>
      </c>
      <c r="GR149" s="16" t="s">
        <v>95</v>
      </c>
      <c r="GS149" s="136" t="s">
        <v>308</v>
      </c>
    </row>
    <row r="150" spans="2:201" s="1" customFormat="1" ht="29.25" x14ac:dyDescent="0.2">
      <c r="B150" s="31"/>
      <c r="D150" s="138" t="s">
        <v>289</v>
      </c>
      <c r="F150" s="139" t="s">
        <v>309</v>
      </c>
      <c r="I150" s="140"/>
      <c r="L150" s="31"/>
      <c r="N150" s="213"/>
      <c r="O150" s="214"/>
      <c r="Q150" s="229"/>
      <c r="R150" s="1">
        <v>0.9</v>
      </c>
      <c r="ES150" s="141"/>
      <c r="EZ150" s="50"/>
      <c r="FZ150" s="16" t="s">
        <v>289</v>
      </c>
      <c r="GA150" s="16" t="s">
        <v>83</v>
      </c>
    </row>
    <row r="151" spans="2:201" s="1" customFormat="1" ht="29.25" x14ac:dyDescent="0.2">
      <c r="B151" s="31"/>
      <c r="D151" s="138" t="s">
        <v>299</v>
      </c>
      <c r="F151" s="142" t="s">
        <v>2282</v>
      </c>
      <c r="I151" s="140"/>
      <c r="L151" s="31"/>
      <c r="N151" s="213"/>
      <c r="O151" s="214"/>
      <c r="Q151" s="229"/>
      <c r="R151" s="1">
        <v>0.9</v>
      </c>
      <c r="ES151" s="141"/>
      <c r="EZ151" s="50"/>
      <c r="FZ151" s="16" t="s">
        <v>299</v>
      </c>
      <c r="GA151" s="16" t="s">
        <v>83</v>
      </c>
    </row>
    <row r="152" spans="2:201" s="11" customFormat="1" x14ac:dyDescent="0.2">
      <c r="B152" s="143"/>
      <c r="D152" s="138" t="s">
        <v>301</v>
      </c>
      <c r="E152" s="144" t="s">
        <v>1</v>
      </c>
      <c r="F152" s="145" t="s">
        <v>310</v>
      </c>
      <c r="H152" s="144" t="s">
        <v>1</v>
      </c>
      <c r="I152" s="146"/>
      <c r="L152" s="143"/>
      <c r="N152" s="215"/>
      <c r="O152" s="216"/>
      <c r="Q152" s="230"/>
      <c r="R152" s="11">
        <v>0.9</v>
      </c>
      <c r="ES152" s="147"/>
      <c r="EZ152" s="148"/>
      <c r="FZ152" s="144" t="s">
        <v>301</v>
      </c>
      <c r="GA152" s="144" t="s">
        <v>83</v>
      </c>
      <c r="GB152" s="11" t="s">
        <v>81</v>
      </c>
      <c r="GC152" s="11" t="s">
        <v>32</v>
      </c>
      <c r="GD152" s="11" t="s">
        <v>74</v>
      </c>
      <c r="GE152" s="144" t="s">
        <v>282</v>
      </c>
    </row>
    <row r="153" spans="2:201" s="12" customFormat="1" x14ac:dyDescent="0.2">
      <c r="B153" s="149"/>
      <c r="D153" s="138" t="s">
        <v>301</v>
      </c>
      <c r="E153" s="150" t="s">
        <v>1</v>
      </c>
      <c r="F153" s="151" t="s">
        <v>2289</v>
      </c>
      <c r="H153" s="152">
        <v>97.3</v>
      </c>
      <c r="I153" s="153"/>
      <c r="L153" s="149"/>
      <c r="N153" s="217">
        <f>26.19*3.5</f>
        <v>91.665000000000006</v>
      </c>
      <c r="O153" s="218" t="s">
        <v>3582</v>
      </c>
      <c r="Q153" s="231"/>
      <c r="R153" s="12">
        <v>0.9</v>
      </c>
      <c r="ES153" s="154"/>
      <c r="EZ153" s="155"/>
      <c r="FZ153" s="150" t="s">
        <v>301</v>
      </c>
      <c r="GA153" s="150" t="s">
        <v>83</v>
      </c>
      <c r="GB153" s="12" t="s">
        <v>83</v>
      </c>
      <c r="GC153" s="12" t="s">
        <v>32</v>
      </c>
      <c r="GD153" s="12" t="s">
        <v>74</v>
      </c>
      <c r="GE153" s="150" t="s">
        <v>282</v>
      </c>
    </row>
    <row r="154" spans="2:201" s="11" customFormat="1" x14ac:dyDescent="0.2">
      <c r="B154" s="143"/>
      <c r="D154" s="138" t="s">
        <v>301</v>
      </c>
      <c r="E154" s="144" t="s">
        <v>1</v>
      </c>
      <c r="F154" s="145" t="s">
        <v>2290</v>
      </c>
      <c r="H154" s="144" t="s">
        <v>1</v>
      </c>
      <c r="I154" s="146"/>
      <c r="L154" s="143"/>
      <c r="N154" s="215"/>
      <c r="O154" s="216"/>
      <c r="Q154" s="230"/>
      <c r="R154" s="11">
        <v>0.9</v>
      </c>
      <c r="ES154" s="147"/>
      <c r="EZ154" s="148"/>
      <c r="FZ154" s="144" t="s">
        <v>301</v>
      </c>
      <c r="GA154" s="144" t="s">
        <v>83</v>
      </c>
      <c r="GB154" s="11" t="s">
        <v>81</v>
      </c>
      <c r="GC154" s="11" t="s">
        <v>32</v>
      </c>
      <c r="GD154" s="11" t="s">
        <v>74</v>
      </c>
      <c r="GE154" s="144" t="s">
        <v>282</v>
      </c>
    </row>
    <row r="155" spans="2:201" s="13" customFormat="1" x14ac:dyDescent="0.2">
      <c r="B155" s="156"/>
      <c r="D155" s="138" t="s">
        <v>301</v>
      </c>
      <c r="E155" s="157" t="s">
        <v>1</v>
      </c>
      <c r="F155" s="158" t="s">
        <v>305</v>
      </c>
      <c r="H155" s="159">
        <v>97.3</v>
      </c>
      <c r="I155" s="160"/>
      <c r="L155" s="156"/>
      <c r="N155" s="311">
        <f>N153-H155</f>
        <v>-5.6349999999999909</v>
      </c>
      <c r="O155" s="220"/>
      <c r="Q155" s="232"/>
      <c r="R155" s="13">
        <v>0.9</v>
      </c>
      <c r="ES155" s="161"/>
      <c r="EZ155" s="162"/>
      <c r="FZ155" s="157" t="s">
        <v>301</v>
      </c>
      <c r="GA155" s="157" t="s">
        <v>83</v>
      </c>
      <c r="GB155" s="13" t="s">
        <v>95</v>
      </c>
      <c r="GC155" s="13" t="s">
        <v>32</v>
      </c>
      <c r="GD155" s="13" t="s">
        <v>81</v>
      </c>
      <c r="GE155" s="157" t="s">
        <v>282</v>
      </c>
    </row>
    <row r="156" spans="2:201" s="1" customFormat="1" ht="24.2" customHeight="1" x14ac:dyDescent="0.2">
      <c r="B156" s="124"/>
      <c r="C156" s="125" t="s">
        <v>318</v>
      </c>
      <c r="D156" s="125" t="s">
        <v>284</v>
      </c>
      <c r="E156" s="126" t="s">
        <v>313</v>
      </c>
      <c r="F156" s="127" t="s">
        <v>314</v>
      </c>
      <c r="G156" s="128" t="s">
        <v>315</v>
      </c>
      <c r="H156" s="129">
        <v>1</v>
      </c>
      <c r="I156" s="130">
        <v>3788.8627999999999</v>
      </c>
      <c r="J156" s="131">
        <f>ROUND(I156*H156,2)</f>
        <v>3788.86</v>
      </c>
      <c r="K156" s="127" t="s">
        <v>1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1</v>
      </c>
      <c r="Q156" s="287">
        <f>ROUND(P156*I156,2)</f>
        <v>3788.86</v>
      </c>
      <c r="R156" s="1">
        <v>0.9</v>
      </c>
      <c r="S156" s="269">
        <f>W156+Y156+AA156+AC156+AE156+AG156+AI156+AK156+AM156</f>
        <v>0</v>
      </c>
      <c r="T156" s="269">
        <f>ROUND(S156*I156,2)</f>
        <v>0</v>
      </c>
      <c r="U156" s="269">
        <f>H156-S156</f>
        <v>1</v>
      </c>
      <c r="V156" s="269">
        <f>ROUND(U156*I156,2)</f>
        <v>3788.86</v>
      </c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ES156" s="132" t="s">
        <v>1</v>
      </c>
      <c r="ET156" s="133" t="s">
        <v>40</v>
      </c>
      <c r="EV156" s="134">
        <f>EU156*H156</f>
        <v>0</v>
      </c>
      <c r="EW156" s="134">
        <v>0</v>
      </c>
      <c r="EX156" s="134">
        <f>EW156*H156</f>
        <v>0</v>
      </c>
      <c r="EY156" s="134">
        <v>0</v>
      </c>
      <c r="EZ156" s="135">
        <f>EY156*H156</f>
        <v>0</v>
      </c>
      <c r="FX156" s="136" t="s">
        <v>95</v>
      </c>
      <c r="FZ156" s="136" t="s">
        <v>284</v>
      </c>
      <c r="GA156" s="136" t="s">
        <v>83</v>
      </c>
      <c r="GE156" s="16" t="s">
        <v>282</v>
      </c>
      <c r="GK156" s="137">
        <f>IF(ET156="základní",J156,0)</f>
        <v>3788.86</v>
      </c>
      <c r="GL156" s="137">
        <f>IF(ET156="snížená",J156,0)</f>
        <v>0</v>
      </c>
      <c r="GM156" s="137">
        <f>IF(ET156="zákl. přenesená",J156,0)</f>
        <v>0</v>
      </c>
      <c r="GN156" s="137">
        <f>IF(ET156="sníž. přenesená",J156,0)</f>
        <v>0</v>
      </c>
      <c r="GO156" s="137">
        <f>IF(ET156="nulová",J156,0)</f>
        <v>0</v>
      </c>
      <c r="GP156" s="16" t="s">
        <v>81</v>
      </c>
      <c r="GQ156" s="137">
        <f>ROUND(I156*H156,2)</f>
        <v>3788.86</v>
      </c>
      <c r="GR156" s="16" t="s">
        <v>95</v>
      </c>
      <c r="GS156" s="136" t="s">
        <v>316</v>
      </c>
    </row>
    <row r="157" spans="2:201" s="1" customFormat="1" ht="19.5" x14ac:dyDescent="0.2">
      <c r="B157" s="31"/>
      <c r="D157" s="138" t="s">
        <v>289</v>
      </c>
      <c r="F157" s="139" t="s">
        <v>314</v>
      </c>
      <c r="I157" s="140"/>
      <c r="L157" s="31"/>
      <c r="N157" s="213"/>
      <c r="O157" s="214"/>
      <c r="Q157" s="229"/>
      <c r="R157" s="1">
        <v>0.9</v>
      </c>
      <c r="ES157" s="141"/>
      <c r="EZ157" s="50"/>
      <c r="FZ157" s="16" t="s">
        <v>289</v>
      </c>
      <c r="GA157" s="16" t="s">
        <v>83</v>
      </c>
    </row>
    <row r="158" spans="2:201" s="1" customFormat="1" ht="29.25" x14ac:dyDescent="0.2">
      <c r="B158" s="31"/>
      <c r="D158" s="138" t="s">
        <v>299</v>
      </c>
      <c r="F158" s="142" t="s">
        <v>2291</v>
      </c>
      <c r="I158" s="140"/>
      <c r="L158" s="31"/>
      <c r="N158" s="213"/>
      <c r="O158" s="214"/>
      <c r="Q158" s="229"/>
      <c r="R158" s="1">
        <v>0.9</v>
      </c>
      <c r="ES158" s="141"/>
      <c r="EZ158" s="50"/>
      <c r="FZ158" s="16" t="s">
        <v>299</v>
      </c>
      <c r="GA158" s="16" t="s">
        <v>83</v>
      </c>
    </row>
    <row r="159" spans="2:201" s="12" customFormat="1" x14ac:dyDescent="0.2">
      <c r="B159" s="149"/>
      <c r="D159" s="138" t="s">
        <v>301</v>
      </c>
      <c r="E159" s="150" t="s">
        <v>1</v>
      </c>
      <c r="F159" s="151" t="s">
        <v>81</v>
      </c>
      <c r="H159" s="152">
        <v>1</v>
      </c>
      <c r="I159" s="153"/>
      <c r="L159" s="149"/>
      <c r="N159" s="217"/>
      <c r="O159" s="218"/>
      <c r="Q159" s="231"/>
      <c r="R159" s="12">
        <v>0.9</v>
      </c>
      <c r="ES159" s="154"/>
      <c r="EZ159" s="155"/>
      <c r="FZ159" s="150" t="s">
        <v>301</v>
      </c>
      <c r="GA159" s="150" t="s">
        <v>83</v>
      </c>
      <c r="GB159" s="12" t="s">
        <v>83</v>
      </c>
      <c r="GC159" s="12" t="s">
        <v>32</v>
      </c>
      <c r="GD159" s="12" t="s">
        <v>81</v>
      </c>
      <c r="GE159" s="150" t="s">
        <v>282</v>
      </c>
    </row>
    <row r="160" spans="2:201" s="1" customFormat="1" ht="24.2" customHeight="1" x14ac:dyDescent="0.2">
      <c r="B160" s="124"/>
      <c r="C160" s="125" t="s">
        <v>323</v>
      </c>
      <c r="D160" s="125" t="s">
        <v>284</v>
      </c>
      <c r="E160" s="126" t="s">
        <v>324</v>
      </c>
      <c r="F160" s="127" t="s">
        <v>325</v>
      </c>
      <c r="G160" s="128" t="s">
        <v>315</v>
      </c>
      <c r="H160" s="129">
        <v>3</v>
      </c>
      <c r="I160" s="130">
        <v>1847.0706150000001</v>
      </c>
      <c r="J160" s="131">
        <f>ROUND(I160*H160,2)</f>
        <v>5541.21</v>
      </c>
      <c r="K160" s="127" t="s">
        <v>1</v>
      </c>
      <c r="L160" s="268">
        <f>S160</f>
        <v>0</v>
      </c>
      <c r="M160" s="272">
        <f>ROUND(L160*I160,2)</f>
        <v>0</v>
      </c>
      <c r="N160" s="243"/>
      <c r="O160" s="294">
        <f>ROUND(N160*I160,2)</f>
        <v>0</v>
      </c>
      <c r="P160" s="273">
        <f>H160-L160-N160</f>
        <v>3</v>
      </c>
      <c r="Q160" s="287">
        <f>ROUND(P160*I160,2)</f>
        <v>5541.21</v>
      </c>
      <c r="R160" s="1">
        <v>0.9</v>
      </c>
      <c r="S160" s="269">
        <f>W160+Y160+AA160+AC160+AE160+AG160+AI160+AK160+AM160</f>
        <v>0</v>
      </c>
      <c r="T160" s="269">
        <f>ROUND(S160*I160,2)</f>
        <v>0</v>
      </c>
      <c r="U160" s="269">
        <f>H160-S160</f>
        <v>3</v>
      </c>
      <c r="V160" s="269">
        <f>ROUND(U160*I160,2)</f>
        <v>5541.21</v>
      </c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ES160" s="132" t="s">
        <v>1</v>
      </c>
      <c r="ET160" s="133" t="s">
        <v>40</v>
      </c>
      <c r="EV160" s="134">
        <f>EU160*H160</f>
        <v>0</v>
      </c>
      <c r="EW160" s="134">
        <v>0</v>
      </c>
      <c r="EX160" s="134">
        <f>EW160*H160</f>
        <v>0</v>
      </c>
      <c r="EY160" s="134">
        <v>0</v>
      </c>
      <c r="EZ160" s="135">
        <f>EY160*H160</f>
        <v>0</v>
      </c>
      <c r="FX160" s="136" t="s">
        <v>95</v>
      </c>
      <c r="FZ160" s="136" t="s">
        <v>284</v>
      </c>
      <c r="GA160" s="136" t="s">
        <v>83</v>
      </c>
      <c r="GE160" s="16" t="s">
        <v>282</v>
      </c>
      <c r="GK160" s="137">
        <f>IF(ET160="základní",J160,0)</f>
        <v>5541.21</v>
      </c>
      <c r="GL160" s="137">
        <f>IF(ET160="snížená",J160,0)</f>
        <v>0</v>
      </c>
      <c r="GM160" s="137">
        <f>IF(ET160="zákl. přenesená",J160,0)</f>
        <v>0</v>
      </c>
      <c r="GN160" s="137">
        <f>IF(ET160="sníž. přenesená",J160,0)</f>
        <v>0</v>
      </c>
      <c r="GO160" s="137">
        <f>IF(ET160="nulová",J160,0)</f>
        <v>0</v>
      </c>
      <c r="GP160" s="16" t="s">
        <v>81</v>
      </c>
      <c r="GQ160" s="137">
        <f>ROUND(I160*H160,2)</f>
        <v>5541.21</v>
      </c>
      <c r="GR160" s="16" t="s">
        <v>95</v>
      </c>
      <c r="GS160" s="136" t="s">
        <v>326</v>
      </c>
    </row>
    <row r="161" spans="2:201" s="1" customFormat="1" ht="19.5" x14ac:dyDescent="0.2">
      <c r="B161" s="31"/>
      <c r="D161" s="138" t="s">
        <v>289</v>
      </c>
      <c r="F161" s="139" t="s">
        <v>325</v>
      </c>
      <c r="I161" s="140"/>
      <c r="L161" s="31"/>
      <c r="N161" s="213"/>
      <c r="O161" s="214"/>
      <c r="Q161" s="229"/>
      <c r="R161" s="1">
        <v>0.9</v>
      </c>
      <c r="ES161" s="141"/>
      <c r="EZ161" s="50"/>
      <c r="FZ161" s="16" t="s">
        <v>289</v>
      </c>
      <c r="GA161" s="16" t="s">
        <v>83</v>
      </c>
    </row>
    <row r="162" spans="2:201" s="1" customFormat="1" ht="29.25" x14ac:dyDescent="0.2">
      <c r="B162" s="31"/>
      <c r="D162" s="138" t="s">
        <v>299</v>
      </c>
      <c r="F162" s="142" t="s">
        <v>2282</v>
      </c>
      <c r="I162" s="140"/>
      <c r="L162" s="31"/>
      <c r="N162" s="213"/>
      <c r="O162" s="214"/>
      <c r="Q162" s="229"/>
      <c r="R162" s="1">
        <v>0.9</v>
      </c>
      <c r="ES162" s="141"/>
      <c r="EZ162" s="50"/>
      <c r="FZ162" s="16" t="s">
        <v>299</v>
      </c>
      <c r="GA162" s="16" t="s">
        <v>83</v>
      </c>
    </row>
    <row r="163" spans="2:201" s="12" customFormat="1" x14ac:dyDescent="0.2">
      <c r="B163" s="149"/>
      <c r="D163" s="138" t="s">
        <v>301</v>
      </c>
      <c r="E163" s="150" t="s">
        <v>1</v>
      </c>
      <c r="F163" s="151" t="s">
        <v>90</v>
      </c>
      <c r="H163" s="152">
        <v>3</v>
      </c>
      <c r="I163" s="153"/>
      <c r="L163" s="149"/>
      <c r="N163" s="217"/>
      <c r="O163" s="218"/>
      <c r="Q163" s="231"/>
      <c r="R163" s="12">
        <v>0.9</v>
      </c>
      <c r="ES163" s="154"/>
      <c r="EZ163" s="155"/>
      <c r="FZ163" s="150" t="s">
        <v>301</v>
      </c>
      <c r="GA163" s="150" t="s">
        <v>83</v>
      </c>
      <c r="GB163" s="12" t="s">
        <v>83</v>
      </c>
      <c r="GC163" s="12" t="s">
        <v>32</v>
      </c>
      <c r="GD163" s="12" t="s">
        <v>81</v>
      </c>
      <c r="GE163" s="150" t="s">
        <v>282</v>
      </c>
    </row>
    <row r="164" spans="2:201" s="1" customFormat="1" ht="24.2" customHeight="1" x14ac:dyDescent="0.2">
      <c r="B164" s="124"/>
      <c r="C164" s="125" t="s">
        <v>328</v>
      </c>
      <c r="D164" s="125" t="s">
        <v>284</v>
      </c>
      <c r="E164" s="126" t="s">
        <v>329</v>
      </c>
      <c r="F164" s="127" t="s">
        <v>330</v>
      </c>
      <c r="G164" s="128" t="s">
        <v>331</v>
      </c>
      <c r="H164" s="129">
        <v>240</v>
      </c>
      <c r="I164" s="130">
        <v>70.957591385341729</v>
      </c>
      <c r="J164" s="131">
        <f>ROUND(I164*H164,2)</f>
        <v>17029.82</v>
      </c>
      <c r="K164" s="127" t="s">
        <v>293</v>
      </c>
      <c r="L164" s="268">
        <f>S164</f>
        <v>0</v>
      </c>
      <c r="M164" s="272">
        <f>ROUND(L164*I164,2)</f>
        <v>0</v>
      </c>
      <c r="N164" s="243"/>
      <c r="O164" s="294">
        <f>ROUND(N164*I164,2)</f>
        <v>0</v>
      </c>
      <c r="P164" s="273">
        <f>H164-L164-N164</f>
        <v>240</v>
      </c>
      <c r="Q164" s="287">
        <f>ROUND(P164*I164,2)</f>
        <v>17029.82</v>
      </c>
      <c r="R164" s="1">
        <v>0.9</v>
      </c>
      <c r="S164" s="269">
        <f>W164+Y164+AA164+AC164+AE164+AG164+AI164+AK164+AM164</f>
        <v>0</v>
      </c>
      <c r="T164" s="269">
        <f>ROUND(S164*I164,2)</f>
        <v>0</v>
      </c>
      <c r="U164" s="269">
        <f>H164-S164</f>
        <v>240</v>
      </c>
      <c r="V164" s="269">
        <f>ROUND(U164*I164,2)</f>
        <v>17029.82</v>
      </c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ES164" s="132" t="s">
        <v>1</v>
      </c>
      <c r="ET164" s="133" t="s">
        <v>40</v>
      </c>
      <c r="EV164" s="134">
        <f>EU164*H164</f>
        <v>0</v>
      </c>
      <c r="EW164" s="134">
        <v>3.0000000000000001E-5</v>
      </c>
      <c r="EX164" s="134">
        <f>EW164*H164</f>
        <v>7.1999999999999998E-3</v>
      </c>
      <c r="EY164" s="134">
        <v>0</v>
      </c>
      <c r="EZ164" s="135">
        <f>EY164*H164</f>
        <v>0</v>
      </c>
      <c r="FX164" s="136" t="s">
        <v>95</v>
      </c>
      <c r="FZ164" s="136" t="s">
        <v>284</v>
      </c>
      <c r="GA164" s="136" t="s">
        <v>83</v>
      </c>
      <c r="GE164" s="16" t="s">
        <v>282</v>
      </c>
      <c r="GK164" s="137">
        <f>IF(ET164="základní",J164,0)</f>
        <v>17029.82</v>
      </c>
      <c r="GL164" s="137">
        <f>IF(ET164="snížená",J164,0)</f>
        <v>0</v>
      </c>
      <c r="GM164" s="137">
        <f>IF(ET164="zákl. přenesená",J164,0)</f>
        <v>0</v>
      </c>
      <c r="GN164" s="137">
        <f>IF(ET164="sníž. přenesená",J164,0)</f>
        <v>0</v>
      </c>
      <c r="GO164" s="137">
        <f>IF(ET164="nulová",J164,0)</f>
        <v>0</v>
      </c>
      <c r="GP164" s="16" t="s">
        <v>81</v>
      </c>
      <c r="GQ164" s="137">
        <f>ROUND(I164*H164,2)</f>
        <v>17029.82</v>
      </c>
      <c r="GR164" s="16" t="s">
        <v>95</v>
      </c>
      <c r="GS164" s="136" t="s">
        <v>332</v>
      </c>
    </row>
    <row r="165" spans="2:201" s="1" customFormat="1" ht="19.5" x14ac:dyDescent="0.2">
      <c r="B165" s="31"/>
      <c r="D165" s="138" t="s">
        <v>289</v>
      </c>
      <c r="F165" s="139" t="s">
        <v>333</v>
      </c>
      <c r="I165" s="140"/>
      <c r="L165" s="31"/>
      <c r="N165" s="213"/>
      <c r="O165" s="214"/>
      <c r="Q165" s="229"/>
      <c r="R165" s="1">
        <v>0.9</v>
      </c>
      <c r="ES165" s="141"/>
      <c r="EZ165" s="50"/>
      <c r="FZ165" s="16" t="s">
        <v>289</v>
      </c>
      <c r="GA165" s="16" t="s">
        <v>83</v>
      </c>
    </row>
    <row r="166" spans="2:201" s="12" customFormat="1" x14ac:dyDescent="0.2">
      <c r="B166" s="149"/>
      <c r="D166" s="138" t="s">
        <v>301</v>
      </c>
      <c r="E166" s="150" t="s">
        <v>1</v>
      </c>
      <c r="F166" s="151" t="s">
        <v>738</v>
      </c>
      <c r="H166" s="152">
        <v>240</v>
      </c>
      <c r="I166" s="153"/>
      <c r="L166" s="149"/>
      <c r="N166" s="217"/>
      <c r="O166" s="218"/>
      <c r="Q166" s="231"/>
      <c r="R166" s="12">
        <v>0.9</v>
      </c>
      <c r="ES166" s="154"/>
      <c r="EZ166" s="155"/>
      <c r="FZ166" s="150" t="s">
        <v>301</v>
      </c>
      <c r="GA166" s="150" t="s">
        <v>83</v>
      </c>
      <c r="GB166" s="12" t="s">
        <v>83</v>
      </c>
      <c r="GC166" s="12" t="s">
        <v>32</v>
      </c>
      <c r="GD166" s="12" t="s">
        <v>81</v>
      </c>
      <c r="GE166" s="150" t="s">
        <v>282</v>
      </c>
    </row>
    <row r="167" spans="2:201" s="1" customFormat="1" ht="24.2" customHeight="1" x14ac:dyDescent="0.2">
      <c r="B167" s="124"/>
      <c r="C167" s="125" t="s">
        <v>335</v>
      </c>
      <c r="D167" s="125" t="s">
        <v>284</v>
      </c>
      <c r="E167" s="126" t="s">
        <v>336</v>
      </c>
      <c r="F167" s="127" t="s">
        <v>337</v>
      </c>
      <c r="G167" s="128" t="s">
        <v>338</v>
      </c>
      <c r="H167" s="129">
        <v>30</v>
      </c>
      <c r="I167" s="130">
        <v>41.621835247115101</v>
      </c>
      <c r="J167" s="131">
        <f>ROUND(I167*H167,2)</f>
        <v>1248.6600000000001</v>
      </c>
      <c r="K167" s="127" t="s">
        <v>293</v>
      </c>
      <c r="L167" s="268">
        <f>S167</f>
        <v>0</v>
      </c>
      <c r="M167" s="272">
        <f>ROUND(L167*I167,2)</f>
        <v>0</v>
      </c>
      <c r="N167" s="243"/>
      <c r="O167" s="294">
        <f>ROUND(N167*I167,2)</f>
        <v>0</v>
      </c>
      <c r="P167" s="273">
        <f>H167-L167-N167</f>
        <v>30</v>
      </c>
      <c r="Q167" s="287">
        <f>ROUND(P167*I167,2)</f>
        <v>1248.6600000000001</v>
      </c>
      <c r="R167" s="1">
        <v>0.9</v>
      </c>
      <c r="S167" s="269">
        <f>W167+Y167+AA167+AC167+AE167+AG167+AI167+AK167+AM167</f>
        <v>0</v>
      </c>
      <c r="T167" s="269">
        <f>ROUND(S167*I167,2)</f>
        <v>0</v>
      </c>
      <c r="U167" s="269">
        <f>H167-S167</f>
        <v>30</v>
      </c>
      <c r="V167" s="269">
        <f>ROUND(U167*I167,2)</f>
        <v>1248.6600000000001</v>
      </c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ES167" s="132" t="s">
        <v>1</v>
      </c>
      <c r="ET167" s="133" t="s">
        <v>40</v>
      </c>
      <c r="EV167" s="134">
        <f>EU167*H167</f>
        <v>0</v>
      </c>
      <c r="EW167" s="134">
        <v>0</v>
      </c>
      <c r="EX167" s="134">
        <f>EW167*H167</f>
        <v>0</v>
      </c>
      <c r="EY167" s="134">
        <v>0</v>
      </c>
      <c r="EZ167" s="135">
        <f>EY167*H167</f>
        <v>0</v>
      </c>
      <c r="FX167" s="136" t="s">
        <v>95</v>
      </c>
      <c r="FZ167" s="136" t="s">
        <v>284</v>
      </c>
      <c r="GA167" s="136" t="s">
        <v>83</v>
      </c>
      <c r="GE167" s="16" t="s">
        <v>282</v>
      </c>
      <c r="GK167" s="137">
        <f>IF(ET167="základní",J167,0)</f>
        <v>1248.6600000000001</v>
      </c>
      <c r="GL167" s="137">
        <f>IF(ET167="snížená",J167,0)</f>
        <v>0</v>
      </c>
      <c r="GM167" s="137">
        <f>IF(ET167="zákl. přenesená",J167,0)</f>
        <v>0</v>
      </c>
      <c r="GN167" s="137">
        <f>IF(ET167="sníž. přenesená",J167,0)</f>
        <v>0</v>
      </c>
      <c r="GO167" s="137">
        <f>IF(ET167="nulová",J167,0)</f>
        <v>0</v>
      </c>
      <c r="GP167" s="16" t="s">
        <v>81</v>
      </c>
      <c r="GQ167" s="137">
        <f>ROUND(I167*H167,2)</f>
        <v>1248.6600000000001</v>
      </c>
      <c r="GR167" s="16" t="s">
        <v>95</v>
      </c>
      <c r="GS167" s="136" t="s">
        <v>339</v>
      </c>
    </row>
    <row r="168" spans="2:201" s="1" customFormat="1" ht="19.5" x14ac:dyDescent="0.2">
      <c r="B168" s="31"/>
      <c r="D168" s="138" t="s">
        <v>289</v>
      </c>
      <c r="F168" s="139" t="s">
        <v>340</v>
      </c>
      <c r="I168" s="140"/>
      <c r="L168" s="31"/>
      <c r="N168" s="213"/>
      <c r="O168" s="214"/>
      <c r="Q168" s="229"/>
      <c r="R168" s="1">
        <v>0.9</v>
      </c>
      <c r="ES168" s="141"/>
      <c r="EZ168" s="50"/>
      <c r="FZ168" s="16" t="s">
        <v>289</v>
      </c>
      <c r="GA168" s="16" t="s">
        <v>83</v>
      </c>
    </row>
    <row r="169" spans="2:201" s="1" customFormat="1" ht="14.45" customHeight="1" x14ac:dyDescent="0.2">
      <c r="B169" s="124"/>
      <c r="C169" s="125" t="s">
        <v>341</v>
      </c>
      <c r="D169" s="125" t="s">
        <v>284</v>
      </c>
      <c r="E169" s="126" t="s">
        <v>342</v>
      </c>
      <c r="F169" s="127" t="s">
        <v>343</v>
      </c>
      <c r="G169" s="128" t="s">
        <v>344</v>
      </c>
      <c r="H169" s="129">
        <v>3.6</v>
      </c>
      <c r="I169" s="130">
        <v>235.02024596209694</v>
      </c>
      <c r="J169" s="131">
        <f>ROUND(I169*H169,2)</f>
        <v>846.07</v>
      </c>
      <c r="K169" s="127" t="s">
        <v>293</v>
      </c>
      <c r="L169" s="268">
        <f>S169</f>
        <v>0</v>
      </c>
      <c r="M169" s="272">
        <f>ROUND(L169*I169,2)</f>
        <v>0</v>
      </c>
      <c r="N169" s="243"/>
      <c r="O169" s="294">
        <f>ROUND(N169*I169,2)</f>
        <v>0</v>
      </c>
      <c r="P169" s="273">
        <f>H169-L169-N169</f>
        <v>3.6</v>
      </c>
      <c r="Q169" s="287">
        <f>ROUND(P169*I169,2)</f>
        <v>846.07</v>
      </c>
      <c r="R169" s="1">
        <v>0.9</v>
      </c>
      <c r="S169" s="269">
        <f>W169+Y169+AA169+AC169+AE169+AG169+AI169+AK169+AM169</f>
        <v>0</v>
      </c>
      <c r="T169" s="269">
        <f>ROUND(S169*I169,2)</f>
        <v>0</v>
      </c>
      <c r="U169" s="269">
        <f>H169-S169</f>
        <v>3.6</v>
      </c>
      <c r="V169" s="269">
        <f>ROUND(U169*I169,2)</f>
        <v>846.07</v>
      </c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ES169" s="132" t="s">
        <v>1</v>
      </c>
      <c r="ET169" s="133" t="s">
        <v>40</v>
      </c>
      <c r="EV169" s="134">
        <f>EU169*H169</f>
        <v>0</v>
      </c>
      <c r="EW169" s="134">
        <v>3.6900000000000002E-2</v>
      </c>
      <c r="EX169" s="134">
        <f>EW169*H169</f>
        <v>0.13284000000000001</v>
      </c>
      <c r="EY169" s="134">
        <v>0</v>
      </c>
      <c r="EZ169" s="135">
        <f>EY169*H169</f>
        <v>0</v>
      </c>
      <c r="FX169" s="136" t="s">
        <v>95</v>
      </c>
      <c r="FZ169" s="136" t="s">
        <v>284</v>
      </c>
      <c r="GA169" s="136" t="s">
        <v>83</v>
      </c>
      <c r="GE169" s="16" t="s">
        <v>282</v>
      </c>
      <c r="GK169" s="137">
        <f>IF(ET169="základní",J169,0)</f>
        <v>846.07</v>
      </c>
      <c r="GL169" s="137">
        <f>IF(ET169="snížená",J169,0)</f>
        <v>0</v>
      </c>
      <c r="GM169" s="137">
        <f>IF(ET169="zákl. přenesená",J169,0)</f>
        <v>0</v>
      </c>
      <c r="GN169" s="137">
        <f>IF(ET169="sníž. přenesená",J169,0)</f>
        <v>0</v>
      </c>
      <c r="GO169" s="137">
        <f>IF(ET169="nulová",J169,0)</f>
        <v>0</v>
      </c>
      <c r="GP169" s="16" t="s">
        <v>81</v>
      </c>
      <c r="GQ169" s="137">
        <f>ROUND(I169*H169,2)</f>
        <v>846.07</v>
      </c>
      <c r="GR169" s="16" t="s">
        <v>95</v>
      </c>
      <c r="GS169" s="136" t="s">
        <v>2292</v>
      </c>
    </row>
    <row r="170" spans="2:201" s="1" customFormat="1" ht="58.5" x14ac:dyDescent="0.2">
      <c r="B170" s="31"/>
      <c r="D170" s="138" t="s">
        <v>289</v>
      </c>
      <c r="F170" s="139" t="s">
        <v>346</v>
      </c>
      <c r="I170" s="140"/>
      <c r="L170" s="31"/>
      <c r="N170" s="213"/>
      <c r="O170" s="214"/>
      <c r="Q170" s="229"/>
      <c r="R170" s="1">
        <v>0.9</v>
      </c>
      <c r="ES170" s="141"/>
      <c r="EZ170" s="50"/>
      <c r="FZ170" s="16" t="s">
        <v>289</v>
      </c>
      <c r="GA170" s="16" t="s">
        <v>83</v>
      </c>
    </row>
    <row r="171" spans="2:201" s="1" customFormat="1" ht="29.25" x14ac:dyDescent="0.2">
      <c r="B171" s="31"/>
      <c r="D171" s="138" t="s">
        <v>299</v>
      </c>
      <c r="F171" s="142" t="s">
        <v>2282</v>
      </c>
      <c r="I171" s="140"/>
      <c r="L171" s="31"/>
      <c r="N171" s="213"/>
      <c r="O171" s="214"/>
      <c r="Q171" s="229"/>
      <c r="R171" s="1">
        <v>0.9</v>
      </c>
      <c r="ES171" s="141"/>
      <c r="EZ171" s="50"/>
      <c r="FZ171" s="16" t="s">
        <v>299</v>
      </c>
      <c r="GA171" s="16" t="s">
        <v>83</v>
      </c>
    </row>
    <row r="172" spans="2:201" s="12" customFormat="1" x14ac:dyDescent="0.2">
      <c r="B172" s="149"/>
      <c r="D172" s="138" t="s">
        <v>301</v>
      </c>
      <c r="E172" s="150" t="s">
        <v>1</v>
      </c>
      <c r="F172" s="151" t="s">
        <v>2293</v>
      </c>
      <c r="H172" s="152">
        <v>3.6</v>
      </c>
      <c r="I172" s="153"/>
      <c r="L172" s="149"/>
      <c r="N172" s="217"/>
      <c r="O172" s="218"/>
      <c r="Q172" s="231"/>
      <c r="R172" s="12">
        <v>0.9</v>
      </c>
      <c r="ES172" s="154"/>
      <c r="EZ172" s="155"/>
      <c r="FZ172" s="150" t="s">
        <v>301</v>
      </c>
      <c r="GA172" s="150" t="s">
        <v>83</v>
      </c>
      <c r="GB172" s="12" t="s">
        <v>83</v>
      </c>
      <c r="GC172" s="12" t="s">
        <v>32</v>
      </c>
      <c r="GD172" s="12" t="s">
        <v>81</v>
      </c>
      <c r="GE172" s="150" t="s">
        <v>282</v>
      </c>
    </row>
    <row r="173" spans="2:201" s="1" customFormat="1" ht="24.2" customHeight="1" x14ac:dyDescent="0.2">
      <c r="B173" s="124"/>
      <c r="C173" s="125" t="s">
        <v>348</v>
      </c>
      <c r="D173" s="125" t="s">
        <v>284</v>
      </c>
      <c r="E173" s="126" t="s">
        <v>349</v>
      </c>
      <c r="F173" s="127" t="s">
        <v>350</v>
      </c>
      <c r="G173" s="128" t="s">
        <v>344</v>
      </c>
      <c r="H173" s="129">
        <v>2.7</v>
      </c>
      <c r="I173" s="130">
        <v>225.71950862012659</v>
      </c>
      <c r="J173" s="131">
        <f>ROUND(I173*H173,2)</f>
        <v>609.44000000000005</v>
      </c>
      <c r="K173" s="127" t="s">
        <v>293</v>
      </c>
      <c r="L173" s="268">
        <f>S173</f>
        <v>0</v>
      </c>
      <c r="M173" s="272">
        <f>ROUND(L173*I173,2)</f>
        <v>0</v>
      </c>
      <c r="N173" s="243"/>
      <c r="O173" s="294">
        <f>ROUND(N173*I173,2)</f>
        <v>0</v>
      </c>
      <c r="P173" s="273">
        <f>H173-L173-N173</f>
        <v>2.7</v>
      </c>
      <c r="Q173" s="287">
        <f>ROUND(P173*I173,2)</f>
        <v>609.44000000000005</v>
      </c>
      <c r="R173" s="1">
        <v>0.9</v>
      </c>
      <c r="S173" s="269">
        <f>W173+Y173+AA173+AC173+AE173+AG173+AI173+AK173+AM173</f>
        <v>0</v>
      </c>
      <c r="T173" s="269">
        <f>ROUND(S173*I173,2)</f>
        <v>0</v>
      </c>
      <c r="U173" s="269">
        <f>H173-S173</f>
        <v>2.7</v>
      </c>
      <c r="V173" s="269">
        <f>ROUND(U173*I173,2)</f>
        <v>609.44000000000005</v>
      </c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ES173" s="132" t="s">
        <v>1</v>
      </c>
      <c r="ET173" s="133" t="s">
        <v>40</v>
      </c>
      <c r="EV173" s="134">
        <f>EU173*H173</f>
        <v>0</v>
      </c>
      <c r="EW173" s="134">
        <v>3.6900000000000002E-2</v>
      </c>
      <c r="EX173" s="134">
        <f>EW173*H173</f>
        <v>9.963000000000001E-2</v>
      </c>
      <c r="EY173" s="134">
        <v>0</v>
      </c>
      <c r="EZ173" s="135">
        <f>EY173*H173</f>
        <v>0</v>
      </c>
      <c r="FX173" s="136" t="s">
        <v>95</v>
      </c>
      <c r="FZ173" s="136" t="s">
        <v>284</v>
      </c>
      <c r="GA173" s="136" t="s">
        <v>83</v>
      </c>
      <c r="GE173" s="16" t="s">
        <v>282</v>
      </c>
      <c r="GK173" s="137">
        <f>IF(ET173="základní",J173,0)</f>
        <v>609.44000000000005</v>
      </c>
      <c r="GL173" s="137">
        <f>IF(ET173="snížená",J173,0)</f>
        <v>0</v>
      </c>
      <c r="GM173" s="137">
        <f>IF(ET173="zákl. přenesená",J173,0)</f>
        <v>0</v>
      </c>
      <c r="GN173" s="137">
        <f>IF(ET173="sníž. přenesená",J173,0)</f>
        <v>0</v>
      </c>
      <c r="GO173" s="137">
        <f>IF(ET173="nulová",J173,0)</f>
        <v>0</v>
      </c>
      <c r="GP173" s="16" t="s">
        <v>81</v>
      </c>
      <c r="GQ173" s="137">
        <f>ROUND(I173*H173,2)</f>
        <v>609.44000000000005</v>
      </c>
      <c r="GR173" s="16" t="s">
        <v>95</v>
      </c>
      <c r="GS173" s="136" t="s">
        <v>2294</v>
      </c>
    </row>
    <row r="174" spans="2:201" s="1" customFormat="1" ht="58.5" x14ac:dyDescent="0.2">
      <c r="B174" s="31"/>
      <c r="D174" s="138" t="s">
        <v>289</v>
      </c>
      <c r="F174" s="139" t="s">
        <v>352</v>
      </c>
      <c r="I174" s="140"/>
      <c r="L174" s="31"/>
      <c r="N174" s="213"/>
      <c r="O174" s="214"/>
      <c r="Q174" s="229"/>
      <c r="R174" s="1">
        <v>0.9</v>
      </c>
      <c r="ES174" s="141"/>
      <c r="EZ174" s="50"/>
      <c r="FZ174" s="16" t="s">
        <v>289</v>
      </c>
      <c r="GA174" s="16" t="s">
        <v>83</v>
      </c>
    </row>
    <row r="175" spans="2:201" s="1" customFormat="1" ht="29.25" x14ac:dyDescent="0.2">
      <c r="B175" s="31"/>
      <c r="D175" s="138" t="s">
        <v>299</v>
      </c>
      <c r="F175" s="142" t="s">
        <v>2282</v>
      </c>
      <c r="I175" s="140"/>
      <c r="L175" s="31"/>
      <c r="N175" s="213"/>
      <c r="O175" s="214"/>
      <c r="Q175" s="229"/>
      <c r="R175" s="1">
        <v>0.9</v>
      </c>
      <c r="ES175" s="141"/>
      <c r="EZ175" s="50"/>
      <c r="FZ175" s="16" t="s">
        <v>299</v>
      </c>
      <c r="GA175" s="16" t="s">
        <v>83</v>
      </c>
    </row>
    <row r="176" spans="2:201" s="12" customFormat="1" x14ac:dyDescent="0.2">
      <c r="B176" s="149"/>
      <c r="D176" s="138" t="s">
        <v>301</v>
      </c>
      <c r="E176" s="150" t="s">
        <v>1</v>
      </c>
      <c r="F176" s="151" t="s">
        <v>2295</v>
      </c>
      <c r="H176" s="152">
        <v>2.7</v>
      </c>
      <c r="I176" s="153"/>
      <c r="L176" s="149"/>
      <c r="N176" s="217"/>
      <c r="O176" s="218"/>
      <c r="Q176" s="231"/>
      <c r="R176" s="12">
        <v>0.9</v>
      </c>
      <c r="ES176" s="154"/>
      <c r="EZ176" s="155"/>
      <c r="FZ176" s="150" t="s">
        <v>301</v>
      </c>
      <c r="GA176" s="150" t="s">
        <v>83</v>
      </c>
      <c r="GB176" s="12" t="s">
        <v>83</v>
      </c>
      <c r="GC176" s="12" t="s">
        <v>32</v>
      </c>
      <c r="GD176" s="12" t="s">
        <v>81</v>
      </c>
      <c r="GE176" s="150" t="s">
        <v>282</v>
      </c>
    </row>
    <row r="177" spans="2:201" s="1" customFormat="1" ht="24.2" customHeight="1" x14ac:dyDescent="0.2">
      <c r="B177" s="124"/>
      <c r="C177" s="125" t="s">
        <v>327</v>
      </c>
      <c r="D177" s="125" t="s">
        <v>284</v>
      </c>
      <c r="E177" s="126" t="s">
        <v>364</v>
      </c>
      <c r="F177" s="127" t="s">
        <v>365</v>
      </c>
      <c r="G177" s="128" t="s">
        <v>366</v>
      </c>
      <c r="H177" s="129">
        <v>76.585999999999999</v>
      </c>
      <c r="I177" s="130">
        <v>285.201942457955</v>
      </c>
      <c r="J177" s="131">
        <f>ROUND(I177*H177,2)</f>
        <v>21842.48</v>
      </c>
      <c r="K177" s="127" t="s">
        <v>293</v>
      </c>
      <c r="L177" s="268">
        <f>S177</f>
        <v>0</v>
      </c>
      <c r="M177" s="272">
        <f>ROUND(L177*I177,2)</f>
        <v>0</v>
      </c>
      <c r="N177" s="243">
        <f>N185</f>
        <v>-0.28647499999998161</v>
      </c>
      <c r="O177" s="294">
        <f>ROUND(N177*I177,2)</f>
        <v>-81.7</v>
      </c>
      <c r="P177" s="273">
        <f>H177-L177-N177</f>
        <v>76.87247499999998</v>
      </c>
      <c r="Q177" s="287">
        <f>ROUND(P177*I177,2)</f>
        <v>21924.18</v>
      </c>
      <c r="R177" s="1">
        <v>0.9</v>
      </c>
      <c r="S177" s="269">
        <f>W177+Y177+AA177+AC177+AE177+AG177+AI177+AK177+AM177</f>
        <v>0</v>
      </c>
      <c r="T177" s="269">
        <f>ROUND(S177*I177,2)</f>
        <v>0</v>
      </c>
      <c r="U177" s="269">
        <f>H177-S177</f>
        <v>76.585999999999999</v>
      </c>
      <c r="V177" s="269">
        <f>ROUND(U177*I177,2)</f>
        <v>21842.48</v>
      </c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ES177" s="132" t="s">
        <v>1</v>
      </c>
      <c r="ET177" s="133" t="s">
        <v>40</v>
      </c>
      <c r="EV177" s="134">
        <f>EU177*H177</f>
        <v>0</v>
      </c>
      <c r="EW177" s="134">
        <v>0</v>
      </c>
      <c r="EX177" s="134">
        <f>EW177*H177</f>
        <v>0</v>
      </c>
      <c r="EY177" s="134">
        <v>0</v>
      </c>
      <c r="EZ177" s="135">
        <f>EY177*H177</f>
        <v>0</v>
      </c>
      <c r="FX177" s="136" t="s">
        <v>95</v>
      </c>
      <c r="FZ177" s="136" t="s">
        <v>284</v>
      </c>
      <c r="GA177" s="136" t="s">
        <v>83</v>
      </c>
      <c r="GE177" s="16" t="s">
        <v>282</v>
      </c>
      <c r="GK177" s="137">
        <f>IF(ET177="základní",J177,0)</f>
        <v>21842.48</v>
      </c>
      <c r="GL177" s="137">
        <f>IF(ET177="snížená",J177,0)</f>
        <v>0</v>
      </c>
      <c r="GM177" s="137">
        <f>IF(ET177="zákl. přenesená",J177,0)</f>
        <v>0</v>
      </c>
      <c r="GN177" s="137">
        <f>IF(ET177="sníž. přenesená",J177,0)</f>
        <v>0</v>
      </c>
      <c r="GO177" s="137">
        <f>IF(ET177="nulová",J177,0)</f>
        <v>0</v>
      </c>
      <c r="GP177" s="16" t="s">
        <v>81</v>
      </c>
      <c r="GQ177" s="137">
        <f>ROUND(I177*H177,2)</f>
        <v>21842.48</v>
      </c>
      <c r="GR177" s="16" t="s">
        <v>95</v>
      </c>
      <c r="GS177" s="136" t="s">
        <v>367</v>
      </c>
    </row>
    <row r="178" spans="2:201" s="1" customFormat="1" ht="39" x14ac:dyDescent="0.2">
      <c r="B178" s="31"/>
      <c r="D178" s="138" t="s">
        <v>289</v>
      </c>
      <c r="F178" s="139" t="s">
        <v>368</v>
      </c>
      <c r="I178" s="140"/>
      <c r="L178" s="31"/>
      <c r="N178" s="213"/>
      <c r="O178" s="214"/>
      <c r="Q178" s="229"/>
      <c r="R178" s="1">
        <v>0.9</v>
      </c>
      <c r="ES178" s="141"/>
      <c r="EZ178" s="50"/>
      <c r="FZ178" s="16" t="s">
        <v>289</v>
      </c>
      <c r="GA178" s="16" t="s">
        <v>83</v>
      </c>
    </row>
    <row r="179" spans="2:201" s="1" customFormat="1" ht="39" x14ac:dyDescent="0.2">
      <c r="B179" s="31"/>
      <c r="D179" s="138" t="s">
        <v>299</v>
      </c>
      <c r="F179" s="142" t="s">
        <v>2296</v>
      </c>
      <c r="I179" s="140"/>
      <c r="L179" s="31"/>
      <c r="N179" s="213"/>
      <c r="O179" s="214"/>
      <c r="Q179" s="229"/>
      <c r="R179" s="1">
        <v>0.9</v>
      </c>
      <c r="ES179" s="141"/>
      <c r="EZ179" s="50"/>
      <c r="FZ179" s="16" t="s">
        <v>299</v>
      </c>
      <c r="GA179" s="16" t="s">
        <v>83</v>
      </c>
    </row>
    <row r="180" spans="2:201" s="11" customFormat="1" ht="22.5" x14ac:dyDescent="0.2">
      <c r="B180" s="143"/>
      <c r="D180" s="138" t="s">
        <v>301</v>
      </c>
      <c r="E180" s="144" t="s">
        <v>1</v>
      </c>
      <c r="F180" s="145" t="s">
        <v>370</v>
      </c>
      <c r="H180" s="144" t="s">
        <v>1</v>
      </c>
      <c r="I180" s="146"/>
      <c r="L180" s="143"/>
      <c r="N180" s="215"/>
      <c r="O180" s="216"/>
      <c r="Q180" s="230"/>
      <c r="R180" s="11">
        <v>0.9</v>
      </c>
      <c r="ES180" s="147"/>
      <c r="EZ180" s="148"/>
      <c r="FZ180" s="144" t="s">
        <v>301</v>
      </c>
      <c r="GA180" s="144" t="s">
        <v>83</v>
      </c>
      <c r="GB180" s="11" t="s">
        <v>81</v>
      </c>
      <c r="GC180" s="11" t="s">
        <v>32</v>
      </c>
      <c r="GD180" s="11" t="s">
        <v>74</v>
      </c>
      <c r="GE180" s="144" t="s">
        <v>282</v>
      </c>
    </row>
    <row r="181" spans="2:201" s="12" customFormat="1" x14ac:dyDescent="0.2">
      <c r="B181" s="149"/>
      <c r="D181" s="138" t="s">
        <v>301</v>
      </c>
      <c r="E181" s="150" t="s">
        <v>1</v>
      </c>
      <c r="F181" s="151" t="s">
        <v>2297</v>
      </c>
      <c r="H181" s="152">
        <v>38.780999999999999</v>
      </c>
      <c r="I181" s="153"/>
      <c r="L181" s="149"/>
      <c r="N181" s="217">
        <f>26.19*0.9*(2-0.45)</f>
        <v>36.535050000000005</v>
      </c>
      <c r="O181" s="359" t="s">
        <v>3583</v>
      </c>
      <c r="Q181" s="231"/>
      <c r="R181" s="12">
        <v>0.9</v>
      </c>
      <c r="ES181" s="154"/>
      <c r="EZ181" s="155"/>
      <c r="FZ181" s="150" t="s">
        <v>301</v>
      </c>
      <c r="GA181" s="150" t="s">
        <v>83</v>
      </c>
      <c r="GB181" s="12" t="s">
        <v>83</v>
      </c>
      <c r="GC181" s="12" t="s">
        <v>32</v>
      </c>
      <c r="GD181" s="12" t="s">
        <v>74</v>
      </c>
      <c r="GE181" s="150" t="s">
        <v>282</v>
      </c>
    </row>
    <row r="182" spans="2:201" s="12" customFormat="1" x14ac:dyDescent="0.2">
      <c r="B182" s="149"/>
      <c r="D182" s="138" t="s">
        <v>301</v>
      </c>
      <c r="E182" s="150" t="s">
        <v>1</v>
      </c>
      <c r="F182" s="151" t="s">
        <v>2298</v>
      </c>
      <c r="H182" s="152">
        <v>114.39</v>
      </c>
      <c r="I182" s="153"/>
      <c r="L182" s="149"/>
      <c r="N182" s="217">
        <f>83.2*0.9*(2-0.45)</f>
        <v>116.06400000000002</v>
      </c>
      <c r="O182" s="359" t="s">
        <v>3584</v>
      </c>
      <c r="Q182" s="231"/>
      <c r="R182" s="12">
        <v>0.9</v>
      </c>
      <c r="ES182" s="154"/>
      <c r="EZ182" s="155"/>
      <c r="FZ182" s="150" t="s">
        <v>301</v>
      </c>
      <c r="GA182" s="150" t="s">
        <v>83</v>
      </c>
      <c r="GB182" s="12" t="s">
        <v>83</v>
      </c>
      <c r="GC182" s="12" t="s">
        <v>32</v>
      </c>
      <c r="GD182" s="12" t="s">
        <v>74</v>
      </c>
      <c r="GE182" s="150" t="s">
        <v>282</v>
      </c>
    </row>
    <row r="183" spans="2:201" s="14" customFormat="1" x14ac:dyDescent="0.2">
      <c r="B183" s="163"/>
      <c r="D183" s="138" t="s">
        <v>301</v>
      </c>
      <c r="E183" s="164" t="s">
        <v>1</v>
      </c>
      <c r="F183" s="165" t="s">
        <v>373</v>
      </c>
      <c r="H183" s="166">
        <v>153.17099999999999</v>
      </c>
      <c r="I183" s="167"/>
      <c r="L183" s="163"/>
      <c r="N183" s="221">
        <f>N181+N182</f>
        <v>152.59905000000003</v>
      </c>
      <c r="O183" s="222"/>
      <c r="Q183" s="233"/>
      <c r="R183" s="14">
        <v>0.9</v>
      </c>
      <c r="ES183" s="168"/>
      <c r="EZ183" s="169"/>
      <c r="FZ183" s="164" t="s">
        <v>301</v>
      </c>
      <c r="GA183" s="164" t="s">
        <v>83</v>
      </c>
      <c r="GB183" s="14" t="s">
        <v>90</v>
      </c>
      <c r="GC183" s="14" t="s">
        <v>32</v>
      </c>
      <c r="GD183" s="14" t="s">
        <v>74</v>
      </c>
      <c r="GE183" s="164" t="s">
        <v>282</v>
      </c>
    </row>
    <row r="184" spans="2:201" s="12" customFormat="1" x14ac:dyDescent="0.2">
      <c r="B184" s="149"/>
      <c r="D184" s="138" t="s">
        <v>301</v>
      </c>
      <c r="E184" s="150" t="s">
        <v>1</v>
      </c>
      <c r="F184" s="151" t="s">
        <v>2299</v>
      </c>
      <c r="H184" s="152">
        <v>76.585999999999999</v>
      </c>
      <c r="I184" s="153"/>
      <c r="L184" s="149"/>
      <c r="N184" s="217">
        <f>N183*0.5</f>
        <v>76.299525000000017</v>
      </c>
      <c r="O184" s="218"/>
      <c r="Q184" s="231"/>
      <c r="R184" s="12">
        <v>0.9</v>
      </c>
      <c r="ES184" s="154"/>
      <c r="EZ184" s="155"/>
      <c r="FZ184" s="150" t="s">
        <v>301</v>
      </c>
      <c r="GA184" s="150" t="s">
        <v>83</v>
      </c>
      <c r="GB184" s="12" t="s">
        <v>83</v>
      </c>
      <c r="GC184" s="12" t="s">
        <v>32</v>
      </c>
      <c r="GD184" s="12" t="s">
        <v>81</v>
      </c>
      <c r="GE184" s="150" t="s">
        <v>282</v>
      </c>
    </row>
    <row r="185" spans="2:201" s="12" customFormat="1" x14ac:dyDescent="0.2">
      <c r="B185" s="149"/>
      <c r="D185" s="138"/>
      <c r="E185" s="150"/>
      <c r="F185" s="151"/>
      <c r="H185" s="152"/>
      <c r="I185" s="153"/>
      <c r="L185" s="149"/>
      <c r="N185" s="310">
        <f>N184-H184</f>
        <v>-0.28647499999998161</v>
      </c>
      <c r="O185" s="218"/>
      <c r="Q185" s="231"/>
      <c r="ES185" s="154"/>
      <c r="EZ185" s="155"/>
      <c r="FZ185" s="150"/>
      <c r="GA185" s="150"/>
      <c r="GE185" s="150"/>
    </row>
    <row r="186" spans="2:201" s="1" customFormat="1" ht="24.2" customHeight="1" x14ac:dyDescent="0.2">
      <c r="B186" s="124"/>
      <c r="C186" s="125" t="s">
        <v>359</v>
      </c>
      <c r="D186" s="125" t="s">
        <v>284</v>
      </c>
      <c r="E186" s="126" t="s">
        <v>375</v>
      </c>
      <c r="F186" s="127" t="s">
        <v>376</v>
      </c>
      <c r="G186" s="128" t="s">
        <v>366</v>
      </c>
      <c r="H186" s="129">
        <v>76.855999999999995</v>
      </c>
      <c r="I186" s="130">
        <v>390.55963566140201</v>
      </c>
      <c r="J186" s="131">
        <f>ROUND(I186*H186,2)</f>
        <v>30016.85</v>
      </c>
      <c r="K186" s="127" t="s">
        <v>293</v>
      </c>
      <c r="L186" s="268">
        <f>S186</f>
        <v>0</v>
      </c>
      <c r="M186" s="272">
        <f>ROUND(L186*I186,2)</f>
        <v>0</v>
      </c>
      <c r="N186" s="243">
        <f>N177</f>
        <v>-0.28647499999998161</v>
      </c>
      <c r="O186" s="294">
        <f>ROUND(N186*I186,2)</f>
        <v>-111.89</v>
      </c>
      <c r="P186" s="273">
        <f>H186-L186-N186</f>
        <v>77.142474999999976</v>
      </c>
      <c r="Q186" s="287">
        <f>ROUND(P186*I186,2)</f>
        <v>30128.74</v>
      </c>
      <c r="R186" s="1">
        <v>0.9</v>
      </c>
      <c r="S186" s="269">
        <f>W186+Y186+AA186+AC186+AE186+AG186+AI186+AK186+AM186</f>
        <v>0</v>
      </c>
      <c r="T186" s="269">
        <f>ROUND(S186*I186,2)</f>
        <v>0</v>
      </c>
      <c r="U186" s="269">
        <f>H186-S186</f>
        <v>76.855999999999995</v>
      </c>
      <c r="V186" s="269">
        <f>ROUND(U186*I186,2)</f>
        <v>30016.85</v>
      </c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ES186" s="132" t="s">
        <v>1</v>
      </c>
      <c r="ET186" s="133" t="s">
        <v>40</v>
      </c>
      <c r="EV186" s="134">
        <f>EU186*H186</f>
        <v>0</v>
      </c>
      <c r="EW186" s="134">
        <v>0</v>
      </c>
      <c r="EX186" s="134">
        <f>EW186*H186</f>
        <v>0</v>
      </c>
      <c r="EY186" s="134">
        <v>0</v>
      </c>
      <c r="EZ186" s="135">
        <f>EY186*H186</f>
        <v>0</v>
      </c>
      <c r="FX186" s="136" t="s">
        <v>95</v>
      </c>
      <c r="FZ186" s="136" t="s">
        <v>284</v>
      </c>
      <c r="GA186" s="136" t="s">
        <v>83</v>
      </c>
      <c r="GE186" s="16" t="s">
        <v>282</v>
      </c>
      <c r="GK186" s="137">
        <f>IF(ET186="základní",J186,0)</f>
        <v>30016.85</v>
      </c>
      <c r="GL186" s="137">
        <f>IF(ET186="snížená",J186,0)</f>
        <v>0</v>
      </c>
      <c r="GM186" s="137">
        <f>IF(ET186="zákl. přenesená",J186,0)</f>
        <v>0</v>
      </c>
      <c r="GN186" s="137">
        <f>IF(ET186="sníž. přenesená",J186,0)</f>
        <v>0</v>
      </c>
      <c r="GO186" s="137">
        <f>IF(ET186="nulová",J186,0)</f>
        <v>0</v>
      </c>
      <c r="GP186" s="16" t="s">
        <v>81</v>
      </c>
      <c r="GQ186" s="137">
        <f>ROUND(I186*H186,2)</f>
        <v>30016.85</v>
      </c>
      <c r="GR186" s="16" t="s">
        <v>95</v>
      </c>
      <c r="GS186" s="136" t="s">
        <v>377</v>
      </c>
    </row>
    <row r="187" spans="2:201" s="1" customFormat="1" ht="39" x14ac:dyDescent="0.2">
      <c r="B187" s="31"/>
      <c r="D187" s="138" t="s">
        <v>289</v>
      </c>
      <c r="F187" s="139" t="s">
        <v>378</v>
      </c>
      <c r="I187" s="140"/>
      <c r="L187" s="31"/>
      <c r="N187" s="213"/>
      <c r="O187" s="214"/>
      <c r="Q187" s="229"/>
      <c r="R187" s="1">
        <v>0.9</v>
      </c>
      <c r="ES187" s="141"/>
      <c r="EZ187" s="50"/>
      <c r="FZ187" s="16" t="s">
        <v>289</v>
      </c>
      <c r="GA187" s="16" t="s">
        <v>83</v>
      </c>
    </row>
    <row r="188" spans="2:201" s="1" customFormat="1" ht="39" x14ac:dyDescent="0.2">
      <c r="B188" s="31"/>
      <c r="D188" s="138" t="s">
        <v>299</v>
      </c>
      <c r="F188" s="142" t="s">
        <v>2296</v>
      </c>
      <c r="I188" s="140"/>
      <c r="L188" s="31"/>
      <c r="N188" s="213"/>
      <c r="O188" s="214"/>
      <c r="Q188" s="229"/>
      <c r="R188" s="1">
        <v>0.9</v>
      </c>
      <c r="ES188" s="141"/>
      <c r="EZ188" s="50"/>
      <c r="FZ188" s="16" t="s">
        <v>299</v>
      </c>
      <c r="GA188" s="16" t="s">
        <v>83</v>
      </c>
    </row>
    <row r="189" spans="2:201" s="1" customFormat="1" ht="24.2" customHeight="1" x14ac:dyDescent="0.2">
      <c r="B189" s="124"/>
      <c r="C189" s="125" t="s">
        <v>363</v>
      </c>
      <c r="D189" s="125" t="s">
        <v>284</v>
      </c>
      <c r="E189" s="126" t="s">
        <v>380</v>
      </c>
      <c r="F189" s="127" t="s">
        <v>381</v>
      </c>
      <c r="G189" s="128" t="s">
        <v>366</v>
      </c>
      <c r="H189" s="129">
        <v>30.634</v>
      </c>
      <c r="I189" s="130">
        <v>650.27058629099099</v>
      </c>
      <c r="J189" s="131">
        <f>ROUND(I189*H189,2)</f>
        <v>19920.39</v>
      </c>
      <c r="K189" s="127" t="s">
        <v>293</v>
      </c>
      <c r="L189" s="268">
        <f>S189</f>
        <v>0</v>
      </c>
      <c r="M189" s="272">
        <f>ROUND(L189*I189,2)</f>
        <v>0</v>
      </c>
      <c r="N189" s="243">
        <f>N193</f>
        <v>-0.11400000000000077</v>
      </c>
      <c r="O189" s="294">
        <f>ROUND(N189*I189,2)</f>
        <v>-74.13</v>
      </c>
      <c r="P189" s="273">
        <f>H189-L189-N189</f>
        <v>30.748000000000001</v>
      </c>
      <c r="Q189" s="287">
        <f>ROUND(P189*I189,2)</f>
        <v>19994.52</v>
      </c>
      <c r="R189" s="1">
        <v>0.9</v>
      </c>
      <c r="S189" s="269">
        <f>W189+Y189+AA189+AC189+AE189+AG189+AI189+AK189+AM189</f>
        <v>0</v>
      </c>
      <c r="T189" s="269">
        <f>ROUND(S189*I189,2)</f>
        <v>0</v>
      </c>
      <c r="U189" s="269">
        <f>H189-S189</f>
        <v>30.634</v>
      </c>
      <c r="V189" s="269">
        <f>ROUND(U189*I189,2)</f>
        <v>19920.39</v>
      </c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ES189" s="132" t="s">
        <v>1</v>
      </c>
      <c r="ET189" s="133" t="s">
        <v>40</v>
      </c>
      <c r="EV189" s="134">
        <f>EU189*H189</f>
        <v>0</v>
      </c>
      <c r="EW189" s="134">
        <v>0</v>
      </c>
      <c r="EX189" s="134">
        <f>EW189*H189</f>
        <v>0</v>
      </c>
      <c r="EY189" s="134">
        <v>0</v>
      </c>
      <c r="EZ189" s="135">
        <f>EY189*H189</f>
        <v>0</v>
      </c>
      <c r="FX189" s="136" t="s">
        <v>95</v>
      </c>
      <c r="FZ189" s="136" t="s">
        <v>284</v>
      </c>
      <c r="GA189" s="136" t="s">
        <v>83</v>
      </c>
      <c r="GE189" s="16" t="s">
        <v>282</v>
      </c>
      <c r="GK189" s="137">
        <f>IF(ET189="základní",J189,0)</f>
        <v>19920.39</v>
      </c>
      <c r="GL189" s="137">
        <f>IF(ET189="snížená",J189,0)</f>
        <v>0</v>
      </c>
      <c r="GM189" s="137">
        <f>IF(ET189="zákl. přenesená",J189,0)</f>
        <v>0</v>
      </c>
      <c r="GN189" s="137">
        <f>IF(ET189="sníž. přenesená",J189,0)</f>
        <v>0</v>
      </c>
      <c r="GO189" s="137">
        <f>IF(ET189="nulová",J189,0)</f>
        <v>0</v>
      </c>
      <c r="GP189" s="16" t="s">
        <v>81</v>
      </c>
      <c r="GQ189" s="137">
        <f>ROUND(I189*H189,2)</f>
        <v>19920.39</v>
      </c>
      <c r="GR189" s="16" t="s">
        <v>95</v>
      </c>
      <c r="GS189" s="136" t="s">
        <v>382</v>
      </c>
    </row>
    <row r="190" spans="2:201" s="1" customFormat="1" ht="29.25" x14ac:dyDescent="0.2">
      <c r="B190" s="31"/>
      <c r="D190" s="138" t="s">
        <v>289</v>
      </c>
      <c r="F190" s="139" t="s">
        <v>383</v>
      </c>
      <c r="I190" s="140"/>
      <c r="L190" s="31"/>
      <c r="N190" s="213"/>
      <c r="O190" s="214"/>
      <c r="Q190" s="229"/>
      <c r="R190" s="1">
        <v>0.9</v>
      </c>
      <c r="ES190" s="141"/>
      <c r="EZ190" s="50"/>
      <c r="FZ190" s="16" t="s">
        <v>289</v>
      </c>
      <c r="GA190" s="16" t="s">
        <v>83</v>
      </c>
    </row>
    <row r="191" spans="2:201" s="11" customFormat="1" x14ac:dyDescent="0.2">
      <c r="B191" s="143"/>
      <c r="D191" s="138" t="s">
        <v>301</v>
      </c>
      <c r="E191" s="144" t="s">
        <v>1</v>
      </c>
      <c r="F191" s="145" t="s">
        <v>384</v>
      </c>
      <c r="H191" s="144" t="s">
        <v>1</v>
      </c>
      <c r="I191" s="146"/>
      <c r="L191" s="143"/>
      <c r="N191" s="215"/>
      <c r="O191" s="216"/>
      <c r="Q191" s="230"/>
      <c r="R191" s="11">
        <v>0.9</v>
      </c>
      <c r="ES191" s="147"/>
      <c r="EZ191" s="148"/>
      <c r="FZ191" s="144" t="s">
        <v>301</v>
      </c>
      <c r="GA191" s="144" t="s">
        <v>83</v>
      </c>
      <c r="GB191" s="11" t="s">
        <v>81</v>
      </c>
      <c r="GC191" s="11" t="s">
        <v>32</v>
      </c>
      <c r="GD191" s="11" t="s">
        <v>74</v>
      </c>
      <c r="GE191" s="144" t="s">
        <v>282</v>
      </c>
    </row>
    <row r="192" spans="2:201" s="12" customFormat="1" x14ac:dyDescent="0.2">
      <c r="B192" s="149"/>
      <c r="D192" s="138" t="s">
        <v>301</v>
      </c>
      <c r="E192" s="150" t="s">
        <v>1</v>
      </c>
      <c r="F192" s="151" t="s">
        <v>2300</v>
      </c>
      <c r="H192" s="152">
        <v>30.634</v>
      </c>
      <c r="I192" s="153"/>
      <c r="L192" s="149"/>
      <c r="N192" s="217">
        <f>(76.3+76.3)*0.2</f>
        <v>30.52</v>
      </c>
      <c r="O192" s="218" t="s">
        <v>3530</v>
      </c>
      <c r="Q192" s="231"/>
      <c r="R192" s="12">
        <v>0.9</v>
      </c>
      <c r="ES192" s="154"/>
      <c r="EZ192" s="155"/>
      <c r="FZ192" s="150" t="s">
        <v>301</v>
      </c>
      <c r="GA192" s="150" t="s">
        <v>83</v>
      </c>
      <c r="GB192" s="12" t="s">
        <v>83</v>
      </c>
      <c r="GC192" s="12" t="s">
        <v>32</v>
      </c>
      <c r="GD192" s="12" t="s">
        <v>81</v>
      </c>
      <c r="GE192" s="150" t="s">
        <v>282</v>
      </c>
    </row>
    <row r="193" spans="2:201" s="12" customFormat="1" x14ac:dyDescent="0.2">
      <c r="B193" s="149"/>
      <c r="D193" s="138"/>
      <c r="E193" s="150"/>
      <c r="F193" s="151"/>
      <c r="H193" s="152"/>
      <c r="I193" s="153"/>
      <c r="L193" s="149"/>
      <c r="N193" s="310">
        <f>N192-H192</f>
        <v>-0.11400000000000077</v>
      </c>
      <c r="O193" s="218"/>
      <c r="Q193" s="231"/>
      <c r="ES193" s="154"/>
      <c r="EZ193" s="155"/>
      <c r="FZ193" s="150"/>
      <c r="GA193" s="150"/>
      <c r="GE193" s="150"/>
    </row>
    <row r="194" spans="2:201" s="1" customFormat="1" ht="17.25" customHeight="1" x14ac:dyDescent="0.2">
      <c r="B194" s="124"/>
      <c r="C194" s="125" t="s">
        <v>8</v>
      </c>
      <c r="D194" s="125" t="s">
        <v>284</v>
      </c>
      <c r="E194" s="126" t="s">
        <v>387</v>
      </c>
      <c r="F194" s="127" t="s">
        <v>388</v>
      </c>
      <c r="G194" s="128" t="s">
        <v>287</v>
      </c>
      <c r="H194" s="129">
        <v>439.2</v>
      </c>
      <c r="I194" s="130">
        <v>156.6895922457376</v>
      </c>
      <c r="J194" s="131">
        <f>ROUND(I194*H194,2)</f>
        <v>68818.070000000007</v>
      </c>
      <c r="K194" s="127" t="s">
        <v>293</v>
      </c>
      <c r="L194" s="268">
        <f>S194</f>
        <v>0</v>
      </c>
      <c r="M194" s="272">
        <f>ROUND(L194*I194,2)</f>
        <v>0</v>
      </c>
      <c r="N194" s="243">
        <f>N198</f>
        <v>-1.6399999999999864</v>
      </c>
      <c r="O194" s="294">
        <f>ROUND(N194*I194,2)</f>
        <v>-256.97000000000003</v>
      </c>
      <c r="P194" s="273">
        <f>H194-L194-N194</f>
        <v>440.84</v>
      </c>
      <c r="Q194" s="287">
        <f>ROUND(P194*I194,2)</f>
        <v>69075.039999999994</v>
      </c>
      <c r="R194" s="1">
        <v>0.9</v>
      </c>
      <c r="S194" s="269">
        <f>W194+Y194+AA194+AC194+AE194+AG194+AI194+AK194+AM194</f>
        <v>0</v>
      </c>
      <c r="T194" s="269">
        <f>ROUND(S194*I194,2)</f>
        <v>0</v>
      </c>
      <c r="U194" s="269">
        <f>H194-S194</f>
        <v>439.2</v>
      </c>
      <c r="V194" s="269">
        <f>ROUND(U194*I194,2)</f>
        <v>68818.070000000007</v>
      </c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ES194" s="132" t="s">
        <v>1</v>
      </c>
      <c r="ET194" s="133" t="s">
        <v>40</v>
      </c>
      <c r="EV194" s="134">
        <f>EU194*H194</f>
        <v>0</v>
      </c>
      <c r="EW194" s="134">
        <v>5.9000000000000003E-4</v>
      </c>
      <c r="EX194" s="134">
        <f>EW194*H194</f>
        <v>0.25912800000000002</v>
      </c>
      <c r="EY194" s="134">
        <v>0</v>
      </c>
      <c r="EZ194" s="135">
        <f>EY194*H194</f>
        <v>0</v>
      </c>
      <c r="FX194" s="136" t="s">
        <v>95</v>
      </c>
      <c r="FZ194" s="136" t="s">
        <v>284</v>
      </c>
      <c r="GA194" s="136" t="s">
        <v>83</v>
      </c>
      <c r="GE194" s="16" t="s">
        <v>282</v>
      </c>
      <c r="GK194" s="137">
        <f>IF(ET194="základní",J194,0)</f>
        <v>68818.070000000007</v>
      </c>
      <c r="GL194" s="137">
        <f>IF(ET194="snížená",J194,0)</f>
        <v>0</v>
      </c>
      <c r="GM194" s="137">
        <f>IF(ET194="zákl. přenesená",J194,0)</f>
        <v>0</v>
      </c>
      <c r="GN194" s="137">
        <f>IF(ET194="sníž. přenesená",J194,0)</f>
        <v>0</v>
      </c>
      <c r="GO194" s="137">
        <f>IF(ET194="nulová",J194,0)</f>
        <v>0</v>
      </c>
      <c r="GP194" s="16" t="s">
        <v>81</v>
      </c>
      <c r="GQ194" s="137">
        <f>ROUND(I194*H194,2)</f>
        <v>68818.070000000007</v>
      </c>
      <c r="GR194" s="16" t="s">
        <v>95</v>
      </c>
      <c r="GS194" s="136" t="s">
        <v>389</v>
      </c>
    </row>
    <row r="195" spans="2:201" s="1" customFormat="1" ht="19.5" x14ac:dyDescent="0.2">
      <c r="B195" s="31"/>
      <c r="D195" s="138" t="s">
        <v>289</v>
      </c>
      <c r="F195" s="139" t="s">
        <v>390</v>
      </c>
      <c r="I195" s="140"/>
      <c r="L195" s="31"/>
      <c r="N195" s="213"/>
      <c r="O195" s="214"/>
      <c r="Q195" s="229"/>
      <c r="R195" s="1">
        <v>0.9</v>
      </c>
      <c r="ES195" s="141"/>
      <c r="EZ195" s="50"/>
      <c r="FZ195" s="16" t="s">
        <v>289</v>
      </c>
      <c r="GA195" s="16" t="s">
        <v>83</v>
      </c>
    </row>
    <row r="196" spans="2:201" s="1" customFormat="1" ht="29.25" x14ac:dyDescent="0.2">
      <c r="B196" s="31"/>
      <c r="D196" s="138" t="s">
        <v>299</v>
      </c>
      <c r="F196" s="142" t="s">
        <v>2282</v>
      </c>
      <c r="I196" s="140"/>
      <c r="L196" s="31"/>
      <c r="N196" s="213"/>
      <c r="O196" s="214"/>
      <c r="Q196" s="229"/>
      <c r="R196" s="1">
        <v>0.9</v>
      </c>
      <c r="ES196" s="141"/>
      <c r="EZ196" s="50"/>
      <c r="FZ196" s="16" t="s">
        <v>299</v>
      </c>
      <c r="GA196" s="16" t="s">
        <v>83</v>
      </c>
    </row>
    <row r="197" spans="2:201" s="12" customFormat="1" x14ac:dyDescent="0.2">
      <c r="B197" s="149"/>
      <c r="D197" s="138" t="s">
        <v>301</v>
      </c>
      <c r="E197" s="150" t="s">
        <v>1</v>
      </c>
      <c r="F197" s="151" t="s">
        <v>2301</v>
      </c>
      <c r="H197" s="152">
        <v>439.2</v>
      </c>
      <c r="I197" s="153"/>
      <c r="L197" s="149"/>
      <c r="N197" s="217">
        <f>109.39*2*2</f>
        <v>437.56</v>
      </c>
      <c r="O197" s="359" t="s">
        <v>3531</v>
      </c>
      <c r="Q197" s="231"/>
      <c r="R197" s="12">
        <v>0.9</v>
      </c>
      <c r="ES197" s="154"/>
      <c r="EZ197" s="155"/>
      <c r="FZ197" s="150" t="s">
        <v>301</v>
      </c>
      <c r="GA197" s="150" t="s">
        <v>83</v>
      </c>
      <c r="GB197" s="12" t="s">
        <v>83</v>
      </c>
      <c r="GC197" s="12" t="s">
        <v>32</v>
      </c>
      <c r="GD197" s="12" t="s">
        <v>81</v>
      </c>
      <c r="GE197" s="150" t="s">
        <v>282</v>
      </c>
    </row>
    <row r="198" spans="2:201" s="12" customFormat="1" x14ac:dyDescent="0.2">
      <c r="B198" s="149"/>
      <c r="D198" s="138"/>
      <c r="E198" s="150"/>
      <c r="F198" s="151"/>
      <c r="H198" s="152"/>
      <c r="I198" s="153"/>
      <c r="L198" s="149"/>
      <c r="N198" s="310">
        <f>N197-H197</f>
        <v>-1.6399999999999864</v>
      </c>
      <c r="O198" s="359"/>
      <c r="Q198" s="231"/>
      <c r="ES198" s="154"/>
      <c r="EZ198" s="155"/>
      <c r="FZ198" s="150"/>
      <c r="GA198" s="150"/>
      <c r="GE198" s="150"/>
    </row>
    <row r="199" spans="2:201" s="1" customFormat="1" ht="14.45" customHeight="1" x14ac:dyDescent="0.2">
      <c r="B199" s="124"/>
      <c r="C199" s="125" t="s">
        <v>379</v>
      </c>
      <c r="D199" s="125" t="s">
        <v>284</v>
      </c>
      <c r="E199" s="126" t="s">
        <v>393</v>
      </c>
      <c r="F199" s="127" t="s">
        <v>394</v>
      </c>
      <c r="G199" s="128" t="s">
        <v>287</v>
      </c>
      <c r="H199" s="129">
        <v>439.2</v>
      </c>
      <c r="I199" s="130">
        <v>103.33666316345877</v>
      </c>
      <c r="J199" s="131">
        <f>ROUND(I199*H199,2)</f>
        <v>45385.46</v>
      </c>
      <c r="K199" s="127" t="s">
        <v>293</v>
      </c>
      <c r="L199" s="268">
        <f>S199</f>
        <v>0</v>
      </c>
      <c r="M199" s="272">
        <f>ROUND(L199*I199,2)</f>
        <v>0</v>
      </c>
      <c r="N199" s="243">
        <f>N194</f>
        <v>-1.6399999999999864</v>
      </c>
      <c r="O199" s="294">
        <f>ROUND(N199*I199,2)</f>
        <v>-169.47</v>
      </c>
      <c r="P199" s="273">
        <f>H199-L199-N199</f>
        <v>440.84</v>
      </c>
      <c r="Q199" s="287">
        <f>ROUND(P199*I199,2)</f>
        <v>45554.93</v>
      </c>
      <c r="R199" s="1">
        <v>0.9</v>
      </c>
      <c r="S199" s="269">
        <f>W199+Y199+AA199+AC199+AE199+AG199+AI199+AK199+AM199</f>
        <v>0</v>
      </c>
      <c r="T199" s="269">
        <f>ROUND(S199*I199,2)</f>
        <v>0</v>
      </c>
      <c r="U199" s="269">
        <f>H199-S199</f>
        <v>439.2</v>
      </c>
      <c r="V199" s="269">
        <f>ROUND(U199*I199,2)</f>
        <v>45385.46</v>
      </c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ES199" s="132" t="s">
        <v>1</v>
      </c>
      <c r="ET199" s="133" t="s">
        <v>40</v>
      </c>
      <c r="EV199" s="134">
        <f>EU199*H199</f>
        <v>0</v>
      </c>
      <c r="EW199" s="134">
        <v>0</v>
      </c>
      <c r="EX199" s="134">
        <f>EW199*H199</f>
        <v>0</v>
      </c>
      <c r="EY199" s="134">
        <v>0</v>
      </c>
      <c r="EZ199" s="135">
        <f>EY199*H199</f>
        <v>0</v>
      </c>
      <c r="FX199" s="136" t="s">
        <v>95</v>
      </c>
      <c r="FZ199" s="136" t="s">
        <v>284</v>
      </c>
      <c r="GA199" s="136" t="s">
        <v>83</v>
      </c>
      <c r="GE199" s="16" t="s">
        <v>282</v>
      </c>
      <c r="GK199" s="137">
        <f>IF(ET199="základní",J199,0)</f>
        <v>45385.46</v>
      </c>
      <c r="GL199" s="137">
        <f>IF(ET199="snížená",J199,0)</f>
        <v>0</v>
      </c>
      <c r="GM199" s="137">
        <f>IF(ET199="zákl. přenesená",J199,0)</f>
        <v>0</v>
      </c>
      <c r="GN199" s="137">
        <f>IF(ET199="sníž. přenesená",J199,0)</f>
        <v>0</v>
      </c>
      <c r="GO199" s="137">
        <f>IF(ET199="nulová",J199,0)</f>
        <v>0</v>
      </c>
      <c r="GP199" s="16" t="s">
        <v>81</v>
      </c>
      <c r="GQ199" s="137">
        <f>ROUND(I199*H199,2)</f>
        <v>45385.46</v>
      </c>
      <c r="GR199" s="16" t="s">
        <v>95</v>
      </c>
      <c r="GS199" s="136" t="s">
        <v>395</v>
      </c>
    </row>
    <row r="200" spans="2:201" s="1" customFormat="1" ht="19.5" x14ac:dyDescent="0.2">
      <c r="B200" s="31"/>
      <c r="D200" s="138" t="s">
        <v>289</v>
      </c>
      <c r="F200" s="139" t="s">
        <v>396</v>
      </c>
      <c r="I200" s="140"/>
      <c r="L200" s="31"/>
      <c r="N200" s="213"/>
      <c r="O200" s="214"/>
      <c r="Q200" s="229"/>
      <c r="R200" s="1">
        <v>0.9</v>
      </c>
      <c r="ES200" s="141"/>
      <c r="EZ200" s="50"/>
      <c r="FZ200" s="16" t="s">
        <v>289</v>
      </c>
      <c r="GA200" s="16" t="s">
        <v>83</v>
      </c>
    </row>
    <row r="201" spans="2:201" s="1" customFormat="1" ht="37.9" customHeight="1" x14ac:dyDescent="0.2">
      <c r="B201" s="124"/>
      <c r="C201" s="125" t="s">
        <v>386</v>
      </c>
      <c r="D201" s="125" t="s">
        <v>284</v>
      </c>
      <c r="E201" s="126" t="s">
        <v>398</v>
      </c>
      <c r="F201" s="127" t="s">
        <v>399</v>
      </c>
      <c r="G201" s="128" t="s">
        <v>366</v>
      </c>
      <c r="H201" s="129">
        <v>153.172</v>
      </c>
      <c r="I201" s="130">
        <v>282.06861194786097</v>
      </c>
      <c r="J201" s="131">
        <f>ROUND(I201*H201,2)</f>
        <v>43205.01</v>
      </c>
      <c r="K201" s="127" t="s">
        <v>293</v>
      </c>
      <c r="L201" s="268">
        <f>S201</f>
        <v>0</v>
      </c>
      <c r="M201" s="272">
        <f>ROUND(L201*I201,2)</f>
        <v>0</v>
      </c>
      <c r="N201" s="243">
        <f>N205</f>
        <v>-0.57200000000000273</v>
      </c>
      <c r="O201" s="294">
        <f>ROUND(N201*I201,2)</f>
        <v>-161.34</v>
      </c>
      <c r="P201" s="273">
        <f>H201-L201-N201</f>
        <v>153.744</v>
      </c>
      <c r="Q201" s="287">
        <f>ROUND(P201*I201,2)</f>
        <v>43366.36</v>
      </c>
      <c r="R201" s="1">
        <v>0.9</v>
      </c>
      <c r="S201" s="269">
        <f>W201+Y201+AA201+AC201+AE201+AG201+AI201+AK201+AM201</f>
        <v>0</v>
      </c>
      <c r="T201" s="269">
        <f>ROUND(S201*I201,2)</f>
        <v>0</v>
      </c>
      <c r="U201" s="269">
        <f>H201-S201</f>
        <v>153.172</v>
      </c>
      <c r="V201" s="269">
        <f>ROUND(U201*I201,2)</f>
        <v>43205.01</v>
      </c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ES201" s="132" t="s">
        <v>1</v>
      </c>
      <c r="ET201" s="133" t="s">
        <v>40</v>
      </c>
      <c r="EV201" s="134">
        <f>EU201*H201</f>
        <v>0</v>
      </c>
      <c r="EW201" s="134">
        <v>0</v>
      </c>
      <c r="EX201" s="134">
        <f>EW201*H201</f>
        <v>0</v>
      </c>
      <c r="EY201" s="134">
        <v>0</v>
      </c>
      <c r="EZ201" s="135">
        <f>EY201*H201</f>
        <v>0</v>
      </c>
      <c r="FX201" s="136" t="s">
        <v>95</v>
      </c>
      <c r="FZ201" s="136" t="s">
        <v>284</v>
      </c>
      <c r="GA201" s="136" t="s">
        <v>83</v>
      </c>
      <c r="GE201" s="16" t="s">
        <v>282</v>
      </c>
      <c r="GK201" s="137">
        <f>IF(ET201="základní",J201,0)</f>
        <v>43205.01</v>
      </c>
      <c r="GL201" s="137">
        <f>IF(ET201="snížená",J201,0)</f>
        <v>0</v>
      </c>
      <c r="GM201" s="137">
        <f>IF(ET201="zákl. přenesená",J201,0)</f>
        <v>0</v>
      </c>
      <c r="GN201" s="137">
        <f>IF(ET201="sníž. přenesená",J201,0)</f>
        <v>0</v>
      </c>
      <c r="GO201" s="137">
        <f>IF(ET201="nulová",J201,0)</f>
        <v>0</v>
      </c>
      <c r="GP201" s="16" t="s">
        <v>81</v>
      </c>
      <c r="GQ201" s="137">
        <f>ROUND(I201*H201,2)</f>
        <v>43205.01</v>
      </c>
      <c r="GR201" s="16" t="s">
        <v>95</v>
      </c>
      <c r="GS201" s="136" t="s">
        <v>400</v>
      </c>
    </row>
    <row r="202" spans="2:201" s="1" customFormat="1" ht="39" x14ac:dyDescent="0.2">
      <c r="B202" s="31"/>
      <c r="D202" s="138" t="s">
        <v>289</v>
      </c>
      <c r="F202" s="139" t="s">
        <v>401</v>
      </c>
      <c r="I202" s="140"/>
      <c r="L202" s="31"/>
      <c r="N202" s="213"/>
      <c r="O202" s="214"/>
      <c r="Q202" s="229"/>
      <c r="R202" s="1">
        <v>0.9</v>
      </c>
      <c r="ES202" s="141"/>
      <c r="EZ202" s="50"/>
      <c r="FZ202" s="16" t="s">
        <v>289</v>
      </c>
      <c r="GA202" s="16" t="s">
        <v>83</v>
      </c>
    </row>
    <row r="203" spans="2:201" s="11" customFormat="1" x14ac:dyDescent="0.2">
      <c r="B203" s="143"/>
      <c r="D203" s="138" t="s">
        <v>301</v>
      </c>
      <c r="E203" s="144" t="s">
        <v>1</v>
      </c>
      <c r="F203" s="145" t="s">
        <v>1458</v>
      </c>
      <c r="H203" s="144" t="s">
        <v>1</v>
      </c>
      <c r="I203" s="146"/>
      <c r="L203" s="143"/>
      <c r="N203" s="215"/>
      <c r="O203" s="216"/>
      <c r="Q203" s="230"/>
      <c r="R203" s="11">
        <v>0.9</v>
      </c>
      <c r="ES203" s="147"/>
      <c r="EZ203" s="148"/>
      <c r="FZ203" s="144" t="s">
        <v>301</v>
      </c>
      <c r="GA203" s="144" t="s">
        <v>83</v>
      </c>
      <c r="GB203" s="11" t="s">
        <v>81</v>
      </c>
      <c r="GC203" s="11" t="s">
        <v>32</v>
      </c>
      <c r="GD203" s="11" t="s">
        <v>74</v>
      </c>
      <c r="GE203" s="144" t="s">
        <v>282</v>
      </c>
    </row>
    <row r="204" spans="2:201" s="12" customFormat="1" x14ac:dyDescent="0.2">
      <c r="B204" s="149"/>
      <c r="D204" s="138" t="s">
        <v>301</v>
      </c>
      <c r="E204" s="150" t="s">
        <v>1</v>
      </c>
      <c r="F204" s="151" t="s">
        <v>2302</v>
      </c>
      <c r="H204" s="152">
        <v>153.172</v>
      </c>
      <c r="I204" s="153"/>
      <c r="L204" s="149"/>
      <c r="N204" s="217">
        <f>76.3+76.3</f>
        <v>152.6</v>
      </c>
      <c r="O204" s="218" t="s">
        <v>3532</v>
      </c>
      <c r="Q204" s="231"/>
      <c r="R204" s="12">
        <v>0.9</v>
      </c>
      <c r="ES204" s="154"/>
      <c r="EZ204" s="155"/>
      <c r="FZ204" s="150" t="s">
        <v>301</v>
      </c>
      <c r="GA204" s="150" t="s">
        <v>83</v>
      </c>
      <c r="GB204" s="12" t="s">
        <v>83</v>
      </c>
      <c r="GC204" s="12" t="s">
        <v>32</v>
      </c>
      <c r="GD204" s="12" t="s">
        <v>81</v>
      </c>
      <c r="GE204" s="150" t="s">
        <v>282</v>
      </c>
    </row>
    <row r="205" spans="2:201" s="12" customFormat="1" x14ac:dyDescent="0.2">
      <c r="B205" s="149"/>
      <c r="D205" s="138"/>
      <c r="E205" s="150"/>
      <c r="F205" s="151"/>
      <c r="H205" s="152"/>
      <c r="I205" s="153"/>
      <c r="L205" s="149"/>
      <c r="N205" s="310">
        <f>N204-H204</f>
        <v>-0.57200000000000273</v>
      </c>
      <c r="O205" s="218"/>
      <c r="Q205" s="231"/>
      <c r="ES205" s="154"/>
      <c r="EZ205" s="155"/>
      <c r="FZ205" s="150"/>
      <c r="GA205" s="150"/>
      <c r="GE205" s="150"/>
    </row>
    <row r="206" spans="2:201" s="1" customFormat="1" ht="37.9" customHeight="1" x14ac:dyDescent="0.2">
      <c r="B206" s="124"/>
      <c r="C206" s="125" t="s">
        <v>392</v>
      </c>
      <c r="D206" s="125" t="s">
        <v>284</v>
      </c>
      <c r="E206" s="126" t="s">
        <v>405</v>
      </c>
      <c r="F206" s="127" t="s">
        <v>406</v>
      </c>
      <c r="G206" s="128" t="s">
        <v>366</v>
      </c>
      <c r="H206" s="129">
        <v>765.86</v>
      </c>
      <c r="I206" s="130">
        <v>3.4208109177592001</v>
      </c>
      <c r="J206" s="131">
        <f>ROUND(I206*H206,2)</f>
        <v>2619.86</v>
      </c>
      <c r="K206" s="127" t="s">
        <v>293</v>
      </c>
      <c r="L206" s="268">
        <f>S206</f>
        <v>0</v>
      </c>
      <c r="M206" s="272">
        <f>ROUND(L206*I206,2)</f>
        <v>0</v>
      </c>
      <c r="N206" s="243">
        <f>N209</f>
        <v>-2.8600000000000136</v>
      </c>
      <c r="O206" s="294">
        <f>ROUND(N206*I206,2)</f>
        <v>-9.7799999999999994</v>
      </c>
      <c r="P206" s="273">
        <f>H206-L206-N206</f>
        <v>768.72</v>
      </c>
      <c r="Q206" s="287">
        <f>ROUND(P206*I206,2)</f>
        <v>2629.65</v>
      </c>
      <c r="R206" s="1">
        <v>0.9</v>
      </c>
      <c r="S206" s="269">
        <f>W206+Y206+AA206+AC206+AE206+AG206+AI206+AK206+AM206</f>
        <v>0</v>
      </c>
      <c r="T206" s="269">
        <f>ROUND(S206*I206,2)</f>
        <v>0</v>
      </c>
      <c r="U206" s="269">
        <f>H206-S206</f>
        <v>765.86</v>
      </c>
      <c r="V206" s="269">
        <f>ROUND(U206*I206,2)</f>
        <v>2619.86</v>
      </c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ES206" s="132" t="s">
        <v>1</v>
      </c>
      <c r="ET206" s="133" t="s">
        <v>40</v>
      </c>
      <c r="EV206" s="134">
        <f>EU206*H206</f>
        <v>0</v>
      </c>
      <c r="EW206" s="134">
        <v>0</v>
      </c>
      <c r="EX206" s="134">
        <f>EW206*H206</f>
        <v>0</v>
      </c>
      <c r="EY206" s="134">
        <v>0</v>
      </c>
      <c r="EZ206" s="135">
        <f>EY206*H206</f>
        <v>0</v>
      </c>
      <c r="FX206" s="136" t="s">
        <v>95</v>
      </c>
      <c r="FZ206" s="136" t="s">
        <v>284</v>
      </c>
      <c r="GA206" s="136" t="s">
        <v>83</v>
      </c>
      <c r="GE206" s="16" t="s">
        <v>282</v>
      </c>
      <c r="GK206" s="137">
        <f>IF(ET206="základní",J206,0)</f>
        <v>2619.86</v>
      </c>
      <c r="GL206" s="137">
        <f>IF(ET206="snížená",J206,0)</f>
        <v>0</v>
      </c>
      <c r="GM206" s="137">
        <f>IF(ET206="zákl. přenesená",J206,0)</f>
        <v>0</v>
      </c>
      <c r="GN206" s="137">
        <f>IF(ET206="sníž. přenesená",J206,0)</f>
        <v>0</v>
      </c>
      <c r="GO206" s="137">
        <f>IF(ET206="nulová",J206,0)</f>
        <v>0</v>
      </c>
      <c r="GP206" s="16" t="s">
        <v>81</v>
      </c>
      <c r="GQ206" s="137">
        <f>ROUND(I206*H206,2)</f>
        <v>2619.86</v>
      </c>
      <c r="GR206" s="16" t="s">
        <v>95</v>
      </c>
      <c r="GS206" s="136" t="s">
        <v>407</v>
      </c>
    </row>
    <row r="207" spans="2:201" s="1" customFormat="1" ht="48.75" x14ac:dyDescent="0.2">
      <c r="B207" s="31"/>
      <c r="D207" s="138" t="s">
        <v>289</v>
      </c>
      <c r="F207" s="139" t="s">
        <v>408</v>
      </c>
      <c r="I207" s="140"/>
      <c r="L207" s="31"/>
      <c r="N207" s="213"/>
      <c r="O207" s="214"/>
      <c r="Q207" s="229"/>
      <c r="R207" s="1">
        <v>0.9</v>
      </c>
      <c r="ES207" s="141"/>
      <c r="EZ207" s="50"/>
      <c r="FZ207" s="16" t="s">
        <v>289</v>
      </c>
      <c r="GA207" s="16" t="s">
        <v>83</v>
      </c>
    </row>
    <row r="208" spans="2:201" s="12" customFormat="1" x14ac:dyDescent="0.2">
      <c r="B208" s="149"/>
      <c r="D208" s="138" t="s">
        <v>301</v>
      </c>
      <c r="F208" s="151" t="s">
        <v>2303</v>
      </c>
      <c r="H208" s="152">
        <v>765.86</v>
      </c>
      <c r="I208" s="153"/>
      <c r="L208" s="149"/>
      <c r="N208" s="217">
        <f>152.6*5</f>
        <v>763</v>
      </c>
      <c r="O208" s="218" t="s">
        <v>3533</v>
      </c>
      <c r="Q208" s="231"/>
      <c r="R208" s="12">
        <v>0.9</v>
      </c>
      <c r="ES208" s="154"/>
      <c r="EZ208" s="155"/>
      <c r="FZ208" s="150" t="s">
        <v>301</v>
      </c>
      <c r="GA208" s="150" t="s">
        <v>83</v>
      </c>
      <c r="GB208" s="12" t="s">
        <v>83</v>
      </c>
      <c r="GC208" s="12" t="s">
        <v>3</v>
      </c>
      <c r="GD208" s="12" t="s">
        <v>81</v>
      </c>
      <c r="GE208" s="150" t="s">
        <v>282</v>
      </c>
    </row>
    <row r="209" spans="2:201" s="12" customFormat="1" x14ac:dyDescent="0.2">
      <c r="B209" s="149"/>
      <c r="D209" s="138"/>
      <c r="F209" s="151"/>
      <c r="H209" s="152"/>
      <c r="I209" s="153"/>
      <c r="L209" s="149"/>
      <c r="N209" s="310">
        <f>N208-H208</f>
        <v>-2.8600000000000136</v>
      </c>
      <c r="O209" s="218"/>
      <c r="Q209" s="231"/>
      <c r="ES209" s="154"/>
      <c r="EZ209" s="155"/>
      <c r="FZ209" s="150"/>
      <c r="GA209" s="150"/>
      <c r="GE209" s="150"/>
    </row>
    <row r="210" spans="2:201" s="1" customFormat="1" ht="24.2" customHeight="1" x14ac:dyDescent="0.2">
      <c r="B210" s="124"/>
      <c r="C210" s="125" t="s">
        <v>397</v>
      </c>
      <c r="D210" s="125" t="s">
        <v>284</v>
      </c>
      <c r="E210" s="126" t="s">
        <v>410</v>
      </c>
      <c r="F210" s="127" t="s">
        <v>411</v>
      </c>
      <c r="G210" s="128" t="s">
        <v>287</v>
      </c>
      <c r="H210" s="129">
        <v>98.82</v>
      </c>
      <c r="I210" s="130">
        <v>6.3644601414457247</v>
      </c>
      <c r="J210" s="131">
        <f>ROUND(I210*H210,2)</f>
        <v>628.94000000000005</v>
      </c>
      <c r="K210" s="127" t="s">
        <v>293</v>
      </c>
      <c r="L210" s="268">
        <f>S210</f>
        <v>0</v>
      </c>
      <c r="M210" s="272">
        <f>ROUND(L210*I210,2)</f>
        <v>0</v>
      </c>
      <c r="N210" s="243">
        <f>N214</f>
        <v>-0.36899999999998556</v>
      </c>
      <c r="O210" s="294">
        <f>ROUND(N210*I210,2)</f>
        <v>-2.35</v>
      </c>
      <c r="P210" s="273">
        <f>H210-L210-N210</f>
        <v>99.188999999999979</v>
      </c>
      <c r="Q210" s="287">
        <f>ROUND(P210*I210,2)</f>
        <v>631.28</v>
      </c>
      <c r="R210" s="1">
        <v>0.9</v>
      </c>
      <c r="S210" s="269">
        <f>W210+Y210+AA210+AC210+AE210+AG210+AI210+AK210+AM210</f>
        <v>0</v>
      </c>
      <c r="T210" s="269">
        <f>ROUND(S210*I210,2)</f>
        <v>0</v>
      </c>
      <c r="U210" s="269">
        <f>H210-S210</f>
        <v>98.82</v>
      </c>
      <c r="V210" s="269">
        <f>ROUND(U210*I210,2)</f>
        <v>628.94000000000005</v>
      </c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ES210" s="132" t="s">
        <v>1</v>
      </c>
      <c r="ET210" s="133" t="s">
        <v>40</v>
      </c>
      <c r="EV210" s="134">
        <f>EU210*H210</f>
        <v>0</v>
      </c>
      <c r="EW210" s="134">
        <v>0</v>
      </c>
      <c r="EX210" s="134">
        <f>EW210*H210</f>
        <v>0</v>
      </c>
      <c r="EY210" s="134">
        <v>0</v>
      </c>
      <c r="EZ210" s="135">
        <f>EY210*H210</f>
        <v>0</v>
      </c>
      <c r="FX210" s="136" t="s">
        <v>95</v>
      </c>
      <c r="FZ210" s="136" t="s">
        <v>284</v>
      </c>
      <c r="GA210" s="136" t="s">
        <v>83</v>
      </c>
      <c r="GE210" s="16" t="s">
        <v>282</v>
      </c>
      <c r="GK210" s="137">
        <f>IF(ET210="základní",J210,0)</f>
        <v>628.94000000000005</v>
      </c>
      <c r="GL210" s="137">
        <f>IF(ET210="snížená",J210,0)</f>
        <v>0</v>
      </c>
      <c r="GM210" s="137">
        <f>IF(ET210="zákl. přenesená",J210,0)</f>
        <v>0</v>
      </c>
      <c r="GN210" s="137">
        <f>IF(ET210="sníž. přenesená",J210,0)</f>
        <v>0</v>
      </c>
      <c r="GO210" s="137">
        <f>IF(ET210="nulová",J210,0)</f>
        <v>0</v>
      </c>
      <c r="GP210" s="16" t="s">
        <v>81</v>
      </c>
      <c r="GQ210" s="137">
        <f>ROUND(I210*H210,2)</f>
        <v>628.94000000000005</v>
      </c>
      <c r="GR210" s="16" t="s">
        <v>95</v>
      </c>
      <c r="GS210" s="136" t="s">
        <v>412</v>
      </c>
    </row>
    <row r="211" spans="2:201" s="1" customFormat="1" ht="19.5" x14ac:dyDescent="0.2">
      <c r="B211" s="31"/>
      <c r="D211" s="138" t="s">
        <v>289</v>
      </c>
      <c r="F211" s="139" t="s">
        <v>413</v>
      </c>
      <c r="I211" s="140"/>
      <c r="L211" s="31"/>
      <c r="N211" s="213"/>
      <c r="O211" s="214"/>
      <c r="Q211" s="229"/>
      <c r="R211" s="1">
        <v>0.9</v>
      </c>
      <c r="ES211" s="141"/>
      <c r="EZ211" s="50"/>
      <c r="FZ211" s="16" t="s">
        <v>289</v>
      </c>
      <c r="GA211" s="16" t="s">
        <v>83</v>
      </c>
    </row>
    <row r="212" spans="2:201" s="1" customFormat="1" ht="29.25" x14ac:dyDescent="0.2">
      <c r="B212" s="31"/>
      <c r="D212" s="138" t="s">
        <v>299</v>
      </c>
      <c r="F212" s="142" t="s">
        <v>2282</v>
      </c>
      <c r="I212" s="140"/>
      <c r="L212" s="31"/>
      <c r="N212" s="213"/>
      <c r="O212" s="214"/>
      <c r="Q212" s="229"/>
      <c r="R212" s="1">
        <v>0.9</v>
      </c>
      <c r="ES212" s="141"/>
      <c r="EZ212" s="50"/>
      <c r="FZ212" s="16" t="s">
        <v>299</v>
      </c>
      <c r="GA212" s="16" t="s">
        <v>83</v>
      </c>
    </row>
    <row r="213" spans="2:201" s="12" customFormat="1" x14ac:dyDescent="0.2">
      <c r="B213" s="149"/>
      <c r="D213" s="138" t="s">
        <v>301</v>
      </c>
      <c r="E213" s="150" t="s">
        <v>1</v>
      </c>
      <c r="F213" s="151" t="s">
        <v>2283</v>
      </c>
      <c r="H213" s="152">
        <v>98.82</v>
      </c>
      <c r="I213" s="153"/>
      <c r="L213" s="149"/>
      <c r="N213" s="217">
        <f>109.39*0.9</f>
        <v>98.451000000000008</v>
      </c>
      <c r="O213" s="359" t="s">
        <v>3529</v>
      </c>
      <c r="Q213" s="231"/>
      <c r="R213" s="12">
        <v>0.9</v>
      </c>
      <c r="ES213" s="154"/>
      <c r="EZ213" s="155"/>
      <c r="FZ213" s="150" t="s">
        <v>301</v>
      </c>
      <c r="GA213" s="150" t="s">
        <v>83</v>
      </c>
      <c r="GB213" s="12" t="s">
        <v>83</v>
      </c>
      <c r="GC213" s="12" t="s">
        <v>32</v>
      </c>
      <c r="GD213" s="12" t="s">
        <v>81</v>
      </c>
      <c r="GE213" s="150" t="s">
        <v>282</v>
      </c>
    </row>
    <row r="214" spans="2:201" s="12" customFormat="1" x14ac:dyDescent="0.2">
      <c r="B214" s="149"/>
      <c r="D214" s="138"/>
      <c r="E214" s="150"/>
      <c r="F214" s="151"/>
      <c r="H214" s="152"/>
      <c r="I214" s="153"/>
      <c r="L214" s="149"/>
      <c r="N214" s="310">
        <f>N213-H213</f>
        <v>-0.36899999999998556</v>
      </c>
      <c r="O214" s="359"/>
      <c r="Q214" s="231"/>
      <c r="ES214" s="154"/>
      <c r="EZ214" s="155"/>
      <c r="FZ214" s="150"/>
      <c r="GA214" s="150"/>
      <c r="GE214" s="150"/>
    </row>
    <row r="215" spans="2:201" s="1" customFormat="1" ht="24.2" customHeight="1" x14ac:dyDescent="0.2">
      <c r="B215" s="124"/>
      <c r="C215" s="125" t="s">
        <v>404</v>
      </c>
      <c r="D215" s="125" t="s">
        <v>284</v>
      </c>
      <c r="E215" s="126" t="s">
        <v>416</v>
      </c>
      <c r="F215" s="127" t="s">
        <v>417</v>
      </c>
      <c r="G215" s="128" t="s">
        <v>418</v>
      </c>
      <c r="H215" s="129">
        <v>275.70999999999998</v>
      </c>
      <c r="I215" s="130">
        <v>110.6455721</v>
      </c>
      <c r="J215" s="131">
        <f>ROUND(I215*H215,2)</f>
        <v>30506.09</v>
      </c>
      <c r="K215" s="127" t="s">
        <v>293</v>
      </c>
      <c r="L215" s="268">
        <f>S215</f>
        <v>0</v>
      </c>
      <c r="M215" s="272">
        <f>ROUND(L215*I215,2)</f>
        <v>0</v>
      </c>
      <c r="N215" s="243">
        <f>N218</f>
        <v>-1.0299999999999727</v>
      </c>
      <c r="O215" s="294">
        <f>ROUND(N215*I215,2)</f>
        <v>-113.96</v>
      </c>
      <c r="P215" s="273">
        <f>H215-L215-N215</f>
        <v>276.73999999999995</v>
      </c>
      <c r="Q215" s="287">
        <f>ROUND(P215*I215,2)</f>
        <v>30620.06</v>
      </c>
      <c r="R215" s="1">
        <v>0.9</v>
      </c>
      <c r="S215" s="269">
        <f>W215+Y215+AA215+AC215+AE215+AG215+AI215+AK215+AM215</f>
        <v>0</v>
      </c>
      <c r="T215" s="269">
        <f>ROUND(S215*I215,2)</f>
        <v>0</v>
      </c>
      <c r="U215" s="269">
        <f>H215-S215</f>
        <v>275.70999999999998</v>
      </c>
      <c r="V215" s="269">
        <f>ROUND(U215*I215,2)</f>
        <v>30506.09</v>
      </c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ES215" s="132" t="s">
        <v>1</v>
      </c>
      <c r="ET215" s="133" t="s">
        <v>40</v>
      </c>
      <c r="EV215" s="134">
        <f>EU215*H215</f>
        <v>0</v>
      </c>
      <c r="EW215" s="134">
        <v>0</v>
      </c>
      <c r="EX215" s="134">
        <f>EW215*H215</f>
        <v>0</v>
      </c>
      <c r="EY215" s="134">
        <v>0</v>
      </c>
      <c r="EZ215" s="135">
        <f>EY215*H215</f>
        <v>0</v>
      </c>
      <c r="FX215" s="136" t="s">
        <v>95</v>
      </c>
      <c r="FZ215" s="136" t="s">
        <v>284</v>
      </c>
      <c r="GA215" s="136" t="s">
        <v>83</v>
      </c>
      <c r="GE215" s="16" t="s">
        <v>282</v>
      </c>
      <c r="GK215" s="137">
        <f>IF(ET215="základní",J215,0)</f>
        <v>30506.09</v>
      </c>
      <c r="GL215" s="137">
        <f>IF(ET215="snížená",J215,0)</f>
        <v>0</v>
      </c>
      <c r="GM215" s="137">
        <f>IF(ET215="zákl. přenesená",J215,0)</f>
        <v>0</v>
      </c>
      <c r="GN215" s="137">
        <f>IF(ET215="sníž. přenesená",J215,0)</f>
        <v>0</v>
      </c>
      <c r="GO215" s="137">
        <f>IF(ET215="nulová",J215,0)</f>
        <v>0</v>
      </c>
      <c r="GP215" s="16" t="s">
        <v>81</v>
      </c>
      <c r="GQ215" s="137">
        <f>ROUND(I215*H215,2)</f>
        <v>30506.09</v>
      </c>
      <c r="GR215" s="16" t="s">
        <v>95</v>
      </c>
      <c r="GS215" s="136" t="s">
        <v>419</v>
      </c>
    </row>
    <row r="216" spans="2:201" s="1" customFormat="1" ht="29.25" x14ac:dyDescent="0.2">
      <c r="B216" s="31"/>
      <c r="D216" s="138" t="s">
        <v>289</v>
      </c>
      <c r="F216" s="139" t="s">
        <v>420</v>
      </c>
      <c r="I216" s="140"/>
      <c r="L216" s="31"/>
      <c r="N216" s="213"/>
      <c r="O216" s="214"/>
      <c r="Q216" s="229"/>
      <c r="R216" s="1">
        <v>0.9</v>
      </c>
      <c r="ES216" s="141"/>
      <c r="EZ216" s="50"/>
      <c r="FZ216" s="16" t="s">
        <v>289</v>
      </c>
      <c r="GA216" s="16" t="s">
        <v>83</v>
      </c>
    </row>
    <row r="217" spans="2:201" s="12" customFormat="1" x14ac:dyDescent="0.2">
      <c r="B217" s="149"/>
      <c r="D217" s="138" t="s">
        <v>301</v>
      </c>
      <c r="F217" s="151" t="s">
        <v>2304</v>
      </c>
      <c r="H217" s="152">
        <v>275.70999999999998</v>
      </c>
      <c r="I217" s="153"/>
      <c r="L217" s="149"/>
      <c r="N217" s="217">
        <f>152.6*1.8</f>
        <v>274.68</v>
      </c>
      <c r="O217" s="218" t="s">
        <v>3534</v>
      </c>
      <c r="Q217" s="231"/>
      <c r="R217" s="12">
        <v>0.9</v>
      </c>
      <c r="ES217" s="154"/>
      <c r="EZ217" s="155"/>
      <c r="FZ217" s="150" t="s">
        <v>301</v>
      </c>
      <c r="GA217" s="150" t="s">
        <v>83</v>
      </c>
      <c r="GB217" s="12" t="s">
        <v>83</v>
      </c>
      <c r="GC217" s="12" t="s">
        <v>3</v>
      </c>
      <c r="GD217" s="12" t="s">
        <v>81</v>
      </c>
      <c r="GE217" s="150" t="s">
        <v>282</v>
      </c>
    </row>
    <row r="218" spans="2:201" s="12" customFormat="1" x14ac:dyDescent="0.2">
      <c r="B218" s="149"/>
      <c r="D218" s="138"/>
      <c r="F218" s="151"/>
      <c r="H218" s="152"/>
      <c r="I218" s="153"/>
      <c r="L218" s="149"/>
      <c r="N218" s="310">
        <f>N217-H217</f>
        <v>-1.0299999999999727</v>
      </c>
      <c r="O218" s="218"/>
      <c r="Q218" s="231"/>
      <c r="ES218" s="154"/>
      <c r="EZ218" s="155"/>
      <c r="FZ218" s="150"/>
      <c r="GA218" s="150"/>
      <c r="GE218" s="150"/>
    </row>
    <row r="219" spans="2:201" s="1" customFormat="1" ht="24.2" customHeight="1" x14ac:dyDescent="0.2">
      <c r="B219" s="124"/>
      <c r="C219" s="125" t="s">
        <v>7</v>
      </c>
      <c r="D219" s="125" t="s">
        <v>284</v>
      </c>
      <c r="E219" s="126" t="s">
        <v>423</v>
      </c>
      <c r="F219" s="127" t="s">
        <v>424</v>
      </c>
      <c r="G219" s="128" t="s">
        <v>366</v>
      </c>
      <c r="H219" s="129">
        <v>142.05199999999999</v>
      </c>
      <c r="I219" s="130">
        <v>140.64048227116101</v>
      </c>
      <c r="J219" s="131">
        <f>ROUND(I219*H219,2)</f>
        <v>19978.259999999998</v>
      </c>
      <c r="K219" s="127" t="s">
        <v>293</v>
      </c>
      <c r="L219" s="268">
        <f>S219</f>
        <v>0</v>
      </c>
      <c r="M219" s="272">
        <f>ROUND(L219*I219,2)</f>
        <v>0</v>
      </c>
      <c r="N219" s="243">
        <f>N232</f>
        <v>-0.53161000000000058</v>
      </c>
      <c r="O219" s="294">
        <f>ROUND(N219*I219,2)</f>
        <v>-74.77</v>
      </c>
      <c r="P219" s="273">
        <f>H219-L219-N219</f>
        <v>142.58360999999999</v>
      </c>
      <c r="Q219" s="287">
        <f>ROUND(P219*I219,2)</f>
        <v>20053.03</v>
      </c>
      <c r="R219" s="1">
        <v>0.9</v>
      </c>
      <c r="S219" s="269">
        <f>W219+Y219+AA219+AC219+AE219+AG219+AI219+AK219+AM219</f>
        <v>0</v>
      </c>
      <c r="T219" s="269">
        <f>ROUND(S219*I219,2)</f>
        <v>0</v>
      </c>
      <c r="U219" s="269">
        <f>H219-S219</f>
        <v>142.05199999999999</v>
      </c>
      <c r="V219" s="269">
        <f>ROUND(U219*I219,2)</f>
        <v>19978.259999999998</v>
      </c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ES219" s="132" t="s">
        <v>1</v>
      </c>
      <c r="ET219" s="133" t="s">
        <v>40</v>
      </c>
      <c r="EV219" s="134">
        <f>EU219*H219</f>
        <v>0</v>
      </c>
      <c r="EW219" s="134">
        <v>0</v>
      </c>
      <c r="EX219" s="134">
        <f>EW219*H219</f>
        <v>0</v>
      </c>
      <c r="EY219" s="134">
        <v>0</v>
      </c>
      <c r="EZ219" s="135">
        <f>EY219*H219</f>
        <v>0</v>
      </c>
      <c r="FX219" s="136" t="s">
        <v>95</v>
      </c>
      <c r="FZ219" s="136" t="s">
        <v>284</v>
      </c>
      <c r="GA219" s="136" t="s">
        <v>83</v>
      </c>
      <c r="GE219" s="16" t="s">
        <v>282</v>
      </c>
      <c r="GK219" s="137">
        <f>IF(ET219="základní",J219,0)</f>
        <v>19978.259999999998</v>
      </c>
      <c r="GL219" s="137">
        <f>IF(ET219="snížená",J219,0)</f>
        <v>0</v>
      </c>
      <c r="GM219" s="137">
        <f>IF(ET219="zákl. přenesená",J219,0)</f>
        <v>0</v>
      </c>
      <c r="GN219" s="137">
        <f>IF(ET219="sníž. přenesená",J219,0)</f>
        <v>0</v>
      </c>
      <c r="GO219" s="137">
        <f>IF(ET219="nulová",J219,0)</f>
        <v>0</v>
      </c>
      <c r="GP219" s="16" t="s">
        <v>81</v>
      </c>
      <c r="GQ219" s="137">
        <f>ROUND(I219*H219,2)</f>
        <v>19978.259999999998</v>
      </c>
      <c r="GR219" s="16" t="s">
        <v>95</v>
      </c>
      <c r="GS219" s="136" t="s">
        <v>425</v>
      </c>
    </row>
    <row r="220" spans="2:201" s="1" customFormat="1" ht="29.25" x14ac:dyDescent="0.2">
      <c r="B220" s="31"/>
      <c r="D220" s="138" t="s">
        <v>289</v>
      </c>
      <c r="F220" s="139" t="s">
        <v>426</v>
      </c>
      <c r="I220" s="140"/>
      <c r="L220" s="31"/>
      <c r="N220" s="213"/>
      <c r="O220" s="214"/>
      <c r="Q220" s="229"/>
      <c r="R220" s="1">
        <v>0.9</v>
      </c>
      <c r="ES220" s="141"/>
      <c r="EZ220" s="50"/>
      <c r="FZ220" s="16" t="s">
        <v>289</v>
      </c>
      <c r="GA220" s="16" t="s">
        <v>83</v>
      </c>
    </row>
    <row r="221" spans="2:201" s="11" customFormat="1" x14ac:dyDescent="0.2">
      <c r="B221" s="143"/>
      <c r="D221" s="138" t="s">
        <v>301</v>
      </c>
      <c r="E221" s="144" t="s">
        <v>1</v>
      </c>
      <c r="F221" s="145" t="s">
        <v>1458</v>
      </c>
      <c r="H221" s="144" t="s">
        <v>1</v>
      </c>
      <c r="I221" s="146"/>
      <c r="L221" s="143"/>
      <c r="N221" s="215"/>
      <c r="O221" s="216"/>
      <c r="Q221" s="230"/>
      <c r="R221" s="11">
        <v>0.9</v>
      </c>
      <c r="ES221" s="147"/>
      <c r="EZ221" s="148"/>
      <c r="FZ221" s="144" t="s">
        <v>301</v>
      </c>
      <c r="GA221" s="144" t="s">
        <v>83</v>
      </c>
      <c r="GB221" s="11" t="s">
        <v>81</v>
      </c>
      <c r="GC221" s="11" t="s">
        <v>32</v>
      </c>
      <c r="GD221" s="11" t="s">
        <v>74</v>
      </c>
      <c r="GE221" s="144" t="s">
        <v>282</v>
      </c>
    </row>
    <row r="222" spans="2:201" s="12" customFormat="1" x14ac:dyDescent="0.2">
      <c r="B222" s="149"/>
      <c r="D222" s="138" t="s">
        <v>301</v>
      </c>
      <c r="E222" s="150" t="s">
        <v>1</v>
      </c>
      <c r="F222" s="151" t="s">
        <v>2302</v>
      </c>
      <c r="H222" s="152">
        <v>153.172</v>
      </c>
      <c r="I222" s="153"/>
      <c r="L222" s="149"/>
      <c r="N222" s="217">
        <f>76.3+76.3</f>
        <v>152.6</v>
      </c>
      <c r="O222" s="218" t="s">
        <v>3532</v>
      </c>
      <c r="Q222" s="231"/>
      <c r="R222" s="12">
        <v>0.9</v>
      </c>
      <c r="ES222" s="154"/>
      <c r="EZ222" s="155"/>
      <c r="FZ222" s="150" t="s">
        <v>301</v>
      </c>
      <c r="GA222" s="150" t="s">
        <v>83</v>
      </c>
      <c r="GB222" s="12" t="s">
        <v>83</v>
      </c>
      <c r="GC222" s="12" t="s">
        <v>32</v>
      </c>
      <c r="GD222" s="12" t="s">
        <v>74</v>
      </c>
      <c r="GE222" s="150" t="s">
        <v>282</v>
      </c>
    </row>
    <row r="223" spans="2:201" s="11" customFormat="1" x14ac:dyDescent="0.2">
      <c r="B223" s="143"/>
      <c r="D223" s="138" t="s">
        <v>301</v>
      </c>
      <c r="E223" s="144" t="s">
        <v>1</v>
      </c>
      <c r="F223" s="145" t="s">
        <v>428</v>
      </c>
      <c r="H223" s="144" t="s">
        <v>1</v>
      </c>
      <c r="I223" s="146"/>
      <c r="L223" s="143"/>
      <c r="N223" s="215"/>
      <c r="O223" s="216"/>
      <c r="Q223" s="230"/>
      <c r="R223" s="11">
        <v>0.9</v>
      </c>
      <c r="ES223" s="147"/>
      <c r="EZ223" s="148"/>
      <c r="FZ223" s="144" t="s">
        <v>301</v>
      </c>
      <c r="GA223" s="144" t="s">
        <v>83</v>
      </c>
      <c r="GB223" s="11" t="s">
        <v>81</v>
      </c>
      <c r="GC223" s="11" t="s">
        <v>32</v>
      </c>
      <c r="GD223" s="11" t="s">
        <v>74</v>
      </c>
      <c r="GE223" s="144" t="s">
        <v>282</v>
      </c>
    </row>
    <row r="224" spans="2:201" s="12" customFormat="1" x14ac:dyDescent="0.2">
      <c r="B224" s="149"/>
      <c r="D224" s="138" t="s">
        <v>301</v>
      </c>
      <c r="E224" s="150" t="s">
        <v>1</v>
      </c>
      <c r="F224" s="151" t="s">
        <v>2305</v>
      </c>
      <c r="H224" s="152">
        <v>-40.515999999999998</v>
      </c>
      <c r="I224" s="153"/>
      <c r="L224" s="149"/>
      <c r="N224" s="217">
        <f>-N240</f>
        <v>-40.364910000000002</v>
      </c>
      <c r="O224" s="218"/>
      <c r="Q224" s="231"/>
      <c r="R224" s="12">
        <v>0.9</v>
      </c>
      <c r="ES224" s="154"/>
      <c r="EZ224" s="155"/>
      <c r="FZ224" s="150" t="s">
        <v>301</v>
      </c>
      <c r="GA224" s="150" t="s">
        <v>83</v>
      </c>
      <c r="GB224" s="12" t="s">
        <v>83</v>
      </c>
      <c r="GC224" s="12" t="s">
        <v>32</v>
      </c>
      <c r="GD224" s="12" t="s">
        <v>74</v>
      </c>
      <c r="GE224" s="150" t="s">
        <v>282</v>
      </c>
    </row>
    <row r="225" spans="2:201" s="11" customFormat="1" x14ac:dyDescent="0.2">
      <c r="B225" s="143"/>
      <c r="D225" s="138" t="s">
        <v>301</v>
      </c>
      <c r="E225" s="144" t="s">
        <v>1</v>
      </c>
      <c r="F225" s="145" t="s">
        <v>430</v>
      </c>
      <c r="H225" s="144" t="s">
        <v>1</v>
      </c>
      <c r="I225" s="146"/>
      <c r="L225" s="143"/>
      <c r="N225" s="215"/>
      <c r="O225" s="216"/>
      <c r="Q225" s="230"/>
      <c r="R225" s="11">
        <v>0.9</v>
      </c>
      <c r="ES225" s="147"/>
      <c r="EZ225" s="148"/>
      <c r="FZ225" s="144" t="s">
        <v>301</v>
      </c>
      <c r="GA225" s="144" t="s">
        <v>83</v>
      </c>
      <c r="GB225" s="11" t="s">
        <v>81</v>
      </c>
      <c r="GC225" s="11" t="s">
        <v>32</v>
      </c>
      <c r="GD225" s="11" t="s">
        <v>74</v>
      </c>
      <c r="GE225" s="144" t="s">
        <v>282</v>
      </c>
    </row>
    <row r="226" spans="2:201" s="12" customFormat="1" x14ac:dyDescent="0.2">
      <c r="B226" s="149"/>
      <c r="D226" s="138" t="s">
        <v>301</v>
      </c>
      <c r="E226" s="150" t="s">
        <v>1</v>
      </c>
      <c r="F226" s="151" t="s">
        <v>2306</v>
      </c>
      <c r="H226" s="152">
        <v>-9.8819999999999997</v>
      </c>
      <c r="I226" s="153"/>
      <c r="L226" s="149"/>
      <c r="N226" s="217">
        <f>-N257</f>
        <v>-9.8451000000000022</v>
      </c>
      <c r="O226" s="218"/>
      <c r="Q226" s="231"/>
      <c r="R226" s="12">
        <v>0.9</v>
      </c>
      <c r="ES226" s="154"/>
      <c r="EZ226" s="155"/>
      <c r="FZ226" s="150" t="s">
        <v>301</v>
      </c>
      <c r="GA226" s="150" t="s">
        <v>83</v>
      </c>
      <c r="GB226" s="12" t="s">
        <v>83</v>
      </c>
      <c r="GC226" s="12" t="s">
        <v>32</v>
      </c>
      <c r="GD226" s="12" t="s">
        <v>74</v>
      </c>
      <c r="GE226" s="150" t="s">
        <v>282</v>
      </c>
    </row>
    <row r="227" spans="2:201" s="11" customFormat="1" x14ac:dyDescent="0.2">
      <c r="B227" s="143"/>
      <c r="D227" s="138" t="s">
        <v>301</v>
      </c>
      <c r="E227" s="144" t="s">
        <v>1</v>
      </c>
      <c r="F227" s="145" t="s">
        <v>2307</v>
      </c>
      <c r="H227" s="144" t="s">
        <v>1</v>
      </c>
      <c r="I227" s="146"/>
      <c r="L227" s="143"/>
      <c r="N227" s="215"/>
      <c r="O227" s="216"/>
      <c r="Q227" s="230"/>
      <c r="R227" s="11">
        <v>0.9</v>
      </c>
      <c r="ES227" s="147"/>
      <c r="EZ227" s="148"/>
      <c r="FZ227" s="144" t="s">
        <v>301</v>
      </c>
      <c r="GA227" s="144" t="s">
        <v>83</v>
      </c>
      <c r="GB227" s="11" t="s">
        <v>81</v>
      </c>
      <c r="GC227" s="11" t="s">
        <v>32</v>
      </c>
      <c r="GD227" s="11" t="s">
        <v>74</v>
      </c>
      <c r="GE227" s="144" t="s">
        <v>282</v>
      </c>
    </row>
    <row r="228" spans="2:201" s="12" customFormat="1" x14ac:dyDescent="0.2">
      <c r="B228" s="149"/>
      <c r="D228" s="138" t="s">
        <v>301</v>
      </c>
      <c r="E228" s="150" t="s">
        <v>1</v>
      </c>
      <c r="F228" s="151" t="s">
        <v>2308</v>
      </c>
      <c r="H228" s="152">
        <v>-0.25</v>
      </c>
      <c r="I228" s="153"/>
      <c r="L228" s="149"/>
      <c r="N228" s="310">
        <f>H228</f>
        <v>-0.25</v>
      </c>
      <c r="O228" s="218"/>
      <c r="Q228" s="231"/>
      <c r="R228" s="12">
        <v>0.9</v>
      </c>
      <c r="ES228" s="154"/>
      <c r="EZ228" s="155"/>
      <c r="FZ228" s="150" t="s">
        <v>301</v>
      </c>
      <c r="GA228" s="150" t="s">
        <v>83</v>
      </c>
      <c r="GB228" s="12" t="s">
        <v>83</v>
      </c>
      <c r="GC228" s="12" t="s">
        <v>32</v>
      </c>
      <c r="GD228" s="12" t="s">
        <v>74</v>
      </c>
      <c r="GE228" s="150" t="s">
        <v>282</v>
      </c>
    </row>
    <row r="229" spans="2:201" s="11" customFormat="1" x14ac:dyDescent="0.2">
      <c r="B229" s="143"/>
      <c r="D229" s="138" t="s">
        <v>301</v>
      </c>
      <c r="E229" s="144" t="s">
        <v>1</v>
      </c>
      <c r="F229" s="145" t="s">
        <v>436</v>
      </c>
      <c r="H229" s="144" t="s">
        <v>1</v>
      </c>
      <c r="I229" s="146"/>
      <c r="L229" s="143"/>
      <c r="N229" s="215"/>
      <c r="O229" s="216"/>
      <c r="Q229" s="230"/>
      <c r="R229" s="11">
        <v>0.9</v>
      </c>
      <c r="ES229" s="147"/>
      <c r="EZ229" s="148"/>
      <c r="FZ229" s="144" t="s">
        <v>301</v>
      </c>
      <c r="GA229" s="144" t="s">
        <v>83</v>
      </c>
      <c r="GB229" s="11" t="s">
        <v>81</v>
      </c>
      <c r="GC229" s="11" t="s">
        <v>32</v>
      </c>
      <c r="GD229" s="11" t="s">
        <v>74</v>
      </c>
      <c r="GE229" s="144" t="s">
        <v>282</v>
      </c>
    </row>
    <row r="230" spans="2:201" s="12" customFormat="1" x14ac:dyDescent="0.2">
      <c r="B230" s="149"/>
      <c r="D230" s="138" t="s">
        <v>301</v>
      </c>
      <c r="E230" s="150" t="s">
        <v>1</v>
      </c>
      <c r="F230" s="151" t="s">
        <v>2309</v>
      </c>
      <c r="H230" s="152">
        <v>39.527999999999999</v>
      </c>
      <c r="I230" s="153"/>
      <c r="L230" s="149"/>
      <c r="N230" s="217">
        <f>109.39*0.9*(0.45-0.05)</f>
        <v>39.380400000000009</v>
      </c>
      <c r="O230" s="218" t="s">
        <v>3539</v>
      </c>
      <c r="Q230" s="231"/>
      <c r="R230" s="12">
        <v>0.9</v>
      </c>
      <c r="ES230" s="154"/>
      <c r="EZ230" s="155"/>
      <c r="FZ230" s="150" t="s">
        <v>301</v>
      </c>
      <c r="GA230" s="150" t="s">
        <v>83</v>
      </c>
      <c r="GB230" s="12" t="s">
        <v>83</v>
      </c>
      <c r="GC230" s="12" t="s">
        <v>32</v>
      </c>
      <c r="GD230" s="12" t="s">
        <v>74</v>
      </c>
      <c r="GE230" s="150" t="s">
        <v>282</v>
      </c>
    </row>
    <row r="231" spans="2:201" s="13" customFormat="1" x14ac:dyDescent="0.2">
      <c r="B231" s="156"/>
      <c r="D231" s="138" t="s">
        <v>301</v>
      </c>
      <c r="E231" s="157" t="s">
        <v>1</v>
      </c>
      <c r="F231" s="158" t="s">
        <v>305</v>
      </c>
      <c r="H231" s="159">
        <v>142.05199999999999</v>
      </c>
      <c r="I231" s="160"/>
      <c r="L231" s="156"/>
      <c r="N231" s="219">
        <f>SUM(N222:N230)</f>
        <v>141.52038999999999</v>
      </c>
      <c r="O231" s="220"/>
      <c r="Q231" s="232"/>
      <c r="R231" s="13">
        <v>0.9</v>
      </c>
      <c r="ES231" s="161"/>
      <c r="EZ231" s="162"/>
      <c r="FZ231" s="157" t="s">
        <v>301</v>
      </c>
      <c r="GA231" s="157" t="s">
        <v>83</v>
      </c>
      <c r="GB231" s="13" t="s">
        <v>95</v>
      </c>
      <c r="GC231" s="13" t="s">
        <v>32</v>
      </c>
      <c r="GD231" s="13" t="s">
        <v>81</v>
      </c>
      <c r="GE231" s="157" t="s">
        <v>282</v>
      </c>
    </row>
    <row r="232" spans="2:201" s="13" customFormat="1" x14ac:dyDescent="0.2">
      <c r="B232" s="156"/>
      <c r="D232" s="138"/>
      <c r="E232" s="157"/>
      <c r="F232" s="158"/>
      <c r="H232" s="159"/>
      <c r="I232" s="160"/>
      <c r="L232" s="156"/>
      <c r="N232" s="311">
        <f>N231-H231</f>
        <v>-0.53161000000000058</v>
      </c>
      <c r="O232" s="220"/>
      <c r="Q232" s="232"/>
      <c r="ES232" s="161"/>
      <c r="EZ232" s="162"/>
      <c r="FZ232" s="157"/>
      <c r="GA232" s="157"/>
      <c r="GE232" s="157"/>
    </row>
    <row r="233" spans="2:201" s="1" customFormat="1" ht="14.45" customHeight="1" x14ac:dyDescent="0.2">
      <c r="B233" s="124"/>
      <c r="C233" s="170" t="s">
        <v>415</v>
      </c>
      <c r="D233" s="170" t="s">
        <v>439</v>
      </c>
      <c r="E233" s="171" t="s">
        <v>440</v>
      </c>
      <c r="F233" s="172" t="s">
        <v>441</v>
      </c>
      <c r="G233" s="173" t="s">
        <v>418</v>
      </c>
      <c r="H233" s="174">
        <v>284.10399999999998</v>
      </c>
      <c r="I233" s="175">
        <v>390.0974172</v>
      </c>
      <c r="J233" s="176">
        <f>ROUND(I233*H233,2)</f>
        <v>110828.24</v>
      </c>
      <c r="K233" s="172" t="s">
        <v>293</v>
      </c>
      <c r="L233" s="268">
        <f>S233</f>
        <v>0</v>
      </c>
      <c r="M233" s="272">
        <f>ROUND(L233*I233,2)</f>
        <v>0</v>
      </c>
      <c r="N233" s="243">
        <f>N236</f>
        <v>-1.0640000000000001</v>
      </c>
      <c r="O233" s="294">
        <f>ROUND(N233*I233,2)</f>
        <v>-415.06</v>
      </c>
      <c r="P233" s="273">
        <f>H233-L233-N233</f>
        <v>285.16800000000001</v>
      </c>
      <c r="Q233" s="287">
        <f>ROUND(P233*I233,2)</f>
        <v>111243.3</v>
      </c>
      <c r="R233" s="1">
        <v>0.9</v>
      </c>
      <c r="S233" s="269">
        <f>W233+Y233+AA233+AC233+AE233+AG233+AI233+AK233+AM233</f>
        <v>0</v>
      </c>
      <c r="T233" s="269">
        <f>ROUND(S233*I233,2)</f>
        <v>0</v>
      </c>
      <c r="U233" s="269">
        <f>H233-S233</f>
        <v>284.10399999999998</v>
      </c>
      <c r="V233" s="269">
        <f>ROUND(U233*I233,2)</f>
        <v>110828.24</v>
      </c>
      <c r="W233" s="290"/>
      <c r="X233" s="290"/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  <c r="AL233" s="290"/>
      <c r="AM233" s="290"/>
      <c r="AN233" s="290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77" t="s">
        <v>1</v>
      </c>
      <c r="ET233" s="178" t="s">
        <v>40</v>
      </c>
      <c r="EV233" s="134">
        <f>EU233*H233</f>
        <v>0</v>
      </c>
      <c r="EW233" s="134">
        <v>1</v>
      </c>
      <c r="EX233" s="134">
        <f>EW233*H233</f>
        <v>284.10399999999998</v>
      </c>
      <c r="EY233" s="134">
        <v>0</v>
      </c>
      <c r="EZ233" s="135">
        <f>EY233*H233</f>
        <v>0</v>
      </c>
      <c r="FX233" s="136" t="s">
        <v>328</v>
      </c>
      <c r="FZ233" s="136" t="s">
        <v>439</v>
      </c>
      <c r="GA233" s="136" t="s">
        <v>83</v>
      </c>
      <c r="GE233" s="16" t="s">
        <v>282</v>
      </c>
      <c r="GK233" s="137">
        <f>IF(ET233="základní",J233,0)</f>
        <v>110828.24</v>
      </c>
      <c r="GL233" s="137">
        <f>IF(ET233="snížená",J233,0)</f>
        <v>0</v>
      </c>
      <c r="GM233" s="137">
        <f>IF(ET233="zákl. přenesená",J233,0)</f>
        <v>0</v>
      </c>
      <c r="GN233" s="137">
        <f>IF(ET233="sníž. přenesená",J233,0)</f>
        <v>0</v>
      </c>
      <c r="GO233" s="137">
        <f>IF(ET233="nulová",J233,0)</f>
        <v>0</v>
      </c>
      <c r="GP233" s="16" t="s">
        <v>81</v>
      </c>
      <c r="GQ233" s="137">
        <f>ROUND(I233*H233,2)</f>
        <v>110828.24</v>
      </c>
      <c r="GR233" s="16" t="s">
        <v>95</v>
      </c>
      <c r="GS233" s="136" t="s">
        <v>442</v>
      </c>
    </row>
    <row r="234" spans="2:201" s="1" customFormat="1" x14ac:dyDescent="0.2">
      <c r="B234" s="31"/>
      <c r="D234" s="138" t="s">
        <v>289</v>
      </c>
      <c r="F234" s="139" t="s">
        <v>441</v>
      </c>
      <c r="I234" s="140"/>
      <c r="L234" s="31"/>
      <c r="N234" s="213"/>
      <c r="O234" s="214"/>
      <c r="Q234" s="229"/>
      <c r="R234" s="1">
        <v>0.9</v>
      </c>
      <c r="ES234" s="141"/>
      <c r="EZ234" s="50"/>
      <c r="FZ234" s="16" t="s">
        <v>289</v>
      </c>
      <c r="GA234" s="16" t="s">
        <v>83</v>
      </c>
    </row>
    <row r="235" spans="2:201" s="1" customFormat="1" ht="19.5" x14ac:dyDescent="0.2">
      <c r="B235" s="31"/>
      <c r="D235" s="138" t="s">
        <v>299</v>
      </c>
      <c r="F235" s="142" t="s">
        <v>443</v>
      </c>
      <c r="I235" s="140"/>
      <c r="L235" s="31"/>
      <c r="N235" s="213"/>
      <c r="O235" s="214"/>
      <c r="Q235" s="229"/>
      <c r="R235" s="1">
        <v>0.9</v>
      </c>
      <c r="ES235" s="141"/>
      <c r="EZ235" s="50"/>
      <c r="FZ235" s="16" t="s">
        <v>299</v>
      </c>
      <c r="GA235" s="16" t="s">
        <v>83</v>
      </c>
    </row>
    <row r="236" spans="2:201" s="12" customFormat="1" x14ac:dyDescent="0.2">
      <c r="B236" s="149"/>
      <c r="D236" s="138" t="s">
        <v>301</v>
      </c>
      <c r="F236" s="151" t="s">
        <v>2310</v>
      </c>
      <c r="H236" s="152">
        <v>284.10399999999998</v>
      </c>
      <c r="I236" s="153"/>
      <c r="L236" s="149"/>
      <c r="N236" s="217">
        <f>-0.532*2</f>
        <v>-1.0640000000000001</v>
      </c>
      <c r="O236" s="218" t="s">
        <v>3540</v>
      </c>
      <c r="Q236" s="231"/>
      <c r="R236" s="12">
        <v>0.9</v>
      </c>
      <c r="ES236" s="154"/>
      <c r="EZ236" s="155"/>
      <c r="FZ236" s="150" t="s">
        <v>301</v>
      </c>
      <c r="GA236" s="150" t="s">
        <v>83</v>
      </c>
      <c r="GB236" s="12" t="s">
        <v>83</v>
      </c>
      <c r="GC236" s="12" t="s">
        <v>3</v>
      </c>
      <c r="GD236" s="12" t="s">
        <v>81</v>
      </c>
      <c r="GE236" s="150" t="s">
        <v>282</v>
      </c>
    </row>
    <row r="237" spans="2:201" s="1" customFormat="1" ht="24.2" customHeight="1" x14ac:dyDescent="0.2">
      <c r="B237" s="124"/>
      <c r="C237" s="125" t="s">
        <v>422</v>
      </c>
      <c r="D237" s="125" t="s">
        <v>284</v>
      </c>
      <c r="E237" s="126" t="s">
        <v>446</v>
      </c>
      <c r="F237" s="127" t="s">
        <v>447</v>
      </c>
      <c r="G237" s="128" t="s">
        <v>366</v>
      </c>
      <c r="H237" s="129">
        <v>40.515999999999998</v>
      </c>
      <c r="I237" s="130">
        <v>510.38291484661499</v>
      </c>
      <c r="J237" s="131">
        <f>ROUND(I237*H237,2)</f>
        <v>20678.669999999998</v>
      </c>
      <c r="K237" s="127" t="s">
        <v>293</v>
      </c>
      <c r="L237" s="268">
        <f>S237</f>
        <v>0</v>
      </c>
      <c r="M237" s="272">
        <f>ROUND(L237*I237,2)</f>
        <v>0</v>
      </c>
      <c r="N237" s="243">
        <f>N241</f>
        <v>-0.15108999999999639</v>
      </c>
      <c r="O237" s="294">
        <f>ROUND(N237*I237,2)</f>
        <v>-77.11</v>
      </c>
      <c r="P237" s="273">
        <f>H237-L237-N237</f>
        <v>40.667089999999995</v>
      </c>
      <c r="Q237" s="287">
        <f>ROUND(P237*I237,2)</f>
        <v>20755.79</v>
      </c>
      <c r="R237" s="1">
        <v>0.9</v>
      </c>
      <c r="S237" s="269">
        <f>W237+Y237+AA237+AC237+AE237+AG237+AI237+AK237+AM237</f>
        <v>0</v>
      </c>
      <c r="T237" s="269">
        <f>ROUND(S237*I237,2)</f>
        <v>0</v>
      </c>
      <c r="U237" s="269">
        <f>H237-S237</f>
        <v>40.515999999999998</v>
      </c>
      <c r="V237" s="269">
        <f>ROUND(U237*I237,2)</f>
        <v>20678.669999999998</v>
      </c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ES237" s="132" t="s">
        <v>1</v>
      </c>
      <c r="ET237" s="133" t="s">
        <v>40</v>
      </c>
      <c r="EV237" s="134">
        <f>EU237*H237</f>
        <v>0</v>
      </c>
      <c r="EW237" s="134">
        <v>0</v>
      </c>
      <c r="EX237" s="134">
        <f>EW237*H237</f>
        <v>0</v>
      </c>
      <c r="EY237" s="134">
        <v>0</v>
      </c>
      <c r="EZ237" s="135">
        <f>EY237*H237</f>
        <v>0</v>
      </c>
      <c r="FX237" s="136" t="s">
        <v>95</v>
      </c>
      <c r="FZ237" s="136" t="s">
        <v>284</v>
      </c>
      <c r="GA237" s="136" t="s">
        <v>83</v>
      </c>
      <c r="GE237" s="16" t="s">
        <v>282</v>
      </c>
      <c r="GK237" s="137">
        <f>IF(ET237="základní",J237,0)</f>
        <v>20678.669999999998</v>
      </c>
      <c r="GL237" s="137">
        <f>IF(ET237="snížená",J237,0)</f>
        <v>0</v>
      </c>
      <c r="GM237" s="137">
        <f>IF(ET237="zákl. přenesená",J237,0)</f>
        <v>0</v>
      </c>
      <c r="GN237" s="137">
        <f>IF(ET237="sníž. přenesená",J237,0)</f>
        <v>0</v>
      </c>
      <c r="GO237" s="137">
        <f>IF(ET237="nulová",J237,0)</f>
        <v>0</v>
      </c>
      <c r="GP237" s="16" t="s">
        <v>81</v>
      </c>
      <c r="GQ237" s="137">
        <f>ROUND(I237*H237,2)</f>
        <v>20678.669999999998</v>
      </c>
      <c r="GR237" s="16" t="s">
        <v>95</v>
      </c>
      <c r="GS237" s="136" t="s">
        <v>448</v>
      </c>
    </row>
    <row r="238" spans="2:201" s="1" customFormat="1" ht="39" x14ac:dyDescent="0.2">
      <c r="B238" s="31"/>
      <c r="D238" s="138" t="s">
        <v>289</v>
      </c>
      <c r="F238" s="139" t="s">
        <v>449</v>
      </c>
      <c r="I238" s="140"/>
      <c r="L238" s="31"/>
      <c r="N238" s="213"/>
      <c r="O238" s="214"/>
      <c r="Q238" s="229"/>
      <c r="R238" s="1">
        <v>0.9</v>
      </c>
      <c r="ES238" s="141"/>
      <c r="EZ238" s="50"/>
      <c r="FZ238" s="16" t="s">
        <v>289</v>
      </c>
      <c r="GA238" s="16" t="s">
        <v>83</v>
      </c>
    </row>
    <row r="239" spans="2:201" s="1" customFormat="1" ht="29.25" x14ac:dyDescent="0.2">
      <c r="B239" s="31"/>
      <c r="D239" s="138" t="s">
        <v>299</v>
      </c>
      <c r="F239" s="142" t="s">
        <v>2282</v>
      </c>
      <c r="I239" s="140"/>
      <c r="L239" s="31"/>
      <c r="N239" s="213"/>
      <c r="O239" s="214"/>
      <c r="Q239" s="229"/>
      <c r="R239" s="1">
        <v>0.9</v>
      </c>
      <c r="ES239" s="141"/>
      <c r="EZ239" s="50"/>
      <c r="FZ239" s="16" t="s">
        <v>299</v>
      </c>
      <c r="GA239" s="16" t="s">
        <v>83</v>
      </c>
    </row>
    <row r="240" spans="2:201" s="12" customFormat="1" x14ac:dyDescent="0.2">
      <c r="B240" s="149"/>
      <c r="D240" s="138" t="s">
        <v>301</v>
      </c>
      <c r="E240" s="150" t="s">
        <v>1</v>
      </c>
      <c r="F240" s="151" t="s">
        <v>2311</v>
      </c>
      <c r="H240" s="152">
        <v>40.515999999999998</v>
      </c>
      <c r="I240" s="153"/>
      <c r="L240" s="149"/>
      <c r="N240" s="217">
        <f>109.39*0.9*0.41</f>
        <v>40.364910000000002</v>
      </c>
      <c r="O240" s="218" t="s">
        <v>3535</v>
      </c>
      <c r="Q240" s="231"/>
      <c r="R240" s="12">
        <v>0.9</v>
      </c>
      <c r="ES240" s="154"/>
      <c r="EZ240" s="155"/>
      <c r="FZ240" s="150" t="s">
        <v>301</v>
      </c>
      <c r="GA240" s="150" t="s">
        <v>83</v>
      </c>
      <c r="GB240" s="12" t="s">
        <v>83</v>
      </c>
      <c r="GC240" s="12" t="s">
        <v>32</v>
      </c>
      <c r="GD240" s="12" t="s">
        <v>81</v>
      </c>
      <c r="GE240" s="150" t="s">
        <v>282</v>
      </c>
    </row>
    <row r="241" spans="2:201" s="12" customFormat="1" x14ac:dyDescent="0.2">
      <c r="B241" s="149"/>
      <c r="D241" s="138"/>
      <c r="E241" s="150"/>
      <c r="F241" s="151"/>
      <c r="H241" s="152"/>
      <c r="I241" s="153"/>
      <c r="L241" s="149"/>
      <c r="N241" s="310">
        <f>N240-H240</f>
        <v>-0.15108999999999639</v>
      </c>
      <c r="O241" s="218"/>
      <c r="Q241" s="231"/>
      <c r="ES241" s="154"/>
      <c r="EZ241" s="155"/>
      <c r="FZ241" s="150"/>
      <c r="GA241" s="150"/>
      <c r="GE241" s="150"/>
    </row>
    <row r="242" spans="2:201" s="1" customFormat="1" ht="14.45" customHeight="1" x14ac:dyDescent="0.2">
      <c r="B242" s="124"/>
      <c r="C242" s="170" t="s">
        <v>438</v>
      </c>
      <c r="D242" s="170" t="s">
        <v>439</v>
      </c>
      <c r="E242" s="171" t="s">
        <v>452</v>
      </c>
      <c r="F242" s="172" t="s">
        <v>453</v>
      </c>
      <c r="G242" s="173" t="s">
        <v>418</v>
      </c>
      <c r="H242" s="174">
        <v>81.031999999999996</v>
      </c>
      <c r="I242" s="175">
        <v>380.62816190000001</v>
      </c>
      <c r="J242" s="176">
        <f>ROUND(I242*H242,2)</f>
        <v>30843.06</v>
      </c>
      <c r="K242" s="172" t="s">
        <v>293</v>
      </c>
      <c r="L242" s="268">
        <f>S242</f>
        <v>0</v>
      </c>
      <c r="M242" s="272">
        <f>ROUND(L242*I242,2)</f>
        <v>0</v>
      </c>
      <c r="N242" s="243">
        <f>N244</f>
        <v>-0.30199999999999999</v>
      </c>
      <c r="O242" s="294">
        <f>ROUND(N242*I242,2)</f>
        <v>-114.95</v>
      </c>
      <c r="P242" s="273">
        <f>H242-L242-N242</f>
        <v>81.334000000000003</v>
      </c>
      <c r="Q242" s="287">
        <f>ROUND(P242*I242,2)</f>
        <v>30958.01</v>
      </c>
      <c r="R242" s="1">
        <v>0.9</v>
      </c>
      <c r="S242" s="269">
        <f>W242+Y242+AA242+AC242+AE242+AG242+AI242+AK242+AM242</f>
        <v>0</v>
      </c>
      <c r="T242" s="269">
        <f>ROUND(S242*I242,2)</f>
        <v>0</v>
      </c>
      <c r="U242" s="269">
        <f>H242-S242</f>
        <v>81.031999999999996</v>
      </c>
      <c r="V242" s="269">
        <f>ROUND(U242*I242,2)</f>
        <v>30843.06</v>
      </c>
      <c r="W242" s="290"/>
      <c r="X242" s="290"/>
      <c r="Y242" s="290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290"/>
      <c r="AK242" s="290"/>
      <c r="AL242" s="290"/>
      <c r="AM242" s="290"/>
      <c r="AN242" s="290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77" t="s">
        <v>1</v>
      </c>
      <c r="ET242" s="178" t="s">
        <v>40</v>
      </c>
      <c r="EV242" s="134">
        <f>EU242*H242</f>
        <v>0</v>
      </c>
      <c r="EW242" s="134">
        <v>1</v>
      </c>
      <c r="EX242" s="134">
        <f>EW242*H242</f>
        <v>81.031999999999996</v>
      </c>
      <c r="EY242" s="134">
        <v>0</v>
      </c>
      <c r="EZ242" s="135">
        <f>EY242*H242</f>
        <v>0</v>
      </c>
      <c r="FX242" s="136" t="s">
        <v>328</v>
      </c>
      <c r="FZ242" s="136" t="s">
        <v>439</v>
      </c>
      <c r="GA242" s="136" t="s">
        <v>83</v>
      </c>
      <c r="GE242" s="16" t="s">
        <v>282</v>
      </c>
      <c r="GK242" s="137">
        <f>IF(ET242="základní",J242,0)</f>
        <v>30843.06</v>
      </c>
      <c r="GL242" s="137">
        <f>IF(ET242="snížená",J242,0)</f>
        <v>0</v>
      </c>
      <c r="GM242" s="137">
        <f>IF(ET242="zákl. přenesená",J242,0)</f>
        <v>0</v>
      </c>
      <c r="GN242" s="137">
        <f>IF(ET242="sníž. přenesená",J242,0)</f>
        <v>0</v>
      </c>
      <c r="GO242" s="137">
        <f>IF(ET242="nulová",J242,0)</f>
        <v>0</v>
      </c>
      <c r="GP242" s="16" t="s">
        <v>81</v>
      </c>
      <c r="GQ242" s="137">
        <f>ROUND(I242*H242,2)</f>
        <v>30843.06</v>
      </c>
      <c r="GR242" s="16" t="s">
        <v>95</v>
      </c>
      <c r="GS242" s="136" t="s">
        <v>454</v>
      </c>
    </row>
    <row r="243" spans="2:201" s="1" customFormat="1" x14ac:dyDescent="0.2">
      <c r="B243" s="31"/>
      <c r="D243" s="138" t="s">
        <v>289</v>
      </c>
      <c r="F243" s="139" t="s">
        <v>453</v>
      </c>
      <c r="I243" s="140"/>
      <c r="L243" s="31"/>
      <c r="N243" s="213"/>
      <c r="O243" s="214"/>
      <c r="Q243" s="229"/>
      <c r="R243" s="1">
        <v>0.9</v>
      </c>
      <c r="ES243" s="141"/>
      <c r="EZ243" s="50"/>
      <c r="FZ243" s="16" t="s">
        <v>289</v>
      </c>
      <c r="GA243" s="16" t="s">
        <v>83</v>
      </c>
    </row>
    <row r="244" spans="2:201" s="12" customFormat="1" x14ac:dyDescent="0.2">
      <c r="B244" s="149"/>
      <c r="D244" s="138" t="s">
        <v>301</v>
      </c>
      <c r="F244" s="151" t="s">
        <v>2312</v>
      </c>
      <c r="H244" s="152">
        <v>81.031999999999996</v>
      </c>
      <c r="I244" s="153"/>
      <c r="L244" s="149"/>
      <c r="N244" s="217">
        <f>-0.151*2</f>
        <v>-0.30199999999999999</v>
      </c>
      <c r="O244" s="218" t="s">
        <v>3536</v>
      </c>
      <c r="Q244" s="231"/>
      <c r="R244" s="12">
        <v>0.9</v>
      </c>
      <c r="ES244" s="154"/>
      <c r="EZ244" s="155"/>
      <c r="FZ244" s="150" t="s">
        <v>301</v>
      </c>
      <c r="GA244" s="150" t="s">
        <v>83</v>
      </c>
      <c r="GB244" s="12" t="s">
        <v>83</v>
      </c>
      <c r="GC244" s="12" t="s">
        <v>3</v>
      </c>
      <c r="GD244" s="12" t="s">
        <v>81</v>
      </c>
      <c r="GE244" s="150" t="s">
        <v>282</v>
      </c>
    </row>
    <row r="245" spans="2:201" s="1" customFormat="1" ht="24.2" customHeight="1" x14ac:dyDescent="0.2">
      <c r="B245" s="124"/>
      <c r="C245" s="125" t="s">
        <v>445</v>
      </c>
      <c r="D245" s="125" t="s">
        <v>284</v>
      </c>
      <c r="E245" s="126" t="s">
        <v>457</v>
      </c>
      <c r="F245" s="127" t="s">
        <v>458</v>
      </c>
      <c r="G245" s="128" t="s">
        <v>418</v>
      </c>
      <c r="H245" s="129">
        <v>365.13600000000002</v>
      </c>
      <c r="I245" s="130">
        <v>61.737071122597108</v>
      </c>
      <c r="J245" s="131">
        <f>ROUND(I245*H245,2)</f>
        <v>22542.43</v>
      </c>
      <c r="K245" s="127" t="s">
        <v>293</v>
      </c>
      <c r="L245" s="268">
        <f>S245</f>
        <v>0</v>
      </c>
      <c r="M245" s="272">
        <f>ROUND(L245*I245,2)</f>
        <v>0</v>
      </c>
      <c r="N245" s="243"/>
      <c r="O245" s="294">
        <f>ROUND(N245*I245,2)</f>
        <v>0</v>
      </c>
      <c r="P245" s="273">
        <f>H245-L245-N245</f>
        <v>365.13600000000002</v>
      </c>
      <c r="Q245" s="287">
        <f>ROUND(P245*I245,2)</f>
        <v>22542.43</v>
      </c>
      <c r="R245" s="1">
        <v>0.9</v>
      </c>
      <c r="S245" s="269">
        <f>W245+Y245+AA245+AC245+AE245+AG245+AI245+AK245+AM245</f>
        <v>0</v>
      </c>
      <c r="T245" s="269">
        <f>ROUND(S245*I245,2)</f>
        <v>0</v>
      </c>
      <c r="U245" s="269">
        <f>H245-S245</f>
        <v>365.13600000000002</v>
      </c>
      <c r="V245" s="269">
        <f>ROUND(U245*I245,2)</f>
        <v>22542.43</v>
      </c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ES245" s="132" t="s">
        <v>1</v>
      </c>
      <c r="ET245" s="133" t="s">
        <v>40</v>
      </c>
      <c r="EV245" s="134">
        <f>EU245*H245</f>
        <v>0</v>
      </c>
      <c r="EW245" s="134">
        <v>0</v>
      </c>
      <c r="EX245" s="134">
        <f>EW245*H245</f>
        <v>0</v>
      </c>
      <c r="EY245" s="134">
        <v>0</v>
      </c>
      <c r="EZ245" s="135">
        <f>EY245*H245</f>
        <v>0</v>
      </c>
      <c r="FX245" s="136" t="s">
        <v>95</v>
      </c>
      <c r="FZ245" s="136" t="s">
        <v>284</v>
      </c>
      <c r="GA245" s="136" t="s">
        <v>83</v>
      </c>
      <c r="GE245" s="16" t="s">
        <v>282</v>
      </c>
      <c r="GK245" s="137">
        <f>IF(ET245="základní",J245,0)</f>
        <v>22542.43</v>
      </c>
      <c r="GL245" s="137">
        <f>IF(ET245="snížená",J245,0)</f>
        <v>0</v>
      </c>
      <c r="GM245" s="137">
        <f>IF(ET245="zákl. přenesená",J245,0)</f>
        <v>0</v>
      </c>
      <c r="GN245" s="137">
        <f>IF(ET245="sníž. přenesená",J245,0)</f>
        <v>0</v>
      </c>
      <c r="GO245" s="137">
        <f>IF(ET245="nulová",J245,0)</f>
        <v>0</v>
      </c>
      <c r="GP245" s="16" t="s">
        <v>81</v>
      </c>
      <c r="GQ245" s="137">
        <f>ROUND(I245*H245,2)</f>
        <v>22542.43</v>
      </c>
      <c r="GR245" s="16" t="s">
        <v>95</v>
      </c>
      <c r="GS245" s="136" t="s">
        <v>459</v>
      </c>
    </row>
    <row r="246" spans="2:201" s="1" customFormat="1" ht="29.25" x14ac:dyDescent="0.2">
      <c r="B246" s="31"/>
      <c r="D246" s="138" t="s">
        <v>289</v>
      </c>
      <c r="F246" s="139" t="s">
        <v>460</v>
      </c>
      <c r="I246" s="140"/>
      <c r="L246" s="31"/>
      <c r="N246" s="213"/>
      <c r="O246" s="214"/>
      <c r="Q246" s="229"/>
      <c r="R246" s="1">
        <v>0.9</v>
      </c>
      <c r="ES246" s="141"/>
      <c r="EZ246" s="50"/>
      <c r="FZ246" s="16" t="s">
        <v>289</v>
      </c>
      <c r="GA246" s="16" t="s">
        <v>83</v>
      </c>
    </row>
    <row r="247" spans="2:201" s="12" customFormat="1" x14ac:dyDescent="0.2">
      <c r="B247" s="149"/>
      <c r="D247" s="138" t="s">
        <v>301</v>
      </c>
      <c r="E247" s="150" t="s">
        <v>1</v>
      </c>
      <c r="F247" s="151" t="s">
        <v>2313</v>
      </c>
      <c r="H247" s="152">
        <v>365.13600000000002</v>
      </c>
      <c r="I247" s="153"/>
      <c r="L247" s="149"/>
      <c r="N247" s="217"/>
      <c r="O247" s="218"/>
      <c r="Q247" s="231"/>
      <c r="R247" s="12">
        <v>0.9</v>
      </c>
      <c r="ES247" s="154"/>
      <c r="EZ247" s="155"/>
      <c r="FZ247" s="150" t="s">
        <v>301</v>
      </c>
      <c r="GA247" s="150" t="s">
        <v>83</v>
      </c>
      <c r="GB247" s="12" t="s">
        <v>83</v>
      </c>
      <c r="GC247" s="12" t="s">
        <v>32</v>
      </c>
      <c r="GD247" s="12" t="s">
        <v>81</v>
      </c>
      <c r="GE247" s="150" t="s">
        <v>282</v>
      </c>
    </row>
    <row r="248" spans="2:201" s="10" customFormat="1" ht="22.9" customHeight="1" x14ac:dyDescent="0.2">
      <c r="B248" s="112"/>
      <c r="D248" s="113" t="s">
        <v>73</v>
      </c>
      <c r="E248" s="122" t="s">
        <v>83</v>
      </c>
      <c r="F248" s="122" t="s">
        <v>462</v>
      </c>
      <c r="I248" s="115"/>
      <c r="J248" s="123">
        <f>GQ248</f>
        <v>28994.7</v>
      </c>
      <c r="L248" s="112"/>
      <c r="M248" s="291">
        <f>M249</f>
        <v>0</v>
      </c>
      <c r="N248" s="295"/>
      <c r="O248" s="296">
        <f t="shared" ref="O248:V248" si="3">O249</f>
        <v>-108.27</v>
      </c>
      <c r="P248" s="291"/>
      <c r="Q248" s="298">
        <f t="shared" si="3"/>
        <v>29102.97</v>
      </c>
      <c r="R248" s="291"/>
      <c r="S248" s="291"/>
      <c r="T248" s="291">
        <f t="shared" si="3"/>
        <v>0</v>
      </c>
      <c r="U248" s="291"/>
      <c r="V248" s="291">
        <f t="shared" si="3"/>
        <v>28994.7</v>
      </c>
      <c r="ES248" s="117"/>
      <c r="EV248" s="118">
        <f>SUM(EV249:EV252)</f>
        <v>0</v>
      </c>
      <c r="EX248" s="118">
        <f>SUM(EX249:EX252)</f>
        <v>22.474962000000001</v>
      </c>
      <c r="EZ248" s="119">
        <f>SUM(EZ249:EZ252)</f>
        <v>0</v>
      </c>
      <c r="FX248" s="113" t="s">
        <v>81</v>
      </c>
      <c r="FZ248" s="120" t="s">
        <v>73</v>
      </c>
      <c r="GA248" s="120" t="s">
        <v>81</v>
      </c>
      <c r="GE248" s="113" t="s">
        <v>282</v>
      </c>
      <c r="GQ248" s="121">
        <f>SUM(GQ249:GQ252)</f>
        <v>28994.7</v>
      </c>
    </row>
    <row r="249" spans="2:201" s="1" customFormat="1" ht="37.9" customHeight="1" x14ac:dyDescent="0.2">
      <c r="B249" s="124"/>
      <c r="C249" s="125" t="s">
        <v>451</v>
      </c>
      <c r="D249" s="125" t="s">
        <v>284</v>
      </c>
      <c r="E249" s="126" t="s">
        <v>464</v>
      </c>
      <c r="F249" s="127" t="s">
        <v>465</v>
      </c>
      <c r="G249" s="128" t="s">
        <v>344</v>
      </c>
      <c r="H249" s="129">
        <v>109.8</v>
      </c>
      <c r="I249" s="130">
        <v>264.06831423630393</v>
      </c>
      <c r="J249" s="131">
        <f>ROUND(I249*H249,2)</f>
        <v>28994.7</v>
      </c>
      <c r="K249" s="127" t="s">
        <v>293</v>
      </c>
      <c r="L249" s="268">
        <f>S249</f>
        <v>0</v>
      </c>
      <c r="M249" s="272">
        <f>ROUND(L249*I249,2)</f>
        <v>0</v>
      </c>
      <c r="N249" s="243">
        <f>N252</f>
        <v>-0.40999999999999659</v>
      </c>
      <c r="O249" s="294">
        <f>ROUND(N249*I249,2)</f>
        <v>-108.27</v>
      </c>
      <c r="P249" s="273">
        <f>H249-L249-N249</f>
        <v>110.21</v>
      </c>
      <c r="Q249" s="287">
        <f>ROUND(P249*I249,2)</f>
        <v>29102.97</v>
      </c>
      <c r="R249" s="1">
        <v>0.9</v>
      </c>
      <c r="S249" s="269">
        <f>W249+Y249+AA249+AC249+AE249+AG249+AI249+AK249+AM249</f>
        <v>0</v>
      </c>
      <c r="T249" s="269">
        <f>ROUND(S249*I249,2)</f>
        <v>0</v>
      </c>
      <c r="U249" s="269">
        <f>H249-S249</f>
        <v>109.8</v>
      </c>
      <c r="V249" s="269">
        <f>ROUND(U249*I249,2)</f>
        <v>28994.7</v>
      </c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ES249" s="132" t="s">
        <v>1</v>
      </c>
      <c r="ET249" s="133" t="s">
        <v>40</v>
      </c>
      <c r="EV249" s="134">
        <f>EU249*H249</f>
        <v>0</v>
      </c>
      <c r="EW249" s="134">
        <v>0.20469000000000001</v>
      </c>
      <c r="EX249" s="134">
        <f>EW249*H249</f>
        <v>22.474962000000001</v>
      </c>
      <c r="EY249" s="134">
        <v>0</v>
      </c>
      <c r="EZ249" s="135">
        <f>EY249*H249</f>
        <v>0</v>
      </c>
      <c r="FX249" s="136" t="s">
        <v>95</v>
      </c>
      <c r="FZ249" s="136" t="s">
        <v>284</v>
      </c>
      <c r="GA249" s="136" t="s">
        <v>83</v>
      </c>
      <c r="GE249" s="16" t="s">
        <v>282</v>
      </c>
      <c r="GK249" s="137">
        <f>IF(ET249="základní",J249,0)</f>
        <v>28994.7</v>
      </c>
      <c r="GL249" s="137">
        <f>IF(ET249="snížená",J249,0)</f>
        <v>0</v>
      </c>
      <c r="GM249" s="137">
        <f>IF(ET249="zákl. přenesená",J249,0)</f>
        <v>0</v>
      </c>
      <c r="GN249" s="137">
        <f>IF(ET249="sníž. přenesená",J249,0)</f>
        <v>0</v>
      </c>
      <c r="GO249" s="137">
        <f>IF(ET249="nulová",J249,0)</f>
        <v>0</v>
      </c>
      <c r="GP249" s="16" t="s">
        <v>81</v>
      </c>
      <c r="GQ249" s="137">
        <f>ROUND(I249*H249,2)</f>
        <v>28994.7</v>
      </c>
      <c r="GR249" s="16" t="s">
        <v>95</v>
      </c>
      <c r="GS249" s="136" t="s">
        <v>466</v>
      </c>
    </row>
    <row r="250" spans="2:201" s="1" customFormat="1" ht="39" x14ac:dyDescent="0.2">
      <c r="B250" s="31"/>
      <c r="D250" s="138" t="s">
        <v>289</v>
      </c>
      <c r="F250" s="139" t="s">
        <v>467</v>
      </c>
      <c r="I250" s="140"/>
      <c r="L250" s="31"/>
      <c r="N250" s="213"/>
      <c r="O250" s="214"/>
      <c r="Q250" s="229"/>
      <c r="R250" s="1">
        <v>0.9</v>
      </c>
      <c r="ES250" s="141"/>
      <c r="EZ250" s="50"/>
      <c r="FZ250" s="16" t="s">
        <v>289</v>
      </c>
      <c r="GA250" s="16" t="s">
        <v>83</v>
      </c>
    </row>
    <row r="251" spans="2:201" s="1" customFormat="1" ht="29.25" x14ac:dyDescent="0.2">
      <c r="B251" s="31"/>
      <c r="D251" s="138" t="s">
        <v>299</v>
      </c>
      <c r="F251" s="142" t="s">
        <v>2282</v>
      </c>
      <c r="I251" s="140"/>
      <c r="L251" s="31"/>
      <c r="N251" s="213"/>
      <c r="O251" s="214"/>
      <c r="Q251" s="229"/>
      <c r="R251" s="1">
        <v>0.9</v>
      </c>
      <c r="ES251" s="141"/>
      <c r="EZ251" s="50"/>
      <c r="FZ251" s="16" t="s">
        <v>299</v>
      </c>
      <c r="GA251" s="16" t="s">
        <v>83</v>
      </c>
    </row>
    <row r="252" spans="2:201" s="12" customFormat="1" x14ac:dyDescent="0.2">
      <c r="B252" s="149"/>
      <c r="D252" s="138" t="s">
        <v>301</v>
      </c>
      <c r="E252" s="150" t="s">
        <v>1</v>
      </c>
      <c r="F252" s="151" t="s">
        <v>2314</v>
      </c>
      <c r="H252" s="152">
        <v>109.8</v>
      </c>
      <c r="I252" s="153"/>
      <c r="L252" s="149"/>
      <c r="N252" s="217">
        <f>109.39-109.8</f>
        <v>-0.40999999999999659</v>
      </c>
      <c r="O252" s="218" t="s">
        <v>3537</v>
      </c>
      <c r="Q252" s="231"/>
      <c r="R252" s="12">
        <v>0.9</v>
      </c>
      <c r="ES252" s="154"/>
      <c r="EZ252" s="155"/>
      <c r="FZ252" s="150" t="s">
        <v>301</v>
      </c>
      <c r="GA252" s="150" t="s">
        <v>83</v>
      </c>
      <c r="GB252" s="12" t="s">
        <v>83</v>
      </c>
      <c r="GC252" s="12" t="s">
        <v>32</v>
      </c>
      <c r="GD252" s="12" t="s">
        <v>81</v>
      </c>
      <c r="GE252" s="150" t="s">
        <v>282</v>
      </c>
    </row>
    <row r="253" spans="2:201" s="10" customFormat="1" ht="22.9" customHeight="1" x14ac:dyDescent="0.2">
      <c r="B253" s="112"/>
      <c r="D253" s="113" t="s">
        <v>73</v>
      </c>
      <c r="E253" s="122" t="s">
        <v>95</v>
      </c>
      <c r="F253" s="122" t="s">
        <v>469</v>
      </c>
      <c r="I253" s="115"/>
      <c r="J253" s="123">
        <f>GQ253</f>
        <v>12528.560000000001</v>
      </c>
      <c r="L253" s="112"/>
      <c r="M253" s="291">
        <f>M254+M259</f>
        <v>0</v>
      </c>
      <c r="N253" s="295"/>
      <c r="O253" s="296">
        <f t="shared" ref="O253:V253" si="4">O254+O259</f>
        <v>-44.29</v>
      </c>
      <c r="P253" s="291"/>
      <c r="Q253" s="298">
        <f t="shared" si="4"/>
        <v>12572.84</v>
      </c>
      <c r="R253" s="291"/>
      <c r="S253" s="291"/>
      <c r="T253" s="291">
        <f t="shared" si="4"/>
        <v>0</v>
      </c>
      <c r="U253" s="291"/>
      <c r="V253" s="291">
        <f t="shared" si="4"/>
        <v>12528.560000000001</v>
      </c>
      <c r="ES253" s="117"/>
      <c r="EV253" s="118">
        <f>SUM(EV254:EV262)</f>
        <v>0</v>
      </c>
      <c r="EX253" s="118">
        <f>SUM(EX254:EX262)</f>
        <v>0</v>
      </c>
      <c r="EZ253" s="119">
        <f>SUM(EZ254:EZ262)</f>
        <v>0</v>
      </c>
      <c r="FX253" s="113" t="s">
        <v>81</v>
      </c>
      <c r="FZ253" s="120" t="s">
        <v>73</v>
      </c>
      <c r="GA253" s="120" t="s">
        <v>81</v>
      </c>
      <c r="GE253" s="113" t="s">
        <v>282</v>
      </c>
      <c r="GQ253" s="121">
        <f>SUM(GQ254:GQ262)</f>
        <v>12528.560000000001</v>
      </c>
    </row>
    <row r="254" spans="2:201" s="1" customFormat="1" ht="14.45" customHeight="1" x14ac:dyDescent="0.2">
      <c r="B254" s="124"/>
      <c r="C254" s="125" t="s">
        <v>456</v>
      </c>
      <c r="D254" s="125" t="s">
        <v>284</v>
      </c>
      <c r="E254" s="126" t="s">
        <v>471</v>
      </c>
      <c r="F254" s="127" t="s">
        <v>472</v>
      </c>
      <c r="G254" s="128" t="s">
        <v>366</v>
      </c>
      <c r="H254" s="129">
        <v>9.8819999999999997</v>
      </c>
      <c r="I254" s="130">
        <v>1200.17173250368</v>
      </c>
      <c r="J254" s="131">
        <f>ROUND(I254*H254,2)</f>
        <v>11860.1</v>
      </c>
      <c r="K254" s="127" t="s">
        <v>293</v>
      </c>
      <c r="L254" s="268">
        <f>S254</f>
        <v>0</v>
      </c>
      <c r="M254" s="272">
        <f>ROUND(L254*I254,2)</f>
        <v>0</v>
      </c>
      <c r="N254" s="243">
        <f>N258</f>
        <v>-3.689999999999749E-2</v>
      </c>
      <c r="O254" s="294">
        <f>ROUND(N254*I254,2)</f>
        <v>-44.29</v>
      </c>
      <c r="P254" s="273">
        <f>H254-L254-N254</f>
        <v>9.9188999999999972</v>
      </c>
      <c r="Q254" s="287">
        <f>ROUND(P254*I254,2)</f>
        <v>11904.38</v>
      </c>
      <c r="R254" s="1">
        <v>0.9</v>
      </c>
      <c r="S254" s="269">
        <f>W254+Y254+AA254+AC254+AE254+AG254+AI254+AK254+AM254</f>
        <v>0</v>
      </c>
      <c r="T254" s="269">
        <f>ROUND(S254*I254,2)</f>
        <v>0</v>
      </c>
      <c r="U254" s="269">
        <f>H254-S254</f>
        <v>9.8819999999999997</v>
      </c>
      <c r="V254" s="269">
        <f>ROUND(U254*I254,2)</f>
        <v>11860.1</v>
      </c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ES254" s="132" t="s">
        <v>1</v>
      </c>
      <c r="ET254" s="133" t="s">
        <v>40</v>
      </c>
      <c r="EV254" s="134">
        <f>EU254*H254</f>
        <v>0</v>
      </c>
      <c r="EW254" s="134">
        <v>0</v>
      </c>
      <c r="EX254" s="134">
        <f>EW254*H254</f>
        <v>0</v>
      </c>
      <c r="EY254" s="134">
        <v>0</v>
      </c>
      <c r="EZ254" s="135">
        <f>EY254*H254</f>
        <v>0</v>
      </c>
      <c r="FX254" s="136" t="s">
        <v>95</v>
      </c>
      <c r="FZ254" s="136" t="s">
        <v>284</v>
      </c>
      <c r="GA254" s="136" t="s">
        <v>83</v>
      </c>
      <c r="GE254" s="16" t="s">
        <v>282</v>
      </c>
      <c r="GK254" s="137">
        <f>IF(ET254="základní",J254,0)</f>
        <v>11860.1</v>
      </c>
      <c r="GL254" s="137">
        <f>IF(ET254="snížená",J254,0)</f>
        <v>0</v>
      </c>
      <c r="GM254" s="137">
        <f>IF(ET254="zákl. přenesená",J254,0)</f>
        <v>0</v>
      </c>
      <c r="GN254" s="137">
        <f>IF(ET254="sníž. přenesená",J254,0)</f>
        <v>0</v>
      </c>
      <c r="GO254" s="137">
        <f>IF(ET254="nulová",J254,0)</f>
        <v>0</v>
      </c>
      <c r="GP254" s="16" t="s">
        <v>81</v>
      </c>
      <c r="GQ254" s="137">
        <f>ROUND(I254*H254,2)</f>
        <v>11860.1</v>
      </c>
      <c r="GR254" s="16" t="s">
        <v>95</v>
      </c>
      <c r="GS254" s="136" t="s">
        <v>473</v>
      </c>
    </row>
    <row r="255" spans="2:201" s="1" customFormat="1" ht="19.5" x14ac:dyDescent="0.2">
      <c r="B255" s="31"/>
      <c r="D255" s="138" t="s">
        <v>289</v>
      </c>
      <c r="F255" s="139" t="s">
        <v>474</v>
      </c>
      <c r="I255" s="140"/>
      <c r="L255" s="31"/>
      <c r="N255" s="213"/>
      <c r="O255" s="214"/>
      <c r="Q255" s="229"/>
      <c r="R255" s="1">
        <v>0.9</v>
      </c>
      <c r="ES255" s="141"/>
      <c r="EZ255" s="50"/>
      <c r="FZ255" s="16" t="s">
        <v>289</v>
      </c>
      <c r="GA255" s="16" t="s">
        <v>83</v>
      </c>
    </row>
    <row r="256" spans="2:201" s="1" customFormat="1" ht="29.25" x14ac:dyDescent="0.2">
      <c r="B256" s="31"/>
      <c r="D256" s="138" t="s">
        <v>299</v>
      </c>
      <c r="F256" s="142" t="s">
        <v>2282</v>
      </c>
      <c r="I256" s="140"/>
      <c r="L256" s="31"/>
      <c r="N256" s="213"/>
      <c r="O256" s="214"/>
      <c r="Q256" s="229"/>
      <c r="R256" s="1">
        <v>0.9</v>
      </c>
      <c r="ES256" s="141"/>
      <c r="EZ256" s="50"/>
      <c r="FZ256" s="16" t="s">
        <v>299</v>
      </c>
      <c r="GA256" s="16" t="s">
        <v>83</v>
      </c>
    </row>
    <row r="257" spans="2:201" s="12" customFormat="1" x14ac:dyDescent="0.2">
      <c r="B257" s="149"/>
      <c r="D257" s="138" t="s">
        <v>301</v>
      </c>
      <c r="E257" s="150" t="s">
        <v>1</v>
      </c>
      <c r="F257" s="151" t="s">
        <v>2315</v>
      </c>
      <c r="H257" s="152">
        <v>9.8819999999999997</v>
      </c>
      <c r="I257" s="153"/>
      <c r="L257" s="149"/>
      <c r="N257" s="217">
        <f>109.39*0.9*0.1</f>
        <v>9.8451000000000022</v>
      </c>
      <c r="O257" s="218" t="s">
        <v>3538</v>
      </c>
      <c r="Q257" s="231"/>
      <c r="R257" s="12">
        <v>0.9</v>
      </c>
      <c r="ES257" s="154"/>
      <c r="EZ257" s="155"/>
      <c r="FZ257" s="150" t="s">
        <v>301</v>
      </c>
      <c r="GA257" s="150" t="s">
        <v>83</v>
      </c>
      <c r="GB257" s="12" t="s">
        <v>83</v>
      </c>
      <c r="GC257" s="12" t="s">
        <v>32</v>
      </c>
      <c r="GD257" s="12" t="s">
        <v>81</v>
      </c>
      <c r="GE257" s="150" t="s">
        <v>282</v>
      </c>
    </row>
    <row r="258" spans="2:201" s="12" customFormat="1" x14ac:dyDescent="0.2">
      <c r="B258" s="149"/>
      <c r="D258" s="138"/>
      <c r="E258" s="150"/>
      <c r="F258" s="151"/>
      <c r="H258" s="152"/>
      <c r="I258" s="153"/>
      <c r="L258" s="149"/>
      <c r="N258" s="310">
        <f>N257-H257</f>
        <v>-3.689999999999749E-2</v>
      </c>
      <c r="O258" s="218"/>
      <c r="Q258" s="231"/>
      <c r="ES258" s="154"/>
      <c r="EZ258" s="155"/>
      <c r="FZ258" s="150"/>
      <c r="GA258" s="150"/>
      <c r="GE258" s="150"/>
    </row>
    <row r="259" spans="2:201" s="1" customFormat="1" ht="24.2" customHeight="1" x14ac:dyDescent="0.2">
      <c r="B259" s="124"/>
      <c r="C259" s="125" t="s">
        <v>463</v>
      </c>
      <c r="D259" s="125" t="s">
        <v>284</v>
      </c>
      <c r="E259" s="126" t="s">
        <v>2316</v>
      </c>
      <c r="F259" s="127" t="s">
        <v>2317</v>
      </c>
      <c r="G259" s="128" t="s">
        <v>366</v>
      </c>
      <c r="H259" s="129">
        <v>0.25</v>
      </c>
      <c r="I259" s="130">
        <v>2673.8237591203297</v>
      </c>
      <c r="J259" s="131">
        <f>ROUND(I259*H259,2)</f>
        <v>668.46</v>
      </c>
      <c r="K259" s="127" t="s">
        <v>293</v>
      </c>
      <c r="L259" s="268">
        <f>S259</f>
        <v>0</v>
      </c>
      <c r="M259" s="272">
        <f>ROUND(L259*I259,2)</f>
        <v>0</v>
      </c>
      <c r="N259" s="243"/>
      <c r="O259" s="294">
        <f>ROUND(N259*I259,2)</f>
        <v>0</v>
      </c>
      <c r="P259" s="273">
        <f>H259-L259-N259</f>
        <v>0.25</v>
      </c>
      <c r="Q259" s="287">
        <f>ROUND(P259*I259,2)</f>
        <v>668.46</v>
      </c>
      <c r="R259" s="1">
        <v>0.9</v>
      </c>
      <c r="S259" s="269">
        <f>W259+Y259+AA259+AC259+AE259+AG259+AI259+AK259+AM259</f>
        <v>0</v>
      </c>
      <c r="T259" s="269">
        <f>ROUND(S259*I259,2)</f>
        <v>0</v>
      </c>
      <c r="U259" s="269">
        <f>H259-S259</f>
        <v>0.25</v>
      </c>
      <c r="V259" s="269">
        <f>ROUND(U259*I259,2)</f>
        <v>668.46</v>
      </c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ES259" s="132" t="s">
        <v>1</v>
      </c>
      <c r="ET259" s="133" t="s">
        <v>40</v>
      </c>
      <c r="EV259" s="134">
        <f>EU259*H259</f>
        <v>0</v>
      </c>
      <c r="EW259" s="134">
        <v>0</v>
      </c>
      <c r="EX259" s="134">
        <f>EW259*H259</f>
        <v>0</v>
      </c>
      <c r="EY259" s="134">
        <v>0</v>
      </c>
      <c r="EZ259" s="135">
        <f>EY259*H259</f>
        <v>0</v>
      </c>
      <c r="FX259" s="136" t="s">
        <v>95</v>
      </c>
      <c r="FZ259" s="136" t="s">
        <v>284</v>
      </c>
      <c r="GA259" s="136" t="s">
        <v>83</v>
      </c>
      <c r="GE259" s="16" t="s">
        <v>282</v>
      </c>
      <c r="GK259" s="137">
        <f>IF(ET259="základní",J259,0)</f>
        <v>668.46</v>
      </c>
      <c r="GL259" s="137">
        <f>IF(ET259="snížená",J259,0)</f>
        <v>0</v>
      </c>
      <c r="GM259" s="137">
        <f>IF(ET259="zákl. přenesená",J259,0)</f>
        <v>0</v>
      </c>
      <c r="GN259" s="137">
        <f>IF(ET259="sníž. přenesená",J259,0)</f>
        <v>0</v>
      </c>
      <c r="GO259" s="137">
        <f>IF(ET259="nulová",J259,0)</f>
        <v>0</v>
      </c>
      <c r="GP259" s="16" t="s">
        <v>81</v>
      </c>
      <c r="GQ259" s="137">
        <f>ROUND(I259*H259,2)</f>
        <v>668.46</v>
      </c>
      <c r="GR259" s="16" t="s">
        <v>95</v>
      </c>
      <c r="GS259" s="136" t="s">
        <v>2318</v>
      </c>
    </row>
    <row r="260" spans="2:201" s="1" customFormat="1" ht="19.5" x14ac:dyDescent="0.2">
      <c r="B260" s="31"/>
      <c r="D260" s="138" t="s">
        <v>289</v>
      </c>
      <c r="F260" s="139" t="s">
        <v>2319</v>
      </c>
      <c r="I260" s="140"/>
      <c r="L260" s="31"/>
      <c r="N260" s="213"/>
      <c r="O260" s="214"/>
      <c r="Q260" s="229"/>
      <c r="R260" s="1">
        <v>0.9</v>
      </c>
      <c r="ES260" s="141"/>
      <c r="EZ260" s="50"/>
      <c r="FZ260" s="16" t="s">
        <v>289</v>
      </c>
      <c r="GA260" s="16" t="s">
        <v>83</v>
      </c>
    </row>
    <row r="261" spans="2:201" s="1" customFormat="1" ht="29.25" x14ac:dyDescent="0.2">
      <c r="B261" s="31"/>
      <c r="D261" s="138" t="s">
        <v>299</v>
      </c>
      <c r="F261" s="142" t="s">
        <v>2282</v>
      </c>
      <c r="I261" s="140"/>
      <c r="L261" s="31"/>
      <c r="N261" s="213"/>
      <c r="O261" s="214"/>
      <c r="Q261" s="229"/>
      <c r="R261" s="1">
        <v>0.9</v>
      </c>
      <c r="ES261" s="141"/>
      <c r="EZ261" s="50"/>
      <c r="FZ261" s="16" t="s">
        <v>299</v>
      </c>
      <c r="GA261" s="16" t="s">
        <v>83</v>
      </c>
    </row>
    <row r="262" spans="2:201" s="12" customFormat="1" x14ac:dyDescent="0.2">
      <c r="B262" s="149"/>
      <c r="D262" s="138" t="s">
        <v>301</v>
      </c>
      <c r="E262" s="150" t="s">
        <v>1</v>
      </c>
      <c r="F262" s="151" t="s">
        <v>2320</v>
      </c>
      <c r="H262" s="152">
        <v>0.25</v>
      </c>
      <c r="I262" s="153"/>
      <c r="L262" s="149"/>
      <c r="N262" s="217"/>
      <c r="O262" s="218"/>
      <c r="Q262" s="231"/>
      <c r="R262" s="12">
        <v>0.9</v>
      </c>
      <c r="ES262" s="154"/>
      <c r="EZ262" s="155"/>
      <c r="FZ262" s="150" t="s">
        <v>301</v>
      </c>
      <c r="GA262" s="150" t="s">
        <v>83</v>
      </c>
      <c r="GB262" s="12" t="s">
        <v>83</v>
      </c>
      <c r="GC262" s="12" t="s">
        <v>32</v>
      </c>
      <c r="GD262" s="12" t="s">
        <v>81</v>
      </c>
      <c r="GE262" s="150" t="s">
        <v>282</v>
      </c>
    </row>
    <row r="263" spans="2:201" s="10" customFormat="1" ht="22.9" customHeight="1" x14ac:dyDescent="0.2">
      <c r="B263" s="112"/>
      <c r="D263" s="113" t="s">
        <v>73</v>
      </c>
      <c r="E263" s="122" t="s">
        <v>312</v>
      </c>
      <c r="F263" s="122" t="s">
        <v>520</v>
      </c>
      <c r="I263" s="115"/>
      <c r="J263" s="123">
        <f>GQ263</f>
        <v>88114.69</v>
      </c>
      <c r="L263" s="112"/>
      <c r="M263" s="291">
        <f>SUM(M264:M277)</f>
        <v>0</v>
      </c>
      <c r="N263" s="295"/>
      <c r="O263" s="296">
        <f t="shared" ref="O263:V263" si="5">SUM(O264:O277)</f>
        <v>-2917.65</v>
      </c>
      <c r="P263" s="291"/>
      <c r="Q263" s="298">
        <f t="shared" si="5"/>
        <v>91032.329999999987</v>
      </c>
      <c r="R263" s="291"/>
      <c r="S263" s="291"/>
      <c r="T263" s="291">
        <f t="shared" si="5"/>
        <v>0</v>
      </c>
      <c r="U263" s="291"/>
      <c r="V263" s="291">
        <f t="shared" si="5"/>
        <v>88114.69</v>
      </c>
      <c r="ES263" s="117"/>
      <c r="EV263" s="118">
        <f>SUM(EV264:EV281)</f>
        <v>0</v>
      </c>
      <c r="EX263" s="118">
        <f>SUM(EX264:EX281)</f>
        <v>0</v>
      </c>
      <c r="EZ263" s="119">
        <f>SUM(EZ264:EZ281)</f>
        <v>0</v>
      </c>
      <c r="FX263" s="113" t="s">
        <v>81</v>
      </c>
      <c r="FZ263" s="120" t="s">
        <v>73</v>
      </c>
      <c r="GA263" s="120" t="s">
        <v>81</v>
      </c>
      <c r="GE263" s="113" t="s">
        <v>282</v>
      </c>
      <c r="GQ263" s="121">
        <f>SUM(GQ264:GQ281)</f>
        <v>88114.69</v>
      </c>
    </row>
    <row r="264" spans="2:201" s="1" customFormat="1" ht="24.2" customHeight="1" x14ac:dyDescent="0.2">
      <c r="B264" s="124"/>
      <c r="C264" s="125" t="s">
        <v>470</v>
      </c>
      <c r="D264" s="125" t="s">
        <v>284</v>
      </c>
      <c r="E264" s="126" t="s">
        <v>522</v>
      </c>
      <c r="F264" s="127" t="s">
        <v>523</v>
      </c>
      <c r="G264" s="128" t="s">
        <v>287</v>
      </c>
      <c r="H264" s="129">
        <v>66.02</v>
      </c>
      <c r="I264" s="130">
        <v>130.95617506780872</v>
      </c>
      <c r="J264" s="131">
        <f>ROUND(I264*H264,2)</f>
        <v>8645.73</v>
      </c>
      <c r="K264" s="127" t="s">
        <v>293</v>
      </c>
      <c r="L264" s="268">
        <f>S264</f>
        <v>0</v>
      </c>
      <c r="M264" s="272">
        <f>ROUND(L264*I264,2)</f>
        <v>0</v>
      </c>
      <c r="N264" s="243">
        <f>N139</f>
        <v>-0.84899999999998954</v>
      </c>
      <c r="O264" s="294">
        <f>ROUND(N264*I264,2)</f>
        <v>-111.18</v>
      </c>
      <c r="P264" s="273">
        <f>H264-L264-N264</f>
        <v>66.868999999999986</v>
      </c>
      <c r="Q264" s="287">
        <f>ROUND(P264*I264,2)</f>
        <v>8756.91</v>
      </c>
      <c r="R264" s="1">
        <v>0.9</v>
      </c>
      <c r="S264" s="269">
        <f>W264+Y264+AA264+AC264+AE264+AG264+AI264+AK264+AM264</f>
        <v>0</v>
      </c>
      <c r="T264" s="269">
        <f>ROUND(S264*I264,2)</f>
        <v>0</v>
      </c>
      <c r="U264" s="269">
        <f>H264-S264</f>
        <v>66.02</v>
      </c>
      <c r="V264" s="269">
        <f>ROUND(U264*I264,2)</f>
        <v>8645.73</v>
      </c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ES264" s="132" t="s">
        <v>1</v>
      </c>
      <c r="ET264" s="133" t="s">
        <v>40</v>
      </c>
      <c r="EV264" s="134">
        <f>EU264*H264</f>
        <v>0</v>
      </c>
      <c r="EW264" s="134">
        <v>0</v>
      </c>
      <c r="EX264" s="134">
        <f>EW264*H264</f>
        <v>0</v>
      </c>
      <c r="EY264" s="134">
        <v>0</v>
      </c>
      <c r="EZ264" s="135">
        <f>EY264*H264</f>
        <v>0</v>
      </c>
      <c r="FX264" s="136" t="s">
        <v>95</v>
      </c>
      <c r="FZ264" s="136" t="s">
        <v>284</v>
      </c>
      <c r="GA264" s="136" t="s">
        <v>83</v>
      </c>
      <c r="GE264" s="16" t="s">
        <v>282</v>
      </c>
      <c r="GK264" s="137">
        <f>IF(ET264="základní",J264,0)</f>
        <v>8645.73</v>
      </c>
      <c r="GL264" s="137">
        <f>IF(ET264="snížená",J264,0)</f>
        <v>0</v>
      </c>
      <c r="GM264" s="137">
        <f>IF(ET264="zákl. přenesená",J264,0)</f>
        <v>0</v>
      </c>
      <c r="GN264" s="137">
        <f>IF(ET264="sníž. přenesená",J264,0)</f>
        <v>0</v>
      </c>
      <c r="GO264" s="137">
        <f>IF(ET264="nulová",J264,0)</f>
        <v>0</v>
      </c>
      <c r="GP264" s="16" t="s">
        <v>81</v>
      </c>
      <c r="GQ264" s="137">
        <f>ROUND(I264*H264,2)</f>
        <v>8645.73</v>
      </c>
      <c r="GR264" s="16" t="s">
        <v>95</v>
      </c>
      <c r="GS264" s="136" t="s">
        <v>2321</v>
      </c>
    </row>
    <row r="265" spans="2:201" s="1" customFormat="1" ht="19.5" x14ac:dyDescent="0.2">
      <c r="B265" s="31"/>
      <c r="D265" s="138" t="s">
        <v>289</v>
      </c>
      <c r="F265" s="139" t="s">
        <v>525</v>
      </c>
      <c r="I265" s="140"/>
      <c r="L265" s="31"/>
      <c r="N265" s="213"/>
      <c r="O265" s="214"/>
      <c r="Q265" s="229"/>
      <c r="R265" s="1">
        <v>0.9</v>
      </c>
      <c r="ES265" s="141"/>
      <c r="EZ265" s="50"/>
      <c r="FZ265" s="16" t="s">
        <v>289</v>
      </c>
      <c r="GA265" s="16" t="s">
        <v>83</v>
      </c>
    </row>
    <row r="266" spans="2:201" s="1" customFormat="1" ht="14.45" customHeight="1" x14ac:dyDescent="0.2">
      <c r="B266" s="124"/>
      <c r="C266" s="125" t="s">
        <v>476</v>
      </c>
      <c r="D266" s="125" t="s">
        <v>284</v>
      </c>
      <c r="E266" s="126" t="s">
        <v>527</v>
      </c>
      <c r="F266" s="127" t="s">
        <v>528</v>
      </c>
      <c r="G266" s="128" t="s">
        <v>287</v>
      </c>
      <c r="H266" s="129">
        <v>66.02</v>
      </c>
      <c r="I266" s="130">
        <v>200.20823792465458</v>
      </c>
      <c r="J266" s="131">
        <f>ROUND(I266*H266,2)</f>
        <v>13217.75</v>
      </c>
      <c r="K266" s="127" t="s">
        <v>293</v>
      </c>
      <c r="L266" s="268">
        <f>S266</f>
        <v>0</v>
      </c>
      <c r="M266" s="272">
        <f>ROUND(L266*I266,2)</f>
        <v>0</v>
      </c>
      <c r="N266" s="243">
        <f>N264</f>
        <v>-0.84899999999998954</v>
      </c>
      <c r="O266" s="294">
        <f>ROUND(N266*I266,2)</f>
        <v>-169.98</v>
      </c>
      <c r="P266" s="273">
        <f>H266-L266-N266</f>
        <v>66.868999999999986</v>
      </c>
      <c r="Q266" s="287">
        <f>ROUND(P266*I266,2)</f>
        <v>13387.72</v>
      </c>
      <c r="R266" s="1">
        <v>0.9</v>
      </c>
      <c r="S266" s="269">
        <f>W266+Y266+AA266+AC266+AE266+AG266+AI266+AK266+AM266</f>
        <v>0</v>
      </c>
      <c r="T266" s="269">
        <f>ROUND(S266*I266,2)</f>
        <v>0</v>
      </c>
      <c r="U266" s="269">
        <f>H266-S266</f>
        <v>66.02</v>
      </c>
      <c r="V266" s="269">
        <f>ROUND(U266*I266,2)</f>
        <v>13217.75</v>
      </c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ES266" s="132" t="s">
        <v>1</v>
      </c>
      <c r="ET266" s="133" t="s">
        <v>40</v>
      </c>
      <c r="EV266" s="134">
        <f>EU266*H266</f>
        <v>0</v>
      </c>
      <c r="EW266" s="134">
        <v>0</v>
      </c>
      <c r="EX266" s="134">
        <f>EW266*H266</f>
        <v>0</v>
      </c>
      <c r="EY266" s="134">
        <v>0</v>
      </c>
      <c r="EZ266" s="135">
        <f>EY266*H266</f>
        <v>0</v>
      </c>
      <c r="FX266" s="136" t="s">
        <v>95</v>
      </c>
      <c r="FZ266" s="136" t="s">
        <v>284</v>
      </c>
      <c r="GA266" s="136" t="s">
        <v>83</v>
      </c>
      <c r="GE266" s="16" t="s">
        <v>282</v>
      </c>
      <c r="GK266" s="137">
        <f>IF(ET266="základní",J266,0)</f>
        <v>13217.75</v>
      </c>
      <c r="GL266" s="137">
        <f>IF(ET266="snížená",J266,0)</f>
        <v>0</v>
      </c>
      <c r="GM266" s="137">
        <f>IF(ET266="zákl. přenesená",J266,0)</f>
        <v>0</v>
      </c>
      <c r="GN266" s="137">
        <f>IF(ET266="sníž. přenesená",J266,0)</f>
        <v>0</v>
      </c>
      <c r="GO266" s="137">
        <f>IF(ET266="nulová",J266,0)</f>
        <v>0</v>
      </c>
      <c r="GP266" s="16" t="s">
        <v>81</v>
      </c>
      <c r="GQ266" s="137">
        <f>ROUND(I266*H266,2)</f>
        <v>13217.75</v>
      </c>
      <c r="GR266" s="16" t="s">
        <v>95</v>
      </c>
      <c r="GS266" s="136" t="s">
        <v>2322</v>
      </c>
    </row>
    <row r="267" spans="2:201" s="1" customFormat="1" ht="19.5" x14ac:dyDescent="0.2">
      <c r="B267" s="31"/>
      <c r="D267" s="138" t="s">
        <v>289</v>
      </c>
      <c r="F267" s="139" t="s">
        <v>530</v>
      </c>
      <c r="I267" s="140"/>
      <c r="L267" s="31"/>
      <c r="N267" s="213"/>
      <c r="O267" s="214"/>
      <c r="Q267" s="229"/>
      <c r="R267" s="1">
        <v>0.9</v>
      </c>
      <c r="ES267" s="141"/>
      <c r="EZ267" s="50"/>
      <c r="FZ267" s="16" t="s">
        <v>289</v>
      </c>
      <c r="GA267" s="16" t="s">
        <v>83</v>
      </c>
    </row>
    <row r="268" spans="2:201" s="1" customFormat="1" ht="24.2" customHeight="1" x14ac:dyDescent="0.2">
      <c r="B268" s="124"/>
      <c r="C268" s="125" t="s">
        <v>482</v>
      </c>
      <c r="D268" s="125" t="s">
        <v>284</v>
      </c>
      <c r="E268" s="126" t="s">
        <v>532</v>
      </c>
      <c r="F268" s="127" t="s">
        <v>533</v>
      </c>
      <c r="G268" s="128" t="s">
        <v>287</v>
      </c>
      <c r="H268" s="129">
        <v>66.02</v>
      </c>
      <c r="I268" s="130">
        <v>40.878739778868102</v>
      </c>
      <c r="J268" s="131">
        <f>ROUND(I268*H268,2)</f>
        <v>2698.81</v>
      </c>
      <c r="K268" s="127" t="s">
        <v>293</v>
      </c>
      <c r="L268" s="268">
        <f>S268</f>
        <v>0</v>
      </c>
      <c r="M268" s="272">
        <f>ROUND(L268*I268,2)</f>
        <v>0</v>
      </c>
      <c r="N268" s="243">
        <f>N266</f>
        <v>-0.84899999999998954</v>
      </c>
      <c r="O268" s="294">
        <f>ROUND(N268*I268,2)</f>
        <v>-34.71</v>
      </c>
      <c r="P268" s="273">
        <f>H268-L268-N268</f>
        <v>66.868999999999986</v>
      </c>
      <c r="Q268" s="287">
        <f>ROUND(P268*I268,2)</f>
        <v>2733.52</v>
      </c>
      <c r="R268" s="1">
        <v>0.9</v>
      </c>
      <c r="S268" s="269">
        <f>W268+Y268+AA268+AC268+AE268+AG268+AI268+AK268+AM268</f>
        <v>0</v>
      </c>
      <c r="T268" s="269">
        <f>ROUND(S268*I268,2)</f>
        <v>0</v>
      </c>
      <c r="U268" s="269">
        <f>H268-S268</f>
        <v>66.02</v>
      </c>
      <c r="V268" s="269">
        <f>ROUND(U268*I268,2)</f>
        <v>2698.81</v>
      </c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  <c r="AL268" s="269"/>
      <c r="AM268" s="269"/>
      <c r="AN268" s="269"/>
      <c r="ES268" s="132" t="s">
        <v>1</v>
      </c>
      <c r="ET268" s="133" t="s">
        <v>40</v>
      </c>
      <c r="EV268" s="134">
        <f>EU268*H268</f>
        <v>0</v>
      </c>
      <c r="EW268" s="134">
        <v>0</v>
      </c>
      <c r="EX268" s="134">
        <f>EW268*H268</f>
        <v>0</v>
      </c>
      <c r="EY268" s="134">
        <v>0</v>
      </c>
      <c r="EZ268" s="135">
        <f>EY268*H268</f>
        <v>0</v>
      </c>
      <c r="FX268" s="136" t="s">
        <v>95</v>
      </c>
      <c r="FZ268" s="136" t="s">
        <v>284</v>
      </c>
      <c r="GA268" s="136" t="s">
        <v>83</v>
      </c>
      <c r="GE268" s="16" t="s">
        <v>282</v>
      </c>
      <c r="GK268" s="137">
        <f>IF(ET268="základní",J268,0)</f>
        <v>2698.81</v>
      </c>
      <c r="GL268" s="137">
        <f>IF(ET268="snížená",J268,0)</f>
        <v>0</v>
      </c>
      <c r="GM268" s="137">
        <f>IF(ET268="zákl. přenesená",J268,0)</f>
        <v>0</v>
      </c>
      <c r="GN268" s="137">
        <f>IF(ET268="sníž. přenesená",J268,0)</f>
        <v>0</v>
      </c>
      <c r="GO268" s="137">
        <f>IF(ET268="nulová",J268,0)</f>
        <v>0</v>
      </c>
      <c r="GP268" s="16" t="s">
        <v>81</v>
      </c>
      <c r="GQ268" s="137">
        <f>ROUND(I268*H268,2)</f>
        <v>2698.81</v>
      </c>
      <c r="GR268" s="16" t="s">
        <v>95</v>
      </c>
      <c r="GS268" s="136" t="s">
        <v>2323</v>
      </c>
    </row>
    <row r="269" spans="2:201" s="1" customFormat="1" ht="19.5" x14ac:dyDescent="0.2">
      <c r="B269" s="31"/>
      <c r="D269" s="138" t="s">
        <v>289</v>
      </c>
      <c r="F269" s="139" t="s">
        <v>535</v>
      </c>
      <c r="I269" s="140"/>
      <c r="L269" s="31"/>
      <c r="N269" s="213"/>
      <c r="O269" s="214"/>
      <c r="Q269" s="229"/>
      <c r="R269" s="1">
        <v>0.9</v>
      </c>
      <c r="ES269" s="141"/>
      <c r="EZ269" s="50"/>
      <c r="FZ269" s="16" t="s">
        <v>289</v>
      </c>
      <c r="GA269" s="16" t="s">
        <v>83</v>
      </c>
    </row>
    <row r="270" spans="2:201" s="1" customFormat="1" ht="24.2" customHeight="1" x14ac:dyDescent="0.2">
      <c r="B270" s="124"/>
      <c r="C270" s="125" t="s">
        <v>489</v>
      </c>
      <c r="D270" s="125" t="s">
        <v>284</v>
      </c>
      <c r="E270" s="126" t="s">
        <v>537</v>
      </c>
      <c r="F270" s="127" t="s">
        <v>538</v>
      </c>
      <c r="G270" s="128" t="s">
        <v>287</v>
      </c>
      <c r="H270" s="129">
        <v>66.02</v>
      </c>
      <c r="I270" s="130">
        <v>362.67856108310502</v>
      </c>
      <c r="J270" s="131">
        <f>ROUND(I270*H270,2)</f>
        <v>23944.04</v>
      </c>
      <c r="K270" s="127" t="s">
        <v>293</v>
      </c>
      <c r="L270" s="268">
        <f>S270</f>
        <v>0</v>
      </c>
      <c r="M270" s="272">
        <f>ROUND(L270*I270,2)</f>
        <v>0</v>
      </c>
      <c r="N270" s="243">
        <f>N266</f>
        <v>-0.84899999999998954</v>
      </c>
      <c r="O270" s="294">
        <f>ROUND(N270*I270,2)</f>
        <v>-307.91000000000003</v>
      </c>
      <c r="P270" s="273">
        <f>H270-L270-N270</f>
        <v>66.868999999999986</v>
      </c>
      <c r="Q270" s="287">
        <f>ROUND(P270*I270,2)</f>
        <v>24251.95</v>
      </c>
      <c r="R270" s="1">
        <v>0.9</v>
      </c>
      <c r="S270" s="269">
        <f>W270+Y270+AA270+AC270+AE270+AG270+AI270+AK270+AM270</f>
        <v>0</v>
      </c>
      <c r="T270" s="269">
        <f>ROUND(S270*I270,2)</f>
        <v>0</v>
      </c>
      <c r="U270" s="269">
        <f>H270-S270</f>
        <v>66.02</v>
      </c>
      <c r="V270" s="269">
        <f>ROUND(U270*I270,2)</f>
        <v>23944.04</v>
      </c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ES270" s="132" t="s">
        <v>1</v>
      </c>
      <c r="ET270" s="133" t="s">
        <v>40</v>
      </c>
      <c r="EV270" s="134">
        <f>EU270*H270</f>
        <v>0</v>
      </c>
      <c r="EW270" s="134">
        <v>0</v>
      </c>
      <c r="EX270" s="134">
        <f>EW270*H270</f>
        <v>0</v>
      </c>
      <c r="EY270" s="134">
        <v>0</v>
      </c>
      <c r="EZ270" s="135">
        <f>EY270*H270</f>
        <v>0</v>
      </c>
      <c r="FX270" s="136" t="s">
        <v>95</v>
      </c>
      <c r="FZ270" s="136" t="s">
        <v>284</v>
      </c>
      <c r="GA270" s="136" t="s">
        <v>83</v>
      </c>
      <c r="GE270" s="16" t="s">
        <v>282</v>
      </c>
      <c r="GK270" s="137">
        <f>IF(ET270="základní",J270,0)</f>
        <v>23944.04</v>
      </c>
      <c r="GL270" s="137">
        <f>IF(ET270="snížená",J270,0)</f>
        <v>0</v>
      </c>
      <c r="GM270" s="137">
        <f>IF(ET270="zákl. přenesená",J270,0)</f>
        <v>0</v>
      </c>
      <c r="GN270" s="137">
        <f>IF(ET270="sníž. přenesená",J270,0)</f>
        <v>0</v>
      </c>
      <c r="GO270" s="137">
        <f>IF(ET270="nulová",J270,0)</f>
        <v>0</v>
      </c>
      <c r="GP270" s="16" t="s">
        <v>81</v>
      </c>
      <c r="GQ270" s="137">
        <f>ROUND(I270*H270,2)</f>
        <v>23944.04</v>
      </c>
      <c r="GR270" s="16" t="s">
        <v>95</v>
      </c>
      <c r="GS270" s="136" t="s">
        <v>2324</v>
      </c>
    </row>
    <row r="271" spans="2:201" s="1" customFormat="1" ht="29.25" x14ac:dyDescent="0.2">
      <c r="B271" s="31"/>
      <c r="D271" s="138" t="s">
        <v>289</v>
      </c>
      <c r="F271" s="139" t="s">
        <v>540</v>
      </c>
      <c r="I271" s="140"/>
      <c r="L271" s="31"/>
      <c r="N271" s="213"/>
      <c r="O271" s="214"/>
      <c r="Q271" s="229"/>
      <c r="R271" s="1">
        <v>0.9</v>
      </c>
      <c r="ES271" s="141"/>
      <c r="EZ271" s="50"/>
      <c r="FZ271" s="16" t="s">
        <v>289</v>
      </c>
      <c r="GA271" s="16" t="s">
        <v>83</v>
      </c>
    </row>
    <row r="272" spans="2:201" s="1" customFormat="1" ht="29.25" x14ac:dyDescent="0.2">
      <c r="B272" s="31"/>
      <c r="D272" s="138" t="s">
        <v>299</v>
      </c>
      <c r="F272" s="142" t="s">
        <v>2282</v>
      </c>
      <c r="I272" s="140"/>
      <c r="L272" s="31"/>
      <c r="N272" s="213"/>
      <c r="O272" s="214"/>
      <c r="Q272" s="229"/>
      <c r="R272" s="1">
        <v>0.9</v>
      </c>
      <c r="ES272" s="141"/>
      <c r="EZ272" s="50"/>
      <c r="FZ272" s="16" t="s">
        <v>299</v>
      </c>
      <c r="GA272" s="16" t="s">
        <v>83</v>
      </c>
    </row>
    <row r="273" spans="2:201" s="11" customFormat="1" x14ac:dyDescent="0.2">
      <c r="B273" s="143"/>
      <c r="D273" s="138" t="s">
        <v>301</v>
      </c>
      <c r="E273" s="144" t="s">
        <v>1</v>
      </c>
      <c r="F273" s="145" t="s">
        <v>541</v>
      </c>
      <c r="H273" s="144" t="s">
        <v>1</v>
      </c>
      <c r="I273" s="146"/>
      <c r="L273" s="143"/>
      <c r="N273" s="215"/>
      <c r="O273" s="216"/>
      <c r="Q273" s="230"/>
      <c r="R273" s="11">
        <v>0.9</v>
      </c>
      <c r="ES273" s="147"/>
      <c r="EZ273" s="148"/>
      <c r="FZ273" s="144" t="s">
        <v>301</v>
      </c>
      <c r="GA273" s="144" t="s">
        <v>83</v>
      </c>
      <c r="GB273" s="11" t="s">
        <v>81</v>
      </c>
      <c r="GC273" s="11" t="s">
        <v>32</v>
      </c>
      <c r="GD273" s="11" t="s">
        <v>74</v>
      </c>
      <c r="GE273" s="144" t="s">
        <v>282</v>
      </c>
    </row>
    <row r="274" spans="2:201" s="12" customFormat="1" x14ac:dyDescent="0.2">
      <c r="B274" s="149"/>
      <c r="D274" s="138" t="s">
        <v>301</v>
      </c>
      <c r="E274" s="150" t="s">
        <v>1</v>
      </c>
      <c r="F274" s="151" t="s">
        <v>2325</v>
      </c>
      <c r="H274" s="152">
        <v>66.02</v>
      </c>
      <c r="I274" s="153"/>
      <c r="L274" s="149"/>
      <c r="N274" s="217"/>
      <c r="O274" s="218"/>
      <c r="Q274" s="231"/>
      <c r="R274" s="12">
        <v>0.9</v>
      </c>
      <c r="ES274" s="154"/>
      <c r="EZ274" s="155"/>
      <c r="FZ274" s="150" t="s">
        <v>301</v>
      </c>
      <c r="GA274" s="150" t="s">
        <v>83</v>
      </c>
      <c r="GB274" s="12" t="s">
        <v>83</v>
      </c>
      <c r="GC274" s="12" t="s">
        <v>32</v>
      </c>
      <c r="GD274" s="12" t="s">
        <v>81</v>
      </c>
      <c r="GE274" s="150" t="s">
        <v>282</v>
      </c>
    </row>
    <row r="275" spans="2:201" s="1" customFormat="1" ht="14.45" customHeight="1" x14ac:dyDescent="0.2">
      <c r="B275" s="124"/>
      <c r="C275" s="125" t="s">
        <v>493</v>
      </c>
      <c r="D275" s="125" t="s">
        <v>284</v>
      </c>
      <c r="E275" s="126" t="s">
        <v>544</v>
      </c>
      <c r="F275" s="127" t="s">
        <v>545</v>
      </c>
      <c r="G275" s="128" t="s">
        <v>287</v>
      </c>
      <c r="H275" s="129">
        <v>97.3</v>
      </c>
      <c r="I275" s="130">
        <v>18.105699236185</v>
      </c>
      <c r="J275" s="131">
        <f>ROUND(I275*H275,2)</f>
        <v>1761.68</v>
      </c>
      <c r="K275" s="127" t="s">
        <v>293</v>
      </c>
      <c r="L275" s="268">
        <f>S275</f>
        <v>0</v>
      </c>
      <c r="M275" s="272">
        <f>ROUND(L275*I275,2)</f>
        <v>0</v>
      </c>
      <c r="N275" s="243">
        <f>N149</f>
        <v>-5.6349999999999909</v>
      </c>
      <c r="O275" s="294">
        <f>ROUND(N275*I275,2)</f>
        <v>-102.03</v>
      </c>
      <c r="P275" s="273">
        <f>H275-L275-N275</f>
        <v>102.93499999999999</v>
      </c>
      <c r="Q275" s="287">
        <f>ROUND(P275*I275,2)</f>
        <v>1863.71</v>
      </c>
      <c r="R275" s="1">
        <v>0.9</v>
      </c>
      <c r="S275" s="269">
        <f>W275+Y275+AA275+AC275+AE275+AG275+AI275+AK275+AM275</f>
        <v>0</v>
      </c>
      <c r="T275" s="269">
        <f>ROUND(S275*I275,2)</f>
        <v>0</v>
      </c>
      <c r="U275" s="269">
        <f>H275-S275</f>
        <v>97.3</v>
      </c>
      <c r="V275" s="269">
        <f>ROUND(U275*I275,2)</f>
        <v>1761.68</v>
      </c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ES275" s="132" t="s">
        <v>1</v>
      </c>
      <c r="ET275" s="133" t="s">
        <v>40</v>
      </c>
      <c r="EV275" s="134">
        <f>EU275*H275</f>
        <v>0</v>
      </c>
      <c r="EW275" s="134">
        <v>0</v>
      </c>
      <c r="EX275" s="134">
        <f>EW275*H275</f>
        <v>0</v>
      </c>
      <c r="EY275" s="134">
        <v>0</v>
      </c>
      <c r="EZ275" s="135">
        <f>EY275*H275</f>
        <v>0</v>
      </c>
      <c r="FX275" s="136" t="s">
        <v>95</v>
      </c>
      <c r="FZ275" s="136" t="s">
        <v>284</v>
      </c>
      <c r="GA275" s="136" t="s">
        <v>83</v>
      </c>
      <c r="GE275" s="16" t="s">
        <v>282</v>
      </c>
      <c r="GK275" s="137">
        <f>IF(ET275="základní",J275,0)</f>
        <v>1761.68</v>
      </c>
      <c r="GL275" s="137">
        <f>IF(ET275="snížená",J275,0)</f>
        <v>0</v>
      </c>
      <c r="GM275" s="137">
        <f>IF(ET275="zákl. přenesená",J275,0)</f>
        <v>0</v>
      </c>
      <c r="GN275" s="137">
        <f>IF(ET275="sníž. přenesená",J275,0)</f>
        <v>0</v>
      </c>
      <c r="GO275" s="137">
        <f>IF(ET275="nulová",J275,0)</f>
        <v>0</v>
      </c>
      <c r="GP275" s="16" t="s">
        <v>81</v>
      </c>
      <c r="GQ275" s="137">
        <f>ROUND(I275*H275,2)</f>
        <v>1761.68</v>
      </c>
      <c r="GR275" s="16" t="s">
        <v>95</v>
      </c>
      <c r="GS275" s="136" t="s">
        <v>2326</v>
      </c>
    </row>
    <row r="276" spans="2:201" s="1" customFormat="1" ht="19.5" x14ac:dyDescent="0.2">
      <c r="B276" s="31"/>
      <c r="D276" s="138" t="s">
        <v>289</v>
      </c>
      <c r="F276" s="139" t="s">
        <v>547</v>
      </c>
      <c r="I276" s="140"/>
      <c r="L276" s="31"/>
      <c r="N276" s="213"/>
      <c r="O276" s="214"/>
      <c r="Q276" s="229"/>
      <c r="R276" s="1">
        <v>0.9</v>
      </c>
      <c r="ES276" s="141"/>
      <c r="EZ276" s="50"/>
      <c r="FZ276" s="16" t="s">
        <v>289</v>
      </c>
      <c r="GA276" s="16" t="s">
        <v>83</v>
      </c>
    </row>
    <row r="277" spans="2:201" s="1" customFormat="1" ht="24.2" customHeight="1" x14ac:dyDescent="0.2">
      <c r="B277" s="124"/>
      <c r="C277" s="125" t="s">
        <v>497</v>
      </c>
      <c r="D277" s="125" t="s">
        <v>284</v>
      </c>
      <c r="E277" s="126" t="s">
        <v>549</v>
      </c>
      <c r="F277" s="127" t="s">
        <v>550</v>
      </c>
      <c r="G277" s="128" t="s">
        <v>287</v>
      </c>
      <c r="H277" s="129">
        <v>97.3</v>
      </c>
      <c r="I277" s="130">
        <v>388.96896513366403</v>
      </c>
      <c r="J277" s="131">
        <f>ROUND(I277*H277,2)</f>
        <v>37846.68</v>
      </c>
      <c r="K277" s="127" t="s">
        <v>293</v>
      </c>
      <c r="L277" s="268">
        <f>S277</f>
        <v>0</v>
      </c>
      <c r="M277" s="272">
        <f>ROUND(L277*I277,2)</f>
        <v>0</v>
      </c>
      <c r="N277" s="243">
        <f>N275</f>
        <v>-5.6349999999999909</v>
      </c>
      <c r="O277" s="294">
        <f>ROUND(N277*I277,2)</f>
        <v>-2191.84</v>
      </c>
      <c r="P277" s="273">
        <f>H277-L277-N277</f>
        <v>102.93499999999999</v>
      </c>
      <c r="Q277" s="287">
        <f>ROUND(P277*I277,2)</f>
        <v>40038.519999999997</v>
      </c>
      <c r="R277" s="1">
        <v>0.9</v>
      </c>
      <c r="S277" s="269">
        <f>W277+Y277+AA277+AC277+AE277+AG277+AI277+AK277+AM277</f>
        <v>0</v>
      </c>
      <c r="T277" s="269">
        <f>ROUND(S277*I277,2)</f>
        <v>0</v>
      </c>
      <c r="U277" s="269">
        <f>H277-S277</f>
        <v>97.3</v>
      </c>
      <c r="V277" s="269">
        <f>ROUND(U277*I277,2)</f>
        <v>37846.68</v>
      </c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  <c r="AL277" s="269"/>
      <c r="AM277" s="269"/>
      <c r="AN277" s="269"/>
      <c r="ES277" s="132" t="s">
        <v>1</v>
      </c>
      <c r="ET277" s="133" t="s">
        <v>40</v>
      </c>
      <c r="EV277" s="134">
        <f>EU277*H277</f>
        <v>0</v>
      </c>
      <c r="EW277" s="134">
        <v>0</v>
      </c>
      <c r="EX277" s="134">
        <f>EW277*H277</f>
        <v>0</v>
      </c>
      <c r="EY277" s="134">
        <v>0</v>
      </c>
      <c r="EZ277" s="135">
        <f>EY277*H277</f>
        <v>0</v>
      </c>
      <c r="FX277" s="136" t="s">
        <v>95</v>
      </c>
      <c r="FZ277" s="136" t="s">
        <v>284</v>
      </c>
      <c r="GA277" s="136" t="s">
        <v>83</v>
      </c>
      <c r="GE277" s="16" t="s">
        <v>282</v>
      </c>
      <c r="GK277" s="137">
        <f>IF(ET277="základní",J277,0)</f>
        <v>37846.68</v>
      </c>
      <c r="GL277" s="137">
        <f>IF(ET277="snížená",J277,0)</f>
        <v>0</v>
      </c>
      <c r="GM277" s="137">
        <f>IF(ET277="zákl. přenesená",J277,0)</f>
        <v>0</v>
      </c>
      <c r="GN277" s="137">
        <f>IF(ET277="sníž. přenesená",J277,0)</f>
        <v>0</v>
      </c>
      <c r="GO277" s="137">
        <f>IF(ET277="nulová",J277,0)</f>
        <v>0</v>
      </c>
      <c r="GP277" s="16" t="s">
        <v>81</v>
      </c>
      <c r="GQ277" s="137">
        <f>ROUND(I277*H277,2)</f>
        <v>37846.68</v>
      </c>
      <c r="GR277" s="16" t="s">
        <v>95</v>
      </c>
      <c r="GS277" s="136" t="s">
        <v>2327</v>
      </c>
    </row>
    <row r="278" spans="2:201" s="1" customFormat="1" ht="29.25" x14ac:dyDescent="0.2">
      <c r="B278" s="31"/>
      <c r="D278" s="138" t="s">
        <v>289</v>
      </c>
      <c r="F278" s="139" t="s">
        <v>552</v>
      </c>
      <c r="I278" s="140"/>
      <c r="L278" s="31"/>
      <c r="N278" s="213"/>
      <c r="O278" s="214"/>
      <c r="Q278" s="229"/>
      <c r="R278" s="1">
        <v>0.9</v>
      </c>
      <c r="ES278" s="141"/>
      <c r="EZ278" s="50"/>
      <c r="FZ278" s="16" t="s">
        <v>289</v>
      </c>
      <c r="GA278" s="16" t="s">
        <v>83</v>
      </c>
    </row>
    <row r="279" spans="2:201" s="1" customFormat="1" ht="29.25" x14ac:dyDescent="0.2">
      <c r="B279" s="31"/>
      <c r="D279" s="138" t="s">
        <v>299</v>
      </c>
      <c r="F279" s="142" t="s">
        <v>2282</v>
      </c>
      <c r="I279" s="140"/>
      <c r="L279" s="31"/>
      <c r="N279" s="213"/>
      <c r="O279" s="214"/>
      <c r="Q279" s="229"/>
      <c r="R279" s="1">
        <v>0.9</v>
      </c>
      <c r="ES279" s="141"/>
      <c r="EZ279" s="50"/>
      <c r="FZ279" s="16" t="s">
        <v>299</v>
      </c>
      <c r="GA279" s="16" t="s">
        <v>83</v>
      </c>
    </row>
    <row r="280" spans="2:201" s="11" customFormat="1" x14ac:dyDescent="0.2">
      <c r="B280" s="143"/>
      <c r="D280" s="138" t="s">
        <v>301</v>
      </c>
      <c r="E280" s="144" t="s">
        <v>1</v>
      </c>
      <c r="F280" s="145" t="s">
        <v>553</v>
      </c>
      <c r="H280" s="144" t="s">
        <v>1</v>
      </c>
      <c r="I280" s="146"/>
      <c r="L280" s="143"/>
      <c r="N280" s="215"/>
      <c r="O280" s="216"/>
      <c r="Q280" s="230"/>
      <c r="R280" s="11">
        <v>0.9</v>
      </c>
      <c r="ES280" s="147"/>
      <c r="EZ280" s="148"/>
      <c r="FZ280" s="144" t="s">
        <v>301</v>
      </c>
      <c r="GA280" s="144" t="s">
        <v>83</v>
      </c>
      <c r="GB280" s="11" t="s">
        <v>81</v>
      </c>
      <c r="GC280" s="11" t="s">
        <v>32</v>
      </c>
      <c r="GD280" s="11" t="s">
        <v>74</v>
      </c>
      <c r="GE280" s="144" t="s">
        <v>282</v>
      </c>
    </row>
    <row r="281" spans="2:201" s="12" customFormat="1" x14ac:dyDescent="0.2">
      <c r="B281" s="149"/>
      <c r="D281" s="138" t="s">
        <v>301</v>
      </c>
      <c r="E281" s="150" t="s">
        <v>1</v>
      </c>
      <c r="F281" s="151" t="s">
        <v>2328</v>
      </c>
      <c r="H281" s="152">
        <v>97.3</v>
      </c>
      <c r="I281" s="153"/>
      <c r="L281" s="149"/>
      <c r="N281" s="217"/>
      <c r="O281" s="218"/>
      <c r="Q281" s="231"/>
      <c r="R281" s="12">
        <v>0.9</v>
      </c>
      <c r="ES281" s="154"/>
      <c r="EZ281" s="155"/>
      <c r="FZ281" s="150" t="s">
        <v>301</v>
      </c>
      <c r="GA281" s="150" t="s">
        <v>83</v>
      </c>
      <c r="GB281" s="12" t="s">
        <v>83</v>
      </c>
      <c r="GC281" s="12" t="s">
        <v>32</v>
      </c>
      <c r="GD281" s="12" t="s">
        <v>81</v>
      </c>
      <c r="GE281" s="150" t="s">
        <v>282</v>
      </c>
    </row>
    <row r="282" spans="2:201" s="10" customFormat="1" ht="22.9" customHeight="1" x14ac:dyDescent="0.2">
      <c r="B282" s="112"/>
      <c r="D282" s="113" t="s">
        <v>73</v>
      </c>
      <c r="E282" s="122" t="s">
        <v>328</v>
      </c>
      <c r="F282" s="122" t="s">
        <v>555</v>
      </c>
      <c r="I282" s="115"/>
      <c r="J282" s="123">
        <f>GQ282</f>
        <v>77227.87000000001</v>
      </c>
      <c r="L282" s="112"/>
      <c r="M282" s="291">
        <f>SUM(M283:M324)</f>
        <v>0</v>
      </c>
      <c r="N282" s="295"/>
      <c r="O282" s="296">
        <f t="shared" ref="O282:V282" si="6">SUM(O283:O324)</f>
        <v>-208.33</v>
      </c>
      <c r="P282" s="291"/>
      <c r="Q282" s="298">
        <f t="shared" si="6"/>
        <v>77436.2</v>
      </c>
      <c r="R282" s="291"/>
      <c r="S282" s="291"/>
      <c r="T282" s="291">
        <f t="shared" si="6"/>
        <v>0</v>
      </c>
      <c r="U282" s="291"/>
      <c r="V282" s="291">
        <f t="shared" si="6"/>
        <v>77227.87000000001</v>
      </c>
      <c r="ES282" s="117"/>
      <c r="EV282" s="118">
        <f>SUM(EV283:EV327)</f>
        <v>0</v>
      </c>
      <c r="EX282" s="118">
        <f>SUM(EX283:EX327)</f>
        <v>0.41172220000000004</v>
      </c>
      <c r="EZ282" s="119">
        <f>SUM(EZ283:EZ327)</f>
        <v>0</v>
      </c>
      <c r="FX282" s="113" t="s">
        <v>81</v>
      </c>
      <c r="FZ282" s="120" t="s">
        <v>73</v>
      </c>
      <c r="GA282" s="120" t="s">
        <v>81</v>
      </c>
      <c r="GE282" s="113" t="s">
        <v>282</v>
      </c>
      <c r="GQ282" s="121">
        <f>SUM(GQ283:GQ327)</f>
        <v>77227.87000000001</v>
      </c>
    </row>
    <row r="283" spans="2:201" s="1" customFormat="1" ht="37.9" customHeight="1" x14ac:dyDescent="0.2">
      <c r="B283" s="124"/>
      <c r="C283" s="125" t="s">
        <v>501</v>
      </c>
      <c r="D283" s="125" t="s">
        <v>284</v>
      </c>
      <c r="E283" s="126" t="s">
        <v>2329</v>
      </c>
      <c r="F283" s="127" t="s">
        <v>2330</v>
      </c>
      <c r="G283" s="128" t="s">
        <v>344</v>
      </c>
      <c r="H283" s="129">
        <v>109.8</v>
      </c>
      <c r="I283" s="130">
        <v>126.22001222256996</v>
      </c>
      <c r="J283" s="131">
        <f>ROUND(I283*H283,2)</f>
        <v>13858.96</v>
      </c>
      <c r="K283" s="127" t="s">
        <v>293</v>
      </c>
      <c r="L283" s="268">
        <f>S283</f>
        <v>0</v>
      </c>
      <c r="M283" s="272">
        <f>ROUND(L283*I283,2)</f>
        <v>0</v>
      </c>
      <c r="N283" s="243">
        <f>N285</f>
        <v>-0.40999999999999659</v>
      </c>
      <c r="O283" s="294">
        <f>ROUND(N283*I283,2)</f>
        <v>-51.75</v>
      </c>
      <c r="P283" s="273">
        <f>H283-L283-N283</f>
        <v>110.21</v>
      </c>
      <c r="Q283" s="287">
        <f>ROUND(P283*I283,2)</f>
        <v>13910.71</v>
      </c>
      <c r="R283" s="1">
        <v>0.9</v>
      </c>
      <c r="S283" s="269">
        <f>W283+Y283+AA283+AC283+AE283+AG283+AI283+AK283+AM283</f>
        <v>0</v>
      </c>
      <c r="T283" s="269">
        <f>ROUND(S283*I283,2)</f>
        <v>0</v>
      </c>
      <c r="U283" s="269">
        <f>H283-S283</f>
        <v>109.8</v>
      </c>
      <c r="V283" s="269">
        <f>ROUND(U283*I283,2)</f>
        <v>13858.96</v>
      </c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  <c r="AL283" s="269"/>
      <c r="AM283" s="269"/>
      <c r="AN283" s="269"/>
      <c r="ES283" s="132" t="s">
        <v>1</v>
      </c>
      <c r="ET283" s="133" t="s">
        <v>40</v>
      </c>
      <c r="EV283" s="134">
        <f>EU283*H283</f>
        <v>0</v>
      </c>
      <c r="EW283" s="134">
        <v>0</v>
      </c>
      <c r="EX283" s="134">
        <f>EW283*H283</f>
        <v>0</v>
      </c>
      <c r="EY283" s="134">
        <v>0</v>
      </c>
      <c r="EZ283" s="135">
        <f>EY283*H283</f>
        <v>0</v>
      </c>
      <c r="FX283" s="136" t="s">
        <v>95</v>
      </c>
      <c r="FZ283" s="136" t="s">
        <v>284</v>
      </c>
      <c r="GA283" s="136" t="s">
        <v>83</v>
      </c>
      <c r="GE283" s="16" t="s">
        <v>282</v>
      </c>
      <c r="GK283" s="137">
        <f>IF(ET283="základní",J283,0)</f>
        <v>13858.96</v>
      </c>
      <c r="GL283" s="137">
        <f>IF(ET283="snížená",J283,0)</f>
        <v>0</v>
      </c>
      <c r="GM283" s="137">
        <f>IF(ET283="zákl. přenesená",J283,0)</f>
        <v>0</v>
      </c>
      <c r="GN283" s="137">
        <f>IF(ET283="sníž. přenesená",J283,0)</f>
        <v>0</v>
      </c>
      <c r="GO283" s="137">
        <f>IF(ET283="nulová",J283,0)</f>
        <v>0</v>
      </c>
      <c r="GP283" s="16" t="s">
        <v>81</v>
      </c>
      <c r="GQ283" s="137">
        <f>ROUND(I283*H283,2)</f>
        <v>13858.96</v>
      </c>
      <c r="GR283" s="16" t="s">
        <v>95</v>
      </c>
      <c r="GS283" s="136" t="s">
        <v>2331</v>
      </c>
    </row>
    <row r="284" spans="2:201" s="1" customFormat="1" ht="29.25" x14ac:dyDescent="0.2">
      <c r="B284" s="31"/>
      <c r="D284" s="138" t="s">
        <v>289</v>
      </c>
      <c r="F284" s="139" t="s">
        <v>2332</v>
      </c>
      <c r="I284" s="140"/>
      <c r="L284" s="31"/>
      <c r="N284" s="213"/>
      <c r="O284" s="214"/>
      <c r="Q284" s="229"/>
      <c r="R284" s="1">
        <v>0.9</v>
      </c>
      <c r="ES284" s="141"/>
      <c r="EZ284" s="50"/>
      <c r="FZ284" s="16" t="s">
        <v>289</v>
      </c>
      <c r="GA284" s="16" t="s">
        <v>83</v>
      </c>
    </row>
    <row r="285" spans="2:201" s="1" customFormat="1" ht="29.25" x14ac:dyDescent="0.2">
      <c r="B285" s="31"/>
      <c r="D285" s="138" t="s">
        <v>299</v>
      </c>
      <c r="F285" s="142" t="s">
        <v>2282</v>
      </c>
      <c r="I285" s="140"/>
      <c r="L285" s="31"/>
      <c r="N285" s="213">
        <f>109.39-109.8</f>
        <v>-0.40999999999999659</v>
      </c>
      <c r="O285" s="214" t="s">
        <v>3537</v>
      </c>
      <c r="Q285" s="229"/>
      <c r="R285" s="1">
        <v>0.9</v>
      </c>
      <c r="ES285" s="141"/>
      <c r="EZ285" s="50"/>
      <c r="FZ285" s="16" t="s">
        <v>299</v>
      </c>
      <c r="GA285" s="16" t="s">
        <v>83</v>
      </c>
    </row>
    <row r="286" spans="2:201" s="12" customFormat="1" x14ac:dyDescent="0.2">
      <c r="B286" s="149"/>
      <c r="D286" s="138" t="s">
        <v>301</v>
      </c>
      <c r="E286" s="150" t="s">
        <v>1</v>
      </c>
      <c r="F286" s="151" t="s">
        <v>2314</v>
      </c>
      <c r="H286" s="152">
        <v>109.8</v>
      </c>
      <c r="I286" s="153"/>
      <c r="L286" s="149"/>
      <c r="N286" s="217"/>
      <c r="O286" s="218"/>
      <c r="Q286" s="231"/>
      <c r="R286" s="12">
        <v>0.9</v>
      </c>
      <c r="ES286" s="154"/>
      <c r="EZ286" s="155"/>
      <c r="FZ286" s="150" t="s">
        <v>301</v>
      </c>
      <c r="GA286" s="150" t="s">
        <v>83</v>
      </c>
      <c r="GB286" s="12" t="s">
        <v>83</v>
      </c>
      <c r="GC286" s="12" t="s">
        <v>32</v>
      </c>
      <c r="GD286" s="12" t="s">
        <v>81</v>
      </c>
      <c r="GE286" s="150" t="s">
        <v>282</v>
      </c>
    </row>
    <row r="287" spans="2:201" s="1" customFormat="1" ht="24.2" customHeight="1" x14ac:dyDescent="0.2">
      <c r="B287" s="124"/>
      <c r="C287" s="170" t="s">
        <v>505</v>
      </c>
      <c r="D287" s="170" t="s">
        <v>439</v>
      </c>
      <c r="E287" s="171" t="s">
        <v>2333</v>
      </c>
      <c r="F287" s="172" t="s">
        <v>2334</v>
      </c>
      <c r="G287" s="173" t="s">
        <v>344</v>
      </c>
      <c r="H287" s="174">
        <v>115.29</v>
      </c>
      <c r="I287" s="175">
        <v>347.62816190000001</v>
      </c>
      <c r="J287" s="176">
        <f>ROUND(I287*H287,2)</f>
        <v>40078.050000000003</v>
      </c>
      <c r="K287" s="172" t="s">
        <v>293</v>
      </c>
      <c r="L287" s="268">
        <f>S287</f>
        <v>0</v>
      </c>
      <c r="M287" s="272">
        <f>ROUND(L287*I287,2)</f>
        <v>0</v>
      </c>
      <c r="N287" s="243">
        <f>N290</f>
        <v>-0.430499999999995</v>
      </c>
      <c r="O287" s="294">
        <f>ROUND(N287*I287,2)</f>
        <v>-149.65</v>
      </c>
      <c r="P287" s="273">
        <f>H287-L287-N287</f>
        <v>115.7205</v>
      </c>
      <c r="Q287" s="287">
        <f>ROUND(P287*I287,2)</f>
        <v>40227.699999999997</v>
      </c>
      <c r="R287" s="1">
        <v>0.9</v>
      </c>
      <c r="S287" s="269">
        <f>W287+Y287+AA287+AC287+AE287+AG287+AI287+AK287+AM287</f>
        <v>0</v>
      </c>
      <c r="T287" s="269">
        <f>ROUND(S287*I287,2)</f>
        <v>0</v>
      </c>
      <c r="U287" s="269">
        <f>H287-S287</f>
        <v>115.29</v>
      </c>
      <c r="V287" s="269">
        <f>ROUND(U287*I287,2)</f>
        <v>40078.050000000003</v>
      </c>
      <c r="W287" s="290"/>
      <c r="X287" s="290"/>
      <c r="Y287" s="290"/>
      <c r="Z287" s="290"/>
      <c r="AA287" s="290"/>
      <c r="AB287" s="290"/>
      <c r="AC287" s="290"/>
      <c r="AD287" s="290"/>
      <c r="AE287" s="290"/>
      <c r="AF287" s="290"/>
      <c r="AG287" s="290"/>
      <c r="AH287" s="290"/>
      <c r="AI287" s="290"/>
      <c r="AJ287" s="290"/>
      <c r="AK287" s="290"/>
      <c r="AL287" s="290"/>
      <c r="AM287" s="290"/>
      <c r="AN287" s="290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77" t="s">
        <v>1</v>
      </c>
      <c r="ET287" s="178" t="s">
        <v>40</v>
      </c>
      <c r="EV287" s="134">
        <f>EU287*H287</f>
        <v>0</v>
      </c>
      <c r="EW287" s="134">
        <v>3.1800000000000001E-3</v>
      </c>
      <c r="EX287" s="134">
        <f>EW287*H287</f>
        <v>0.36662220000000001</v>
      </c>
      <c r="EY287" s="134">
        <v>0</v>
      </c>
      <c r="EZ287" s="135">
        <f>EY287*H287</f>
        <v>0</v>
      </c>
      <c r="FX287" s="136" t="s">
        <v>328</v>
      </c>
      <c r="FZ287" s="136" t="s">
        <v>439</v>
      </c>
      <c r="GA287" s="136" t="s">
        <v>83</v>
      </c>
      <c r="GE287" s="16" t="s">
        <v>282</v>
      </c>
      <c r="GK287" s="137">
        <f>IF(ET287="základní",J287,0)</f>
        <v>40078.050000000003</v>
      </c>
      <c r="GL287" s="137">
        <f>IF(ET287="snížená",J287,0)</f>
        <v>0</v>
      </c>
      <c r="GM287" s="137">
        <f>IF(ET287="zákl. přenesená",J287,0)</f>
        <v>0</v>
      </c>
      <c r="GN287" s="137">
        <f>IF(ET287="sníž. přenesená",J287,0)</f>
        <v>0</v>
      </c>
      <c r="GO287" s="137">
        <f>IF(ET287="nulová",J287,0)</f>
        <v>0</v>
      </c>
      <c r="GP287" s="16" t="s">
        <v>81</v>
      </c>
      <c r="GQ287" s="137">
        <f>ROUND(I287*H287,2)</f>
        <v>40078.050000000003</v>
      </c>
      <c r="GR287" s="16" t="s">
        <v>95</v>
      </c>
      <c r="GS287" s="136" t="s">
        <v>2335</v>
      </c>
    </row>
    <row r="288" spans="2:201" s="1" customFormat="1" ht="19.5" x14ac:dyDescent="0.2">
      <c r="B288" s="31"/>
      <c r="D288" s="138" t="s">
        <v>289</v>
      </c>
      <c r="F288" s="139" t="s">
        <v>2334</v>
      </c>
      <c r="I288" s="140"/>
      <c r="L288" s="31"/>
      <c r="N288" s="213"/>
      <c r="O288" s="214"/>
      <c r="Q288" s="229"/>
      <c r="R288" s="1">
        <v>0.9</v>
      </c>
      <c r="ES288" s="141"/>
      <c r="EZ288" s="50"/>
      <c r="FZ288" s="16" t="s">
        <v>289</v>
      </c>
      <c r="GA288" s="16" t="s">
        <v>83</v>
      </c>
    </row>
    <row r="289" spans="2:201" s="12" customFormat="1" x14ac:dyDescent="0.2">
      <c r="B289" s="149"/>
      <c r="D289" s="138" t="s">
        <v>301</v>
      </c>
      <c r="F289" s="151" t="s">
        <v>2336</v>
      </c>
      <c r="H289" s="152">
        <v>115.29</v>
      </c>
      <c r="I289" s="153"/>
      <c r="L289" s="149"/>
      <c r="N289" s="217">
        <f>109.39*1.05</f>
        <v>114.85950000000001</v>
      </c>
      <c r="O289" s="218" t="s">
        <v>3541</v>
      </c>
      <c r="Q289" s="231"/>
      <c r="R289" s="12">
        <v>0.9</v>
      </c>
      <c r="ES289" s="154"/>
      <c r="EZ289" s="155"/>
      <c r="FZ289" s="150" t="s">
        <v>301</v>
      </c>
      <c r="GA289" s="150" t="s">
        <v>83</v>
      </c>
      <c r="GB289" s="12" t="s">
        <v>83</v>
      </c>
      <c r="GC289" s="12" t="s">
        <v>3</v>
      </c>
      <c r="GD289" s="12" t="s">
        <v>81</v>
      </c>
      <c r="GE289" s="150" t="s">
        <v>282</v>
      </c>
    </row>
    <row r="290" spans="2:201" s="12" customFormat="1" x14ac:dyDescent="0.2">
      <c r="B290" s="149"/>
      <c r="D290" s="138"/>
      <c r="F290" s="151"/>
      <c r="H290" s="152"/>
      <c r="I290" s="153"/>
      <c r="L290" s="149"/>
      <c r="N290" s="310">
        <f>N289-H289</f>
        <v>-0.430499999999995</v>
      </c>
      <c r="O290" s="218"/>
      <c r="Q290" s="231"/>
      <c r="ES290" s="154"/>
      <c r="EZ290" s="155"/>
      <c r="FZ290" s="150"/>
      <c r="GA290" s="150"/>
      <c r="GE290" s="150"/>
    </row>
    <row r="291" spans="2:201" s="1" customFormat="1" ht="24.2" customHeight="1" x14ac:dyDescent="0.2">
      <c r="B291" s="124"/>
      <c r="C291" s="125" t="s">
        <v>510</v>
      </c>
      <c r="D291" s="125" t="s">
        <v>284</v>
      </c>
      <c r="E291" s="126" t="s">
        <v>2337</v>
      </c>
      <c r="F291" s="127" t="s">
        <v>2338</v>
      </c>
      <c r="G291" s="128" t="s">
        <v>485</v>
      </c>
      <c r="H291" s="129">
        <v>8</v>
      </c>
      <c r="I291" s="130">
        <v>283.67270856236348</v>
      </c>
      <c r="J291" s="131">
        <f>ROUND(I291*H291,2)</f>
        <v>2269.38</v>
      </c>
      <c r="K291" s="127" t="s">
        <v>293</v>
      </c>
      <c r="L291" s="268">
        <f>S291</f>
        <v>0</v>
      </c>
      <c r="M291" s="272">
        <f>ROUND(L291*I291,2)</f>
        <v>0</v>
      </c>
      <c r="N291" s="243"/>
      <c r="O291" s="294">
        <f>ROUND(N291*I291,2)</f>
        <v>0</v>
      </c>
      <c r="P291" s="273">
        <f>H291-L291-N291</f>
        <v>8</v>
      </c>
      <c r="Q291" s="287">
        <f>ROUND(P291*I291,2)</f>
        <v>2269.38</v>
      </c>
      <c r="R291" s="1">
        <v>0.9</v>
      </c>
      <c r="S291" s="269">
        <f>W291+Y291+AA291+AC291+AE291+AG291+AI291+AK291+AM291</f>
        <v>0</v>
      </c>
      <c r="T291" s="269">
        <f>ROUND(S291*I291,2)</f>
        <v>0</v>
      </c>
      <c r="U291" s="269">
        <f>H291-S291</f>
        <v>8</v>
      </c>
      <c r="V291" s="269">
        <f>ROUND(U291*I291,2)</f>
        <v>2269.38</v>
      </c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AM291" s="269"/>
      <c r="AN291" s="269"/>
      <c r="ES291" s="132" t="s">
        <v>1</v>
      </c>
      <c r="ET291" s="133" t="s">
        <v>40</v>
      </c>
      <c r="EV291" s="134">
        <f>EU291*H291</f>
        <v>0</v>
      </c>
      <c r="EW291" s="134">
        <v>0</v>
      </c>
      <c r="EX291" s="134">
        <f>EW291*H291</f>
        <v>0</v>
      </c>
      <c r="EY291" s="134">
        <v>0</v>
      </c>
      <c r="EZ291" s="135">
        <f>EY291*H291</f>
        <v>0</v>
      </c>
      <c r="FX291" s="136" t="s">
        <v>95</v>
      </c>
      <c r="FZ291" s="136" t="s">
        <v>284</v>
      </c>
      <c r="GA291" s="136" t="s">
        <v>83</v>
      </c>
      <c r="GE291" s="16" t="s">
        <v>282</v>
      </c>
      <c r="GK291" s="137">
        <f>IF(ET291="základní",J291,0)</f>
        <v>2269.38</v>
      </c>
      <c r="GL291" s="137">
        <f>IF(ET291="snížená",J291,0)</f>
        <v>0</v>
      </c>
      <c r="GM291" s="137">
        <f>IF(ET291="zákl. přenesená",J291,0)</f>
        <v>0</v>
      </c>
      <c r="GN291" s="137">
        <f>IF(ET291="sníž. přenesená",J291,0)</f>
        <v>0</v>
      </c>
      <c r="GO291" s="137">
        <f>IF(ET291="nulová",J291,0)</f>
        <v>0</v>
      </c>
      <c r="GP291" s="16" t="s">
        <v>81</v>
      </c>
      <c r="GQ291" s="137">
        <f>ROUND(I291*H291,2)</f>
        <v>2269.38</v>
      </c>
      <c r="GR291" s="16" t="s">
        <v>95</v>
      </c>
      <c r="GS291" s="136" t="s">
        <v>2339</v>
      </c>
    </row>
    <row r="292" spans="2:201" s="1" customFormat="1" ht="19.5" x14ac:dyDescent="0.2">
      <c r="B292" s="31"/>
      <c r="D292" s="138" t="s">
        <v>289</v>
      </c>
      <c r="F292" s="139" t="s">
        <v>2340</v>
      </c>
      <c r="I292" s="140"/>
      <c r="L292" s="31"/>
      <c r="N292" s="213"/>
      <c r="O292" s="214"/>
      <c r="Q292" s="229"/>
      <c r="R292" s="1">
        <v>0.9</v>
      </c>
      <c r="ES292" s="141"/>
      <c r="EZ292" s="50"/>
      <c r="FZ292" s="16" t="s">
        <v>289</v>
      </c>
      <c r="GA292" s="16" t="s">
        <v>83</v>
      </c>
    </row>
    <row r="293" spans="2:201" s="1" customFormat="1" ht="29.25" x14ac:dyDescent="0.2">
      <c r="B293" s="31"/>
      <c r="D293" s="138" t="s">
        <v>299</v>
      </c>
      <c r="F293" s="142" t="s">
        <v>2282</v>
      </c>
      <c r="I293" s="140"/>
      <c r="L293" s="31"/>
      <c r="N293" s="213"/>
      <c r="O293" s="214"/>
      <c r="Q293" s="229"/>
      <c r="R293" s="1">
        <v>0.9</v>
      </c>
      <c r="ES293" s="141"/>
      <c r="EZ293" s="50"/>
      <c r="FZ293" s="16" t="s">
        <v>299</v>
      </c>
      <c r="GA293" s="16" t="s">
        <v>83</v>
      </c>
    </row>
    <row r="294" spans="2:201" s="12" customFormat="1" x14ac:dyDescent="0.2">
      <c r="B294" s="149"/>
      <c r="D294" s="138" t="s">
        <v>301</v>
      </c>
      <c r="E294" s="150" t="s">
        <v>1</v>
      </c>
      <c r="F294" s="151" t="s">
        <v>2341</v>
      </c>
      <c r="H294" s="152">
        <v>8</v>
      </c>
      <c r="I294" s="153"/>
      <c r="L294" s="149"/>
      <c r="N294" s="217"/>
      <c r="O294" s="218"/>
      <c r="Q294" s="231"/>
      <c r="R294" s="12">
        <v>0.9</v>
      </c>
      <c r="ES294" s="154"/>
      <c r="EZ294" s="155"/>
      <c r="FZ294" s="150" t="s">
        <v>301</v>
      </c>
      <c r="GA294" s="150" t="s">
        <v>83</v>
      </c>
      <c r="GB294" s="12" t="s">
        <v>83</v>
      </c>
      <c r="GC294" s="12" t="s">
        <v>32</v>
      </c>
      <c r="GD294" s="12" t="s">
        <v>81</v>
      </c>
      <c r="GE294" s="150" t="s">
        <v>282</v>
      </c>
    </row>
    <row r="295" spans="2:201" s="1" customFormat="1" ht="14.45" customHeight="1" x14ac:dyDescent="0.2">
      <c r="B295" s="124"/>
      <c r="C295" s="170" t="s">
        <v>514</v>
      </c>
      <c r="D295" s="170" t="s">
        <v>439</v>
      </c>
      <c r="E295" s="171" t="s">
        <v>2342</v>
      </c>
      <c r="F295" s="172" t="s">
        <v>2343</v>
      </c>
      <c r="G295" s="173" t="s">
        <v>485</v>
      </c>
      <c r="H295" s="174">
        <v>5</v>
      </c>
      <c r="I295" s="175">
        <v>368.4669073</v>
      </c>
      <c r="J295" s="176">
        <f>ROUND(I295*H295,2)</f>
        <v>1842.33</v>
      </c>
      <c r="K295" s="172" t="s">
        <v>293</v>
      </c>
      <c r="L295" s="268">
        <f>S295</f>
        <v>0</v>
      </c>
      <c r="M295" s="272">
        <f>ROUND(L295*I295,2)</f>
        <v>0</v>
      </c>
      <c r="N295" s="243"/>
      <c r="O295" s="294">
        <f>ROUND(N295*I295,2)</f>
        <v>0</v>
      </c>
      <c r="P295" s="273">
        <f>H295-L295-N295</f>
        <v>5</v>
      </c>
      <c r="Q295" s="287">
        <f>ROUND(P295*I295,2)</f>
        <v>1842.33</v>
      </c>
      <c r="R295" s="1">
        <v>0.9</v>
      </c>
      <c r="S295" s="269">
        <f>W295+Y295+AA295+AC295+AE295+AG295+AI295+AK295+AM295</f>
        <v>0</v>
      </c>
      <c r="T295" s="269">
        <f>ROUND(S295*I295,2)</f>
        <v>0</v>
      </c>
      <c r="U295" s="269">
        <f>H295-S295</f>
        <v>5</v>
      </c>
      <c r="V295" s="269">
        <f>ROUND(U295*I295,2)</f>
        <v>1842.33</v>
      </c>
      <c r="W295" s="290"/>
      <c r="X295" s="290"/>
      <c r="Y295" s="290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90"/>
      <c r="AK295" s="290"/>
      <c r="AL295" s="290"/>
      <c r="AM295" s="290"/>
      <c r="AN295" s="290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  <c r="EC295" s="189"/>
      <c r="ED295" s="189"/>
      <c r="EE295" s="189"/>
      <c r="EF295" s="189"/>
      <c r="EG295" s="189"/>
      <c r="EH295" s="189"/>
      <c r="EI295" s="189"/>
      <c r="EJ295" s="189"/>
      <c r="EK295" s="189"/>
      <c r="EL295" s="189"/>
      <c r="EM295" s="189"/>
      <c r="EN295" s="189"/>
      <c r="EO295" s="189"/>
      <c r="EP295" s="189"/>
      <c r="EQ295" s="189"/>
      <c r="ER295" s="189"/>
      <c r="ES295" s="177" t="s">
        <v>1</v>
      </c>
      <c r="ET295" s="178" t="s">
        <v>40</v>
      </c>
      <c r="EV295" s="134">
        <f>EU295*H295</f>
        <v>0</v>
      </c>
      <c r="EW295" s="134">
        <v>7.2000000000000005E-4</v>
      </c>
      <c r="EX295" s="134">
        <f>EW295*H295</f>
        <v>3.6000000000000003E-3</v>
      </c>
      <c r="EY295" s="134">
        <v>0</v>
      </c>
      <c r="EZ295" s="135">
        <f>EY295*H295</f>
        <v>0</v>
      </c>
      <c r="FX295" s="136" t="s">
        <v>328</v>
      </c>
      <c r="FZ295" s="136" t="s">
        <v>439</v>
      </c>
      <c r="GA295" s="136" t="s">
        <v>83</v>
      </c>
      <c r="GE295" s="16" t="s">
        <v>282</v>
      </c>
      <c r="GK295" s="137">
        <f>IF(ET295="základní",J295,0)</f>
        <v>1842.33</v>
      </c>
      <c r="GL295" s="137">
        <f>IF(ET295="snížená",J295,0)</f>
        <v>0</v>
      </c>
      <c r="GM295" s="137">
        <f>IF(ET295="zákl. přenesená",J295,0)</f>
        <v>0</v>
      </c>
      <c r="GN295" s="137">
        <f>IF(ET295="sníž. přenesená",J295,0)</f>
        <v>0</v>
      </c>
      <c r="GO295" s="137">
        <f>IF(ET295="nulová",J295,0)</f>
        <v>0</v>
      </c>
      <c r="GP295" s="16" t="s">
        <v>81</v>
      </c>
      <c r="GQ295" s="137">
        <f>ROUND(I295*H295,2)</f>
        <v>1842.33</v>
      </c>
      <c r="GR295" s="16" t="s">
        <v>95</v>
      </c>
      <c r="GS295" s="136" t="s">
        <v>2344</v>
      </c>
    </row>
    <row r="296" spans="2:201" s="1" customFormat="1" x14ac:dyDescent="0.2">
      <c r="B296" s="31"/>
      <c r="D296" s="138" t="s">
        <v>289</v>
      </c>
      <c r="F296" s="139" t="s">
        <v>2343</v>
      </c>
      <c r="I296" s="140"/>
      <c r="L296" s="31"/>
      <c r="N296" s="213"/>
      <c r="O296" s="214"/>
      <c r="Q296" s="229"/>
      <c r="R296" s="1">
        <v>0.9</v>
      </c>
      <c r="ES296" s="141"/>
      <c r="EZ296" s="50"/>
      <c r="FZ296" s="16" t="s">
        <v>289</v>
      </c>
      <c r="GA296" s="16" t="s">
        <v>83</v>
      </c>
    </row>
    <row r="297" spans="2:201" s="1" customFormat="1" ht="14.45" customHeight="1" x14ac:dyDescent="0.2">
      <c r="B297" s="124"/>
      <c r="C297" s="170" t="s">
        <v>521</v>
      </c>
      <c r="D297" s="170" t="s">
        <v>439</v>
      </c>
      <c r="E297" s="171" t="s">
        <v>2345</v>
      </c>
      <c r="F297" s="172" t="s">
        <v>2346</v>
      </c>
      <c r="G297" s="173" t="s">
        <v>485</v>
      </c>
      <c r="H297" s="174">
        <v>1</v>
      </c>
      <c r="I297" s="175">
        <v>1373.462765</v>
      </c>
      <c r="J297" s="176">
        <f>ROUND(I297*H297,2)</f>
        <v>1373.46</v>
      </c>
      <c r="K297" s="172" t="s">
        <v>1</v>
      </c>
      <c r="L297" s="268">
        <f>S297</f>
        <v>0</v>
      </c>
      <c r="M297" s="272">
        <f>ROUND(L297*I297,2)</f>
        <v>0</v>
      </c>
      <c r="N297" s="243"/>
      <c r="O297" s="294">
        <f>ROUND(N297*I297,2)</f>
        <v>0</v>
      </c>
      <c r="P297" s="273">
        <f>H297-L297-N297</f>
        <v>1</v>
      </c>
      <c r="Q297" s="287">
        <f>ROUND(P297*I297,2)</f>
        <v>1373.46</v>
      </c>
      <c r="R297" s="1">
        <v>0.9</v>
      </c>
      <c r="S297" s="269">
        <f>W297+Y297+AA297+AC297+AE297+AG297+AI297+AK297+AM297</f>
        <v>0</v>
      </c>
      <c r="T297" s="269">
        <f>ROUND(S297*I297,2)</f>
        <v>0</v>
      </c>
      <c r="U297" s="269">
        <f>H297-S297</f>
        <v>1</v>
      </c>
      <c r="V297" s="269">
        <f>ROUND(U297*I297,2)</f>
        <v>1373.46</v>
      </c>
      <c r="W297" s="290"/>
      <c r="X297" s="290"/>
      <c r="Y297" s="290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90"/>
      <c r="AK297" s="290"/>
      <c r="AL297" s="290"/>
      <c r="AM297" s="290"/>
      <c r="AN297" s="290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77" t="s">
        <v>1</v>
      </c>
      <c r="ET297" s="178" t="s">
        <v>40</v>
      </c>
      <c r="EV297" s="134">
        <f>EU297*H297</f>
        <v>0</v>
      </c>
      <c r="EW297" s="134">
        <v>1.4E-3</v>
      </c>
      <c r="EX297" s="134">
        <f>EW297*H297</f>
        <v>1.4E-3</v>
      </c>
      <c r="EY297" s="134">
        <v>0</v>
      </c>
      <c r="EZ297" s="135">
        <f>EY297*H297</f>
        <v>0</v>
      </c>
      <c r="FX297" s="136" t="s">
        <v>328</v>
      </c>
      <c r="FZ297" s="136" t="s">
        <v>439</v>
      </c>
      <c r="GA297" s="136" t="s">
        <v>83</v>
      </c>
      <c r="GE297" s="16" t="s">
        <v>282</v>
      </c>
      <c r="GK297" s="137">
        <f>IF(ET297="základní",J297,0)</f>
        <v>1373.46</v>
      </c>
      <c r="GL297" s="137">
        <f>IF(ET297="snížená",J297,0)</f>
        <v>0</v>
      </c>
      <c r="GM297" s="137">
        <f>IF(ET297="zákl. přenesená",J297,0)</f>
        <v>0</v>
      </c>
      <c r="GN297" s="137">
        <f>IF(ET297="sníž. přenesená",J297,0)</f>
        <v>0</v>
      </c>
      <c r="GO297" s="137">
        <f>IF(ET297="nulová",J297,0)</f>
        <v>0</v>
      </c>
      <c r="GP297" s="16" t="s">
        <v>81</v>
      </c>
      <c r="GQ297" s="137">
        <f>ROUND(I297*H297,2)</f>
        <v>1373.46</v>
      </c>
      <c r="GR297" s="16" t="s">
        <v>95</v>
      </c>
      <c r="GS297" s="136" t="s">
        <v>2347</v>
      </c>
    </row>
    <row r="298" spans="2:201" s="1" customFormat="1" x14ac:dyDescent="0.2">
      <c r="B298" s="31"/>
      <c r="D298" s="138" t="s">
        <v>289</v>
      </c>
      <c r="F298" s="139" t="s">
        <v>2346</v>
      </c>
      <c r="I298" s="140"/>
      <c r="L298" s="31"/>
      <c r="N298" s="213"/>
      <c r="O298" s="214"/>
      <c r="Q298" s="229"/>
      <c r="R298" s="1">
        <v>0.9</v>
      </c>
      <c r="ES298" s="141"/>
      <c r="EZ298" s="50"/>
      <c r="FZ298" s="16" t="s">
        <v>289</v>
      </c>
      <c r="GA298" s="16" t="s">
        <v>83</v>
      </c>
    </row>
    <row r="299" spans="2:201" s="1" customFormat="1" ht="14.45" customHeight="1" x14ac:dyDescent="0.2">
      <c r="B299" s="124"/>
      <c r="C299" s="170" t="s">
        <v>526</v>
      </c>
      <c r="D299" s="170" t="s">
        <v>439</v>
      </c>
      <c r="E299" s="171" t="s">
        <v>2348</v>
      </c>
      <c r="F299" s="172" t="s">
        <v>2349</v>
      </c>
      <c r="G299" s="173" t="s">
        <v>485</v>
      </c>
      <c r="H299" s="174">
        <v>1</v>
      </c>
      <c r="I299" s="175">
        <v>1610.2666899999999</v>
      </c>
      <c r="J299" s="176">
        <f>ROUND(I299*H299,2)</f>
        <v>1610.27</v>
      </c>
      <c r="K299" s="172" t="s">
        <v>1</v>
      </c>
      <c r="L299" s="268">
        <f>S299</f>
        <v>0</v>
      </c>
      <c r="M299" s="272">
        <f>ROUND(L299*I299,2)</f>
        <v>0</v>
      </c>
      <c r="N299" s="243"/>
      <c r="O299" s="294">
        <f>ROUND(N299*I299,2)</f>
        <v>0</v>
      </c>
      <c r="P299" s="273">
        <f>H299-L299-N299</f>
        <v>1</v>
      </c>
      <c r="Q299" s="287">
        <f>ROUND(P299*I299,2)</f>
        <v>1610.27</v>
      </c>
      <c r="R299" s="1">
        <v>0.9</v>
      </c>
      <c r="S299" s="269">
        <f>W299+Y299+AA299+AC299+AE299+AG299+AI299+AK299+AM299</f>
        <v>0</v>
      </c>
      <c r="T299" s="269">
        <f>ROUND(S299*I299,2)</f>
        <v>0</v>
      </c>
      <c r="U299" s="269">
        <f>H299-S299</f>
        <v>1</v>
      </c>
      <c r="V299" s="269">
        <f>ROUND(U299*I299,2)</f>
        <v>1610.27</v>
      </c>
      <c r="W299" s="290"/>
      <c r="X299" s="290"/>
      <c r="Y299" s="290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90"/>
      <c r="AK299" s="290"/>
      <c r="AL299" s="290"/>
      <c r="AM299" s="290"/>
      <c r="AN299" s="290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  <c r="EC299" s="189"/>
      <c r="ED299" s="189"/>
      <c r="EE299" s="189"/>
      <c r="EF299" s="189"/>
      <c r="EG299" s="189"/>
      <c r="EH299" s="189"/>
      <c r="EI299" s="189"/>
      <c r="EJ299" s="189"/>
      <c r="EK299" s="189"/>
      <c r="EL299" s="189"/>
      <c r="EM299" s="189"/>
      <c r="EN299" s="189"/>
      <c r="EO299" s="189"/>
      <c r="EP299" s="189"/>
      <c r="EQ299" s="189"/>
      <c r="ER299" s="189"/>
      <c r="ES299" s="177" t="s">
        <v>1</v>
      </c>
      <c r="ET299" s="178" t="s">
        <v>40</v>
      </c>
      <c r="EV299" s="134">
        <f>EU299*H299</f>
        <v>0</v>
      </c>
      <c r="EW299" s="134">
        <v>1.4E-3</v>
      </c>
      <c r="EX299" s="134">
        <f>EW299*H299</f>
        <v>1.4E-3</v>
      </c>
      <c r="EY299" s="134">
        <v>0</v>
      </c>
      <c r="EZ299" s="135">
        <f>EY299*H299</f>
        <v>0</v>
      </c>
      <c r="FX299" s="136" t="s">
        <v>328</v>
      </c>
      <c r="FZ299" s="136" t="s">
        <v>439</v>
      </c>
      <c r="GA299" s="136" t="s">
        <v>83</v>
      </c>
      <c r="GE299" s="16" t="s">
        <v>282</v>
      </c>
      <c r="GK299" s="137">
        <f>IF(ET299="základní",J299,0)</f>
        <v>1610.27</v>
      </c>
      <c r="GL299" s="137">
        <f>IF(ET299="snížená",J299,0)</f>
        <v>0</v>
      </c>
      <c r="GM299" s="137">
        <f>IF(ET299="zákl. přenesená",J299,0)</f>
        <v>0</v>
      </c>
      <c r="GN299" s="137">
        <f>IF(ET299="sníž. přenesená",J299,0)</f>
        <v>0</v>
      </c>
      <c r="GO299" s="137">
        <f>IF(ET299="nulová",J299,0)</f>
        <v>0</v>
      </c>
      <c r="GP299" s="16" t="s">
        <v>81</v>
      </c>
      <c r="GQ299" s="137">
        <f>ROUND(I299*H299,2)</f>
        <v>1610.27</v>
      </c>
      <c r="GR299" s="16" t="s">
        <v>95</v>
      </c>
      <c r="GS299" s="136" t="s">
        <v>2350</v>
      </c>
    </row>
    <row r="300" spans="2:201" s="1" customFormat="1" x14ac:dyDescent="0.2">
      <c r="B300" s="31"/>
      <c r="D300" s="138" t="s">
        <v>289</v>
      </c>
      <c r="F300" s="139" t="s">
        <v>2349</v>
      </c>
      <c r="I300" s="140"/>
      <c r="L300" s="31"/>
      <c r="N300" s="213"/>
      <c r="O300" s="214"/>
      <c r="Q300" s="229"/>
      <c r="R300" s="1">
        <v>0.9</v>
      </c>
      <c r="ES300" s="141"/>
      <c r="EZ300" s="50"/>
      <c r="FZ300" s="16" t="s">
        <v>289</v>
      </c>
      <c r="GA300" s="16" t="s">
        <v>83</v>
      </c>
    </row>
    <row r="301" spans="2:201" s="1" customFormat="1" ht="14.45" customHeight="1" x14ac:dyDescent="0.2">
      <c r="B301" s="124"/>
      <c r="C301" s="170" t="s">
        <v>531</v>
      </c>
      <c r="D301" s="170" t="s">
        <v>439</v>
      </c>
      <c r="E301" s="171" t="s">
        <v>2351</v>
      </c>
      <c r="F301" s="172" t="s">
        <v>2352</v>
      </c>
      <c r="G301" s="173" t="s">
        <v>485</v>
      </c>
      <c r="H301" s="174">
        <v>1</v>
      </c>
      <c r="I301" s="175">
        <v>318.26447519999999</v>
      </c>
      <c r="J301" s="176">
        <f>ROUND(I301*H301,2)</f>
        <v>318.26</v>
      </c>
      <c r="K301" s="172" t="s">
        <v>293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1</v>
      </c>
      <c r="Q301" s="287">
        <f>ROUND(P301*I301,2)</f>
        <v>318.26</v>
      </c>
      <c r="R301" s="1">
        <v>0.9</v>
      </c>
      <c r="S301" s="269">
        <f>W301+Y301+AA301+AC301+AE301+AG301+AI301+AK301+AM301</f>
        <v>0</v>
      </c>
      <c r="T301" s="269">
        <f>ROUND(S301*I301,2)</f>
        <v>0</v>
      </c>
      <c r="U301" s="269">
        <f>H301-S301</f>
        <v>1</v>
      </c>
      <c r="V301" s="269">
        <f>ROUND(U301*I301,2)</f>
        <v>318.26</v>
      </c>
      <c r="W301" s="290"/>
      <c r="X301" s="290"/>
      <c r="Y301" s="290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290"/>
      <c r="AK301" s="290"/>
      <c r="AL301" s="290"/>
      <c r="AM301" s="290"/>
      <c r="AN301" s="290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  <c r="EC301" s="189"/>
      <c r="ED301" s="189"/>
      <c r="EE301" s="189"/>
      <c r="EF301" s="189"/>
      <c r="EG301" s="189"/>
      <c r="EH301" s="189"/>
      <c r="EI301" s="189"/>
      <c r="EJ301" s="189"/>
      <c r="EK301" s="189"/>
      <c r="EL301" s="189"/>
      <c r="EM301" s="189"/>
      <c r="EN301" s="189"/>
      <c r="EO301" s="189"/>
      <c r="EP301" s="189"/>
      <c r="EQ301" s="189"/>
      <c r="ER301" s="189"/>
      <c r="ES301" s="177" t="s">
        <v>1</v>
      </c>
      <c r="ET301" s="178" t="s">
        <v>40</v>
      </c>
      <c r="EV301" s="134">
        <f>EU301*H301</f>
        <v>0</v>
      </c>
      <c r="EW301" s="134">
        <v>7.2000000000000005E-4</v>
      </c>
      <c r="EX301" s="134">
        <f>EW301*H301</f>
        <v>7.2000000000000005E-4</v>
      </c>
      <c r="EY301" s="134">
        <v>0</v>
      </c>
      <c r="EZ301" s="135">
        <f>EY301*H301</f>
        <v>0</v>
      </c>
      <c r="FX301" s="136" t="s">
        <v>328</v>
      </c>
      <c r="FZ301" s="136" t="s">
        <v>439</v>
      </c>
      <c r="GA301" s="136" t="s">
        <v>83</v>
      </c>
      <c r="GE301" s="16" t="s">
        <v>282</v>
      </c>
      <c r="GK301" s="137">
        <f>IF(ET301="základní",J301,0)</f>
        <v>318.26</v>
      </c>
      <c r="GL301" s="137">
        <f>IF(ET301="snížená",J301,0)</f>
        <v>0</v>
      </c>
      <c r="GM301" s="137">
        <f>IF(ET301="zákl. přenesená",J301,0)</f>
        <v>0</v>
      </c>
      <c r="GN301" s="137">
        <f>IF(ET301="sníž. přenesená",J301,0)</f>
        <v>0</v>
      </c>
      <c r="GO301" s="137">
        <f>IF(ET301="nulová",J301,0)</f>
        <v>0</v>
      </c>
      <c r="GP301" s="16" t="s">
        <v>81</v>
      </c>
      <c r="GQ301" s="137">
        <f>ROUND(I301*H301,2)</f>
        <v>318.26</v>
      </c>
      <c r="GR301" s="16" t="s">
        <v>95</v>
      </c>
      <c r="GS301" s="136" t="s">
        <v>2353</v>
      </c>
    </row>
    <row r="302" spans="2:201" s="1" customFormat="1" x14ac:dyDescent="0.2">
      <c r="B302" s="31"/>
      <c r="D302" s="138" t="s">
        <v>289</v>
      </c>
      <c r="F302" s="139" t="s">
        <v>2352</v>
      </c>
      <c r="I302" s="140"/>
      <c r="L302" s="31"/>
      <c r="N302" s="213"/>
      <c r="O302" s="214"/>
      <c r="Q302" s="229"/>
      <c r="R302" s="1">
        <v>0.9</v>
      </c>
      <c r="ES302" s="141"/>
      <c r="EZ302" s="50"/>
      <c r="FZ302" s="16" t="s">
        <v>289</v>
      </c>
      <c r="GA302" s="16" t="s">
        <v>83</v>
      </c>
    </row>
    <row r="303" spans="2:201" s="1" customFormat="1" ht="24.2" customHeight="1" x14ac:dyDescent="0.2">
      <c r="B303" s="124"/>
      <c r="C303" s="170" t="s">
        <v>536</v>
      </c>
      <c r="D303" s="170" t="s">
        <v>439</v>
      </c>
      <c r="E303" s="171" t="s">
        <v>2354</v>
      </c>
      <c r="F303" s="172" t="s">
        <v>2355</v>
      </c>
      <c r="G303" s="173" t="s">
        <v>485</v>
      </c>
      <c r="H303" s="174">
        <v>1</v>
      </c>
      <c r="I303" s="175">
        <v>654.52604870000005</v>
      </c>
      <c r="J303" s="176">
        <f>ROUND(I303*H303,2)</f>
        <v>654.53</v>
      </c>
      <c r="K303" s="172" t="s">
        <v>293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1</v>
      </c>
      <c r="Q303" s="287">
        <f>ROUND(P303*I303,2)</f>
        <v>654.53</v>
      </c>
      <c r="R303" s="1">
        <v>0.9</v>
      </c>
      <c r="S303" s="269">
        <f>W303+Y303+AA303+AC303+AE303+AG303+AI303+AK303+AM303</f>
        <v>0</v>
      </c>
      <c r="T303" s="269">
        <f>ROUND(S303*I303,2)</f>
        <v>0</v>
      </c>
      <c r="U303" s="269">
        <f>H303-S303</f>
        <v>1</v>
      </c>
      <c r="V303" s="269">
        <f>ROUND(U303*I303,2)</f>
        <v>654.53</v>
      </c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  <c r="EP303" s="189"/>
      <c r="EQ303" s="189"/>
      <c r="ER303" s="189"/>
      <c r="ES303" s="177" t="s">
        <v>1</v>
      </c>
      <c r="ET303" s="178" t="s">
        <v>40</v>
      </c>
      <c r="EV303" s="134">
        <f>EU303*H303</f>
        <v>0</v>
      </c>
      <c r="EW303" s="134">
        <v>4.0000000000000001E-3</v>
      </c>
      <c r="EX303" s="134">
        <f>EW303*H303</f>
        <v>4.0000000000000001E-3</v>
      </c>
      <c r="EY303" s="134">
        <v>0</v>
      </c>
      <c r="EZ303" s="135">
        <f>EY303*H303</f>
        <v>0</v>
      </c>
      <c r="FX303" s="136" t="s">
        <v>328</v>
      </c>
      <c r="FZ303" s="136" t="s">
        <v>439</v>
      </c>
      <c r="GA303" s="136" t="s">
        <v>83</v>
      </c>
      <c r="GE303" s="16" t="s">
        <v>282</v>
      </c>
      <c r="GK303" s="137">
        <f>IF(ET303="základní",J303,0)</f>
        <v>654.53</v>
      </c>
      <c r="GL303" s="137">
        <f>IF(ET303="snížená",J303,0)</f>
        <v>0</v>
      </c>
      <c r="GM303" s="137">
        <f>IF(ET303="zákl. přenesená",J303,0)</f>
        <v>0</v>
      </c>
      <c r="GN303" s="137">
        <f>IF(ET303="sníž. přenesená",J303,0)</f>
        <v>0</v>
      </c>
      <c r="GO303" s="137">
        <f>IF(ET303="nulová",J303,0)</f>
        <v>0</v>
      </c>
      <c r="GP303" s="16" t="s">
        <v>81</v>
      </c>
      <c r="GQ303" s="137">
        <f>ROUND(I303*H303,2)</f>
        <v>654.53</v>
      </c>
      <c r="GR303" s="16" t="s">
        <v>95</v>
      </c>
      <c r="GS303" s="136" t="s">
        <v>2356</v>
      </c>
    </row>
    <row r="304" spans="2:201" s="1" customFormat="1" x14ac:dyDescent="0.2">
      <c r="B304" s="31"/>
      <c r="D304" s="138" t="s">
        <v>289</v>
      </c>
      <c r="F304" s="139" t="s">
        <v>2357</v>
      </c>
      <c r="I304" s="140"/>
      <c r="L304" s="31"/>
      <c r="N304" s="213"/>
      <c r="O304" s="214"/>
      <c r="Q304" s="229"/>
      <c r="R304" s="1">
        <v>0.9</v>
      </c>
      <c r="ES304" s="141"/>
      <c r="EZ304" s="50"/>
      <c r="FZ304" s="16" t="s">
        <v>289</v>
      </c>
      <c r="GA304" s="16" t="s">
        <v>83</v>
      </c>
    </row>
    <row r="305" spans="2:201" s="1" customFormat="1" ht="24.2" customHeight="1" x14ac:dyDescent="0.2">
      <c r="B305" s="124"/>
      <c r="C305" s="125" t="s">
        <v>543</v>
      </c>
      <c r="D305" s="125" t="s">
        <v>284</v>
      </c>
      <c r="E305" s="126" t="s">
        <v>2358</v>
      </c>
      <c r="F305" s="127" t="s">
        <v>2359</v>
      </c>
      <c r="G305" s="128" t="s">
        <v>485</v>
      </c>
      <c r="H305" s="129">
        <v>1</v>
      </c>
      <c r="I305" s="130">
        <v>321.31669478087099</v>
      </c>
      <c r="J305" s="131">
        <f>ROUND(I305*H305,2)</f>
        <v>321.32</v>
      </c>
      <c r="K305" s="127" t="s">
        <v>293</v>
      </c>
      <c r="L305" s="268">
        <f>S305</f>
        <v>0</v>
      </c>
      <c r="M305" s="272">
        <f>ROUND(L305*I305,2)</f>
        <v>0</v>
      </c>
      <c r="N305" s="243"/>
      <c r="O305" s="294">
        <f>ROUND(N305*I305,2)</f>
        <v>0</v>
      </c>
      <c r="P305" s="273">
        <f>H305-L305-N305</f>
        <v>1</v>
      </c>
      <c r="Q305" s="287">
        <f>ROUND(P305*I305,2)</f>
        <v>321.32</v>
      </c>
      <c r="R305" s="1">
        <v>0.9</v>
      </c>
      <c r="S305" s="269">
        <f>W305+Y305+AA305+AC305+AE305+AG305+AI305+AK305+AM305</f>
        <v>0</v>
      </c>
      <c r="T305" s="269">
        <f>ROUND(S305*I305,2)</f>
        <v>0</v>
      </c>
      <c r="U305" s="269">
        <f>H305-S305</f>
        <v>1</v>
      </c>
      <c r="V305" s="269">
        <f>ROUND(U305*I305,2)</f>
        <v>321.32</v>
      </c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ES305" s="132" t="s">
        <v>1</v>
      </c>
      <c r="ET305" s="133" t="s">
        <v>40</v>
      </c>
      <c r="EV305" s="134">
        <f>EU305*H305</f>
        <v>0</v>
      </c>
      <c r="EW305" s="134">
        <v>0</v>
      </c>
      <c r="EX305" s="134">
        <f>EW305*H305</f>
        <v>0</v>
      </c>
      <c r="EY305" s="134">
        <v>0</v>
      </c>
      <c r="EZ305" s="135">
        <f>EY305*H305</f>
        <v>0</v>
      </c>
      <c r="FX305" s="136" t="s">
        <v>95</v>
      </c>
      <c r="FZ305" s="136" t="s">
        <v>284</v>
      </c>
      <c r="GA305" s="136" t="s">
        <v>83</v>
      </c>
      <c r="GE305" s="16" t="s">
        <v>282</v>
      </c>
      <c r="GK305" s="137">
        <f>IF(ET305="základní",J305,0)</f>
        <v>321.32</v>
      </c>
      <c r="GL305" s="137">
        <f>IF(ET305="snížená",J305,0)</f>
        <v>0</v>
      </c>
      <c r="GM305" s="137">
        <f>IF(ET305="zákl. přenesená",J305,0)</f>
        <v>0</v>
      </c>
      <c r="GN305" s="137">
        <f>IF(ET305="sníž. přenesená",J305,0)</f>
        <v>0</v>
      </c>
      <c r="GO305" s="137">
        <f>IF(ET305="nulová",J305,0)</f>
        <v>0</v>
      </c>
      <c r="GP305" s="16" t="s">
        <v>81</v>
      </c>
      <c r="GQ305" s="137">
        <f>ROUND(I305*H305,2)</f>
        <v>321.32</v>
      </c>
      <c r="GR305" s="16" t="s">
        <v>95</v>
      </c>
      <c r="GS305" s="136" t="s">
        <v>2360</v>
      </c>
    </row>
    <row r="306" spans="2:201" s="1" customFormat="1" ht="19.5" x14ac:dyDescent="0.2">
      <c r="B306" s="31"/>
      <c r="D306" s="138" t="s">
        <v>289</v>
      </c>
      <c r="F306" s="139" t="s">
        <v>2361</v>
      </c>
      <c r="I306" s="140"/>
      <c r="L306" s="31"/>
      <c r="N306" s="213"/>
      <c r="O306" s="214"/>
      <c r="Q306" s="229"/>
      <c r="R306" s="1">
        <v>0.9</v>
      </c>
      <c r="ES306" s="141"/>
      <c r="EZ306" s="50"/>
      <c r="FZ306" s="16" t="s">
        <v>289</v>
      </c>
      <c r="GA306" s="16" t="s">
        <v>83</v>
      </c>
    </row>
    <row r="307" spans="2:201" s="1" customFormat="1" ht="29.25" x14ac:dyDescent="0.2">
      <c r="B307" s="31"/>
      <c r="D307" s="138" t="s">
        <v>299</v>
      </c>
      <c r="F307" s="142" t="s">
        <v>2282</v>
      </c>
      <c r="I307" s="140"/>
      <c r="L307" s="31"/>
      <c r="N307" s="213"/>
      <c r="O307" s="214"/>
      <c r="Q307" s="229"/>
      <c r="R307" s="1">
        <v>0.9</v>
      </c>
      <c r="ES307" s="141"/>
      <c r="EZ307" s="50"/>
      <c r="FZ307" s="16" t="s">
        <v>299</v>
      </c>
      <c r="GA307" s="16" t="s">
        <v>83</v>
      </c>
    </row>
    <row r="308" spans="2:201" s="12" customFormat="1" x14ac:dyDescent="0.2">
      <c r="B308" s="149"/>
      <c r="D308" s="138" t="s">
        <v>301</v>
      </c>
      <c r="E308" s="150" t="s">
        <v>1</v>
      </c>
      <c r="F308" s="151" t="s">
        <v>81</v>
      </c>
      <c r="H308" s="152">
        <v>1</v>
      </c>
      <c r="I308" s="153"/>
      <c r="L308" s="149"/>
      <c r="N308" s="217"/>
      <c r="O308" s="218"/>
      <c r="Q308" s="231"/>
      <c r="R308" s="12">
        <v>0.9</v>
      </c>
      <c r="ES308" s="154"/>
      <c r="EZ308" s="155"/>
      <c r="FZ308" s="150" t="s">
        <v>301</v>
      </c>
      <c r="GA308" s="150" t="s">
        <v>83</v>
      </c>
      <c r="GB308" s="12" t="s">
        <v>83</v>
      </c>
      <c r="GC308" s="12" t="s">
        <v>32</v>
      </c>
      <c r="GD308" s="12" t="s">
        <v>81</v>
      </c>
      <c r="GE308" s="150" t="s">
        <v>282</v>
      </c>
    </row>
    <row r="309" spans="2:201" s="1" customFormat="1" ht="24.2" customHeight="1" x14ac:dyDescent="0.2">
      <c r="B309" s="124"/>
      <c r="C309" s="170" t="s">
        <v>548</v>
      </c>
      <c r="D309" s="170" t="s">
        <v>439</v>
      </c>
      <c r="E309" s="171" t="s">
        <v>2362</v>
      </c>
      <c r="F309" s="172" t="s">
        <v>2363</v>
      </c>
      <c r="G309" s="173" t="s">
        <v>485</v>
      </c>
      <c r="H309" s="174">
        <v>1</v>
      </c>
      <c r="I309" s="175">
        <v>1297.6855089999999</v>
      </c>
      <c r="J309" s="176">
        <f>ROUND(I309*H309,2)</f>
        <v>1297.69</v>
      </c>
      <c r="K309" s="172" t="s">
        <v>293</v>
      </c>
      <c r="L309" s="268">
        <f>S309</f>
        <v>0</v>
      </c>
      <c r="M309" s="272">
        <f>ROUND(L309*I309,2)</f>
        <v>0</v>
      </c>
      <c r="N309" s="243"/>
      <c r="O309" s="294">
        <f>ROUND(N309*I309,2)</f>
        <v>0</v>
      </c>
      <c r="P309" s="273">
        <f>H309-L309-N309</f>
        <v>1</v>
      </c>
      <c r="Q309" s="287">
        <f>ROUND(P309*I309,2)</f>
        <v>1297.69</v>
      </c>
      <c r="R309" s="1">
        <v>0.9</v>
      </c>
      <c r="S309" s="269">
        <f>W309+Y309+AA309+AC309+AE309+AG309+AI309+AK309+AM309</f>
        <v>0</v>
      </c>
      <c r="T309" s="269">
        <f>ROUND(S309*I309,2)</f>
        <v>0</v>
      </c>
      <c r="U309" s="269">
        <f>H309-S309</f>
        <v>1</v>
      </c>
      <c r="V309" s="269">
        <f>ROUND(U309*I309,2)</f>
        <v>1297.69</v>
      </c>
      <c r="W309" s="290"/>
      <c r="X309" s="290"/>
      <c r="Y309" s="290"/>
      <c r="Z309" s="290"/>
      <c r="AA309" s="290"/>
      <c r="AB309" s="290"/>
      <c r="AC309" s="290"/>
      <c r="AD309" s="290"/>
      <c r="AE309" s="290"/>
      <c r="AF309" s="290"/>
      <c r="AG309" s="290"/>
      <c r="AH309" s="290"/>
      <c r="AI309" s="290"/>
      <c r="AJ309" s="290"/>
      <c r="AK309" s="290"/>
      <c r="AL309" s="290"/>
      <c r="AM309" s="290"/>
      <c r="AN309" s="290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  <c r="EC309" s="189"/>
      <c r="ED309" s="189"/>
      <c r="EE309" s="189"/>
      <c r="EF309" s="189"/>
      <c r="EG309" s="189"/>
      <c r="EH309" s="189"/>
      <c r="EI309" s="189"/>
      <c r="EJ309" s="189"/>
      <c r="EK309" s="189"/>
      <c r="EL309" s="189"/>
      <c r="EM309" s="189"/>
      <c r="EN309" s="189"/>
      <c r="EO309" s="189"/>
      <c r="EP309" s="189"/>
      <c r="EQ309" s="189"/>
      <c r="ER309" s="189"/>
      <c r="ES309" s="177" t="s">
        <v>1</v>
      </c>
      <c r="ET309" s="178" t="s">
        <v>40</v>
      </c>
      <c r="EV309" s="134">
        <f>EU309*H309</f>
        <v>0</v>
      </c>
      <c r="EW309" s="134">
        <v>2.2300000000000002E-3</v>
      </c>
      <c r="EX309" s="134">
        <f>EW309*H309</f>
        <v>2.2300000000000002E-3</v>
      </c>
      <c r="EY309" s="134">
        <v>0</v>
      </c>
      <c r="EZ309" s="135">
        <f>EY309*H309</f>
        <v>0</v>
      </c>
      <c r="FX309" s="136" t="s">
        <v>328</v>
      </c>
      <c r="FZ309" s="136" t="s">
        <v>439</v>
      </c>
      <c r="GA309" s="136" t="s">
        <v>83</v>
      </c>
      <c r="GE309" s="16" t="s">
        <v>282</v>
      </c>
      <c r="GK309" s="137">
        <f>IF(ET309="základní",J309,0)</f>
        <v>1297.69</v>
      </c>
      <c r="GL309" s="137">
        <f>IF(ET309="snížená",J309,0)</f>
        <v>0</v>
      </c>
      <c r="GM309" s="137">
        <f>IF(ET309="zákl. přenesená",J309,0)</f>
        <v>0</v>
      </c>
      <c r="GN309" s="137">
        <f>IF(ET309="sníž. přenesená",J309,0)</f>
        <v>0</v>
      </c>
      <c r="GO309" s="137">
        <f>IF(ET309="nulová",J309,0)</f>
        <v>0</v>
      </c>
      <c r="GP309" s="16" t="s">
        <v>81</v>
      </c>
      <c r="GQ309" s="137">
        <f>ROUND(I309*H309,2)</f>
        <v>1297.69</v>
      </c>
      <c r="GR309" s="16" t="s">
        <v>95</v>
      </c>
      <c r="GS309" s="136" t="s">
        <v>2364</v>
      </c>
    </row>
    <row r="310" spans="2:201" s="1" customFormat="1" x14ac:dyDescent="0.2">
      <c r="B310" s="31"/>
      <c r="D310" s="138" t="s">
        <v>289</v>
      </c>
      <c r="F310" s="139" t="s">
        <v>2363</v>
      </c>
      <c r="I310" s="140"/>
      <c r="L310" s="31"/>
      <c r="N310" s="213"/>
      <c r="O310" s="214"/>
      <c r="Q310" s="229"/>
      <c r="R310" s="1">
        <v>0.9</v>
      </c>
      <c r="ES310" s="141"/>
      <c r="EZ310" s="50"/>
      <c r="FZ310" s="16" t="s">
        <v>289</v>
      </c>
      <c r="GA310" s="16" t="s">
        <v>83</v>
      </c>
    </row>
    <row r="311" spans="2:201" s="1" customFormat="1" ht="14.45" customHeight="1" x14ac:dyDescent="0.2">
      <c r="B311" s="124"/>
      <c r="C311" s="125" t="s">
        <v>556</v>
      </c>
      <c r="D311" s="125" t="s">
        <v>284</v>
      </c>
      <c r="E311" s="126" t="s">
        <v>2365</v>
      </c>
      <c r="F311" s="127" t="s">
        <v>2366</v>
      </c>
      <c r="G311" s="128" t="s">
        <v>344</v>
      </c>
      <c r="H311" s="129">
        <v>109.8</v>
      </c>
      <c r="I311" s="130">
        <v>16.910732975755494</v>
      </c>
      <c r="J311" s="131">
        <f>ROUND(I311*H311,2)</f>
        <v>1856.8</v>
      </c>
      <c r="K311" s="127" t="s">
        <v>293</v>
      </c>
      <c r="L311" s="268">
        <f>S311</f>
        <v>0</v>
      </c>
      <c r="M311" s="272">
        <f>ROUND(L311*I311,2)</f>
        <v>0</v>
      </c>
      <c r="N311" s="243">
        <f>N283</f>
        <v>-0.40999999999999659</v>
      </c>
      <c r="O311" s="294">
        <f>ROUND(N311*I311,2)</f>
        <v>-6.93</v>
      </c>
      <c r="P311" s="273">
        <f>H311-L311-N311</f>
        <v>110.21</v>
      </c>
      <c r="Q311" s="287">
        <f>ROUND(P311*I311,2)</f>
        <v>1863.73</v>
      </c>
      <c r="R311" s="1">
        <v>0.9</v>
      </c>
      <c r="S311" s="269">
        <f>W311+Y311+AA311+AC311+AE311+AG311+AI311+AK311+AM311</f>
        <v>0</v>
      </c>
      <c r="T311" s="269">
        <f>ROUND(S311*I311,2)</f>
        <v>0</v>
      </c>
      <c r="U311" s="269">
        <f>H311-S311</f>
        <v>109.8</v>
      </c>
      <c r="V311" s="269">
        <f>ROUND(U311*I311,2)</f>
        <v>1856.8</v>
      </c>
      <c r="W311" s="269"/>
      <c r="X311" s="269"/>
      <c r="Y311" s="269"/>
      <c r="Z311" s="269"/>
      <c r="AA311" s="269"/>
      <c r="AB311" s="269"/>
      <c r="AC311" s="269"/>
      <c r="AD311" s="269"/>
      <c r="AE311" s="269"/>
      <c r="AF311" s="269"/>
      <c r="AG311" s="269"/>
      <c r="AH311" s="269"/>
      <c r="AI311" s="269"/>
      <c r="AJ311" s="269"/>
      <c r="AK311" s="269"/>
      <c r="AL311" s="269"/>
      <c r="AM311" s="269"/>
      <c r="AN311" s="269"/>
      <c r="ES311" s="132" t="s">
        <v>1</v>
      </c>
      <c r="ET311" s="133" t="s">
        <v>40</v>
      </c>
      <c r="EV311" s="134">
        <f>EU311*H311</f>
        <v>0</v>
      </c>
      <c r="EW311" s="134">
        <v>0</v>
      </c>
      <c r="EX311" s="134">
        <f>EW311*H311</f>
        <v>0</v>
      </c>
      <c r="EY311" s="134">
        <v>0</v>
      </c>
      <c r="EZ311" s="135">
        <f>EY311*H311</f>
        <v>0</v>
      </c>
      <c r="FX311" s="136" t="s">
        <v>95</v>
      </c>
      <c r="FZ311" s="136" t="s">
        <v>284</v>
      </c>
      <c r="GA311" s="136" t="s">
        <v>83</v>
      </c>
      <c r="GE311" s="16" t="s">
        <v>282</v>
      </c>
      <c r="GK311" s="137">
        <f>IF(ET311="základní",J311,0)</f>
        <v>1856.8</v>
      </c>
      <c r="GL311" s="137">
        <f>IF(ET311="snížená",J311,0)</f>
        <v>0</v>
      </c>
      <c r="GM311" s="137">
        <f>IF(ET311="zákl. přenesená",J311,0)</f>
        <v>0</v>
      </c>
      <c r="GN311" s="137">
        <f>IF(ET311="sníž. přenesená",J311,0)</f>
        <v>0</v>
      </c>
      <c r="GO311" s="137">
        <f>IF(ET311="nulová",J311,0)</f>
        <v>0</v>
      </c>
      <c r="GP311" s="16" t="s">
        <v>81</v>
      </c>
      <c r="GQ311" s="137">
        <f>ROUND(I311*H311,2)</f>
        <v>1856.8</v>
      </c>
      <c r="GR311" s="16" t="s">
        <v>95</v>
      </c>
      <c r="GS311" s="136" t="s">
        <v>2367</v>
      </c>
    </row>
    <row r="312" spans="2:201" s="1" customFormat="1" x14ac:dyDescent="0.2">
      <c r="B312" s="31"/>
      <c r="D312" s="138" t="s">
        <v>289</v>
      </c>
      <c r="F312" s="139" t="s">
        <v>2368</v>
      </c>
      <c r="I312" s="140"/>
      <c r="L312" s="31"/>
      <c r="N312" s="213"/>
      <c r="O312" s="214"/>
      <c r="Q312" s="229"/>
      <c r="R312" s="1">
        <v>0.9</v>
      </c>
      <c r="ES312" s="141"/>
      <c r="EZ312" s="50"/>
      <c r="FZ312" s="16" t="s">
        <v>289</v>
      </c>
      <c r="GA312" s="16" t="s">
        <v>83</v>
      </c>
    </row>
    <row r="313" spans="2:201" s="1" customFormat="1" ht="19.5" x14ac:dyDescent="0.2">
      <c r="B313" s="31"/>
      <c r="D313" s="138" t="s">
        <v>299</v>
      </c>
      <c r="F313" s="142" t="s">
        <v>587</v>
      </c>
      <c r="I313" s="140"/>
      <c r="L313" s="31"/>
      <c r="N313" s="213">
        <f>109.39-109.8</f>
        <v>-0.40999999999999659</v>
      </c>
      <c r="O313" s="214" t="s">
        <v>3537</v>
      </c>
      <c r="Q313" s="229"/>
      <c r="R313" s="1">
        <v>0.9</v>
      </c>
      <c r="ES313" s="141"/>
      <c r="EZ313" s="50"/>
      <c r="FZ313" s="16" t="s">
        <v>299</v>
      </c>
      <c r="GA313" s="16" t="s">
        <v>83</v>
      </c>
    </row>
    <row r="314" spans="2:201" s="1" customFormat="1" ht="14.45" customHeight="1" x14ac:dyDescent="0.2">
      <c r="B314" s="124"/>
      <c r="C314" s="125" t="s">
        <v>562</v>
      </c>
      <c r="D314" s="125" t="s">
        <v>284</v>
      </c>
      <c r="E314" s="126" t="s">
        <v>2369</v>
      </c>
      <c r="F314" s="127" t="s">
        <v>2370</v>
      </c>
      <c r="G314" s="128" t="s">
        <v>315</v>
      </c>
      <c r="H314" s="129">
        <v>1</v>
      </c>
      <c r="I314" s="130">
        <v>1420.8235500000001</v>
      </c>
      <c r="J314" s="131">
        <f>ROUND(I314*H314,2)</f>
        <v>1420.82</v>
      </c>
      <c r="K314" s="127" t="s">
        <v>1</v>
      </c>
      <c r="L314" s="268">
        <f>S314</f>
        <v>0</v>
      </c>
      <c r="M314" s="272">
        <f>ROUND(L314*I314,2)</f>
        <v>0</v>
      </c>
      <c r="N314" s="243"/>
      <c r="O314" s="294">
        <f>ROUND(N314*I314,2)</f>
        <v>0</v>
      </c>
      <c r="P314" s="273">
        <f>H314-L314-N314</f>
        <v>1</v>
      </c>
      <c r="Q314" s="287">
        <f>ROUND(P314*I314,2)</f>
        <v>1420.82</v>
      </c>
      <c r="R314" s="1">
        <v>0.9</v>
      </c>
      <c r="S314" s="269">
        <f>W314+Y314+AA314+AC314+AE314+AG314+AI314+AK314+AM314</f>
        <v>0</v>
      </c>
      <c r="T314" s="269">
        <f>ROUND(S314*I314,2)</f>
        <v>0</v>
      </c>
      <c r="U314" s="269">
        <f>H314-S314</f>
        <v>1</v>
      </c>
      <c r="V314" s="269">
        <f>ROUND(U314*I314,2)</f>
        <v>1420.82</v>
      </c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ES314" s="132" t="s">
        <v>1</v>
      </c>
      <c r="ET314" s="133" t="s">
        <v>40</v>
      </c>
      <c r="EV314" s="134">
        <f>EU314*H314</f>
        <v>0</v>
      </c>
      <c r="EW314" s="134">
        <v>0</v>
      </c>
      <c r="EX314" s="134">
        <f>EW314*H314</f>
        <v>0</v>
      </c>
      <c r="EY314" s="134">
        <v>0</v>
      </c>
      <c r="EZ314" s="135">
        <f>EY314*H314</f>
        <v>0</v>
      </c>
      <c r="FX314" s="136" t="s">
        <v>95</v>
      </c>
      <c r="FZ314" s="136" t="s">
        <v>284</v>
      </c>
      <c r="GA314" s="136" t="s">
        <v>83</v>
      </c>
      <c r="GE314" s="16" t="s">
        <v>282</v>
      </c>
      <c r="GK314" s="137">
        <f>IF(ET314="základní",J314,0)</f>
        <v>1420.82</v>
      </c>
      <c r="GL314" s="137">
        <f>IF(ET314="snížená",J314,0)</f>
        <v>0</v>
      </c>
      <c r="GM314" s="137">
        <f>IF(ET314="zákl. přenesená",J314,0)</f>
        <v>0</v>
      </c>
      <c r="GN314" s="137">
        <f>IF(ET314="sníž. přenesená",J314,0)</f>
        <v>0</v>
      </c>
      <c r="GO314" s="137">
        <f>IF(ET314="nulová",J314,0)</f>
        <v>0</v>
      </c>
      <c r="GP314" s="16" t="s">
        <v>81</v>
      </c>
      <c r="GQ314" s="137">
        <f>ROUND(I314*H314,2)</f>
        <v>1420.82</v>
      </c>
      <c r="GR314" s="16" t="s">
        <v>95</v>
      </c>
      <c r="GS314" s="136" t="s">
        <v>2371</v>
      </c>
    </row>
    <row r="315" spans="2:201" s="1" customFormat="1" x14ac:dyDescent="0.2">
      <c r="B315" s="31"/>
      <c r="D315" s="138" t="s">
        <v>289</v>
      </c>
      <c r="F315" s="139" t="s">
        <v>2370</v>
      </c>
      <c r="I315" s="140"/>
      <c r="L315" s="31"/>
      <c r="N315" s="213"/>
      <c r="O315" s="214"/>
      <c r="Q315" s="229"/>
      <c r="R315" s="1">
        <v>0.9</v>
      </c>
      <c r="ES315" s="141"/>
      <c r="EZ315" s="50"/>
      <c r="FZ315" s="16" t="s">
        <v>289</v>
      </c>
      <c r="GA315" s="16" t="s">
        <v>83</v>
      </c>
    </row>
    <row r="316" spans="2:201" s="1" customFormat="1" ht="37.9" customHeight="1" x14ac:dyDescent="0.2">
      <c r="B316" s="124"/>
      <c r="C316" s="125" t="s">
        <v>568</v>
      </c>
      <c r="D316" s="125" t="s">
        <v>284</v>
      </c>
      <c r="E316" s="126" t="s">
        <v>2372</v>
      </c>
      <c r="F316" s="127" t="s">
        <v>2373</v>
      </c>
      <c r="G316" s="128" t="s">
        <v>315</v>
      </c>
      <c r="H316" s="129">
        <v>1</v>
      </c>
      <c r="I316" s="130">
        <v>4262.4706500000002</v>
      </c>
      <c r="J316" s="131">
        <f>ROUND(I316*H316,2)</f>
        <v>4262.47</v>
      </c>
      <c r="K316" s="127" t="s">
        <v>1</v>
      </c>
      <c r="L316" s="268">
        <f>S316</f>
        <v>0</v>
      </c>
      <c r="M316" s="272">
        <f>ROUND(L316*I316,2)</f>
        <v>0</v>
      </c>
      <c r="N316" s="243"/>
      <c r="O316" s="294">
        <f>ROUND(N316*I316,2)</f>
        <v>0</v>
      </c>
      <c r="P316" s="273">
        <f>H316-L316-N316</f>
        <v>1</v>
      </c>
      <c r="Q316" s="287">
        <f>ROUND(P316*I316,2)</f>
        <v>4262.47</v>
      </c>
      <c r="R316" s="1">
        <v>0.9</v>
      </c>
      <c r="S316" s="269">
        <f>W316+Y316+AA316+AC316+AE316+AG316+AI316+AK316+AM316</f>
        <v>0</v>
      </c>
      <c r="T316" s="269">
        <f>ROUND(S316*I316,2)</f>
        <v>0</v>
      </c>
      <c r="U316" s="269">
        <f>H316-S316</f>
        <v>1</v>
      </c>
      <c r="V316" s="269">
        <f>ROUND(U316*I316,2)</f>
        <v>4262.47</v>
      </c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AK316" s="269"/>
      <c r="AL316" s="269"/>
      <c r="AM316" s="269"/>
      <c r="AN316" s="269"/>
      <c r="ES316" s="132" t="s">
        <v>1</v>
      </c>
      <c r="ET316" s="133" t="s">
        <v>40</v>
      </c>
      <c r="EV316" s="134">
        <f>EU316*H316</f>
        <v>0</v>
      </c>
      <c r="EW316" s="134">
        <v>0</v>
      </c>
      <c r="EX316" s="134">
        <f>EW316*H316</f>
        <v>0</v>
      </c>
      <c r="EY316" s="134">
        <v>0</v>
      </c>
      <c r="EZ316" s="135">
        <f>EY316*H316</f>
        <v>0</v>
      </c>
      <c r="FX316" s="136" t="s">
        <v>95</v>
      </c>
      <c r="FZ316" s="136" t="s">
        <v>284</v>
      </c>
      <c r="GA316" s="136" t="s">
        <v>83</v>
      </c>
      <c r="GE316" s="16" t="s">
        <v>282</v>
      </c>
      <c r="GK316" s="137">
        <f>IF(ET316="základní",J316,0)</f>
        <v>4262.47</v>
      </c>
      <c r="GL316" s="137">
        <f>IF(ET316="snížená",J316,0)</f>
        <v>0</v>
      </c>
      <c r="GM316" s="137">
        <f>IF(ET316="zákl. přenesená",J316,0)</f>
        <v>0</v>
      </c>
      <c r="GN316" s="137">
        <f>IF(ET316="sníž. přenesená",J316,0)</f>
        <v>0</v>
      </c>
      <c r="GO316" s="137">
        <f>IF(ET316="nulová",J316,0)</f>
        <v>0</v>
      </c>
      <c r="GP316" s="16" t="s">
        <v>81</v>
      </c>
      <c r="GQ316" s="137">
        <f>ROUND(I316*H316,2)</f>
        <v>4262.47</v>
      </c>
      <c r="GR316" s="16" t="s">
        <v>95</v>
      </c>
      <c r="GS316" s="136" t="s">
        <v>2374</v>
      </c>
    </row>
    <row r="317" spans="2:201" s="1" customFormat="1" ht="29.25" x14ac:dyDescent="0.2">
      <c r="B317" s="31"/>
      <c r="D317" s="138" t="s">
        <v>289</v>
      </c>
      <c r="F317" s="139" t="s">
        <v>2373</v>
      </c>
      <c r="I317" s="140"/>
      <c r="L317" s="31"/>
      <c r="N317" s="213"/>
      <c r="O317" s="214"/>
      <c r="Q317" s="229"/>
      <c r="R317" s="1">
        <v>0.9</v>
      </c>
      <c r="ES317" s="141"/>
      <c r="EZ317" s="50"/>
      <c r="FZ317" s="16" t="s">
        <v>289</v>
      </c>
      <c r="GA317" s="16" t="s">
        <v>83</v>
      </c>
    </row>
    <row r="318" spans="2:201" s="1" customFormat="1" ht="29.25" x14ac:dyDescent="0.2">
      <c r="B318" s="31"/>
      <c r="D318" s="138" t="s">
        <v>299</v>
      </c>
      <c r="F318" s="142" t="s">
        <v>733</v>
      </c>
      <c r="I318" s="140"/>
      <c r="L318" s="31"/>
      <c r="N318" s="213"/>
      <c r="O318" s="214"/>
      <c r="Q318" s="229"/>
      <c r="R318" s="1">
        <v>0.9</v>
      </c>
      <c r="ES318" s="141"/>
      <c r="EZ318" s="50"/>
      <c r="FZ318" s="16" t="s">
        <v>299</v>
      </c>
      <c r="GA318" s="16" t="s">
        <v>83</v>
      </c>
    </row>
    <row r="319" spans="2:201" s="12" customFormat="1" x14ac:dyDescent="0.2">
      <c r="B319" s="149"/>
      <c r="D319" s="138" t="s">
        <v>301</v>
      </c>
      <c r="E319" s="150" t="s">
        <v>1</v>
      </c>
      <c r="F319" s="151" t="s">
        <v>2375</v>
      </c>
      <c r="H319" s="152">
        <v>1</v>
      </c>
      <c r="I319" s="153"/>
      <c r="L319" s="149"/>
      <c r="N319" s="217"/>
      <c r="O319" s="218"/>
      <c r="Q319" s="231"/>
      <c r="R319" s="12">
        <v>0.9</v>
      </c>
      <c r="ES319" s="154"/>
      <c r="EZ319" s="155"/>
      <c r="FZ319" s="150" t="s">
        <v>301</v>
      </c>
      <c r="GA319" s="150" t="s">
        <v>83</v>
      </c>
      <c r="GB319" s="12" t="s">
        <v>83</v>
      </c>
      <c r="GC319" s="12" t="s">
        <v>32</v>
      </c>
      <c r="GD319" s="12" t="s">
        <v>81</v>
      </c>
      <c r="GE319" s="150" t="s">
        <v>282</v>
      </c>
    </row>
    <row r="320" spans="2:201" s="1" customFormat="1" ht="24.2" customHeight="1" x14ac:dyDescent="0.2">
      <c r="B320" s="124"/>
      <c r="C320" s="125" t="s">
        <v>572</v>
      </c>
      <c r="D320" s="125" t="s">
        <v>284</v>
      </c>
      <c r="E320" s="126" t="s">
        <v>2376</v>
      </c>
      <c r="F320" s="127" t="s">
        <v>2377</v>
      </c>
      <c r="G320" s="128" t="s">
        <v>344</v>
      </c>
      <c r="H320" s="129">
        <v>115</v>
      </c>
      <c r="I320" s="130">
        <v>41.004583386686377</v>
      </c>
      <c r="J320" s="131">
        <f>ROUND(I320*H320,2)</f>
        <v>4715.53</v>
      </c>
      <c r="K320" s="127" t="s">
        <v>293</v>
      </c>
      <c r="L320" s="268">
        <f>S320</f>
        <v>0</v>
      </c>
      <c r="M320" s="272">
        <f>ROUND(L320*I320,2)</f>
        <v>0</v>
      </c>
      <c r="N320" s="243"/>
      <c r="O320" s="294">
        <f>ROUND(N320*I320,2)</f>
        <v>0</v>
      </c>
      <c r="P320" s="273">
        <f>H320-L320-N320</f>
        <v>115</v>
      </c>
      <c r="Q320" s="287">
        <f>ROUND(P320*I320,2)</f>
        <v>4715.53</v>
      </c>
      <c r="R320" s="1">
        <v>0.9</v>
      </c>
      <c r="S320" s="269">
        <f>W320+Y320+AA320+AC320+AE320+AG320+AI320+AK320+AM320</f>
        <v>0</v>
      </c>
      <c r="T320" s="269">
        <f>ROUND(S320*I320,2)</f>
        <v>0</v>
      </c>
      <c r="U320" s="269">
        <f>H320-S320</f>
        <v>115</v>
      </c>
      <c r="V320" s="269">
        <f>ROUND(U320*I320,2)</f>
        <v>4715.53</v>
      </c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  <c r="AL320" s="269"/>
      <c r="AM320" s="269"/>
      <c r="AN320" s="269"/>
      <c r="ES320" s="132" t="s">
        <v>1</v>
      </c>
      <c r="ET320" s="133" t="s">
        <v>40</v>
      </c>
      <c r="EV320" s="134">
        <f>EU320*H320</f>
        <v>0</v>
      </c>
      <c r="EW320" s="134">
        <v>1.9000000000000001E-4</v>
      </c>
      <c r="EX320" s="134">
        <f>EW320*H320</f>
        <v>2.1850000000000001E-2</v>
      </c>
      <c r="EY320" s="134">
        <v>0</v>
      </c>
      <c r="EZ320" s="135">
        <f>EY320*H320</f>
        <v>0</v>
      </c>
      <c r="FX320" s="136" t="s">
        <v>95</v>
      </c>
      <c r="FZ320" s="136" t="s">
        <v>284</v>
      </c>
      <c r="GA320" s="136" t="s">
        <v>83</v>
      </c>
      <c r="GE320" s="16" t="s">
        <v>282</v>
      </c>
      <c r="GK320" s="137">
        <f>IF(ET320="základní",J320,0)</f>
        <v>4715.53</v>
      </c>
      <c r="GL320" s="137">
        <f>IF(ET320="snížená",J320,0)</f>
        <v>0</v>
      </c>
      <c r="GM320" s="137">
        <f>IF(ET320="zákl. přenesená",J320,0)</f>
        <v>0</v>
      </c>
      <c r="GN320" s="137">
        <f>IF(ET320="sníž. přenesená",J320,0)</f>
        <v>0</v>
      </c>
      <c r="GO320" s="137">
        <f>IF(ET320="nulová",J320,0)</f>
        <v>0</v>
      </c>
      <c r="GP320" s="16" t="s">
        <v>81</v>
      </c>
      <c r="GQ320" s="137">
        <f>ROUND(I320*H320,2)</f>
        <v>4715.53</v>
      </c>
      <c r="GR320" s="16" t="s">
        <v>95</v>
      </c>
      <c r="GS320" s="136" t="s">
        <v>2378</v>
      </c>
    </row>
    <row r="321" spans="2:201" s="1" customFormat="1" x14ac:dyDescent="0.2">
      <c r="B321" s="31"/>
      <c r="D321" s="138" t="s">
        <v>289</v>
      </c>
      <c r="F321" s="139" t="s">
        <v>2379</v>
      </c>
      <c r="I321" s="140"/>
      <c r="L321" s="31"/>
      <c r="N321" s="213"/>
      <c r="O321" s="214"/>
      <c r="Q321" s="229"/>
      <c r="R321" s="1">
        <v>0.9</v>
      </c>
      <c r="ES321" s="141"/>
      <c r="EZ321" s="50"/>
      <c r="FZ321" s="16" t="s">
        <v>289</v>
      </c>
      <c r="GA321" s="16" t="s">
        <v>83</v>
      </c>
    </row>
    <row r="322" spans="2:201" s="1" customFormat="1" ht="29.25" x14ac:dyDescent="0.2">
      <c r="B322" s="31"/>
      <c r="D322" s="138" t="s">
        <v>299</v>
      </c>
      <c r="F322" s="142" t="s">
        <v>2282</v>
      </c>
      <c r="I322" s="140"/>
      <c r="L322" s="31"/>
      <c r="N322" s="213"/>
      <c r="O322" s="214"/>
      <c r="Q322" s="229"/>
      <c r="R322" s="1">
        <v>0.9</v>
      </c>
      <c r="ES322" s="141"/>
      <c r="EZ322" s="50"/>
      <c r="FZ322" s="16" t="s">
        <v>299</v>
      </c>
      <c r="GA322" s="16" t="s">
        <v>83</v>
      </c>
    </row>
    <row r="323" spans="2:201" s="12" customFormat="1" x14ac:dyDescent="0.2">
      <c r="B323" s="149"/>
      <c r="D323" s="138" t="s">
        <v>301</v>
      </c>
      <c r="E323" s="150" t="s">
        <v>1</v>
      </c>
      <c r="F323" s="151" t="s">
        <v>2380</v>
      </c>
      <c r="H323" s="152">
        <v>115</v>
      </c>
      <c r="I323" s="153"/>
      <c r="L323" s="149"/>
      <c r="N323" s="217"/>
      <c r="O323" s="218"/>
      <c r="Q323" s="231"/>
      <c r="R323" s="12">
        <v>0.9</v>
      </c>
      <c r="ES323" s="154"/>
      <c r="EZ323" s="155"/>
      <c r="FZ323" s="150" t="s">
        <v>301</v>
      </c>
      <c r="GA323" s="150" t="s">
        <v>83</v>
      </c>
      <c r="GB323" s="12" t="s">
        <v>83</v>
      </c>
      <c r="GC323" s="12" t="s">
        <v>32</v>
      </c>
      <c r="GD323" s="12" t="s">
        <v>81</v>
      </c>
      <c r="GE323" s="150" t="s">
        <v>282</v>
      </c>
    </row>
    <row r="324" spans="2:201" s="1" customFormat="1" ht="14.45" customHeight="1" x14ac:dyDescent="0.2">
      <c r="B324" s="124"/>
      <c r="C324" s="125" t="s">
        <v>576</v>
      </c>
      <c r="D324" s="125" t="s">
        <v>284</v>
      </c>
      <c r="E324" s="126" t="s">
        <v>2381</v>
      </c>
      <c r="F324" s="127" t="s">
        <v>2382</v>
      </c>
      <c r="G324" s="128" t="s">
        <v>344</v>
      </c>
      <c r="H324" s="129">
        <v>110</v>
      </c>
      <c r="I324" s="130">
        <v>12.254588887781324</v>
      </c>
      <c r="J324" s="131">
        <f>ROUND(I324*H324,2)</f>
        <v>1348</v>
      </c>
      <c r="K324" s="127" t="s">
        <v>293</v>
      </c>
      <c r="L324" s="268">
        <f>S324</f>
        <v>0</v>
      </c>
      <c r="M324" s="272">
        <f>ROUND(L324*I324,2)</f>
        <v>0</v>
      </c>
      <c r="N324" s="243"/>
      <c r="O324" s="294">
        <f>ROUND(N324*I324,2)</f>
        <v>0</v>
      </c>
      <c r="P324" s="273">
        <f>H324-L324-N324</f>
        <v>110</v>
      </c>
      <c r="Q324" s="287">
        <f>ROUND(P324*I324,2)</f>
        <v>1348</v>
      </c>
      <c r="R324" s="1">
        <v>0.9</v>
      </c>
      <c r="S324" s="269">
        <f>W324+Y324+AA324+AC324+AE324+AG324+AI324+AK324+AM324</f>
        <v>0</v>
      </c>
      <c r="T324" s="269">
        <f>ROUND(S324*I324,2)</f>
        <v>0</v>
      </c>
      <c r="U324" s="269">
        <f>H324-S324</f>
        <v>110</v>
      </c>
      <c r="V324" s="269">
        <f>ROUND(U324*I324,2)</f>
        <v>1348</v>
      </c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ES324" s="132" t="s">
        <v>1</v>
      </c>
      <c r="ET324" s="133" t="s">
        <v>40</v>
      </c>
      <c r="EV324" s="134">
        <f>EU324*H324</f>
        <v>0</v>
      </c>
      <c r="EW324" s="134">
        <v>9.0000000000000006E-5</v>
      </c>
      <c r="EX324" s="134">
        <f>EW324*H324</f>
        <v>9.9000000000000008E-3</v>
      </c>
      <c r="EY324" s="134">
        <v>0</v>
      </c>
      <c r="EZ324" s="135">
        <f>EY324*H324</f>
        <v>0</v>
      </c>
      <c r="FX324" s="136" t="s">
        <v>95</v>
      </c>
      <c r="FZ324" s="136" t="s">
        <v>284</v>
      </c>
      <c r="GA324" s="136" t="s">
        <v>83</v>
      </c>
      <c r="GE324" s="16" t="s">
        <v>282</v>
      </c>
      <c r="GK324" s="137">
        <f>IF(ET324="základní",J324,0)</f>
        <v>1348</v>
      </c>
      <c r="GL324" s="137">
        <f>IF(ET324="snížená",J324,0)</f>
        <v>0</v>
      </c>
      <c r="GM324" s="137">
        <f>IF(ET324="zákl. přenesená",J324,0)</f>
        <v>0</v>
      </c>
      <c r="GN324" s="137">
        <f>IF(ET324="sníž. přenesená",J324,0)</f>
        <v>0</v>
      </c>
      <c r="GO324" s="137">
        <f>IF(ET324="nulová",J324,0)</f>
        <v>0</v>
      </c>
      <c r="GP324" s="16" t="s">
        <v>81</v>
      </c>
      <c r="GQ324" s="137">
        <f>ROUND(I324*H324,2)</f>
        <v>1348</v>
      </c>
      <c r="GR324" s="16" t="s">
        <v>95</v>
      </c>
      <c r="GS324" s="136" t="s">
        <v>2383</v>
      </c>
    </row>
    <row r="325" spans="2:201" s="1" customFormat="1" x14ac:dyDescent="0.2">
      <c r="B325" s="31"/>
      <c r="D325" s="138" t="s">
        <v>289</v>
      </c>
      <c r="F325" s="139" t="s">
        <v>2384</v>
      </c>
      <c r="I325" s="140"/>
      <c r="L325" s="31"/>
      <c r="N325" s="213"/>
      <c r="O325" s="214"/>
      <c r="Q325" s="229"/>
      <c r="R325" s="1">
        <v>0.9</v>
      </c>
      <c r="ES325" s="141"/>
      <c r="EZ325" s="50"/>
      <c r="FZ325" s="16" t="s">
        <v>289</v>
      </c>
      <c r="GA325" s="16" t="s">
        <v>83</v>
      </c>
    </row>
    <row r="326" spans="2:201" s="1" customFormat="1" ht="29.25" x14ac:dyDescent="0.2">
      <c r="B326" s="31"/>
      <c r="D326" s="138" t="s">
        <v>299</v>
      </c>
      <c r="F326" s="142" t="s">
        <v>2282</v>
      </c>
      <c r="I326" s="140"/>
      <c r="L326" s="31"/>
      <c r="N326" s="213"/>
      <c r="O326" s="214"/>
      <c r="Q326" s="229"/>
      <c r="R326" s="1">
        <v>0.9</v>
      </c>
      <c r="ES326" s="141"/>
      <c r="EZ326" s="50"/>
      <c r="FZ326" s="16" t="s">
        <v>299</v>
      </c>
      <c r="GA326" s="16" t="s">
        <v>83</v>
      </c>
    </row>
    <row r="327" spans="2:201" s="12" customFormat="1" x14ac:dyDescent="0.2">
      <c r="B327" s="149"/>
      <c r="D327" s="138" t="s">
        <v>301</v>
      </c>
      <c r="E327" s="150" t="s">
        <v>1</v>
      </c>
      <c r="F327" s="151" t="s">
        <v>2385</v>
      </c>
      <c r="H327" s="152">
        <v>110</v>
      </c>
      <c r="I327" s="153"/>
      <c r="L327" s="149"/>
      <c r="N327" s="217"/>
      <c r="O327" s="218"/>
      <c r="Q327" s="231"/>
      <c r="R327" s="12">
        <v>0.9</v>
      </c>
      <c r="ES327" s="154"/>
      <c r="EZ327" s="155"/>
      <c r="FZ327" s="150" t="s">
        <v>301</v>
      </c>
      <c r="GA327" s="150" t="s">
        <v>83</v>
      </c>
      <c r="GB327" s="12" t="s">
        <v>83</v>
      </c>
      <c r="GC327" s="12" t="s">
        <v>32</v>
      </c>
      <c r="GD327" s="12" t="s">
        <v>81</v>
      </c>
      <c r="GE327" s="150" t="s">
        <v>282</v>
      </c>
    </row>
    <row r="328" spans="2:201" s="10" customFormat="1" ht="22.9" customHeight="1" x14ac:dyDescent="0.2">
      <c r="B328" s="112"/>
      <c r="D328" s="113" t="s">
        <v>73</v>
      </c>
      <c r="E328" s="122" t="s">
        <v>335</v>
      </c>
      <c r="F328" s="122" t="s">
        <v>674</v>
      </c>
      <c r="I328" s="115"/>
      <c r="J328" s="123">
        <f>GQ328</f>
        <v>6819.95</v>
      </c>
      <c r="L328" s="112"/>
      <c r="M328" s="291">
        <f>M329</f>
        <v>0</v>
      </c>
      <c r="N328" s="295"/>
      <c r="O328" s="296">
        <f t="shared" ref="O328:V328" si="7">O329</f>
        <v>0</v>
      </c>
      <c r="P328" s="291"/>
      <c r="Q328" s="298">
        <f t="shared" si="7"/>
        <v>6819.95</v>
      </c>
      <c r="R328" s="291"/>
      <c r="S328" s="291"/>
      <c r="T328" s="291">
        <f t="shared" si="7"/>
        <v>0</v>
      </c>
      <c r="U328" s="291"/>
      <c r="V328" s="291">
        <f t="shared" si="7"/>
        <v>6819.95</v>
      </c>
      <c r="ES328" s="117"/>
      <c r="EV328" s="118">
        <f>SUM(EV329:EV333)</f>
        <v>0</v>
      </c>
      <c r="EX328" s="118">
        <f>SUM(EX329:EX333)</f>
        <v>0</v>
      </c>
      <c r="EZ328" s="119">
        <f>SUM(EZ329:EZ333)</f>
        <v>0</v>
      </c>
      <c r="FX328" s="113" t="s">
        <v>81</v>
      </c>
      <c r="FZ328" s="120" t="s">
        <v>73</v>
      </c>
      <c r="GA328" s="120" t="s">
        <v>81</v>
      </c>
      <c r="GE328" s="113" t="s">
        <v>282</v>
      </c>
      <c r="GQ328" s="121">
        <f>SUM(GQ329:GQ333)</f>
        <v>6819.95</v>
      </c>
    </row>
    <row r="329" spans="2:201" s="1" customFormat="1" ht="14.45" customHeight="1" x14ac:dyDescent="0.2">
      <c r="B329" s="124"/>
      <c r="C329" s="125" t="s">
        <v>581</v>
      </c>
      <c r="D329" s="125" t="s">
        <v>284</v>
      </c>
      <c r="E329" s="126" t="s">
        <v>689</v>
      </c>
      <c r="F329" s="127" t="s">
        <v>690</v>
      </c>
      <c r="G329" s="128" t="s">
        <v>315</v>
      </c>
      <c r="H329" s="129">
        <v>4</v>
      </c>
      <c r="I329" s="130">
        <v>1704.9882600000001</v>
      </c>
      <c r="J329" s="131">
        <f>ROUND(I329*H329,2)</f>
        <v>6819.95</v>
      </c>
      <c r="K329" s="127" t="s">
        <v>1</v>
      </c>
      <c r="L329" s="268">
        <f>S329</f>
        <v>0</v>
      </c>
      <c r="M329" s="272">
        <f>ROUND(L329*I329,2)</f>
        <v>0</v>
      </c>
      <c r="N329" s="243"/>
      <c r="O329" s="294">
        <f>ROUND(N329*I329,2)</f>
        <v>0</v>
      </c>
      <c r="P329" s="273">
        <f>H329-L329-N329</f>
        <v>4</v>
      </c>
      <c r="Q329" s="287">
        <f>ROUND(P329*I329,2)</f>
        <v>6819.95</v>
      </c>
      <c r="R329" s="1">
        <v>0.9</v>
      </c>
      <c r="S329" s="269">
        <f>W329+Y329+AA329+AC329+AE329+AG329+AI329+AK329+AM329</f>
        <v>0</v>
      </c>
      <c r="T329" s="269">
        <f>ROUND(S329*I329,2)</f>
        <v>0</v>
      </c>
      <c r="U329" s="269">
        <f>H329-S329</f>
        <v>4</v>
      </c>
      <c r="V329" s="269">
        <f>ROUND(U329*I329,2)</f>
        <v>6819.95</v>
      </c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  <c r="AL329" s="269"/>
      <c r="AM329" s="269"/>
      <c r="AN329" s="269"/>
      <c r="ES329" s="132" t="s">
        <v>1</v>
      </c>
      <c r="ET329" s="133" t="s">
        <v>40</v>
      </c>
      <c r="EV329" s="134">
        <f>EU329*H329</f>
        <v>0</v>
      </c>
      <c r="EW329" s="134">
        <v>0</v>
      </c>
      <c r="EX329" s="134">
        <f>EW329*H329</f>
        <v>0</v>
      </c>
      <c r="EY329" s="134">
        <v>0</v>
      </c>
      <c r="EZ329" s="135">
        <f>EY329*H329</f>
        <v>0</v>
      </c>
      <c r="FX329" s="136" t="s">
        <v>95</v>
      </c>
      <c r="FZ329" s="136" t="s">
        <v>284</v>
      </c>
      <c r="GA329" s="136" t="s">
        <v>83</v>
      </c>
      <c r="GE329" s="16" t="s">
        <v>282</v>
      </c>
      <c r="GK329" s="137">
        <f>IF(ET329="základní",J329,0)</f>
        <v>6819.95</v>
      </c>
      <c r="GL329" s="137">
        <f>IF(ET329="snížená",J329,0)</f>
        <v>0</v>
      </c>
      <c r="GM329" s="137">
        <f>IF(ET329="zákl. přenesená",J329,0)</f>
        <v>0</v>
      </c>
      <c r="GN329" s="137">
        <f>IF(ET329="sníž. přenesená",J329,0)</f>
        <v>0</v>
      </c>
      <c r="GO329" s="137">
        <f>IF(ET329="nulová",J329,0)</f>
        <v>0</v>
      </c>
      <c r="GP329" s="16" t="s">
        <v>81</v>
      </c>
      <c r="GQ329" s="137">
        <f>ROUND(I329*H329,2)</f>
        <v>6819.95</v>
      </c>
      <c r="GR329" s="16" t="s">
        <v>95</v>
      </c>
      <c r="GS329" s="136" t="s">
        <v>691</v>
      </c>
    </row>
    <row r="330" spans="2:201" s="1" customFormat="1" ht="48.75" x14ac:dyDescent="0.2">
      <c r="B330" s="31"/>
      <c r="D330" s="138" t="s">
        <v>289</v>
      </c>
      <c r="F330" s="139" t="s">
        <v>692</v>
      </c>
      <c r="I330" s="140"/>
      <c r="L330" s="31"/>
      <c r="N330" s="213"/>
      <c r="O330" s="214"/>
      <c r="Q330" s="229"/>
      <c r="R330" s="1">
        <v>0.9</v>
      </c>
      <c r="ES330" s="141"/>
      <c r="EZ330" s="50"/>
      <c r="FZ330" s="16" t="s">
        <v>289</v>
      </c>
      <c r="GA330" s="16" t="s">
        <v>83</v>
      </c>
    </row>
    <row r="331" spans="2:201" s="1" customFormat="1" ht="19.5" x14ac:dyDescent="0.2">
      <c r="B331" s="31"/>
      <c r="D331" s="138" t="s">
        <v>299</v>
      </c>
      <c r="F331" s="142" t="s">
        <v>2386</v>
      </c>
      <c r="I331" s="140"/>
      <c r="L331" s="31"/>
      <c r="N331" s="213"/>
      <c r="O331" s="214"/>
      <c r="Q331" s="229"/>
      <c r="R331" s="1">
        <v>0.9</v>
      </c>
      <c r="ES331" s="141"/>
      <c r="EZ331" s="50"/>
      <c r="FZ331" s="16" t="s">
        <v>299</v>
      </c>
      <c r="GA331" s="16" t="s">
        <v>83</v>
      </c>
    </row>
    <row r="332" spans="2:201" s="11" customFormat="1" x14ac:dyDescent="0.2">
      <c r="B332" s="143"/>
      <c r="D332" s="138" t="s">
        <v>301</v>
      </c>
      <c r="E332" s="144" t="s">
        <v>1</v>
      </c>
      <c r="F332" s="145" t="s">
        <v>694</v>
      </c>
      <c r="H332" s="144" t="s">
        <v>1</v>
      </c>
      <c r="I332" s="146"/>
      <c r="L332" s="143"/>
      <c r="N332" s="215"/>
      <c r="O332" s="216"/>
      <c r="Q332" s="230"/>
      <c r="R332" s="11">
        <v>0.9</v>
      </c>
      <c r="ES332" s="147"/>
      <c r="EZ332" s="148"/>
      <c r="FZ332" s="144" t="s">
        <v>301</v>
      </c>
      <c r="GA332" s="144" t="s">
        <v>83</v>
      </c>
      <c r="GB332" s="11" t="s">
        <v>81</v>
      </c>
      <c r="GC332" s="11" t="s">
        <v>32</v>
      </c>
      <c r="GD332" s="11" t="s">
        <v>74</v>
      </c>
      <c r="GE332" s="144" t="s">
        <v>282</v>
      </c>
    </row>
    <row r="333" spans="2:201" s="12" customFormat="1" x14ac:dyDescent="0.2">
      <c r="B333" s="149"/>
      <c r="D333" s="138" t="s">
        <v>301</v>
      </c>
      <c r="E333" s="150" t="s">
        <v>1</v>
      </c>
      <c r="F333" s="151" t="s">
        <v>95</v>
      </c>
      <c r="H333" s="152">
        <v>4</v>
      </c>
      <c r="I333" s="153"/>
      <c r="L333" s="149"/>
      <c r="N333" s="217"/>
      <c r="O333" s="218"/>
      <c r="Q333" s="231"/>
      <c r="R333" s="12">
        <v>0.9</v>
      </c>
      <c r="ES333" s="154"/>
      <c r="EZ333" s="155"/>
      <c r="FZ333" s="150" t="s">
        <v>301</v>
      </c>
      <c r="GA333" s="150" t="s">
        <v>83</v>
      </c>
      <c r="GB333" s="12" t="s">
        <v>83</v>
      </c>
      <c r="GC333" s="12" t="s">
        <v>32</v>
      </c>
      <c r="GD333" s="12" t="s">
        <v>81</v>
      </c>
      <c r="GE333" s="150" t="s">
        <v>282</v>
      </c>
    </row>
    <row r="334" spans="2:201" s="10" customFormat="1" ht="22.9" customHeight="1" x14ac:dyDescent="0.2">
      <c r="B334" s="112"/>
      <c r="D334" s="113" t="s">
        <v>73</v>
      </c>
      <c r="E334" s="122" t="s">
        <v>695</v>
      </c>
      <c r="F334" s="122" t="s">
        <v>696</v>
      </c>
      <c r="I334" s="115"/>
      <c r="J334" s="123">
        <f>GQ334</f>
        <v>48871.5</v>
      </c>
      <c r="L334" s="112"/>
      <c r="M334" s="291">
        <f>SUM(M335:M351)</f>
        <v>0</v>
      </c>
      <c r="N334" s="295"/>
      <c r="O334" s="296">
        <f t="shared" ref="O334:V334" si="8">SUM(O335:O351)</f>
        <v>733.07999999999993</v>
      </c>
      <c r="P334" s="291"/>
      <c r="Q334" s="298">
        <f t="shared" si="8"/>
        <v>48138.44</v>
      </c>
      <c r="R334" s="291"/>
      <c r="S334" s="291"/>
      <c r="T334" s="291">
        <f t="shared" si="8"/>
        <v>0</v>
      </c>
      <c r="U334" s="291"/>
      <c r="V334" s="291">
        <f t="shared" si="8"/>
        <v>48871.5</v>
      </c>
      <c r="ES334" s="117"/>
      <c r="EV334" s="118">
        <f>SUM(EV335:EV353)</f>
        <v>0</v>
      </c>
      <c r="EX334" s="118">
        <f>SUM(EX335:EX353)</f>
        <v>0</v>
      </c>
      <c r="EZ334" s="119">
        <f>SUM(EZ335:EZ353)</f>
        <v>0</v>
      </c>
      <c r="FX334" s="113" t="s">
        <v>81</v>
      </c>
      <c r="FZ334" s="120" t="s">
        <v>73</v>
      </c>
      <c r="GA334" s="120" t="s">
        <v>81</v>
      </c>
      <c r="GE334" s="113" t="s">
        <v>282</v>
      </c>
      <c r="GQ334" s="121">
        <f>SUM(GQ335:GQ353)</f>
        <v>48871.5</v>
      </c>
    </row>
    <row r="335" spans="2:201" s="1" customFormat="1" ht="14.45" customHeight="1" x14ac:dyDescent="0.2">
      <c r="B335" s="124"/>
      <c r="C335" s="125" t="s">
        <v>589</v>
      </c>
      <c r="D335" s="125" t="s">
        <v>284</v>
      </c>
      <c r="E335" s="126" t="s">
        <v>698</v>
      </c>
      <c r="F335" s="127" t="s">
        <v>699</v>
      </c>
      <c r="G335" s="128" t="s">
        <v>418</v>
      </c>
      <c r="H335" s="129">
        <v>132.291</v>
      </c>
      <c r="I335" s="130">
        <v>40.477390926043419</v>
      </c>
      <c r="J335" s="131">
        <f>ROUND(I335*H335,2)</f>
        <v>5354.79</v>
      </c>
      <c r="K335" s="127" t="s">
        <v>293</v>
      </c>
      <c r="L335" s="268">
        <f>S335</f>
        <v>0</v>
      </c>
      <c r="M335" s="272">
        <f>ROUND(L335*I335,2)</f>
        <v>0</v>
      </c>
      <c r="N335" s="243">
        <f>N337</f>
        <v>1.9843649999999968</v>
      </c>
      <c r="O335" s="294">
        <f>ROUND(N335*I335,2)</f>
        <v>80.319999999999993</v>
      </c>
      <c r="P335" s="273">
        <f>H335-L335-N335</f>
        <v>130.306635</v>
      </c>
      <c r="Q335" s="287">
        <f>ROUND(P335*I335,2)</f>
        <v>5274.47</v>
      </c>
      <c r="R335" s="1">
        <v>0.9</v>
      </c>
      <c r="S335" s="269">
        <f>W335+Y335+AA335+AC335+AE335+AG335+AI335+AK335+AM335</f>
        <v>0</v>
      </c>
      <c r="T335" s="269">
        <f>ROUND(S335*I335,2)</f>
        <v>0</v>
      </c>
      <c r="U335" s="269">
        <f>H335-S335</f>
        <v>132.291</v>
      </c>
      <c r="V335" s="269">
        <f>ROUND(U335*I335,2)</f>
        <v>5354.79</v>
      </c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  <c r="AL335" s="269"/>
      <c r="AM335" s="269"/>
      <c r="AN335" s="269"/>
      <c r="ES335" s="132" t="s">
        <v>1</v>
      </c>
      <c r="ET335" s="133" t="s">
        <v>40</v>
      </c>
      <c r="EV335" s="134">
        <f>EU335*H335</f>
        <v>0</v>
      </c>
      <c r="EW335" s="134">
        <v>0</v>
      </c>
      <c r="EX335" s="134">
        <f>EW335*H335</f>
        <v>0</v>
      </c>
      <c r="EY335" s="134">
        <v>0</v>
      </c>
      <c r="EZ335" s="135">
        <f>EY335*H335</f>
        <v>0</v>
      </c>
      <c r="FX335" s="136" t="s">
        <v>95</v>
      </c>
      <c r="FZ335" s="136" t="s">
        <v>284</v>
      </c>
      <c r="GA335" s="136" t="s">
        <v>83</v>
      </c>
      <c r="GE335" s="16" t="s">
        <v>282</v>
      </c>
      <c r="GK335" s="137">
        <f>IF(ET335="základní",J335,0)</f>
        <v>5354.79</v>
      </c>
      <c r="GL335" s="137">
        <f>IF(ET335="snížená",J335,0)</f>
        <v>0</v>
      </c>
      <c r="GM335" s="137">
        <f>IF(ET335="zákl. přenesená",J335,0)</f>
        <v>0</v>
      </c>
      <c r="GN335" s="137">
        <f>IF(ET335="sníž. přenesená",J335,0)</f>
        <v>0</v>
      </c>
      <c r="GO335" s="137">
        <f>IF(ET335="nulová",J335,0)</f>
        <v>0</v>
      </c>
      <c r="GP335" s="16" t="s">
        <v>81</v>
      </c>
      <c r="GQ335" s="137">
        <f>ROUND(I335*H335,2)</f>
        <v>5354.79</v>
      </c>
      <c r="GR335" s="16" t="s">
        <v>95</v>
      </c>
      <c r="GS335" s="136" t="s">
        <v>700</v>
      </c>
    </row>
    <row r="336" spans="2:201" s="1" customFormat="1" ht="19.5" x14ac:dyDescent="0.2">
      <c r="B336" s="31"/>
      <c r="D336" s="138" t="s">
        <v>289</v>
      </c>
      <c r="F336" s="139" t="s">
        <v>701</v>
      </c>
      <c r="I336" s="140"/>
      <c r="L336" s="31"/>
      <c r="N336" s="213">
        <f>1.015*132.291</f>
        <v>134.27536499999999</v>
      </c>
      <c r="O336" s="214" t="s">
        <v>3948</v>
      </c>
      <c r="Q336" s="229"/>
      <c r="R336" s="1">
        <v>0.9</v>
      </c>
      <c r="ES336" s="141"/>
      <c r="EZ336" s="50"/>
      <c r="FZ336" s="16" t="s">
        <v>289</v>
      </c>
      <c r="GA336" s="16" t="s">
        <v>83</v>
      </c>
    </row>
    <row r="337" spans="2:201" s="12" customFormat="1" x14ac:dyDescent="0.2">
      <c r="B337" s="149"/>
      <c r="D337" s="138" t="s">
        <v>301</v>
      </c>
      <c r="E337" s="150" t="s">
        <v>1</v>
      </c>
      <c r="F337" s="151" t="s">
        <v>2387</v>
      </c>
      <c r="H337" s="152">
        <v>114.631</v>
      </c>
      <c r="I337" s="153"/>
      <c r="L337" s="149"/>
      <c r="N337" s="310">
        <f>N336-H339</f>
        <v>1.9843649999999968</v>
      </c>
      <c r="O337" s="218"/>
      <c r="Q337" s="231"/>
      <c r="R337" s="12">
        <v>0.9</v>
      </c>
      <c r="ES337" s="154"/>
      <c r="EZ337" s="155"/>
      <c r="FZ337" s="150" t="s">
        <v>301</v>
      </c>
      <c r="GA337" s="150" t="s">
        <v>83</v>
      </c>
      <c r="GB337" s="12" t="s">
        <v>83</v>
      </c>
      <c r="GC337" s="12" t="s">
        <v>32</v>
      </c>
      <c r="GD337" s="12" t="s">
        <v>74</v>
      </c>
      <c r="GE337" s="150" t="s">
        <v>282</v>
      </c>
    </row>
    <row r="338" spans="2:201" s="12" customFormat="1" x14ac:dyDescent="0.2">
      <c r="B338" s="149"/>
      <c r="D338" s="138" t="s">
        <v>301</v>
      </c>
      <c r="E338" s="150" t="s">
        <v>1</v>
      </c>
      <c r="F338" s="151" t="s">
        <v>2388</v>
      </c>
      <c r="H338" s="152">
        <v>17.66</v>
      </c>
      <c r="I338" s="153"/>
      <c r="L338" s="149"/>
      <c r="N338" s="217"/>
      <c r="O338" s="218"/>
      <c r="Q338" s="231"/>
      <c r="R338" s="12">
        <v>0.9</v>
      </c>
      <c r="ES338" s="154"/>
      <c r="EZ338" s="155"/>
      <c r="FZ338" s="150" t="s">
        <v>301</v>
      </c>
      <c r="GA338" s="150" t="s">
        <v>83</v>
      </c>
      <c r="GB338" s="12" t="s">
        <v>83</v>
      </c>
      <c r="GC338" s="12" t="s">
        <v>32</v>
      </c>
      <c r="GD338" s="12" t="s">
        <v>74</v>
      </c>
      <c r="GE338" s="150" t="s">
        <v>282</v>
      </c>
    </row>
    <row r="339" spans="2:201" s="13" customFormat="1" x14ac:dyDescent="0.2">
      <c r="B339" s="156"/>
      <c r="D339" s="138" t="s">
        <v>301</v>
      </c>
      <c r="E339" s="157" t="s">
        <v>1</v>
      </c>
      <c r="F339" s="158" t="s">
        <v>305</v>
      </c>
      <c r="H339" s="159">
        <v>132.291</v>
      </c>
      <c r="I339" s="160"/>
      <c r="L339" s="156"/>
      <c r="N339" s="219"/>
      <c r="O339" s="220"/>
      <c r="Q339" s="232"/>
      <c r="R339" s="13">
        <v>0.9</v>
      </c>
      <c r="ES339" s="161"/>
      <c r="EZ339" s="162"/>
      <c r="FZ339" s="157" t="s">
        <v>301</v>
      </c>
      <c r="GA339" s="157" t="s">
        <v>83</v>
      </c>
      <c r="GB339" s="13" t="s">
        <v>95</v>
      </c>
      <c r="GC339" s="13" t="s">
        <v>32</v>
      </c>
      <c r="GD339" s="13" t="s">
        <v>81</v>
      </c>
      <c r="GE339" s="157" t="s">
        <v>282</v>
      </c>
    </row>
    <row r="340" spans="2:201" s="1" customFormat="1" ht="24.2" customHeight="1" x14ac:dyDescent="0.2">
      <c r="B340" s="124"/>
      <c r="C340" s="125" t="s">
        <v>594</v>
      </c>
      <c r="D340" s="125" t="s">
        <v>284</v>
      </c>
      <c r="E340" s="126" t="s">
        <v>705</v>
      </c>
      <c r="F340" s="127" t="s">
        <v>706</v>
      </c>
      <c r="G340" s="128" t="s">
        <v>418</v>
      </c>
      <c r="H340" s="129">
        <v>1852.0740000000001</v>
      </c>
      <c r="I340" s="130">
        <v>3.1192340975392101</v>
      </c>
      <c r="J340" s="131">
        <f>ROUND(I340*H340,2)</f>
        <v>5777.05</v>
      </c>
      <c r="K340" s="127" t="s">
        <v>293</v>
      </c>
      <c r="L340" s="268">
        <f>S340</f>
        <v>0</v>
      </c>
      <c r="M340" s="272">
        <f>ROUND(L340*I340,2)</f>
        <v>0</v>
      </c>
      <c r="N340" s="243">
        <f>N342</f>
        <v>27.781109999999899</v>
      </c>
      <c r="O340" s="294">
        <f>ROUND(N340*I340,2)</f>
        <v>86.66</v>
      </c>
      <c r="P340" s="273">
        <f>H340-L340-N340</f>
        <v>1824.2928900000002</v>
      </c>
      <c r="Q340" s="287">
        <f>ROUND(P340*I340,2)</f>
        <v>5690.4</v>
      </c>
      <c r="R340" s="1">
        <v>0.9</v>
      </c>
      <c r="S340" s="269">
        <f>W340+Y340+AA340+AC340+AE340+AG340+AI340+AK340+AM340</f>
        <v>0</v>
      </c>
      <c r="T340" s="269">
        <f>ROUND(S340*I340,2)</f>
        <v>0</v>
      </c>
      <c r="U340" s="269">
        <f>H340-S340</f>
        <v>1852.0740000000001</v>
      </c>
      <c r="V340" s="269">
        <f>ROUND(U340*I340,2)</f>
        <v>5777.05</v>
      </c>
      <c r="W340" s="269"/>
      <c r="X340" s="269"/>
      <c r="Y340" s="269"/>
      <c r="Z340" s="269"/>
      <c r="AA340" s="269"/>
      <c r="AB340" s="269"/>
      <c r="AC340" s="269"/>
      <c r="AD340" s="269"/>
      <c r="AE340" s="269"/>
      <c r="AF340" s="269"/>
      <c r="AG340" s="269"/>
      <c r="AH340" s="269"/>
      <c r="AI340" s="269"/>
      <c r="AJ340" s="269"/>
      <c r="AK340" s="269"/>
      <c r="AL340" s="269"/>
      <c r="AM340" s="269"/>
      <c r="AN340" s="269"/>
      <c r="ES340" s="132" t="s">
        <v>1</v>
      </c>
      <c r="ET340" s="133" t="s">
        <v>40</v>
      </c>
      <c r="EV340" s="134">
        <f>EU340*H340</f>
        <v>0</v>
      </c>
      <c r="EW340" s="134">
        <v>0</v>
      </c>
      <c r="EX340" s="134">
        <f>EW340*H340</f>
        <v>0</v>
      </c>
      <c r="EY340" s="134">
        <v>0</v>
      </c>
      <c r="EZ340" s="135">
        <f>EY340*H340</f>
        <v>0</v>
      </c>
      <c r="FX340" s="136" t="s">
        <v>95</v>
      </c>
      <c r="FZ340" s="136" t="s">
        <v>284</v>
      </c>
      <c r="GA340" s="136" t="s">
        <v>83</v>
      </c>
      <c r="GE340" s="16" t="s">
        <v>282</v>
      </c>
      <c r="GK340" s="137">
        <f>IF(ET340="základní",J340,0)</f>
        <v>5777.05</v>
      </c>
      <c r="GL340" s="137">
        <f>IF(ET340="snížená",J340,0)</f>
        <v>0</v>
      </c>
      <c r="GM340" s="137">
        <f>IF(ET340="zákl. přenesená",J340,0)</f>
        <v>0</v>
      </c>
      <c r="GN340" s="137">
        <f>IF(ET340="sníž. přenesená",J340,0)</f>
        <v>0</v>
      </c>
      <c r="GO340" s="137">
        <f>IF(ET340="nulová",J340,0)</f>
        <v>0</v>
      </c>
      <c r="GP340" s="16" t="s">
        <v>81</v>
      </c>
      <c r="GQ340" s="137">
        <f>ROUND(I340*H340,2)</f>
        <v>5777.05</v>
      </c>
      <c r="GR340" s="16" t="s">
        <v>95</v>
      </c>
      <c r="GS340" s="136" t="s">
        <v>707</v>
      </c>
    </row>
    <row r="341" spans="2:201" s="1" customFormat="1" ht="29.25" x14ac:dyDescent="0.2">
      <c r="B341" s="31"/>
      <c r="D341" s="138" t="s">
        <v>289</v>
      </c>
      <c r="F341" s="139" t="s">
        <v>708</v>
      </c>
      <c r="I341" s="140"/>
      <c r="L341" s="31"/>
      <c r="N341" s="213">
        <f>1.015*1852.074</f>
        <v>1879.85511</v>
      </c>
      <c r="O341" s="214" t="s">
        <v>3949</v>
      </c>
      <c r="Q341" s="229"/>
      <c r="R341" s="1">
        <v>0.9</v>
      </c>
      <c r="ES341" s="141"/>
      <c r="EZ341" s="50"/>
      <c r="FZ341" s="16" t="s">
        <v>289</v>
      </c>
      <c r="GA341" s="16" t="s">
        <v>83</v>
      </c>
    </row>
    <row r="342" spans="2:201" s="12" customFormat="1" x14ac:dyDescent="0.2">
      <c r="B342" s="149"/>
      <c r="D342" s="138" t="s">
        <v>301</v>
      </c>
      <c r="E342" s="150" t="s">
        <v>1</v>
      </c>
      <c r="F342" s="151" t="s">
        <v>2387</v>
      </c>
      <c r="H342" s="152">
        <v>114.631</v>
      </c>
      <c r="I342" s="153"/>
      <c r="L342" s="149"/>
      <c r="N342" s="310">
        <f>N341-H345</f>
        <v>27.781109999999899</v>
      </c>
      <c r="O342" s="218"/>
      <c r="Q342" s="231"/>
      <c r="R342" s="12">
        <v>0.9</v>
      </c>
      <c r="ES342" s="154"/>
      <c r="EZ342" s="155"/>
      <c r="FZ342" s="150" t="s">
        <v>301</v>
      </c>
      <c r="GA342" s="150" t="s">
        <v>83</v>
      </c>
      <c r="GB342" s="12" t="s">
        <v>83</v>
      </c>
      <c r="GC342" s="12" t="s">
        <v>32</v>
      </c>
      <c r="GD342" s="12" t="s">
        <v>74</v>
      </c>
      <c r="GE342" s="150" t="s">
        <v>282</v>
      </c>
    </row>
    <row r="343" spans="2:201" s="12" customFormat="1" x14ac:dyDescent="0.2">
      <c r="B343" s="149"/>
      <c r="D343" s="138" t="s">
        <v>301</v>
      </c>
      <c r="E343" s="150" t="s">
        <v>1</v>
      </c>
      <c r="F343" s="151" t="s">
        <v>2388</v>
      </c>
      <c r="H343" s="152">
        <v>17.66</v>
      </c>
      <c r="I343" s="153"/>
      <c r="L343" s="149"/>
      <c r="N343" s="217"/>
      <c r="O343" s="218"/>
      <c r="Q343" s="231"/>
      <c r="R343" s="12">
        <v>0.9</v>
      </c>
      <c r="ES343" s="154"/>
      <c r="EZ343" s="155"/>
      <c r="FZ343" s="150" t="s">
        <v>301</v>
      </c>
      <c r="GA343" s="150" t="s">
        <v>83</v>
      </c>
      <c r="GB343" s="12" t="s">
        <v>83</v>
      </c>
      <c r="GC343" s="12" t="s">
        <v>32</v>
      </c>
      <c r="GD343" s="12" t="s">
        <v>74</v>
      </c>
      <c r="GE343" s="150" t="s">
        <v>282</v>
      </c>
    </row>
    <row r="344" spans="2:201" s="13" customFormat="1" x14ac:dyDescent="0.2">
      <c r="B344" s="156"/>
      <c r="D344" s="138" t="s">
        <v>301</v>
      </c>
      <c r="E344" s="157" t="s">
        <v>1</v>
      </c>
      <c r="F344" s="158" t="s">
        <v>305</v>
      </c>
      <c r="H344" s="159">
        <v>132.291</v>
      </c>
      <c r="I344" s="160"/>
      <c r="L344" s="156"/>
      <c r="N344" s="219"/>
      <c r="O344" s="220"/>
      <c r="Q344" s="232"/>
      <c r="R344" s="13">
        <v>0.9</v>
      </c>
      <c r="ES344" s="161"/>
      <c r="EZ344" s="162"/>
      <c r="FZ344" s="157" t="s">
        <v>301</v>
      </c>
      <c r="GA344" s="157" t="s">
        <v>83</v>
      </c>
      <c r="GB344" s="13" t="s">
        <v>95</v>
      </c>
      <c r="GC344" s="13" t="s">
        <v>32</v>
      </c>
      <c r="GD344" s="13" t="s">
        <v>81</v>
      </c>
      <c r="GE344" s="157" t="s">
        <v>282</v>
      </c>
    </row>
    <row r="345" spans="2:201" s="12" customFormat="1" x14ac:dyDescent="0.2">
      <c r="B345" s="149"/>
      <c r="D345" s="138" t="s">
        <v>301</v>
      </c>
      <c r="F345" s="151" t="s">
        <v>2389</v>
      </c>
      <c r="H345" s="152">
        <v>1852.0740000000001</v>
      </c>
      <c r="I345" s="153"/>
      <c r="L345" s="149"/>
      <c r="N345" s="217"/>
      <c r="O345" s="218"/>
      <c r="Q345" s="231"/>
      <c r="R345" s="12">
        <v>0.9</v>
      </c>
      <c r="ES345" s="154"/>
      <c r="EZ345" s="155"/>
      <c r="FZ345" s="150" t="s">
        <v>301</v>
      </c>
      <c r="GA345" s="150" t="s">
        <v>83</v>
      </c>
      <c r="GB345" s="12" t="s">
        <v>83</v>
      </c>
      <c r="GC345" s="12" t="s">
        <v>3</v>
      </c>
      <c r="GD345" s="12" t="s">
        <v>81</v>
      </c>
      <c r="GE345" s="150" t="s">
        <v>282</v>
      </c>
    </row>
    <row r="346" spans="2:201" s="1" customFormat="1" ht="24.2" customHeight="1" x14ac:dyDescent="0.2">
      <c r="B346" s="124"/>
      <c r="C346" s="125" t="s">
        <v>599</v>
      </c>
      <c r="D346" s="125" t="s">
        <v>284</v>
      </c>
      <c r="E346" s="126" t="s">
        <v>711</v>
      </c>
      <c r="F346" s="127" t="s">
        <v>712</v>
      </c>
      <c r="G346" s="128" t="s">
        <v>418</v>
      </c>
      <c r="H346" s="129">
        <v>132.291</v>
      </c>
      <c r="I346" s="130">
        <v>155.98322812074767</v>
      </c>
      <c r="J346" s="131">
        <f>ROUND(I346*H346,2)</f>
        <v>20635.18</v>
      </c>
      <c r="K346" s="127" t="s">
        <v>293</v>
      </c>
      <c r="L346" s="268">
        <f>S346</f>
        <v>0</v>
      </c>
      <c r="M346" s="272">
        <f>ROUND(L346*I346,2)</f>
        <v>0</v>
      </c>
      <c r="N346" s="243">
        <f>N335</f>
        <v>1.9843649999999968</v>
      </c>
      <c r="O346" s="294">
        <f>ROUND(N346*I346,2)</f>
        <v>309.52999999999997</v>
      </c>
      <c r="P346" s="273">
        <f>H346-L346-N346</f>
        <v>130.306635</v>
      </c>
      <c r="Q346" s="287">
        <f>ROUND(P346*I346,2)</f>
        <v>20325.650000000001</v>
      </c>
      <c r="R346" s="1">
        <v>0.9</v>
      </c>
      <c r="S346" s="269">
        <f>W346+Y346+AA346+AC346+AE346+AG346+AI346+AK346+AM346</f>
        <v>0</v>
      </c>
      <c r="T346" s="269">
        <f>ROUND(S346*I346,2)</f>
        <v>0</v>
      </c>
      <c r="U346" s="269">
        <f>H346-S346</f>
        <v>132.291</v>
      </c>
      <c r="V346" s="269">
        <f>ROUND(U346*I346,2)</f>
        <v>20635.18</v>
      </c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ES346" s="132" t="s">
        <v>1</v>
      </c>
      <c r="ET346" s="133" t="s">
        <v>40</v>
      </c>
      <c r="EV346" s="134">
        <f>EU346*H346</f>
        <v>0</v>
      </c>
      <c r="EW346" s="134">
        <v>0</v>
      </c>
      <c r="EX346" s="134">
        <f>EW346*H346</f>
        <v>0</v>
      </c>
      <c r="EY346" s="134">
        <v>0</v>
      </c>
      <c r="EZ346" s="135">
        <f>EY346*H346</f>
        <v>0</v>
      </c>
      <c r="FX346" s="136" t="s">
        <v>95</v>
      </c>
      <c r="FZ346" s="136" t="s">
        <v>284</v>
      </c>
      <c r="GA346" s="136" t="s">
        <v>83</v>
      </c>
      <c r="GE346" s="16" t="s">
        <v>282</v>
      </c>
      <c r="GK346" s="137">
        <f>IF(ET346="základní",J346,0)</f>
        <v>20635.18</v>
      </c>
      <c r="GL346" s="137">
        <f>IF(ET346="snížená",J346,0)</f>
        <v>0</v>
      </c>
      <c r="GM346" s="137">
        <f>IF(ET346="zákl. přenesená",J346,0)</f>
        <v>0</v>
      </c>
      <c r="GN346" s="137">
        <f>IF(ET346="sníž. přenesená",J346,0)</f>
        <v>0</v>
      </c>
      <c r="GO346" s="137">
        <f>IF(ET346="nulová",J346,0)</f>
        <v>0</v>
      </c>
      <c r="GP346" s="16" t="s">
        <v>81</v>
      </c>
      <c r="GQ346" s="137">
        <f>ROUND(I346*H346,2)</f>
        <v>20635.18</v>
      </c>
      <c r="GR346" s="16" t="s">
        <v>95</v>
      </c>
      <c r="GS346" s="136" t="s">
        <v>713</v>
      </c>
    </row>
    <row r="347" spans="2:201" s="1" customFormat="1" x14ac:dyDescent="0.2">
      <c r="B347" s="31"/>
      <c r="D347" s="138" t="s">
        <v>289</v>
      </c>
      <c r="F347" s="139" t="s">
        <v>714</v>
      </c>
      <c r="I347" s="140"/>
      <c r="L347" s="31"/>
      <c r="N347" s="213"/>
      <c r="O347" s="214"/>
      <c r="Q347" s="229"/>
      <c r="R347" s="1">
        <v>0.9</v>
      </c>
      <c r="ES347" s="141"/>
      <c r="EZ347" s="50"/>
      <c r="FZ347" s="16" t="s">
        <v>289</v>
      </c>
      <c r="GA347" s="16" t="s">
        <v>83</v>
      </c>
    </row>
    <row r="348" spans="2:201" s="1" customFormat="1" ht="37.9" customHeight="1" x14ac:dyDescent="0.2">
      <c r="B348" s="124"/>
      <c r="C348" s="125" t="s">
        <v>604</v>
      </c>
      <c r="D348" s="125" t="s">
        <v>284</v>
      </c>
      <c r="E348" s="126" t="s">
        <v>716</v>
      </c>
      <c r="F348" s="127" t="s">
        <v>420</v>
      </c>
      <c r="G348" s="128" t="s">
        <v>418</v>
      </c>
      <c r="H348" s="129">
        <v>114.631</v>
      </c>
      <c r="I348" s="130">
        <v>110.6455721</v>
      </c>
      <c r="J348" s="131">
        <f>ROUND(I348*H348,2)</f>
        <v>12683.41</v>
      </c>
      <c r="K348" s="127" t="s">
        <v>293</v>
      </c>
      <c r="L348" s="268">
        <f>S348</f>
        <v>0</v>
      </c>
      <c r="M348" s="272">
        <f>ROUND(L348*I348,2)</f>
        <v>0</v>
      </c>
      <c r="N348" s="243">
        <f>N350</f>
        <v>1.7194649999999854</v>
      </c>
      <c r="O348" s="294">
        <f>ROUND(N348*I348,2)</f>
        <v>190.25</v>
      </c>
      <c r="P348" s="273">
        <f>H348-L348-N348</f>
        <v>112.91153500000001</v>
      </c>
      <c r="Q348" s="287">
        <f>ROUND(P348*I348,2)</f>
        <v>12493.16</v>
      </c>
      <c r="R348" s="1">
        <v>0.9</v>
      </c>
      <c r="S348" s="269">
        <f>W348+Y348+AA348+AC348+AE348+AG348+AI348+AK348+AM348</f>
        <v>0</v>
      </c>
      <c r="T348" s="269">
        <f>ROUND(S348*I348,2)</f>
        <v>0</v>
      </c>
      <c r="U348" s="269">
        <f>H348-S348</f>
        <v>114.631</v>
      </c>
      <c r="V348" s="269">
        <f>ROUND(U348*I348,2)</f>
        <v>12683.41</v>
      </c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  <c r="AL348" s="269"/>
      <c r="AM348" s="269"/>
      <c r="AN348" s="269"/>
      <c r="ES348" s="132" t="s">
        <v>1</v>
      </c>
      <c r="ET348" s="133" t="s">
        <v>40</v>
      </c>
      <c r="EV348" s="134">
        <f>EU348*H348</f>
        <v>0</v>
      </c>
      <c r="EW348" s="134">
        <v>0</v>
      </c>
      <c r="EX348" s="134">
        <f>EW348*H348</f>
        <v>0</v>
      </c>
      <c r="EY348" s="134">
        <v>0</v>
      </c>
      <c r="EZ348" s="135">
        <f>EY348*H348</f>
        <v>0</v>
      </c>
      <c r="FX348" s="136" t="s">
        <v>95</v>
      </c>
      <c r="FZ348" s="136" t="s">
        <v>284</v>
      </c>
      <c r="GA348" s="136" t="s">
        <v>83</v>
      </c>
      <c r="GE348" s="16" t="s">
        <v>282</v>
      </c>
      <c r="GK348" s="137">
        <f>IF(ET348="základní",J348,0)</f>
        <v>12683.41</v>
      </c>
      <c r="GL348" s="137">
        <f>IF(ET348="snížená",J348,0)</f>
        <v>0</v>
      </c>
      <c r="GM348" s="137">
        <f>IF(ET348="zákl. přenesená",J348,0)</f>
        <v>0</v>
      </c>
      <c r="GN348" s="137">
        <f>IF(ET348="sníž. přenesená",J348,0)</f>
        <v>0</v>
      </c>
      <c r="GO348" s="137">
        <f>IF(ET348="nulová",J348,0)</f>
        <v>0</v>
      </c>
      <c r="GP348" s="16" t="s">
        <v>81</v>
      </c>
      <c r="GQ348" s="137">
        <f>ROUND(I348*H348,2)</f>
        <v>12683.41</v>
      </c>
      <c r="GR348" s="16" t="s">
        <v>95</v>
      </c>
      <c r="GS348" s="136" t="s">
        <v>717</v>
      </c>
    </row>
    <row r="349" spans="2:201" s="1" customFormat="1" ht="29.25" x14ac:dyDescent="0.2">
      <c r="B349" s="31"/>
      <c r="D349" s="138" t="s">
        <v>289</v>
      </c>
      <c r="F349" s="139" t="s">
        <v>420</v>
      </c>
      <c r="I349" s="140"/>
      <c r="L349" s="31"/>
      <c r="N349" s="213">
        <f>1.015*114.631</f>
        <v>116.35046499999999</v>
      </c>
      <c r="O349" s="214" t="s">
        <v>3950</v>
      </c>
      <c r="Q349" s="229"/>
      <c r="R349" s="1">
        <v>0.9</v>
      </c>
      <c r="ES349" s="141"/>
      <c r="EZ349" s="50"/>
      <c r="FZ349" s="16" t="s">
        <v>289</v>
      </c>
      <c r="GA349" s="16" t="s">
        <v>83</v>
      </c>
    </row>
    <row r="350" spans="2:201" s="12" customFormat="1" x14ac:dyDescent="0.2">
      <c r="B350" s="149"/>
      <c r="D350" s="138" t="s">
        <v>301</v>
      </c>
      <c r="E350" s="150" t="s">
        <v>1</v>
      </c>
      <c r="F350" s="151" t="s">
        <v>2387</v>
      </c>
      <c r="H350" s="152">
        <v>114.631</v>
      </c>
      <c r="I350" s="153"/>
      <c r="L350" s="149"/>
      <c r="N350" s="310">
        <f>N349-H350</f>
        <v>1.7194649999999854</v>
      </c>
      <c r="O350" s="218"/>
      <c r="Q350" s="231"/>
      <c r="R350" s="12">
        <v>0.9</v>
      </c>
      <c r="ES350" s="154"/>
      <c r="EZ350" s="155"/>
      <c r="FZ350" s="150" t="s">
        <v>301</v>
      </c>
      <c r="GA350" s="150" t="s">
        <v>83</v>
      </c>
      <c r="GB350" s="12" t="s">
        <v>83</v>
      </c>
      <c r="GC350" s="12" t="s">
        <v>32</v>
      </c>
      <c r="GD350" s="12" t="s">
        <v>81</v>
      </c>
      <c r="GE350" s="150" t="s">
        <v>282</v>
      </c>
    </row>
    <row r="351" spans="2:201" s="1" customFormat="1" ht="37.9" customHeight="1" x14ac:dyDescent="0.2">
      <c r="B351" s="124"/>
      <c r="C351" s="125" t="s">
        <v>609</v>
      </c>
      <c r="D351" s="125" t="s">
        <v>284</v>
      </c>
      <c r="E351" s="126" t="s">
        <v>719</v>
      </c>
      <c r="F351" s="127" t="s">
        <v>720</v>
      </c>
      <c r="G351" s="128" t="s">
        <v>418</v>
      </c>
      <c r="H351" s="129">
        <v>17.66</v>
      </c>
      <c r="I351" s="130">
        <v>250.3439285</v>
      </c>
      <c r="J351" s="131">
        <f>ROUND(I351*H351,2)</f>
        <v>4421.07</v>
      </c>
      <c r="K351" s="127" t="s">
        <v>293</v>
      </c>
      <c r="L351" s="268">
        <f>S351</f>
        <v>0</v>
      </c>
      <c r="M351" s="272">
        <f>ROUND(L351*I351,2)</f>
        <v>0</v>
      </c>
      <c r="N351" s="243">
        <f>N353</f>
        <v>0.26489999999999725</v>
      </c>
      <c r="O351" s="294">
        <f>ROUND(N351*I351,2)</f>
        <v>66.319999999999993</v>
      </c>
      <c r="P351" s="273">
        <f>H351-L351-N351</f>
        <v>17.395100000000003</v>
      </c>
      <c r="Q351" s="287">
        <f>ROUND(P351*I351,2)</f>
        <v>4354.76</v>
      </c>
      <c r="R351" s="1">
        <v>0.9</v>
      </c>
      <c r="S351" s="269">
        <f>W351+Y351+AA351+AC351+AE351+AG351+AI351+AK351+AM351</f>
        <v>0</v>
      </c>
      <c r="T351" s="269">
        <f>ROUND(S351*I351,2)</f>
        <v>0</v>
      </c>
      <c r="U351" s="269">
        <f>H351-S351</f>
        <v>17.66</v>
      </c>
      <c r="V351" s="269">
        <f>ROUND(U351*I351,2)</f>
        <v>4421.07</v>
      </c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ES351" s="132" t="s">
        <v>1</v>
      </c>
      <c r="ET351" s="133" t="s">
        <v>40</v>
      </c>
      <c r="EV351" s="134">
        <f>EU351*H351</f>
        <v>0</v>
      </c>
      <c r="EW351" s="134">
        <v>0</v>
      </c>
      <c r="EX351" s="134">
        <f>EW351*H351</f>
        <v>0</v>
      </c>
      <c r="EY351" s="134">
        <v>0</v>
      </c>
      <c r="EZ351" s="135">
        <f>EY351*H351</f>
        <v>0</v>
      </c>
      <c r="FX351" s="136" t="s">
        <v>95</v>
      </c>
      <c r="FZ351" s="136" t="s">
        <v>284</v>
      </c>
      <c r="GA351" s="136" t="s">
        <v>83</v>
      </c>
      <c r="GE351" s="16" t="s">
        <v>282</v>
      </c>
      <c r="GK351" s="137">
        <f>IF(ET351="základní",J351,0)</f>
        <v>4421.07</v>
      </c>
      <c r="GL351" s="137">
        <f>IF(ET351="snížená",J351,0)</f>
        <v>0</v>
      </c>
      <c r="GM351" s="137">
        <f>IF(ET351="zákl. přenesená",J351,0)</f>
        <v>0</v>
      </c>
      <c r="GN351" s="137">
        <f>IF(ET351="sníž. přenesená",J351,0)</f>
        <v>0</v>
      </c>
      <c r="GO351" s="137">
        <f>IF(ET351="nulová",J351,0)</f>
        <v>0</v>
      </c>
      <c r="GP351" s="16" t="s">
        <v>81</v>
      </c>
      <c r="GQ351" s="137">
        <f>ROUND(I351*H351,2)</f>
        <v>4421.07</v>
      </c>
      <c r="GR351" s="16" t="s">
        <v>95</v>
      </c>
      <c r="GS351" s="136" t="s">
        <v>721</v>
      </c>
    </row>
    <row r="352" spans="2:201" s="1" customFormat="1" ht="29.25" x14ac:dyDescent="0.2">
      <c r="B352" s="31"/>
      <c r="D352" s="138" t="s">
        <v>289</v>
      </c>
      <c r="F352" s="139" t="s">
        <v>720</v>
      </c>
      <c r="I352" s="140"/>
      <c r="L352" s="31"/>
      <c r="N352" s="213">
        <f>1.015*17.66</f>
        <v>17.924899999999997</v>
      </c>
      <c r="O352" s="214" t="s">
        <v>3951</v>
      </c>
      <c r="Q352" s="229"/>
      <c r="R352" s="1">
        <v>0.9</v>
      </c>
      <c r="ES352" s="141"/>
      <c r="EZ352" s="50"/>
      <c r="FZ352" s="16" t="s">
        <v>289</v>
      </c>
      <c r="GA352" s="16" t="s">
        <v>83</v>
      </c>
    </row>
    <row r="353" spans="2:201" s="12" customFormat="1" x14ac:dyDescent="0.2">
      <c r="B353" s="149"/>
      <c r="D353" s="138" t="s">
        <v>301</v>
      </c>
      <c r="E353" s="150" t="s">
        <v>1</v>
      </c>
      <c r="F353" s="151" t="s">
        <v>2388</v>
      </c>
      <c r="H353" s="152">
        <v>17.66</v>
      </c>
      <c r="I353" s="153"/>
      <c r="L353" s="149"/>
      <c r="N353" s="310">
        <f>N352-H353</f>
        <v>0.26489999999999725</v>
      </c>
      <c r="O353" s="218"/>
      <c r="Q353" s="231"/>
      <c r="R353" s="12">
        <v>0.9</v>
      </c>
      <c r="ES353" s="154"/>
      <c r="EZ353" s="155"/>
      <c r="FZ353" s="150" t="s">
        <v>301</v>
      </c>
      <c r="GA353" s="150" t="s">
        <v>83</v>
      </c>
      <c r="GB353" s="12" t="s">
        <v>83</v>
      </c>
      <c r="GC353" s="12" t="s">
        <v>32</v>
      </c>
      <c r="GD353" s="12" t="s">
        <v>81</v>
      </c>
      <c r="GE353" s="150" t="s">
        <v>282</v>
      </c>
    </row>
    <row r="354" spans="2:201" s="10" customFormat="1" ht="22.9" customHeight="1" x14ac:dyDescent="0.2">
      <c r="B354" s="112"/>
      <c r="D354" s="113" t="s">
        <v>73</v>
      </c>
      <c r="E354" s="122" t="s">
        <v>722</v>
      </c>
      <c r="F354" s="122" t="s">
        <v>723</v>
      </c>
      <c r="I354" s="115"/>
      <c r="J354" s="123">
        <f>GQ354</f>
        <v>20943.87</v>
      </c>
      <c r="L354" s="112"/>
      <c r="M354" s="291">
        <f>M355</f>
        <v>0</v>
      </c>
      <c r="N354" s="295"/>
      <c r="O354" s="296">
        <f t="shared" ref="O354:V354" si="9">O355</f>
        <v>314.16000000000003</v>
      </c>
      <c r="P354" s="291"/>
      <c r="Q354" s="298">
        <f t="shared" si="9"/>
        <v>20629.72</v>
      </c>
      <c r="R354" s="291"/>
      <c r="S354" s="291"/>
      <c r="T354" s="291">
        <f t="shared" si="9"/>
        <v>0</v>
      </c>
      <c r="U354" s="291"/>
      <c r="V354" s="291">
        <f t="shared" si="9"/>
        <v>20943.87</v>
      </c>
      <c r="ES354" s="117"/>
      <c r="EV354" s="118">
        <f>SUM(EV355:EV358)</f>
        <v>0</v>
      </c>
      <c r="EX354" s="118">
        <f>SUM(EX355:EX358)</f>
        <v>0</v>
      </c>
      <c r="EZ354" s="119">
        <f>SUM(EZ355:EZ358)</f>
        <v>0</v>
      </c>
      <c r="FX354" s="113" t="s">
        <v>81</v>
      </c>
      <c r="FZ354" s="120" t="s">
        <v>73</v>
      </c>
      <c r="GA354" s="120" t="s">
        <v>81</v>
      </c>
      <c r="GE354" s="113" t="s">
        <v>282</v>
      </c>
      <c r="GQ354" s="121">
        <f>SUM(GQ355:GQ358)</f>
        <v>20943.87</v>
      </c>
    </row>
    <row r="355" spans="2:201" s="1" customFormat="1" ht="24.2" customHeight="1" x14ac:dyDescent="0.2">
      <c r="B355" s="124"/>
      <c r="C355" s="125" t="s">
        <v>614</v>
      </c>
      <c r="D355" s="125" t="s">
        <v>284</v>
      </c>
      <c r="E355" s="126" t="s">
        <v>725</v>
      </c>
      <c r="F355" s="127" t="s">
        <v>726</v>
      </c>
      <c r="G355" s="128" t="s">
        <v>418</v>
      </c>
      <c r="H355" s="129">
        <v>23.148</v>
      </c>
      <c r="I355" s="130">
        <v>904.78117744148574</v>
      </c>
      <c r="J355" s="131">
        <f>ROUND(I355*H355,2)</f>
        <v>20943.87</v>
      </c>
      <c r="K355" s="127" t="s">
        <v>293</v>
      </c>
      <c r="L355" s="268">
        <f>S355</f>
        <v>0</v>
      </c>
      <c r="M355" s="272">
        <f>ROUND(L355*I355,2)</f>
        <v>0</v>
      </c>
      <c r="N355" s="243">
        <f>N357</f>
        <v>0.34721999999999653</v>
      </c>
      <c r="O355" s="294">
        <f>ROUND(N355*I355,2)</f>
        <v>314.16000000000003</v>
      </c>
      <c r="P355" s="273">
        <f>H355-L355-N355</f>
        <v>22.800780000000003</v>
      </c>
      <c r="Q355" s="287">
        <f>ROUND(P355*I355,2)</f>
        <v>20629.72</v>
      </c>
      <c r="R355" s="1">
        <v>0.9</v>
      </c>
      <c r="S355" s="269">
        <f>W355+Y355+AA355+AC355+AE355+AG355+AI355+AK355+AM355</f>
        <v>0</v>
      </c>
      <c r="T355" s="269">
        <f>ROUND(S355*I355,2)</f>
        <v>0</v>
      </c>
      <c r="U355" s="269">
        <f>H355-S355</f>
        <v>23.148</v>
      </c>
      <c r="V355" s="269">
        <f>ROUND(U355*I355,2)</f>
        <v>20943.87</v>
      </c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ES355" s="132" t="s">
        <v>1</v>
      </c>
      <c r="ET355" s="133" t="s">
        <v>40</v>
      </c>
      <c r="EV355" s="134">
        <f>EU355*H355</f>
        <v>0</v>
      </c>
      <c r="EW355" s="134">
        <v>0</v>
      </c>
      <c r="EX355" s="134">
        <f>EW355*H355</f>
        <v>0</v>
      </c>
      <c r="EY355" s="134">
        <v>0</v>
      </c>
      <c r="EZ355" s="135">
        <f>EY355*H355</f>
        <v>0</v>
      </c>
      <c r="FX355" s="136" t="s">
        <v>95</v>
      </c>
      <c r="FZ355" s="136" t="s">
        <v>284</v>
      </c>
      <c r="GA355" s="136" t="s">
        <v>83</v>
      </c>
      <c r="GE355" s="16" t="s">
        <v>282</v>
      </c>
      <c r="GK355" s="137">
        <f>IF(ET355="základní",J355,0)</f>
        <v>20943.87</v>
      </c>
      <c r="GL355" s="137">
        <f>IF(ET355="snížená",J355,0)</f>
        <v>0</v>
      </c>
      <c r="GM355" s="137">
        <f>IF(ET355="zákl. přenesená",J355,0)</f>
        <v>0</v>
      </c>
      <c r="GN355" s="137">
        <f>IF(ET355="sníž. přenesená",J355,0)</f>
        <v>0</v>
      </c>
      <c r="GO355" s="137">
        <f>IF(ET355="nulová",J355,0)</f>
        <v>0</v>
      </c>
      <c r="GP355" s="16" t="s">
        <v>81</v>
      </c>
      <c r="GQ355" s="137">
        <f>ROUND(I355*H355,2)</f>
        <v>20943.87</v>
      </c>
      <c r="GR355" s="16" t="s">
        <v>95</v>
      </c>
      <c r="GS355" s="136" t="s">
        <v>727</v>
      </c>
    </row>
    <row r="356" spans="2:201" s="1" customFormat="1" ht="29.25" x14ac:dyDescent="0.2">
      <c r="B356" s="31"/>
      <c r="D356" s="138" t="s">
        <v>289</v>
      </c>
      <c r="F356" s="139" t="s">
        <v>728</v>
      </c>
      <c r="I356" s="140"/>
      <c r="L356" s="31"/>
      <c r="N356" s="213">
        <f>1.015*23.148</f>
        <v>23.495219999999996</v>
      </c>
      <c r="O356" s="214" t="s">
        <v>3952</v>
      </c>
      <c r="Q356" s="229"/>
      <c r="ES356" s="141"/>
      <c r="EZ356" s="50"/>
      <c r="FZ356" s="16" t="s">
        <v>289</v>
      </c>
      <c r="GA356" s="16" t="s">
        <v>83</v>
      </c>
    </row>
    <row r="357" spans="2:201" s="11" customFormat="1" x14ac:dyDescent="0.2">
      <c r="B357" s="143"/>
      <c r="D357" s="138" t="s">
        <v>301</v>
      </c>
      <c r="E357" s="144" t="s">
        <v>1</v>
      </c>
      <c r="F357" s="145" t="s">
        <v>729</v>
      </c>
      <c r="H357" s="144" t="s">
        <v>1</v>
      </c>
      <c r="I357" s="146"/>
      <c r="L357" s="143"/>
      <c r="N357" s="319">
        <f>N356-H358</f>
        <v>0.34721999999999653</v>
      </c>
      <c r="O357" s="216"/>
      <c r="Q357" s="230"/>
      <c r="ES357" s="147"/>
      <c r="EZ357" s="148"/>
      <c r="FZ357" s="144" t="s">
        <v>301</v>
      </c>
      <c r="GA357" s="144" t="s">
        <v>83</v>
      </c>
      <c r="GB357" s="11" t="s">
        <v>81</v>
      </c>
      <c r="GC357" s="11" t="s">
        <v>32</v>
      </c>
      <c r="GD357" s="11" t="s">
        <v>74</v>
      </c>
      <c r="GE357" s="144" t="s">
        <v>282</v>
      </c>
    </row>
    <row r="358" spans="2:201" s="12" customFormat="1" x14ac:dyDescent="0.2">
      <c r="B358" s="149"/>
      <c r="D358" s="138" t="s">
        <v>301</v>
      </c>
      <c r="E358" s="150" t="s">
        <v>1</v>
      </c>
      <c r="F358" s="151" t="s">
        <v>2390</v>
      </c>
      <c r="H358" s="152">
        <v>23.148</v>
      </c>
      <c r="I358" s="153"/>
      <c r="L358" s="149"/>
      <c r="N358" s="217"/>
      <c r="O358" s="218"/>
      <c r="Q358" s="231"/>
      <c r="ES358" s="179"/>
      <c r="ET358" s="180"/>
      <c r="EU358" s="180"/>
      <c r="EV358" s="180"/>
      <c r="EW358" s="180"/>
      <c r="EX358" s="180"/>
      <c r="EY358" s="180"/>
      <c r="EZ358" s="181"/>
      <c r="FZ358" s="150" t="s">
        <v>301</v>
      </c>
      <c r="GA358" s="150" t="s">
        <v>83</v>
      </c>
      <c r="GB358" s="12" t="s">
        <v>83</v>
      </c>
      <c r="GC358" s="12" t="s">
        <v>32</v>
      </c>
      <c r="GD358" s="12" t="s">
        <v>81</v>
      </c>
      <c r="GE358" s="150" t="s">
        <v>282</v>
      </c>
    </row>
    <row r="359" spans="2:201" s="1" customFormat="1" ht="6.95" customHeight="1" thickBot="1" x14ac:dyDescent="0.25">
      <c r="B359" s="43"/>
      <c r="C359" s="44"/>
      <c r="D359" s="44"/>
      <c r="E359" s="44"/>
      <c r="F359" s="44"/>
      <c r="G359" s="44"/>
      <c r="H359" s="44"/>
      <c r="I359" s="44"/>
      <c r="J359" s="44"/>
      <c r="K359" s="44"/>
      <c r="L359" s="235"/>
      <c r="M359" s="237"/>
      <c r="N359" s="239"/>
      <c r="O359" s="240"/>
      <c r="P359" s="238"/>
      <c r="Q359" s="241"/>
      <c r="S359" s="23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36"/>
      <c r="AM359" s="236"/>
      <c r="AN359" s="236"/>
    </row>
  </sheetData>
  <autoFilter ref="C124:K358"/>
  <mergeCells count="28">
    <mergeCell ref="I123:K123"/>
    <mergeCell ref="E117:H117"/>
    <mergeCell ref="L2:FB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  <mergeCell ref="L124:Q124"/>
    <mergeCell ref="L125:M125"/>
    <mergeCell ref="N125:O125"/>
    <mergeCell ref="P125:Q125"/>
    <mergeCell ref="S125:T125"/>
    <mergeCell ref="W125:X125"/>
    <mergeCell ref="Y125:Z125"/>
    <mergeCell ref="AA125:AB125"/>
    <mergeCell ref="AC125:AD125"/>
    <mergeCell ref="U125:V125"/>
    <mergeCell ref="AE125:AF125"/>
    <mergeCell ref="AG125:AH125"/>
    <mergeCell ref="AI125:AJ125"/>
    <mergeCell ref="AK125:AL125"/>
    <mergeCell ref="AM125:AN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D353"/>
  <sheetViews>
    <sheetView windowProtection="1" showGridLines="0" topLeftCell="A326" zoomScale="80" zoomScaleNormal="80" workbookViewId="0">
      <selection activeCell="P326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5" customWidth="1"/>
    <col min="13" max="13" width="15.1640625" customWidth="1"/>
    <col min="14" max="14" width="12.5" customWidth="1"/>
    <col min="15" max="15" width="19.5" customWidth="1"/>
    <col min="16" max="16" width="12.5" hidden="1" customWidth="1"/>
    <col min="17" max="17" width="16.33203125" hidden="1" customWidth="1"/>
    <col min="18" max="21" width="12.5" customWidth="1"/>
    <col min="22" max="22" width="16.5" customWidth="1"/>
    <col min="23" max="54" width="12.5" customWidth="1"/>
    <col min="55" max="55" width="11.33203125" customWidth="1"/>
    <col min="56" max="56" width="10.83203125" customWidth="1"/>
    <col min="58" max="63" width="14.1640625" customWidth="1"/>
    <col min="64" max="64" width="16.33203125" customWidth="1"/>
    <col min="65" max="65" width="12.33203125" customWidth="1"/>
    <col min="66" max="66" width="16.33203125" customWidth="1"/>
    <col min="67" max="67" width="12.33203125" customWidth="1"/>
    <col min="68" max="68" width="15" customWidth="1"/>
    <col min="69" max="69" width="11" customWidth="1"/>
    <col min="70" max="70" width="15" customWidth="1"/>
    <col min="71" max="71" width="16.33203125" customWidth="1"/>
    <col min="72" max="72" width="11" customWidth="1"/>
    <col min="73" max="73" width="15" customWidth="1"/>
    <col min="74" max="74" width="16.33203125" customWidth="1"/>
    <col min="87" max="108" width="9.33203125" hidden="1"/>
  </cols>
  <sheetData>
    <row r="2" spans="2:89" ht="36.950000000000003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CK2" s="16" t="s">
        <v>194</v>
      </c>
    </row>
    <row r="3" spans="2:89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K3" s="16" t="s">
        <v>83</v>
      </c>
    </row>
    <row r="4" spans="2:89" ht="24.95" customHeight="1" x14ac:dyDescent="0.2">
      <c r="B4" s="19"/>
      <c r="D4" s="20" t="s">
        <v>243</v>
      </c>
      <c r="L4" s="19"/>
      <c r="BD4" s="79" t="s">
        <v>10</v>
      </c>
      <c r="CK4" s="16" t="s">
        <v>3</v>
      </c>
    </row>
    <row r="5" spans="2:89" ht="6.95" customHeight="1" x14ac:dyDescent="0.2">
      <c r="B5" s="19"/>
      <c r="L5" s="19"/>
    </row>
    <row r="6" spans="2:89" ht="12" customHeight="1" x14ac:dyDescent="0.2">
      <c r="B6" s="19"/>
      <c r="D6" s="26" t="s">
        <v>16</v>
      </c>
      <c r="L6" s="19"/>
    </row>
    <row r="7" spans="2:89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89" ht="12.75" x14ac:dyDescent="0.2">
      <c r="B8" s="19"/>
      <c r="D8" s="26" t="s">
        <v>244</v>
      </c>
      <c r="L8" s="19"/>
    </row>
    <row r="9" spans="2:89" ht="16.5" customHeight="1" x14ac:dyDescent="0.2">
      <c r="B9" s="19"/>
      <c r="E9" s="434" t="s">
        <v>245</v>
      </c>
      <c r="F9" s="399"/>
      <c r="G9" s="399"/>
      <c r="H9" s="399"/>
      <c r="L9" s="19"/>
    </row>
    <row r="10" spans="2:89" ht="12" customHeight="1" x14ac:dyDescent="0.2">
      <c r="B10" s="19"/>
      <c r="D10" s="26" t="s">
        <v>246</v>
      </c>
      <c r="L10" s="19"/>
    </row>
    <row r="11" spans="2:89" s="1" customFormat="1" ht="16.5" customHeight="1" x14ac:dyDescent="0.2">
      <c r="B11" s="31"/>
      <c r="E11" s="401" t="s">
        <v>2277</v>
      </c>
      <c r="F11" s="433"/>
      <c r="G11" s="433"/>
      <c r="H11" s="433"/>
      <c r="L11" s="31"/>
    </row>
    <row r="12" spans="2:89" s="1" customFormat="1" ht="12" customHeight="1" x14ac:dyDescent="0.2">
      <c r="B12" s="31"/>
      <c r="D12" s="26" t="s">
        <v>1790</v>
      </c>
      <c r="L12" s="31"/>
    </row>
    <row r="13" spans="2:89" s="1" customFormat="1" ht="16.5" customHeight="1" x14ac:dyDescent="0.2">
      <c r="B13" s="31"/>
      <c r="E13" s="432" t="s">
        <v>2391</v>
      </c>
      <c r="F13" s="433"/>
      <c r="G13" s="433"/>
      <c r="H13" s="433"/>
      <c r="L13" s="31"/>
    </row>
    <row r="14" spans="2:89" s="1" customFormat="1" x14ac:dyDescent="0.2">
      <c r="B14" s="31"/>
      <c r="L14" s="31"/>
    </row>
    <row r="15" spans="2:89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89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ROUND(J121, 2)</f>
        <v>1650658.59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ROUND((SUM(CV121:CV352)),  2)</f>
        <v>1650658.59</v>
      </c>
      <c r="I37" s="84">
        <v>0.21</v>
      </c>
      <c r="J37" s="71">
        <f>ROUND(((SUM(CV121:CV352))*I37),  2)</f>
        <v>346638.3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ROUND((SUM(CW121:CW352)),  2)</f>
        <v>0</v>
      </c>
      <c r="I38" s="84">
        <v>0.15</v>
      </c>
      <c r="J38" s="71">
        <f>ROUND(((SUM(CW121:CW352))*I38),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ROUND((SUM(CX121:CX352)),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ROUND((SUM(CY121:CY352)),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ROUND((SUM(CZ121:CZ352)),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1997296.8900000001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s="1" customFormat="1" ht="14.45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x14ac:dyDescent="0.2">
      <c r="B50" s="19"/>
      <c r="L50" s="19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s="1" customFormat="1" ht="12.75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x14ac:dyDescent="0.2">
      <c r="B61" s="19"/>
      <c r="L61" s="19"/>
    </row>
    <row r="62" spans="2:12" x14ac:dyDescent="0.2">
      <c r="B62" s="19"/>
      <c r="L62" s="19"/>
    </row>
    <row r="63" spans="2:12" x14ac:dyDescent="0.2">
      <c r="B63" s="19"/>
      <c r="L63" s="19"/>
    </row>
    <row r="64" spans="2:12" s="1" customFormat="1" ht="12.75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x14ac:dyDescent="0.2">
      <c r="B65" s="19"/>
      <c r="L65" s="19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s="1" customFormat="1" ht="12.75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80" spans="2:12" s="1" customFormat="1" ht="6.95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customHeight="1" x14ac:dyDescent="0.2">
      <c r="B81" s="31"/>
      <c r="C81" s="20" t="s">
        <v>253</v>
      </c>
      <c r="L81" s="31"/>
    </row>
    <row r="82" spans="2:12" s="1" customFormat="1" ht="6.95" customHeight="1" x14ac:dyDescent="0.2">
      <c r="B82" s="31"/>
      <c r="L82" s="31"/>
    </row>
    <row r="83" spans="2:12" s="1" customFormat="1" ht="12" customHeight="1" x14ac:dyDescent="0.2">
      <c r="B83" s="31"/>
      <c r="C83" s="26" t="s">
        <v>16</v>
      </c>
      <c r="L83" s="31"/>
    </row>
    <row r="84" spans="2:12" s="1" customFormat="1" ht="16.5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customHeight="1" x14ac:dyDescent="0.2">
      <c r="B85" s="19"/>
      <c r="C85" s="26" t="s">
        <v>244</v>
      </c>
      <c r="L85" s="19"/>
    </row>
    <row r="86" spans="2:12" ht="16.5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customHeight="1" x14ac:dyDescent="0.2">
      <c r="B87" s="19"/>
      <c r="C87" s="26" t="s">
        <v>246</v>
      </c>
      <c r="L87" s="19"/>
    </row>
    <row r="88" spans="2:12" s="1" customFormat="1" ht="16.5" customHeight="1" x14ac:dyDescent="0.2">
      <c r="B88" s="31"/>
      <c r="E88" s="401" t="s">
        <v>2277</v>
      </c>
      <c r="F88" s="433"/>
      <c r="G88" s="433"/>
      <c r="H88" s="433"/>
      <c r="L88" s="31"/>
    </row>
    <row r="89" spans="2:12" s="1" customFormat="1" ht="12" customHeight="1" x14ac:dyDescent="0.2">
      <c r="B89" s="31"/>
      <c r="C89" s="26" t="s">
        <v>1790</v>
      </c>
      <c r="L89" s="31"/>
    </row>
    <row r="90" spans="2:12" s="1" customFormat="1" ht="16.5" customHeight="1" x14ac:dyDescent="0.2">
      <c r="B90" s="31"/>
      <c r="E90" s="432" t="str">
        <f>E13</f>
        <v>0004 - DSO 11.4 Výtlak V5</v>
      </c>
      <c r="F90" s="433"/>
      <c r="G90" s="433"/>
      <c r="H90" s="433"/>
      <c r="L90" s="31"/>
    </row>
    <row r="91" spans="2:12" s="1" customFormat="1" ht="6.95" customHeight="1" x14ac:dyDescent="0.2">
      <c r="B91" s="31"/>
      <c r="L91" s="31"/>
    </row>
    <row r="92" spans="2:12" s="1" customFormat="1" ht="12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customHeight="1" x14ac:dyDescent="0.2">
      <c r="B93" s="31"/>
      <c r="L93" s="31"/>
    </row>
    <row r="94" spans="2:12" s="1" customFormat="1" ht="40.15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customHeight="1" x14ac:dyDescent="0.2">
      <c r="B96" s="31"/>
      <c r="L96" s="31"/>
    </row>
    <row r="97" spans="2:90" s="1" customFormat="1" ht="29.25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90" s="1" customFormat="1" ht="10.35" customHeight="1" x14ac:dyDescent="0.2">
      <c r="B98" s="31"/>
      <c r="L98" s="31"/>
    </row>
    <row r="99" spans="2:90" s="1" customFormat="1" ht="22.9" customHeight="1" x14ac:dyDescent="0.2">
      <c r="B99" s="31"/>
      <c r="C99" s="95" t="s">
        <v>256</v>
      </c>
      <c r="J99" s="58">
        <f>J121</f>
        <v>1650658.5899999999</v>
      </c>
      <c r="L99" s="31"/>
      <c r="CL99" s="16" t="s">
        <v>257</v>
      </c>
    </row>
    <row r="100" spans="2:90" s="7" customFormat="1" ht="24.95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1650658.5899999999</v>
      </c>
      <c r="L100" s="96"/>
    </row>
    <row r="101" spans="2:90" s="8" customFormat="1" ht="19.899999999999999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1093657.46</v>
      </c>
      <c r="L101" s="100"/>
    </row>
    <row r="102" spans="2:90" s="8" customFormat="1" ht="19.899999999999999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J244</f>
        <v>59600.22</v>
      </c>
      <c r="L102" s="100"/>
    </row>
    <row r="103" spans="2:90" s="8" customFormat="1" ht="19.899999999999999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J249</f>
        <v>25716</v>
      </c>
      <c r="L103" s="100"/>
    </row>
    <row r="104" spans="2:90" s="8" customFormat="1" ht="19.899999999999999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J259</f>
        <v>166912.95000000001</v>
      </c>
      <c r="L104" s="100"/>
    </row>
    <row r="105" spans="2:90" s="8" customFormat="1" ht="19.899999999999999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J278</f>
        <v>147284.25</v>
      </c>
      <c r="L105" s="100"/>
    </row>
    <row r="106" spans="2:90" s="8" customFormat="1" ht="19.899999999999999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J322</f>
        <v>15344.89</v>
      </c>
      <c r="L106" s="100"/>
    </row>
    <row r="107" spans="2:90" s="8" customFormat="1" ht="19.899999999999999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J328</f>
        <v>98777.56</v>
      </c>
      <c r="L107" s="100"/>
    </row>
    <row r="108" spans="2:90" s="8" customFormat="1" ht="19.899999999999999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J348</f>
        <v>43365.26</v>
      </c>
      <c r="L108" s="100"/>
    </row>
    <row r="109" spans="2:90" s="1" customFormat="1" ht="21.75" customHeight="1" x14ac:dyDescent="0.2">
      <c r="B109" s="31"/>
      <c r="L109" s="31"/>
    </row>
    <row r="110" spans="2:90" s="1" customFormat="1" ht="6.9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08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08" s="1" customFormat="1" ht="24.95" customHeight="1" x14ac:dyDescent="0.2">
      <c r="B115" s="31"/>
      <c r="C115" s="20" t="s">
        <v>267</v>
      </c>
      <c r="L115" s="31"/>
    </row>
    <row r="116" spans="2:108" s="1" customFormat="1" ht="16.5" customHeight="1" x14ac:dyDescent="0.2">
      <c r="B116" s="31"/>
      <c r="E116" s="432" t="str">
        <f>E13</f>
        <v>0004 - DSO 11.4 Výtlak V5</v>
      </c>
      <c r="F116" s="433"/>
      <c r="G116" s="433"/>
      <c r="H116" s="433"/>
      <c r="L116" s="31"/>
    </row>
    <row r="117" spans="2:108" s="1" customFormat="1" ht="6.95" customHeight="1" x14ac:dyDescent="0.2">
      <c r="B117" s="31"/>
      <c r="L117" s="31"/>
    </row>
    <row r="118" spans="2:108" s="1" customFormat="1" ht="15.2" customHeight="1" x14ac:dyDescent="0.2">
      <c r="B118" s="31"/>
      <c r="C118" s="26"/>
      <c r="F118" s="24"/>
      <c r="I118" s="26"/>
      <c r="J118" s="29"/>
      <c r="L118" s="31"/>
    </row>
    <row r="119" spans="2:108" s="1" customFormat="1" ht="24" customHeight="1" x14ac:dyDescent="0.2">
      <c r="B119" s="31"/>
      <c r="G119" s="446" t="s">
        <v>3305</v>
      </c>
      <c r="H119" s="446"/>
      <c r="I119" s="446"/>
      <c r="J119" s="446"/>
      <c r="K119" s="447"/>
      <c r="L119" s="31"/>
    </row>
    <row r="120" spans="2:108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BD120" s="52" t="s">
        <v>1</v>
      </c>
      <c r="BE120" s="53" t="s">
        <v>39</v>
      </c>
      <c r="BF120" s="53" t="s">
        <v>273</v>
      </c>
      <c r="BG120" s="53" t="s">
        <v>274</v>
      </c>
      <c r="BH120" s="53" t="s">
        <v>275</v>
      </c>
      <c r="BI120" s="53" t="s">
        <v>276</v>
      </c>
      <c r="BJ120" s="53" t="s">
        <v>277</v>
      </c>
      <c r="BK120" s="54" t="s">
        <v>278</v>
      </c>
    </row>
    <row r="121" spans="2:108" s="1" customFormat="1" ht="22.9" customHeight="1" x14ac:dyDescent="0.25">
      <c r="B121" s="31"/>
      <c r="C121" s="57" t="s">
        <v>279</v>
      </c>
      <c r="G121" s="1" t="s">
        <v>3306</v>
      </c>
      <c r="J121" s="108">
        <f>DB121</f>
        <v>1650658.5899999999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3324</v>
      </c>
      <c r="X121" s="444"/>
      <c r="Y121" s="444" t="s">
        <v>3325</v>
      </c>
      <c r="Z121" s="444"/>
      <c r="AA121" s="444" t="s">
        <v>3326</v>
      </c>
      <c r="AB121" s="444"/>
      <c r="AC121" s="444" t="s">
        <v>3327</v>
      </c>
      <c r="AD121" s="445"/>
      <c r="BD121" s="55"/>
      <c r="BE121" s="49"/>
      <c r="BF121" s="49"/>
      <c r="BG121" s="109">
        <f>BG122</f>
        <v>0</v>
      </c>
      <c r="BH121" s="49"/>
      <c r="BI121" s="109">
        <f>BI122</f>
        <v>839.11454589999994</v>
      </c>
      <c r="BJ121" s="49"/>
      <c r="BK121" s="110">
        <f>BK122</f>
        <v>268.50513999999998</v>
      </c>
      <c r="CK121" s="16" t="s">
        <v>73</v>
      </c>
      <c r="CL121" s="16" t="s">
        <v>257</v>
      </c>
      <c r="DB121" s="111">
        <f>DB122</f>
        <v>1650658.5899999999</v>
      </c>
    </row>
    <row r="122" spans="2:108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DB122</f>
        <v>1650658.5899999999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5" t="s">
        <v>3328</v>
      </c>
      <c r="BD122" s="117"/>
      <c r="BG122" s="118">
        <f>BG124+BG244+BG249+BG259+BG278+BG322+BG328+BG348</f>
        <v>0</v>
      </c>
      <c r="BI122" s="118">
        <f>BI124+BI244+BI249+BI259+BI278+BI322+BI328+BI348</f>
        <v>839.11454589999994</v>
      </c>
      <c r="BK122" s="119">
        <f>BK124+BK244+BK249+BK259+BK278+BK322+BK328+BK348</f>
        <v>268.50513999999998</v>
      </c>
      <c r="CI122" s="113" t="s">
        <v>81</v>
      </c>
      <c r="CK122" s="120" t="s">
        <v>73</v>
      </c>
      <c r="CL122" s="120" t="s">
        <v>74</v>
      </c>
      <c r="CP122" s="113" t="s">
        <v>282</v>
      </c>
      <c r="DB122" s="121">
        <f>DB124+DB244+DB249+DB259+DB278+DB322+DB328+DB348</f>
        <v>1650658.5899999999</v>
      </c>
    </row>
    <row r="123" spans="2:108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M124+M244+M249+M259+M278+M322+M328+M348</f>
        <v>0</v>
      </c>
      <c r="N123" s="192"/>
      <c r="O123" s="192">
        <f t="shared" ref="O123:Q123" si="0">O124+O244+O249+O259+O278+O322+O328+O348</f>
        <v>-11742.69</v>
      </c>
      <c r="P123" s="192"/>
      <c r="Q123" s="192">
        <f t="shared" si="0"/>
        <v>1662401.23</v>
      </c>
      <c r="S123" s="196"/>
      <c r="T123" s="197">
        <f>T124+T244+T249+T259+T278+T322+T328+T348</f>
        <v>0</v>
      </c>
      <c r="U123" s="197"/>
      <c r="V123" s="197">
        <f t="shared" ref="V123:AD123" si="1">V124+V244+V249+V259+V278+V322+V328+V348</f>
        <v>1650658.5899999999</v>
      </c>
      <c r="W123" s="197"/>
      <c r="X123" s="197">
        <f t="shared" si="1"/>
        <v>0</v>
      </c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BD123" s="117"/>
      <c r="BG123" s="118"/>
      <c r="BI123" s="118"/>
      <c r="BK123" s="119"/>
      <c r="CI123" s="113"/>
      <c r="CK123" s="120"/>
      <c r="CL123" s="120"/>
      <c r="CP123" s="113"/>
      <c r="DB123" s="121"/>
    </row>
    <row r="124" spans="2:108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DB124</f>
        <v>1093657.46</v>
      </c>
      <c r="L124" s="112"/>
      <c r="M124" s="270">
        <f>SUM(M125:M241)</f>
        <v>0</v>
      </c>
      <c r="N124" s="299"/>
      <c r="O124" s="300">
        <f t="shared" ref="O124:V124" si="2">SUM(O125:O241)</f>
        <v>6467.2800000000007</v>
      </c>
      <c r="P124" s="270"/>
      <c r="Q124" s="286">
        <f t="shared" si="2"/>
        <v>1087190.1800000002</v>
      </c>
      <c r="R124" s="270"/>
      <c r="S124" s="270"/>
      <c r="T124" s="270">
        <f t="shared" si="2"/>
        <v>0</v>
      </c>
      <c r="U124" s="270"/>
      <c r="V124" s="270">
        <f t="shared" si="2"/>
        <v>1093657.46</v>
      </c>
      <c r="BD124" s="117"/>
      <c r="BG124" s="118">
        <f>SUM(BG125:BG243)</f>
        <v>0</v>
      </c>
      <c r="BI124" s="118">
        <f>SUM(BI125:BI243)</f>
        <v>792.0780006</v>
      </c>
      <c r="BK124" s="119">
        <f>SUM(BK125:BK243)</f>
        <v>268.50513999999998</v>
      </c>
      <c r="CI124" s="113" t="s">
        <v>81</v>
      </c>
      <c r="CK124" s="120" t="s">
        <v>73</v>
      </c>
      <c r="CL124" s="120" t="s">
        <v>81</v>
      </c>
      <c r="CP124" s="113" t="s">
        <v>282</v>
      </c>
      <c r="DB124" s="121">
        <f>SUM(DB125:DB243)</f>
        <v>1093657.46</v>
      </c>
    </row>
    <row r="125" spans="2:108" s="1" customFormat="1" ht="24.2" customHeight="1" x14ac:dyDescent="0.2">
      <c r="B125" s="124"/>
      <c r="C125" s="125" t="s">
        <v>81</v>
      </c>
      <c r="D125" s="125" t="s">
        <v>284</v>
      </c>
      <c r="E125" s="126" t="s">
        <v>2279</v>
      </c>
      <c r="F125" s="127" t="s">
        <v>2280</v>
      </c>
      <c r="G125" s="128" t="s">
        <v>287</v>
      </c>
      <c r="H125" s="129">
        <v>203.13</v>
      </c>
      <c r="I125" s="130">
        <v>68.767172335543137</v>
      </c>
      <c r="J125" s="131">
        <f>ROUND(I125*H125,2)</f>
        <v>13968.68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N129</f>
        <v>1.7729999999999961</v>
      </c>
      <c r="O125" s="294">
        <f>ROUND(N125*I125,2)</f>
        <v>121.92</v>
      </c>
      <c r="P125" s="273">
        <f>H125-L125-N125</f>
        <v>201.357</v>
      </c>
      <c r="Q125" s="287">
        <f>ROUND(P125*I125,2)</f>
        <v>13846.75</v>
      </c>
      <c r="R125" s="137"/>
      <c r="S125" s="269">
        <f>W125+Y125+AA125+AC125</f>
        <v>0</v>
      </c>
      <c r="T125" s="269">
        <f>ROUND(S125*I125,2)</f>
        <v>0</v>
      </c>
      <c r="U125" s="269">
        <f>H125-S125</f>
        <v>203.13</v>
      </c>
      <c r="V125" s="269">
        <f>ROUND(U125*I125,2)</f>
        <v>13968.68</v>
      </c>
      <c r="W125" s="269"/>
      <c r="X125" s="269"/>
      <c r="Y125" s="269"/>
      <c r="Z125" s="269"/>
      <c r="AA125" s="269"/>
      <c r="AB125" s="269"/>
      <c r="AC125" s="269"/>
      <c r="AD125" s="269"/>
      <c r="BD125" s="132" t="s">
        <v>1</v>
      </c>
      <c r="BE125" s="133" t="s">
        <v>40</v>
      </c>
      <c r="BG125" s="134">
        <f>BF125*H125</f>
        <v>0</v>
      </c>
      <c r="BH125" s="134">
        <v>0</v>
      </c>
      <c r="BI125" s="134">
        <f>BH125*H125</f>
        <v>0</v>
      </c>
      <c r="BJ125" s="134">
        <v>0.57999999999999996</v>
      </c>
      <c r="BK125" s="135">
        <f>BJ125*H125</f>
        <v>117.81539999999998</v>
      </c>
      <c r="CI125" s="136" t="s">
        <v>95</v>
      </c>
      <c r="CK125" s="136" t="s">
        <v>284</v>
      </c>
      <c r="CL125" s="136" t="s">
        <v>83</v>
      </c>
      <c r="CP125" s="16" t="s">
        <v>282</v>
      </c>
      <c r="CV125" s="137">
        <f>IF(BE125="základní",J125,0)</f>
        <v>13968.68</v>
      </c>
      <c r="CW125" s="137">
        <f>IF(BE125="snížená",J125,0)</f>
        <v>0</v>
      </c>
      <c r="CX125" s="137">
        <f>IF(BE125="zákl. přenesená",J125,0)</f>
        <v>0</v>
      </c>
      <c r="CY125" s="137">
        <f>IF(BE125="sníž. přenesená",J125,0)</f>
        <v>0</v>
      </c>
      <c r="CZ125" s="137">
        <f>IF(BE125="nulová",J125,0)</f>
        <v>0</v>
      </c>
      <c r="DA125" s="16" t="s">
        <v>81</v>
      </c>
      <c r="DB125" s="137">
        <f>ROUND(I125*H125,2)</f>
        <v>13968.68</v>
      </c>
      <c r="DC125" s="16" t="s">
        <v>95</v>
      </c>
      <c r="DD125" s="136" t="s">
        <v>2281</v>
      </c>
    </row>
    <row r="126" spans="2:108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BD126" s="141"/>
      <c r="BK126" s="50"/>
      <c r="CK126" s="16" t="s">
        <v>289</v>
      </c>
      <c r="CL126" s="16" t="s">
        <v>83</v>
      </c>
    </row>
    <row r="127" spans="2:108" s="1" customFormat="1" ht="29.25" x14ac:dyDescent="0.2">
      <c r="B127" s="31"/>
      <c r="D127" s="138" t="s">
        <v>299</v>
      </c>
      <c r="F127" s="142" t="s">
        <v>2291</v>
      </c>
      <c r="I127" s="140"/>
      <c r="L127" s="31"/>
      <c r="N127" s="213"/>
      <c r="O127" s="214"/>
      <c r="Q127" s="229"/>
      <c r="BD127" s="141"/>
      <c r="BK127" s="50"/>
      <c r="CK127" s="16" t="s">
        <v>299</v>
      </c>
      <c r="CL127" s="16" t="s">
        <v>83</v>
      </c>
    </row>
    <row r="128" spans="2:108" s="12" customFormat="1" x14ac:dyDescent="0.2">
      <c r="B128" s="149"/>
      <c r="D128" s="138" t="s">
        <v>301</v>
      </c>
      <c r="E128" s="150" t="s">
        <v>1</v>
      </c>
      <c r="F128" s="151" t="s">
        <v>2392</v>
      </c>
      <c r="H128" s="152">
        <v>203.13</v>
      </c>
      <c r="I128" s="153"/>
      <c r="L128" s="149"/>
      <c r="N128" s="217">
        <f>227.67*0.9</f>
        <v>204.90299999999999</v>
      </c>
      <c r="O128" s="218" t="s">
        <v>3560</v>
      </c>
      <c r="Q128" s="231"/>
      <c r="BD128" s="154"/>
      <c r="BK128" s="155"/>
      <c r="CK128" s="150" t="s">
        <v>301</v>
      </c>
      <c r="CL128" s="150" t="s">
        <v>83</v>
      </c>
      <c r="CM128" s="12" t="s">
        <v>83</v>
      </c>
      <c r="CN128" s="12" t="s">
        <v>32</v>
      </c>
      <c r="CO128" s="12" t="s">
        <v>81</v>
      </c>
      <c r="CP128" s="150" t="s">
        <v>282</v>
      </c>
    </row>
    <row r="129" spans="2:108" s="12" customFormat="1" x14ac:dyDescent="0.2">
      <c r="B129" s="149"/>
      <c r="D129" s="138"/>
      <c r="E129" s="150"/>
      <c r="F129" s="151"/>
      <c r="H129" s="152"/>
      <c r="I129" s="153"/>
      <c r="L129" s="149"/>
      <c r="N129" s="310">
        <f>N128-H128</f>
        <v>1.7729999999999961</v>
      </c>
      <c r="O129" s="218"/>
      <c r="Q129" s="231"/>
      <c r="BD129" s="154"/>
      <c r="BK129" s="155"/>
      <c r="CK129" s="150"/>
      <c r="CL129" s="150"/>
      <c r="CP129" s="150"/>
    </row>
    <row r="130" spans="2:108" s="1" customFormat="1" ht="24.2" customHeight="1" x14ac:dyDescent="0.2">
      <c r="B130" s="124"/>
      <c r="C130" s="125" t="s">
        <v>83</v>
      </c>
      <c r="D130" s="125" t="s">
        <v>284</v>
      </c>
      <c r="E130" s="126" t="s">
        <v>285</v>
      </c>
      <c r="F130" s="127" t="s">
        <v>2284</v>
      </c>
      <c r="G130" s="128" t="s">
        <v>287</v>
      </c>
      <c r="H130" s="129">
        <v>72.8</v>
      </c>
      <c r="I130" s="130">
        <v>68.767172335543137</v>
      </c>
      <c r="J130" s="131">
        <f>ROUND(I130*H130,2)</f>
        <v>5006.25</v>
      </c>
      <c r="K130" s="127" t="s">
        <v>1</v>
      </c>
      <c r="L130" s="268">
        <f>S130</f>
        <v>0</v>
      </c>
      <c r="M130" s="272">
        <f>ROUND(L130*I130,2)</f>
        <v>0</v>
      </c>
      <c r="N130" s="243">
        <f>N134</f>
        <v>5.3600000000000136</v>
      </c>
      <c r="O130" s="294">
        <f>ROUND(N130*I130,2)</f>
        <v>368.59</v>
      </c>
      <c r="P130" s="273">
        <f>H130-L130-N130</f>
        <v>67.439999999999984</v>
      </c>
      <c r="Q130" s="287">
        <f>ROUND(P130*I130,2)</f>
        <v>4637.66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72.8</v>
      </c>
      <c r="V130" s="269">
        <f>ROUND(U130*I130,2)</f>
        <v>5006.25</v>
      </c>
      <c r="W130" s="269"/>
      <c r="X130" s="269"/>
      <c r="Y130" s="269"/>
      <c r="Z130" s="269"/>
      <c r="AA130" s="269"/>
      <c r="AB130" s="269"/>
      <c r="AC130" s="269"/>
      <c r="AD130" s="269"/>
      <c r="BD130" s="132" t="s">
        <v>1</v>
      </c>
      <c r="BE130" s="133" t="s">
        <v>40</v>
      </c>
      <c r="BG130" s="134">
        <f>BF130*H130</f>
        <v>0</v>
      </c>
      <c r="BH130" s="134">
        <v>0</v>
      </c>
      <c r="BI130" s="134">
        <f>BH130*H130</f>
        <v>0</v>
      </c>
      <c r="BJ130" s="134">
        <v>0.57999999999999996</v>
      </c>
      <c r="BK130" s="135">
        <f>BJ130*H130</f>
        <v>42.223999999999997</v>
      </c>
      <c r="CI130" s="136" t="s">
        <v>95</v>
      </c>
      <c r="CK130" s="136" t="s">
        <v>284</v>
      </c>
      <c r="CL130" s="136" t="s">
        <v>83</v>
      </c>
      <c r="CP130" s="16" t="s">
        <v>282</v>
      </c>
      <c r="CV130" s="137">
        <f>IF(BE130="základní",J130,0)</f>
        <v>5006.25</v>
      </c>
      <c r="CW130" s="137">
        <f>IF(BE130="snížená",J130,0)</f>
        <v>0</v>
      </c>
      <c r="CX130" s="137">
        <f>IF(BE130="zákl. přenesená",J130,0)</f>
        <v>0</v>
      </c>
      <c r="CY130" s="137">
        <f>IF(BE130="sníž. přenesená",J130,0)</f>
        <v>0</v>
      </c>
      <c r="CZ130" s="137">
        <f>IF(BE130="nulová",J130,0)</f>
        <v>0</v>
      </c>
      <c r="DA130" s="16" t="s">
        <v>81</v>
      </c>
      <c r="DB130" s="137">
        <f>ROUND(I130*H130,2)</f>
        <v>5006.25</v>
      </c>
      <c r="DC130" s="16" t="s">
        <v>95</v>
      </c>
      <c r="DD130" s="136" t="s">
        <v>2285</v>
      </c>
    </row>
    <row r="131" spans="2:108" s="1" customFormat="1" ht="39" x14ac:dyDescent="0.2">
      <c r="B131" s="31"/>
      <c r="D131" s="138" t="s">
        <v>289</v>
      </c>
      <c r="F131" s="139" t="s">
        <v>290</v>
      </c>
      <c r="I131" s="140"/>
      <c r="L131" s="31"/>
      <c r="N131" s="213"/>
      <c r="O131" s="214"/>
      <c r="Q131" s="229"/>
      <c r="BD131" s="141"/>
      <c r="BK131" s="50"/>
      <c r="CK131" s="16" t="s">
        <v>289</v>
      </c>
      <c r="CL131" s="16" t="s">
        <v>83</v>
      </c>
    </row>
    <row r="132" spans="2:108" s="1" customFormat="1" ht="29.25" x14ac:dyDescent="0.2">
      <c r="B132" s="31"/>
      <c r="D132" s="138" t="s">
        <v>299</v>
      </c>
      <c r="F132" s="142" t="s">
        <v>2291</v>
      </c>
      <c r="I132" s="140"/>
      <c r="L132" s="31"/>
      <c r="N132" s="213"/>
      <c r="O132" s="214"/>
      <c r="Q132" s="229"/>
      <c r="BD132" s="141"/>
      <c r="BK132" s="50"/>
      <c r="CK132" s="16" t="s">
        <v>299</v>
      </c>
      <c r="CL132" s="16" t="s">
        <v>83</v>
      </c>
    </row>
    <row r="133" spans="2:108" s="12" customFormat="1" x14ac:dyDescent="0.2">
      <c r="B133" s="149"/>
      <c r="D133" s="138" t="s">
        <v>301</v>
      </c>
      <c r="E133" s="150" t="s">
        <v>1</v>
      </c>
      <c r="F133" s="151" t="s">
        <v>2393</v>
      </c>
      <c r="H133" s="152">
        <v>72.8</v>
      </c>
      <c r="I133" s="153"/>
      <c r="L133" s="149"/>
      <c r="N133" s="217">
        <f>195.4*(0.9-0.5)</f>
        <v>78.160000000000011</v>
      </c>
      <c r="O133" s="218" t="s">
        <v>3561</v>
      </c>
      <c r="Q133" s="231"/>
      <c r="BD133" s="154"/>
      <c r="BK133" s="155"/>
      <c r="CK133" s="150" t="s">
        <v>301</v>
      </c>
      <c r="CL133" s="150" t="s">
        <v>83</v>
      </c>
      <c r="CM133" s="12" t="s">
        <v>83</v>
      </c>
      <c r="CN133" s="12" t="s">
        <v>32</v>
      </c>
      <c r="CO133" s="12" t="s">
        <v>81</v>
      </c>
      <c r="CP133" s="150" t="s">
        <v>282</v>
      </c>
    </row>
    <row r="134" spans="2:108" s="12" customFormat="1" x14ac:dyDescent="0.2">
      <c r="B134" s="149"/>
      <c r="D134" s="138"/>
      <c r="E134" s="150"/>
      <c r="F134" s="151"/>
      <c r="H134" s="152"/>
      <c r="I134" s="153"/>
      <c r="L134" s="149"/>
      <c r="N134" s="310">
        <f>N133-H133</f>
        <v>5.3600000000000136</v>
      </c>
      <c r="O134" s="218"/>
      <c r="Q134" s="231"/>
      <c r="BD134" s="154"/>
      <c r="BK134" s="155"/>
      <c r="CK134" s="150"/>
      <c r="CL134" s="150"/>
      <c r="CP134" s="150"/>
    </row>
    <row r="135" spans="2:108" s="1" customFormat="1" ht="24.2" customHeight="1" x14ac:dyDescent="0.2">
      <c r="B135" s="124"/>
      <c r="C135" s="125" t="s">
        <v>90</v>
      </c>
      <c r="D135" s="125" t="s">
        <v>284</v>
      </c>
      <c r="E135" s="126" t="s">
        <v>291</v>
      </c>
      <c r="F135" s="127" t="s">
        <v>292</v>
      </c>
      <c r="G135" s="128" t="s">
        <v>287</v>
      </c>
      <c r="H135" s="129">
        <v>130.33000000000001</v>
      </c>
      <c r="I135" s="130">
        <v>68.767172335543137</v>
      </c>
      <c r="J135" s="131">
        <f>ROUND(I135*H135,2)</f>
        <v>8962.43</v>
      </c>
      <c r="K135" s="127" t="s">
        <v>293</v>
      </c>
      <c r="L135" s="268">
        <f>S135</f>
        <v>0</v>
      </c>
      <c r="M135" s="272">
        <f>ROUND(L135*I135,2)</f>
        <v>0</v>
      </c>
      <c r="N135" s="243">
        <f>N137</f>
        <v>-3.5869999999999749</v>
      </c>
      <c r="O135" s="294">
        <f>ROUND(N135*I135,2)</f>
        <v>-246.67</v>
      </c>
      <c r="P135" s="273">
        <f>H135-L135-N135</f>
        <v>133.91699999999997</v>
      </c>
      <c r="Q135" s="287">
        <f>ROUND(P135*I135,2)</f>
        <v>9209.09</v>
      </c>
      <c r="R135" s="137"/>
      <c r="S135" s="269">
        <f>W135+Y135+AA135+AC135</f>
        <v>0</v>
      </c>
      <c r="T135" s="269">
        <f>ROUND(S135*I135,2)</f>
        <v>0</v>
      </c>
      <c r="U135" s="269">
        <f>H135-S135</f>
        <v>130.33000000000001</v>
      </c>
      <c r="V135" s="269">
        <f>ROUND(U135*I135,2)</f>
        <v>8962.43</v>
      </c>
      <c r="W135" s="269"/>
      <c r="X135" s="269"/>
      <c r="Y135" s="269"/>
      <c r="Z135" s="269"/>
      <c r="AA135" s="269"/>
      <c r="AB135" s="269"/>
      <c r="AC135" s="269"/>
      <c r="AD135" s="269"/>
      <c r="BD135" s="132" t="s">
        <v>1</v>
      </c>
      <c r="BE135" s="133" t="s">
        <v>40</v>
      </c>
      <c r="BG135" s="134">
        <f>BF135*H135</f>
        <v>0</v>
      </c>
      <c r="BH135" s="134">
        <v>0</v>
      </c>
      <c r="BI135" s="134">
        <f>BH135*H135</f>
        <v>0</v>
      </c>
      <c r="BJ135" s="134">
        <v>0.57999999999999996</v>
      </c>
      <c r="BK135" s="135">
        <f>BJ135*H135</f>
        <v>75.591400000000007</v>
      </c>
      <c r="CI135" s="136" t="s">
        <v>95</v>
      </c>
      <c r="CK135" s="136" t="s">
        <v>284</v>
      </c>
      <c r="CL135" s="136" t="s">
        <v>83</v>
      </c>
      <c r="CP135" s="16" t="s">
        <v>282</v>
      </c>
      <c r="CV135" s="137">
        <f>IF(BE135="základní",J135,0)</f>
        <v>8962.43</v>
      </c>
      <c r="CW135" s="137">
        <f>IF(BE135="snížená",J135,0)</f>
        <v>0</v>
      </c>
      <c r="CX135" s="137">
        <f>IF(BE135="zákl. přenesená",J135,0)</f>
        <v>0</v>
      </c>
      <c r="CY135" s="137">
        <f>IF(BE135="sníž. přenesená",J135,0)</f>
        <v>0</v>
      </c>
      <c r="CZ135" s="137">
        <f>IF(BE135="nulová",J135,0)</f>
        <v>0</v>
      </c>
      <c r="DA135" s="16" t="s">
        <v>81</v>
      </c>
      <c r="DB135" s="137">
        <f>ROUND(I135*H135,2)</f>
        <v>8962.43</v>
      </c>
      <c r="DC135" s="16" t="s">
        <v>95</v>
      </c>
      <c r="DD135" s="136" t="s">
        <v>294</v>
      </c>
    </row>
    <row r="136" spans="2:108" s="1" customFormat="1" ht="39" x14ac:dyDescent="0.2">
      <c r="B136" s="31"/>
      <c r="D136" s="138" t="s">
        <v>289</v>
      </c>
      <c r="F136" s="139" t="s">
        <v>290</v>
      </c>
      <c r="I136" s="140"/>
      <c r="L136" s="31"/>
      <c r="N136" s="213"/>
      <c r="O136" s="214"/>
      <c r="Q136" s="229"/>
      <c r="BD136" s="141"/>
      <c r="BK136" s="50"/>
      <c r="CK136" s="16" t="s">
        <v>289</v>
      </c>
      <c r="CL136" s="16" t="s">
        <v>83</v>
      </c>
    </row>
    <row r="137" spans="2:108" s="1" customFormat="1" ht="24.2" customHeight="1" x14ac:dyDescent="0.2">
      <c r="B137" s="124"/>
      <c r="C137" s="125" t="s">
        <v>95</v>
      </c>
      <c r="D137" s="125" t="s">
        <v>284</v>
      </c>
      <c r="E137" s="126" t="s">
        <v>295</v>
      </c>
      <c r="F137" s="127" t="s">
        <v>732</v>
      </c>
      <c r="G137" s="128" t="s">
        <v>287</v>
      </c>
      <c r="H137" s="129">
        <v>130.33000000000001</v>
      </c>
      <c r="I137" s="130">
        <v>27.886826761540966</v>
      </c>
      <c r="J137" s="131">
        <f>ROUND(I137*H137,2)</f>
        <v>3634.49</v>
      </c>
      <c r="K137" s="127" t="s">
        <v>293</v>
      </c>
      <c r="L137" s="268">
        <f>S137</f>
        <v>0</v>
      </c>
      <c r="M137" s="272">
        <f>ROUND(L137*I137,2)</f>
        <v>0</v>
      </c>
      <c r="N137" s="243">
        <f>N144</f>
        <v>-3.5869999999999749</v>
      </c>
      <c r="O137" s="294">
        <f>ROUND(N137*I137,2)</f>
        <v>-100.03</v>
      </c>
      <c r="P137" s="273">
        <f>H137-L137-N137</f>
        <v>133.91699999999997</v>
      </c>
      <c r="Q137" s="287">
        <f>ROUND(P137*I137,2)</f>
        <v>3734.52</v>
      </c>
      <c r="R137" s="137"/>
      <c r="S137" s="269">
        <f>W137+Y137+AA137+AC137</f>
        <v>0</v>
      </c>
      <c r="T137" s="269">
        <f>ROUND(S137*I137,2)</f>
        <v>0</v>
      </c>
      <c r="U137" s="269">
        <f>H137-S137</f>
        <v>130.33000000000001</v>
      </c>
      <c r="V137" s="269">
        <f>ROUND(U137*I137,2)</f>
        <v>3634.49</v>
      </c>
      <c r="W137" s="269"/>
      <c r="X137" s="269"/>
      <c r="Y137" s="269"/>
      <c r="Z137" s="269"/>
      <c r="AA137" s="269"/>
      <c r="AB137" s="269"/>
      <c r="AC137" s="269"/>
      <c r="AD137" s="269"/>
      <c r="BD137" s="132" t="s">
        <v>1</v>
      </c>
      <c r="BE137" s="133" t="s">
        <v>40</v>
      </c>
      <c r="BG137" s="134">
        <f>BF137*H137</f>
        <v>0</v>
      </c>
      <c r="BH137" s="134">
        <v>0</v>
      </c>
      <c r="BI137" s="134">
        <f>BH137*H137</f>
        <v>0</v>
      </c>
      <c r="BJ137" s="134">
        <v>9.8000000000000004E-2</v>
      </c>
      <c r="BK137" s="135">
        <f>BJ137*H137</f>
        <v>12.772340000000002</v>
      </c>
      <c r="CI137" s="136" t="s">
        <v>95</v>
      </c>
      <c r="CK137" s="136" t="s">
        <v>284</v>
      </c>
      <c r="CL137" s="136" t="s">
        <v>83</v>
      </c>
      <c r="CP137" s="16" t="s">
        <v>282</v>
      </c>
      <c r="CV137" s="137">
        <f>IF(BE137="základní",J137,0)</f>
        <v>3634.49</v>
      </c>
      <c r="CW137" s="137">
        <f>IF(BE137="snížená",J137,0)</f>
        <v>0</v>
      </c>
      <c r="CX137" s="137">
        <f>IF(BE137="zákl. přenesená",J137,0)</f>
        <v>0</v>
      </c>
      <c r="CY137" s="137">
        <f>IF(BE137="sníž. přenesená",J137,0)</f>
        <v>0</v>
      </c>
      <c r="CZ137" s="137">
        <f>IF(BE137="nulová",J137,0)</f>
        <v>0</v>
      </c>
      <c r="DA137" s="16" t="s">
        <v>81</v>
      </c>
      <c r="DB137" s="137">
        <f>ROUND(I137*H137,2)</f>
        <v>3634.49</v>
      </c>
      <c r="DC137" s="16" t="s">
        <v>95</v>
      </c>
      <c r="DD137" s="136" t="s">
        <v>297</v>
      </c>
    </row>
    <row r="138" spans="2:108" s="1" customFormat="1" ht="29.25" x14ac:dyDescent="0.2">
      <c r="B138" s="31"/>
      <c r="D138" s="138" t="s">
        <v>289</v>
      </c>
      <c r="F138" s="139" t="s">
        <v>298</v>
      </c>
      <c r="I138" s="140"/>
      <c r="L138" s="31"/>
      <c r="N138" s="213"/>
      <c r="O138" s="214"/>
      <c r="Q138" s="229"/>
      <c r="BD138" s="141"/>
      <c r="BK138" s="50"/>
      <c r="CK138" s="16" t="s">
        <v>289</v>
      </c>
      <c r="CL138" s="16" t="s">
        <v>83</v>
      </c>
    </row>
    <row r="139" spans="2:108" s="1" customFormat="1" ht="29.25" x14ac:dyDescent="0.2">
      <c r="B139" s="31"/>
      <c r="D139" s="138" t="s">
        <v>299</v>
      </c>
      <c r="F139" s="142" t="s">
        <v>2291</v>
      </c>
      <c r="I139" s="140"/>
      <c r="L139" s="31"/>
      <c r="N139" s="213"/>
      <c r="O139" s="214"/>
      <c r="Q139" s="229"/>
      <c r="BD139" s="141"/>
      <c r="BK139" s="50"/>
      <c r="CK139" s="16" t="s">
        <v>299</v>
      </c>
      <c r="CL139" s="16" t="s">
        <v>83</v>
      </c>
    </row>
    <row r="140" spans="2:108" s="11" customFormat="1" x14ac:dyDescent="0.2">
      <c r="B140" s="143"/>
      <c r="D140" s="138" t="s">
        <v>301</v>
      </c>
      <c r="E140" s="144" t="s">
        <v>1</v>
      </c>
      <c r="F140" s="145" t="s">
        <v>302</v>
      </c>
      <c r="H140" s="144" t="s">
        <v>1</v>
      </c>
      <c r="I140" s="146"/>
      <c r="L140" s="143"/>
      <c r="N140" s="215"/>
      <c r="O140" s="216"/>
      <c r="Q140" s="230"/>
      <c r="BD140" s="147"/>
      <c r="BK140" s="148"/>
      <c r="CK140" s="144" t="s">
        <v>301</v>
      </c>
      <c r="CL140" s="144" t="s">
        <v>83</v>
      </c>
      <c r="CM140" s="11" t="s">
        <v>81</v>
      </c>
      <c r="CN140" s="11" t="s">
        <v>32</v>
      </c>
      <c r="CO140" s="11" t="s">
        <v>74</v>
      </c>
      <c r="CP140" s="144" t="s">
        <v>282</v>
      </c>
    </row>
    <row r="141" spans="2:108" s="12" customFormat="1" x14ac:dyDescent="0.2">
      <c r="B141" s="149"/>
      <c r="D141" s="138" t="s">
        <v>301</v>
      </c>
      <c r="E141" s="150" t="s">
        <v>1</v>
      </c>
      <c r="F141" s="151" t="s">
        <v>2394</v>
      </c>
      <c r="H141" s="152">
        <v>39.33</v>
      </c>
      <c r="I141" s="153"/>
      <c r="L141" s="149"/>
      <c r="N141" s="217">
        <f>32.27*0.9</f>
        <v>29.043000000000003</v>
      </c>
      <c r="O141" s="218" t="s">
        <v>3559</v>
      </c>
      <c r="Q141" s="231"/>
      <c r="BD141" s="154"/>
      <c r="BK141" s="155"/>
      <c r="CK141" s="150" t="s">
        <v>301</v>
      </c>
      <c r="CL141" s="150" t="s">
        <v>83</v>
      </c>
      <c r="CM141" s="12" t="s">
        <v>83</v>
      </c>
      <c r="CN141" s="12" t="s">
        <v>32</v>
      </c>
      <c r="CO141" s="12" t="s">
        <v>74</v>
      </c>
      <c r="CP141" s="150" t="s">
        <v>282</v>
      </c>
    </row>
    <row r="142" spans="2:108" s="12" customFormat="1" x14ac:dyDescent="0.2">
      <c r="B142" s="149"/>
      <c r="D142" s="138" t="s">
        <v>301</v>
      </c>
      <c r="E142" s="150" t="s">
        <v>1</v>
      </c>
      <c r="F142" s="151" t="s">
        <v>2395</v>
      </c>
      <c r="H142" s="152">
        <v>91</v>
      </c>
      <c r="I142" s="153"/>
      <c r="L142" s="149"/>
      <c r="N142" s="217">
        <f>195.4*0.5</f>
        <v>97.7</v>
      </c>
      <c r="O142" s="218" t="s">
        <v>3558</v>
      </c>
      <c r="Q142" s="231"/>
      <c r="BD142" s="154"/>
      <c r="BK142" s="155"/>
      <c r="CK142" s="150" t="s">
        <v>301</v>
      </c>
      <c r="CL142" s="150" t="s">
        <v>83</v>
      </c>
      <c r="CM142" s="12" t="s">
        <v>83</v>
      </c>
      <c r="CN142" s="12" t="s">
        <v>32</v>
      </c>
      <c r="CO142" s="12" t="s">
        <v>74</v>
      </c>
      <c r="CP142" s="150" t="s">
        <v>282</v>
      </c>
    </row>
    <row r="143" spans="2:108" s="13" customFormat="1" x14ac:dyDescent="0.2">
      <c r="B143" s="156"/>
      <c r="D143" s="138" t="s">
        <v>301</v>
      </c>
      <c r="E143" s="157" t="s">
        <v>1</v>
      </c>
      <c r="F143" s="158" t="s">
        <v>305</v>
      </c>
      <c r="H143" s="159">
        <v>130.32999999999998</v>
      </c>
      <c r="I143" s="160"/>
      <c r="L143" s="156"/>
      <c r="N143" s="219">
        <f>N141+N142</f>
        <v>126.74300000000001</v>
      </c>
      <c r="O143" s="220"/>
      <c r="Q143" s="232"/>
      <c r="BD143" s="161"/>
      <c r="BK143" s="162"/>
      <c r="CK143" s="157" t="s">
        <v>301</v>
      </c>
      <c r="CL143" s="157" t="s">
        <v>83</v>
      </c>
      <c r="CM143" s="13" t="s">
        <v>95</v>
      </c>
      <c r="CN143" s="13" t="s">
        <v>32</v>
      </c>
      <c r="CO143" s="13" t="s">
        <v>81</v>
      </c>
      <c r="CP143" s="157" t="s">
        <v>282</v>
      </c>
    </row>
    <row r="144" spans="2:108" s="13" customFormat="1" x14ac:dyDescent="0.2">
      <c r="B144" s="156"/>
      <c r="D144" s="138"/>
      <c r="E144" s="157"/>
      <c r="F144" s="158"/>
      <c r="H144" s="159"/>
      <c r="I144" s="160"/>
      <c r="L144" s="156"/>
      <c r="N144" s="311">
        <f>N143-H143</f>
        <v>-3.5869999999999749</v>
      </c>
      <c r="O144" s="220"/>
      <c r="Q144" s="232"/>
      <c r="BD144" s="161"/>
      <c r="BK144" s="162"/>
      <c r="CK144" s="157"/>
      <c r="CL144" s="157"/>
      <c r="CP144" s="157"/>
    </row>
    <row r="145" spans="2:108" s="1" customFormat="1" ht="24.2" customHeight="1" x14ac:dyDescent="0.2">
      <c r="B145" s="124"/>
      <c r="C145" s="125" t="s">
        <v>312</v>
      </c>
      <c r="D145" s="125" t="s">
        <v>284</v>
      </c>
      <c r="E145" s="126" t="s">
        <v>306</v>
      </c>
      <c r="F145" s="127" t="s">
        <v>307</v>
      </c>
      <c r="G145" s="128" t="s">
        <v>287</v>
      </c>
      <c r="H145" s="129">
        <v>174.8</v>
      </c>
      <c r="I145" s="130">
        <v>55.314624729404002</v>
      </c>
      <c r="J145" s="131">
        <f>ROUND(I145*H145,2)</f>
        <v>9669</v>
      </c>
      <c r="K145" s="127" t="s">
        <v>293</v>
      </c>
      <c r="L145" s="268">
        <f>S145</f>
        <v>0</v>
      </c>
      <c r="M145" s="272">
        <f>ROUND(L145*I145,2)</f>
        <v>0</v>
      </c>
      <c r="N145" s="243">
        <f>N150</f>
        <v>-45.72</v>
      </c>
      <c r="O145" s="294">
        <f>ROUND(N145*I145,2)</f>
        <v>-2528.98</v>
      </c>
      <c r="P145" s="273">
        <f>H145-L145-N145</f>
        <v>220.52</v>
      </c>
      <c r="Q145" s="287">
        <f>ROUND(P145*I145,2)</f>
        <v>12197.98</v>
      </c>
      <c r="R145" s="137"/>
      <c r="S145" s="269">
        <f>W145+Y145+AA145+AC145</f>
        <v>0</v>
      </c>
      <c r="T145" s="269">
        <f>ROUND(S145*I145,2)</f>
        <v>0</v>
      </c>
      <c r="U145" s="269">
        <f>H145-S145</f>
        <v>174.8</v>
      </c>
      <c r="V145" s="269">
        <f>ROUND(U145*I145,2)</f>
        <v>9669</v>
      </c>
      <c r="W145" s="269"/>
      <c r="X145" s="269"/>
      <c r="Y145" s="269"/>
      <c r="Z145" s="269"/>
      <c r="AA145" s="269"/>
      <c r="AB145" s="269"/>
      <c r="AC145" s="269"/>
      <c r="AD145" s="269"/>
      <c r="BD145" s="132" t="s">
        <v>1</v>
      </c>
      <c r="BE145" s="133" t="s">
        <v>40</v>
      </c>
      <c r="BG145" s="134">
        <f>BF145*H145</f>
        <v>0</v>
      </c>
      <c r="BH145" s="134">
        <v>6.9999999999999994E-5</v>
      </c>
      <c r="BI145" s="134">
        <f>BH145*H145</f>
        <v>1.2236E-2</v>
      </c>
      <c r="BJ145" s="134">
        <v>0.115</v>
      </c>
      <c r="BK145" s="135">
        <f>BJ145*H145</f>
        <v>20.102000000000004</v>
      </c>
      <c r="CI145" s="136" t="s">
        <v>95</v>
      </c>
      <c r="CK145" s="136" t="s">
        <v>284</v>
      </c>
      <c r="CL145" s="136" t="s">
        <v>83</v>
      </c>
      <c r="CP145" s="16" t="s">
        <v>282</v>
      </c>
      <c r="CV145" s="137">
        <f>IF(BE145="základní",J145,0)</f>
        <v>9669</v>
      </c>
      <c r="CW145" s="137">
        <f>IF(BE145="snížená",J145,0)</f>
        <v>0</v>
      </c>
      <c r="CX145" s="137">
        <f>IF(BE145="zákl. přenesená",J145,0)</f>
        <v>0</v>
      </c>
      <c r="CY145" s="137">
        <f>IF(BE145="sníž. přenesená",J145,0)</f>
        <v>0</v>
      </c>
      <c r="CZ145" s="137">
        <f>IF(BE145="nulová",J145,0)</f>
        <v>0</v>
      </c>
      <c r="DA145" s="16" t="s">
        <v>81</v>
      </c>
      <c r="DB145" s="137">
        <f>ROUND(I145*H145,2)</f>
        <v>9669</v>
      </c>
      <c r="DC145" s="16" t="s">
        <v>95</v>
      </c>
      <c r="DD145" s="136" t="s">
        <v>308</v>
      </c>
    </row>
    <row r="146" spans="2:108" s="1" customFormat="1" ht="29.25" x14ac:dyDescent="0.2">
      <c r="B146" s="31"/>
      <c r="D146" s="138" t="s">
        <v>289</v>
      </c>
      <c r="F146" s="139" t="s">
        <v>309</v>
      </c>
      <c r="I146" s="140"/>
      <c r="L146" s="31"/>
      <c r="N146" s="213"/>
      <c r="O146" s="214"/>
      <c r="Q146" s="229"/>
      <c r="BD146" s="141"/>
      <c r="BK146" s="50"/>
      <c r="CK146" s="16" t="s">
        <v>289</v>
      </c>
      <c r="CL146" s="16" t="s">
        <v>83</v>
      </c>
    </row>
    <row r="147" spans="2:108" s="1" customFormat="1" ht="29.25" x14ac:dyDescent="0.2">
      <c r="B147" s="31"/>
      <c r="D147" s="138" t="s">
        <v>299</v>
      </c>
      <c r="F147" s="142" t="s">
        <v>2291</v>
      </c>
      <c r="I147" s="140"/>
      <c r="L147" s="31"/>
      <c r="N147" s="213"/>
      <c r="O147" s="214"/>
      <c r="Q147" s="229"/>
      <c r="BD147" s="141"/>
      <c r="BK147" s="50"/>
      <c r="CK147" s="16" t="s">
        <v>299</v>
      </c>
      <c r="CL147" s="16" t="s">
        <v>83</v>
      </c>
    </row>
    <row r="148" spans="2:108" s="11" customFormat="1" x14ac:dyDescent="0.2">
      <c r="B148" s="143"/>
      <c r="D148" s="138" t="s">
        <v>301</v>
      </c>
      <c r="E148" s="144" t="s">
        <v>1</v>
      </c>
      <c r="F148" s="145" t="s">
        <v>310</v>
      </c>
      <c r="H148" s="144" t="s">
        <v>1</v>
      </c>
      <c r="I148" s="146"/>
      <c r="L148" s="143"/>
      <c r="N148" s="215"/>
      <c r="O148" s="216"/>
      <c r="Q148" s="230"/>
      <c r="BD148" s="147"/>
      <c r="BK148" s="148"/>
      <c r="CK148" s="144" t="s">
        <v>301</v>
      </c>
      <c r="CL148" s="144" t="s">
        <v>83</v>
      </c>
      <c r="CM148" s="11" t="s">
        <v>81</v>
      </c>
      <c r="CN148" s="11" t="s">
        <v>32</v>
      </c>
      <c r="CO148" s="11" t="s">
        <v>74</v>
      </c>
      <c r="CP148" s="144" t="s">
        <v>282</v>
      </c>
    </row>
    <row r="149" spans="2:108" s="12" customFormat="1" x14ac:dyDescent="0.2">
      <c r="B149" s="149"/>
      <c r="D149" s="138" t="s">
        <v>301</v>
      </c>
      <c r="E149" s="150" t="s">
        <v>1</v>
      </c>
      <c r="F149" s="151" t="s">
        <v>2396</v>
      </c>
      <c r="H149" s="152">
        <v>174.8</v>
      </c>
      <c r="I149" s="153"/>
      <c r="L149" s="149"/>
      <c r="N149" s="217">
        <f>32.27*4</f>
        <v>129.08000000000001</v>
      </c>
      <c r="O149" s="218" t="s">
        <v>3562</v>
      </c>
      <c r="Q149" s="231"/>
      <c r="BD149" s="154"/>
      <c r="BK149" s="155"/>
      <c r="CK149" s="150" t="s">
        <v>301</v>
      </c>
      <c r="CL149" s="150" t="s">
        <v>83</v>
      </c>
      <c r="CM149" s="12" t="s">
        <v>83</v>
      </c>
      <c r="CN149" s="12" t="s">
        <v>32</v>
      </c>
      <c r="CO149" s="12" t="s">
        <v>74</v>
      </c>
      <c r="CP149" s="150" t="s">
        <v>282</v>
      </c>
    </row>
    <row r="150" spans="2:108" s="11" customFormat="1" x14ac:dyDescent="0.2">
      <c r="B150" s="143"/>
      <c r="D150" s="138" t="s">
        <v>301</v>
      </c>
      <c r="E150" s="144" t="s">
        <v>1</v>
      </c>
      <c r="F150" s="145" t="s">
        <v>2397</v>
      </c>
      <c r="H150" s="144" t="s">
        <v>1</v>
      </c>
      <c r="I150" s="146"/>
      <c r="L150" s="143"/>
      <c r="N150" s="319">
        <f>N149-H151</f>
        <v>-45.72</v>
      </c>
      <c r="O150" s="216"/>
      <c r="Q150" s="230"/>
      <c r="BD150" s="147"/>
      <c r="BK150" s="148"/>
      <c r="CK150" s="144" t="s">
        <v>301</v>
      </c>
      <c r="CL150" s="144" t="s">
        <v>83</v>
      </c>
      <c r="CM150" s="11" t="s">
        <v>81</v>
      </c>
      <c r="CN150" s="11" t="s">
        <v>32</v>
      </c>
      <c r="CO150" s="11" t="s">
        <v>74</v>
      </c>
      <c r="CP150" s="144" t="s">
        <v>282</v>
      </c>
    </row>
    <row r="151" spans="2:108" s="13" customFormat="1" x14ac:dyDescent="0.2">
      <c r="B151" s="156"/>
      <c r="D151" s="138" t="s">
        <v>301</v>
      </c>
      <c r="E151" s="157" t="s">
        <v>1</v>
      </c>
      <c r="F151" s="158" t="s">
        <v>305</v>
      </c>
      <c r="H151" s="159">
        <v>174.8</v>
      </c>
      <c r="I151" s="160"/>
      <c r="L151" s="156"/>
      <c r="N151" s="219"/>
      <c r="O151" s="220"/>
      <c r="Q151" s="232"/>
      <c r="BD151" s="161"/>
      <c r="BK151" s="162"/>
      <c r="CK151" s="157" t="s">
        <v>301</v>
      </c>
      <c r="CL151" s="157" t="s">
        <v>83</v>
      </c>
      <c r="CM151" s="13" t="s">
        <v>95</v>
      </c>
      <c r="CN151" s="13" t="s">
        <v>32</v>
      </c>
      <c r="CO151" s="13" t="s">
        <v>81</v>
      </c>
      <c r="CP151" s="157" t="s">
        <v>282</v>
      </c>
    </row>
    <row r="152" spans="2:108" s="1" customFormat="1" ht="24.2" customHeight="1" x14ac:dyDescent="0.2">
      <c r="B152" s="124"/>
      <c r="C152" s="125" t="s">
        <v>318</v>
      </c>
      <c r="D152" s="125" t="s">
        <v>284</v>
      </c>
      <c r="E152" s="126" t="s">
        <v>313</v>
      </c>
      <c r="F152" s="127" t="s">
        <v>314</v>
      </c>
      <c r="G152" s="128" t="s">
        <v>315</v>
      </c>
      <c r="H152" s="129">
        <v>1</v>
      </c>
      <c r="I152" s="130">
        <v>3788.8627999999999</v>
      </c>
      <c r="J152" s="131">
        <f>ROUND(I152*H152,2)</f>
        <v>3788.86</v>
      </c>
      <c r="K152" s="127" t="s">
        <v>1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1</v>
      </c>
      <c r="Q152" s="287">
        <f>ROUND(P152*I152,2)</f>
        <v>3788.86</v>
      </c>
      <c r="R152" s="137"/>
      <c r="S152" s="269">
        <f>W152+Y152+AA152+AC152</f>
        <v>0</v>
      </c>
      <c r="T152" s="269">
        <f>ROUND(S152*I152,2)</f>
        <v>0</v>
      </c>
      <c r="U152" s="269">
        <f>H152-S152</f>
        <v>1</v>
      </c>
      <c r="V152" s="269">
        <f>ROUND(U152*I152,2)</f>
        <v>3788.86</v>
      </c>
      <c r="W152" s="269"/>
      <c r="X152" s="269"/>
      <c r="Y152" s="269"/>
      <c r="Z152" s="269"/>
      <c r="AA152" s="269"/>
      <c r="AB152" s="269"/>
      <c r="AC152" s="269"/>
      <c r="AD152" s="269"/>
      <c r="BD152" s="132" t="s">
        <v>1</v>
      </c>
      <c r="BE152" s="133" t="s">
        <v>40</v>
      </c>
      <c r="BG152" s="134">
        <f>BF152*H152</f>
        <v>0</v>
      </c>
      <c r="BH152" s="134">
        <v>0</v>
      </c>
      <c r="BI152" s="134">
        <f>BH152*H152</f>
        <v>0</v>
      </c>
      <c r="BJ152" s="134">
        <v>0</v>
      </c>
      <c r="BK152" s="135">
        <f>BJ152*H152</f>
        <v>0</v>
      </c>
      <c r="CI152" s="136" t="s">
        <v>95</v>
      </c>
      <c r="CK152" s="136" t="s">
        <v>284</v>
      </c>
      <c r="CL152" s="136" t="s">
        <v>83</v>
      </c>
      <c r="CP152" s="16" t="s">
        <v>282</v>
      </c>
      <c r="CV152" s="137">
        <f>IF(BE152="základní",J152,0)</f>
        <v>3788.86</v>
      </c>
      <c r="CW152" s="137">
        <f>IF(BE152="snížená",J152,0)</f>
        <v>0</v>
      </c>
      <c r="CX152" s="137">
        <f>IF(BE152="zákl. přenesená",J152,0)</f>
        <v>0</v>
      </c>
      <c r="CY152" s="137">
        <f>IF(BE152="sníž. přenesená",J152,0)</f>
        <v>0</v>
      </c>
      <c r="CZ152" s="137">
        <f>IF(BE152="nulová",J152,0)</f>
        <v>0</v>
      </c>
      <c r="DA152" s="16" t="s">
        <v>81</v>
      </c>
      <c r="DB152" s="137">
        <f>ROUND(I152*H152,2)</f>
        <v>3788.86</v>
      </c>
      <c r="DC152" s="16" t="s">
        <v>95</v>
      </c>
      <c r="DD152" s="136" t="s">
        <v>316</v>
      </c>
    </row>
    <row r="153" spans="2:108" s="1" customFormat="1" ht="19.5" x14ac:dyDescent="0.2">
      <c r="B153" s="31"/>
      <c r="D153" s="138" t="s">
        <v>289</v>
      </c>
      <c r="F153" s="139" t="s">
        <v>314</v>
      </c>
      <c r="I153" s="140"/>
      <c r="L153" s="31"/>
      <c r="N153" s="213"/>
      <c r="O153" s="214"/>
      <c r="Q153" s="229"/>
      <c r="BD153" s="141"/>
      <c r="BK153" s="50"/>
      <c r="CK153" s="16" t="s">
        <v>289</v>
      </c>
      <c r="CL153" s="16" t="s">
        <v>83</v>
      </c>
    </row>
    <row r="154" spans="2:108" s="1" customFormat="1" ht="29.25" x14ac:dyDescent="0.2">
      <c r="B154" s="31"/>
      <c r="D154" s="138" t="s">
        <v>299</v>
      </c>
      <c r="F154" s="142" t="s">
        <v>2291</v>
      </c>
      <c r="I154" s="140"/>
      <c r="L154" s="31"/>
      <c r="N154" s="213"/>
      <c r="O154" s="214"/>
      <c r="Q154" s="229"/>
      <c r="BD154" s="141"/>
      <c r="BK154" s="50"/>
      <c r="CK154" s="16" t="s">
        <v>299</v>
      </c>
      <c r="CL154" s="16" t="s">
        <v>83</v>
      </c>
    </row>
    <row r="155" spans="2:108" s="12" customFormat="1" x14ac:dyDescent="0.2">
      <c r="B155" s="149"/>
      <c r="D155" s="138" t="s">
        <v>301</v>
      </c>
      <c r="E155" s="150" t="s">
        <v>1</v>
      </c>
      <c r="F155" s="151" t="s">
        <v>81</v>
      </c>
      <c r="H155" s="152">
        <v>1</v>
      </c>
      <c r="I155" s="153"/>
      <c r="L155" s="149"/>
      <c r="N155" s="217"/>
      <c r="O155" s="218"/>
      <c r="Q155" s="231"/>
      <c r="BD155" s="154"/>
      <c r="BK155" s="155"/>
      <c r="CK155" s="150" t="s">
        <v>301</v>
      </c>
      <c r="CL155" s="150" t="s">
        <v>83</v>
      </c>
      <c r="CM155" s="12" t="s">
        <v>83</v>
      </c>
      <c r="CN155" s="12" t="s">
        <v>32</v>
      </c>
      <c r="CO155" s="12" t="s">
        <v>81</v>
      </c>
      <c r="CP155" s="150" t="s">
        <v>282</v>
      </c>
    </row>
    <row r="156" spans="2:108" s="1" customFormat="1" ht="24.2" customHeight="1" x14ac:dyDescent="0.2">
      <c r="B156" s="124"/>
      <c r="C156" s="125" t="s">
        <v>323</v>
      </c>
      <c r="D156" s="125" t="s">
        <v>284</v>
      </c>
      <c r="E156" s="126" t="s">
        <v>324</v>
      </c>
      <c r="F156" s="127" t="s">
        <v>325</v>
      </c>
      <c r="G156" s="128" t="s">
        <v>315</v>
      </c>
      <c r="H156" s="129">
        <v>3</v>
      </c>
      <c r="I156" s="130">
        <v>1847.0706150000001</v>
      </c>
      <c r="J156" s="131">
        <f>ROUND(I156*H156,2)</f>
        <v>5541.21</v>
      </c>
      <c r="K156" s="127" t="s">
        <v>1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3</v>
      </c>
      <c r="Q156" s="287">
        <f>ROUND(P156*I156,2)</f>
        <v>5541.21</v>
      </c>
      <c r="R156" s="137"/>
      <c r="S156" s="269">
        <f>W156+Y156+AA156+AC156</f>
        <v>0</v>
      </c>
      <c r="T156" s="269">
        <f>ROUND(S156*I156,2)</f>
        <v>0</v>
      </c>
      <c r="U156" s="269">
        <f>H156-S156</f>
        <v>3</v>
      </c>
      <c r="V156" s="269">
        <f>ROUND(U156*I156,2)</f>
        <v>5541.21</v>
      </c>
      <c r="W156" s="269"/>
      <c r="X156" s="269"/>
      <c r="Y156" s="269"/>
      <c r="Z156" s="269"/>
      <c r="AA156" s="269"/>
      <c r="AB156" s="269"/>
      <c r="AC156" s="269"/>
      <c r="AD156" s="269"/>
      <c r="BD156" s="132" t="s">
        <v>1</v>
      </c>
      <c r="BE156" s="133" t="s">
        <v>40</v>
      </c>
      <c r="BG156" s="134">
        <f>BF156*H156</f>
        <v>0</v>
      </c>
      <c r="BH156" s="134">
        <v>0</v>
      </c>
      <c r="BI156" s="134">
        <f>BH156*H156</f>
        <v>0</v>
      </c>
      <c r="BJ156" s="134">
        <v>0</v>
      </c>
      <c r="BK156" s="135">
        <f>BJ156*H156</f>
        <v>0</v>
      </c>
      <c r="CI156" s="136" t="s">
        <v>95</v>
      </c>
      <c r="CK156" s="136" t="s">
        <v>284</v>
      </c>
      <c r="CL156" s="136" t="s">
        <v>83</v>
      </c>
      <c r="CP156" s="16" t="s">
        <v>282</v>
      </c>
      <c r="CV156" s="137">
        <f>IF(BE156="základní",J156,0)</f>
        <v>5541.21</v>
      </c>
      <c r="CW156" s="137">
        <f>IF(BE156="snížená",J156,0)</f>
        <v>0</v>
      </c>
      <c r="CX156" s="137">
        <f>IF(BE156="zákl. přenesená",J156,0)</f>
        <v>0</v>
      </c>
      <c r="CY156" s="137">
        <f>IF(BE156="sníž. přenesená",J156,0)</f>
        <v>0</v>
      </c>
      <c r="CZ156" s="137">
        <f>IF(BE156="nulová",J156,0)</f>
        <v>0</v>
      </c>
      <c r="DA156" s="16" t="s">
        <v>81</v>
      </c>
      <c r="DB156" s="137">
        <f>ROUND(I156*H156,2)</f>
        <v>5541.21</v>
      </c>
      <c r="DC156" s="16" t="s">
        <v>95</v>
      </c>
      <c r="DD156" s="136" t="s">
        <v>326</v>
      </c>
    </row>
    <row r="157" spans="2:108" s="1" customFormat="1" ht="19.5" x14ac:dyDescent="0.2">
      <c r="B157" s="31"/>
      <c r="D157" s="138" t="s">
        <v>289</v>
      </c>
      <c r="F157" s="139" t="s">
        <v>325</v>
      </c>
      <c r="I157" s="140"/>
      <c r="L157" s="31"/>
      <c r="N157" s="213"/>
      <c r="O157" s="214"/>
      <c r="Q157" s="229"/>
      <c r="BD157" s="141"/>
      <c r="BK157" s="50"/>
      <c r="CK157" s="16" t="s">
        <v>289</v>
      </c>
      <c r="CL157" s="16" t="s">
        <v>83</v>
      </c>
    </row>
    <row r="158" spans="2:108" s="1" customFormat="1" ht="29.25" x14ac:dyDescent="0.2">
      <c r="B158" s="31"/>
      <c r="D158" s="138" t="s">
        <v>299</v>
      </c>
      <c r="F158" s="142" t="s">
        <v>2291</v>
      </c>
      <c r="I158" s="140"/>
      <c r="L158" s="31"/>
      <c r="N158" s="213"/>
      <c r="O158" s="214"/>
      <c r="Q158" s="229"/>
      <c r="BD158" s="141"/>
      <c r="BK158" s="50"/>
      <c r="CK158" s="16" t="s">
        <v>299</v>
      </c>
      <c r="CL158" s="16" t="s">
        <v>83</v>
      </c>
    </row>
    <row r="159" spans="2:108" s="12" customFormat="1" x14ac:dyDescent="0.2">
      <c r="B159" s="149"/>
      <c r="D159" s="138" t="s">
        <v>301</v>
      </c>
      <c r="E159" s="150" t="s">
        <v>1</v>
      </c>
      <c r="F159" s="151" t="s">
        <v>90</v>
      </c>
      <c r="H159" s="152">
        <v>3</v>
      </c>
      <c r="I159" s="153"/>
      <c r="L159" s="149"/>
      <c r="N159" s="217"/>
      <c r="O159" s="218"/>
      <c r="Q159" s="231"/>
      <c r="BD159" s="154"/>
      <c r="BK159" s="155"/>
      <c r="CK159" s="150" t="s">
        <v>301</v>
      </c>
      <c r="CL159" s="150" t="s">
        <v>83</v>
      </c>
      <c r="CM159" s="12" t="s">
        <v>83</v>
      </c>
      <c r="CN159" s="12" t="s">
        <v>32</v>
      </c>
      <c r="CO159" s="12" t="s">
        <v>81</v>
      </c>
      <c r="CP159" s="150" t="s">
        <v>282</v>
      </c>
    </row>
    <row r="160" spans="2:108" s="1" customFormat="1" ht="24.2" customHeight="1" x14ac:dyDescent="0.2">
      <c r="B160" s="124"/>
      <c r="C160" s="125" t="s">
        <v>328</v>
      </c>
      <c r="D160" s="125" t="s">
        <v>284</v>
      </c>
      <c r="E160" s="126" t="s">
        <v>329</v>
      </c>
      <c r="F160" s="127" t="s">
        <v>330</v>
      </c>
      <c r="G160" s="128" t="s">
        <v>331</v>
      </c>
      <c r="H160" s="129">
        <v>360</v>
      </c>
      <c r="I160" s="130">
        <v>70.957591385341729</v>
      </c>
      <c r="J160" s="131">
        <f>ROUND(I160*H160,2)</f>
        <v>25544.73</v>
      </c>
      <c r="K160" s="127" t="s">
        <v>293</v>
      </c>
      <c r="L160" s="268">
        <f>S160</f>
        <v>0</v>
      </c>
      <c r="M160" s="272">
        <f>ROUND(L160*I160,2)</f>
        <v>0</v>
      </c>
      <c r="N160" s="243"/>
      <c r="O160" s="294">
        <f>ROUND(N160*I160,2)</f>
        <v>0</v>
      </c>
      <c r="P160" s="273">
        <f>H160-L160-N160</f>
        <v>360</v>
      </c>
      <c r="Q160" s="287">
        <f>ROUND(P160*I160,2)</f>
        <v>25544.73</v>
      </c>
      <c r="R160" s="137"/>
      <c r="S160" s="269">
        <f>W160+Y160+AA160+AC160</f>
        <v>0</v>
      </c>
      <c r="T160" s="269">
        <f>ROUND(S160*I160,2)</f>
        <v>0</v>
      </c>
      <c r="U160" s="269">
        <f>H160-S160</f>
        <v>360</v>
      </c>
      <c r="V160" s="269">
        <f>ROUND(U160*I160,2)</f>
        <v>25544.73</v>
      </c>
      <c r="W160" s="269"/>
      <c r="X160" s="269"/>
      <c r="Y160" s="269"/>
      <c r="Z160" s="269"/>
      <c r="AA160" s="269"/>
      <c r="AB160" s="269"/>
      <c r="AC160" s="269"/>
      <c r="AD160" s="269"/>
      <c r="BD160" s="132" t="s">
        <v>1</v>
      </c>
      <c r="BE160" s="133" t="s">
        <v>40</v>
      </c>
      <c r="BG160" s="134">
        <f>BF160*H160</f>
        <v>0</v>
      </c>
      <c r="BH160" s="134">
        <v>3.0000000000000001E-5</v>
      </c>
      <c r="BI160" s="134">
        <f>BH160*H160</f>
        <v>1.0800000000000001E-2</v>
      </c>
      <c r="BJ160" s="134">
        <v>0</v>
      </c>
      <c r="BK160" s="135">
        <f>BJ160*H160</f>
        <v>0</v>
      </c>
      <c r="CI160" s="136" t="s">
        <v>95</v>
      </c>
      <c r="CK160" s="136" t="s">
        <v>284</v>
      </c>
      <c r="CL160" s="136" t="s">
        <v>83</v>
      </c>
      <c r="CP160" s="16" t="s">
        <v>282</v>
      </c>
      <c r="CV160" s="137">
        <f>IF(BE160="základní",J160,0)</f>
        <v>25544.73</v>
      </c>
      <c r="CW160" s="137">
        <f>IF(BE160="snížená",J160,0)</f>
        <v>0</v>
      </c>
      <c r="CX160" s="137">
        <f>IF(BE160="zákl. přenesená",J160,0)</f>
        <v>0</v>
      </c>
      <c r="CY160" s="137">
        <f>IF(BE160="sníž. přenesená",J160,0)</f>
        <v>0</v>
      </c>
      <c r="CZ160" s="137">
        <f>IF(BE160="nulová",J160,0)</f>
        <v>0</v>
      </c>
      <c r="DA160" s="16" t="s">
        <v>81</v>
      </c>
      <c r="DB160" s="137">
        <f>ROUND(I160*H160,2)</f>
        <v>25544.73</v>
      </c>
      <c r="DC160" s="16" t="s">
        <v>95</v>
      </c>
      <c r="DD160" s="136" t="s">
        <v>332</v>
      </c>
    </row>
    <row r="161" spans="2:108" s="1" customFormat="1" ht="19.5" x14ac:dyDescent="0.2">
      <c r="B161" s="31"/>
      <c r="D161" s="138" t="s">
        <v>289</v>
      </c>
      <c r="F161" s="139" t="s">
        <v>333</v>
      </c>
      <c r="I161" s="140"/>
      <c r="L161" s="31"/>
      <c r="N161" s="213"/>
      <c r="O161" s="214"/>
      <c r="Q161" s="229"/>
      <c r="BD161" s="141"/>
      <c r="BK161" s="50"/>
      <c r="CK161" s="16" t="s">
        <v>289</v>
      </c>
      <c r="CL161" s="16" t="s">
        <v>83</v>
      </c>
    </row>
    <row r="162" spans="2:108" s="12" customFormat="1" x14ac:dyDescent="0.2">
      <c r="B162" s="149"/>
      <c r="D162" s="138" t="s">
        <v>301</v>
      </c>
      <c r="E162" s="150" t="s">
        <v>1</v>
      </c>
      <c r="F162" s="151" t="s">
        <v>847</v>
      </c>
      <c r="H162" s="152">
        <v>360</v>
      </c>
      <c r="I162" s="153"/>
      <c r="L162" s="149"/>
      <c r="N162" s="217"/>
      <c r="O162" s="218"/>
      <c r="Q162" s="231"/>
      <c r="BD162" s="154"/>
      <c r="BK162" s="155"/>
      <c r="CK162" s="150" t="s">
        <v>301</v>
      </c>
      <c r="CL162" s="150" t="s">
        <v>83</v>
      </c>
      <c r="CM162" s="12" t="s">
        <v>83</v>
      </c>
      <c r="CN162" s="12" t="s">
        <v>32</v>
      </c>
      <c r="CO162" s="12" t="s">
        <v>81</v>
      </c>
      <c r="CP162" s="150" t="s">
        <v>282</v>
      </c>
    </row>
    <row r="163" spans="2:108" s="1" customFormat="1" ht="24.2" customHeight="1" x14ac:dyDescent="0.2">
      <c r="B163" s="124"/>
      <c r="C163" s="125" t="s">
        <v>335</v>
      </c>
      <c r="D163" s="125" t="s">
        <v>284</v>
      </c>
      <c r="E163" s="126" t="s">
        <v>336</v>
      </c>
      <c r="F163" s="127" t="s">
        <v>337</v>
      </c>
      <c r="G163" s="128" t="s">
        <v>338</v>
      </c>
      <c r="H163" s="129">
        <v>45</v>
      </c>
      <c r="I163" s="130">
        <v>41.621835247115101</v>
      </c>
      <c r="J163" s="131">
        <f>ROUND(I163*H163,2)</f>
        <v>1872.98</v>
      </c>
      <c r="K163" s="127" t="s">
        <v>293</v>
      </c>
      <c r="L163" s="268">
        <f>S163</f>
        <v>0</v>
      </c>
      <c r="M163" s="272">
        <f>ROUND(L163*I163,2)</f>
        <v>0</v>
      </c>
      <c r="N163" s="243"/>
      <c r="O163" s="294">
        <f>ROUND(N163*I163,2)</f>
        <v>0</v>
      </c>
      <c r="P163" s="273">
        <f>H163-L163-N163</f>
        <v>45</v>
      </c>
      <c r="Q163" s="287">
        <f>ROUND(P163*I163,2)</f>
        <v>1872.98</v>
      </c>
      <c r="R163" s="137"/>
      <c r="S163" s="269">
        <f>W163+Y163+AA163+AC163</f>
        <v>0</v>
      </c>
      <c r="T163" s="269">
        <f>ROUND(S163*I163,2)</f>
        <v>0</v>
      </c>
      <c r="U163" s="269">
        <f>H163-S163</f>
        <v>45</v>
      </c>
      <c r="V163" s="269">
        <f>ROUND(U163*I163,2)</f>
        <v>1872.98</v>
      </c>
      <c r="W163" s="269"/>
      <c r="X163" s="269"/>
      <c r="Y163" s="269"/>
      <c r="Z163" s="269"/>
      <c r="AA163" s="269"/>
      <c r="AB163" s="269"/>
      <c r="AC163" s="269"/>
      <c r="AD163" s="269"/>
      <c r="BD163" s="132" t="s">
        <v>1</v>
      </c>
      <c r="BE163" s="133" t="s">
        <v>40</v>
      </c>
      <c r="BG163" s="134">
        <f>BF163*H163</f>
        <v>0</v>
      </c>
      <c r="BH163" s="134">
        <v>0</v>
      </c>
      <c r="BI163" s="134">
        <f>BH163*H163</f>
        <v>0</v>
      </c>
      <c r="BJ163" s="134">
        <v>0</v>
      </c>
      <c r="BK163" s="135">
        <f>BJ163*H163</f>
        <v>0</v>
      </c>
      <c r="CI163" s="136" t="s">
        <v>95</v>
      </c>
      <c r="CK163" s="136" t="s">
        <v>284</v>
      </c>
      <c r="CL163" s="136" t="s">
        <v>83</v>
      </c>
      <c r="CP163" s="16" t="s">
        <v>282</v>
      </c>
      <c r="CV163" s="137">
        <f>IF(BE163="základní",J163,0)</f>
        <v>1872.98</v>
      </c>
      <c r="CW163" s="137">
        <f>IF(BE163="snížená",J163,0)</f>
        <v>0</v>
      </c>
      <c r="CX163" s="137">
        <f>IF(BE163="zákl. přenesená",J163,0)</f>
        <v>0</v>
      </c>
      <c r="CY163" s="137">
        <f>IF(BE163="sníž. přenesená",J163,0)</f>
        <v>0</v>
      </c>
      <c r="CZ163" s="137">
        <f>IF(BE163="nulová",J163,0)</f>
        <v>0</v>
      </c>
      <c r="DA163" s="16" t="s">
        <v>81</v>
      </c>
      <c r="DB163" s="137">
        <f>ROUND(I163*H163,2)</f>
        <v>1872.98</v>
      </c>
      <c r="DC163" s="16" t="s">
        <v>95</v>
      </c>
      <c r="DD163" s="136" t="s">
        <v>339</v>
      </c>
    </row>
    <row r="164" spans="2:108" s="1" customFormat="1" ht="19.5" x14ac:dyDescent="0.2">
      <c r="B164" s="31"/>
      <c r="D164" s="138" t="s">
        <v>289</v>
      </c>
      <c r="F164" s="139" t="s">
        <v>340</v>
      </c>
      <c r="I164" s="140"/>
      <c r="L164" s="31"/>
      <c r="N164" s="213"/>
      <c r="O164" s="214"/>
      <c r="Q164" s="229"/>
      <c r="BD164" s="141"/>
      <c r="BK164" s="50"/>
      <c r="CK164" s="16" t="s">
        <v>289</v>
      </c>
      <c r="CL164" s="16" t="s">
        <v>83</v>
      </c>
    </row>
    <row r="165" spans="2:108" s="1" customFormat="1" ht="14.45" customHeight="1" x14ac:dyDescent="0.2">
      <c r="B165" s="124"/>
      <c r="C165" s="125" t="s">
        <v>341</v>
      </c>
      <c r="D165" s="125" t="s">
        <v>284</v>
      </c>
      <c r="E165" s="126" t="s">
        <v>342</v>
      </c>
      <c r="F165" s="127" t="s">
        <v>343</v>
      </c>
      <c r="G165" s="128" t="s">
        <v>344</v>
      </c>
      <c r="H165" s="129">
        <v>4.5</v>
      </c>
      <c r="I165" s="130">
        <v>235.02024596209694</v>
      </c>
      <c r="J165" s="131">
        <f>ROUND(I165*H165,2)</f>
        <v>1057.5899999999999</v>
      </c>
      <c r="K165" s="127" t="s">
        <v>293</v>
      </c>
      <c r="L165" s="268">
        <f>S165</f>
        <v>0</v>
      </c>
      <c r="M165" s="272">
        <f>ROUND(L165*I165,2)</f>
        <v>0</v>
      </c>
      <c r="N165" s="243"/>
      <c r="O165" s="294">
        <f>ROUND(N165*I165,2)</f>
        <v>0</v>
      </c>
      <c r="P165" s="273">
        <f>H165-L165-N165</f>
        <v>4.5</v>
      </c>
      <c r="Q165" s="287">
        <f>ROUND(P165*I165,2)</f>
        <v>1057.5899999999999</v>
      </c>
      <c r="R165" s="137"/>
      <c r="S165" s="269">
        <f>W165+Y165+AA165+AC165</f>
        <v>0</v>
      </c>
      <c r="T165" s="269">
        <f>ROUND(S165*I165,2)</f>
        <v>0</v>
      </c>
      <c r="U165" s="269">
        <f>H165-S165</f>
        <v>4.5</v>
      </c>
      <c r="V165" s="269">
        <f>ROUND(U165*I165,2)</f>
        <v>1057.5899999999999</v>
      </c>
      <c r="W165" s="269"/>
      <c r="X165" s="269"/>
      <c r="Y165" s="269"/>
      <c r="Z165" s="269"/>
      <c r="AA165" s="269"/>
      <c r="AB165" s="269"/>
      <c r="AC165" s="269"/>
      <c r="AD165" s="269"/>
      <c r="BD165" s="132" t="s">
        <v>1</v>
      </c>
      <c r="BE165" s="133" t="s">
        <v>40</v>
      </c>
      <c r="BG165" s="134">
        <f>BF165*H165</f>
        <v>0</v>
      </c>
      <c r="BH165" s="134">
        <v>3.6900000000000002E-2</v>
      </c>
      <c r="BI165" s="134">
        <f>BH165*H165</f>
        <v>0.16605</v>
      </c>
      <c r="BJ165" s="134">
        <v>0</v>
      </c>
      <c r="BK165" s="135">
        <f>BJ165*H165</f>
        <v>0</v>
      </c>
      <c r="CI165" s="136" t="s">
        <v>95</v>
      </c>
      <c r="CK165" s="136" t="s">
        <v>284</v>
      </c>
      <c r="CL165" s="136" t="s">
        <v>83</v>
      </c>
      <c r="CP165" s="16" t="s">
        <v>282</v>
      </c>
      <c r="CV165" s="137">
        <f>IF(BE165="základní",J165,0)</f>
        <v>1057.5899999999999</v>
      </c>
      <c r="CW165" s="137">
        <f>IF(BE165="snížená",J165,0)</f>
        <v>0</v>
      </c>
      <c r="CX165" s="137">
        <f>IF(BE165="zákl. přenesená",J165,0)</f>
        <v>0</v>
      </c>
      <c r="CY165" s="137">
        <f>IF(BE165="sníž. přenesená",J165,0)</f>
        <v>0</v>
      </c>
      <c r="CZ165" s="137">
        <f>IF(BE165="nulová",J165,0)</f>
        <v>0</v>
      </c>
      <c r="DA165" s="16" t="s">
        <v>81</v>
      </c>
      <c r="DB165" s="137">
        <f>ROUND(I165*H165,2)</f>
        <v>1057.5899999999999</v>
      </c>
      <c r="DC165" s="16" t="s">
        <v>95</v>
      </c>
      <c r="DD165" s="136" t="s">
        <v>2292</v>
      </c>
    </row>
    <row r="166" spans="2:108" s="1" customFormat="1" ht="58.5" x14ac:dyDescent="0.2">
      <c r="B166" s="31"/>
      <c r="D166" s="138" t="s">
        <v>289</v>
      </c>
      <c r="F166" s="139" t="s">
        <v>346</v>
      </c>
      <c r="I166" s="140"/>
      <c r="L166" s="31"/>
      <c r="N166" s="213"/>
      <c r="O166" s="214"/>
      <c r="Q166" s="229"/>
      <c r="BD166" s="141"/>
      <c r="BK166" s="50"/>
      <c r="CK166" s="16" t="s">
        <v>289</v>
      </c>
      <c r="CL166" s="16" t="s">
        <v>83</v>
      </c>
    </row>
    <row r="167" spans="2:108" s="1" customFormat="1" ht="29.25" x14ac:dyDescent="0.2">
      <c r="B167" s="31"/>
      <c r="D167" s="138" t="s">
        <v>299</v>
      </c>
      <c r="F167" s="142" t="s">
        <v>2291</v>
      </c>
      <c r="I167" s="140"/>
      <c r="L167" s="31"/>
      <c r="N167" s="213"/>
      <c r="O167" s="214"/>
      <c r="Q167" s="229"/>
      <c r="BD167" s="141"/>
      <c r="BK167" s="50"/>
      <c r="CK167" s="16" t="s">
        <v>299</v>
      </c>
      <c r="CL167" s="16" t="s">
        <v>83</v>
      </c>
    </row>
    <row r="168" spans="2:108" s="12" customFormat="1" x14ac:dyDescent="0.2">
      <c r="B168" s="149"/>
      <c r="D168" s="138" t="s">
        <v>301</v>
      </c>
      <c r="E168" s="150" t="s">
        <v>1</v>
      </c>
      <c r="F168" s="151" t="s">
        <v>2398</v>
      </c>
      <c r="H168" s="152">
        <v>4.5</v>
      </c>
      <c r="I168" s="153"/>
      <c r="L168" s="149"/>
      <c r="N168" s="217"/>
      <c r="O168" s="218"/>
      <c r="Q168" s="231"/>
      <c r="BD168" s="154"/>
      <c r="BK168" s="155"/>
      <c r="CK168" s="150" t="s">
        <v>301</v>
      </c>
      <c r="CL168" s="150" t="s">
        <v>83</v>
      </c>
      <c r="CM168" s="12" t="s">
        <v>83</v>
      </c>
      <c r="CN168" s="12" t="s">
        <v>32</v>
      </c>
      <c r="CO168" s="12" t="s">
        <v>81</v>
      </c>
      <c r="CP168" s="150" t="s">
        <v>282</v>
      </c>
    </row>
    <row r="169" spans="2:108" s="1" customFormat="1" ht="24.2" customHeight="1" x14ac:dyDescent="0.2">
      <c r="B169" s="124"/>
      <c r="C169" s="125" t="s">
        <v>348</v>
      </c>
      <c r="D169" s="125" t="s">
        <v>284</v>
      </c>
      <c r="E169" s="126" t="s">
        <v>349</v>
      </c>
      <c r="F169" s="127" t="s">
        <v>350</v>
      </c>
      <c r="G169" s="128" t="s">
        <v>344</v>
      </c>
      <c r="H169" s="129">
        <v>2.7</v>
      </c>
      <c r="I169" s="130">
        <v>225.71950862012659</v>
      </c>
      <c r="J169" s="131">
        <f>ROUND(I169*H169,2)</f>
        <v>609.44000000000005</v>
      </c>
      <c r="K169" s="127" t="s">
        <v>293</v>
      </c>
      <c r="L169" s="268">
        <f>S169</f>
        <v>0</v>
      </c>
      <c r="M169" s="272">
        <f>ROUND(L169*I169,2)</f>
        <v>0</v>
      </c>
      <c r="N169" s="243"/>
      <c r="O169" s="294">
        <f>ROUND(N169*I169,2)</f>
        <v>0</v>
      </c>
      <c r="P169" s="273">
        <f>H169-L169-N169</f>
        <v>2.7</v>
      </c>
      <c r="Q169" s="287">
        <f>ROUND(P169*I169,2)</f>
        <v>609.44000000000005</v>
      </c>
      <c r="R169" s="137"/>
      <c r="S169" s="269">
        <f>W169+Y169+AA169+AC169</f>
        <v>0</v>
      </c>
      <c r="T169" s="269">
        <f>ROUND(S169*I169,2)</f>
        <v>0</v>
      </c>
      <c r="U169" s="269">
        <f>H169-S169</f>
        <v>2.7</v>
      </c>
      <c r="V169" s="269">
        <f>ROUND(U169*I169,2)</f>
        <v>609.44000000000005</v>
      </c>
      <c r="W169" s="269"/>
      <c r="X169" s="269"/>
      <c r="Y169" s="269"/>
      <c r="Z169" s="269"/>
      <c r="AA169" s="269"/>
      <c r="AB169" s="269"/>
      <c r="AC169" s="269"/>
      <c r="AD169" s="269"/>
      <c r="BD169" s="132" t="s">
        <v>1</v>
      </c>
      <c r="BE169" s="133" t="s">
        <v>40</v>
      </c>
      <c r="BG169" s="134">
        <f>BF169*H169</f>
        <v>0</v>
      </c>
      <c r="BH169" s="134">
        <v>3.6900000000000002E-2</v>
      </c>
      <c r="BI169" s="134">
        <f>BH169*H169</f>
        <v>9.963000000000001E-2</v>
      </c>
      <c r="BJ169" s="134">
        <v>0</v>
      </c>
      <c r="BK169" s="135">
        <f>BJ169*H169</f>
        <v>0</v>
      </c>
      <c r="CI169" s="136" t="s">
        <v>95</v>
      </c>
      <c r="CK169" s="136" t="s">
        <v>284</v>
      </c>
      <c r="CL169" s="136" t="s">
        <v>83</v>
      </c>
      <c r="CP169" s="16" t="s">
        <v>282</v>
      </c>
      <c r="CV169" s="137">
        <f>IF(BE169="základní",J169,0)</f>
        <v>609.44000000000005</v>
      </c>
      <c r="CW169" s="137">
        <f>IF(BE169="snížená",J169,0)</f>
        <v>0</v>
      </c>
      <c r="CX169" s="137">
        <f>IF(BE169="zákl. přenesená",J169,0)</f>
        <v>0</v>
      </c>
      <c r="CY169" s="137">
        <f>IF(BE169="sníž. přenesená",J169,0)</f>
        <v>0</v>
      </c>
      <c r="CZ169" s="137">
        <f>IF(BE169="nulová",J169,0)</f>
        <v>0</v>
      </c>
      <c r="DA169" s="16" t="s">
        <v>81</v>
      </c>
      <c r="DB169" s="137">
        <f>ROUND(I169*H169,2)</f>
        <v>609.44000000000005</v>
      </c>
      <c r="DC169" s="16" t="s">
        <v>95</v>
      </c>
      <c r="DD169" s="136" t="s">
        <v>2294</v>
      </c>
    </row>
    <row r="170" spans="2:108" s="1" customFormat="1" ht="58.5" x14ac:dyDescent="0.2">
      <c r="B170" s="31"/>
      <c r="D170" s="138" t="s">
        <v>289</v>
      </c>
      <c r="F170" s="139" t="s">
        <v>352</v>
      </c>
      <c r="I170" s="140"/>
      <c r="L170" s="31"/>
      <c r="N170" s="213"/>
      <c r="O170" s="214"/>
      <c r="Q170" s="229"/>
      <c r="BD170" s="141"/>
      <c r="BK170" s="50"/>
      <c r="CK170" s="16" t="s">
        <v>289</v>
      </c>
      <c r="CL170" s="16" t="s">
        <v>83</v>
      </c>
    </row>
    <row r="171" spans="2:108" s="1" customFormat="1" ht="29.25" x14ac:dyDescent="0.2">
      <c r="B171" s="31"/>
      <c r="D171" s="138" t="s">
        <v>299</v>
      </c>
      <c r="F171" s="142" t="s">
        <v>2291</v>
      </c>
      <c r="I171" s="140"/>
      <c r="L171" s="31"/>
      <c r="N171" s="213"/>
      <c r="O171" s="214"/>
      <c r="Q171" s="229"/>
      <c r="BD171" s="141"/>
      <c r="BK171" s="50"/>
      <c r="CK171" s="16" t="s">
        <v>299</v>
      </c>
      <c r="CL171" s="16" t="s">
        <v>83</v>
      </c>
    </row>
    <row r="172" spans="2:108" s="12" customFormat="1" x14ac:dyDescent="0.2">
      <c r="B172" s="149"/>
      <c r="D172" s="138" t="s">
        <v>301</v>
      </c>
      <c r="E172" s="150" t="s">
        <v>1</v>
      </c>
      <c r="F172" s="151" t="s">
        <v>2295</v>
      </c>
      <c r="H172" s="152">
        <v>2.7</v>
      </c>
      <c r="I172" s="153"/>
      <c r="L172" s="149"/>
      <c r="N172" s="217"/>
      <c r="O172" s="218"/>
      <c r="Q172" s="231"/>
      <c r="BD172" s="154"/>
      <c r="BK172" s="155"/>
      <c r="CK172" s="150" t="s">
        <v>301</v>
      </c>
      <c r="CL172" s="150" t="s">
        <v>83</v>
      </c>
      <c r="CM172" s="12" t="s">
        <v>83</v>
      </c>
      <c r="CN172" s="12" t="s">
        <v>32</v>
      </c>
      <c r="CO172" s="12" t="s">
        <v>81</v>
      </c>
      <c r="CP172" s="150" t="s">
        <v>282</v>
      </c>
    </row>
    <row r="173" spans="2:108" s="1" customFormat="1" ht="24.2" customHeight="1" x14ac:dyDescent="0.2">
      <c r="B173" s="124"/>
      <c r="C173" s="125" t="s">
        <v>327</v>
      </c>
      <c r="D173" s="125" t="s">
        <v>284</v>
      </c>
      <c r="E173" s="126" t="s">
        <v>364</v>
      </c>
      <c r="F173" s="127" t="s">
        <v>365</v>
      </c>
      <c r="G173" s="128" t="s">
        <v>366</v>
      </c>
      <c r="H173" s="129">
        <v>167.583</v>
      </c>
      <c r="I173" s="130">
        <v>285.201942457955</v>
      </c>
      <c r="J173" s="131">
        <f>ROUND(I173*H173,2)</f>
        <v>47795</v>
      </c>
      <c r="K173" s="127" t="s">
        <v>293</v>
      </c>
      <c r="L173" s="268">
        <f>S173</f>
        <v>0</v>
      </c>
      <c r="M173" s="272">
        <f>ROUND(L173*I173,2)</f>
        <v>0</v>
      </c>
      <c r="N173" s="243">
        <f>N181</f>
        <v>1.4619750000000238</v>
      </c>
      <c r="O173" s="294">
        <f>ROUND(N173*I173,2)</f>
        <v>416.96</v>
      </c>
      <c r="P173" s="273">
        <f>H173-L173-N173</f>
        <v>166.12102499999997</v>
      </c>
      <c r="Q173" s="287">
        <f>ROUND(P173*I173,2)</f>
        <v>47378.04</v>
      </c>
      <c r="R173" s="137"/>
      <c r="S173" s="269">
        <f>W173+Y173+AA173+AC173</f>
        <v>0</v>
      </c>
      <c r="T173" s="269">
        <f>ROUND(S173*I173,2)</f>
        <v>0</v>
      </c>
      <c r="U173" s="269">
        <f>H173-S173</f>
        <v>167.583</v>
      </c>
      <c r="V173" s="269">
        <f>ROUND(U173*I173,2)</f>
        <v>47795</v>
      </c>
      <c r="W173" s="269"/>
      <c r="X173" s="269"/>
      <c r="Y173" s="269"/>
      <c r="Z173" s="269"/>
      <c r="AA173" s="269"/>
      <c r="AB173" s="269"/>
      <c r="AC173" s="269"/>
      <c r="AD173" s="269"/>
      <c r="BD173" s="132" t="s">
        <v>1</v>
      </c>
      <c r="BE173" s="133" t="s">
        <v>40</v>
      </c>
      <c r="BG173" s="134">
        <f>BF173*H173</f>
        <v>0</v>
      </c>
      <c r="BH173" s="134">
        <v>0</v>
      </c>
      <c r="BI173" s="134">
        <f>BH173*H173</f>
        <v>0</v>
      </c>
      <c r="BJ173" s="134">
        <v>0</v>
      </c>
      <c r="BK173" s="135">
        <f>BJ173*H173</f>
        <v>0</v>
      </c>
      <c r="CI173" s="136" t="s">
        <v>95</v>
      </c>
      <c r="CK173" s="136" t="s">
        <v>284</v>
      </c>
      <c r="CL173" s="136" t="s">
        <v>83</v>
      </c>
      <c r="CP173" s="16" t="s">
        <v>282</v>
      </c>
      <c r="CV173" s="137">
        <f>IF(BE173="základní",J173,0)</f>
        <v>47795</v>
      </c>
      <c r="CW173" s="137">
        <f>IF(BE173="snížená",J173,0)</f>
        <v>0</v>
      </c>
      <c r="CX173" s="137">
        <f>IF(BE173="zákl. přenesená",J173,0)</f>
        <v>0</v>
      </c>
      <c r="CY173" s="137">
        <f>IF(BE173="sníž. přenesená",J173,0)</f>
        <v>0</v>
      </c>
      <c r="CZ173" s="137">
        <f>IF(BE173="nulová",J173,0)</f>
        <v>0</v>
      </c>
      <c r="DA173" s="16" t="s">
        <v>81</v>
      </c>
      <c r="DB173" s="137">
        <f>ROUND(I173*H173,2)</f>
        <v>47795</v>
      </c>
      <c r="DC173" s="16" t="s">
        <v>95</v>
      </c>
      <c r="DD173" s="136" t="s">
        <v>367</v>
      </c>
    </row>
    <row r="174" spans="2:108" s="1" customFormat="1" ht="39" x14ac:dyDescent="0.2">
      <c r="B174" s="31"/>
      <c r="D174" s="138" t="s">
        <v>289</v>
      </c>
      <c r="F174" s="139" t="s">
        <v>368</v>
      </c>
      <c r="I174" s="140"/>
      <c r="L174" s="31"/>
      <c r="N174" s="213"/>
      <c r="O174" s="214"/>
      <c r="Q174" s="229"/>
      <c r="BD174" s="141"/>
      <c r="BK174" s="50"/>
      <c r="CK174" s="16" t="s">
        <v>289</v>
      </c>
      <c r="CL174" s="16" t="s">
        <v>83</v>
      </c>
    </row>
    <row r="175" spans="2:108" s="1" customFormat="1" ht="39" x14ac:dyDescent="0.2">
      <c r="B175" s="31"/>
      <c r="D175" s="138" t="s">
        <v>299</v>
      </c>
      <c r="F175" s="142" t="s">
        <v>2399</v>
      </c>
      <c r="I175" s="140"/>
      <c r="L175" s="31"/>
      <c r="N175" s="213"/>
      <c r="O175" s="214"/>
      <c r="Q175" s="229"/>
      <c r="BD175" s="141"/>
      <c r="BK175" s="50"/>
      <c r="CK175" s="16" t="s">
        <v>299</v>
      </c>
      <c r="CL175" s="16" t="s">
        <v>83</v>
      </c>
    </row>
    <row r="176" spans="2:108" s="11" customFormat="1" ht="22.5" x14ac:dyDescent="0.2">
      <c r="B176" s="143"/>
      <c r="D176" s="138" t="s">
        <v>301</v>
      </c>
      <c r="E176" s="144" t="s">
        <v>1</v>
      </c>
      <c r="F176" s="145" t="s">
        <v>370</v>
      </c>
      <c r="H176" s="144" t="s">
        <v>1</v>
      </c>
      <c r="I176" s="146"/>
      <c r="L176" s="143"/>
      <c r="N176" s="215"/>
      <c r="O176" s="216"/>
      <c r="Q176" s="230"/>
      <c r="BD176" s="147"/>
      <c r="BK176" s="148"/>
      <c r="CK176" s="144" t="s">
        <v>301</v>
      </c>
      <c r="CL176" s="144" t="s">
        <v>83</v>
      </c>
      <c r="CM176" s="11" t="s">
        <v>81</v>
      </c>
      <c r="CN176" s="11" t="s">
        <v>32</v>
      </c>
      <c r="CO176" s="11" t="s">
        <v>74</v>
      </c>
      <c r="CP176" s="144" t="s">
        <v>282</v>
      </c>
    </row>
    <row r="177" spans="2:108" s="12" customFormat="1" x14ac:dyDescent="0.2">
      <c r="B177" s="149"/>
      <c r="D177" s="138" t="s">
        <v>301</v>
      </c>
      <c r="E177" s="150" t="s">
        <v>1</v>
      </c>
      <c r="F177" s="151" t="s">
        <v>2400</v>
      </c>
      <c r="H177" s="152">
        <v>64.894999999999996</v>
      </c>
      <c r="I177" s="153"/>
      <c r="L177" s="149"/>
      <c r="N177" s="217">
        <f>32.27*0.9*(2.1-0.45)</f>
        <v>47.920950000000012</v>
      </c>
      <c r="O177" s="218" t="s">
        <v>3563</v>
      </c>
      <c r="Q177" s="231"/>
      <c r="BD177" s="154"/>
      <c r="BK177" s="155"/>
      <c r="CK177" s="150" t="s">
        <v>301</v>
      </c>
      <c r="CL177" s="150" t="s">
        <v>83</v>
      </c>
      <c r="CM177" s="12" t="s">
        <v>83</v>
      </c>
      <c r="CN177" s="12" t="s">
        <v>32</v>
      </c>
      <c r="CO177" s="12" t="s">
        <v>74</v>
      </c>
      <c r="CP177" s="150" t="s">
        <v>282</v>
      </c>
    </row>
    <row r="178" spans="2:108" s="12" customFormat="1" x14ac:dyDescent="0.2">
      <c r="B178" s="149"/>
      <c r="D178" s="138" t="s">
        <v>301</v>
      </c>
      <c r="E178" s="150" t="s">
        <v>1</v>
      </c>
      <c r="F178" s="151" t="s">
        <v>2401</v>
      </c>
      <c r="H178" s="152">
        <v>270.27</v>
      </c>
      <c r="I178" s="153"/>
      <c r="L178" s="149"/>
      <c r="N178" s="217">
        <f>195.4*0.9*(2.1-0.45)</f>
        <v>290.16900000000004</v>
      </c>
      <c r="O178" s="218" t="s">
        <v>3564</v>
      </c>
      <c r="Q178" s="231"/>
      <c r="BD178" s="154"/>
      <c r="BK178" s="155"/>
      <c r="CK178" s="150" t="s">
        <v>301</v>
      </c>
      <c r="CL178" s="150" t="s">
        <v>83</v>
      </c>
      <c r="CM178" s="12" t="s">
        <v>83</v>
      </c>
      <c r="CN178" s="12" t="s">
        <v>32</v>
      </c>
      <c r="CO178" s="12" t="s">
        <v>74</v>
      </c>
      <c r="CP178" s="150" t="s">
        <v>282</v>
      </c>
    </row>
    <row r="179" spans="2:108" s="14" customFormat="1" x14ac:dyDescent="0.2">
      <c r="B179" s="163"/>
      <c r="D179" s="138" t="s">
        <v>301</v>
      </c>
      <c r="E179" s="164" t="s">
        <v>1</v>
      </c>
      <c r="F179" s="165" t="s">
        <v>373</v>
      </c>
      <c r="H179" s="166">
        <v>335.16499999999996</v>
      </c>
      <c r="I179" s="167"/>
      <c r="L179" s="163"/>
      <c r="N179" s="221">
        <f>N177+N178</f>
        <v>338.08995000000004</v>
      </c>
      <c r="O179" s="222"/>
      <c r="Q179" s="233"/>
      <c r="BD179" s="168"/>
      <c r="BK179" s="169"/>
      <c r="CK179" s="164" t="s">
        <v>301</v>
      </c>
      <c r="CL179" s="164" t="s">
        <v>83</v>
      </c>
      <c r="CM179" s="14" t="s">
        <v>90</v>
      </c>
      <c r="CN179" s="14" t="s">
        <v>32</v>
      </c>
      <c r="CO179" s="14" t="s">
        <v>74</v>
      </c>
      <c r="CP179" s="164" t="s">
        <v>282</v>
      </c>
    </row>
    <row r="180" spans="2:108" s="12" customFormat="1" x14ac:dyDescent="0.2">
      <c r="B180" s="149"/>
      <c r="D180" s="138" t="s">
        <v>301</v>
      </c>
      <c r="E180" s="150" t="s">
        <v>1</v>
      </c>
      <c r="F180" s="151" t="s">
        <v>2402</v>
      </c>
      <c r="H180" s="152">
        <v>167.583</v>
      </c>
      <c r="I180" s="153"/>
      <c r="L180" s="149"/>
      <c r="N180" s="217">
        <f>N179*0.5</f>
        <v>169.04497500000002</v>
      </c>
      <c r="O180" s="218"/>
      <c r="Q180" s="231"/>
      <c r="BD180" s="154"/>
      <c r="BK180" s="155"/>
      <c r="CK180" s="150" t="s">
        <v>301</v>
      </c>
      <c r="CL180" s="150" t="s">
        <v>83</v>
      </c>
      <c r="CM180" s="12" t="s">
        <v>83</v>
      </c>
      <c r="CN180" s="12" t="s">
        <v>32</v>
      </c>
      <c r="CO180" s="12" t="s">
        <v>81</v>
      </c>
      <c r="CP180" s="150" t="s">
        <v>282</v>
      </c>
    </row>
    <row r="181" spans="2:108" s="12" customFormat="1" x14ac:dyDescent="0.2">
      <c r="B181" s="149"/>
      <c r="D181" s="138"/>
      <c r="E181" s="150"/>
      <c r="F181" s="151"/>
      <c r="H181" s="152"/>
      <c r="I181" s="153"/>
      <c r="L181" s="149"/>
      <c r="N181" s="310">
        <f>N180-H180</f>
        <v>1.4619750000000238</v>
      </c>
      <c r="O181" s="218"/>
      <c r="Q181" s="231"/>
      <c r="BD181" s="154"/>
      <c r="BK181" s="155"/>
      <c r="CK181" s="150"/>
      <c r="CL181" s="150"/>
      <c r="CP181" s="150"/>
    </row>
    <row r="182" spans="2:108" s="1" customFormat="1" ht="24.2" customHeight="1" x14ac:dyDescent="0.2">
      <c r="B182" s="124"/>
      <c r="C182" s="125" t="s">
        <v>359</v>
      </c>
      <c r="D182" s="125" t="s">
        <v>284</v>
      </c>
      <c r="E182" s="126" t="s">
        <v>375</v>
      </c>
      <c r="F182" s="127" t="s">
        <v>376</v>
      </c>
      <c r="G182" s="128" t="s">
        <v>366</v>
      </c>
      <c r="H182" s="129">
        <v>167.583</v>
      </c>
      <c r="I182" s="130">
        <v>390.55963566140201</v>
      </c>
      <c r="J182" s="131">
        <f>ROUND(I182*H182,2)</f>
        <v>65451.16</v>
      </c>
      <c r="K182" s="127" t="s">
        <v>293</v>
      </c>
      <c r="L182" s="268">
        <f>S182</f>
        <v>0</v>
      </c>
      <c r="M182" s="272">
        <f>ROUND(L182*I182,2)</f>
        <v>0</v>
      </c>
      <c r="N182" s="243">
        <f>N173</f>
        <v>1.4619750000000238</v>
      </c>
      <c r="O182" s="294">
        <f>ROUND(N182*I182,2)</f>
        <v>570.99</v>
      </c>
      <c r="P182" s="273">
        <f>H182-L182-N182</f>
        <v>166.12102499999997</v>
      </c>
      <c r="Q182" s="287">
        <f>ROUND(P182*I182,2)</f>
        <v>64880.17</v>
      </c>
      <c r="R182" s="137"/>
      <c r="S182" s="269">
        <f>W182+Y182+AA182+AC182</f>
        <v>0</v>
      </c>
      <c r="T182" s="269">
        <f>ROUND(S182*I182,2)</f>
        <v>0</v>
      </c>
      <c r="U182" s="269">
        <f>H182-S182</f>
        <v>167.583</v>
      </c>
      <c r="V182" s="269">
        <f>ROUND(U182*I182,2)</f>
        <v>65451.16</v>
      </c>
      <c r="W182" s="269"/>
      <c r="X182" s="269"/>
      <c r="Y182" s="269"/>
      <c r="Z182" s="269"/>
      <c r="AA182" s="269"/>
      <c r="AB182" s="269"/>
      <c r="AC182" s="269"/>
      <c r="AD182" s="269"/>
      <c r="BD182" s="132" t="s">
        <v>1</v>
      </c>
      <c r="BE182" s="133" t="s">
        <v>40</v>
      </c>
      <c r="BG182" s="134">
        <f>BF182*H182</f>
        <v>0</v>
      </c>
      <c r="BH182" s="134">
        <v>0</v>
      </c>
      <c r="BI182" s="134">
        <f>BH182*H182</f>
        <v>0</v>
      </c>
      <c r="BJ182" s="134">
        <v>0</v>
      </c>
      <c r="BK182" s="135">
        <f>BJ182*H182</f>
        <v>0</v>
      </c>
      <c r="CI182" s="136" t="s">
        <v>95</v>
      </c>
      <c r="CK182" s="136" t="s">
        <v>284</v>
      </c>
      <c r="CL182" s="136" t="s">
        <v>83</v>
      </c>
      <c r="CP182" s="16" t="s">
        <v>282</v>
      </c>
      <c r="CV182" s="137">
        <f>IF(BE182="základní",J182,0)</f>
        <v>65451.16</v>
      </c>
      <c r="CW182" s="137">
        <f>IF(BE182="snížená",J182,0)</f>
        <v>0</v>
      </c>
      <c r="CX182" s="137">
        <f>IF(BE182="zákl. přenesená",J182,0)</f>
        <v>0</v>
      </c>
      <c r="CY182" s="137">
        <f>IF(BE182="sníž. přenesená",J182,0)</f>
        <v>0</v>
      </c>
      <c r="CZ182" s="137">
        <f>IF(BE182="nulová",J182,0)</f>
        <v>0</v>
      </c>
      <c r="DA182" s="16" t="s">
        <v>81</v>
      </c>
      <c r="DB182" s="137">
        <f>ROUND(I182*H182,2)</f>
        <v>65451.16</v>
      </c>
      <c r="DC182" s="16" t="s">
        <v>95</v>
      </c>
      <c r="DD182" s="136" t="s">
        <v>377</v>
      </c>
    </row>
    <row r="183" spans="2:108" s="1" customFormat="1" ht="39" x14ac:dyDescent="0.2">
      <c r="B183" s="31"/>
      <c r="D183" s="138" t="s">
        <v>289</v>
      </c>
      <c r="F183" s="139" t="s">
        <v>378</v>
      </c>
      <c r="I183" s="140"/>
      <c r="L183" s="31"/>
      <c r="N183" s="213"/>
      <c r="O183" s="214"/>
      <c r="Q183" s="229"/>
      <c r="BD183" s="141"/>
      <c r="BK183" s="50"/>
      <c r="CK183" s="16" t="s">
        <v>289</v>
      </c>
      <c r="CL183" s="16" t="s">
        <v>83</v>
      </c>
    </row>
    <row r="184" spans="2:108" s="1" customFormat="1" ht="39" x14ac:dyDescent="0.2">
      <c r="B184" s="31"/>
      <c r="D184" s="138" t="s">
        <v>299</v>
      </c>
      <c r="F184" s="142" t="s">
        <v>2399</v>
      </c>
      <c r="I184" s="140"/>
      <c r="L184" s="31"/>
      <c r="N184" s="213"/>
      <c r="O184" s="214"/>
      <c r="Q184" s="229"/>
      <c r="BD184" s="141"/>
      <c r="BK184" s="50"/>
      <c r="CK184" s="16" t="s">
        <v>299</v>
      </c>
      <c r="CL184" s="16" t="s">
        <v>83</v>
      </c>
    </row>
    <row r="185" spans="2:108" s="1" customFormat="1" ht="24.2" customHeight="1" x14ac:dyDescent="0.2">
      <c r="B185" s="124"/>
      <c r="C185" s="125" t="s">
        <v>363</v>
      </c>
      <c r="D185" s="125" t="s">
        <v>284</v>
      </c>
      <c r="E185" s="126" t="s">
        <v>380</v>
      </c>
      <c r="F185" s="127" t="s">
        <v>381</v>
      </c>
      <c r="G185" s="128" t="s">
        <v>366</v>
      </c>
      <c r="H185" s="129">
        <v>67.033000000000001</v>
      </c>
      <c r="I185" s="130">
        <v>650.27058629099099</v>
      </c>
      <c r="J185" s="131">
        <f>ROUND(I185*H185,2)</f>
        <v>43589.59</v>
      </c>
      <c r="K185" s="127" t="s">
        <v>293</v>
      </c>
      <c r="L185" s="268">
        <f>S185</f>
        <v>0</v>
      </c>
      <c r="M185" s="272">
        <f>ROUND(L185*I185,2)</f>
        <v>0</v>
      </c>
      <c r="N185" s="243">
        <f>N189</f>
        <v>0.58499999999999375</v>
      </c>
      <c r="O185" s="294">
        <f>ROUND(N185*I185,2)</f>
        <v>380.41</v>
      </c>
      <c r="P185" s="273">
        <f>H185-L185-N185</f>
        <v>66.448000000000008</v>
      </c>
      <c r="Q185" s="287">
        <f>ROUND(P185*I185,2)</f>
        <v>43209.18</v>
      </c>
      <c r="R185" s="137"/>
      <c r="S185" s="269">
        <f>W185+Y185+AA185+AC185</f>
        <v>0</v>
      </c>
      <c r="T185" s="269">
        <f>ROUND(S185*I185,2)</f>
        <v>0</v>
      </c>
      <c r="U185" s="269">
        <f>H185-S185</f>
        <v>67.033000000000001</v>
      </c>
      <c r="V185" s="269">
        <f>ROUND(U185*I185,2)</f>
        <v>43589.59</v>
      </c>
      <c r="W185" s="269"/>
      <c r="X185" s="269"/>
      <c r="Y185" s="269"/>
      <c r="Z185" s="269"/>
      <c r="AA185" s="269"/>
      <c r="AB185" s="269"/>
      <c r="AC185" s="269"/>
      <c r="AD185" s="269"/>
      <c r="BD185" s="132" t="s">
        <v>1</v>
      </c>
      <c r="BE185" s="133" t="s">
        <v>40</v>
      </c>
      <c r="BG185" s="134">
        <f>BF185*H185</f>
        <v>0</v>
      </c>
      <c r="BH185" s="134">
        <v>0</v>
      </c>
      <c r="BI185" s="134">
        <f>BH185*H185</f>
        <v>0</v>
      </c>
      <c r="BJ185" s="134">
        <v>0</v>
      </c>
      <c r="BK185" s="135">
        <f>BJ185*H185</f>
        <v>0</v>
      </c>
      <c r="CI185" s="136" t="s">
        <v>95</v>
      </c>
      <c r="CK185" s="136" t="s">
        <v>284</v>
      </c>
      <c r="CL185" s="136" t="s">
        <v>83</v>
      </c>
      <c r="CP185" s="16" t="s">
        <v>282</v>
      </c>
      <c r="CV185" s="137">
        <f>IF(BE185="základní",J185,0)</f>
        <v>43589.59</v>
      </c>
      <c r="CW185" s="137">
        <f>IF(BE185="snížená",J185,0)</f>
        <v>0</v>
      </c>
      <c r="CX185" s="137">
        <f>IF(BE185="zákl. přenesená",J185,0)</f>
        <v>0</v>
      </c>
      <c r="CY185" s="137">
        <f>IF(BE185="sníž. přenesená",J185,0)</f>
        <v>0</v>
      </c>
      <c r="CZ185" s="137">
        <f>IF(BE185="nulová",J185,0)</f>
        <v>0</v>
      </c>
      <c r="DA185" s="16" t="s">
        <v>81</v>
      </c>
      <c r="DB185" s="137">
        <f>ROUND(I185*H185,2)</f>
        <v>43589.59</v>
      </c>
      <c r="DC185" s="16" t="s">
        <v>95</v>
      </c>
      <c r="DD185" s="136" t="s">
        <v>382</v>
      </c>
    </row>
    <row r="186" spans="2:108" s="1" customFormat="1" ht="29.25" x14ac:dyDescent="0.2">
      <c r="B186" s="31"/>
      <c r="D186" s="138" t="s">
        <v>289</v>
      </c>
      <c r="F186" s="139" t="s">
        <v>383</v>
      </c>
      <c r="I186" s="140"/>
      <c r="L186" s="31"/>
      <c r="N186" s="213"/>
      <c r="O186" s="214"/>
      <c r="Q186" s="229"/>
      <c r="BD186" s="141"/>
      <c r="BK186" s="50"/>
      <c r="CK186" s="16" t="s">
        <v>289</v>
      </c>
      <c r="CL186" s="16" t="s">
        <v>83</v>
      </c>
    </row>
    <row r="187" spans="2:108" s="11" customFormat="1" x14ac:dyDescent="0.2">
      <c r="B187" s="143"/>
      <c r="D187" s="138" t="s">
        <v>301</v>
      </c>
      <c r="E187" s="144" t="s">
        <v>1</v>
      </c>
      <c r="F187" s="145" t="s">
        <v>384</v>
      </c>
      <c r="H187" s="144" t="s">
        <v>1</v>
      </c>
      <c r="I187" s="146"/>
      <c r="L187" s="143"/>
      <c r="N187" s="215"/>
      <c r="O187" s="216"/>
      <c r="Q187" s="230"/>
      <c r="BD187" s="147"/>
      <c r="BK187" s="148"/>
      <c r="CK187" s="144" t="s">
        <v>301</v>
      </c>
      <c r="CL187" s="144" t="s">
        <v>83</v>
      </c>
      <c r="CM187" s="11" t="s">
        <v>81</v>
      </c>
      <c r="CN187" s="11" t="s">
        <v>32</v>
      </c>
      <c r="CO187" s="11" t="s">
        <v>74</v>
      </c>
      <c r="CP187" s="144" t="s">
        <v>282</v>
      </c>
    </row>
    <row r="188" spans="2:108" s="12" customFormat="1" x14ac:dyDescent="0.2">
      <c r="B188" s="149"/>
      <c r="D188" s="138" t="s">
        <v>301</v>
      </c>
      <c r="E188" s="150" t="s">
        <v>1</v>
      </c>
      <c r="F188" s="151" t="s">
        <v>2403</v>
      </c>
      <c r="H188" s="152">
        <v>67.033000000000001</v>
      </c>
      <c r="I188" s="153"/>
      <c r="L188" s="149"/>
      <c r="N188" s="217">
        <f>(169.045+169.045)*0.2</f>
        <v>67.617999999999995</v>
      </c>
      <c r="O188" s="218" t="s">
        <v>3565</v>
      </c>
      <c r="Q188" s="231"/>
      <c r="BD188" s="154"/>
      <c r="BK188" s="155"/>
      <c r="CK188" s="150" t="s">
        <v>301</v>
      </c>
      <c r="CL188" s="150" t="s">
        <v>83</v>
      </c>
      <c r="CM188" s="12" t="s">
        <v>83</v>
      </c>
      <c r="CN188" s="12" t="s">
        <v>32</v>
      </c>
      <c r="CO188" s="12" t="s">
        <v>81</v>
      </c>
      <c r="CP188" s="150" t="s">
        <v>282</v>
      </c>
    </row>
    <row r="189" spans="2:108" s="12" customFormat="1" x14ac:dyDescent="0.2">
      <c r="B189" s="149"/>
      <c r="D189" s="138"/>
      <c r="E189" s="150"/>
      <c r="F189" s="151"/>
      <c r="H189" s="152"/>
      <c r="I189" s="153"/>
      <c r="L189" s="149"/>
      <c r="N189" s="310">
        <f>N188-H188</f>
        <v>0.58499999999999375</v>
      </c>
      <c r="O189" s="218"/>
      <c r="Q189" s="231"/>
      <c r="BD189" s="154"/>
      <c r="BK189" s="155"/>
      <c r="CK189" s="150"/>
      <c r="CL189" s="150"/>
      <c r="CP189" s="150"/>
    </row>
    <row r="190" spans="2:108" s="1" customFormat="1" ht="14.45" customHeight="1" x14ac:dyDescent="0.2">
      <c r="B190" s="124"/>
      <c r="C190" s="125" t="s">
        <v>8</v>
      </c>
      <c r="D190" s="125" t="s">
        <v>284</v>
      </c>
      <c r="E190" s="126" t="s">
        <v>387</v>
      </c>
      <c r="F190" s="127" t="s">
        <v>388</v>
      </c>
      <c r="G190" s="128" t="s">
        <v>287</v>
      </c>
      <c r="H190" s="129">
        <v>947.94</v>
      </c>
      <c r="I190" s="130">
        <v>156.6895922457376</v>
      </c>
      <c r="J190" s="131">
        <f>ROUND(I190*H190,2)</f>
        <v>148532.32999999999</v>
      </c>
      <c r="K190" s="127" t="s">
        <v>293</v>
      </c>
      <c r="L190" s="268">
        <f>S190</f>
        <v>0</v>
      </c>
      <c r="M190" s="272">
        <f>ROUND(L190*I190,2)</f>
        <v>0</v>
      </c>
      <c r="N190" s="243">
        <f>N194</f>
        <v>8.2739999999998872</v>
      </c>
      <c r="O190" s="294">
        <f>ROUND(N190*I190,2)</f>
        <v>1296.45</v>
      </c>
      <c r="P190" s="273">
        <f>H190-L190-N190</f>
        <v>939.66600000000017</v>
      </c>
      <c r="Q190" s="287">
        <f>ROUND(P190*I190,2)</f>
        <v>147235.88</v>
      </c>
      <c r="R190" s="137"/>
      <c r="S190" s="269">
        <f>W190+Y190+AA190+AC190</f>
        <v>0</v>
      </c>
      <c r="T190" s="269">
        <f>ROUND(S190*I190,2)</f>
        <v>0</v>
      </c>
      <c r="U190" s="269">
        <f>H190-S190</f>
        <v>947.94</v>
      </c>
      <c r="V190" s="269">
        <f>ROUND(U190*I190,2)</f>
        <v>148532.32999999999</v>
      </c>
      <c r="W190" s="269"/>
      <c r="X190" s="269"/>
      <c r="Y190" s="269"/>
      <c r="Z190" s="269"/>
      <c r="AA190" s="269"/>
      <c r="AB190" s="269"/>
      <c r="AC190" s="269"/>
      <c r="AD190" s="269"/>
      <c r="BD190" s="132" t="s">
        <v>1</v>
      </c>
      <c r="BE190" s="133" t="s">
        <v>40</v>
      </c>
      <c r="BG190" s="134">
        <f>BF190*H190</f>
        <v>0</v>
      </c>
      <c r="BH190" s="134">
        <v>5.9000000000000003E-4</v>
      </c>
      <c r="BI190" s="134">
        <f>BH190*H190</f>
        <v>0.55928460000000002</v>
      </c>
      <c r="BJ190" s="134">
        <v>0</v>
      </c>
      <c r="BK190" s="135">
        <f>BJ190*H190</f>
        <v>0</v>
      </c>
      <c r="CI190" s="136" t="s">
        <v>95</v>
      </c>
      <c r="CK190" s="136" t="s">
        <v>284</v>
      </c>
      <c r="CL190" s="136" t="s">
        <v>83</v>
      </c>
      <c r="CP190" s="16" t="s">
        <v>282</v>
      </c>
      <c r="CV190" s="137">
        <f>IF(BE190="základní",J190,0)</f>
        <v>148532.32999999999</v>
      </c>
      <c r="CW190" s="137">
        <f>IF(BE190="snížená",J190,0)</f>
        <v>0</v>
      </c>
      <c r="CX190" s="137">
        <f>IF(BE190="zákl. přenesená",J190,0)</f>
        <v>0</v>
      </c>
      <c r="CY190" s="137">
        <f>IF(BE190="sníž. přenesená",J190,0)</f>
        <v>0</v>
      </c>
      <c r="CZ190" s="137">
        <f>IF(BE190="nulová",J190,0)</f>
        <v>0</v>
      </c>
      <c r="DA190" s="16" t="s">
        <v>81</v>
      </c>
      <c r="DB190" s="137">
        <f>ROUND(I190*H190,2)</f>
        <v>148532.32999999999</v>
      </c>
      <c r="DC190" s="16" t="s">
        <v>95</v>
      </c>
      <c r="DD190" s="136" t="s">
        <v>389</v>
      </c>
    </row>
    <row r="191" spans="2:108" s="1" customFormat="1" ht="19.5" x14ac:dyDescent="0.2">
      <c r="B191" s="31"/>
      <c r="D191" s="138" t="s">
        <v>289</v>
      </c>
      <c r="F191" s="139" t="s">
        <v>390</v>
      </c>
      <c r="I191" s="140"/>
      <c r="L191" s="31"/>
      <c r="N191" s="213"/>
      <c r="O191" s="214"/>
      <c r="Q191" s="229"/>
      <c r="BD191" s="141"/>
      <c r="BK191" s="50"/>
      <c r="CK191" s="16" t="s">
        <v>289</v>
      </c>
      <c r="CL191" s="16" t="s">
        <v>83</v>
      </c>
    </row>
    <row r="192" spans="2:108" s="1" customFormat="1" ht="29.25" x14ac:dyDescent="0.2">
      <c r="B192" s="31"/>
      <c r="D192" s="138" t="s">
        <v>299</v>
      </c>
      <c r="F192" s="142" t="s">
        <v>2291</v>
      </c>
      <c r="I192" s="140"/>
      <c r="L192" s="31"/>
      <c r="N192" s="213"/>
      <c r="O192" s="214"/>
      <c r="Q192" s="229"/>
      <c r="BD192" s="141"/>
      <c r="BK192" s="50"/>
      <c r="CK192" s="16" t="s">
        <v>299</v>
      </c>
      <c r="CL192" s="16" t="s">
        <v>83</v>
      </c>
    </row>
    <row r="193" spans="2:108" s="12" customFormat="1" x14ac:dyDescent="0.2">
      <c r="B193" s="149"/>
      <c r="D193" s="138" t="s">
        <v>301</v>
      </c>
      <c r="E193" s="150" t="s">
        <v>1</v>
      </c>
      <c r="F193" s="151" t="s">
        <v>2404</v>
      </c>
      <c r="H193" s="152">
        <v>947.94</v>
      </c>
      <c r="I193" s="153"/>
      <c r="L193" s="149"/>
      <c r="N193" s="217">
        <f>227.67*2.1*2</f>
        <v>956.21399999999994</v>
      </c>
      <c r="O193" s="218" t="s">
        <v>3566</v>
      </c>
      <c r="Q193" s="231"/>
      <c r="BD193" s="154"/>
      <c r="BK193" s="155"/>
      <c r="CK193" s="150" t="s">
        <v>301</v>
      </c>
      <c r="CL193" s="150" t="s">
        <v>83</v>
      </c>
      <c r="CM193" s="12" t="s">
        <v>83</v>
      </c>
      <c r="CN193" s="12" t="s">
        <v>32</v>
      </c>
      <c r="CO193" s="12" t="s">
        <v>81</v>
      </c>
      <c r="CP193" s="150" t="s">
        <v>282</v>
      </c>
    </row>
    <row r="194" spans="2:108" s="12" customFormat="1" x14ac:dyDescent="0.2">
      <c r="B194" s="149"/>
      <c r="D194" s="138"/>
      <c r="E194" s="150"/>
      <c r="F194" s="151"/>
      <c r="H194" s="152"/>
      <c r="I194" s="153"/>
      <c r="L194" s="149"/>
      <c r="N194" s="310">
        <f>N193-H193</f>
        <v>8.2739999999998872</v>
      </c>
      <c r="O194" s="218"/>
      <c r="Q194" s="231"/>
      <c r="BD194" s="154"/>
      <c r="BK194" s="155"/>
      <c r="CK194" s="150"/>
      <c r="CL194" s="150"/>
      <c r="CP194" s="150"/>
    </row>
    <row r="195" spans="2:108" s="1" customFormat="1" ht="14.45" customHeight="1" x14ac:dyDescent="0.2">
      <c r="B195" s="124"/>
      <c r="C195" s="125" t="s">
        <v>379</v>
      </c>
      <c r="D195" s="125" t="s">
        <v>284</v>
      </c>
      <c r="E195" s="126" t="s">
        <v>393</v>
      </c>
      <c r="F195" s="127" t="s">
        <v>394</v>
      </c>
      <c r="G195" s="128" t="s">
        <v>287</v>
      </c>
      <c r="H195" s="129">
        <v>947.94</v>
      </c>
      <c r="I195" s="130">
        <v>103.33666316345877</v>
      </c>
      <c r="J195" s="131">
        <f>ROUND(I195*H195,2)</f>
        <v>97956.96</v>
      </c>
      <c r="K195" s="127" t="s">
        <v>293</v>
      </c>
      <c r="L195" s="268">
        <f>S195</f>
        <v>0</v>
      </c>
      <c r="M195" s="272">
        <f>ROUND(L195*I195,2)</f>
        <v>0</v>
      </c>
      <c r="N195" s="243">
        <f>N190</f>
        <v>8.2739999999998872</v>
      </c>
      <c r="O195" s="294">
        <f>ROUND(N195*I195,2)</f>
        <v>855.01</v>
      </c>
      <c r="P195" s="273">
        <f>H195-L195-N195</f>
        <v>939.66600000000017</v>
      </c>
      <c r="Q195" s="287">
        <f>ROUND(P195*I195,2)</f>
        <v>97101.95</v>
      </c>
      <c r="R195" s="137"/>
      <c r="S195" s="269">
        <f>W195+Y195+AA195+AC195</f>
        <v>0</v>
      </c>
      <c r="T195" s="269">
        <f>ROUND(S195*I195,2)</f>
        <v>0</v>
      </c>
      <c r="U195" s="269">
        <f>H195-S195</f>
        <v>947.94</v>
      </c>
      <c r="V195" s="269">
        <f>ROUND(U195*I195,2)</f>
        <v>97956.96</v>
      </c>
      <c r="W195" s="269"/>
      <c r="X195" s="269"/>
      <c r="Y195" s="269"/>
      <c r="Z195" s="269"/>
      <c r="AA195" s="269"/>
      <c r="AB195" s="269"/>
      <c r="AC195" s="269"/>
      <c r="AD195" s="269"/>
      <c r="BD195" s="132" t="s">
        <v>1</v>
      </c>
      <c r="BE195" s="133" t="s">
        <v>40</v>
      </c>
      <c r="BG195" s="134">
        <f>BF195*H195</f>
        <v>0</v>
      </c>
      <c r="BH195" s="134">
        <v>0</v>
      </c>
      <c r="BI195" s="134">
        <f>BH195*H195</f>
        <v>0</v>
      </c>
      <c r="BJ195" s="134">
        <v>0</v>
      </c>
      <c r="BK195" s="135">
        <f>BJ195*H195</f>
        <v>0</v>
      </c>
      <c r="CI195" s="136" t="s">
        <v>95</v>
      </c>
      <c r="CK195" s="136" t="s">
        <v>284</v>
      </c>
      <c r="CL195" s="136" t="s">
        <v>83</v>
      </c>
      <c r="CP195" s="16" t="s">
        <v>282</v>
      </c>
      <c r="CV195" s="137">
        <f>IF(BE195="základní",J195,0)</f>
        <v>97956.96</v>
      </c>
      <c r="CW195" s="137">
        <f>IF(BE195="snížená",J195,0)</f>
        <v>0</v>
      </c>
      <c r="CX195" s="137">
        <f>IF(BE195="zákl. přenesená",J195,0)</f>
        <v>0</v>
      </c>
      <c r="CY195" s="137">
        <f>IF(BE195="sníž. přenesená",J195,0)</f>
        <v>0</v>
      </c>
      <c r="CZ195" s="137">
        <f>IF(BE195="nulová",J195,0)</f>
        <v>0</v>
      </c>
      <c r="DA195" s="16" t="s">
        <v>81</v>
      </c>
      <c r="DB195" s="137">
        <f>ROUND(I195*H195,2)</f>
        <v>97956.96</v>
      </c>
      <c r="DC195" s="16" t="s">
        <v>95</v>
      </c>
      <c r="DD195" s="136" t="s">
        <v>395</v>
      </c>
    </row>
    <row r="196" spans="2:108" s="1" customFormat="1" ht="19.5" x14ac:dyDescent="0.2">
      <c r="B196" s="31"/>
      <c r="D196" s="138" t="s">
        <v>289</v>
      </c>
      <c r="F196" s="139" t="s">
        <v>396</v>
      </c>
      <c r="I196" s="140"/>
      <c r="L196" s="31"/>
      <c r="N196" s="213"/>
      <c r="O196" s="214"/>
      <c r="Q196" s="229"/>
      <c r="BD196" s="141"/>
      <c r="BK196" s="50"/>
      <c r="CK196" s="16" t="s">
        <v>289</v>
      </c>
      <c r="CL196" s="16" t="s">
        <v>83</v>
      </c>
    </row>
    <row r="197" spans="2:108" s="1" customFormat="1" ht="37.9" customHeight="1" x14ac:dyDescent="0.2">
      <c r="B197" s="124"/>
      <c r="C197" s="125" t="s">
        <v>386</v>
      </c>
      <c r="D197" s="125" t="s">
        <v>284</v>
      </c>
      <c r="E197" s="126" t="s">
        <v>398</v>
      </c>
      <c r="F197" s="127" t="s">
        <v>399</v>
      </c>
      <c r="G197" s="128" t="s">
        <v>366</v>
      </c>
      <c r="H197" s="129">
        <v>335.166</v>
      </c>
      <c r="I197" s="130">
        <v>282.06861194786097</v>
      </c>
      <c r="J197" s="131">
        <f>ROUND(I197*H197,2)</f>
        <v>94539.81</v>
      </c>
      <c r="K197" s="127" t="s">
        <v>293</v>
      </c>
      <c r="L197" s="268">
        <f>S197</f>
        <v>0</v>
      </c>
      <c r="M197" s="272">
        <f>ROUND(L197*I197,2)</f>
        <v>0</v>
      </c>
      <c r="N197" s="243">
        <f>N201</f>
        <v>2.9239999999999782</v>
      </c>
      <c r="O197" s="294">
        <f>ROUND(N197*I197,2)</f>
        <v>824.77</v>
      </c>
      <c r="P197" s="273">
        <f>H197-L197-N197</f>
        <v>332.24200000000002</v>
      </c>
      <c r="Q197" s="287">
        <f>ROUND(P197*I197,2)</f>
        <v>93715.04</v>
      </c>
      <c r="R197" s="137"/>
      <c r="S197" s="269">
        <f>W197+Y197+AA197+AC197</f>
        <v>0</v>
      </c>
      <c r="T197" s="269">
        <f>ROUND(S197*I197,2)</f>
        <v>0</v>
      </c>
      <c r="U197" s="269">
        <f>H197-S197</f>
        <v>335.166</v>
      </c>
      <c r="V197" s="269">
        <f>ROUND(U197*I197,2)</f>
        <v>94539.81</v>
      </c>
      <c r="W197" s="269"/>
      <c r="X197" s="269"/>
      <c r="Y197" s="269"/>
      <c r="Z197" s="269"/>
      <c r="AA197" s="269"/>
      <c r="AB197" s="269"/>
      <c r="AC197" s="269"/>
      <c r="AD197" s="269"/>
      <c r="BD197" s="132" t="s">
        <v>1</v>
      </c>
      <c r="BE197" s="133" t="s">
        <v>40</v>
      </c>
      <c r="BG197" s="134">
        <f>BF197*H197</f>
        <v>0</v>
      </c>
      <c r="BH197" s="134">
        <v>0</v>
      </c>
      <c r="BI197" s="134">
        <f>BH197*H197</f>
        <v>0</v>
      </c>
      <c r="BJ197" s="134">
        <v>0</v>
      </c>
      <c r="BK197" s="135">
        <f>BJ197*H197</f>
        <v>0</v>
      </c>
      <c r="CI197" s="136" t="s">
        <v>95</v>
      </c>
      <c r="CK197" s="136" t="s">
        <v>284</v>
      </c>
      <c r="CL197" s="136" t="s">
        <v>83</v>
      </c>
      <c r="CP197" s="16" t="s">
        <v>282</v>
      </c>
      <c r="CV197" s="137">
        <f>IF(BE197="základní",J197,0)</f>
        <v>94539.81</v>
      </c>
      <c r="CW197" s="137">
        <f>IF(BE197="snížená",J197,0)</f>
        <v>0</v>
      </c>
      <c r="CX197" s="137">
        <f>IF(BE197="zákl. přenesená",J197,0)</f>
        <v>0</v>
      </c>
      <c r="CY197" s="137">
        <f>IF(BE197="sníž. přenesená",J197,0)</f>
        <v>0</v>
      </c>
      <c r="CZ197" s="137">
        <f>IF(BE197="nulová",J197,0)</f>
        <v>0</v>
      </c>
      <c r="DA197" s="16" t="s">
        <v>81</v>
      </c>
      <c r="DB197" s="137">
        <f>ROUND(I197*H197,2)</f>
        <v>94539.81</v>
      </c>
      <c r="DC197" s="16" t="s">
        <v>95</v>
      </c>
      <c r="DD197" s="136" t="s">
        <v>400</v>
      </c>
    </row>
    <row r="198" spans="2:108" s="1" customFormat="1" ht="39" x14ac:dyDescent="0.2">
      <c r="B198" s="31"/>
      <c r="D198" s="138" t="s">
        <v>289</v>
      </c>
      <c r="F198" s="139" t="s">
        <v>401</v>
      </c>
      <c r="I198" s="140"/>
      <c r="L198" s="31"/>
      <c r="N198" s="213"/>
      <c r="O198" s="214"/>
      <c r="Q198" s="229"/>
      <c r="BD198" s="141"/>
      <c r="BK198" s="50"/>
      <c r="CK198" s="16" t="s">
        <v>289</v>
      </c>
      <c r="CL198" s="16" t="s">
        <v>83</v>
      </c>
    </row>
    <row r="199" spans="2:108" s="11" customFormat="1" x14ac:dyDescent="0.2">
      <c r="B199" s="143"/>
      <c r="D199" s="138" t="s">
        <v>301</v>
      </c>
      <c r="E199" s="144" t="s">
        <v>1</v>
      </c>
      <c r="F199" s="145" t="s">
        <v>1458</v>
      </c>
      <c r="H199" s="144" t="s">
        <v>1</v>
      </c>
      <c r="I199" s="146"/>
      <c r="L199" s="143"/>
      <c r="N199" s="215"/>
      <c r="O199" s="216"/>
      <c r="Q199" s="230"/>
      <c r="BD199" s="147"/>
      <c r="BK199" s="148"/>
      <c r="CK199" s="144" t="s">
        <v>301</v>
      </c>
      <c r="CL199" s="144" t="s">
        <v>83</v>
      </c>
      <c r="CM199" s="11" t="s">
        <v>81</v>
      </c>
      <c r="CN199" s="11" t="s">
        <v>32</v>
      </c>
      <c r="CO199" s="11" t="s">
        <v>74</v>
      </c>
      <c r="CP199" s="144" t="s">
        <v>282</v>
      </c>
    </row>
    <row r="200" spans="2:108" s="12" customFormat="1" x14ac:dyDescent="0.2">
      <c r="B200" s="149"/>
      <c r="D200" s="138" t="s">
        <v>301</v>
      </c>
      <c r="E200" s="150" t="s">
        <v>1</v>
      </c>
      <c r="F200" s="151" t="s">
        <v>2405</v>
      </c>
      <c r="H200" s="152">
        <v>335.166</v>
      </c>
      <c r="I200" s="153"/>
      <c r="L200" s="149"/>
      <c r="N200" s="217">
        <f>169.045+169.045</f>
        <v>338.09</v>
      </c>
      <c r="O200" s="218" t="s">
        <v>3567</v>
      </c>
      <c r="Q200" s="231"/>
      <c r="BD200" s="154"/>
      <c r="BK200" s="155"/>
      <c r="CK200" s="150" t="s">
        <v>301</v>
      </c>
      <c r="CL200" s="150" t="s">
        <v>83</v>
      </c>
      <c r="CM200" s="12" t="s">
        <v>83</v>
      </c>
      <c r="CN200" s="12" t="s">
        <v>32</v>
      </c>
      <c r="CO200" s="12" t="s">
        <v>81</v>
      </c>
      <c r="CP200" s="150" t="s">
        <v>282</v>
      </c>
    </row>
    <row r="201" spans="2:108" s="12" customFormat="1" x14ac:dyDescent="0.2">
      <c r="B201" s="149"/>
      <c r="D201" s="138"/>
      <c r="E201" s="150"/>
      <c r="F201" s="151"/>
      <c r="H201" s="152"/>
      <c r="I201" s="153"/>
      <c r="L201" s="149"/>
      <c r="N201" s="310">
        <f>N200-H200</f>
        <v>2.9239999999999782</v>
      </c>
      <c r="O201" s="218"/>
      <c r="Q201" s="231"/>
      <c r="BD201" s="154"/>
      <c r="BK201" s="155"/>
      <c r="CK201" s="150"/>
      <c r="CL201" s="150"/>
      <c r="CP201" s="150"/>
    </row>
    <row r="202" spans="2:108" s="1" customFormat="1" ht="37.9" customHeight="1" x14ac:dyDescent="0.2">
      <c r="B202" s="124"/>
      <c r="C202" s="125" t="s">
        <v>392</v>
      </c>
      <c r="D202" s="125" t="s">
        <v>284</v>
      </c>
      <c r="E202" s="126" t="s">
        <v>405</v>
      </c>
      <c r="F202" s="127" t="s">
        <v>406</v>
      </c>
      <c r="G202" s="128" t="s">
        <v>366</v>
      </c>
      <c r="H202" s="129">
        <v>1675.83</v>
      </c>
      <c r="I202" s="130">
        <v>3.4208109177592001</v>
      </c>
      <c r="J202" s="131">
        <f>ROUND(I202*H202,2)</f>
        <v>5732.7</v>
      </c>
      <c r="K202" s="127" t="s">
        <v>293</v>
      </c>
      <c r="L202" s="268">
        <f>S202</f>
        <v>0</v>
      </c>
      <c r="M202" s="272">
        <f>ROUND(L202*I202,2)</f>
        <v>0</v>
      </c>
      <c r="N202" s="243">
        <f>N205</f>
        <v>14.619999999999891</v>
      </c>
      <c r="O202" s="294">
        <f>ROUND(N202*I202,2)</f>
        <v>50.01</v>
      </c>
      <c r="P202" s="273">
        <f>H202-L202-N202</f>
        <v>1661.21</v>
      </c>
      <c r="Q202" s="287">
        <f>ROUND(P202*I202,2)</f>
        <v>5682.69</v>
      </c>
      <c r="R202" s="137"/>
      <c r="S202" s="269">
        <f>W202+Y202+AA202+AC202</f>
        <v>0</v>
      </c>
      <c r="T202" s="269">
        <f>ROUND(S202*I202,2)</f>
        <v>0</v>
      </c>
      <c r="U202" s="269">
        <f>H202-S202</f>
        <v>1675.83</v>
      </c>
      <c r="V202" s="269">
        <f>ROUND(U202*I202,2)</f>
        <v>5732.7</v>
      </c>
      <c r="W202" s="269"/>
      <c r="X202" s="269"/>
      <c r="Y202" s="269"/>
      <c r="Z202" s="269"/>
      <c r="AA202" s="269"/>
      <c r="AB202" s="269"/>
      <c r="AC202" s="269"/>
      <c r="AD202" s="269"/>
      <c r="BD202" s="132" t="s">
        <v>1</v>
      </c>
      <c r="BE202" s="133" t="s">
        <v>40</v>
      </c>
      <c r="BG202" s="134">
        <f>BF202*H202</f>
        <v>0</v>
      </c>
      <c r="BH202" s="134">
        <v>0</v>
      </c>
      <c r="BI202" s="134">
        <f>BH202*H202</f>
        <v>0</v>
      </c>
      <c r="BJ202" s="134">
        <v>0</v>
      </c>
      <c r="BK202" s="135">
        <f>BJ202*H202</f>
        <v>0</v>
      </c>
      <c r="CI202" s="136" t="s">
        <v>95</v>
      </c>
      <c r="CK202" s="136" t="s">
        <v>284</v>
      </c>
      <c r="CL202" s="136" t="s">
        <v>83</v>
      </c>
      <c r="CP202" s="16" t="s">
        <v>282</v>
      </c>
      <c r="CV202" s="137">
        <f>IF(BE202="základní",J202,0)</f>
        <v>5732.7</v>
      </c>
      <c r="CW202" s="137">
        <f>IF(BE202="snížená",J202,0)</f>
        <v>0</v>
      </c>
      <c r="CX202" s="137">
        <f>IF(BE202="zákl. přenesená",J202,0)</f>
        <v>0</v>
      </c>
      <c r="CY202" s="137">
        <f>IF(BE202="sníž. přenesená",J202,0)</f>
        <v>0</v>
      </c>
      <c r="CZ202" s="137">
        <f>IF(BE202="nulová",J202,0)</f>
        <v>0</v>
      </c>
      <c r="DA202" s="16" t="s">
        <v>81</v>
      </c>
      <c r="DB202" s="137">
        <f>ROUND(I202*H202,2)</f>
        <v>5732.7</v>
      </c>
      <c r="DC202" s="16" t="s">
        <v>95</v>
      </c>
      <c r="DD202" s="136" t="s">
        <v>407</v>
      </c>
    </row>
    <row r="203" spans="2:108" s="1" customFormat="1" ht="48.75" x14ac:dyDescent="0.2">
      <c r="B203" s="31"/>
      <c r="D203" s="138" t="s">
        <v>289</v>
      </c>
      <c r="F203" s="139" t="s">
        <v>408</v>
      </c>
      <c r="I203" s="140"/>
      <c r="L203" s="31"/>
      <c r="N203" s="213"/>
      <c r="O203" s="214"/>
      <c r="Q203" s="229"/>
      <c r="BD203" s="141"/>
      <c r="BK203" s="50"/>
      <c r="CK203" s="16" t="s">
        <v>289</v>
      </c>
      <c r="CL203" s="16" t="s">
        <v>83</v>
      </c>
    </row>
    <row r="204" spans="2:108" s="12" customFormat="1" x14ac:dyDescent="0.2">
      <c r="B204" s="149"/>
      <c r="D204" s="138" t="s">
        <v>301</v>
      </c>
      <c r="F204" s="151" t="s">
        <v>2406</v>
      </c>
      <c r="H204" s="152">
        <v>1675.83</v>
      </c>
      <c r="I204" s="153"/>
      <c r="L204" s="149"/>
      <c r="N204" s="217">
        <f>338.09*5</f>
        <v>1690.4499999999998</v>
      </c>
      <c r="O204" s="218" t="s">
        <v>3568</v>
      </c>
      <c r="Q204" s="231"/>
      <c r="BD204" s="154"/>
      <c r="BK204" s="155"/>
      <c r="CK204" s="150" t="s">
        <v>301</v>
      </c>
      <c r="CL204" s="150" t="s">
        <v>83</v>
      </c>
      <c r="CM204" s="12" t="s">
        <v>83</v>
      </c>
      <c r="CN204" s="12" t="s">
        <v>3</v>
      </c>
      <c r="CO204" s="12" t="s">
        <v>81</v>
      </c>
      <c r="CP204" s="150" t="s">
        <v>282</v>
      </c>
    </row>
    <row r="205" spans="2:108" s="12" customFormat="1" x14ac:dyDescent="0.2">
      <c r="B205" s="149"/>
      <c r="D205" s="138"/>
      <c r="F205" s="151"/>
      <c r="H205" s="152"/>
      <c r="I205" s="153"/>
      <c r="L205" s="149"/>
      <c r="N205" s="310">
        <f>N204-H204</f>
        <v>14.619999999999891</v>
      </c>
      <c r="O205" s="218"/>
      <c r="Q205" s="231"/>
      <c r="BD205" s="154"/>
      <c r="BK205" s="155"/>
      <c r="CK205" s="150"/>
      <c r="CL205" s="150"/>
      <c r="CP205" s="150"/>
    </row>
    <row r="206" spans="2:108" s="1" customFormat="1" ht="24.2" customHeight="1" x14ac:dyDescent="0.2">
      <c r="B206" s="124"/>
      <c r="C206" s="125" t="s">
        <v>397</v>
      </c>
      <c r="D206" s="125" t="s">
        <v>284</v>
      </c>
      <c r="E206" s="126" t="s">
        <v>410</v>
      </c>
      <c r="F206" s="127" t="s">
        <v>411</v>
      </c>
      <c r="G206" s="128" t="s">
        <v>287</v>
      </c>
      <c r="H206" s="129">
        <v>203.13</v>
      </c>
      <c r="I206" s="130">
        <v>6.3644601414457247</v>
      </c>
      <c r="J206" s="131">
        <f>ROUND(I206*H206,2)</f>
        <v>1292.81</v>
      </c>
      <c r="K206" s="127" t="s">
        <v>293</v>
      </c>
      <c r="L206" s="268">
        <f>S206</f>
        <v>0</v>
      </c>
      <c r="M206" s="272">
        <f>ROUND(L206*I206,2)</f>
        <v>0</v>
      </c>
      <c r="N206" s="243">
        <f>N210</f>
        <v>1.7729999999999961</v>
      </c>
      <c r="O206" s="294">
        <f>ROUND(N206*I206,2)</f>
        <v>11.28</v>
      </c>
      <c r="P206" s="273">
        <f>H206-L206-N206</f>
        <v>201.357</v>
      </c>
      <c r="Q206" s="287">
        <f>ROUND(P206*I206,2)</f>
        <v>1281.53</v>
      </c>
      <c r="R206" s="137"/>
      <c r="S206" s="269">
        <f>W206+Y206+AA206+AC206</f>
        <v>0</v>
      </c>
      <c r="T206" s="269">
        <f>ROUND(S206*I206,2)</f>
        <v>0</v>
      </c>
      <c r="U206" s="269">
        <f>H206-S206</f>
        <v>203.13</v>
      </c>
      <c r="V206" s="269">
        <f>ROUND(U206*I206,2)</f>
        <v>1292.81</v>
      </c>
      <c r="W206" s="269"/>
      <c r="X206" s="269"/>
      <c r="Y206" s="269"/>
      <c r="Z206" s="269"/>
      <c r="AA206" s="269"/>
      <c r="AB206" s="269"/>
      <c r="AC206" s="269"/>
      <c r="AD206" s="269"/>
      <c r="BD206" s="132" t="s">
        <v>1</v>
      </c>
      <c r="BE206" s="133" t="s">
        <v>40</v>
      </c>
      <c r="BG206" s="134">
        <f>BF206*H206</f>
        <v>0</v>
      </c>
      <c r="BH206" s="134">
        <v>0</v>
      </c>
      <c r="BI206" s="134">
        <f>BH206*H206</f>
        <v>0</v>
      </c>
      <c r="BJ206" s="134">
        <v>0</v>
      </c>
      <c r="BK206" s="135">
        <f>BJ206*H206</f>
        <v>0</v>
      </c>
      <c r="CI206" s="136" t="s">
        <v>95</v>
      </c>
      <c r="CK206" s="136" t="s">
        <v>284</v>
      </c>
      <c r="CL206" s="136" t="s">
        <v>83</v>
      </c>
      <c r="CP206" s="16" t="s">
        <v>282</v>
      </c>
      <c r="CV206" s="137">
        <f>IF(BE206="základní",J206,0)</f>
        <v>1292.81</v>
      </c>
      <c r="CW206" s="137">
        <f>IF(BE206="snížená",J206,0)</f>
        <v>0</v>
      </c>
      <c r="CX206" s="137">
        <f>IF(BE206="zákl. přenesená",J206,0)</f>
        <v>0</v>
      </c>
      <c r="CY206" s="137">
        <f>IF(BE206="sníž. přenesená",J206,0)</f>
        <v>0</v>
      </c>
      <c r="CZ206" s="137">
        <f>IF(BE206="nulová",J206,0)</f>
        <v>0</v>
      </c>
      <c r="DA206" s="16" t="s">
        <v>81</v>
      </c>
      <c r="DB206" s="137">
        <f>ROUND(I206*H206,2)</f>
        <v>1292.81</v>
      </c>
      <c r="DC206" s="16" t="s">
        <v>95</v>
      </c>
      <c r="DD206" s="136" t="s">
        <v>412</v>
      </c>
    </row>
    <row r="207" spans="2:108" s="1" customFormat="1" ht="19.5" x14ac:dyDescent="0.2">
      <c r="B207" s="31"/>
      <c r="D207" s="138" t="s">
        <v>289</v>
      </c>
      <c r="F207" s="139" t="s">
        <v>413</v>
      </c>
      <c r="I207" s="140"/>
      <c r="L207" s="31"/>
      <c r="N207" s="213"/>
      <c r="O207" s="214"/>
      <c r="Q207" s="229"/>
      <c r="BD207" s="141"/>
      <c r="BK207" s="50"/>
      <c r="CK207" s="16" t="s">
        <v>289</v>
      </c>
      <c r="CL207" s="16" t="s">
        <v>83</v>
      </c>
    </row>
    <row r="208" spans="2:108" s="1" customFormat="1" ht="29.25" x14ac:dyDescent="0.2">
      <c r="B208" s="31"/>
      <c r="D208" s="138" t="s">
        <v>299</v>
      </c>
      <c r="F208" s="142" t="s">
        <v>2291</v>
      </c>
      <c r="I208" s="140"/>
      <c r="L208" s="31"/>
      <c r="N208" s="213"/>
      <c r="O208" s="214"/>
      <c r="Q208" s="229"/>
      <c r="BD208" s="141"/>
      <c r="BK208" s="50"/>
      <c r="CK208" s="16" t="s">
        <v>299</v>
      </c>
      <c r="CL208" s="16" t="s">
        <v>83</v>
      </c>
    </row>
    <row r="209" spans="2:108" s="12" customFormat="1" x14ac:dyDescent="0.2">
      <c r="B209" s="149"/>
      <c r="D209" s="138" t="s">
        <v>301</v>
      </c>
      <c r="E209" s="150" t="s">
        <v>1</v>
      </c>
      <c r="F209" s="151" t="s">
        <v>2392</v>
      </c>
      <c r="H209" s="152">
        <v>203.13</v>
      </c>
      <c r="I209" s="153"/>
      <c r="L209" s="149"/>
      <c r="N209" s="217">
        <f>227.67*0.9</f>
        <v>204.90299999999999</v>
      </c>
      <c r="O209" s="218" t="s">
        <v>3560</v>
      </c>
      <c r="Q209" s="231"/>
      <c r="BD209" s="154"/>
      <c r="BK209" s="155"/>
      <c r="CK209" s="150" t="s">
        <v>301</v>
      </c>
      <c r="CL209" s="150" t="s">
        <v>83</v>
      </c>
      <c r="CM209" s="12" t="s">
        <v>83</v>
      </c>
      <c r="CN209" s="12" t="s">
        <v>32</v>
      </c>
      <c r="CO209" s="12" t="s">
        <v>81</v>
      </c>
      <c r="CP209" s="150" t="s">
        <v>282</v>
      </c>
    </row>
    <row r="210" spans="2:108" s="12" customFormat="1" x14ac:dyDescent="0.2">
      <c r="B210" s="149"/>
      <c r="D210" s="138"/>
      <c r="E210" s="150"/>
      <c r="F210" s="151"/>
      <c r="H210" s="152"/>
      <c r="I210" s="153"/>
      <c r="L210" s="149"/>
      <c r="N210" s="310">
        <f>N209-H209</f>
        <v>1.7729999999999961</v>
      </c>
      <c r="O210" s="218"/>
      <c r="Q210" s="231"/>
      <c r="BD210" s="154"/>
      <c r="BK210" s="155"/>
      <c r="CK210" s="150"/>
      <c r="CL210" s="150"/>
      <c r="CP210" s="150"/>
    </row>
    <row r="211" spans="2:108" s="1" customFormat="1" ht="24.2" customHeight="1" x14ac:dyDescent="0.2">
      <c r="B211" s="124"/>
      <c r="C211" s="125" t="s">
        <v>404</v>
      </c>
      <c r="D211" s="125" t="s">
        <v>284</v>
      </c>
      <c r="E211" s="126" t="s">
        <v>416</v>
      </c>
      <c r="F211" s="127" t="s">
        <v>417</v>
      </c>
      <c r="G211" s="128" t="s">
        <v>418</v>
      </c>
      <c r="H211" s="129">
        <v>603.29899999999998</v>
      </c>
      <c r="I211" s="130">
        <v>110.6455721</v>
      </c>
      <c r="J211" s="131">
        <f>ROUND(I211*H211,2)</f>
        <v>66752.36</v>
      </c>
      <c r="K211" s="127" t="s">
        <v>293</v>
      </c>
      <c r="L211" s="268">
        <f>S211</f>
        <v>0</v>
      </c>
      <c r="M211" s="272">
        <f>ROUND(L211*I211,2)</f>
        <v>0</v>
      </c>
      <c r="N211" s="243">
        <f>N214</f>
        <v>5.2630000000000337</v>
      </c>
      <c r="O211" s="294">
        <f>ROUND(N211*I211,2)</f>
        <v>582.33000000000004</v>
      </c>
      <c r="P211" s="273">
        <f>H211-L211-N211</f>
        <v>598.03599999999994</v>
      </c>
      <c r="Q211" s="287">
        <f>ROUND(P211*I211,2)</f>
        <v>66170.039999999994</v>
      </c>
      <c r="R211" s="137"/>
      <c r="S211" s="269">
        <f>W211+Y211+AA211+AC211</f>
        <v>0</v>
      </c>
      <c r="T211" s="269">
        <f>ROUND(S211*I211,2)</f>
        <v>0</v>
      </c>
      <c r="U211" s="269">
        <f>H211-S211</f>
        <v>603.29899999999998</v>
      </c>
      <c r="V211" s="269">
        <f>ROUND(U211*I211,2)</f>
        <v>66752.36</v>
      </c>
      <c r="W211" s="269"/>
      <c r="X211" s="269"/>
      <c r="Y211" s="269"/>
      <c r="Z211" s="269"/>
      <c r="AA211" s="269"/>
      <c r="AB211" s="269"/>
      <c r="AC211" s="269"/>
      <c r="AD211" s="269"/>
      <c r="BD211" s="132" t="s">
        <v>1</v>
      </c>
      <c r="BE211" s="133" t="s">
        <v>40</v>
      </c>
      <c r="BG211" s="134">
        <f>BF211*H211</f>
        <v>0</v>
      </c>
      <c r="BH211" s="134">
        <v>0</v>
      </c>
      <c r="BI211" s="134">
        <f>BH211*H211</f>
        <v>0</v>
      </c>
      <c r="BJ211" s="134">
        <v>0</v>
      </c>
      <c r="BK211" s="135">
        <f>BJ211*H211</f>
        <v>0</v>
      </c>
      <c r="CI211" s="136" t="s">
        <v>95</v>
      </c>
      <c r="CK211" s="136" t="s">
        <v>284</v>
      </c>
      <c r="CL211" s="136" t="s">
        <v>83</v>
      </c>
      <c r="CP211" s="16" t="s">
        <v>282</v>
      </c>
      <c r="CV211" s="137">
        <f>IF(BE211="základní",J211,0)</f>
        <v>66752.36</v>
      </c>
      <c r="CW211" s="137">
        <f>IF(BE211="snížená",J211,0)</f>
        <v>0</v>
      </c>
      <c r="CX211" s="137">
        <f>IF(BE211="zákl. přenesená",J211,0)</f>
        <v>0</v>
      </c>
      <c r="CY211" s="137">
        <f>IF(BE211="sníž. přenesená",J211,0)</f>
        <v>0</v>
      </c>
      <c r="CZ211" s="137">
        <f>IF(BE211="nulová",J211,0)</f>
        <v>0</v>
      </c>
      <c r="DA211" s="16" t="s">
        <v>81</v>
      </c>
      <c r="DB211" s="137">
        <f>ROUND(I211*H211,2)</f>
        <v>66752.36</v>
      </c>
      <c r="DC211" s="16" t="s">
        <v>95</v>
      </c>
      <c r="DD211" s="136" t="s">
        <v>419</v>
      </c>
    </row>
    <row r="212" spans="2:108" s="1" customFormat="1" ht="29.25" x14ac:dyDescent="0.2">
      <c r="B212" s="31"/>
      <c r="D212" s="138" t="s">
        <v>289</v>
      </c>
      <c r="F212" s="139" t="s">
        <v>420</v>
      </c>
      <c r="I212" s="140"/>
      <c r="L212" s="31"/>
      <c r="N212" s="213"/>
      <c r="O212" s="214"/>
      <c r="Q212" s="229"/>
      <c r="BD212" s="141"/>
      <c r="BK212" s="50"/>
      <c r="CK212" s="16" t="s">
        <v>289</v>
      </c>
      <c r="CL212" s="16" t="s">
        <v>83</v>
      </c>
    </row>
    <row r="213" spans="2:108" s="12" customFormat="1" x14ac:dyDescent="0.2">
      <c r="B213" s="149"/>
      <c r="D213" s="138" t="s">
        <v>301</v>
      </c>
      <c r="F213" s="151" t="s">
        <v>2407</v>
      </c>
      <c r="H213" s="152">
        <v>603.29899999999998</v>
      </c>
      <c r="I213" s="153"/>
      <c r="L213" s="149"/>
      <c r="N213" s="217">
        <f>338.09*1.8</f>
        <v>608.56200000000001</v>
      </c>
      <c r="O213" s="218" t="s">
        <v>3569</v>
      </c>
      <c r="Q213" s="231"/>
      <c r="BD213" s="154"/>
      <c r="BK213" s="155"/>
      <c r="CK213" s="150" t="s">
        <v>301</v>
      </c>
      <c r="CL213" s="150" t="s">
        <v>83</v>
      </c>
      <c r="CM213" s="12" t="s">
        <v>83</v>
      </c>
      <c r="CN213" s="12" t="s">
        <v>3</v>
      </c>
      <c r="CO213" s="12" t="s">
        <v>81</v>
      </c>
      <c r="CP213" s="150" t="s">
        <v>282</v>
      </c>
    </row>
    <row r="214" spans="2:108" s="12" customFormat="1" x14ac:dyDescent="0.2">
      <c r="B214" s="149"/>
      <c r="D214" s="138"/>
      <c r="F214" s="151"/>
      <c r="H214" s="152"/>
      <c r="I214" s="153"/>
      <c r="L214" s="149"/>
      <c r="N214" s="310">
        <f>N213-H213</f>
        <v>5.2630000000000337</v>
      </c>
      <c r="O214" s="218"/>
      <c r="Q214" s="231"/>
      <c r="BD214" s="154"/>
      <c r="BK214" s="155"/>
      <c r="CK214" s="150"/>
      <c r="CL214" s="150"/>
      <c r="CP214" s="150"/>
    </row>
    <row r="215" spans="2:108" s="1" customFormat="1" ht="24.2" customHeight="1" x14ac:dyDescent="0.2">
      <c r="B215" s="124"/>
      <c r="C215" s="125" t="s">
        <v>7</v>
      </c>
      <c r="D215" s="125" t="s">
        <v>284</v>
      </c>
      <c r="E215" s="126" t="s">
        <v>423</v>
      </c>
      <c r="F215" s="127" t="s">
        <v>424</v>
      </c>
      <c r="G215" s="128" t="s">
        <v>366</v>
      </c>
      <c r="H215" s="129">
        <v>312.322</v>
      </c>
      <c r="I215" s="130">
        <v>140.64048227116101</v>
      </c>
      <c r="J215" s="131">
        <f>ROUND(I215*H215,2)</f>
        <v>43925.120000000003</v>
      </c>
      <c r="K215" s="127" t="s">
        <v>293</v>
      </c>
      <c r="L215" s="268">
        <f>S215</f>
        <v>0</v>
      </c>
      <c r="M215" s="272">
        <f>ROUND(L215*I215,2)</f>
        <v>0</v>
      </c>
      <c r="N215" s="243">
        <f>N228</f>
        <v>2.7286700000000224</v>
      </c>
      <c r="O215" s="294">
        <f>ROUND(N215*I215,2)</f>
        <v>383.76</v>
      </c>
      <c r="P215" s="273">
        <f>H215-L215-N215</f>
        <v>309.59332999999998</v>
      </c>
      <c r="Q215" s="287">
        <f>ROUND(P215*I215,2)</f>
        <v>43541.36</v>
      </c>
      <c r="R215" s="137"/>
      <c r="S215" s="269">
        <f>W215+Y215+AA215+AC215</f>
        <v>0</v>
      </c>
      <c r="T215" s="269">
        <f>ROUND(S215*I215,2)</f>
        <v>0</v>
      </c>
      <c r="U215" s="269">
        <f>H215-S215</f>
        <v>312.322</v>
      </c>
      <c r="V215" s="269">
        <f>ROUND(U215*I215,2)</f>
        <v>43925.120000000003</v>
      </c>
      <c r="W215" s="269"/>
      <c r="X215" s="269"/>
      <c r="Y215" s="269"/>
      <c r="Z215" s="269"/>
      <c r="AA215" s="269"/>
      <c r="AB215" s="269"/>
      <c r="AC215" s="269"/>
      <c r="AD215" s="269"/>
      <c r="BD215" s="132" t="s">
        <v>1</v>
      </c>
      <c r="BE215" s="133" t="s">
        <v>40</v>
      </c>
      <c r="BG215" s="134">
        <f>BF215*H215</f>
        <v>0</v>
      </c>
      <c r="BH215" s="134">
        <v>0</v>
      </c>
      <c r="BI215" s="134">
        <f>BH215*H215</f>
        <v>0</v>
      </c>
      <c r="BJ215" s="134">
        <v>0</v>
      </c>
      <c r="BK215" s="135">
        <f>BJ215*H215</f>
        <v>0</v>
      </c>
      <c r="CI215" s="136" t="s">
        <v>95</v>
      </c>
      <c r="CK215" s="136" t="s">
        <v>284</v>
      </c>
      <c r="CL215" s="136" t="s">
        <v>83</v>
      </c>
      <c r="CP215" s="16" t="s">
        <v>282</v>
      </c>
      <c r="CV215" s="137">
        <f>IF(BE215="základní",J215,0)</f>
        <v>43925.120000000003</v>
      </c>
      <c r="CW215" s="137">
        <f>IF(BE215="snížená",J215,0)</f>
        <v>0</v>
      </c>
      <c r="CX215" s="137">
        <f>IF(BE215="zákl. přenesená",J215,0)</f>
        <v>0</v>
      </c>
      <c r="CY215" s="137">
        <f>IF(BE215="sníž. přenesená",J215,0)</f>
        <v>0</v>
      </c>
      <c r="CZ215" s="137">
        <f>IF(BE215="nulová",J215,0)</f>
        <v>0</v>
      </c>
      <c r="DA215" s="16" t="s">
        <v>81</v>
      </c>
      <c r="DB215" s="137">
        <f>ROUND(I215*H215,2)</f>
        <v>43925.120000000003</v>
      </c>
      <c r="DC215" s="16" t="s">
        <v>95</v>
      </c>
      <c r="DD215" s="136" t="s">
        <v>425</v>
      </c>
    </row>
    <row r="216" spans="2:108" s="1" customFormat="1" ht="29.25" x14ac:dyDescent="0.2">
      <c r="B216" s="31"/>
      <c r="D216" s="138" t="s">
        <v>289</v>
      </c>
      <c r="F216" s="139" t="s">
        <v>426</v>
      </c>
      <c r="I216" s="140"/>
      <c r="L216" s="31"/>
      <c r="N216" s="213"/>
      <c r="O216" s="214"/>
      <c r="Q216" s="229"/>
      <c r="BD216" s="141"/>
      <c r="BK216" s="50"/>
      <c r="CK216" s="16" t="s">
        <v>289</v>
      </c>
      <c r="CL216" s="16" t="s">
        <v>83</v>
      </c>
    </row>
    <row r="217" spans="2:108" s="11" customFormat="1" x14ac:dyDescent="0.2">
      <c r="B217" s="143"/>
      <c r="D217" s="138" t="s">
        <v>301</v>
      </c>
      <c r="E217" s="144" t="s">
        <v>1</v>
      </c>
      <c r="F217" s="145" t="s">
        <v>1458</v>
      </c>
      <c r="H217" s="144" t="s">
        <v>1</v>
      </c>
      <c r="I217" s="146"/>
      <c r="L217" s="143"/>
      <c r="N217" s="215"/>
      <c r="O217" s="216"/>
      <c r="Q217" s="230"/>
      <c r="BD217" s="147"/>
      <c r="BK217" s="148"/>
      <c r="CK217" s="144" t="s">
        <v>301</v>
      </c>
      <c r="CL217" s="144" t="s">
        <v>83</v>
      </c>
      <c r="CM217" s="11" t="s">
        <v>81</v>
      </c>
      <c r="CN217" s="11" t="s">
        <v>32</v>
      </c>
      <c r="CO217" s="11" t="s">
        <v>74</v>
      </c>
      <c r="CP217" s="144" t="s">
        <v>282</v>
      </c>
    </row>
    <row r="218" spans="2:108" s="12" customFormat="1" x14ac:dyDescent="0.2">
      <c r="B218" s="149"/>
      <c r="D218" s="138" t="s">
        <v>301</v>
      </c>
      <c r="E218" s="150" t="s">
        <v>1</v>
      </c>
      <c r="F218" s="151" t="s">
        <v>2405</v>
      </c>
      <c r="H218" s="152">
        <v>335.166</v>
      </c>
      <c r="I218" s="153"/>
      <c r="L218" s="149"/>
      <c r="N218" s="217">
        <f>169.045+169.045</f>
        <v>338.09</v>
      </c>
      <c r="O218" s="218" t="s">
        <v>3567</v>
      </c>
      <c r="Q218" s="231"/>
      <c r="BD218" s="154"/>
      <c r="BK218" s="155"/>
      <c r="CK218" s="150" t="s">
        <v>301</v>
      </c>
      <c r="CL218" s="150" t="s">
        <v>83</v>
      </c>
      <c r="CM218" s="12" t="s">
        <v>83</v>
      </c>
      <c r="CN218" s="12" t="s">
        <v>32</v>
      </c>
      <c r="CO218" s="12" t="s">
        <v>74</v>
      </c>
      <c r="CP218" s="150" t="s">
        <v>282</v>
      </c>
    </row>
    <row r="219" spans="2:108" s="11" customFormat="1" x14ac:dyDescent="0.2">
      <c r="B219" s="143"/>
      <c r="D219" s="138" t="s">
        <v>301</v>
      </c>
      <c r="E219" s="144" t="s">
        <v>1</v>
      </c>
      <c r="F219" s="145" t="s">
        <v>428</v>
      </c>
      <c r="H219" s="144" t="s">
        <v>1</v>
      </c>
      <c r="I219" s="146"/>
      <c r="L219" s="143"/>
      <c r="N219" s="215"/>
      <c r="O219" s="216"/>
      <c r="Q219" s="230"/>
      <c r="BD219" s="147"/>
      <c r="BK219" s="148"/>
      <c r="CK219" s="144" t="s">
        <v>301</v>
      </c>
      <c r="CL219" s="144" t="s">
        <v>83</v>
      </c>
      <c r="CM219" s="11" t="s">
        <v>81</v>
      </c>
      <c r="CN219" s="11" t="s">
        <v>32</v>
      </c>
      <c r="CO219" s="11" t="s">
        <v>74</v>
      </c>
      <c r="CP219" s="144" t="s">
        <v>282</v>
      </c>
    </row>
    <row r="220" spans="2:108" s="12" customFormat="1" x14ac:dyDescent="0.2">
      <c r="B220" s="149"/>
      <c r="D220" s="138" t="s">
        <v>301</v>
      </c>
      <c r="E220" s="150" t="s">
        <v>1</v>
      </c>
      <c r="F220" s="151" t="s">
        <v>2408</v>
      </c>
      <c r="H220" s="152">
        <v>-83.283000000000001</v>
      </c>
      <c r="I220" s="153"/>
      <c r="L220" s="149"/>
      <c r="N220" s="217">
        <f>-N236</f>
        <v>-84.010229999999993</v>
      </c>
      <c r="O220" s="218"/>
      <c r="Q220" s="231"/>
      <c r="BD220" s="154"/>
      <c r="BK220" s="155"/>
      <c r="CK220" s="150" t="s">
        <v>301</v>
      </c>
      <c r="CL220" s="150" t="s">
        <v>83</v>
      </c>
      <c r="CM220" s="12" t="s">
        <v>83</v>
      </c>
      <c r="CN220" s="12" t="s">
        <v>32</v>
      </c>
      <c r="CO220" s="12" t="s">
        <v>74</v>
      </c>
      <c r="CP220" s="150" t="s">
        <v>282</v>
      </c>
    </row>
    <row r="221" spans="2:108" s="11" customFormat="1" x14ac:dyDescent="0.2">
      <c r="B221" s="143"/>
      <c r="D221" s="138" t="s">
        <v>301</v>
      </c>
      <c r="E221" s="144" t="s">
        <v>1</v>
      </c>
      <c r="F221" s="145" t="s">
        <v>430</v>
      </c>
      <c r="H221" s="144" t="s">
        <v>1</v>
      </c>
      <c r="I221" s="146"/>
      <c r="L221" s="143"/>
      <c r="N221" s="215"/>
      <c r="O221" s="216"/>
      <c r="Q221" s="230"/>
      <c r="BD221" s="147"/>
      <c r="BK221" s="148"/>
      <c r="CK221" s="144" t="s">
        <v>301</v>
      </c>
      <c r="CL221" s="144" t="s">
        <v>83</v>
      </c>
      <c r="CM221" s="11" t="s">
        <v>81</v>
      </c>
      <c r="CN221" s="11" t="s">
        <v>32</v>
      </c>
      <c r="CO221" s="11" t="s">
        <v>74</v>
      </c>
      <c r="CP221" s="144" t="s">
        <v>282</v>
      </c>
    </row>
    <row r="222" spans="2:108" s="12" customFormat="1" x14ac:dyDescent="0.2">
      <c r="B222" s="149"/>
      <c r="D222" s="138" t="s">
        <v>301</v>
      </c>
      <c r="E222" s="150" t="s">
        <v>1</v>
      </c>
      <c r="F222" s="151" t="s">
        <v>2409</v>
      </c>
      <c r="H222" s="152">
        <v>-20.312999999999999</v>
      </c>
      <c r="I222" s="153"/>
      <c r="L222" s="149"/>
      <c r="N222" s="217">
        <f>-N253</f>
        <v>-20.490300000000001</v>
      </c>
      <c r="O222" s="218"/>
      <c r="Q222" s="231"/>
      <c r="BD222" s="154"/>
      <c r="BK222" s="155"/>
      <c r="CK222" s="150" t="s">
        <v>301</v>
      </c>
      <c r="CL222" s="150" t="s">
        <v>83</v>
      </c>
      <c r="CM222" s="12" t="s">
        <v>83</v>
      </c>
      <c r="CN222" s="12" t="s">
        <v>32</v>
      </c>
      <c r="CO222" s="12" t="s">
        <v>74</v>
      </c>
      <c r="CP222" s="150" t="s">
        <v>282</v>
      </c>
    </row>
    <row r="223" spans="2:108" s="11" customFormat="1" x14ac:dyDescent="0.2">
      <c r="B223" s="143"/>
      <c r="D223" s="138" t="s">
        <v>301</v>
      </c>
      <c r="E223" s="144" t="s">
        <v>1</v>
      </c>
      <c r="F223" s="145" t="s">
        <v>2307</v>
      </c>
      <c r="H223" s="144" t="s">
        <v>1</v>
      </c>
      <c r="I223" s="146"/>
      <c r="L223" s="143"/>
      <c r="N223" s="215"/>
      <c r="O223" s="216"/>
      <c r="Q223" s="230"/>
      <c r="BD223" s="147"/>
      <c r="BK223" s="148"/>
      <c r="CK223" s="144" t="s">
        <v>301</v>
      </c>
      <c r="CL223" s="144" t="s">
        <v>83</v>
      </c>
      <c r="CM223" s="11" t="s">
        <v>81</v>
      </c>
      <c r="CN223" s="11" t="s">
        <v>32</v>
      </c>
      <c r="CO223" s="11" t="s">
        <v>74</v>
      </c>
      <c r="CP223" s="144" t="s">
        <v>282</v>
      </c>
    </row>
    <row r="224" spans="2:108" s="12" customFormat="1" x14ac:dyDescent="0.2">
      <c r="B224" s="149"/>
      <c r="D224" s="138" t="s">
        <v>301</v>
      </c>
      <c r="E224" s="150" t="s">
        <v>1</v>
      </c>
      <c r="F224" s="151" t="s">
        <v>1725</v>
      </c>
      <c r="H224" s="152">
        <v>-0.5</v>
      </c>
      <c r="I224" s="153"/>
      <c r="L224" s="149"/>
      <c r="N224" s="310">
        <f>-H255</f>
        <v>-0.5</v>
      </c>
      <c r="O224" s="218"/>
      <c r="Q224" s="231"/>
      <c r="BD224" s="154"/>
      <c r="BK224" s="155"/>
      <c r="CK224" s="150" t="s">
        <v>301</v>
      </c>
      <c r="CL224" s="150" t="s">
        <v>83</v>
      </c>
      <c r="CM224" s="12" t="s">
        <v>83</v>
      </c>
      <c r="CN224" s="12" t="s">
        <v>32</v>
      </c>
      <c r="CO224" s="12" t="s">
        <v>74</v>
      </c>
      <c r="CP224" s="150" t="s">
        <v>282</v>
      </c>
    </row>
    <row r="225" spans="2:108" s="11" customFormat="1" x14ac:dyDescent="0.2">
      <c r="B225" s="143"/>
      <c r="D225" s="138" t="s">
        <v>301</v>
      </c>
      <c r="E225" s="144" t="s">
        <v>1</v>
      </c>
      <c r="F225" s="145" t="s">
        <v>436</v>
      </c>
      <c r="H225" s="144" t="s">
        <v>1</v>
      </c>
      <c r="I225" s="146"/>
      <c r="L225" s="143"/>
      <c r="N225" s="215"/>
      <c r="O225" s="216"/>
      <c r="Q225" s="230"/>
      <c r="BD225" s="147"/>
      <c r="BK225" s="148"/>
      <c r="CK225" s="144" t="s">
        <v>301</v>
      </c>
      <c r="CL225" s="144" t="s">
        <v>83</v>
      </c>
      <c r="CM225" s="11" t="s">
        <v>81</v>
      </c>
      <c r="CN225" s="11" t="s">
        <v>32</v>
      </c>
      <c r="CO225" s="11" t="s">
        <v>74</v>
      </c>
      <c r="CP225" s="144" t="s">
        <v>282</v>
      </c>
    </row>
    <row r="226" spans="2:108" s="12" customFormat="1" x14ac:dyDescent="0.2">
      <c r="B226" s="149"/>
      <c r="D226" s="138" t="s">
        <v>301</v>
      </c>
      <c r="E226" s="150" t="s">
        <v>1</v>
      </c>
      <c r="F226" s="151" t="s">
        <v>2410</v>
      </c>
      <c r="H226" s="152">
        <v>81.251999999999995</v>
      </c>
      <c r="I226" s="153"/>
      <c r="L226" s="149"/>
      <c r="N226" s="217">
        <f>227.67*0.9*(0.45-0.05)</f>
        <v>81.961200000000005</v>
      </c>
      <c r="O226" s="218" t="s">
        <v>3574</v>
      </c>
      <c r="Q226" s="231"/>
      <c r="BD226" s="154"/>
      <c r="BK226" s="155"/>
      <c r="CK226" s="150" t="s">
        <v>301</v>
      </c>
      <c r="CL226" s="150" t="s">
        <v>83</v>
      </c>
      <c r="CM226" s="12" t="s">
        <v>83</v>
      </c>
      <c r="CN226" s="12" t="s">
        <v>32</v>
      </c>
      <c r="CO226" s="12" t="s">
        <v>74</v>
      </c>
      <c r="CP226" s="150" t="s">
        <v>282</v>
      </c>
    </row>
    <row r="227" spans="2:108" s="13" customFormat="1" x14ac:dyDescent="0.2">
      <c r="B227" s="156"/>
      <c r="D227" s="138" t="s">
        <v>301</v>
      </c>
      <c r="E227" s="157" t="s">
        <v>1</v>
      </c>
      <c r="F227" s="158" t="s">
        <v>305</v>
      </c>
      <c r="H227" s="159">
        <v>312.322</v>
      </c>
      <c r="I227" s="160"/>
      <c r="L227" s="156"/>
      <c r="N227" s="311">
        <f>N218+N220+N222+N224+N226</f>
        <v>315.05067000000003</v>
      </c>
      <c r="O227" s="220"/>
      <c r="Q227" s="232"/>
      <c r="BD227" s="161"/>
      <c r="BK227" s="162"/>
      <c r="CK227" s="157" t="s">
        <v>301</v>
      </c>
      <c r="CL227" s="157" t="s">
        <v>83</v>
      </c>
      <c r="CM227" s="13" t="s">
        <v>95</v>
      </c>
      <c r="CN227" s="13" t="s">
        <v>32</v>
      </c>
      <c r="CO227" s="13" t="s">
        <v>81</v>
      </c>
      <c r="CP227" s="157" t="s">
        <v>282</v>
      </c>
    </row>
    <row r="228" spans="2:108" s="13" customFormat="1" x14ac:dyDescent="0.2">
      <c r="B228" s="156"/>
      <c r="D228" s="138"/>
      <c r="E228" s="157"/>
      <c r="F228" s="158"/>
      <c r="H228" s="159"/>
      <c r="I228" s="160"/>
      <c r="L228" s="156"/>
      <c r="N228" s="311">
        <f>N227-H227</f>
        <v>2.7286700000000224</v>
      </c>
      <c r="O228" s="220"/>
      <c r="Q228" s="232"/>
      <c r="BD228" s="161"/>
      <c r="BK228" s="162"/>
      <c r="CK228" s="157"/>
      <c r="CL228" s="157"/>
      <c r="CP228" s="157"/>
    </row>
    <row r="229" spans="2:108" s="1" customFormat="1" ht="14.45" customHeight="1" x14ac:dyDescent="0.2">
      <c r="B229" s="124"/>
      <c r="C229" s="170" t="s">
        <v>415</v>
      </c>
      <c r="D229" s="170" t="s">
        <v>439</v>
      </c>
      <c r="E229" s="171" t="s">
        <v>440</v>
      </c>
      <c r="F229" s="172" t="s">
        <v>441</v>
      </c>
      <c r="G229" s="173" t="s">
        <v>418</v>
      </c>
      <c r="H229" s="174">
        <v>624.66399999999999</v>
      </c>
      <c r="I229" s="175">
        <v>390.0974172</v>
      </c>
      <c r="J229" s="176">
        <f>ROUND(I229*H229,2)</f>
        <v>243679.81</v>
      </c>
      <c r="K229" s="172" t="s">
        <v>293</v>
      </c>
      <c r="L229" s="268">
        <f>S229</f>
        <v>0</v>
      </c>
      <c r="M229" s="272">
        <f>ROUND(L229*I229,2)</f>
        <v>0</v>
      </c>
      <c r="N229" s="243">
        <f>N232</f>
        <v>5.4580000000000002</v>
      </c>
      <c r="O229" s="294">
        <f>ROUND(N229*I229,2)</f>
        <v>2129.15</v>
      </c>
      <c r="P229" s="273">
        <f>H229-L229-N229</f>
        <v>619.20600000000002</v>
      </c>
      <c r="Q229" s="287">
        <f>ROUND(P229*I229,2)</f>
        <v>241550.66</v>
      </c>
      <c r="R229" s="137"/>
      <c r="S229" s="269">
        <f>W229+Y229+AA229+AC229</f>
        <v>0</v>
      </c>
      <c r="T229" s="269">
        <f>ROUND(S229*I229,2)</f>
        <v>0</v>
      </c>
      <c r="U229" s="269">
        <f>H229-S229</f>
        <v>624.66399999999999</v>
      </c>
      <c r="V229" s="269">
        <f>ROUND(U229*I229,2)</f>
        <v>243679.81</v>
      </c>
      <c r="W229" s="290"/>
      <c r="X229" s="290"/>
      <c r="Y229" s="290"/>
      <c r="Z229" s="290"/>
      <c r="AA229" s="290"/>
      <c r="AB229" s="290"/>
      <c r="AC229" s="290"/>
      <c r="AD229" s="290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77" t="s">
        <v>1</v>
      </c>
      <c r="BE229" s="178" t="s">
        <v>40</v>
      </c>
      <c r="BG229" s="134">
        <f>BF229*H229</f>
        <v>0</v>
      </c>
      <c r="BH229" s="134">
        <v>1</v>
      </c>
      <c r="BI229" s="134">
        <f>BH229*H229</f>
        <v>624.66399999999999</v>
      </c>
      <c r="BJ229" s="134">
        <v>0</v>
      </c>
      <c r="BK229" s="135">
        <f>BJ229*H229</f>
        <v>0</v>
      </c>
      <c r="CI229" s="136" t="s">
        <v>328</v>
      </c>
      <c r="CK229" s="136" t="s">
        <v>439</v>
      </c>
      <c r="CL229" s="136" t="s">
        <v>83</v>
      </c>
      <c r="CP229" s="16" t="s">
        <v>282</v>
      </c>
      <c r="CV229" s="137">
        <f>IF(BE229="základní",J229,0)</f>
        <v>243679.81</v>
      </c>
      <c r="CW229" s="137">
        <f>IF(BE229="snížená",J229,0)</f>
        <v>0</v>
      </c>
      <c r="CX229" s="137">
        <f>IF(BE229="zákl. přenesená",J229,0)</f>
        <v>0</v>
      </c>
      <c r="CY229" s="137">
        <f>IF(BE229="sníž. přenesená",J229,0)</f>
        <v>0</v>
      </c>
      <c r="CZ229" s="137">
        <f>IF(BE229="nulová",J229,0)</f>
        <v>0</v>
      </c>
      <c r="DA229" s="16" t="s">
        <v>81</v>
      </c>
      <c r="DB229" s="137">
        <f>ROUND(I229*H229,2)</f>
        <v>243679.81</v>
      </c>
      <c r="DC229" s="16" t="s">
        <v>95</v>
      </c>
      <c r="DD229" s="136" t="s">
        <v>442</v>
      </c>
    </row>
    <row r="230" spans="2:108" s="1" customFormat="1" x14ac:dyDescent="0.2">
      <c r="B230" s="31"/>
      <c r="D230" s="138" t="s">
        <v>289</v>
      </c>
      <c r="F230" s="139" t="s">
        <v>441</v>
      </c>
      <c r="I230" s="140"/>
      <c r="L230" s="31"/>
      <c r="N230" s="213"/>
      <c r="O230" s="214"/>
      <c r="Q230" s="229"/>
      <c r="BD230" s="141"/>
      <c r="BK230" s="50"/>
      <c r="CK230" s="16" t="s">
        <v>289</v>
      </c>
      <c r="CL230" s="16" t="s">
        <v>83</v>
      </c>
    </row>
    <row r="231" spans="2:108" s="1" customFormat="1" ht="19.5" x14ac:dyDescent="0.2">
      <c r="B231" s="31"/>
      <c r="D231" s="138" t="s">
        <v>299</v>
      </c>
      <c r="F231" s="142" t="s">
        <v>443</v>
      </c>
      <c r="I231" s="140"/>
      <c r="L231" s="31"/>
      <c r="N231" s="213"/>
      <c r="O231" s="214"/>
      <c r="Q231" s="229"/>
      <c r="BD231" s="141"/>
      <c r="BK231" s="50"/>
      <c r="CK231" s="16" t="s">
        <v>299</v>
      </c>
      <c r="CL231" s="16" t="s">
        <v>83</v>
      </c>
    </row>
    <row r="232" spans="2:108" s="12" customFormat="1" x14ac:dyDescent="0.2">
      <c r="B232" s="149"/>
      <c r="D232" s="138" t="s">
        <v>301</v>
      </c>
      <c r="F232" s="151" t="s">
        <v>2411</v>
      </c>
      <c r="H232" s="152">
        <v>624.66399999999999</v>
      </c>
      <c r="I232" s="153"/>
      <c r="L232" s="149"/>
      <c r="N232" s="217">
        <f>2.729*2</f>
        <v>5.4580000000000002</v>
      </c>
      <c r="O232" s="218" t="s">
        <v>3575</v>
      </c>
      <c r="Q232" s="231"/>
      <c r="BD232" s="154"/>
      <c r="BK232" s="155"/>
      <c r="CK232" s="150" t="s">
        <v>301</v>
      </c>
      <c r="CL232" s="150" t="s">
        <v>83</v>
      </c>
      <c r="CM232" s="12" t="s">
        <v>83</v>
      </c>
      <c r="CN232" s="12" t="s">
        <v>3</v>
      </c>
      <c r="CO232" s="12" t="s">
        <v>81</v>
      </c>
      <c r="CP232" s="150" t="s">
        <v>282</v>
      </c>
    </row>
    <row r="233" spans="2:108" s="1" customFormat="1" ht="24.2" customHeight="1" x14ac:dyDescent="0.2">
      <c r="B233" s="124"/>
      <c r="C233" s="125" t="s">
        <v>422</v>
      </c>
      <c r="D233" s="125" t="s">
        <v>284</v>
      </c>
      <c r="E233" s="126" t="s">
        <v>446</v>
      </c>
      <c r="F233" s="127" t="s">
        <v>447</v>
      </c>
      <c r="G233" s="128" t="s">
        <v>366</v>
      </c>
      <c r="H233" s="129">
        <v>83.283000000000001</v>
      </c>
      <c r="I233" s="130">
        <v>510.38291484661499</v>
      </c>
      <c r="J233" s="131">
        <f>ROUND(I233*H233,2)</f>
        <v>42506.22</v>
      </c>
      <c r="K233" s="127" t="s">
        <v>293</v>
      </c>
      <c r="L233" s="268">
        <f>S233</f>
        <v>0</v>
      </c>
      <c r="M233" s="272">
        <f>ROUND(L233*I233,2)</f>
        <v>0</v>
      </c>
      <c r="N233" s="243">
        <f>N237</f>
        <v>0.72722999999999161</v>
      </c>
      <c r="O233" s="294">
        <f>ROUND(N233*I233,2)</f>
        <v>371.17</v>
      </c>
      <c r="P233" s="273">
        <f>H233-L233-N233</f>
        <v>82.55577000000001</v>
      </c>
      <c r="Q233" s="287">
        <f>ROUND(P233*I233,2)</f>
        <v>42135.05</v>
      </c>
      <c r="R233" s="137"/>
      <c r="S233" s="269">
        <f>W233+Y233+AA233+AC233</f>
        <v>0</v>
      </c>
      <c r="T233" s="269">
        <f>ROUND(S233*I233,2)</f>
        <v>0</v>
      </c>
      <c r="U233" s="269">
        <f>H233-S233</f>
        <v>83.283000000000001</v>
      </c>
      <c r="V233" s="269">
        <f>ROUND(U233*I233,2)</f>
        <v>42506.22</v>
      </c>
      <c r="W233" s="269"/>
      <c r="X233" s="269"/>
      <c r="Y233" s="269"/>
      <c r="Z233" s="269"/>
      <c r="AA233" s="269"/>
      <c r="AB233" s="269"/>
      <c r="AC233" s="269"/>
      <c r="AD233" s="269"/>
      <c r="BD233" s="132" t="s">
        <v>1</v>
      </c>
      <c r="BE233" s="133" t="s">
        <v>40</v>
      </c>
      <c r="BG233" s="134">
        <f>BF233*H233</f>
        <v>0</v>
      </c>
      <c r="BH233" s="134">
        <v>0</v>
      </c>
      <c r="BI233" s="134">
        <f>BH233*H233</f>
        <v>0</v>
      </c>
      <c r="BJ233" s="134">
        <v>0</v>
      </c>
      <c r="BK233" s="135">
        <f>BJ233*H233</f>
        <v>0</v>
      </c>
      <c r="CI233" s="136" t="s">
        <v>95</v>
      </c>
      <c r="CK233" s="136" t="s">
        <v>284</v>
      </c>
      <c r="CL233" s="136" t="s">
        <v>83</v>
      </c>
      <c r="CP233" s="16" t="s">
        <v>282</v>
      </c>
      <c r="CV233" s="137">
        <f>IF(BE233="základní",J233,0)</f>
        <v>42506.22</v>
      </c>
      <c r="CW233" s="137">
        <f>IF(BE233="snížená",J233,0)</f>
        <v>0</v>
      </c>
      <c r="CX233" s="137">
        <f>IF(BE233="zákl. přenesená",J233,0)</f>
        <v>0</v>
      </c>
      <c r="CY233" s="137">
        <f>IF(BE233="sníž. přenesená",J233,0)</f>
        <v>0</v>
      </c>
      <c r="CZ233" s="137">
        <f>IF(BE233="nulová",J233,0)</f>
        <v>0</v>
      </c>
      <c r="DA233" s="16" t="s">
        <v>81</v>
      </c>
      <c r="DB233" s="137">
        <f>ROUND(I233*H233,2)</f>
        <v>42506.22</v>
      </c>
      <c r="DC233" s="16" t="s">
        <v>95</v>
      </c>
      <c r="DD233" s="136" t="s">
        <v>448</v>
      </c>
    </row>
    <row r="234" spans="2:108" s="1" customFormat="1" ht="39" x14ac:dyDescent="0.2">
      <c r="B234" s="31"/>
      <c r="D234" s="138" t="s">
        <v>289</v>
      </c>
      <c r="F234" s="139" t="s">
        <v>449</v>
      </c>
      <c r="I234" s="140"/>
      <c r="L234" s="31"/>
      <c r="N234" s="213"/>
      <c r="O234" s="214"/>
      <c r="Q234" s="229"/>
      <c r="BD234" s="141"/>
      <c r="BK234" s="50"/>
      <c r="CK234" s="16" t="s">
        <v>289</v>
      </c>
      <c r="CL234" s="16" t="s">
        <v>83</v>
      </c>
    </row>
    <row r="235" spans="2:108" s="1" customFormat="1" ht="29.25" x14ac:dyDescent="0.2">
      <c r="B235" s="31"/>
      <c r="D235" s="138" t="s">
        <v>299</v>
      </c>
      <c r="F235" s="142" t="s">
        <v>2291</v>
      </c>
      <c r="I235" s="140"/>
      <c r="L235" s="31"/>
      <c r="N235" s="213"/>
      <c r="O235" s="214"/>
      <c r="Q235" s="229"/>
      <c r="BD235" s="141"/>
      <c r="BK235" s="50"/>
      <c r="CK235" s="16" t="s">
        <v>299</v>
      </c>
      <c r="CL235" s="16" t="s">
        <v>83</v>
      </c>
    </row>
    <row r="236" spans="2:108" s="12" customFormat="1" x14ac:dyDescent="0.2">
      <c r="B236" s="149"/>
      <c r="D236" s="138" t="s">
        <v>301</v>
      </c>
      <c r="E236" s="150" t="s">
        <v>1</v>
      </c>
      <c r="F236" s="151" t="s">
        <v>2412</v>
      </c>
      <c r="H236" s="152">
        <v>83.283000000000001</v>
      </c>
      <c r="I236" s="153"/>
      <c r="L236" s="149"/>
      <c r="N236" s="217">
        <f>227.67*0.9*0.41</f>
        <v>84.010229999999993</v>
      </c>
      <c r="O236" s="218" t="s">
        <v>3570</v>
      </c>
      <c r="Q236" s="231"/>
      <c r="BD236" s="154"/>
      <c r="BK236" s="155"/>
      <c r="CK236" s="150" t="s">
        <v>301</v>
      </c>
      <c r="CL236" s="150" t="s">
        <v>83</v>
      </c>
      <c r="CM236" s="12" t="s">
        <v>83</v>
      </c>
      <c r="CN236" s="12" t="s">
        <v>32</v>
      </c>
      <c r="CO236" s="12" t="s">
        <v>81</v>
      </c>
      <c r="CP236" s="150" t="s">
        <v>282</v>
      </c>
    </row>
    <row r="237" spans="2:108" s="12" customFormat="1" x14ac:dyDescent="0.2">
      <c r="B237" s="149"/>
      <c r="D237" s="138"/>
      <c r="E237" s="150"/>
      <c r="F237" s="151"/>
      <c r="H237" s="152"/>
      <c r="I237" s="153"/>
      <c r="L237" s="149"/>
      <c r="N237" s="310">
        <f>N236-H236</f>
        <v>0.72722999999999161</v>
      </c>
      <c r="O237" s="218"/>
      <c r="Q237" s="231"/>
      <c r="BD237" s="154"/>
      <c r="BK237" s="155"/>
      <c r="CK237" s="150"/>
      <c r="CL237" s="150"/>
      <c r="CP237" s="150"/>
    </row>
    <row r="238" spans="2:108" s="1" customFormat="1" ht="14.45" customHeight="1" x14ac:dyDescent="0.2">
      <c r="B238" s="124"/>
      <c r="C238" s="170" t="s">
        <v>438</v>
      </c>
      <c r="D238" s="170" t="s">
        <v>439</v>
      </c>
      <c r="E238" s="171" t="s">
        <v>452</v>
      </c>
      <c r="F238" s="172" t="s">
        <v>453</v>
      </c>
      <c r="G238" s="173" t="s">
        <v>418</v>
      </c>
      <c r="H238" s="174">
        <v>166.566</v>
      </c>
      <c r="I238" s="175">
        <v>380.62816190000001</v>
      </c>
      <c r="J238" s="176">
        <f>ROUND(I238*H238,2)</f>
        <v>63399.71</v>
      </c>
      <c r="K238" s="172" t="s">
        <v>293</v>
      </c>
      <c r="L238" s="268">
        <f>S238</f>
        <v>0</v>
      </c>
      <c r="M238" s="272">
        <f>ROUND(L238*I238,2)</f>
        <v>0</v>
      </c>
      <c r="N238" s="243">
        <f>N240</f>
        <v>1.454</v>
      </c>
      <c r="O238" s="294">
        <f>ROUND(N238*I238,2)</f>
        <v>553.42999999999995</v>
      </c>
      <c r="P238" s="273">
        <f>H238-L238-N238</f>
        <v>165.11199999999999</v>
      </c>
      <c r="Q238" s="287">
        <f>ROUND(P238*I238,2)</f>
        <v>62846.28</v>
      </c>
      <c r="R238" s="137"/>
      <c r="S238" s="269">
        <f>W238+Y238+AA238+AC238</f>
        <v>0</v>
      </c>
      <c r="T238" s="269">
        <f>ROUND(S238*I238,2)</f>
        <v>0</v>
      </c>
      <c r="U238" s="269">
        <f>H238-S238</f>
        <v>166.566</v>
      </c>
      <c r="V238" s="269">
        <f>ROUND(U238*I238,2)</f>
        <v>63399.71</v>
      </c>
      <c r="W238" s="290"/>
      <c r="X238" s="290"/>
      <c r="Y238" s="290"/>
      <c r="Z238" s="290"/>
      <c r="AA238" s="290"/>
      <c r="AB238" s="290"/>
      <c r="AC238" s="290"/>
      <c r="AD238" s="290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77" t="s">
        <v>1</v>
      </c>
      <c r="BE238" s="178" t="s">
        <v>40</v>
      </c>
      <c r="BG238" s="134">
        <f>BF238*H238</f>
        <v>0</v>
      </c>
      <c r="BH238" s="134">
        <v>1</v>
      </c>
      <c r="BI238" s="134">
        <f>BH238*H238</f>
        <v>166.566</v>
      </c>
      <c r="BJ238" s="134">
        <v>0</v>
      </c>
      <c r="BK238" s="135">
        <f>BJ238*H238</f>
        <v>0</v>
      </c>
      <c r="CI238" s="136" t="s">
        <v>328</v>
      </c>
      <c r="CK238" s="136" t="s">
        <v>439</v>
      </c>
      <c r="CL238" s="136" t="s">
        <v>83</v>
      </c>
      <c r="CP238" s="16" t="s">
        <v>282</v>
      </c>
      <c r="CV238" s="137">
        <f>IF(BE238="základní",J238,0)</f>
        <v>63399.71</v>
      </c>
      <c r="CW238" s="137">
        <f>IF(BE238="snížená",J238,0)</f>
        <v>0</v>
      </c>
      <c r="CX238" s="137">
        <f>IF(BE238="zákl. přenesená",J238,0)</f>
        <v>0</v>
      </c>
      <c r="CY238" s="137">
        <f>IF(BE238="sníž. přenesená",J238,0)</f>
        <v>0</v>
      </c>
      <c r="CZ238" s="137">
        <f>IF(BE238="nulová",J238,0)</f>
        <v>0</v>
      </c>
      <c r="DA238" s="16" t="s">
        <v>81</v>
      </c>
      <c r="DB238" s="137">
        <f>ROUND(I238*H238,2)</f>
        <v>63399.71</v>
      </c>
      <c r="DC238" s="16" t="s">
        <v>95</v>
      </c>
      <c r="DD238" s="136" t="s">
        <v>454</v>
      </c>
    </row>
    <row r="239" spans="2:108" s="1" customFormat="1" x14ac:dyDescent="0.2">
      <c r="B239" s="31"/>
      <c r="D239" s="138" t="s">
        <v>289</v>
      </c>
      <c r="F239" s="139" t="s">
        <v>453</v>
      </c>
      <c r="I239" s="140"/>
      <c r="L239" s="31"/>
      <c r="N239" s="213"/>
      <c r="O239" s="214"/>
      <c r="Q239" s="229"/>
      <c r="BD239" s="141"/>
      <c r="BK239" s="50"/>
      <c r="CK239" s="16" t="s">
        <v>289</v>
      </c>
      <c r="CL239" s="16" t="s">
        <v>83</v>
      </c>
    </row>
    <row r="240" spans="2:108" s="12" customFormat="1" x14ac:dyDescent="0.2">
      <c r="B240" s="149"/>
      <c r="D240" s="138" t="s">
        <v>301</v>
      </c>
      <c r="F240" s="151" t="s">
        <v>2413</v>
      </c>
      <c r="H240" s="152">
        <v>166.566</v>
      </c>
      <c r="I240" s="153"/>
      <c r="L240" s="149"/>
      <c r="N240" s="217">
        <f>0.727*2</f>
        <v>1.454</v>
      </c>
      <c r="O240" s="218" t="s">
        <v>3571</v>
      </c>
      <c r="Q240" s="231"/>
      <c r="BD240" s="154"/>
      <c r="BK240" s="155"/>
      <c r="CK240" s="150" t="s">
        <v>301</v>
      </c>
      <c r="CL240" s="150" t="s">
        <v>83</v>
      </c>
      <c r="CM240" s="12" t="s">
        <v>83</v>
      </c>
      <c r="CN240" s="12" t="s">
        <v>3</v>
      </c>
      <c r="CO240" s="12" t="s">
        <v>81</v>
      </c>
      <c r="CP240" s="150" t="s">
        <v>282</v>
      </c>
    </row>
    <row r="241" spans="2:108" s="1" customFormat="1" ht="24.2" customHeight="1" x14ac:dyDescent="0.2">
      <c r="B241" s="124"/>
      <c r="C241" s="125" t="s">
        <v>445</v>
      </c>
      <c r="D241" s="125" t="s">
        <v>284</v>
      </c>
      <c r="E241" s="126" t="s">
        <v>457</v>
      </c>
      <c r="F241" s="127" t="s">
        <v>458</v>
      </c>
      <c r="G241" s="128" t="s">
        <v>418</v>
      </c>
      <c r="H241" s="129">
        <v>791.23</v>
      </c>
      <c r="I241" s="130">
        <v>61.737071122597108</v>
      </c>
      <c r="J241" s="131">
        <f>ROUND(I241*H241,2)</f>
        <v>48848.22</v>
      </c>
      <c r="K241" s="127" t="s">
        <v>293</v>
      </c>
      <c r="L241" s="268">
        <f>S241</f>
        <v>0</v>
      </c>
      <c r="M241" s="272">
        <f>ROUND(L241*I241,2)</f>
        <v>0</v>
      </c>
      <c r="N241" s="243">
        <f>N243</f>
        <v>6.9119999999999999</v>
      </c>
      <c r="O241" s="294">
        <f>ROUND(N241*I241,2)</f>
        <v>426.73</v>
      </c>
      <c r="P241" s="273">
        <f>H241-L241-N241</f>
        <v>784.31799999999998</v>
      </c>
      <c r="Q241" s="287">
        <f>ROUND(P241*I241,2)</f>
        <v>48421.5</v>
      </c>
      <c r="R241" s="137"/>
      <c r="S241" s="269">
        <f>W241+Y241+AA241+AC241</f>
        <v>0</v>
      </c>
      <c r="T241" s="269">
        <f>ROUND(S241*I241,2)</f>
        <v>0</v>
      </c>
      <c r="U241" s="269">
        <f>H241-S241</f>
        <v>791.23</v>
      </c>
      <c r="V241" s="269">
        <f>ROUND(U241*I241,2)</f>
        <v>48848.22</v>
      </c>
      <c r="W241" s="269"/>
      <c r="X241" s="269"/>
      <c r="Y241" s="269"/>
      <c r="Z241" s="269"/>
      <c r="AA241" s="269"/>
      <c r="AB241" s="269"/>
      <c r="AC241" s="269"/>
      <c r="AD241" s="269"/>
      <c r="BD241" s="132" t="s">
        <v>1</v>
      </c>
      <c r="BE241" s="133" t="s">
        <v>40</v>
      </c>
      <c r="BG241" s="134">
        <f>BF241*H241</f>
        <v>0</v>
      </c>
      <c r="BH241" s="134">
        <v>0</v>
      </c>
      <c r="BI241" s="134">
        <f>BH241*H241</f>
        <v>0</v>
      </c>
      <c r="BJ241" s="134">
        <v>0</v>
      </c>
      <c r="BK241" s="135">
        <f>BJ241*H241</f>
        <v>0</v>
      </c>
      <c r="CI241" s="136" t="s">
        <v>95</v>
      </c>
      <c r="CK241" s="136" t="s">
        <v>284</v>
      </c>
      <c r="CL241" s="136" t="s">
        <v>83</v>
      </c>
      <c r="CP241" s="16" t="s">
        <v>282</v>
      </c>
      <c r="CV241" s="137">
        <f>IF(BE241="základní",J241,0)</f>
        <v>48848.22</v>
      </c>
      <c r="CW241" s="137">
        <f>IF(BE241="snížená",J241,0)</f>
        <v>0</v>
      </c>
      <c r="CX241" s="137">
        <f>IF(BE241="zákl. přenesená",J241,0)</f>
        <v>0</v>
      </c>
      <c r="CY241" s="137">
        <f>IF(BE241="sníž. přenesená",J241,0)</f>
        <v>0</v>
      </c>
      <c r="CZ241" s="137">
        <f>IF(BE241="nulová",J241,0)</f>
        <v>0</v>
      </c>
      <c r="DA241" s="16" t="s">
        <v>81</v>
      </c>
      <c r="DB241" s="137">
        <f>ROUND(I241*H241,2)</f>
        <v>48848.22</v>
      </c>
      <c r="DC241" s="16" t="s">
        <v>95</v>
      </c>
      <c r="DD241" s="136" t="s">
        <v>459</v>
      </c>
    </row>
    <row r="242" spans="2:108" s="1" customFormat="1" ht="29.25" x14ac:dyDescent="0.2">
      <c r="B242" s="31"/>
      <c r="D242" s="138" t="s">
        <v>289</v>
      </c>
      <c r="F242" s="139" t="s">
        <v>460</v>
      </c>
      <c r="I242" s="140"/>
      <c r="L242" s="31"/>
      <c r="N242" s="213"/>
      <c r="O242" s="214"/>
      <c r="Q242" s="229"/>
      <c r="BD242" s="141"/>
      <c r="BK242" s="50"/>
      <c r="CK242" s="16" t="s">
        <v>289</v>
      </c>
      <c r="CL242" s="16" t="s">
        <v>83</v>
      </c>
    </row>
    <row r="243" spans="2:108" s="12" customFormat="1" x14ac:dyDescent="0.2">
      <c r="B243" s="149"/>
      <c r="D243" s="138" t="s">
        <v>301</v>
      </c>
      <c r="E243" s="150" t="s">
        <v>1</v>
      </c>
      <c r="F243" s="151" t="s">
        <v>2414</v>
      </c>
      <c r="H243" s="152">
        <v>791.23</v>
      </c>
      <c r="I243" s="153"/>
      <c r="L243" s="149"/>
      <c r="N243" s="217">
        <f>5.458+1.454</f>
        <v>6.9119999999999999</v>
      </c>
      <c r="O243" s="218" t="s">
        <v>3576</v>
      </c>
      <c r="Q243" s="231"/>
      <c r="BD243" s="154"/>
      <c r="BK243" s="155"/>
      <c r="CK243" s="150" t="s">
        <v>301</v>
      </c>
      <c r="CL243" s="150" t="s">
        <v>83</v>
      </c>
      <c r="CM243" s="12" t="s">
        <v>83</v>
      </c>
      <c r="CN243" s="12" t="s">
        <v>32</v>
      </c>
      <c r="CO243" s="12" t="s">
        <v>81</v>
      </c>
      <c r="CP243" s="150" t="s">
        <v>282</v>
      </c>
    </row>
    <row r="244" spans="2:108" s="10" customFormat="1" ht="22.9" customHeight="1" x14ac:dyDescent="0.2">
      <c r="B244" s="112"/>
      <c r="D244" s="113" t="s">
        <v>73</v>
      </c>
      <c r="E244" s="122" t="s">
        <v>83</v>
      </c>
      <c r="F244" s="122" t="s">
        <v>462</v>
      </c>
      <c r="I244" s="115"/>
      <c r="J244" s="123">
        <f>DB244</f>
        <v>59600.22</v>
      </c>
      <c r="L244" s="112"/>
      <c r="M244" s="270">
        <f>M245</f>
        <v>0</v>
      </c>
      <c r="N244" s="301"/>
      <c r="O244" s="302">
        <f t="shared" ref="O244:V244" si="3">O245</f>
        <v>520.21</v>
      </c>
      <c r="P244" s="270"/>
      <c r="Q244" s="288">
        <f t="shared" si="3"/>
        <v>59080</v>
      </c>
      <c r="R244" s="270"/>
      <c r="S244" s="270"/>
      <c r="T244" s="270">
        <f t="shared" si="3"/>
        <v>0</v>
      </c>
      <c r="U244" s="270"/>
      <c r="V244" s="270">
        <f t="shared" si="3"/>
        <v>59600.22</v>
      </c>
      <c r="BD244" s="117"/>
      <c r="BG244" s="118">
        <f>SUM(BG245:BG248)</f>
        <v>0</v>
      </c>
      <c r="BI244" s="118">
        <f>SUM(BI245:BI248)</f>
        <v>46.198532999999998</v>
      </c>
      <c r="BK244" s="119">
        <f>SUM(BK245:BK248)</f>
        <v>0</v>
      </c>
      <c r="CI244" s="113" t="s">
        <v>81</v>
      </c>
      <c r="CK244" s="120" t="s">
        <v>73</v>
      </c>
      <c r="CL244" s="120" t="s">
        <v>81</v>
      </c>
      <c r="CP244" s="113" t="s">
        <v>282</v>
      </c>
      <c r="DB244" s="121">
        <f>SUM(DB245:DB248)</f>
        <v>59600.22</v>
      </c>
    </row>
    <row r="245" spans="2:108" s="1" customFormat="1" ht="37.9" customHeight="1" x14ac:dyDescent="0.2">
      <c r="B245" s="124"/>
      <c r="C245" s="125" t="s">
        <v>451</v>
      </c>
      <c r="D245" s="125" t="s">
        <v>284</v>
      </c>
      <c r="E245" s="126" t="s">
        <v>464</v>
      </c>
      <c r="F245" s="127" t="s">
        <v>465</v>
      </c>
      <c r="G245" s="128" t="s">
        <v>344</v>
      </c>
      <c r="H245" s="129">
        <v>225.7</v>
      </c>
      <c r="I245" s="130">
        <v>264.06831423630393</v>
      </c>
      <c r="J245" s="131">
        <f>ROUND(I245*H245,2)</f>
        <v>59600.22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N248</f>
        <v>1.9699999999999989</v>
      </c>
      <c r="O245" s="294">
        <f>ROUND(N245*I245,2)</f>
        <v>520.21</v>
      </c>
      <c r="P245" s="273">
        <f>H245-L245-N245</f>
        <v>223.73</v>
      </c>
      <c r="Q245" s="287">
        <f>ROUND(P245*I245,2)</f>
        <v>59080</v>
      </c>
      <c r="R245" s="137"/>
      <c r="S245" s="269">
        <f>W245+Y245+AA245+AC245</f>
        <v>0</v>
      </c>
      <c r="T245" s="269">
        <f>ROUND(S245*I245,2)</f>
        <v>0</v>
      </c>
      <c r="U245" s="269">
        <f>H245-S245</f>
        <v>225.7</v>
      </c>
      <c r="V245" s="269">
        <f>ROUND(U245*I245,2)</f>
        <v>59600.22</v>
      </c>
      <c r="W245" s="269"/>
      <c r="X245" s="269"/>
      <c r="Y245" s="269"/>
      <c r="Z245" s="269"/>
      <c r="AA245" s="269"/>
      <c r="AB245" s="269"/>
      <c r="AC245" s="269"/>
      <c r="AD245" s="269"/>
      <c r="BD245" s="132" t="s">
        <v>1</v>
      </c>
      <c r="BE245" s="133" t="s">
        <v>40</v>
      </c>
      <c r="BG245" s="134">
        <f>BF245*H245</f>
        <v>0</v>
      </c>
      <c r="BH245" s="134">
        <v>0.20469000000000001</v>
      </c>
      <c r="BI245" s="134">
        <f>BH245*H245</f>
        <v>46.198532999999998</v>
      </c>
      <c r="BJ245" s="134">
        <v>0</v>
      </c>
      <c r="BK245" s="135">
        <f>BJ245*H245</f>
        <v>0</v>
      </c>
      <c r="CI245" s="136" t="s">
        <v>95</v>
      </c>
      <c r="CK245" s="136" t="s">
        <v>284</v>
      </c>
      <c r="CL245" s="136" t="s">
        <v>83</v>
      </c>
      <c r="CP245" s="16" t="s">
        <v>282</v>
      </c>
      <c r="CV245" s="137">
        <f>IF(BE245="základní",J245,0)</f>
        <v>59600.22</v>
      </c>
      <c r="CW245" s="137">
        <f>IF(BE245="snížená",J245,0)</f>
        <v>0</v>
      </c>
      <c r="CX245" s="137">
        <f>IF(BE245="zákl. přenesená",J245,0)</f>
        <v>0</v>
      </c>
      <c r="CY245" s="137">
        <f>IF(BE245="sníž. přenesená",J245,0)</f>
        <v>0</v>
      </c>
      <c r="CZ245" s="137">
        <f>IF(BE245="nulová",J245,0)</f>
        <v>0</v>
      </c>
      <c r="DA245" s="16" t="s">
        <v>81</v>
      </c>
      <c r="DB245" s="137">
        <f>ROUND(I245*H245,2)</f>
        <v>59600.22</v>
      </c>
      <c r="DC245" s="16" t="s">
        <v>95</v>
      </c>
      <c r="DD245" s="136" t="s">
        <v>466</v>
      </c>
    </row>
    <row r="246" spans="2:108" s="1" customFormat="1" ht="39" x14ac:dyDescent="0.2">
      <c r="B246" s="31"/>
      <c r="D246" s="138" t="s">
        <v>289</v>
      </c>
      <c r="F246" s="139" t="s">
        <v>467</v>
      </c>
      <c r="I246" s="140"/>
      <c r="L246" s="31"/>
      <c r="N246" s="213"/>
      <c r="O246" s="214"/>
      <c r="Q246" s="229"/>
      <c r="BD246" s="141"/>
      <c r="BK246" s="50"/>
      <c r="CK246" s="16" t="s">
        <v>289</v>
      </c>
      <c r="CL246" s="16" t="s">
        <v>83</v>
      </c>
    </row>
    <row r="247" spans="2:108" s="1" customFormat="1" ht="29.25" x14ac:dyDescent="0.2">
      <c r="B247" s="31"/>
      <c r="D247" s="138" t="s">
        <v>299</v>
      </c>
      <c r="F247" s="142" t="s">
        <v>2291</v>
      </c>
      <c r="I247" s="140"/>
      <c r="L247" s="31"/>
      <c r="N247" s="213"/>
      <c r="O247" s="214"/>
      <c r="Q247" s="229"/>
      <c r="BD247" s="141"/>
      <c r="BK247" s="50"/>
      <c r="CK247" s="16" t="s">
        <v>299</v>
      </c>
      <c r="CL247" s="16" t="s">
        <v>83</v>
      </c>
    </row>
    <row r="248" spans="2:108" s="12" customFormat="1" x14ac:dyDescent="0.2">
      <c r="B248" s="149"/>
      <c r="D248" s="138" t="s">
        <v>301</v>
      </c>
      <c r="E248" s="150" t="s">
        <v>1</v>
      </c>
      <c r="F248" s="151" t="s">
        <v>2415</v>
      </c>
      <c r="H248" s="152">
        <v>225.7</v>
      </c>
      <c r="I248" s="153"/>
      <c r="L248" s="149"/>
      <c r="N248" s="217">
        <f>227.67-225.7</f>
        <v>1.9699999999999989</v>
      </c>
      <c r="O248" s="218" t="s">
        <v>3572</v>
      </c>
      <c r="Q248" s="231"/>
      <c r="BD248" s="154"/>
      <c r="BK248" s="155"/>
      <c r="CK248" s="150" t="s">
        <v>301</v>
      </c>
      <c r="CL248" s="150" t="s">
        <v>83</v>
      </c>
      <c r="CM248" s="12" t="s">
        <v>83</v>
      </c>
      <c r="CN248" s="12" t="s">
        <v>32</v>
      </c>
      <c r="CO248" s="12" t="s">
        <v>81</v>
      </c>
      <c r="CP248" s="150" t="s">
        <v>282</v>
      </c>
    </row>
    <row r="249" spans="2:108" s="10" customFormat="1" ht="22.9" customHeight="1" x14ac:dyDescent="0.2">
      <c r="B249" s="112"/>
      <c r="D249" s="113" t="s">
        <v>73</v>
      </c>
      <c r="E249" s="122" t="s">
        <v>95</v>
      </c>
      <c r="F249" s="122" t="s">
        <v>469</v>
      </c>
      <c r="I249" s="115"/>
      <c r="J249" s="123">
        <f>DB249</f>
        <v>25716</v>
      </c>
      <c r="L249" s="112"/>
      <c r="M249" s="270">
        <f>SUM(M250+M255)</f>
        <v>0</v>
      </c>
      <c r="N249" s="301"/>
      <c r="O249" s="302">
        <f t="shared" ref="O249:V249" si="4">SUM(O250+O255)</f>
        <v>212.79</v>
      </c>
      <c r="P249" s="270"/>
      <c r="Q249" s="288">
        <f t="shared" si="4"/>
        <v>25503.21</v>
      </c>
      <c r="R249" s="270"/>
      <c r="S249" s="270"/>
      <c r="T249" s="270">
        <f t="shared" si="4"/>
        <v>0</v>
      </c>
      <c r="U249" s="270"/>
      <c r="V249" s="270">
        <f t="shared" si="4"/>
        <v>25716</v>
      </c>
      <c r="BD249" s="117"/>
      <c r="BG249" s="118">
        <f>SUM(BG250:BG258)</f>
        <v>0</v>
      </c>
      <c r="BI249" s="118">
        <f>SUM(BI250:BI258)</f>
        <v>0</v>
      </c>
      <c r="BK249" s="119">
        <f>SUM(BK250:BK258)</f>
        <v>0</v>
      </c>
      <c r="CI249" s="113" t="s">
        <v>81</v>
      </c>
      <c r="CK249" s="120" t="s">
        <v>73</v>
      </c>
      <c r="CL249" s="120" t="s">
        <v>81</v>
      </c>
      <c r="CP249" s="113" t="s">
        <v>282</v>
      </c>
      <c r="DB249" s="121">
        <f>SUM(DB250:DB258)</f>
        <v>25716</v>
      </c>
    </row>
    <row r="250" spans="2:108" s="1" customFormat="1" ht="14.45" customHeight="1" x14ac:dyDescent="0.2">
      <c r="B250" s="124"/>
      <c r="C250" s="125" t="s">
        <v>456</v>
      </c>
      <c r="D250" s="125" t="s">
        <v>284</v>
      </c>
      <c r="E250" s="126" t="s">
        <v>471</v>
      </c>
      <c r="F250" s="127" t="s">
        <v>472</v>
      </c>
      <c r="G250" s="128" t="s">
        <v>366</v>
      </c>
      <c r="H250" s="129">
        <v>20.312999999999999</v>
      </c>
      <c r="I250" s="130">
        <v>1200.17173250368</v>
      </c>
      <c r="J250" s="131">
        <f>ROUND(I250*H250,2)</f>
        <v>24379.09</v>
      </c>
      <c r="K250" s="127" t="s">
        <v>293</v>
      </c>
      <c r="L250" s="268">
        <f>S250</f>
        <v>0</v>
      </c>
      <c r="M250" s="272">
        <f>ROUND(L250*I250,2)</f>
        <v>0</v>
      </c>
      <c r="N250" s="243">
        <f>N254</f>
        <v>0.17730000000000246</v>
      </c>
      <c r="O250" s="294">
        <f>ROUND(N250*I250,2)</f>
        <v>212.79</v>
      </c>
      <c r="P250" s="273">
        <f>H250-L250-N250</f>
        <v>20.135699999999996</v>
      </c>
      <c r="Q250" s="287">
        <f>ROUND(P250*I250,2)</f>
        <v>24166.3</v>
      </c>
      <c r="R250" s="137"/>
      <c r="S250" s="269">
        <f>W250+Y250+AA250+AC250</f>
        <v>0</v>
      </c>
      <c r="T250" s="269">
        <f>ROUND(S250*I250,2)</f>
        <v>0</v>
      </c>
      <c r="U250" s="269">
        <f>H250-S250</f>
        <v>20.312999999999999</v>
      </c>
      <c r="V250" s="269">
        <f>ROUND(U250*I250,2)</f>
        <v>24379.09</v>
      </c>
      <c r="W250" s="269"/>
      <c r="X250" s="269"/>
      <c r="Y250" s="269"/>
      <c r="Z250" s="269"/>
      <c r="AA250" s="269"/>
      <c r="AB250" s="269"/>
      <c r="AC250" s="269"/>
      <c r="AD250" s="269"/>
      <c r="BD250" s="132" t="s">
        <v>1</v>
      </c>
      <c r="BE250" s="133" t="s">
        <v>40</v>
      </c>
      <c r="BG250" s="134">
        <f>BF250*H250</f>
        <v>0</v>
      </c>
      <c r="BH250" s="134">
        <v>0</v>
      </c>
      <c r="BI250" s="134">
        <f>BH250*H250</f>
        <v>0</v>
      </c>
      <c r="BJ250" s="134">
        <v>0</v>
      </c>
      <c r="BK250" s="135">
        <f>BJ250*H250</f>
        <v>0</v>
      </c>
      <c r="CI250" s="136" t="s">
        <v>95</v>
      </c>
      <c r="CK250" s="136" t="s">
        <v>284</v>
      </c>
      <c r="CL250" s="136" t="s">
        <v>83</v>
      </c>
      <c r="CP250" s="16" t="s">
        <v>282</v>
      </c>
      <c r="CV250" s="137">
        <f>IF(BE250="základní",J250,0)</f>
        <v>24379.09</v>
      </c>
      <c r="CW250" s="137">
        <f>IF(BE250="snížená",J250,0)</f>
        <v>0</v>
      </c>
      <c r="CX250" s="137">
        <f>IF(BE250="zákl. přenesená",J250,0)</f>
        <v>0</v>
      </c>
      <c r="CY250" s="137">
        <f>IF(BE250="sníž. přenesená",J250,0)</f>
        <v>0</v>
      </c>
      <c r="CZ250" s="137">
        <f>IF(BE250="nulová",J250,0)</f>
        <v>0</v>
      </c>
      <c r="DA250" s="16" t="s">
        <v>81</v>
      </c>
      <c r="DB250" s="137">
        <f>ROUND(I250*H250,2)</f>
        <v>24379.09</v>
      </c>
      <c r="DC250" s="16" t="s">
        <v>95</v>
      </c>
      <c r="DD250" s="136" t="s">
        <v>473</v>
      </c>
    </row>
    <row r="251" spans="2:108" s="1" customFormat="1" ht="19.5" x14ac:dyDescent="0.2">
      <c r="B251" s="31"/>
      <c r="D251" s="138" t="s">
        <v>289</v>
      </c>
      <c r="F251" s="139" t="s">
        <v>474</v>
      </c>
      <c r="I251" s="140"/>
      <c r="L251" s="31"/>
      <c r="N251" s="213"/>
      <c r="O251" s="214"/>
      <c r="Q251" s="229"/>
      <c r="BD251" s="141"/>
      <c r="BK251" s="50"/>
      <c r="CK251" s="16" t="s">
        <v>289</v>
      </c>
      <c r="CL251" s="16" t="s">
        <v>83</v>
      </c>
    </row>
    <row r="252" spans="2:108" s="1" customFormat="1" ht="29.25" x14ac:dyDescent="0.2">
      <c r="B252" s="31"/>
      <c r="D252" s="138" t="s">
        <v>299</v>
      </c>
      <c r="F252" s="142" t="s">
        <v>2291</v>
      </c>
      <c r="I252" s="140"/>
      <c r="L252" s="31"/>
      <c r="N252" s="213"/>
      <c r="O252" s="214"/>
      <c r="Q252" s="229"/>
      <c r="BD252" s="141"/>
      <c r="BK252" s="50"/>
      <c r="CK252" s="16" t="s">
        <v>299</v>
      </c>
      <c r="CL252" s="16" t="s">
        <v>83</v>
      </c>
    </row>
    <row r="253" spans="2:108" s="12" customFormat="1" x14ac:dyDescent="0.2">
      <c r="B253" s="149"/>
      <c r="D253" s="138" t="s">
        <v>301</v>
      </c>
      <c r="E253" s="150" t="s">
        <v>1</v>
      </c>
      <c r="F253" s="151" t="s">
        <v>2416</v>
      </c>
      <c r="H253" s="152">
        <v>20.312999999999999</v>
      </c>
      <c r="I253" s="153"/>
      <c r="L253" s="149"/>
      <c r="N253" s="217">
        <f>227.67*0.9*0.1</f>
        <v>20.490300000000001</v>
      </c>
      <c r="O253" s="218" t="s">
        <v>3573</v>
      </c>
      <c r="Q253" s="231"/>
      <c r="BD253" s="154"/>
      <c r="BK253" s="155"/>
      <c r="CK253" s="150" t="s">
        <v>301</v>
      </c>
      <c r="CL253" s="150" t="s">
        <v>83</v>
      </c>
      <c r="CM253" s="12" t="s">
        <v>83</v>
      </c>
      <c r="CN253" s="12" t="s">
        <v>32</v>
      </c>
      <c r="CO253" s="12" t="s">
        <v>81</v>
      </c>
      <c r="CP253" s="150" t="s">
        <v>282</v>
      </c>
    </row>
    <row r="254" spans="2:108" s="12" customFormat="1" x14ac:dyDescent="0.2">
      <c r="B254" s="149"/>
      <c r="D254" s="138"/>
      <c r="E254" s="150"/>
      <c r="F254" s="151"/>
      <c r="H254" s="152"/>
      <c r="I254" s="153"/>
      <c r="L254" s="149"/>
      <c r="N254" s="310">
        <f>N253-H253</f>
        <v>0.17730000000000246</v>
      </c>
      <c r="O254" s="218"/>
      <c r="Q254" s="231"/>
      <c r="BD254" s="154"/>
      <c r="BK254" s="155"/>
      <c r="CK254" s="150"/>
      <c r="CL254" s="150"/>
      <c r="CP254" s="150"/>
    </row>
    <row r="255" spans="2:108" s="1" customFormat="1" ht="24.2" customHeight="1" x14ac:dyDescent="0.2">
      <c r="B255" s="124"/>
      <c r="C255" s="125" t="s">
        <v>463</v>
      </c>
      <c r="D255" s="125" t="s">
        <v>284</v>
      </c>
      <c r="E255" s="126" t="s">
        <v>2316</v>
      </c>
      <c r="F255" s="127" t="s">
        <v>2317</v>
      </c>
      <c r="G255" s="128" t="s">
        <v>366</v>
      </c>
      <c r="H255" s="129">
        <v>0.5</v>
      </c>
      <c r="I255" s="130">
        <v>2673.8237591203297</v>
      </c>
      <c r="J255" s="131">
        <f>ROUND(I255*H255,2)</f>
        <v>1336.91</v>
      </c>
      <c r="K255" s="127" t="s">
        <v>293</v>
      </c>
      <c r="L255" s="268">
        <f>S255</f>
        <v>0</v>
      </c>
      <c r="M255" s="272">
        <f>ROUND(L255*I255,2)</f>
        <v>0</v>
      </c>
      <c r="N255" s="243"/>
      <c r="O255" s="294">
        <f>ROUND(N255*I255,2)</f>
        <v>0</v>
      </c>
      <c r="P255" s="273">
        <f>H255-L255-N255</f>
        <v>0.5</v>
      </c>
      <c r="Q255" s="287">
        <f>ROUND(P255*I255,2)</f>
        <v>1336.91</v>
      </c>
      <c r="R255" s="137"/>
      <c r="S255" s="269">
        <f>W255+Y255+AA255+AC255</f>
        <v>0</v>
      </c>
      <c r="T255" s="269">
        <f>ROUND(S255*I255,2)</f>
        <v>0</v>
      </c>
      <c r="U255" s="269">
        <f>H255-S255</f>
        <v>0.5</v>
      </c>
      <c r="V255" s="269">
        <f>ROUND(U255*I255,2)</f>
        <v>1336.91</v>
      </c>
      <c r="W255" s="269"/>
      <c r="X255" s="269"/>
      <c r="Y255" s="269"/>
      <c r="Z255" s="269"/>
      <c r="AA255" s="269"/>
      <c r="AB255" s="269"/>
      <c r="AC255" s="269"/>
      <c r="AD255" s="269"/>
      <c r="BD255" s="132" t="s">
        <v>1</v>
      </c>
      <c r="BE255" s="133" t="s">
        <v>40</v>
      </c>
      <c r="BG255" s="134">
        <f>BF255*H255</f>
        <v>0</v>
      </c>
      <c r="BH255" s="134">
        <v>0</v>
      </c>
      <c r="BI255" s="134">
        <f>BH255*H255</f>
        <v>0</v>
      </c>
      <c r="BJ255" s="134">
        <v>0</v>
      </c>
      <c r="BK255" s="135">
        <f>BJ255*H255</f>
        <v>0</v>
      </c>
      <c r="CI255" s="136" t="s">
        <v>95</v>
      </c>
      <c r="CK255" s="136" t="s">
        <v>284</v>
      </c>
      <c r="CL255" s="136" t="s">
        <v>83</v>
      </c>
      <c r="CP255" s="16" t="s">
        <v>282</v>
      </c>
      <c r="CV255" s="137">
        <f>IF(BE255="základní",J255,0)</f>
        <v>1336.91</v>
      </c>
      <c r="CW255" s="137">
        <f>IF(BE255="snížená",J255,0)</f>
        <v>0</v>
      </c>
      <c r="CX255" s="137">
        <f>IF(BE255="zákl. přenesená",J255,0)</f>
        <v>0</v>
      </c>
      <c r="CY255" s="137">
        <f>IF(BE255="sníž. přenesená",J255,0)</f>
        <v>0</v>
      </c>
      <c r="CZ255" s="137">
        <f>IF(BE255="nulová",J255,0)</f>
        <v>0</v>
      </c>
      <c r="DA255" s="16" t="s">
        <v>81</v>
      </c>
      <c r="DB255" s="137">
        <f>ROUND(I255*H255,2)</f>
        <v>1336.91</v>
      </c>
      <c r="DC255" s="16" t="s">
        <v>95</v>
      </c>
      <c r="DD255" s="136" t="s">
        <v>2318</v>
      </c>
    </row>
    <row r="256" spans="2:108" s="1" customFormat="1" ht="19.5" x14ac:dyDescent="0.2">
      <c r="B256" s="31"/>
      <c r="D256" s="138" t="s">
        <v>289</v>
      </c>
      <c r="F256" s="139" t="s">
        <v>2319</v>
      </c>
      <c r="I256" s="140"/>
      <c r="L256" s="31"/>
      <c r="N256" s="213"/>
      <c r="O256" s="214"/>
      <c r="Q256" s="229"/>
      <c r="BD256" s="141"/>
      <c r="BK256" s="50"/>
      <c r="CK256" s="16" t="s">
        <v>289</v>
      </c>
      <c r="CL256" s="16" t="s">
        <v>83</v>
      </c>
    </row>
    <row r="257" spans="2:108" s="1" customFormat="1" ht="29.25" x14ac:dyDescent="0.2">
      <c r="B257" s="31"/>
      <c r="D257" s="138" t="s">
        <v>299</v>
      </c>
      <c r="F257" s="142" t="s">
        <v>2291</v>
      </c>
      <c r="I257" s="140"/>
      <c r="L257" s="31"/>
      <c r="N257" s="213"/>
      <c r="O257" s="214"/>
      <c r="Q257" s="229"/>
      <c r="BD257" s="141"/>
      <c r="BK257" s="50"/>
      <c r="CK257" s="16" t="s">
        <v>299</v>
      </c>
      <c r="CL257" s="16" t="s">
        <v>83</v>
      </c>
    </row>
    <row r="258" spans="2:108" s="12" customFormat="1" x14ac:dyDescent="0.2">
      <c r="B258" s="149"/>
      <c r="D258" s="138" t="s">
        <v>301</v>
      </c>
      <c r="E258" s="150" t="s">
        <v>1</v>
      </c>
      <c r="F258" s="151" t="s">
        <v>1916</v>
      </c>
      <c r="H258" s="152">
        <v>0.5</v>
      </c>
      <c r="I258" s="153"/>
      <c r="L258" s="149"/>
      <c r="N258" s="217"/>
      <c r="O258" s="218"/>
      <c r="Q258" s="231"/>
      <c r="BD258" s="154"/>
      <c r="BK258" s="155"/>
      <c r="CK258" s="150" t="s">
        <v>301</v>
      </c>
      <c r="CL258" s="150" t="s">
        <v>83</v>
      </c>
      <c r="CM258" s="12" t="s">
        <v>83</v>
      </c>
      <c r="CN258" s="12" t="s">
        <v>32</v>
      </c>
      <c r="CO258" s="12" t="s">
        <v>81</v>
      </c>
      <c r="CP258" s="150" t="s">
        <v>282</v>
      </c>
    </row>
    <row r="259" spans="2:108" s="10" customFormat="1" ht="22.9" customHeight="1" x14ac:dyDescent="0.2">
      <c r="B259" s="112"/>
      <c r="D259" s="113" t="s">
        <v>73</v>
      </c>
      <c r="E259" s="122" t="s">
        <v>312</v>
      </c>
      <c r="F259" s="122" t="s">
        <v>520</v>
      </c>
      <c r="I259" s="115"/>
      <c r="J259" s="123">
        <f>DB259</f>
        <v>166912.95000000001</v>
      </c>
      <c r="L259" s="112"/>
      <c r="M259" s="270">
        <f>SUM(M260:M273)</f>
        <v>0</v>
      </c>
      <c r="N259" s="301"/>
      <c r="O259" s="302">
        <f t="shared" ref="O259:V259" si="5">SUM(O260:O273)</f>
        <v>-21246.9</v>
      </c>
      <c r="P259" s="270"/>
      <c r="Q259" s="288">
        <f t="shared" si="5"/>
        <v>188159.84000000003</v>
      </c>
      <c r="R259" s="270"/>
      <c r="S259" s="270"/>
      <c r="T259" s="270">
        <f t="shared" si="5"/>
        <v>0</v>
      </c>
      <c r="U259" s="270"/>
      <c r="V259" s="270">
        <f t="shared" si="5"/>
        <v>166912.95000000001</v>
      </c>
      <c r="BD259" s="117"/>
      <c r="BG259" s="118">
        <f>SUM(BG260:BG277)</f>
        <v>0</v>
      </c>
      <c r="BI259" s="118">
        <f>SUM(BI260:BI277)</f>
        <v>0</v>
      </c>
      <c r="BK259" s="119">
        <f>SUM(BK260:BK277)</f>
        <v>0</v>
      </c>
      <c r="CI259" s="113" t="s">
        <v>81</v>
      </c>
      <c r="CK259" s="120" t="s">
        <v>73</v>
      </c>
      <c r="CL259" s="120" t="s">
        <v>81</v>
      </c>
      <c r="CP259" s="113" t="s">
        <v>282</v>
      </c>
      <c r="DB259" s="121">
        <f>SUM(DB260:DB277)</f>
        <v>166912.95000000001</v>
      </c>
    </row>
    <row r="260" spans="2:108" s="1" customFormat="1" ht="24.2" customHeight="1" x14ac:dyDescent="0.2">
      <c r="B260" s="124"/>
      <c r="C260" s="125" t="s">
        <v>470</v>
      </c>
      <c r="D260" s="125" t="s">
        <v>284</v>
      </c>
      <c r="E260" s="126" t="s">
        <v>522</v>
      </c>
      <c r="F260" s="127" t="s">
        <v>523</v>
      </c>
      <c r="G260" s="128" t="s">
        <v>287</v>
      </c>
      <c r="H260" s="129">
        <v>130.33000000000001</v>
      </c>
      <c r="I260" s="130">
        <v>130.95617506780872</v>
      </c>
      <c r="J260" s="131">
        <f>ROUND(I260*H260,2)</f>
        <v>17067.52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N135</f>
        <v>-3.5869999999999749</v>
      </c>
      <c r="O260" s="294">
        <f>ROUND(N260*I260,2)</f>
        <v>-469.74</v>
      </c>
      <c r="P260" s="273">
        <f>H260-L260-N260</f>
        <v>133.91699999999997</v>
      </c>
      <c r="Q260" s="287">
        <f>ROUND(P260*I260,2)</f>
        <v>17537.259999999998</v>
      </c>
      <c r="R260" s="137"/>
      <c r="S260" s="269">
        <f>W260+Y260+AA260+AC260</f>
        <v>0</v>
      </c>
      <c r="T260" s="269">
        <f>ROUND(S260*I260,2)</f>
        <v>0</v>
      </c>
      <c r="U260" s="269">
        <f>H260-S260</f>
        <v>130.33000000000001</v>
      </c>
      <c r="V260" s="269">
        <f>ROUND(U260*I260,2)</f>
        <v>17067.52</v>
      </c>
      <c r="W260" s="269"/>
      <c r="X260" s="269"/>
      <c r="Y260" s="269"/>
      <c r="Z260" s="269"/>
      <c r="AA260" s="269"/>
      <c r="AB260" s="269"/>
      <c r="AC260" s="269"/>
      <c r="AD260" s="269"/>
      <c r="BD260" s="132" t="s">
        <v>1</v>
      </c>
      <c r="BE260" s="133" t="s">
        <v>40</v>
      </c>
      <c r="BG260" s="134">
        <f>BF260*H260</f>
        <v>0</v>
      </c>
      <c r="BH260" s="134">
        <v>0</v>
      </c>
      <c r="BI260" s="134">
        <f>BH260*H260</f>
        <v>0</v>
      </c>
      <c r="BJ260" s="134">
        <v>0</v>
      </c>
      <c r="BK260" s="135">
        <f>BJ260*H260</f>
        <v>0</v>
      </c>
      <c r="CI260" s="136" t="s">
        <v>95</v>
      </c>
      <c r="CK260" s="136" t="s">
        <v>284</v>
      </c>
      <c r="CL260" s="136" t="s">
        <v>83</v>
      </c>
      <c r="CP260" s="16" t="s">
        <v>282</v>
      </c>
      <c r="CV260" s="137">
        <f>IF(BE260="základní",J260,0)</f>
        <v>17067.52</v>
      </c>
      <c r="CW260" s="137">
        <f>IF(BE260="snížená",J260,0)</f>
        <v>0</v>
      </c>
      <c r="CX260" s="137">
        <f>IF(BE260="zákl. přenesená",J260,0)</f>
        <v>0</v>
      </c>
      <c r="CY260" s="137">
        <f>IF(BE260="sníž. přenesená",J260,0)</f>
        <v>0</v>
      </c>
      <c r="CZ260" s="137">
        <f>IF(BE260="nulová",J260,0)</f>
        <v>0</v>
      </c>
      <c r="DA260" s="16" t="s">
        <v>81</v>
      </c>
      <c r="DB260" s="137">
        <f>ROUND(I260*H260,2)</f>
        <v>17067.52</v>
      </c>
      <c r="DC260" s="16" t="s">
        <v>95</v>
      </c>
      <c r="DD260" s="136" t="s">
        <v>2321</v>
      </c>
    </row>
    <row r="261" spans="2:108" s="1" customFormat="1" ht="19.5" x14ac:dyDescent="0.2">
      <c r="B261" s="31"/>
      <c r="D261" s="138" t="s">
        <v>289</v>
      </c>
      <c r="F261" s="139" t="s">
        <v>525</v>
      </c>
      <c r="I261" s="140"/>
      <c r="L261" s="31"/>
      <c r="N261" s="213"/>
      <c r="O261" s="214"/>
      <c r="Q261" s="229"/>
      <c r="BD261" s="141"/>
      <c r="BK261" s="50"/>
      <c r="CK261" s="16" t="s">
        <v>289</v>
      </c>
      <c r="CL261" s="16" t="s">
        <v>83</v>
      </c>
    </row>
    <row r="262" spans="2:108" s="1" customFormat="1" ht="14.45" customHeight="1" x14ac:dyDescent="0.2">
      <c r="B262" s="124"/>
      <c r="C262" s="125" t="s">
        <v>476</v>
      </c>
      <c r="D262" s="125" t="s">
        <v>284</v>
      </c>
      <c r="E262" s="126" t="s">
        <v>527</v>
      </c>
      <c r="F262" s="127" t="s">
        <v>528</v>
      </c>
      <c r="G262" s="128" t="s">
        <v>287</v>
      </c>
      <c r="H262" s="129">
        <v>130.33000000000001</v>
      </c>
      <c r="I262" s="130">
        <v>200.20823792465458</v>
      </c>
      <c r="J262" s="131">
        <f>ROUND(I262*H262,2)</f>
        <v>26093.14</v>
      </c>
      <c r="K262" s="127" t="s">
        <v>293</v>
      </c>
      <c r="L262" s="268">
        <f>S262</f>
        <v>0</v>
      </c>
      <c r="M262" s="272">
        <f>ROUND(L262*I262,2)</f>
        <v>0</v>
      </c>
      <c r="N262" s="243">
        <f>N260</f>
        <v>-3.5869999999999749</v>
      </c>
      <c r="O262" s="294">
        <f>ROUND(N262*I262,2)</f>
        <v>-718.15</v>
      </c>
      <c r="P262" s="273">
        <f>H262-L262-N262</f>
        <v>133.91699999999997</v>
      </c>
      <c r="Q262" s="287">
        <f>ROUND(P262*I262,2)</f>
        <v>26811.29</v>
      </c>
      <c r="R262" s="137"/>
      <c r="S262" s="269">
        <f>W262+Y262+AA262+AC262</f>
        <v>0</v>
      </c>
      <c r="T262" s="269">
        <f>ROUND(S262*I262,2)</f>
        <v>0</v>
      </c>
      <c r="U262" s="269">
        <f>H262-S262</f>
        <v>130.33000000000001</v>
      </c>
      <c r="V262" s="269">
        <f>ROUND(U262*I262,2)</f>
        <v>26093.14</v>
      </c>
      <c r="W262" s="269"/>
      <c r="X262" s="269"/>
      <c r="Y262" s="269"/>
      <c r="Z262" s="269"/>
      <c r="AA262" s="269"/>
      <c r="AB262" s="269"/>
      <c r="AC262" s="269"/>
      <c r="AD262" s="269"/>
      <c r="BD262" s="132" t="s">
        <v>1</v>
      </c>
      <c r="BE262" s="133" t="s">
        <v>40</v>
      </c>
      <c r="BG262" s="134">
        <f>BF262*H262</f>
        <v>0</v>
      </c>
      <c r="BH262" s="134">
        <v>0</v>
      </c>
      <c r="BI262" s="134">
        <f>BH262*H262</f>
        <v>0</v>
      </c>
      <c r="BJ262" s="134">
        <v>0</v>
      </c>
      <c r="BK262" s="135">
        <f>BJ262*H262</f>
        <v>0</v>
      </c>
      <c r="CI262" s="136" t="s">
        <v>95</v>
      </c>
      <c r="CK262" s="136" t="s">
        <v>284</v>
      </c>
      <c r="CL262" s="136" t="s">
        <v>83</v>
      </c>
      <c r="CP262" s="16" t="s">
        <v>282</v>
      </c>
      <c r="CV262" s="137">
        <f>IF(BE262="základní",J262,0)</f>
        <v>26093.14</v>
      </c>
      <c r="CW262" s="137">
        <f>IF(BE262="snížená",J262,0)</f>
        <v>0</v>
      </c>
      <c r="CX262" s="137">
        <f>IF(BE262="zákl. přenesená",J262,0)</f>
        <v>0</v>
      </c>
      <c r="CY262" s="137">
        <f>IF(BE262="sníž. přenesená",J262,0)</f>
        <v>0</v>
      </c>
      <c r="CZ262" s="137">
        <f>IF(BE262="nulová",J262,0)</f>
        <v>0</v>
      </c>
      <c r="DA262" s="16" t="s">
        <v>81</v>
      </c>
      <c r="DB262" s="137">
        <f>ROUND(I262*H262,2)</f>
        <v>26093.14</v>
      </c>
      <c r="DC262" s="16" t="s">
        <v>95</v>
      </c>
      <c r="DD262" s="136" t="s">
        <v>2322</v>
      </c>
    </row>
    <row r="263" spans="2:108" s="1" customFormat="1" ht="19.5" x14ac:dyDescent="0.2">
      <c r="B263" s="31"/>
      <c r="D263" s="138" t="s">
        <v>289</v>
      </c>
      <c r="F263" s="139" t="s">
        <v>530</v>
      </c>
      <c r="I263" s="140"/>
      <c r="L263" s="31"/>
      <c r="N263" s="213"/>
      <c r="O263" s="214"/>
      <c r="Q263" s="229"/>
      <c r="BD263" s="141"/>
      <c r="BK263" s="50"/>
      <c r="CK263" s="16" t="s">
        <v>289</v>
      </c>
      <c r="CL263" s="16" t="s">
        <v>83</v>
      </c>
    </row>
    <row r="264" spans="2:108" s="1" customFormat="1" ht="24.2" customHeight="1" x14ac:dyDescent="0.2">
      <c r="B264" s="124"/>
      <c r="C264" s="125" t="s">
        <v>482</v>
      </c>
      <c r="D264" s="125" t="s">
        <v>284</v>
      </c>
      <c r="E264" s="126" t="s">
        <v>532</v>
      </c>
      <c r="F264" s="127" t="s">
        <v>533</v>
      </c>
      <c r="G264" s="128" t="s">
        <v>287</v>
      </c>
      <c r="H264" s="129">
        <v>130.33000000000001</v>
      </c>
      <c r="I264" s="130">
        <v>40.878739778868102</v>
      </c>
      <c r="J264" s="131">
        <f>ROUND(I264*H264,2)</f>
        <v>5327.73</v>
      </c>
      <c r="K264" s="127" t="s">
        <v>293</v>
      </c>
      <c r="L264" s="268">
        <f>S264</f>
        <v>0</v>
      </c>
      <c r="M264" s="272">
        <f>ROUND(L264*I264,2)</f>
        <v>0</v>
      </c>
      <c r="N264" s="243">
        <f>N260</f>
        <v>-3.5869999999999749</v>
      </c>
      <c r="O264" s="294">
        <f>ROUND(N264*I264,2)</f>
        <v>-146.63</v>
      </c>
      <c r="P264" s="273">
        <f>H264-L264-N264</f>
        <v>133.91699999999997</v>
      </c>
      <c r="Q264" s="287">
        <f>ROUND(P264*I264,2)</f>
        <v>5474.36</v>
      </c>
      <c r="R264" s="137"/>
      <c r="S264" s="269">
        <f>W264+Y264+AA264+AC264</f>
        <v>0</v>
      </c>
      <c r="T264" s="269">
        <f>ROUND(S264*I264,2)</f>
        <v>0</v>
      </c>
      <c r="U264" s="269">
        <f>H264-S264</f>
        <v>130.33000000000001</v>
      </c>
      <c r="V264" s="269">
        <f>ROUND(U264*I264,2)</f>
        <v>5327.73</v>
      </c>
      <c r="W264" s="269"/>
      <c r="X264" s="269"/>
      <c r="Y264" s="269"/>
      <c r="Z264" s="269"/>
      <c r="AA264" s="269"/>
      <c r="AB264" s="269"/>
      <c r="AC264" s="269"/>
      <c r="AD264" s="269"/>
      <c r="BD264" s="132" t="s">
        <v>1</v>
      </c>
      <c r="BE264" s="133" t="s">
        <v>40</v>
      </c>
      <c r="BG264" s="134">
        <f>BF264*H264</f>
        <v>0</v>
      </c>
      <c r="BH264" s="134">
        <v>0</v>
      </c>
      <c r="BI264" s="134">
        <f>BH264*H264</f>
        <v>0</v>
      </c>
      <c r="BJ264" s="134">
        <v>0</v>
      </c>
      <c r="BK264" s="135">
        <f>BJ264*H264</f>
        <v>0</v>
      </c>
      <c r="CI264" s="136" t="s">
        <v>95</v>
      </c>
      <c r="CK264" s="136" t="s">
        <v>284</v>
      </c>
      <c r="CL264" s="136" t="s">
        <v>83</v>
      </c>
      <c r="CP264" s="16" t="s">
        <v>282</v>
      </c>
      <c r="CV264" s="137">
        <f>IF(BE264="základní",J264,0)</f>
        <v>5327.73</v>
      </c>
      <c r="CW264" s="137">
        <f>IF(BE264="snížená",J264,0)</f>
        <v>0</v>
      </c>
      <c r="CX264" s="137">
        <f>IF(BE264="zákl. přenesená",J264,0)</f>
        <v>0</v>
      </c>
      <c r="CY264" s="137">
        <f>IF(BE264="sníž. přenesená",J264,0)</f>
        <v>0</v>
      </c>
      <c r="CZ264" s="137">
        <f>IF(BE264="nulová",J264,0)</f>
        <v>0</v>
      </c>
      <c r="DA264" s="16" t="s">
        <v>81</v>
      </c>
      <c r="DB264" s="137">
        <f>ROUND(I264*H264,2)</f>
        <v>5327.73</v>
      </c>
      <c r="DC264" s="16" t="s">
        <v>95</v>
      </c>
      <c r="DD264" s="136" t="s">
        <v>2323</v>
      </c>
    </row>
    <row r="265" spans="2:108" s="1" customFormat="1" ht="19.5" x14ac:dyDescent="0.2">
      <c r="B265" s="31"/>
      <c r="D265" s="138" t="s">
        <v>289</v>
      </c>
      <c r="F265" s="139" t="s">
        <v>535</v>
      </c>
      <c r="I265" s="140"/>
      <c r="L265" s="31"/>
      <c r="N265" s="213"/>
      <c r="O265" s="214"/>
      <c r="Q265" s="229"/>
      <c r="BD265" s="141"/>
      <c r="BK265" s="50"/>
      <c r="CK265" s="16" t="s">
        <v>289</v>
      </c>
      <c r="CL265" s="16" t="s">
        <v>83</v>
      </c>
    </row>
    <row r="266" spans="2:108" s="1" customFormat="1" ht="24.2" customHeight="1" x14ac:dyDescent="0.2">
      <c r="B266" s="124"/>
      <c r="C266" s="125" t="s">
        <v>489</v>
      </c>
      <c r="D266" s="125" t="s">
        <v>284</v>
      </c>
      <c r="E266" s="126" t="s">
        <v>537</v>
      </c>
      <c r="F266" s="127" t="s">
        <v>538</v>
      </c>
      <c r="G266" s="128" t="s">
        <v>287</v>
      </c>
      <c r="H266" s="129">
        <v>130.33000000000001</v>
      </c>
      <c r="I266" s="130">
        <v>362.67856108310502</v>
      </c>
      <c r="J266" s="131">
        <f>ROUND(I266*H266,2)</f>
        <v>47267.9</v>
      </c>
      <c r="K266" s="127" t="s">
        <v>293</v>
      </c>
      <c r="L266" s="268">
        <f>S266</f>
        <v>0</v>
      </c>
      <c r="M266" s="272">
        <f>ROUND(L266*I266,2)</f>
        <v>0</v>
      </c>
      <c r="N266" s="243">
        <f>N260</f>
        <v>-3.5869999999999749</v>
      </c>
      <c r="O266" s="294">
        <f>ROUND(N266*I266,2)</f>
        <v>-1300.93</v>
      </c>
      <c r="P266" s="273">
        <f>H266-L266-N266</f>
        <v>133.91699999999997</v>
      </c>
      <c r="Q266" s="287">
        <f>ROUND(P266*I266,2)</f>
        <v>48568.82</v>
      </c>
      <c r="R266" s="137"/>
      <c r="S266" s="269">
        <f>W266+Y266+AA266+AC266</f>
        <v>0</v>
      </c>
      <c r="T266" s="269">
        <f>ROUND(S266*I266,2)</f>
        <v>0</v>
      </c>
      <c r="U266" s="269">
        <f>H266-S266</f>
        <v>130.33000000000001</v>
      </c>
      <c r="V266" s="269">
        <f>ROUND(U266*I266,2)</f>
        <v>47267.9</v>
      </c>
      <c r="W266" s="269"/>
      <c r="X266" s="269"/>
      <c r="Y266" s="269"/>
      <c r="Z266" s="269"/>
      <c r="AA266" s="269"/>
      <c r="AB266" s="269"/>
      <c r="AC266" s="269"/>
      <c r="AD266" s="269"/>
      <c r="BD266" s="132" t="s">
        <v>1</v>
      </c>
      <c r="BE266" s="133" t="s">
        <v>40</v>
      </c>
      <c r="BG266" s="134">
        <f>BF266*H266</f>
        <v>0</v>
      </c>
      <c r="BH266" s="134">
        <v>0</v>
      </c>
      <c r="BI266" s="134">
        <f>BH266*H266</f>
        <v>0</v>
      </c>
      <c r="BJ266" s="134">
        <v>0</v>
      </c>
      <c r="BK266" s="135">
        <f>BJ266*H266</f>
        <v>0</v>
      </c>
      <c r="CI266" s="136" t="s">
        <v>95</v>
      </c>
      <c r="CK266" s="136" t="s">
        <v>284</v>
      </c>
      <c r="CL266" s="136" t="s">
        <v>83</v>
      </c>
      <c r="CP266" s="16" t="s">
        <v>282</v>
      </c>
      <c r="CV266" s="137">
        <f>IF(BE266="základní",J266,0)</f>
        <v>47267.9</v>
      </c>
      <c r="CW266" s="137">
        <f>IF(BE266="snížená",J266,0)</f>
        <v>0</v>
      </c>
      <c r="CX266" s="137">
        <f>IF(BE266="zákl. přenesená",J266,0)</f>
        <v>0</v>
      </c>
      <c r="CY266" s="137">
        <f>IF(BE266="sníž. přenesená",J266,0)</f>
        <v>0</v>
      </c>
      <c r="CZ266" s="137">
        <f>IF(BE266="nulová",J266,0)</f>
        <v>0</v>
      </c>
      <c r="DA266" s="16" t="s">
        <v>81</v>
      </c>
      <c r="DB266" s="137">
        <f>ROUND(I266*H266,2)</f>
        <v>47267.9</v>
      </c>
      <c r="DC266" s="16" t="s">
        <v>95</v>
      </c>
      <c r="DD266" s="136" t="s">
        <v>2324</v>
      </c>
    </row>
    <row r="267" spans="2:108" s="1" customFormat="1" ht="29.25" x14ac:dyDescent="0.2">
      <c r="B267" s="31"/>
      <c r="D267" s="138" t="s">
        <v>289</v>
      </c>
      <c r="F267" s="139" t="s">
        <v>540</v>
      </c>
      <c r="I267" s="140"/>
      <c r="L267" s="31"/>
      <c r="N267" s="213"/>
      <c r="O267" s="214"/>
      <c r="Q267" s="229"/>
      <c r="BD267" s="141"/>
      <c r="BK267" s="50"/>
      <c r="CK267" s="16" t="s">
        <v>289</v>
      </c>
      <c r="CL267" s="16" t="s">
        <v>83</v>
      </c>
    </row>
    <row r="268" spans="2:108" s="1" customFormat="1" ht="29.25" x14ac:dyDescent="0.2">
      <c r="B268" s="31"/>
      <c r="D268" s="138" t="s">
        <v>299</v>
      </c>
      <c r="F268" s="142" t="s">
        <v>2291</v>
      </c>
      <c r="I268" s="140"/>
      <c r="L268" s="31"/>
      <c r="N268" s="213"/>
      <c r="O268" s="214"/>
      <c r="Q268" s="229"/>
      <c r="BD268" s="141"/>
      <c r="BK268" s="50"/>
      <c r="CK268" s="16" t="s">
        <v>299</v>
      </c>
      <c r="CL268" s="16" t="s">
        <v>83</v>
      </c>
    </row>
    <row r="269" spans="2:108" s="11" customFormat="1" x14ac:dyDescent="0.2">
      <c r="B269" s="143"/>
      <c r="D269" s="138" t="s">
        <v>301</v>
      </c>
      <c r="E269" s="144" t="s">
        <v>1</v>
      </c>
      <c r="F269" s="145" t="s">
        <v>541</v>
      </c>
      <c r="H269" s="144" t="s">
        <v>1</v>
      </c>
      <c r="I269" s="146"/>
      <c r="L269" s="143"/>
      <c r="N269" s="215"/>
      <c r="O269" s="216"/>
      <c r="Q269" s="230"/>
      <c r="BD269" s="147"/>
      <c r="BK269" s="148"/>
      <c r="CK269" s="144" t="s">
        <v>301</v>
      </c>
      <c r="CL269" s="144" t="s">
        <v>83</v>
      </c>
      <c r="CM269" s="11" t="s">
        <v>81</v>
      </c>
      <c r="CN269" s="11" t="s">
        <v>32</v>
      </c>
      <c r="CO269" s="11" t="s">
        <v>74</v>
      </c>
      <c r="CP269" s="144" t="s">
        <v>282</v>
      </c>
    </row>
    <row r="270" spans="2:108" s="12" customFormat="1" x14ac:dyDescent="0.2">
      <c r="B270" s="149"/>
      <c r="D270" s="138" t="s">
        <v>301</v>
      </c>
      <c r="E270" s="150" t="s">
        <v>1</v>
      </c>
      <c r="F270" s="151" t="s">
        <v>2417</v>
      </c>
      <c r="H270" s="152">
        <v>130.33000000000001</v>
      </c>
      <c r="I270" s="153"/>
      <c r="L270" s="149"/>
      <c r="N270" s="217"/>
      <c r="O270" s="218"/>
      <c r="Q270" s="231"/>
      <c r="BD270" s="154"/>
      <c r="BK270" s="155"/>
      <c r="CK270" s="150" t="s">
        <v>301</v>
      </c>
      <c r="CL270" s="150" t="s">
        <v>83</v>
      </c>
      <c r="CM270" s="12" t="s">
        <v>83</v>
      </c>
      <c r="CN270" s="12" t="s">
        <v>32</v>
      </c>
      <c r="CO270" s="12" t="s">
        <v>81</v>
      </c>
      <c r="CP270" s="150" t="s">
        <v>282</v>
      </c>
    </row>
    <row r="271" spans="2:108" s="1" customFormat="1" ht="14.45" customHeight="1" x14ac:dyDescent="0.2">
      <c r="B271" s="124"/>
      <c r="C271" s="125" t="s">
        <v>493</v>
      </c>
      <c r="D271" s="125" t="s">
        <v>284</v>
      </c>
      <c r="E271" s="126" t="s">
        <v>544</v>
      </c>
      <c r="F271" s="127" t="s">
        <v>545</v>
      </c>
      <c r="G271" s="128" t="s">
        <v>287</v>
      </c>
      <c r="H271" s="129">
        <v>174.8</v>
      </c>
      <c r="I271" s="130">
        <v>18.105699236185</v>
      </c>
      <c r="J271" s="131">
        <f>ROUND(I271*H271,2)</f>
        <v>3164.88</v>
      </c>
      <c r="K271" s="127" t="s">
        <v>293</v>
      </c>
      <c r="L271" s="268">
        <f>S271</f>
        <v>0</v>
      </c>
      <c r="M271" s="272">
        <f>ROUND(L271*I271,2)</f>
        <v>0</v>
      </c>
      <c r="N271" s="243">
        <f>N273</f>
        <v>-45.72</v>
      </c>
      <c r="O271" s="294">
        <f>ROUND(N271*I271,2)</f>
        <v>-827.79</v>
      </c>
      <c r="P271" s="273">
        <f>H271-L271-N271</f>
        <v>220.52</v>
      </c>
      <c r="Q271" s="287">
        <f>ROUND(P271*I271,2)</f>
        <v>3992.67</v>
      </c>
      <c r="R271" s="137"/>
      <c r="S271" s="269">
        <f>W271+Y271+AA271+AC271</f>
        <v>0</v>
      </c>
      <c r="T271" s="269">
        <f>ROUND(S271*I271,2)</f>
        <v>0</v>
      </c>
      <c r="U271" s="269">
        <f>H271-S271</f>
        <v>174.8</v>
      </c>
      <c r="V271" s="269">
        <f>ROUND(U271*I271,2)</f>
        <v>3164.88</v>
      </c>
      <c r="W271" s="269"/>
      <c r="X271" s="269"/>
      <c r="Y271" s="269"/>
      <c r="Z271" s="269"/>
      <c r="AA271" s="269"/>
      <c r="AB271" s="269"/>
      <c r="AC271" s="269"/>
      <c r="AD271" s="269"/>
      <c r="BD271" s="132" t="s">
        <v>1</v>
      </c>
      <c r="BE271" s="133" t="s">
        <v>40</v>
      </c>
      <c r="BG271" s="134">
        <f>BF271*H271</f>
        <v>0</v>
      </c>
      <c r="BH271" s="134">
        <v>0</v>
      </c>
      <c r="BI271" s="134">
        <f>BH271*H271</f>
        <v>0</v>
      </c>
      <c r="BJ271" s="134">
        <v>0</v>
      </c>
      <c r="BK271" s="135">
        <f>BJ271*H271</f>
        <v>0</v>
      </c>
      <c r="CI271" s="136" t="s">
        <v>95</v>
      </c>
      <c r="CK271" s="136" t="s">
        <v>284</v>
      </c>
      <c r="CL271" s="136" t="s">
        <v>83</v>
      </c>
      <c r="CP271" s="16" t="s">
        <v>282</v>
      </c>
      <c r="CV271" s="137">
        <f>IF(BE271="základní",J271,0)</f>
        <v>3164.88</v>
      </c>
      <c r="CW271" s="137">
        <f>IF(BE271="snížená",J271,0)</f>
        <v>0</v>
      </c>
      <c r="CX271" s="137">
        <f>IF(BE271="zákl. přenesená",J271,0)</f>
        <v>0</v>
      </c>
      <c r="CY271" s="137">
        <f>IF(BE271="sníž. přenesená",J271,0)</f>
        <v>0</v>
      </c>
      <c r="CZ271" s="137">
        <f>IF(BE271="nulová",J271,0)</f>
        <v>0</v>
      </c>
      <c r="DA271" s="16" t="s">
        <v>81</v>
      </c>
      <c r="DB271" s="137">
        <f>ROUND(I271*H271,2)</f>
        <v>3164.88</v>
      </c>
      <c r="DC271" s="16" t="s">
        <v>95</v>
      </c>
      <c r="DD271" s="136" t="s">
        <v>2326</v>
      </c>
    </row>
    <row r="272" spans="2:108" s="1" customFormat="1" ht="19.5" x14ac:dyDescent="0.2">
      <c r="B272" s="31"/>
      <c r="D272" s="138" t="s">
        <v>289</v>
      </c>
      <c r="F272" s="139" t="s">
        <v>547</v>
      </c>
      <c r="I272" s="140"/>
      <c r="L272" s="31"/>
      <c r="N272" s="213"/>
      <c r="O272" s="214"/>
      <c r="Q272" s="229"/>
      <c r="BD272" s="141"/>
      <c r="BK272" s="50"/>
      <c r="CK272" s="16" t="s">
        <v>289</v>
      </c>
      <c r="CL272" s="16" t="s">
        <v>83</v>
      </c>
    </row>
    <row r="273" spans="2:108" s="1" customFormat="1" ht="24.2" customHeight="1" x14ac:dyDescent="0.2">
      <c r="B273" s="124"/>
      <c r="C273" s="125" t="s">
        <v>497</v>
      </c>
      <c r="D273" s="125" t="s">
        <v>284</v>
      </c>
      <c r="E273" s="126" t="s">
        <v>549</v>
      </c>
      <c r="F273" s="127" t="s">
        <v>550</v>
      </c>
      <c r="G273" s="128" t="s">
        <v>287</v>
      </c>
      <c r="H273" s="129">
        <v>174.8</v>
      </c>
      <c r="I273" s="130">
        <v>388.96896513366403</v>
      </c>
      <c r="J273" s="131">
        <f>ROUND(I273*H273,2)</f>
        <v>67991.78</v>
      </c>
      <c r="K273" s="127" t="s">
        <v>293</v>
      </c>
      <c r="L273" s="268">
        <f>S273</f>
        <v>0</v>
      </c>
      <c r="M273" s="272">
        <f>ROUND(L273*I273,2)</f>
        <v>0</v>
      </c>
      <c r="N273" s="243">
        <f>N145</f>
        <v>-45.72</v>
      </c>
      <c r="O273" s="294">
        <f>ROUND(N273*I273,2)</f>
        <v>-17783.66</v>
      </c>
      <c r="P273" s="273">
        <f>H273-L273-N273</f>
        <v>220.52</v>
      </c>
      <c r="Q273" s="287">
        <f>ROUND(P273*I273,2)</f>
        <v>85775.44</v>
      </c>
      <c r="R273" s="137"/>
      <c r="S273" s="269">
        <f>W273+Y273+AA273+AC273</f>
        <v>0</v>
      </c>
      <c r="T273" s="269">
        <f>ROUND(S273*I273,2)</f>
        <v>0</v>
      </c>
      <c r="U273" s="269">
        <f>H273-S273</f>
        <v>174.8</v>
      </c>
      <c r="V273" s="269">
        <f>ROUND(U273*I273,2)</f>
        <v>67991.78</v>
      </c>
      <c r="W273" s="269"/>
      <c r="X273" s="269"/>
      <c r="Y273" s="269"/>
      <c r="Z273" s="269"/>
      <c r="AA273" s="269"/>
      <c r="AB273" s="269"/>
      <c r="AC273" s="269"/>
      <c r="AD273" s="269"/>
      <c r="BD273" s="132" t="s">
        <v>1</v>
      </c>
      <c r="BE273" s="133" t="s">
        <v>40</v>
      </c>
      <c r="BG273" s="134">
        <f>BF273*H273</f>
        <v>0</v>
      </c>
      <c r="BH273" s="134">
        <v>0</v>
      </c>
      <c r="BI273" s="134">
        <f>BH273*H273</f>
        <v>0</v>
      </c>
      <c r="BJ273" s="134">
        <v>0</v>
      </c>
      <c r="BK273" s="135">
        <f>BJ273*H273</f>
        <v>0</v>
      </c>
      <c r="CI273" s="136" t="s">
        <v>95</v>
      </c>
      <c r="CK273" s="136" t="s">
        <v>284</v>
      </c>
      <c r="CL273" s="136" t="s">
        <v>83</v>
      </c>
      <c r="CP273" s="16" t="s">
        <v>282</v>
      </c>
      <c r="CV273" s="137">
        <f>IF(BE273="základní",J273,0)</f>
        <v>67991.78</v>
      </c>
      <c r="CW273" s="137">
        <f>IF(BE273="snížená",J273,0)</f>
        <v>0</v>
      </c>
      <c r="CX273" s="137">
        <f>IF(BE273="zákl. přenesená",J273,0)</f>
        <v>0</v>
      </c>
      <c r="CY273" s="137">
        <f>IF(BE273="sníž. přenesená",J273,0)</f>
        <v>0</v>
      </c>
      <c r="CZ273" s="137">
        <f>IF(BE273="nulová",J273,0)</f>
        <v>0</v>
      </c>
      <c r="DA273" s="16" t="s">
        <v>81</v>
      </c>
      <c r="DB273" s="137">
        <f>ROUND(I273*H273,2)</f>
        <v>67991.78</v>
      </c>
      <c r="DC273" s="16" t="s">
        <v>95</v>
      </c>
      <c r="DD273" s="136" t="s">
        <v>2327</v>
      </c>
    </row>
    <row r="274" spans="2:108" s="1" customFormat="1" ht="29.25" x14ac:dyDescent="0.2">
      <c r="B274" s="31"/>
      <c r="D274" s="138" t="s">
        <v>289</v>
      </c>
      <c r="F274" s="139" t="s">
        <v>552</v>
      </c>
      <c r="I274" s="140"/>
      <c r="L274" s="31"/>
      <c r="N274" s="213"/>
      <c r="O274" s="214"/>
      <c r="Q274" s="229"/>
      <c r="BD274" s="141"/>
      <c r="BK274" s="50"/>
      <c r="CK274" s="16" t="s">
        <v>289</v>
      </c>
      <c r="CL274" s="16" t="s">
        <v>83</v>
      </c>
    </row>
    <row r="275" spans="2:108" s="1" customFormat="1" ht="29.25" x14ac:dyDescent="0.2">
      <c r="B275" s="31"/>
      <c r="D275" s="138" t="s">
        <v>299</v>
      </c>
      <c r="F275" s="142" t="s">
        <v>2291</v>
      </c>
      <c r="I275" s="140"/>
      <c r="L275" s="31"/>
      <c r="N275" s="213"/>
      <c r="O275" s="214"/>
      <c r="Q275" s="229"/>
      <c r="BD275" s="141"/>
      <c r="BK275" s="50"/>
      <c r="CK275" s="16" t="s">
        <v>299</v>
      </c>
      <c r="CL275" s="16" t="s">
        <v>83</v>
      </c>
    </row>
    <row r="276" spans="2:108" s="11" customFormat="1" x14ac:dyDescent="0.2">
      <c r="B276" s="143"/>
      <c r="D276" s="138" t="s">
        <v>301</v>
      </c>
      <c r="E276" s="144" t="s">
        <v>1</v>
      </c>
      <c r="F276" s="145" t="s">
        <v>553</v>
      </c>
      <c r="H276" s="144" t="s">
        <v>1</v>
      </c>
      <c r="I276" s="146"/>
      <c r="L276" s="143"/>
      <c r="N276" s="215"/>
      <c r="O276" s="216"/>
      <c r="Q276" s="230"/>
      <c r="BD276" s="147"/>
      <c r="BK276" s="148"/>
      <c r="CK276" s="144" t="s">
        <v>301</v>
      </c>
      <c r="CL276" s="144" t="s">
        <v>83</v>
      </c>
      <c r="CM276" s="11" t="s">
        <v>81</v>
      </c>
      <c r="CN276" s="11" t="s">
        <v>32</v>
      </c>
      <c r="CO276" s="11" t="s">
        <v>74</v>
      </c>
      <c r="CP276" s="144" t="s">
        <v>282</v>
      </c>
    </row>
    <row r="277" spans="2:108" s="12" customFormat="1" x14ac:dyDescent="0.2">
      <c r="B277" s="149"/>
      <c r="D277" s="138" t="s">
        <v>301</v>
      </c>
      <c r="E277" s="150" t="s">
        <v>1</v>
      </c>
      <c r="F277" s="151" t="s">
        <v>2418</v>
      </c>
      <c r="H277" s="152">
        <v>174.8</v>
      </c>
      <c r="I277" s="153"/>
      <c r="L277" s="149"/>
      <c r="N277" s="217"/>
      <c r="O277" s="218"/>
      <c r="Q277" s="231"/>
      <c r="BD277" s="154"/>
      <c r="BK277" s="155"/>
      <c r="CK277" s="150" t="s">
        <v>301</v>
      </c>
      <c r="CL277" s="150" t="s">
        <v>83</v>
      </c>
      <c r="CM277" s="12" t="s">
        <v>83</v>
      </c>
      <c r="CN277" s="12" t="s">
        <v>32</v>
      </c>
      <c r="CO277" s="12" t="s">
        <v>81</v>
      </c>
      <c r="CP277" s="150" t="s">
        <v>282</v>
      </c>
    </row>
    <row r="278" spans="2:108" s="10" customFormat="1" ht="22.9" customHeight="1" x14ac:dyDescent="0.2">
      <c r="B278" s="112"/>
      <c r="D278" s="113" t="s">
        <v>73</v>
      </c>
      <c r="E278" s="122" t="s">
        <v>328</v>
      </c>
      <c r="F278" s="122" t="s">
        <v>555</v>
      </c>
      <c r="I278" s="115"/>
      <c r="J278" s="123">
        <f>DB278</f>
        <v>147284.25</v>
      </c>
      <c r="L278" s="112"/>
      <c r="M278" s="270">
        <f>SUM(M279:M318)</f>
        <v>0</v>
      </c>
      <c r="N278" s="301"/>
      <c r="O278" s="302">
        <f t="shared" ref="O278:V278" si="6">SUM(O279:O318)</f>
        <v>1025.54</v>
      </c>
      <c r="P278" s="270"/>
      <c r="Q278" s="288">
        <f t="shared" si="6"/>
        <v>146258.69999999998</v>
      </c>
      <c r="R278" s="270"/>
      <c r="S278" s="270"/>
      <c r="T278" s="270">
        <f t="shared" si="6"/>
        <v>0</v>
      </c>
      <c r="U278" s="270"/>
      <c r="V278" s="270">
        <f t="shared" si="6"/>
        <v>147284.25</v>
      </c>
      <c r="BD278" s="117"/>
      <c r="BG278" s="118">
        <f>SUM(BG279:BG321)</f>
        <v>0</v>
      </c>
      <c r="BI278" s="118">
        <f>SUM(BI279:BI321)</f>
        <v>0.83801230000000015</v>
      </c>
      <c r="BK278" s="119">
        <f>SUM(BK279:BK321)</f>
        <v>0</v>
      </c>
      <c r="CI278" s="113" t="s">
        <v>81</v>
      </c>
      <c r="CK278" s="120" t="s">
        <v>73</v>
      </c>
      <c r="CL278" s="120" t="s">
        <v>81</v>
      </c>
      <c r="CP278" s="113" t="s">
        <v>282</v>
      </c>
      <c r="DB278" s="121">
        <f>SUM(DB279:DB321)</f>
        <v>147284.25</v>
      </c>
    </row>
    <row r="279" spans="2:108" s="1" customFormat="1" ht="37.9" customHeight="1" x14ac:dyDescent="0.2">
      <c r="B279" s="124"/>
      <c r="C279" s="125" t="s">
        <v>501</v>
      </c>
      <c r="D279" s="125" t="s">
        <v>284</v>
      </c>
      <c r="E279" s="126" t="s">
        <v>2329</v>
      </c>
      <c r="F279" s="127" t="s">
        <v>2330</v>
      </c>
      <c r="G279" s="128" t="s">
        <v>344</v>
      </c>
      <c r="H279" s="129">
        <v>225.7</v>
      </c>
      <c r="I279" s="130">
        <v>126.22001222256996</v>
      </c>
      <c r="J279" s="131">
        <f>ROUND(I279*H279,2)</f>
        <v>28487.86</v>
      </c>
      <c r="K279" s="127" t="s">
        <v>293</v>
      </c>
      <c r="L279" s="268">
        <f>S279</f>
        <v>0</v>
      </c>
      <c r="M279" s="272">
        <f>ROUND(L279*I279,2)</f>
        <v>0</v>
      </c>
      <c r="N279" s="243">
        <f>N282</f>
        <v>1.9699999999999989</v>
      </c>
      <c r="O279" s="294">
        <f>ROUND(N279*I279,2)</f>
        <v>248.65</v>
      </c>
      <c r="P279" s="273">
        <f>H279-L279-N279</f>
        <v>223.73</v>
      </c>
      <c r="Q279" s="287">
        <f>ROUND(P279*I279,2)</f>
        <v>28239.200000000001</v>
      </c>
      <c r="R279" s="137"/>
      <c r="S279" s="269">
        <f>W279+Y279+AA279+AC279</f>
        <v>0</v>
      </c>
      <c r="T279" s="269">
        <f>ROUND(S279*I279,2)</f>
        <v>0</v>
      </c>
      <c r="U279" s="269">
        <f>H279-S279</f>
        <v>225.7</v>
      </c>
      <c r="V279" s="269">
        <f>ROUND(U279*I279,2)</f>
        <v>28487.86</v>
      </c>
      <c r="W279" s="269"/>
      <c r="X279" s="269"/>
      <c r="Y279" s="269"/>
      <c r="Z279" s="269"/>
      <c r="AA279" s="269"/>
      <c r="AB279" s="269"/>
      <c r="AC279" s="269"/>
      <c r="AD279" s="269"/>
      <c r="BD279" s="132" t="s">
        <v>1</v>
      </c>
      <c r="BE279" s="133" t="s">
        <v>40</v>
      </c>
      <c r="BG279" s="134">
        <f>BF279*H279</f>
        <v>0</v>
      </c>
      <c r="BH279" s="134">
        <v>0</v>
      </c>
      <c r="BI279" s="134">
        <f>BH279*H279</f>
        <v>0</v>
      </c>
      <c r="BJ279" s="134">
        <v>0</v>
      </c>
      <c r="BK279" s="135">
        <f>BJ279*H279</f>
        <v>0</v>
      </c>
      <c r="CI279" s="136" t="s">
        <v>95</v>
      </c>
      <c r="CK279" s="136" t="s">
        <v>284</v>
      </c>
      <c r="CL279" s="136" t="s">
        <v>83</v>
      </c>
      <c r="CP279" s="16" t="s">
        <v>282</v>
      </c>
      <c r="CV279" s="137">
        <f>IF(BE279="základní",J279,0)</f>
        <v>28487.86</v>
      </c>
      <c r="CW279" s="137">
        <f>IF(BE279="snížená",J279,0)</f>
        <v>0</v>
      </c>
      <c r="CX279" s="137">
        <f>IF(BE279="zákl. přenesená",J279,0)</f>
        <v>0</v>
      </c>
      <c r="CY279" s="137">
        <f>IF(BE279="sníž. přenesená",J279,0)</f>
        <v>0</v>
      </c>
      <c r="CZ279" s="137">
        <f>IF(BE279="nulová",J279,0)</f>
        <v>0</v>
      </c>
      <c r="DA279" s="16" t="s">
        <v>81</v>
      </c>
      <c r="DB279" s="137">
        <f>ROUND(I279*H279,2)</f>
        <v>28487.86</v>
      </c>
      <c r="DC279" s="16" t="s">
        <v>95</v>
      </c>
      <c r="DD279" s="136" t="s">
        <v>2331</v>
      </c>
    </row>
    <row r="280" spans="2:108" s="1" customFormat="1" ht="29.25" x14ac:dyDescent="0.2">
      <c r="B280" s="31"/>
      <c r="D280" s="138" t="s">
        <v>289</v>
      </c>
      <c r="F280" s="139" t="s">
        <v>2332</v>
      </c>
      <c r="I280" s="140"/>
      <c r="L280" s="31"/>
      <c r="N280" s="213"/>
      <c r="O280" s="214"/>
      <c r="Q280" s="229"/>
      <c r="BD280" s="141"/>
      <c r="BK280" s="50"/>
      <c r="CK280" s="16" t="s">
        <v>289</v>
      </c>
      <c r="CL280" s="16" t="s">
        <v>83</v>
      </c>
    </row>
    <row r="281" spans="2:108" s="1" customFormat="1" ht="29.25" x14ac:dyDescent="0.2">
      <c r="B281" s="31"/>
      <c r="D281" s="138" t="s">
        <v>299</v>
      </c>
      <c r="F281" s="142" t="s">
        <v>2291</v>
      </c>
      <c r="I281" s="140"/>
      <c r="L281" s="31"/>
      <c r="N281" s="213"/>
      <c r="O281" s="214"/>
      <c r="Q281" s="229"/>
      <c r="BD281" s="141"/>
      <c r="BK281" s="50"/>
      <c r="CK281" s="16" t="s">
        <v>299</v>
      </c>
      <c r="CL281" s="16" t="s">
        <v>83</v>
      </c>
    </row>
    <row r="282" spans="2:108" s="12" customFormat="1" x14ac:dyDescent="0.2">
      <c r="B282" s="149"/>
      <c r="D282" s="138" t="s">
        <v>301</v>
      </c>
      <c r="E282" s="150" t="s">
        <v>1</v>
      </c>
      <c r="F282" s="151" t="s">
        <v>2415</v>
      </c>
      <c r="H282" s="152">
        <v>225.7</v>
      </c>
      <c r="I282" s="153"/>
      <c r="L282" s="149"/>
      <c r="N282" s="217">
        <f>227.67-225.7</f>
        <v>1.9699999999999989</v>
      </c>
      <c r="O282" s="218" t="s">
        <v>3572</v>
      </c>
      <c r="Q282" s="231"/>
      <c r="BD282" s="154"/>
      <c r="BK282" s="155"/>
      <c r="CK282" s="150" t="s">
        <v>301</v>
      </c>
      <c r="CL282" s="150" t="s">
        <v>83</v>
      </c>
      <c r="CM282" s="12" t="s">
        <v>83</v>
      </c>
      <c r="CN282" s="12" t="s">
        <v>32</v>
      </c>
      <c r="CO282" s="12" t="s">
        <v>81</v>
      </c>
      <c r="CP282" s="150" t="s">
        <v>282</v>
      </c>
    </row>
    <row r="283" spans="2:108" s="1" customFormat="1" ht="24.2" customHeight="1" x14ac:dyDescent="0.2">
      <c r="B283" s="124"/>
      <c r="C283" s="170" t="s">
        <v>505</v>
      </c>
      <c r="D283" s="170" t="s">
        <v>439</v>
      </c>
      <c r="E283" s="171" t="s">
        <v>2333</v>
      </c>
      <c r="F283" s="172" t="s">
        <v>2334</v>
      </c>
      <c r="G283" s="173" t="s">
        <v>344</v>
      </c>
      <c r="H283" s="174">
        <v>236.98500000000001</v>
      </c>
      <c r="I283" s="175">
        <v>347.62816190000001</v>
      </c>
      <c r="J283" s="176">
        <f>ROUND(I283*H283,2)</f>
        <v>82382.66</v>
      </c>
      <c r="K283" s="172" t="s">
        <v>293</v>
      </c>
      <c r="L283" s="268">
        <f>S283</f>
        <v>0</v>
      </c>
      <c r="M283" s="272">
        <f>ROUND(L283*I283,2)</f>
        <v>0</v>
      </c>
      <c r="N283" s="243">
        <f>N286</f>
        <v>2.0684999999999718</v>
      </c>
      <c r="O283" s="294">
        <f>ROUND(N283*I283,2)</f>
        <v>719.07</v>
      </c>
      <c r="P283" s="273">
        <f>H283-L283-N283</f>
        <v>234.91650000000004</v>
      </c>
      <c r="Q283" s="287">
        <f>ROUND(P283*I283,2)</f>
        <v>81663.59</v>
      </c>
      <c r="R283" s="137"/>
      <c r="S283" s="269">
        <f>W283+Y283+AA283+AC283</f>
        <v>0</v>
      </c>
      <c r="T283" s="269">
        <f>ROUND(S283*I283,2)</f>
        <v>0</v>
      </c>
      <c r="U283" s="269">
        <f>H283-S283</f>
        <v>236.98500000000001</v>
      </c>
      <c r="V283" s="269">
        <f>ROUND(U283*I283,2)</f>
        <v>82382.66</v>
      </c>
      <c r="W283" s="290"/>
      <c r="X283" s="290"/>
      <c r="Y283" s="290"/>
      <c r="Z283" s="290"/>
      <c r="AA283" s="290"/>
      <c r="AB283" s="290"/>
      <c r="AC283" s="290"/>
      <c r="AD283" s="290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77" t="s">
        <v>1</v>
      </c>
      <c r="BE283" s="178" t="s">
        <v>40</v>
      </c>
      <c r="BG283" s="134">
        <f>BF283*H283</f>
        <v>0</v>
      </c>
      <c r="BH283" s="134">
        <v>3.1800000000000001E-3</v>
      </c>
      <c r="BI283" s="134">
        <f>BH283*H283</f>
        <v>0.75361230000000001</v>
      </c>
      <c r="BJ283" s="134">
        <v>0</v>
      </c>
      <c r="BK283" s="135">
        <f>BJ283*H283</f>
        <v>0</v>
      </c>
      <c r="CI283" s="136" t="s">
        <v>328</v>
      </c>
      <c r="CK283" s="136" t="s">
        <v>439</v>
      </c>
      <c r="CL283" s="136" t="s">
        <v>83</v>
      </c>
      <c r="CP283" s="16" t="s">
        <v>282</v>
      </c>
      <c r="CV283" s="137">
        <f>IF(BE283="základní",J283,0)</f>
        <v>82382.66</v>
      </c>
      <c r="CW283" s="137">
        <f>IF(BE283="snížená",J283,0)</f>
        <v>0</v>
      </c>
      <c r="CX283" s="137">
        <f>IF(BE283="zákl. přenesená",J283,0)</f>
        <v>0</v>
      </c>
      <c r="CY283" s="137">
        <f>IF(BE283="sníž. přenesená",J283,0)</f>
        <v>0</v>
      </c>
      <c r="CZ283" s="137">
        <f>IF(BE283="nulová",J283,0)</f>
        <v>0</v>
      </c>
      <c r="DA283" s="16" t="s">
        <v>81</v>
      </c>
      <c r="DB283" s="137">
        <f>ROUND(I283*H283,2)</f>
        <v>82382.66</v>
      </c>
      <c r="DC283" s="16" t="s">
        <v>95</v>
      </c>
      <c r="DD283" s="136" t="s">
        <v>2335</v>
      </c>
    </row>
    <row r="284" spans="2:108" s="1" customFormat="1" ht="19.5" x14ac:dyDescent="0.2">
      <c r="B284" s="31"/>
      <c r="D284" s="138" t="s">
        <v>289</v>
      </c>
      <c r="F284" s="139" t="s">
        <v>2334</v>
      </c>
      <c r="I284" s="140"/>
      <c r="L284" s="31"/>
      <c r="N284" s="213"/>
      <c r="O284" s="214"/>
      <c r="Q284" s="229"/>
      <c r="BD284" s="141"/>
      <c r="BK284" s="50"/>
      <c r="CK284" s="16" t="s">
        <v>289</v>
      </c>
      <c r="CL284" s="16" t="s">
        <v>83</v>
      </c>
    </row>
    <row r="285" spans="2:108" s="12" customFormat="1" x14ac:dyDescent="0.2">
      <c r="B285" s="149"/>
      <c r="D285" s="138" t="s">
        <v>301</v>
      </c>
      <c r="F285" s="151" t="s">
        <v>2419</v>
      </c>
      <c r="H285" s="152">
        <v>236.98500000000001</v>
      </c>
      <c r="I285" s="153"/>
      <c r="L285" s="149"/>
      <c r="N285" s="217">
        <f>227.67*1.05</f>
        <v>239.05349999999999</v>
      </c>
      <c r="O285" s="218" t="s">
        <v>3577</v>
      </c>
      <c r="Q285" s="231"/>
      <c r="BD285" s="154"/>
      <c r="BK285" s="155"/>
      <c r="CK285" s="150" t="s">
        <v>301</v>
      </c>
      <c r="CL285" s="150" t="s">
        <v>83</v>
      </c>
      <c r="CM285" s="12" t="s">
        <v>83</v>
      </c>
      <c r="CN285" s="12" t="s">
        <v>3</v>
      </c>
      <c r="CO285" s="12" t="s">
        <v>81</v>
      </c>
      <c r="CP285" s="150" t="s">
        <v>282</v>
      </c>
    </row>
    <row r="286" spans="2:108" s="12" customFormat="1" x14ac:dyDescent="0.2">
      <c r="B286" s="149"/>
      <c r="D286" s="138"/>
      <c r="F286" s="151"/>
      <c r="H286" s="152"/>
      <c r="I286" s="153"/>
      <c r="L286" s="149"/>
      <c r="N286" s="310">
        <f>N285-H285</f>
        <v>2.0684999999999718</v>
      </c>
      <c r="O286" s="218"/>
      <c r="Q286" s="231"/>
      <c r="BD286" s="154"/>
      <c r="BK286" s="155"/>
      <c r="CK286" s="150"/>
      <c r="CL286" s="150"/>
      <c r="CP286" s="150"/>
    </row>
    <row r="287" spans="2:108" s="1" customFormat="1" ht="24.2" customHeight="1" x14ac:dyDescent="0.2">
      <c r="B287" s="124"/>
      <c r="C287" s="125" t="s">
        <v>510</v>
      </c>
      <c r="D287" s="125" t="s">
        <v>284</v>
      </c>
      <c r="E287" s="126" t="s">
        <v>2337</v>
      </c>
      <c r="F287" s="127" t="s">
        <v>2338</v>
      </c>
      <c r="G287" s="128" t="s">
        <v>485</v>
      </c>
      <c r="H287" s="129">
        <v>14</v>
      </c>
      <c r="I287" s="130">
        <v>283.67270856236348</v>
      </c>
      <c r="J287" s="131">
        <f>ROUND(I287*H287,2)</f>
        <v>3971.42</v>
      </c>
      <c r="K287" s="127" t="s">
        <v>293</v>
      </c>
      <c r="L287" s="268">
        <f>S287</f>
        <v>0</v>
      </c>
      <c r="M287" s="272">
        <f>ROUND(L287*I287,2)</f>
        <v>0</v>
      </c>
      <c r="N287" s="243"/>
      <c r="O287" s="294">
        <f>ROUND(N287*I287,2)</f>
        <v>0</v>
      </c>
      <c r="P287" s="273">
        <f>H287-L287-N287</f>
        <v>14</v>
      </c>
      <c r="Q287" s="287">
        <f>ROUND(P287*I287,2)</f>
        <v>3971.42</v>
      </c>
      <c r="R287" s="137"/>
      <c r="S287" s="269">
        <f>W287+Y287+AA287+AC287</f>
        <v>0</v>
      </c>
      <c r="T287" s="269">
        <f>ROUND(S287*I287,2)</f>
        <v>0</v>
      </c>
      <c r="U287" s="269">
        <f>H287-S287</f>
        <v>14</v>
      </c>
      <c r="V287" s="269">
        <f>ROUND(U287*I287,2)</f>
        <v>3971.42</v>
      </c>
      <c r="W287" s="269"/>
      <c r="X287" s="269"/>
      <c r="Y287" s="269"/>
      <c r="Z287" s="269"/>
      <c r="AA287" s="269"/>
      <c r="AB287" s="269"/>
      <c r="AC287" s="269"/>
      <c r="AD287" s="269"/>
      <c r="BD287" s="132" t="s">
        <v>1</v>
      </c>
      <c r="BE287" s="133" t="s">
        <v>40</v>
      </c>
      <c r="BG287" s="134">
        <f>BF287*H287</f>
        <v>0</v>
      </c>
      <c r="BH287" s="134">
        <v>0</v>
      </c>
      <c r="BI287" s="134">
        <f>BH287*H287</f>
        <v>0</v>
      </c>
      <c r="BJ287" s="134">
        <v>0</v>
      </c>
      <c r="BK287" s="135">
        <f>BJ287*H287</f>
        <v>0</v>
      </c>
      <c r="CI287" s="136" t="s">
        <v>95</v>
      </c>
      <c r="CK287" s="136" t="s">
        <v>284</v>
      </c>
      <c r="CL287" s="136" t="s">
        <v>83</v>
      </c>
      <c r="CP287" s="16" t="s">
        <v>282</v>
      </c>
      <c r="CV287" s="137">
        <f>IF(BE287="základní",J287,0)</f>
        <v>3971.42</v>
      </c>
      <c r="CW287" s="137">
        <f>IF(BE287="snížená",J287,0)</f>
        <v>0</v>
      </c>
      <c r="CX287" s="137">
        <f>IF(BE287="zákl. přenesená",J287,0)</f>
        <v>0</v>
      </c>
      <c r="CY287" s="137">
        <f>IF(BE287="sníž. přenesená",J287,0)</f>
        <v>0</v>
      </c>
      <c r="CZ287" s="137">
        <f>IF(BE287="nulová",J287,0)</f>
        <v>0</v>
      </c>
      <c r="DA287" s="16" t="s">
        <v>81</v>
      </c>
      <c r="DB287" s="137">
        <f>ROUND(I287*H287,2)</f>
        <v>3971.42</v>
      </c>
      <c r="DC287" s="16" t="s">
        <v>95</v>
      </c>
      <c r="DD287" s="136" t="s">
        <v>2339</v>
      </c>
    </row>
    <row r="288" spans="2:108" s="1" customFormat="1" ht="19.5" x14ac:dyDescent="0.2">
      <c r="B288" s="31"/>
      <c r="D288" s="138" t="s">
        <v>289</v>
      </c>
      <c r="F288" s="139" t="s">
        <v>2340</v>
      </c>
      <c r="I288" s="140"/>
      <c r="L288" s="31"/>
      <c r="N288" s="213"/>
      <c r="O288" s="214"/>
      <c r="Q288" s="229"/>
      <c r="BD288" s="141"/>
      <c r="BK288" s="50"/>
      <c r="CK288" s="16" t="s">
        <v>289</v>
      </c>
      <c r="CL288" s="16" t="s">
        <v>83</v>
      </c>
    </row>
    <row r="289" spans="2:108" s="1" customFormat="1" ht="29.25" x14ac:dyDescent="0.2">
      <c r="B289" s="31"/>
      <c r="D289" s="138" t="s">
        <v>299</v>
      </c>
      <c r="F289" s="142" t="s">
        <v>2291</v>
      </c>
      <c r="I289" s="140"/>
      <c r="L289" s="31"/>
      <c r="N289" s="213"/>
      <c r="O289" s="214"/>
      <c r="Q289" s="229"/>
      <c r="BD289" s="141"/>
      <c r="BK289" s="50"/>
      <c r="CK289" s="16" t="s">
        <v>299</v>
      </c>
      <c r="CL289" s="16" t="s">
        <v>83</v>
      </c>
    </row>
    <row r="290" spans="2:108" s="12" customFormat="1" x14ac:dyDescent="0.2">
      <c r="B290" s="149"/>
      <c r="D290" s="138" t="s">
        <v>301</v>
      </c>
      <c r="E290" s="150" t="s">
        <v>1</v>
      </c>
      <c r="F290" s="151" t="s">
        <v>2420</v>
      </c>
      <c r="H290" s="152">
        <v>14</v>
      </c>
      <c r="I290" s="153"/>
      <c r="L290" s="149"/>
      <c r="N290" s="217"/>
      <c r="O290" s="218"/>
      <c r="Q290" s="231"/>
      <c r="BD290" s="154"/>
      <c r="BK290" s="155"/>
      <c r="CK290" s="150" t="s">
        <v>301</v>
      </c>
      <c r="CL290" s="150" t="s">
        <v>83</v>
      </c>
      <c r="CM290" s="12" t="s">
        <v>83</v>
      </c>
      <c r="CN290" s="12" t="s">
        <v>32</v>
      </c>
      <c r="CO290" s="12" t="s">
        <v>81</v>
      </c>
      <c r="CP290" s="150" t="s">
        <v>282</v>
      </c>
    </row>
    <row r="291" spans="2:108" s="1" customFormat="1" ht="14.45" customHeight="1" x14ac:dyDescent="0.2">
      <c r="B291" s="124"/>
      <c r="C291" s="170" t="s">
        <v>514</v>
      </c>
      <c r="D291" s="170" t="s">
        <v>439</v>
      </c>
      <c r="E291" s="171" t="s">
        <v>2342</v>
      </c>
      <c r="F291" s="172" t="s">
        <v>2343</v>
      </c>
      <c r="G291" s="173" t="s">
        <v>485</v>
      </c>
      <c r="H291" s="174">
        <v>9</v>
      </c>
      <c r="I291" s="175">
        <v>368.4669073</v>
      </c>
      <c r="J291" s="176">
        <f>ROUND(I291*H291,2)</f>
        <v>3316.2</v>
      </c>
      <c r="K291" s="172" t="s">
        <v>293</v>
      </c>
      <c r="L291" s="268">
        <f>S291</f>
        <v>0</v>
      </c>
      <c r="M291" s="272">
        <f>ROUND(L291*I291,2)</f>
        <v>0</v>
      </c>
      <c r="N291" s="243"/>
      <c r="O291" s="294">
        <f>ROUND(N291*I291,2)</f>
        <v>0</v>
      </c>
      <c r="P291" s="273">
        <f>H291-L291-N291</f>
        <v>9</v>
      </c>
      <c r="Q291" s="287">
        <f>ROUND(P291*I291,2)</f>
        <v>3316.2</v>
      </c>
      <c r="R291" s="137"/>
      <c r="S291" s="269">
        <f>W291+Y291+AA291+AC291</f>
        <v>0</v>
      </c>
      <c r="T291" s="269">
        <f>ROUND(S291*I291,2)</f>
        <v>0</v>
      </c>
      <c r="U291" s="269">
        <f>H291-S291</f>
        <v>9</v>
      </c>
      <c r="V291" s="269">
        <f>ROUND(U291*I291,2)</f>
        <v>3316.2</v>
      </c>
      <c r="W291" s="290"/>
      <c r="X291" s="290"/>
      <c r="Y291" s="290"/>
      <c r="Z291" s="290"/>
      <c r="AA291" s="290"/>
      <c r="AB291" s="290"/>
      <c r="AC291" s="290"/>
      <c r="AD291" s="290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77" t="s">
        <v>1</v>
      </c>
      <c r="BE291" s="178" t="s">
        <v>40</v>
      </c>
      <c r="BG291" s="134">
        <f>BF291*H291</f>
        <v>0</v>
      </c>
      <c r="BH291" s="134">
        <v>7.2000000000000005E-4</v>
      </c>
      <c r="BI291" s="134">
        <f>BH291*H291</f>
        <v>6.4800000000000005E-3</v>
      </c>
      <c r="BJ291" s="134">
        <v>0</v>
      </c>
      <c r="BK291" s="135">
        <f>BJ291*H291</f>
        <v>0</v>
      </c>
      <c r="CI291" s="136" t="s">
        <v>328</v>
      </c>
      <c r="CK291" s="136" t="s">
        <v>439</v>
      </c>
      <c r="CL291" s="136" t="s">
        <v>83</v>
      </c>
      <c r="CP291" s="16" t="s">
        <v>282</v>
      </c>
      <c r="CV291" s="137">
        <f>IF(BE291="základní",J291,0)</f>
        <v>3316.2</v>
      </c>
      <c r="CW291" s="137">
        <f>IF(BE291="snížená",J291,0)</f>
        <v>0</v>
      </c>
      <c r="CX291" s="137">
        <f>IF(BE291="zákl. přenesená",J291,0)</f>
        <v>0</v>
      </c>
      <c r="CY291" s="137">
        <f>IF(BE291="sníž. přenesená",J291,0)</f>
        <v>0</v>
      </c>
      <c r="CZ291" s="137">
        <f>IF(BE291="nulová",J291,0)</f>
        <v>0</v>
      </c>
      <c r="DA291" s="16" t="s">
        <v>81</v>
      </c>
      <c r="DB291" s="137">
        <f>ROUND(I291*H291,2)</f>
        <v>3316.2</v>
      </c>
      <c r="DC291" s="16" t="s">
        <v>95</v>
      </c>
      <c r="DD291" s="136" t="s">
        <v>2344</v>
      </c>
    </row>
    <row r="292" spans="2:108" s="1" customFormat="1" x14ac:dyDescent="0.2">
      <c r="B292" s="31"/>
      <c r="D292" s="138" t="s">
        <v>289</v>
      </c>
      <c r="F292" s="139" t="s">
        <v>2343</v>
      </c>
      <c r="I292" s="140"/>
      <c r="L292" s="31"/>
      <c r="N292" s="213"/>
      <c r="O292" s="214"/>
      <c r="Q292" s="229"/>
      <c r="BD292" s="141"/>
      <c r="BK292" s="50"/>
      <c r="CK292" s="16" t="s">
        <v>289</v>
      </c>
      <c r="CL292" s="16" t="s">
        <v>83</v>
      </c>
    </row>
    <row r="293" spans="2:108" s="1" customFormat="1" ht="14.45" customHeight="1" x14ac:dyDescent="0.2">
      <c r="B293" s="124"/>
      <c r="C293" s="170" t="s">
        <v>521</v>
      </c>
      <c r="D293" s="170" t="s">
        <v>439</v>
      </c>
      <c r="E293" s="171" t="s">
        <v>2421</v>
      </c>
      <c r="F293" s="172" t="s">
        <v>2422</v>
      </c>
      <c r="G293" s="173" t="s">
        <v>485</v>
      </c>
      <c r="H293" s="174">
        <v>4</v>
      </c>
      <c r="I293" s="175">
        <v>1136.6588400000001</v>
      </c>
      <c r="J293" s="176">
        <f>ROUND(I293*H293,2)</f>
        <v>4546.6400000000003</v>
      </c>
      <c r="K293" s="172" t="s">
        <v>1</v>
      </c>
      <c r="L293" s="268">
        <f>S293</f>
        <v>0</v>
      </c>
      <c r="M293" s="272">
        <f>ROUND(L293*I293,2)</f>
        <v>0</v>
      </c>
      <c r="N293" s="243"/>
      <c r="O293" s="294">
        <f>ROUND(N293*I293,2)</f>
        <v>0</v>
      </c>
      <c r="P293" s="273">
        <f>H293-L293-N293</f>
        <v>4</v>
      </c>
      <c r="Q293" s="287">
        <f>ROUND(P293*I293,2)</f>
        <v>4546.6400000000003</v>
      </c>
      <c r="R293" s="137"/>
      <c r="S293" s="269">
        <f>W293+Y293+AA293+AC293</f>
        <v>0</v>
      </c>
      <c r="T293" s="269">
        <f>ROUND(S293*I293,2)</f>
        <v>0</v>
      </c>
      <c r="U293" s="269">
        <f>H293-S293</f>
        <v>4</v>
      </c>
      <c r="V293" s="269">
        <f>ROUND(U293*I293,2)</f>
        <v>4546.6400000000003</v>
      </c>
      <c r="W293" s="290"/>
      <c r="X293" s="290"/>
      <c r="Y293" s="290"/>
      <c r="Z293" s="290"/>
      <c r="AA293" s="290"/>
      <c r="AB293" s="290"/>
      <c r="AC293" s="290"/>
      <c r="AD293" s="290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77" t="s">
        <v>1</v>
      </c>
      <c r="BE293" s="178" t="s">
        <v>40</v>
      </c>
      <c r="BG293" s="134">
        <f>BF293*H293</f>
        <v>0</v>
      </c>
      <c r="BH293" s="134">
        <v>1.4E-3</v>
      </c>
      <c r="BI293" s="134">
        <f>BH293*H293</f>
        <v>5.5999999999999999E-3</v>
      </c>
      <c r="BJ293" s="134">
        <v>0</v>
      </c>
      <c r="BK293" s="135">
        <f>BJ293*H293</f>
        <v>0</v>
      </c>
      <c r="CI293" s="136" t="s">
        <v>328</v>
      </c>
      <c r="CK293" s="136" t="s">
        <v>439</v>
      </c>
      <c r="CL293" s="136" t="s">
        <v>83</v>
      </c>
      <c r="CP293" s="16" t="s">
        <v>282</v>
      </c>
      <c r="CV293" s="137">
        <f>IF(BE293="základní",J293,0)</f>
        <v>4546.6400000000003</v>
      </c>
      <c r="CW293" s="137">
        <f>IF(BE293="snížená",J293,0)</f>
        <v>0</v>
      </c>
      <c r="CX293" s="137">
        <f>IF(BE293="zákl. přenesená",J293,0)</f>
        <v>0</v>
      </c>
      <c r="CY293" s="137">
        <f>IF(BE293="sníž. přenesená",J293,0)</f>
        <v>0</v>
      </c>
      <c r="CZ293" s="137">
        <f>IF(BE293="nulová",J293,0)</f>
        <v>0</v>
      </c>
      <c r="DA293" s="16" t="s">
        <v>81</v>
      </c>
      <c r="DB293" s="137">
        <f>ROUND(I293*H293,2)</f>
        <v>4546.6400000000003</v>
      </c>
      <c r="DC293" s="16" t="s">
        <v>95</v>
      </c>
      <c r="DD293" s="136" t="s">
        <v>2350</v>
      </c>
    </row>
    <row r="294" spans="2:108" s="1" customFormat="1" x14ac:dyDescent="0.2">
      <c r="B294" s="31"/>
      <c r="D294" s="138" t="s">
        <v>289</v>
      </c>
      <c r="F294" s="139" t="s">
        <v>2422</v>
      </c>
      <c r="I294" s="140"/>
      <c r="L294" s="31"/>
      <c r="N294" s="213"/>
      <c r="O294" s="214"/>
      <c r="Q294" s="229"/>
      <c r="BD294" s="141"/>
      <c r="BK294" s="50"/>
      <c r="CK294" s="16" t="s">
        <v>289</v>
      </c>
      <c r="CL294" s="16" t="s">
        <v>83</v>
      </c>
    </row>
    <row r="295" spans="2:108" s="1" customFormat="1" ht="14.45" customHeight="1" x14ac:dyDescent="0.2">
      <c r="B295" s="124"/>
      <c r="C295" s="170" t="s">
        <v>526</v>
      </c>
      <c r="D295" s="170" t="s">
        <v>439</v>
      </c>
      <c r="E295" s="171" t="s">
        <v>2351</v>
      </c>
      <c r="F295" s="172" t="s">
        <v>2352</v>
      </c>
      <c r="G295" s="173" t="s">
        <v>485</v>
      </c>
      <c r="H295" s="174">
        <v>1</v>
      </c>
      <c r="I295" s="175">
        <v>318.26447519999999</v>
      </c>
      <c r="J295" s="176">
        <f>ROUND(I295*H295,2)</f>
        <v>318.26</v>
      </c>
      <c r="K295" s="172" t="s">
        <v>293</v>
      </c>
      <c r="L295" s="268">
        <f>S295</f>
        <v>0</v>
      </c>
      <c r="M295" s="272">
        <f>ROUND(L295*I295,2)</f>
        <v>0</v>
      </c>
      <c r="N295" s="243"/>
      <c r="O295" s="294">
        <f>ROUND(N295*I295,2)</f>
        <v>0</v>
      </c>
      <c r="P295" s="273">
        <f>H295-L295-N295</f>
        <v>1</v>
      </c>
      <c r="Q295" s="287">
        <f>ROUND(P295*I295,2)</f>
        <v>318.26</v>
      </c>
      <c r="R295" s="137"/>
      <c r="S295" s="269">
        <f>W295+Y295+AA295+AC295</f>
        <v>0</v>
      </c>
      <c r="T295" s="269">
        <f>ROUND(S295*I295,2)</f>
        <v>0</v>
      </c>
      <c r="U295" s="269">
        <f>H295-S295</f>
        <v>1</v>
      </c>
      <c r="V295" s="269">
        <f>ROUND(U295*I295,2)</f>
        <v>318.26</v>
      </c>
      <c r="W295" s="290"/>
      <c r="X295" s="290"/>
      <c r="Y295" s="290"/>
      <c r="Z295" s="290"/>
      <c r="AA295" s="290"/>
      <c r="AB295" s="290"/>
      <c r="AC295" s="290"/>
      <c r="AD295" s="290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77" t="s">
        <v>1</v>
      </c>
      <c r="BE295" s="178" t="s">
        <v>40</v>
      </c>
      <c r="BG295" s="134">
        <f>BF295*H295</f>
        <v>0</v>
      </c>
      <c r="BH295" s="134">
        <v>7.2000000000000005E-4</v>
      </c>
      <c r="BI295" s="134">
        <f>BH295*H295</f>
        <v>7.2000000000000005E-4</v>
      </c>
      <c r="BJ295" s="134">
        <v>0</v>
      </c>
      <c r="BK295" s="135">
        <f>BJ295*H295</f>
        <v>0</v>
      </c>
      <c r="CI295" s="136" t="s">
        <v>328</v>
      </c>
      <c r="CK295" s="136" t="s">
        <v>439</v>
      </c>
      <c r="CL295" s="136" t="s">
        <v>83</v>
      </c>
      <c r="CP295" s="16" t="s">
        <v>282</v>
      </c>
      <c r="CV295" s="137">
        <f>IF(BE295="základní",J295,0)</f>
        <v>318.26</v>
      </c>
      <c r="CW295" s="137">
        <f>IF(BE295="snížená",J295,0)</f>
        <v>0</v>
      </c>
      <c r="CX295" s="137">
        <f>IF(BE295="zákl. přenesená",J295,0)</f>
        <v>0</v>
      </c>
      <c r="CY295" s="137">
        <f>IF(BE295="sníž. přenesená",J295,0)</f>
        <v>0</v>
      </c>
      <c r="CZ295" s="137">
        <f>IF(BE295="nulová",J295,0)</f>
        <v>0</v>
      </c>
      <c r="DA295" s="16" t="s">
        <v>81</v>
      </c>
      <c r="DB295" s="137">
        <f>ROUND(I295*H295,2)</f>
        <v>318.26</v>
      </c>
      <c r="DC295" s="16" t="s">
        <v>95</v>
      </c>
      <c r="DD295" s="136" t="s">
        <v>2353</v>
      </c>
    </row>
    <row r="296" spans="2:108" s="1" customFormat="1" x14ac:dyDescent="0.2">
      <c r="B296" s="31"/>
      <c r="D296" s="138" t="s">
        <v>289</v>
      </c>
      <c r="F296" s="139" t="s">
        <v>2352</v>
      </c>
      <c r="I296" s="140"/>
      <c r="L296" s="31"/>
      <c r="N296" s="213"/>
      <c r="O296" s="214"/>
      <c r="Q296" s="229"/>
      <c r="BD296" s="141"/>
      <c r="BK296" s="50"/>
      <c r="CK296" s="16" t="s">
        <v>289</v>
      </c>
      <c r="CL296" s="16" t="s">
        <v>83</v>
      </c>
    </row>
    <row r="297" spans="2:108" s="1" customFormat="1" ht="24.2" customHeight="1" x14ac:dyDescent="0.2">
      <c r="B297" s="124"/>
      <c r="C297" s="170" t="s">
        <v>531</v>
      </c>
      <c r="D297" s="170" t="s">
        <v>439</v>
      </c>
      <c r="E297" s="171" t="s">
        <v>2354</v>
      </c>
      <c r="F297" s="172" t="s">
        <v>2355</v>
      </c>
      <c r="G297" s="173" t="s">
        <v>485</v>
      </c>
      <c r="H297" s="174">
        <v>1</v>
      </c>
      <c r="I297" s="175">
        <v>654.52604870000005</v>
      </c>
      <c r="J297" s="176">
        <f>ROUND(I297*H297,2)</f>
        <v>654.53</v>
      </c>
      <c r="K297" s="172" t="s">
        <v>293</v>
      </c>
      <c r="L297" s="268">
        <f>S297</f>
        <v>0</v>
      </c>
      <c r="M297" s="272">
        <f>ROUND(L297*I297,2)</f>
        <v>0</v>
      </c>
      <c r="N297" s="243"/>
      <c r="O297" s="294">
        <f>ROUND(N297*I297,2)</f>
        <v>0</v>
      </c>
      <c r="P297" s="273">
        <f>H297-L297-N297</f>
        <v>1</v>
      </c>
      <c r="Q297" s="287">
        <f>ROUND(P297*I297,2)</f>
        <v>654.53</v>
      </c>
      <c r="R297" s="137"/>
      <c r="S297" s="269">
        <f>W297+Y297+AA297+AC297</f>
        <v>0</v>
      </c>
      <c r="T297" s="269">
        <f>ROUND(S297*I297,2)</f>
        <v>0</v>
      </c>
      <c r="U297" s="269">
        <f>H297-S297</f>
        <v>1</v>
      </c>
      <c r="V297" s="269">
        <f>ROUND(U297*I297,2)</f>
        <v>654.53</v>
      </c>
      <c r="W297" s="290"/>
      <c r="X297" s="290"/>
      <c r="Y297" s="290"/>
      <c r="Z297" s="290"/>
      <c r="AA297" s="290"/>
      <c r="AB297" s="290"/>
      <c r="AC297" s="290"/>
      <c r="AD297" s="290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77" t="s">
        <v>1</v>
      </c>
      <c r="BE297" s="178" t="s">
        <v>40</v>
      </c>
      <c r="BG297" s="134">
        <f>BF297*H297</f>
        <v>0</v>
      </c>
      <c r="BH297" s="134">
        <v>4.0000000000000001E-3</v>
      </c>
      <c r="BI297" s="134">
        <f>BH297*H297</f>
        <v>4.0000000000000001E-3</v>
      </c>
      <c r="BJ297" s="134">
        <v>0</v>
      </c>
      <c r="BK297" s="135">
        <f>BJ297*H297</f>
        <v>0</v>
      </c>
      <c r="CI297" s="136" t="s">
        <v>328</v>
      </c>
      <c r="CK297" s="136" t="s">
        <v>439</v>
      </c>
      <c r="CL297" s="136" t="s">
        <v>83</v>
      </c>
      <c r="CP297" s="16" t="s">
        <v>282</v>
      </c>
      <c r="CV297" s="137">
        <f>IF(BE297="základní",J297,0)</f>
        <v>654.53</v>
      </c>
      <c r="CW297" s="137">
        <f>IF(BE297="snížená",J297,0)</f>
        <v>0</v>
      </c>
      <c r="CX297" s="137">
        <f>IF(BE297="zákl. přenesená",J297,0)</f>
        <v>0</v>
      </c>
      <c r="CY297" s="137">
        <f>IF(BE297="sníž. přenesená",J297,0)</f>
        <v>0</v>
      </c>
      <c r="CZ297" s="137">
        <f>IF(BE297="nulová",J297,0)</f>
        <v>0</v>
      </c>
      <c r="DA297" s="16" t="s">
        <v>81</v>
      </c>
      <c r="DB297" s="137">
        <f>ROUND(I297*H297,2)</f>
        <v>654.53</v>
      </c>
      <c r="DC297" s="16" t="s">
        <v>95</v>
      </c>
      <c r="DD297" s="136" t="s">
        <v>2356</v>
      </c>
    </row>
    <row r="298" spans="2:108" s="1" customFormat="1" x14ac:dyDescent="0.2">
      <c r="B298" s="31"/>
      <c r="D298" s="138" t="s">
        <v>289</v>
      </c>
      <c r="F298" s="139" t="s">
        <v>2357</v>
      </c>
      <c r="I298" s="140"/>
      <c r="L298" s="31"/>
      <c r="N298" s="213"/>
      <c r="O298" s="214"/>
      <c r="Q298" s="229"/>
      <c r="BD298" s="141"/>
      <c r="BK298" s="50"/>
      <c r="CK298" s="16" t="s">
        <v>289</v>
      </c>
      <c r="CL298" s="16" t="s">
        <v>83</v>
      </c>
    </row>
    <row r="299" spans="2:108" s="1" customFormat="1" ht="24.2" customHeight="1" x14ac:dyDescent="0.2">
      <c r="B299" s="124"/>
      <c r="C299" s="125" t="s">
        <v>536</v>
      </c>
      <c r="D299" s="125" t="s">
        <v>284</v>
      </c>
      <c r="E299" s="126" t="s">
        <v>2358</v>
      </c>
      <c r="F299" s="127" t="s">
        <v>2359</v>
      </c>
      <c r="G299" s="128" t="s">
        <v>485</v>
      </c>
      <c r="H299" s="129">
        <v>1</v>
      </c>
      <c r="I299" s="130">
        <v>321.31669478087099</v>
      </c>
      <c r="J299" s="131">
        <f>ROUND(I299*H299,2)</f>
        <v>321.32</v>
      </c>
      <c r="K299" s="127" t="s">
        <v>293</v>
      </c>
      <c r="L299" s="268">
        <f>S299</f>
        <v>0</v>
      </c>
      <c r="M299" s="272">
        <f>ROUND(L299*I299,2)</f>
        <v>0</v>
      </c>
      <c r="N299" s="243"/>
      <c r="O299" s="294">
        <f>ROUND(N299*I299,2)</f>
        <v>0</v>
      </c>
      <c r="P299" s="273">
        <f>H299-L299-N299</f>
        <v>1</v>
      </c>
      <c r="Q299" s="287">
        <f>ROUND(P299*I299,2)</f>
        <v>321.32</v>
      </c>
      <c r="R299" s="137"/>
      <c r="S299" s="269">
        <f>W299+Y299+AA299+AC299</f>
        <v>0</v>
      </c>
      <c r="T299" s="269">
        <f>ROUND(S299*I299,2)</f>
        <v>0</v>
      </c>
      <c r="U299" s="269">
        <f>H299-S299</f>
        <v>1</v>
      </c>
      <c r="V299" s="269">
        <f>ROUND(U299*I299,2)</f>
        <v>321.32</v>
      </c>
      <c r="W299" s="269"/>
      <c r="X299" s="269"/>
      <c r="Y299" s="269"/>
      <c r="Z299" s="269"/>
      <c r="AA299" s="269"/>
      <c r="AB299" s="269"/>
      <c r="AC299" s="269"/>
      <c r="AD299" s="269"/>
      <c r="BD299" s="132" t="s">
        <v>1</v>
      </c>
      <c r="BE299" s="133" t="s">
        <v>40</v>
      </c>
      <c r="BG299" s="134">
        <f>BF299*H299</f>
        <v>0</v>
      </c>
      <c r="BH299" s="134">
        <v>0</v>
      </c>
      <c r="BI299" s="134">
        <f>BH299*H299</f>
        <v>0</v>
      </c>
      <c r="BJ299" s="134">
        <v>0</v>
      </c>
      <c r="BK299" s="135">
        <f>BJ299*H299</f>
        <v>0</v>
      </c>
      <c r="CI299" s="136" t="s">
        <v>95</v>
      </c>
      <c r="CK299" s="136" t="s">
        <v>284</v>
      </c>
      <c r="CL299" s="136" t="s">
        <v>83</v>
      </c>
      <c r="CP299" s="16" t="s">
        <v>282</v>
      </c>
      <c r="CV299" s="137">
        <f>IF(BE299="základní",J299,0)</f>
        <v>321.32</v>
      </c>
      <c r="CW299" s="137">
        <f>IF(BE299="snížená",J299,0)</f>
        <v>0</v>
      </c>
      <c r="CX299" s="137">
        <f>IF(BE299="zákl. přenesená",J299,0)</f>
        <v>0</v>
      </c>
      <c r="CY299" s="137">
        <f>IF(BE299="sníž. přenesená",J299,0)</f>
        <v>0</v>
      </c>
      <c r="CZ299" s="137">
        <f>IF(BE299="nulová",J299,0)</f>
        <v>0</v>
      </c>
      <c r="DA299" s="16" t="s">
        <v>81</v>
      </c>
      <c r="DB299" s="137">
        <f>ROUND(I299*H299,2)</f>
        <v>321.32</v>
      </c>
      <c r="DC299" s="16" t="s">
        <v>95</v>
      </c>
      <c r="DD299" s="136" t="s">
        <v>2360</v>
      </c>
    </row>
    <row r="300" spans="2:108" s="1" customFormat="1" ht="19.5" x14ac:dyDescent="0.2">
      <c r="B300" s="31"/>
      <c r="D300" s="138" t="s">
        <v>289</v>
      </c>
      <c r="F300" s="139" t="s">
        <v>2361</v>
      </c>
      <c r="I300" s="140"/>
      <c r="L300" s="31"/>
      <c r="N300" s="213"/>
      <c r="O300" s="214"/>
      <c r="Q300" s="229"/>
      <c r="BD300" s="141"/>
      <c r="BK300" s="50"/>
      <c r="CK300" s="16" t="s">
        <v>289</v>
      </c>
      <c r="CL300" s="16" t="s">
        <v>83</v>
      </c>
    </row>
    <row r="301" spans="2:108" s="1" customFormat="1" ht="29.25" x14ac:dyDescent="0.2">
      <c r="B301" s="31"/>
      <c r="D301" s="138" t="s">
        <v>299</v>
      </c>
      <c r="F301" s="142" t="s">
        <v>2291</v>
      </c>
      <c r="I301" s="140"/>
      <c r="L301" s="31"/>
      <c r="N301" s="213"/>
      <c r="O301" s="214"/>
      <c r="Q301" s="229"/>
      <c r="BD301" s="141"/>
      <c r="BK301" s="50"/>
      <c r="CK301" s="16" t="s">
        <v>299</v>
      </c>
      <c r="CL301" s="16" t="s">
        <v>83</v>
      </c>
    </row>
    <row r="302" spans="2:108" s="12" customFormat="1" x14ac:dyDescent="0.2">
      <c r="B302" s="149"/>
      <c r="D302" s="138" t="s">
        <v>301</v>
      </c>
      <c r="E302" s="150" t="s">
        <v>1</v>
      </c>
      <c r="F302" s="151" t="s">
        <v>81</v>
      </c>
      <c r="H302" s="152">
        <v>1</v>
      </c>
      <c r="I302" s="153"/>
      <c r="L302" s="149"/>
      <c r="N302" s="217"/>
      <c r="O302" s="218"/>
      <c r="Q302" s="231"/>
      <c r="BD302" s="154"/>
      <c r="BK302" s="155"/>
      <c r="CK302" s="150" t="s">
        <v>301</v>
      </c>
      <c r="CL302" s="150" t="s">
        <v>83</v>
      </c>
      <c r="CM302" s="12" t="s">
        <v>83</v>
      </c>
      <c r="CN302" s="12" t="s">
        <v>32</v>
      </c>
      <c r="CO302" s="12" t="s">
        <v>81</v>
      </c>
      <c r="CP302" s="150" t="s">
        <v>282</v>
      </c>
    </row>
    <row r="303" spans="2:108" s="1" customFormat="1" ht="24.2" customHeight="1" x14ac:dyDescent="0.2">
      <c r="B303" s="124"/>
      <c r="C303" s="170" t="s">
        <v>543</v>
      </c>
      <c r="D303" s="170" t="s">
        <v>439</v>
      </c>
      <c r="E303" s="171" t="s">
        <v>2362</v>
      </c>
      <c r="F303" s="172" t="s">
        <v>2363</v>
      </c>
      <c r="G303" s="173" t="s">
        <v>485</v>
      </c>
      <c r="H303" s="174">
        <v>1</v>
      </c>
      <c r="I303" s="175">
        <v>1297.6855089999999</v>
      </c>
      <c r="J303" s="176">
        <f>ROUND(I303*H303,2)</f>
        <v>1297.69</v>
      </c>
      <c r="K303" s="172" t="s">
        <v>293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1</v>
      </c>
      <c r="Q303" s="287">
        <f>ROUND(P303*I303,2)</f>
        <v>1297.69</v>
      </c>
      <c r="R303" s="137"/>
      <c r="S303" s="269">
        <f>W303+Y303+AA303+AC303</f>
        <v>0</v>
      </c>
      <c r="T303" s="269">
        <f>ROUND(S303*I303,2)</f>
        <v>0</v>
      </c>
      <c r="U303" s="269">
        <f>H303-S303</f>
        <v>1</v>
      </c>
      <c r="V303" s="269">
        <f>ROUND(U303*I303,2)</f>
        <v>1297.69</v>
      </c>
      <c r="W303" s="290"/>
      <c r="X303" s="290"/>
      <c r="Y303" s="290"/>
      <c r="Z303" s="290"/>
      <c r="AA303" s="290"/>
      <c r="AB303" s="290"/>
      <c r="AC303" s="290"/>
      <c r="AD303" s="290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77" t="s">
        <v>1</v>
      </c>
      <c r="BE303" s="178" t="s">
        <v>40</v>
      </c>
      <c r="BG303" s="134">
        <f>BF303*H303</f>
        <v>0</v>
      </c>
      <c r="BH303" s="134">
        <v>2.2300000000000002E-3</v>
      </c>
      <c r="BI303" s="134">
        <f>BH303*H303</f>
        <v>2.2300000000000002E-3</v>
      </c>
      <c r="BJ303" s="134">
        <v>0</v>
      </c>
      <c r="BK303" s="135">
        <f>BJ303*H303</f>
        <v>0</v>
      </c>
      <c r="CI303" s="136" t="s">
        <v>328</v>
      </c>
      <c r="CK303" s="136" t="s">
        <v>439</v>
      </c>
      <c r="CL303" s="136" t="s">
        <v>83</v>
      </c>
      <c r="CP303" s="16" t="s">
        <v>282</v>
      </c>
      <c r="CV303" s="137">
        <f>IF(BE303="základní",J303,0)</f>
        <v>1297.69</v>
      </c>
      <c r="CW303" s="137">
        <f>IF(BE303="snížená",J303,0)</f>
        <v>0</v>
      </c>
      <c r="CX303" s="137">
        <f>IF(BE303="zákl. přenesená",J303,0)</f>
        <v>0</v>
      </c>
      <c r="CY303" s="137">
        <f>IF(BE303="sníž. přenesená",J303,0)</f>
        <v>0</v>
      </c>
      <c r="CZ303" s="137">
        <f>IF(BE303="nulová",J303,0)</f>
        <v>0</v>
      </c>
      <c r="DA303" s="16" t="s">
        <v>81</v>
      </c>
      <c r="DB303" s="137">
        <f>ROUND(I303*H303,2)</f>
        <v>1297.69</v>
      </c>
      <c r="DC303" s="16" t="s">
        <v>95</v>
      </c>
      <c r="DD303" s="136" t="s">
        <v>2364</v>
      </c>
    </row>
    <row r="304" spans="2:108" s="1" customFormat="1" x14ac:dyDescent="0.2">
      <c r="B304" s="31"/>
      <c r="D304" s="138" t="s">
        <v>289</v>
      </c>
      <c r="F304" s="139" t="s">
        <v>2363</v>
      </c>
      <c r="I304" s="140"/>
      <c r="L304" s="31"/>
      <c r="N304" s="213"/>
      <c r="O304" s="214"/>
      <c r="Q304" s="229"/>
      <c r="BD304" s="141"/>
      <c r="BK304" s="50"/>
      <c r="CK304" s="16" t="s">
        <v>289</v>
      </c>
      <c r="CL304" s="16" t="s">
        <v>83</v>
      </c>
    </row>
    <row r="305" spans="2:108" s="1" customFormat="1" ht="14.45" customHeight="1" x14ac:dyDescent="0.2">
      <c r="B305" s="124"/>
      <c r="C305" s="125" t="s">
        <v>548</v>
      </c>
      <c r="D305" s="125" t="s">
        <v>284</v>
      </c>
      <c r="E305" s="126" t="s">
        <v>2365</v>
      </c>
      <c r="F305" s="127" t="s">
        <v>2366</v>
      </c>
      <c r="G305" s="128" t="s">
        <v>344</v>
      </c>
      <c r="H305" s="129">
        <v>225.7</v>
      </c>
      <c r="I305" s="130">
        <v>16.910732975755494</v>
      </c>
      <c r="J305" s="131">
        <f>ROUND(I305*H305,2)</f>
        <v>3816.75</v>
      </c>
      <c r="K305" s="127" t="s">
        <v>293</v>
      </c>
      <c r="L305" s="268">
        <f>S305</f>
        <v>0</v>
      </c>
      <c r="M305" s="272">
        <f>ROUND(L305*I305,2)</f>
        <v>0</v>
      </c>
      <c r="N305" s="243">
        <f>N307</f>
        <v>1.9699999999999989</v>
      </c>
      <c r="O305" s="294">
        <f>ROUND(N305*I305,2)</f>
        <v>33.31</v>
      </c>
      <c r="P305" s="273">
        <f>H305-L305-N305</f>
        <v>223.73</v>
      </c>
      <c r="Q305" s="287">
        <f>ROUND(P305*I305,2)</f>
        <v>3783.44</v>
      </c>
      <c r="R305" s="137"/>
      <c r="S305" s="269">
        <f>W305+Y305+AA305+AC305</f>
        <v>0</v>
      </c>
      <c r="T305" s="269">
        <f>ROUND(S305*I305,2)</f>
        <v>0</v>
      </c>
      <c r="U305" s="269">
        <f>H305-S305</f>
        <v>225.7</v>
      </c>
      <c r="V305" s="269">
        <f>ROUND(U305*I305,2)</f>
        <v>3816.75</v>
      </c>
      <c r="W305" s="269"/>
      <c r="X305" s="269"/>
      <c r="Y305" s="269"/>
      <c r="Z305" s="269"/>
      <c r="AA305" s="269"/>
      <c r="AB305" s="269"/>
      <c r="AC305" s="269"/>
      <c r="AD305" s="269"/>
      <c r="BD305" s="132" t="s">
        <v>1</v>
      </c>
      <c r="BE305" s="133" t="s">
        <v>40</v>
      </c>
      <c r="BG305" s="134">
        <f>BF305*H305</f>
        <v>0</v>
      </c>
      <c r="BH305" s="134">
        <v>0</v>
      </c>
      <c r="BI305" s="134">
        <f>BH305*H305</f>
        <v>0</v>
      </c>
      <c r="BJ305" s="134">
        <v>0</v>
      </c>
      <c r="BK305" s="135">
        <f>BJ305*H305</f>
        <v>0</v>
      </c>
      <c r="CI305" s="136" t="s">
        <v>95</v>
      </c>
      <c r="CK305" s="136" t="s">
        <v>284</v>
      </c>
      <c r="CL305" s="136" t="s">
        <v>83</v>
      </c>
      <c r="CP305" s="16" t="s">
        <v>282</v>
      </c>
      <c r="CV305" s="137">
        <f>IF(BE305="základní",J305,0)</f>
        <v>3816.75</v>
      </c>
      <c r="CW305" s="137">
        <f>IF(BE305="snížená",J305,0)</f>
        <v>0</v>
      </c>
      <c r="CX305" s="137">
        <f>IF(BE305="zákl. přenesená",J305,0)</f>
        <v>0</v>
      </c>
      <c r="CY305" s="137">
        <f>IF(BE305="sníž. přenesená",J305,0)</f>
        <v>0</v>
      </c>
      <c r="CZ305" s="137">
        <f>IF(BE305="nulová",J305,0)</f>
        <v>0</v>
      </c>
      <c r="DA305" s="16" t="s">
        <v>81</v>
      </c>
      <c r="DB305" s="137">
        <f>ROUND(I305*H305,2)</f>
        <v>3816.75</v>
      </c>
      <c r="DC305" s="16" t="s">
        <v>95</v>
      </c>
      <c r="DD305" s="136" t="s">
        <v>2367</v>
      </c>
    </row>
    <row r="306" spans="2:108" s="1" customFormat="1" x14ac:dyDescent="0.2">
      <c r="B306" s="31"/>
      <c r="D306" s="138" t="s">
        <v>289</v>
      </c>
      <c r="F306" s="139" t="s">
        <v>2368</v>
      </c>
      <c r="I306" s="140"/>
      <c r="L306" s="31"/>
      <c r="N306" s="213"/>
      <c r="O306" s="214"/>
      <c r="Q306" s="229"/>
      <c r="BD306" s="141"/>
      <c r="BK306" s="50"/>
      <c r="CK306" s="16" t="s">
        <v>289</v>
      </c>
      <c r="CL306" s="16" t="s">
        <v>83</v>
      </c>
    </row>
    <row r="307" spans="2:108" s="1" customFormat="1" ht="19.5" x14ac:dyDescent="0.2">
      <c r="B307" s="31"/>
      <c r="D307" s="138" t="s">
        <v>299</v>
      </c>
      <c r="F307" s="142" t="s">
        <v>587</v>
      </c>
      <c r="I307" s="140"/>
      <c r="L307" s="31"/>
      <c r="N307" s="213">
        <f>227.67-225.7</f>
        <v>1.9699999999999989</v>
      </c>
      <c r="O307" s="214" t="s">
        <v>3572</v>
      </c>
      <c r="Q307" s="229"/>
      <c r="BD307" s="141"/>
      <c r="BK307" s="50"/>
      <c r="CK307" s="16" t="s">
        <v>299</v>
      </c>
      <c r="CL307" s="16" t="s">
        <v>83</v>
      </c>
    </row>
    <row r="308" spans="2:108" s="1" customFormat="1" ht="14.45" customHeight="1" x14ac:dyDescent="0.2">
      <c r="B308" s="124"/>
      <c r="C308" s="125" t="s">
        <v>556</v>
      </c>
      <c r="D308" s="125" t="s">
        <v>284</v>
      </c>
      <c r="E308" s="126" t="s">
        <v>2369</v>
      </c>
      <c r="F308" s="127" t="s">
        <v>2370</v>
      </c>
      <c r="G308" s="128" t="s">
        <v>315</v>
      </c>
      <c r="H308" s="129">
        <v>1</v>
      </c>
      <c r="I308" s="130">
        <v>1420.8235500000001</v>
      </c>
      <c r="J308" s="131">
        <f>ROUND(I308*H308,2)</f>
        <v>1420.82</v>
      </c>
      <c r="K308" s="127" t="s">
        <v>1</v>
      </c>
      <c r="L308" s="268">
        <f>S308</f>
        <v>0</v>
      </c>
      <c r="M308" s="272">
        <f>ROUND(L308*I308,2)</f>
        <v>0</v>
      </c>
      <c r="N308" s="243"/>
      <c r="O308" s="294">
        <f>ROUND(N308*I308,2)</f>
        <v>0</v>
      </c>
      <c r="P308" s="273">
        <f>H308-L308-N308</f>
        <v>1</v>
      </c>
      <c r="Q308" s="287">
        <f>ROUND(P308*I308,2)</f>
        <v>1420.82</v>
      </c>
      <c r="R308" s="137"/>
      <c r="S308" s="269">
        <f>W308+Y308+AA308+AC308</f>
        <v>0</v>
      </c>
      <c r="T308" s="269">
        <f>ROUND(S308*I308,2)</f>
        <v>0</v>
      </c>
      <c r="U308" s="269">
        <f>H308-S308</f>
        <v>1</v>
      </c>
      <c r="V308" s="269">
        <f>ROUND(U308*I308,2)</f>
        <v>1420.82</v>
      </c>
      <c r="W308" s="269"/>
      <c r="X308" s="269"/>
      <c r="Y308" s="269"/>
      <c r="Z308" s="269"/>
      <c r="AA308" s="269"/>
      <c r="AB308" s="269"/>
      <c r="AC308" s="269"/>
      <c r="AD308" s="269"/>
      <c r="BD308" s="132" t="s">
        <v>1</v>
      </c>
      <c r="BE308" s="133" t="s">
        <v>40</v>
      </c>
      <c r="BG308" s="134">
        <f>BF308*H308</f>
        <v>0</v>
      </c>
      <c r="BH308" s="134">
        <v>0</v>
      </c>
      <c r="BI308" s="134">
        <f>BH308*H308</f>
        <v>0</v>
      </c>
      <c r="BJ308" s="134">
        <v>0</v>
      </c>
      <c r="BK308" s="135">
        <f>BJ308*H308</f>
        <v>0</v>
      </c>
      <c r="CI308" s="136" t="s">
        <v>95</v>
      </c>
      <c r="CK308" s="136" t="s">
        <v>284</v>
      </c>
      <c r="CL308" s="136" t="s">
        <v>83</v>
      </c>
      <c r="CP308" s="16" t="s">
        <v>282</v>
      </c>
      <c r="CV308" s="137">
        <f>IF(BE308="základní",J308,0)</f>
        <v>1420.82</v>
      </c>
      <c r="CW308" s="137">
        <f>IF(BE308="snížená",J308,0)</f>
        <v>0</v>
      </c>
      <c r="CX308" s="137">
        <f>IF(BE308="zákl. přenesená",J308,0)</f>
        <v>0</v>
      </c>
      <c r="CY308" s="137">
        <f>IF(BE308="sníž. přenesená",J308,0)</f>
        <v>0</v>
      </c>
      <c r="CZ308" s="137">
        <f>IF(BE308="nulová",J308,0)</f>
        <v>0</v>
      </c>
      <c r="DA308" s="16" t="s">
        <v>81</v>
      </c>
      <c r="DB308" s="137">
        <f>ROUND(I308*H308,2)</f>
        <v>1420.82</v>
      </c>
      <c r="DC308" s="16" t="s">
        <v>95</v>
      </c>
      <c r="DD308" s="136" t="s">
        <v>2371</v>
      </c>
    </row>
    <row r="309" spans="2:108" s="1" customFormat="1" x14ac:dyDescent="0.2">
      <c r="B309" s="31"/>
      <c r="D309" s="138" t="s">
        <v>289</v>
      </c>
      <c r="F309" s="139" t="s">
        <v>2370</v>
      </c>
      <c r="I309" s="140"/>
      <c r="L309" s="31"/>
      <c r="N309" s="213"/>
      <c r="O309" s="214"/>
      <c r="Q309" s="229"/>
      <c r="BD309" s="141"/>
      <c r="BK309" s="50"/>
      <c r="CK309" s="16" t="s">
        <v>289</v>
      </c>
      <c r="CL309" s="16" t="s">
        <v>83</v>
      </c>
    </row>
    <row r="310" spans="2:108" s="1" customFormat="1" ht="37.9" customHeight="1" x14ac:dyDescent="0.2">
      <c r="B310" s="124"/>
      <c r="C310" s="125" t="s">
        <v>562</v>
      </c>
      <c r="D310" s="125" t="s">
        <v>284</v>
      </c>
      <c r="E310" s="126" t="s">
        <v>2372</v>
      </c>
      <c r="F310" s="127" t="s">
        <v>2373</v>
      </c>
      <c r="G310" s="128" t="s">
        <v>315</v>
      </c>
      <c r="H310" s="129">
        <v>1</v>
      </c>
      <c r="I310" s="130">
        <v>4262.4706500000002</v>
      </c>
      <c r="J310" s="131">
        <f>ROUND(I310*H310,2)</f>
        <v>4262.47</v>
      </c>
      <c r="K310" s="127" t="s">
        <v>1</v>
      </c>
      <c r="L310" s="268">
        <f>S310</f>
        <v>0</v>
      </c>
      <c r="M310" s="272">
        <f>ROUND(L310*I310,2)</f>
        <v>0</v>
      </c>
      <c r="N310" s="243"/>
      <c r="O310" s="294">
        <f>ROUND(N310*I310,2)</f>
        <v>0</v>
      </c>
      <c r="P310" s="273">
        <f>H310-L310-N310</f>
        <v>1</v>
      </c>
      <c r="Q310" s="287">
        <f>ROUND(P310*I310,2)</f>
        <v>4262.47</v>
      </c>
      <c r="R310" s="137"/>
      <c r="S310" s="269">
        <f>W310+Y310+AA310+AC310</f>
        <v>0</v>
      </c>
      <c r="T310" s="269">
        <f>ROUND(S310*I310,2)</f>
        <v>0</v>
      </c>
      <c r="U310" s="269">
        <f>H310-S310</f>
        <v>1</v>
      </c>
      <c r="V310" s="269">
        <f>ROUND(U310*I310,2)</f>
        <v>4262.47</v>
      </c>
      <c r="W310" s="269"/>
      <c r="X310" s="269"/>
      <c r="Y310" s="269"/>
      <c r="Z310" s="269"/>
      <c r="AA310" s="269"/>
      <c r="AB310" s="269"/>
      <c r="AC310" s="269"/>
      <c r="AD310" s="269"/>
      <c r="BD310" s="132" t="s">
        <v>1</v>
      </c>
      <c r="BE310" s="133" t="s">
        <v>40</v>
      </c>
      <c r="BG310" s="134">
        <f>BF310*H310</f>
        <v>0</v>
      </c>
      <c r="BH310" s="134">
        <v>0</v>
      </c>
      <c r="BI310" s="134">
        <f>BH310*H310</f>
        <v>0</v>
      </c>
      <c r="BJ310" s="134">
        <v>0</v>
      </c>
      <c r="BK310" s="135">
        <f>BJ310*H310</f>
        <v>0</v>
      </c>
      <c r="CI310" s="136" t="s">
        <v>95</v>
      </c>
      <c r="CK310" s="136" t="s">
        <v>284</v>
      </c>
      <c r="CL310" s="136" t="s">
        <v>83</v>
      </c>
      <c r="CP310" s="16" t="s">
        <v>282</v>
      </c>
      <c r="CV310" s="137">
        <f>IF(BE310="základní",J310,0)</f>
        <v>4262.47</v>
      </c>
      <c r="CW310" s="137">
        <f>IF(BE310="snížená",J310,0)</f>
        <v>0</v>
      </c>
      <c r="CX310" s="137">
        <f>IF(BE310="zákl. přenesená",J310,0)</f>
        <v>0</v>
      </c>
      <c r="CY310" s="137">
        <f>IF(BE310="sníž. přenesená",J310,0)</f>
        <v>0</v>
      </c>
      <c r="CZ310" s="137">
        <f>IF(BE310="nulová",J310,0)</f>
        <v>0</v>
      </c>
      <c r="DA310" s="16" t="s">
        <v>81</v>
      </c>
      <c r="DB310" s="137">
        <f>ROUND(I310*H310,2)</f>
        <v>4262.47</v>
      </c>
      <c r="DC310" s="16" t="s">
        <v>95</v>
      </c>
      <c r="DD310" s="136" t="s">
        <v>2374</v>
      </c>
    </row>
    <row r="311" spans="2:108" s="1" customFormat="1" ht="29.25" x14ac:dyDescent="0.2">
      <c r="B311" s="31"/>
      <c r="D311" s="138" t="s">
        <v>289</v>
      </c>
      <c r="F311" s="139" t="s">
        <v>2373</v>
      </c>
      <c r="I311" s="140"/>
      <c r="L311" s="31"/>
      <c r="N311" s="213"/>
      <c r="O311" s="214"/>
      <c r="Q311" s="229"/>
      <c r="BD311" s="141"/>
      <c r="BK311" s="50"/>
      <c r="CK311" s="16" t="s">
        <v>289</v>
      </c>
      <c r="CL311" s="16" t="s">
        <v>83</v>
      </c>
    </row>
    <row r="312" spans="2:108" s="1" customFormat="1" ht="29.25" x14ac:dyDescent="0.2">
      <c r="B312" s="31"/>
      <c r="D312" s="138" t="s">
        <v>299</v>
      </c>
      <c r="F312" s="142" t="s">
        <v>2291</v>
      </c>
      <c r="I312" s="140"/>
      <c r="L312" s="31"/>
      <c r="N312" s="213"/>
      <c r="O312" s="214"/>
      <c r="Q312" s="229"/>
      <c r="BD312" s="141"/>
      <c r="BK312" s="50"/>
      <c r="CK312" s="16" t="s">
        <v>299</v>
      </c>
      <c r="CL312" s="16" t="s">
        <v>83</v>
      </c>
    </row>
    <row r="313" spans="2:108" s="12" customFormat="1" x14ac:dyDescent="0.2">
      <c r="B313" s="149"/>
      <c r="D313" s="138" t="s">
        <v>301</v>
      </c>
      <c r="E313" s="150" t="s">
        <v>1</v>
      </c>
      <c r="F313" s="151" t="s">
        <v>2423</v>
      </c>
      <c r="H313" s="152">
        <v>1</v>
      </c>
      <c r="I313" s="153"/>
      <c r="L313" s="149"/>
      <c r="N313" s="217"/>
      <c r="O313" s="218"/>
      <c r="Q313" s="231"/>
      <c r="BD313" s="154"/>
      <c r="BK313" s="155"/>
      <c r="CK313" s="150" t="s">
        <v>301</v>
      </c>
      <c r="CL313" s="150" t="s">
        <v>83</v>
      </c>
      <c r="CM313" s="12" t="s">
        <v>83</v>
      </c>
      <c r="CN313" s="12" t="s">
        <v>32</v>
      </c>
      <c r="CO313" s="12" t="s">
        <v>81</v>
      </c>
      <c r="CP313" s="150" t="s">
        <v>282</v>
      </c>
    </row>
    <row r="314" spans="2:108" s="1" customFormat="1" ht="24.2" customHeight="1" x14ac:dyDescent="0.2">
      <c r="B314" s="124"/>
      <c r="C314" s="125" t="s">
        <v>568</v>
      </c>
      <c r="D314" s="125" t="s">
        <v>284</v>
      </c>
      <c r="E314" s="126" t="s">
        <v>2376</v>
      </c>
      <c r="F314" s="127" t="s">
        <v>2377</v>
      </c>
      <c r="G314" s="128" t="s">
        <v>344</v>
      </c>
      <c r="H314" s="129">
        <v>237</v>
      </c>
      <c r="I314" s="130">
        <v>41.004583386686377</v>
      </c>
      <c r="J314" s="131">
        <f>ROUND(I314*H314,2)</f>
        <v>9718.09</v>
      </c>
      <c r="K314" s="127" t="s">
        <v>293</v>
      </c>
      <c r="L314" s="268">
        <f>S314</f>
        <v>0</v>
      </c>
      <c r="M314" s="272">
        <f>ROUND(L314*I314,2)</f>
        <v>0</v>
      </c>
      <c r="N314" s="243"/>
      <c r="O314" s="294">
        <f>ROUND(N314*I314,2)</f>
        <v>0</v>
      </c>
      <c r="P314" s="273">
        <f>H314-L314-N314</f>
        <v>237</v>
      </c>
      <c r="Q314" s="287">
        <f>ROUND(P314*I314,2)</f>
        <v>9718.09</v>
      </c>
      <c r="R314" s="137"/>
      <c r="S314" s="269">
        <f>W314+Y314+AA314+AC314</f>
        <v>0</v>
      </c>
      <c r="T314" s="269">
        <f>ROUND(S314*I314,2)</f>
        <v>0</v>
      </c>
      <c r="U314" s="269">
        <f>H314-S314</f>
        <v>237</v>
      </c>
      <c r="V314" s="269">
        <f>ROUND(U314*I314,2)</f>
        <v>9718.09</v>
      </c>
      <c r="W314" s="269"/>
      <c r="X314" s="269"/>
      <c r="Y314" s="269"/>
      <c r="Z314" s="269"/>
      <c r="AA314" s="269"/>
      <c r="AB314" s="269"/>
      <c r="AC314" s="269"/>
      <c r="AD314" s="269"/>
      <c r="BD314" s="132" t="s">
        <v>1</v>
      </c>
      <c r="BE314" s="133" t="s">
        <v>40</v>
      </c>
      <c r="BG314" s="134">
        <f>BF314*H314</f>
        <v>0</v>
      </c>
      <c r="BH314" s="134">
        <v>1.9000000000000001E-4</v>
      </c>
      <c r="BI314" s="134">
        <f>BH314*H314</f>
        <v>4.5030000000000001E-2</v>
      </c>
      <c r="BJ314" s="134">
        <v>0</v>
      </c>
      <c r="BK314" s="135">
        <f>BJ314*H314</f>
        <v>0</v>
      </c>
      <c r="CI314" s="136" t="s">
        <v>95</v>
      </c>
      <c r="CK314" s="136" t="s">
        <v>284</v>
      </c>
      <c r="CL314" s="136" t="s">
        <v>83</v>
      </c>
      <c r="CP314" s="16" t="s">
        <v>282</v>
      </c>
      <c r="CV314" s="137">
        <f>IF(BE314="základní",J314,0)</f>
        <v>9718.09</v>
      </c>
      <c r="CW314" s="137">
        <f>IF(BE314="snížená",J314,0)</f>
        <v>0</v>
      </c>
      <c r="CX314" s="137">
        <f>IF(BE314="zákl. přenesená",J314,0)</f>
        <v>0</v>
      </c>
      <c r="CY314" s="137">
        <f>IF(BE314="sníž. přenesená",J314,0)</f>
        <v>0</v>
      </c>
      <c r="CZ314" s="137">
        <f>IF(BE314="nulová",J314,0)</f>
        <v>0</v>
      </c>
      <c r="DA314" s="16" t="s">
        <v>81</v>
      </c>
      <c r="DB314" s="137">
        <f>ROUND(I314*H314,2)</f>
        <v>9718.09</v>
      </c>
      <c r="DC314" s="16" t="s">
        <v>95</v>
      </c>
      <c r="DD314" s="136" t="s">
        <v>2378</v>
      </c>
    </row>
    <row r="315" spans="2:108" s="1" customFormat="1" x14ac:dyDescent="0.2">
      <c r="B315" s="31"/>
      <c r="D315" s="138" t="s">
        <v>289</v>
      </c>
      <c r="F315" s="139" t="s">
        <v>2379</v>
      </c>
      <c r="I315" s="140"/>
      <c r="L315" s="31"/>
      <c r="N315" s="213"/>
      <c r="O315" s="214"/>
      <c r="Q315" s="229"/>
      <c r="BD315" s="141"/>
      <c r="BK315" s="50"/>
      <c r="CK315" s="16" t="s">
        <v>289</v>
      </c>
      <c r="CL315" s="16" t="s">
        <v>83</v>
      </c>
    </row>
    <row r="316" spans="2:108" s="1" customFormat="1" ht="29.25" x14ac:dyDescent="0.2">
      <c r="B316" s="31"/>
      <c r="D316" s="138" t="s">
        <v>299</v>
      </c>
      <c r="F316" s="142" t="s">
        <v>2291</v>
      </c>
      <c r="I316" s="140"/>
      <c r="L316" s="31"/>
      <c r="N316" s="213"/>
      <c r="O316" s="214"/>
      <c r="Q316" s="229"/>
      <c r="BD316" s="141"/>
      <c r="BK316" s="50"/>
      <c r="CK316" s="16" t="s">
        <v>299</v>
      </c>
      <c r="CL316" s="16" t="s">
        <v>83</v>
      </c>
    </row>
    <row r="317" spans="2:108" s="12" customFormat="1" x14ac:dyDescent="0.2">
      <c r="B317" s="149"/>
      <c r="D317" s="138" t="s">
        <v>301</v>
      </c>
      <c r="E317" s="150" t="s">
        <v>1</v>
      </c>
      <c r="F317" s="151" t="s">
        <v>2424</v>
      </c>
      <c r="H317" s="152">
        <v>237</v>
      </c>
      <c r="I317" s="153"/>
      <c r="L317" s="149"/>
      <c r="N317" s="217"/>
      <c r="O317" s="218"/>
      <c r="Q317" s="231"/>
      <c r="BD317" s="154"/>
      <c r="BK317" s="155"/>
      <c r="CK317" s="150" t="s">
        <v>301</v>
      </c>
      <c r="CL317" s="150" t="s">
        <v>83</v>
      </c>
      <c r="CM317" s="12" t="s">
        <v>83</v>
      </c>
      <c r="CN317" s="12" t="s">
        <v>32</v>
      </c>
      <c r="CO317" s="12" t="s">
        <v>81</v>
      </c>
      <c r="CP317" s="150" t="s">
        <v>282</v>
      </c>
    </row>
    <row r="318" spans="2:108" s="1" customFormat="1" ht="14.45" customHeight="1" x14ac:dyDescent="0.2">
      <c r="B318" s="124"/>
      <c r="C318" s="125" t="s">
        <v>572</v>
      </c>
      <c r="D318" s="125" t="s">
        <v>284</v>
      </c>
      <c r="E318" s="126" t="s">
        <v>2381</v>
      </c>
      <c r="F318" s="127" t="s">
        <v>2382</v>
      </c>
      <c r="G318" s="128" t="s">
        <v>344</v>
      </c>
      <c r="H318" s="129">
        <v>226</v>
      </c>
      <c r="I318" s="130">
        <v>12.254588887781324</v>
      </c>
      <c r="J318" s="131">
        <f>ROUND(I318*H318,2)</f>
        <v>2769.54</v>
      </c>
      <c r="K318" s="127" t="s">
        <v>293</v>
      </c>
      <c r="L318" s="268">
        <f>S318</f>
        <v>0</v>
      </c>
      <c r="M318" s="272">
        <f>ROUND(L318*I318,2)</f>
        <v>0</v>
      </c>
      <c r="N318" s="243">
        <f>N321</f>
        <v>2</v>
      </c>
      <c r="O318" s="294">
        <f>ROUND(N318*I318,2)</f>
        <v>24.51</v>
      </c>
      <c r="P318" s="273">
        <f>H318-L318-N318</f>
        <v>224</v>
      </c>
      <c r="Q318" s="287">
        <f>ROUND(P318*I318,2)</f>
        <v>2745.03</v>
      </c>
      <c r="R318" s="137"/>
      <c r="S318" s="269">
        <f>W318+Y318+AA318+AC318</f>
        <v>0</v>
      </c>
      <c r="T318" s="269">
        <f>ROUND(S318*I318,2)</f>
        <v>0</v>
      </c>
      <c r="U318" s="269">
        <f>H318-S318</f>
        <v>226</v>
      </c>
      <c r="V318" s="269">
        <f>ROUND(U318*I318,2)</f>
        <v>2769.54</v>
      </c>
      <c r="W318" s="269"/>
      <c r="X318" s="269"/>
      <c r="Y318" s="269"/>
      <c r="Z318" s="269"/>
      <c r="AA318" s="269"/>
      <c r="AB318" s="269"/>
      <c r="AC318" s="269"/>
      <c r="AD318" s="269"/>
      <c r="BD318" s="132" t="s">
        <v>1</v>
      </c>
      <c r="BE318" s="133" t="s">
        <v>40</v>
      </c>
      <c r="BG318" s="134">
        <f>BF318*H318</f>
        <v>0</v>
      </c>
      <c r="BH318" s="134">
        <v>9.0000000000000006E-5</v>
      </c>
      <c r="BI318" s="134">
        <f>BH318*H318</f>
        <v>2.034E-2</v>
      </c>
      <c r="BJ318" s="134">
        <v>0</v>
      </c>
      <c r="BK318" s="135">
        <f>BJ318*H318</f>
        <v>0</v>
      </c>
      <c r="CI318" s="136" t="s">
        <v>95</v>
      </c>
      <c r="CK318" s="136" t="s">
        <v>284</v>
      </c>
      <c r="CL318" s="136" t="s">
        <v>83</v>
      </c>
      <c r="CP318" s="16" t="s">
        <v>282</v>
      </c>
      <c r="CV318" s="137">
        <f>IF(BE318="základní",J318,0)</f>
        <v>2769.54</v>
      </c>
      <c r="CW318" s="137">
        <f>IF(BE318="snížená",J318,0)</f>
        <v>0</v>
      </c>
      <c r="CX318" s="137">
        <f>IF(BE318="zákl. přenesená",J318,0)</f>
        <v>0</v>
      </c>
      <c r="CY318" s="137">
        <f>IF(BE318="sníž. přenesená",J318,0)</f>
        <v>0</v>
      </c>
      <c r="CZ318" s="137">
        <f>IF(BE318="nulová",J318,0)</f>
        <v>0</v>
      </c>
      <c r="DA318" s="16" t="s">
        <v>81</v>
      </c>
      <c r="DB318" s="137">
        <f>ROUND(I318*H318,2)</f>
        <v>2769.54</v>
      </c>
      <c r="DC318" s="16" t="s">
        <v>95</v>
      </c>
      <c r="DD318" s="136" t="s">
        <v>2383</v>
      </c>
    </row>
    <row r="319" spans="2:108" s="1" customFormat="1" x14ac:dyDescent="0.2">
      <c r="B319" s="31"/>
      <c r="D319" s="138" t="s">
        <v>289</v>
      </c>
      <c r="F319" s="139" t="s">
        <v>2384</v>
      </c>
      <c r="I319" s="140"/>
      <c r="L319" s="31"/>
      <c r="N319" s="213"/>
      <c r="O319" s="214"/>
      <c r="Q319" s="229"/>
      <c r="BD319" s="141"/>
      <c r="BK319" s="50"/>
      <c r="CK319" s="16" t="s">
        <v>289</v>
      </c>
      <c r="CL319" s="16" t="s">
        <v>83</v>
      </c>
    </row>
    <row r="320" spans="2:108" s="1" customFormat="1" ht="29.25" x14ac:dyDescent="0.2">
      <c r="B320" s="31"/>
      <c r="D320" s="138" t="s">
        <v>299</v>
      </c>
      <c r="F320" s="142" t="s">
        <v>2291</v>
      </c>
      <c r="I320" s="140"/>
      <c r="L320" s="31"/>
      <c r="N320" s="213"/>
      <c r="O320" s="214"/>
      <c r="Q320" s="229"/>
      <c r="BD320" s="141"/>
      <c r="BK320" s="50"/>
      <c r="CK320" s="16" t="s">
        <v>299</v>
      </c>
      <c r="CL320" s="16" t="s">
        <v>83</v>
      </c>
    </row>
    <row r="321" spans="2:108" s="12" customFormat="1" x14ac:dyDescent="0.2">
      <c r="B321" s="149"/>
      <c r="D321" s="138" t="s">
        <v>301</v>
      </c>
      <c r="E321" s="150" t="s">
        <v>1</v>
      </c>
      <c r="F321" s="151" t="s">
        <v>2425</v>
      </c>
      <c r="H321" s="152">
        <v>226</v>
      </c>
      <c r="I321" s="153"/>
      <c r="L321" s="149"/>
      <c r="N321" s="217">
        <f>228-226</f>
        <v>2</v>
      </c>
      <c r="O321" s="218" t="s">
        <v>3578</v>
      </c>
      <c r="Q321" s="231"/>
      <c r="BD321" s="154"/>
      <c r="BK321" s="155"/>
      <c r="CK321" s="150" t="s">
        <v>301</v>
      </c>
      <c r="CL321" s="150" t="s">
        <v>83</v>
      </c>
      <c r="CM321" s="12" t="s">
        <v>83</v>
      </c>
      <c r="CN321" s="12" t="s">
        <v>32</v>
      </c>
      <c r="CO321" s="12" t="s">
        <v>81</v>
      </c>
      <c r="CP321" s="150" t="s">
        <v>282</v>
      </c>
    </row>
    <row r="322" spans="2:108" s="10" customFormat="1" ht="22.9" customHeight="1" x14ac:dyDescent="0.2">
      <c r="B322" s="112"/>
      <c r="D322" s="113" t="s">
        <v>73</v>
      </c>
      <c r="E322" s="122" t="s">
        <v>335</v>
      </c>
      <c r="F322" s="122" t="s">
        <v>674</v>
      </c>
      <c r="I322" s="115"/>
      <c r="J322" s="123">
        <f>DB322</f>
        <v>15344.89</v>
      </c>
      <c r="L322" s="112"/>
      <c r="M322" s="270">
        <f>SUM(M323)</f>
        <v>0</v>
      </c>
      <c r="N322" s="301"/>
      <c r="O322" s="302">
        <f t="shared" ref="O322:V322" si="7">SUM(O323)</f>
        <v>0</v>
      </c>
      <c r="P322" s="270"/>
      <c r="Q322" s="288">
        <f t="shared" si="7"/>
        <v>15344.89</v>
      </c>
      <c r="R322" s="270"/>
      <c r="S322" s="270"/>
      <c r="T322" s="270">
        <f t="shared" si="7"/>
        <v>0</v>
      </c>
      <c r="U322" s="270"/>
      <c r="V322" s="270">
        <f t="shared" si="7"/>
        <v>15344.89</v>
      </c>
      <c r="BD322" s="117"/>
      <c r="BG322" s="118">
        <f>SUM(BG323:BG327)</f>
        <v>0</v>
      </c>
      <c r="BI322" s="118">
        <f>SUM(BI323:BI327)</f>
        <v>0</v>
      </c>
      <c r="BK322" s="119">
        <f>SUM(BK323:BK327)</f>
        <v>0</v>
      </c>
      <c r="CI322" s="113" t="s">
        <v>81</v>
      </c>
      <c r="CK322" s="120" t="s">
        <v>73</v>
      </c>
      <c r="CL322" s="120" t="s">
        <v>81</v>
      </c>
      <c r="CP322" s="113" t="s">
        <v>282</v>
      </c>
      <c r="DB322" s="121">
        <f>SUM(DB323:DB327)</f>
        <v>15344.89</v>
      </c>
    </row>
    <row r="323" spans="2:108" s="1" customFormat="1" ht="14.45" customHeight="1" x14ac:dyDescent="0.2">
      <c r="B323" s="124"/>
      <c r="C323" s="125" t="s">
        <v>576</v>
      </c>
      <c r="D323" s="125" t="s">
        <v>284</v>
      </c>
      <c r="E323" s="126" t="s">
        <v>689</v>
      </c>
      <c r="F323" s="127" t="s">
        <v>690</v>
      </c>
      <c r="G323" s="128" t="s">
        <v>315</v>
      </c>
      <c r="H323" s="129">
        <v>9</v>
      </c>
      <c r="I323" s="130">
        <v>1704.9882600000001</v>
      </c>
      <c r="J323" s="131">
        <f>ROUND(I323*H323,2)</f>
        <v>15344.89</v>
      </c>
      <c r="K323" s="127" t="s">
        <v>1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9</v>
      </c>
      <c r="Q323" s="287">
        <f>ROUND(P323*I323,2)</f>
        <v>15344.89</v>
      </c>
      <c r="R323" s="137"/>
      <c r="S323" s="269">
        <f>W323+Y323+AA323+AC323</f>
        <v>0</v>
      </c>
      <c r="T323" s="269">
        <f>ROUND(S323*I323,2)</f>
        <v>0</v>
      </c>
      <c r="U323" s="269">
        <f>H323-S323</f>
        <v>9</v>
      </c>
      <c r="V323" s="269">
        <f>ROUND(U323*I323,2)</f>
        <v>15344.89</v>
      </c>
      <c r="W323" s="269"/>
      <c r="X323" s="269"/>
      <c r="Y323" s="269"/>
      <c r="Z323" s="269"/>
      <c r="AA323" s="269"/>
      <c r="AB323" s="269"/>
      <c r="AC323" s="269"/>
      <c r="AD323" s="269"/>
      <c r="BD323" s="132" t="s">
        <v>1</v>
      </c>
      <c r="BE323" s="133" t="s">
        <v>40</v>
      </c>
      <c r="BG323" s="134">
        <f>BF323*H323</f>
        <v>0</v>
      </c>
      <c r="BH323" s="134">
        <v>0</v>
      </c>
      <c r="BI323" s="134">
        <f>BH323*H323</f>
        <v>0</v>
      </c>
      <c r="BJ323" s="134">
        <v>0</v>
      </c>
      <c r="BK323" s="135">
        <f>BJ323*H323</f>
        <v>0</v>
      </c>
      <c r="CI323" s="136" t="s">
        <v>95</v>
      </c>
      <c r="CK323" s="136" t="s">
        <v>284</v>
      </c>
      <c r="CL323" s="136" t="s">
        <v>83</v>
      </c>
      <c r="CP323" s="16" t="s">
        <v>282</v>
      </c>
      <c r="CV323" s="137">
        <f>IF(BE323="základní",J323,0)</f>
        <v>15344.89</v>
      </c>
      <c r="CW323" s="137">
        <f>IF(BE323="snížená",J323,0)</f>
        <v>0</v>
      </c>
      <c r="CX323" s="137">
        <f>IF(BE323="zákl. přenesená",J323,0)</f>
        <v>0</v>
      </c>
      <c r="CY323" s="137">
        <f>IF(BE323="sníž. přenesená",J323,0)</f>
        <v>0</v>
      </c>
      <c r="CZ323" s="137">
        <f>IF(BE323="nulová",J323,0)</f>
        <v>0</v>
      </c>
      <c r="DA323" s="16" t="s">
        <v>81</v>
      </c>
      <c r="DB323" s="137">
        <f>ROUND(I323*H323,2)</f>
        <v>15344.89</v>
      </c>
      <c r="DC323" s="16" t="s">
        <v>95</v>
      </c>
      <c r="DD323" s="136" t="s">
        <v>691</v>
      </c>
    </row>
    <row r="324" spans="2:108" s="1" customFormat="1" ht="48.75" x14ac:dyDescent="0.2">
      <c r="B324" s="31"/>
      <c r="D324" s="138" t="s">
        <v>289</v>
      </c>
      <c r="F324" s="139" t="s">
        <v>692</v>
      </c>
      <c r="I324" s="140"/>
      <c r="L324" s="31"/>
      <c r="N324" s="213"/>
      <c r="O324" s="214"/>
      <c r="Q324" s="229"/>
      <c r="BD324" s="141"/>
      <c r="BK324" s="50"/>
      <c r="CK324" s="16" t="s">
        <v>289</v>
      </c>
      <c r="CL324" s="16" t="s">
        <v>83</v>
      </c>
    </row>
    <row r="325" spans="2:108" s="1" customFormat="1" ht="19.5" x14ac:dyDescent="0.2">
      <c r="B325" s="31"/>
      <c r="D325" s="138" t="s">
        <v>299</v>
      </c>
      <c r="F325" s="142" t="s">
        <v>2386</v>
      </c>
      <c r="I325" s="140"/>
      <c r="L325" s="31"/>
      <c r="N325" s="213"/>
      <c r="O325" s="214"/>
      <c r="Q325" s="229"/>
      <c r="BD325" s="141"/>
      <c r="BK325" s="50"/>
      <c r="CK325" s="16" t="s">
        <v>299</v>
      </c>
      <c r="CL325" s="16" t="s">
        <v>83</v>
      </c>
    </row>
    <row r="326" spans="2:108" s="11" customFormat="1" x14ac:dyDescent="0.2">
      <c r="B326" s="143"/>
      <c r="D326" s="138" t="s">
        <v>301</v>
      </c>
      <c r="E326" s="144" t="s">
        <v>1</v>
      </c>
      <c r="F326" s="145" t="s">
        <v>694</v>
      </c>
      <c r="H326" s="144" t="s">
        <v>1</v>
      </c>
      <c r="I326" s="146"/>
      <c r="L326" s="143"/>
      <c r="N326" s="215"/>
      <c r="O326" s="216"/>
      <c r="Q326" s="230"/>
      <c r="BD326" s="147"/>
      <c r="BK326" s="148"/>
      <c r="CK326" s="144" t="s">
        <v>301</v>
      </c>
      <c r="CL326" s="144" t="s">
        <v>83</v>
      </c>
      <c r="CM326" s="11" t="s">
        <v>81</v>
      </c>
      <c r="CN326" s="11" t="s">
        <v>32</v>
      </c>
      <c r="CO326" s="11" t="s">
        <v>74</v>
      </c>
      <c r="CP326" s="144" t="s">
        <v>282</v>
      </c>
    </row>
    <row r="327" spans="2:108" s="12" customFormat="1" x14ac:dyDescent="0.2">
      <c r="B327" s="149"/>
      <c r="D327" s="138" t="s">
        <v>301</v>
      </c>
      <c r="E327" s="150" t="s">
        <v>1</v>
      </c>
      <c r="F327" s="151" t="s">
        <v>335</v>
      </c>
      <c r="H327" s="152">
        <v>9</v>
      </c>
      <c r="I327" s="153"/>
      <c r="L327" s="149"/>
      <c r="N327" s="217"/>
      <c r="O327" s="218"/>
      <c r="Q327" s="231"/>
      <c r="BD327" s="154"/>
      <c r="BK327" s="155"/>
      <c r="CK327" s="150" t="s">
        <v>301</v>
      </c>
      <c r="CL327" s="150" t="s">
        <v>83</v>
      </c>
      <c r="CM327" s="12" t="s">
        <v>83</v>
      </c>
      <c r="CN327" s="12" t="s">
        <v>32</v>
      </c>
      <c r="CO327" s="12" t="s">
        <v>81</v>
      </c>
      <c r="CP327" s="150" t="s">
        <v>282</v>
      </c>
    </row>
    <row r="328" spans="2:108" s="10" customFormat="1" ht="22.9" customHeight="1" x14ac:dyDescent="0.2">
      <c r="B328" s="112"/>
      <c r="D328" s="113" t="s">
        <v>73</v>
      </c>
      <c r="E328" s="122" t="s">
        <v>695</v>
      </c>
      <c r="F328" s="122" t="s">
        <v>696</v>
      </c>
      <c r="I328" s="115"/>
      <c r="J328" s="123">
        <f>DB328</f>
        <v>98777.56</v>
      </c>
      <c r="L328" s="112"/>
      <c r="M328" s="270">
        <f>SUM(M329:M345)</f>
        <v>0</v>
      </c>
      <c r="N328" s="301"/>
      <c r="O328" s="302">
        <f t="shared" ref="O328:V328" si="8">SUM(O329:O345)</f>
        <v>888.09999999999991</v>
      </c>
      <c r="P328" s="270"/>
      <c r="Q328" s="288">
        <f t="shared" si="8"/>
        <v>97889.44</v>
      </c>
      <c r="R328" s="270"/>
      <c r="S328" s="270"/>
      <c r="T328" s="270">
        <f t="shared" si="8"/>
        <v>0</v>
      </c>
      <c r="U328" s="270"/>
      <c r="V328" s="270">
        <f t="shared" si="8"/>
        <v>98777.56</v>
      </c>
      <c r="BD328" s="117"/>
      <c r="BG328" s="118">
        <f>SUM(BG329:BG347)</f>
        <v>0</v>
      </c>
      <c r="BI328" s="118">
        <f>SUM(BI329:BI347)</f>
        <v>0</v>
      </c>
      <c r="BK328" s="119">
        <f>SUM(BK329:BK347)</f>
        <v>0</v>
      </c>
      <c r="CI328" s="113" t="s">
        <v>81</v>
      </c>
      <c r="CK328" s="120" t="s">
        <v>73</v>
      </c>
      <c r="CL328" s="120" t="s">
        <v>81</v>
      </c>
      <c r="CP328" s="113" t="s">
        <v>282</v>
      </c>
      <c r="DB328" s="121">
        <f>SUM(DB329:DB347)</f>
        <v>98777.56</v>
      </c>
    </row>
    <row r="329" spans="2:108" s="1" customFormat="1" ht="14.45" customHeight="1" x14ac:dyDescent="0.2">
      <c r="B329" s="124"/>
      <c r="C329" s="125" t="s">
        <v>581</v>
      </c>
      <c r="D329" s="125" t="s">
        <v>284</v>
      </c>
      <c r="E329" s="126" t="s">
        <v>698</v>
      </c>
      <c r="F329" s="127" t="s">
        <v>699</v>
      </c>
      <c r="G329" s="128" t="s">
        <v>418</v>
      </c>
      <c r="H329" s="129">
        <v>268.505</v>
      </c>
      <c r="I329" s="130">
        <v>40.477390926043419</v>
      </c>
      <c r="J329" s="131">
        <f>ROUND(I329*H329,2)</f>
        <v>10868.38</v>
      </c>
      <c r="K329" s="127" t="s">
        <v>293</v>
      </c>
      <c r="L329" s="268">
        <f>S329</f>
        <v>0</v>
      </c>
      <c r="M329" s="272">
        <f>ROUND(L329*I329,2)</f>
        <v>0</v>
      </c>
      <c r="N329" s="243">
        <f>N331</f>
        <v>2.4120044999999664</v>
      </c>
      <c r="O329" s="294">
        <f>ROUND(N329*I329,2)</f>
        <v>97.63</v>
      </c>
      <c r="P329" s="273">
        <f>H329-L329-N329</f>
        <v>266.09299550000003</v>
      </c>
      <c r="Q329" s="287">
        <f>ROUND(P329*I329,2)</f>
        <v>10770.75</v>
      </c>
      <c r="R329" s="137"/>
      <c r="S329" s="269">
        <f>W329+Y329+AA329+AC329</f>
        <v>0</v>
      </c>
      <c r="T329" s="269">
        <f>ROUND(S329*I329,2)</f>
        <v>0</v>
      </c>
      <c r="U329" s="269">
        <f>H329-S329</f>
        <v>268.505</v>
      </c>
      <c r="V329" s="269">
        <f>ROUND(U329*I329,2)</f>
        <v>10868.38</v>
      </c>
      <c r="W329" s="269"/>
      <c r="X329" s="269"/>
      <c r="Y329" s="269"/>
      <c r="Z329" s="269"/>
      <c r="AA329" s="269"/>
      <c r="AB329" s="269"/>
      <c r="AC329" s="269"/>
      <c r="AD329" s="269"/>
      <c r="BD329" s="132" t="s">
        <v>1</v>
      </c>
      <c r="BE329" s="133" t="s">
        <v>40</v>
      </c>
      <c r="BG329" s="134">
        <f>BF329*H329</f>
        <v>0</v>
      </c>
      <c r="BH329" s="134">
        <v>0</v>
      </c>
      <c r="BI329" s="134">
        <f>BH329*H329</f>
        <v>0</v>
      </c>
      <c r="BJ329" s="134">
        <v>0</v>
      </c>
      <c r="BK329" s="135">
        <f>BJ329*H329</f>
        <v>0</v>
      </c>
      <c r="CI329" s="136" t="s">
        <v>95</v>
      </c>
      <c r="CK329" s="136" t="s">
        <v>284</v>
      </c>
      <c r="CL329" s="136" t="s">
        <v>83</v>
      </c>
      <c r="CP329" s="16" t="s">
        <v>282</v>
      </c>
      <c r="CV329" s="137">
        <f>IF(BE329="základní",J329,0)</f>
        <v>10868.38</v>
      </c>
      <c r="CW329" s="137">
        <f>IF(BE329="snížená",J329,0)</f>
        <v>0</v>
      </c>
      <c r="CX329" s="137">
        <f>IF(BE329="zákl. přenesená",J329,0)</f>
        <v>0</v>
      </c>
      <c r="CY329" s="137">
        <f>IF(BE329="sníž. přenesená",J329,0)</f>
        <v>0</v>
      </c>
      <c r="CZ329" s="137">
        <f>IF(BE329="nulová",J329,0)</f>
        <v>0</v>
      </c>
      <c r="DA329" s="16" t="s">
        <v>81</v>
      </c>
      <c r="DB329" s="137">
        <f>ROUND(I329*H329,2)</f>
        <v>10868.38</v>
      </c>
      <c r="DC329" s="16" t="s">
        <v>95</v>
      </c>
      <c r="DD329" s="136" t="s">
        <v>700</v>
      </c>
    </row>
    <row r="330" spans="2:108" s="1" customFormat="1" ht="19.5" x14ac:dyDescent="0.2">
      <c r="B330" s="31"/>
      <c r="D330" s="138" t="s">
        <v>289</v>
      </c>
      <c r="F330" s="139" t="s">
        <v>701</v>
      </c>
      <c r="I330" s="140"/>
      <c r="L330" s="31"/>
      <c r="N330" s="213">
        <f>1.009*268.5005</f>
        <v>270.91700449999996</v>
      </c>
      <c r="O330" s="214" t="s">
        <v>3953</v>
      </c>
      <c r="Q330" s="229"/>
      <c r="BD330" s="141"/>
      <c r="BK330" s="50"/>
      <c r="CK330" s="16" t="s">
        <v>289</v>
      </c>
      <c r="CL330" s="16" t="s">
        <v>83</v>
      </c>
    </row>
    <row r="331" spans="2:108" s="12" customFormat="1" x14ac:dyDescent="0.2">
      <c r="B331" s="149"/>
      <c r="D331" s="138" t="s">
        <v>301</v>
      </c>
      <c r="E331" s="150" t="s">
        <v>1</v>
      </c>
      <c r="F331" s="151" t="s">
        <v>2426</v>
      </c>
      <c r="H331" s="152">
        <v>235.63</v>
      </c>
      <c r="I331" s="153"/>
      <c r="L331" s="149"/>
      <c r="N331" s="310">
        <f>N330-H333</f>
        <v>2.4120044999999664</v>
      </c>
      <c r="O331" s="218"/>
      <c r="Q331" s="231"/>
      <c r="BD331" s="154"/>
      <c r="BK331" s="155"/>
      <c r="CK331" s="150" t="s">
        <v>301</v>
      </c>
      <c r="CL331" s="150" t="s">
        <v>83</v>
      </c>
      <c r="CM331" s="12" t="s">
        <v>83</v>
      </c>
      <c r="CN331" s="12" t="s">
        <v>32</v>
      </c>
      <c r="CO331" s="12" t="s">
        <v>74</v>
      </c>
      <c r="CP331" s="150" t="s">
        <v>282</v>
      </c>
    </row>
    <row r="332" spans="2:108" s="12" customFormat="1" x14ac:dyDescent="0.2">
      <c r="B332" s="149"/>
      <c r="D332" s="138" t="s">
        <v>301</v>
      </c>
      <c r="E332" s="150" t="s">
        <v>1</v>
      </c>
      <c r="F332" s="151" t="s">
        <v>2427</v>
      </c>
      <c r="H332" s="152">
        <v>32.875</v>
      </c>
      <c r="I332" s="153"/>
      <c r="L332" s="149"/>
      <c r="N332" s="217"/>
      <c r="O332" s="218"/>
      <c r="Q332" s="231"/>
      <c r="BD332" s="154"/>
      <c r="BK332" s="155"/>
      <c r="CK332" s="150" t="s">
        <v>301</v>
      </c>
      <c r="CL332" s="150" t="s">
        <v>83</v>
      </c>
      <c r="CM332" s="12" t="s">
        <v>83</v>
      </c>
      <c r="CN332" s="12" t="s">
        <v>32</v>
      </c>
      <c r="CO332" s="12" t="s">
        <v>74</v>
      </c>
      <c r="CP332" s="150" t="s">
        <v>282</v>
      </c>
    </row>
    <row r="333" spans="2:108" s="13" customFormat="1" x14ac:dyDescent="0.2">
      <c r="B333" s="156"/>
      <c r="D333" s="138" t="s">
        <v>301</v>
      </c>
      <c r="E333" s="157" t="s">
        <v>1</v>
      </c>
      <c r="F333" s="158" t="s">
        <v>305</v>
      </c>
      <c r="H333" s="159">
        <v>268.505</v>
      </c>
      <c r="I333" s="160"/>
      <c r="L333" s="156"/>
      <c r="N333" s="219"/>
      <c r="O333" s="220"/>
      <c r="Q333" s="232"/>
      <c r="BD333" s="161"/>
      <c r="BK333" s="162"/>
      <c r="CK333" s="157" t="s">
        <v>301</v>
      </c>
      <c r="CL333" s="157" t="s">
        <v>83</v>
      </c>
      <c r="CM333" s="13" t="s">
        <v>95</v>
      </c>
      <c r="CN333" s="13" t="s">
        <v>32</v>
      </c>
      <c r="CO333" s="13" t="s">
        <v>81</v>
      </c>
      <c r="CP333" s="157" t="s">
        <v>282</v>
      </c>
    </row>
    <row r="334" spans="2:108" s="1" customFormat="1" ht="24.2" customHeight="1" x14ac:dyDescent="0.2">
      <c r="B334" s="124"/>
      <c r="C334" s="125" t="s">
        <v>589</v>
      </c>
      <c r="D334" s="125" t="s">
        <v>284</v>
      </c>
      <c r="E334" s="126" t="s">
        <v>705</v>
      </c>
      <c r="F334" s="127" t="s">
        <v>706</v>
      </c>
      <c r="G334" s="128" t="s">
        <v>418</v>
      </c>
      <c r="H334" s="129">
        <v>3759.07</v>
      </c>
      <c r="I334" s="130">
        <v>3.1192340975392101</v>
      </c>
      <c r="J334" s="131">
        <f>ROUND(I334*H334,2)</f>
        <v>11725.42</v>
      </c>
      <c r="K334" s="127" t="s">
        <v>293</v>
      </c>
      <c r="L334" s="268">
        <f>S334</f>
        <v>0</v>
      </c>
      <c r="M334" s="272">
        <f>ROUND(L334*I334,2)</f>
        <v>0</v>
      </c>
      <c r="N334" s="243">
        <f>N336</f>
        <v>33.831629999999677</v>
      </c>
      <c r="O334" s="294">
        <f>ROUND(N334*I334,2)</f>
        <v>105.53</v>
      </c>
      <c r="P334" s="273">
        <f>H334-L334-N334</f>
        <v>3725.2383700000005</v>
      </c>
      <c r="Q334" s="287">
        <f>ROUND(P334*I334,2)</f>
        <v>11619.89</v>
      </c>
      <c r="R334" s="137"/>
      <c r="S334" s="269">
        <f>W334+Y334+AA334+AC334</f>
        <v>0</v>
      </c>
      <c r="T334" s="269">
        <f>ROUND(S334*I334,2)</f>
        <v>0</v>
      </c>
      <c r="U334" s="269">
        <f>H334-S334</f>
        <v>3759.07</v>
      </c>
      <c r="V334" s="269">
        <f>ROUND(U334*I334,2)</f>
        <v>11725.42</v>
      </c>
      <c r="W334" s="269"/>
      <c r="X334" s="269"/>
      <c r="Y334" s="269"/>
      <c r="Z334" s="269"/>
      <c r="AA334" s="269"/>
      <c r="AB334" s="269"/>
      <c r="AC334" s="269"/>
      <c r="AD334" s="269"/>
      <c r="BD334" s="132" t="s">
        <v>1</v>
      </c>
      <c r="BE334" s="133" t="s">
        <v>40</v>
      </c>
      <c r="BG334" s="134">
        <f>BF334*H334</f>
        <v>0</v>
      </c>
      <c r="BH334" s="134">
        <v>0</v>
      </c>
      <c r="BI334" s="134">
        <f>BH334*H334</f>
        <v>0</v>
      </c>
      <c r="BJ334" s="134">
        <v>0</v>
      </c>
      <c r="BK334" s="135">
        <f>BJ334*H334</f>
        <v>0</v>
      </c>
      <c r="CI334" s="136" t="s">
        <v>95</v>
      </c>
      <c r="CK334" s="136" t="s">
        <v>284</v>
      </c>
      <c r="CL334" s="136" t="s">
        <v>83</v>
      </c>
      <c r="CP334" s="16" t="s">
        <v>282</v>
      </c>
      <c r="CV334" s="137">
        <f>IF(BE334="základní",J334,0)</f>
        <v>11725.42</v>
      </c>
      <c r="CW334" s="137">
        <f>IF(BE334="snížená",J334,0)</f>
        <v>0</v>
      </c>
      <c r="CX334" s="137">
        <f>IF(BE334="zákl. přenesená",J334,0)</f>
        <v>0</v>
      </c>
      <c r="CY334" s="137">
        <f>IF(BE334="sníž. přenesená",J334,0)</f>
        <v>0</v>
      </c>
      <c r="CZ334" s="137">
        <f>IF(BE334="nulová",J334,0)</f>
        <v>0</v>
      </c>
      <c r="DA334" s="16" t="s">
        <v>81</v>
      </c>
      <c r="DB334" s="137">
        <f>ROUND(I334*H334,2)</f>
        <v>11725.42</v>
      </c>
      <c r="DC334" s="16" t="s">
        <v>95</v>
      </c>
      <c r="DD334" s="136" t="s">
        <v>707</v>
      </c>
    </row>
    <row r="335" spans="2:108" s="1" customFormat="1" ht="29.25" x14ac:dyDescent="0.2">
      <c r="B335" s="31"/>
      <c r="D335" s="138" t="s">
        <v>289</v>
      </c>
      <c r="F335" s="139" t="s">
        <v>708</v>
      </c>
      <c r="I335" s="140"/>
      <c r="L335" s="31"/>
      <c r="N335" s="213">
        <f>1.009*3759.07</f>
        <v>3792.9016299999998</v>
      </c>
      <c r="O335" s="214" t="s">
        <v>3954</v>
      </c>
      <c r="Q335" s="229"/>
      <c r="BD335" s="141"/>
      <c r="BK335" s="50"/>
      <c r="CK335" s="16" t="s">
        <v>289</v>
      </c>
      <c r="CL335" s="16" t="s">
        <v>83</v>
      </c>
    </row>
    <row r="336" spans="2:108" s="12" customFormat="1" x14ac:dyDescent="0.2">
      <c r="B336" s="149"/>
      <c r="D336" s="138" t="s">
        <v>301</v>
      </c>
      <c r="E336" s="150" t="s">
        <v>1</v>
      </c>
      <c r="F336" s="151" t="s">
        <v>2426</v>
      </c>
      <c r="H336" s="152">
        <v>235.63</v>
      </c>
      <c r="I336" s="153"/>
      <c r="L336" s="149"/>
      <c r="N336" s="310">
        <f>N335-H339</f>
        <v>33.831629999999677</v>
      </c>
      <c r="O336" s="218"/>
      <c r="Q336" s="231"/>
      <c r="BD336" s="154"/>
      <c r="BK336" s="155"/>
      <c r="CK336" s="150" t="s">
        <v>301</v>
      </c>
      <c r="CL336" s="150" t="s">
        <v>83</v>
      </c>
      <c r="CM336" s="12" t="s">
        <v>83</v>
      </c>
      <c r="CN336" s="12" t="s">
        <v>32</v>
      </c>
      <c r="CO336" s="12" t="s">
        <v>74</v>
      </c>
      <c r="CP336" s="150" t="s">
        <v>282</v>
      </c>
    </row>
    <row r="337" spans="2:108" s="12" customFormat="1" x14ac:dyDescent="0.2">
      <c r="B337" s="149"/>
      <c r="D337" s="138" t="s">
        <v>301</v>
      </c>
      <c r="E337" s="150" t="s">
        <v>1</v>
      </c>
      <c r="F337" s="151" t="s">
        <v>2427</v>
      </c>
      <c r="H337" s="152">
        <v>32.875</v>
      </c>
      <c r="I337" s="153"/>
      <c r="L337" s="149"/>
      <c r="N337" s="217"/>
      <c r="O337" s="218"/>
      <c r="Q337" s="231"/>
      <c r="BD337" s="154"/>
      <c r="BK337" s="155"/>
      <c r="CK337" s="150" t="s">
        <v>301</v>
      </c>
      <c r="CL337" s="150" t="s">
        <v>83</v>
      </c>
      <c r="CM337" s="12" t="s">
        <v>83</v>
      </c>
      <c r="CN337" s="12" t="s">
        <v>32</v>
      </c>
      <c r="CO337" s="12" t="s">
        <v>74</v>
      </c>
      <c r="CP337" s="150" t="s">
        <v>282</v>
      </c>
    </row>
    <row r="338" spans="2:108" s="13" customFormat="1" x14ac:dyDescent="0.2">
      <c r="B338" s="156"/>
      <c r="D338" s="138" t="s">
        <v>301</v>
      </c>
      <c r="E338" s="157" t="s">
        <v>1</v>
      </c>
      <c r="F338" s="158" t="s">
        <v>305</v>
      </c>
      <c r="H338" s="159">
        <v>268.505</v>
      </c>
      <c r="I338" s="160"/>
      <c r="L338" s="156"/>
      <c r="N338" s="219"/>
      <c r="O338" s="220"/>
      <c r="Q338" s="232"/>
      <c r="BD338" s="161"/>
      <c r="BK338" s="162"/>
      <c r="CK338" s="157" t="s">
        <v>301</v>
      </c>
      <c r="CL338" s="157" t="s">
        <v>83</v>
      </c>
      <c r="CM338" s="13" t="s">
        <v>95</v>
      </c>
      <c r="CN338" s="13" t="s">
        <v>32</v>
      </c>
      <c r="CO338" s="13" t="s">
        <v>81</v>
      </c>
      <c r="CP338" s="157" t="s">
        <v>282</v>
      </c>
    </row>
    <row r="339" spans="2:108" s="12" customFormat="1" x14ac:dyDescent="0.2">
      <c r="B339" s="149"/>
      <c r="D339" s="138" t="s">
        <v>301</v>
      </c>
      <c r="F339" s="151" t="s">
        <v>2428</v>
      </c>
      <c r="H339" s="152">
        <v>3759.07</v>
      </c>
      <c r="I339" s="153"/>
      <c r="L339" s="149"/>
      <c r="N339" s="217"/>
      <c r="O339" s="218"/>
      <c r="Q339" s="231"/>
      <c r="BD339" s="154"/>
      <c r="BK339" s="155"/>
      <c r="CK339" s="150" t="s">
        <v>301</v>
      </c>
      <c r="CL339" s="150" t="s">
        <v>83</v>
      </c>
      <c r="CM339" s="12" t="s">
        <v>83</v>
      </c>
      <c r="CN339" s="12" t="s">
        <v>3</v>
      </c>
      <c r="CO339" s="12" t="s">
        <v>81</v>
      </c>
      <c r="CP339" s="150" t="s">
        <v>282</v>
      </c>
    </row>
    <row r="340" spans="2:108" s="1" customFormat="1" ht="24.2" customHeight="1" x14ac:dyDescent="0.2">
      <c r="B340" s="124"/>
      <c r="C340" s="125" t="s">
        <v>594</v>
      </c>
      <c r="D340" s="125" t="s">
        <v>284</v>
      </c>
      <c r="E340" s="126" t="s">
        <v>711</v>
      </c>
      <c r="F340" s="127" t="s">
        <v>712</v>
      </c>
      <c r="G340" s="128" t="s">
        <v>418</v>
      </c>
      <c r="H340" s="129">
        <v>268.505</v>
      </c>
      <c r="I340" s="130">
        <v>155.98322812074767</v>
      </c>
      <c r="J340" s="131">
        <f>ROUND(I340*H340,2)</f>
        <v>41882.28</v>
      </c>
      <c r="K340" s="127" t="s">
        <v>293</v>
      </c>
      <c r="L340" s="268">
        <f>S340</f>
        <v>0</v>
      </c>
      <c r="M340" s="272">
        <f>ROUND(L340*I340,2)</f>
        <v>0</v>
      </c>
      <c r="N340" s="243">
        <f>N329</f>
        <v>2.4120044999999664</v>
      </c>
      <c r="O340" s="294">
        <f>ROUND(N340*I340,2)</f>
        <v>376.23</v>
      </c>
      <c r="P340" s="273">
        <f>H340-L340-N340</f>
        <v>266.09299550000003</v>
      </c>
      <c r="Q340" s="287">
        <f>ROUND(P340*I340,2)</f>
        <v>41506.04</v>
      </c>
      <c r="R340" s="137"/>
      <c r="S340" s="269">
        <f>W340+Y340+AA340+AC340</f>
        <v>0</v>
      </c>
      <c r="T340" s="269">
        <f>ROUND(S340*I340,2)</f>
        <v>0</v>
      </c>
      <c r="U340" s="269">
        <f>H340-S340</f>
        <v>268.505</v>
      </c>
      <c r="V340" s="269">
        <f>ROUND(U340*I340,2)</f>
        <v>41882.28</v>
      </c>
      <c r="W340" s="269"/>
      <c r="X340" s="269"/>
      <c r="Y340" s="269"/>
      <c r="Z340" s="269"/>
      <c r="AA340" s="269"/>
      <c r="AB340" s="269"/>
      <c r="AC340" s="269"/>
      <c r="AD340" s="269"/>
      <c r="BD340" s="132" t="s">
        <v>1</v>
      </c>
      <c r="BE340" s="133" t="s">
        <v>40</v>
      </c>
      <c r="BG340" s="134">
        <f>BF340*H340</f>
        <v>0</v>
      </c>
      <c r="BH340" s="134">
        <v>0</v>
      </c>
      <c r="BI340" s="134">
        <f>BH340*H340</f>
        <v>0</v>
      </c>
      <c r="BJ340" s="134">
        <v>0</v>
      </c>
      <c r="BK340" s="135">
        <f>BJ340*H340</f>
        <v>0</v>
      </c>
      <c r="CI340" s="136" t="s">
        <v>95</v>
      </c>
      <c r="CK340" s="136" t="s">
        <v>284</v>
      </c>
      <c r="CL340" s="136" t="s">
        <v>83</v>
      </c>
      <c r="CP340" s="16" t="s">
        <v>282</v>
      </c>
      <c r="CV340" s="137">
        <f>IF(BE340="základní",J340,0)</f>
        <v>41882.28</v>
      </c>
      <c r="CW340" s="137">
        <f>IF(BE340="snížená",J340,0)</f>
        <v>0</v>
      </c>
      <c r="CX340" s="137">
        <f>IF(BE340="zákl. přenesená",J340,0)</f>
        <v>0</v>
      </c>
      <c r="CY340" s="137">
        <f>IF(BE340="sníž. přenesená",J340,0)</f>
        <v>0</v>
      </c>
      <c r="CZ340" s="137">
        <f>IF(BE340="nulová",J340,0)</f>
        <v>0</v>
      </c>
      <c r="DA340" s="16" t="s">
        <v>81</v>
      </c>
      <c r="DB340" s="137">
        <f>ROUND(I340*H340,2)</f>
        <v>41882.28</v>
      </c>
      <c r="DC340" s="16" t="s">
        <v>95</v>
      </c>
      <c r="DD340" s="136" t="s">
        <v>713</v>
      </c>
    </row>
    <row r="341" spans="2:108" s="1" customFormat="1" x14ac:dyDescent="0.2">
      <c r="B341" s="31"/>
      <c r="D341" s="138" t="s">
        <v>289</v>
      </c>
      <c r="F341" s="139" t="s">
        <v>714</v>
      </c>
      <c r="I341" s="140"/>
      <c r="L341" s="31"/>
      <c r="N341" s="213"/>
      <c r="O341" s="214"/>
      <c r="Q341" s="229"/>
      <c r="BD341" s="141"/>
      <c r="BK341" s="50"/>
      <c r="CK341" s="16" t="s">
        <v>289</v>
      </c>
      <c r="CL341" s="16" t="s">
        <v>83</v>
      </c>
    </row>
    <row r="342" spans="2:108" s="1" customFormat="1" ht="37.9" customHeight="1" x14ac:dyDescent="0.2">
      <c r="B342" s="124"/>
      <c r="C342" s="125" t="s">
        <v>599</v>
      </c>
      <c r="D342" s="125" t="s">
        <v>284</v>
      </c>
      <c r="E342" s="126" t="s">
        <v>716</v>
      </c>
      <c r="F342" s="127" t="s">
        <v>420</v>
      </c>
      <c r="G342" s="128" t="s">
        <v>418</v>
      </c>
      <c r="H342" s="129">
        <v>235.63</v>
      </c>
      <c r="I342" s="130">
        <v>110.6455721</v>
      </c>
      <c r="J342" s="131">
        <f>ROUND(I342*H342,2)</f>
        <v>26071.42</v>
      </c>
      <c r="K342" s="127" t="s">
        <v>293</v>
      </c>
      <c r="L342" s="268">
        <f>S342</f>
        <v>0</v>
      </c>
      <c r="M342" s="272">
        <f>ROUND(L342*I342,2)</f>
        <v>0</v>
      </c>
      <c r="N342" s="243">
        <f>N344</f>
        <v>2.1206699999999898</v>
      </c>
      <c r="O342" s="294">
        <f>ROUND(N342*I342,2)</f>
        <v>234.64</v>
      </c>
      <c r="P342" s="273">
        <f>H342-L342-N342</f>
        <v>233.50933000000001</v>
      </c>
      <c r="Q342" s="287">
        <f>ROUND(P342*I342,2)</f>
        <v>25836.77</v>
      </c>
      <c r="R342" s="137"/>
      <c r="S342" s="269">
        <f>W342+Y342+AA342+AC342</f>
        <v>0</v>
      </c>
      <c r="T342" s="269">
        <f>ROUND(S342*I342,2)</f>
        <v>0</v>
      </c>
      <c r="U342" s="269">
        <f>H342-S342</f>
        <v>235.63</v>
      </c>
      <c r="V342" s="269">
        <f>ROUND(U342*I342,2)</f>
        <v>26071.42</v>
      </c>
      <c r="W342" s="269"/>
      <c r="X342" s="269"/>
      <c r="Y342" s="269"/>
      <c r="Z342" s="269"/>
      <c r="AA342" s="269"/>
      <c r="AB342" s="269"/>
      <c r="AC342" s="269"/>
      <c r="AD342" s="269"/>
      <c r="BD342" s="132" t="s">
        <v>1</v>
      </c>
      <c r="BE342" s="133" t="s">
        <v>40</v>
      </c>
      <c r="BG342" s="134">
        <f>BF342*H342</f>
        <v>0</v>
      </c>
      <c r="BH342" s="134">
        <v>0</v>
      </c>
      <c r="BI342" s="134">
        <f>BH342*H342</f>
        <v>0</v>
      </c>
      <c r="BJ342" s="134">
        <v>0</v>
      </c>
      <c r="BK342" s="135">
        <f>BJ342*H342</f>
        <v>0</v>
      </c>
      <c r="CI342" s="136" t="s">
        <v>95</v>
      </c>
      <c r="CK342" s="136" t="s">
        <v>284</v>
      </c>
      <c r="CL342" s="136" t="s">
        <v>83</v>
      </c>
      <c r="CP342" s="16" t="s">
        <v>282</v>
      </c>
      <c r="CV342" s="137">
        <f>IF(BE342="základní",J342,0)</f>
        <v>26071.42</v>
      </c>
      <c r="CW342" s="137">
        <f>IF(BE342="snížená",J342,0)</f>
        <v>0</v>
      </c>
      <c r="CX342" s="137">
        <f>IF(BE342="zákl. přenesená",J342,0)</f>
        <v>0</v>
      </c>
      <c r="CY342" s="137">
        <f>IF(BE342="sníž. přenesená",J342,0)</f>
        <v>0</v>
      </c>
      <c r="CZ342" s="137">
        <f>IF(BE342="nulová",J342,0)</f>
        <v>0</v>
      </c>
      <c r="DA342" s="16" t="s">
        <v>81</v>
      </c>
      <c r="DB342" s="137">
        <f>ROUND(I342*H342,2)</f>
        <v>26071.42</v>
      </c>
      <c r="DC342" s="16" t="s">
        <v>95</v>
      </c>
      <c r="DD342" s="136" t="s">
        <v>717</v>
      </c>
    </row>
    <row r="343" spans="2:108" s="1" customFormat="1" ht="29.25" x14ac:dyDescent="0.2">
      <c r="B343" s="31"/>
      <c r="D343" s="138" t="s">
        <v>289</v>
      </c>
      <c r="F343" s="139" t="s">
        <v>420</v>
      </c>
      <c r="I343" s="140"/>
      <c r="L343" s="31"/>
      <c r="N343" s="213">
        <f>1.009*235.63</f>
        <v>237.75066999999999</v>
      </c>
      <c r="O343" s="214" t="s">
        <v>3955</v>
      </c>
      <c r="Q343" s="229"/>
      <c r="BD343" s="141"/>
      <c r="BK343" s="50"/>
      <c r="CK343" s="16" t="s">
        <v>289</v>
      </c>
      <c r="CL343" s="16" t="s">
        <v>83</v>
      </c>
    </row>
    <row r="344" spans="2:108" s="12" customFormat="1" x14ac:dyDescent="0.2">
      <c r="B344" s="149"/>
      <c r="D344" s="138" t="s">
        <v>301</v>
      </c>
      <c r="E344" s="150" t="s">
        <v>1</v>
      </c>
      <c r="F344" s="151" t="s">
        <v>2426</v>
      </c>
      <c r="H344" s="152">
        <v>235.63</v>
      </c>
      <c r="I344" s="153"/>
      <c r="L344" s="149"/>
      <c r="N344" s="310">
        <f>N343-H344</f>
        <v>2.1206699999999898</v>
      </c>
      <c r="O344" s="218"/>
      <c r="Q344" s="231"/>
      <c r="BD344" s="154"/>
      <c r="BK344" s="155"/>
      <c r="CK344" s="150" t="s">
        <v>301</v>
      </c>
      <c r="CL344" s="150" t="s">
        <v>83</v>
      </c>
      <c r="CM344" s="12" t="s">
        <v>83</v>
      </c>
      <c r="CN344" s="12" t="s">
        <v>32</v>
      </c>
      <c r="CO344" s="12" t="s">
        <v>81</v>
      </c>
      <c r="CP344" s="150" t="s">
        <v>282</v>
      </c>
    </row>
    <row r="345" spans="2:108" s="1" customFormat="1" ht="37.9" customHeight="1" x14ac:dyDescent="0.2">
      <c r="B345" s="124"/>
      <c r="C345" s="125" t="s">
        <v>604</v>
      </c>
      <c r="D345" s="125" t="s">
        <v>284</v>
      </c>
      <c r="E345" s="126" t="s">
        <v>719</v>
      </c>
      <c r="F345" s="127" t="s">
        <v>720</v>
      </c>
      <c r="G345" s="128" t="s">
        <v>418</v>
      </c>
      <c r="H345" s="129">
        <v>32.875</v>
      </c>
      <c r="I345" s="130">
        <v>250.3439285</v>
      </c>
      <c r="J345" s="131">
        <f>ROUND(I345*H345,2)</f>
        <v>8230.06</v>
      </c>
      <c r="K345" s="127" t="s">
        <v>293</v>
      </c>
      <c r="L345" s="268">
        <f>S345</f>
        <v>0</v>
      </c>
      <c r="M345" s="272">
        <f>ROUND(L345*I345,2)</f>
        <v>0</v>
      </c>
      <c r="N345" s="243">
        <f>N347</f>
        <v>0.29587499999999523</v>
      </c>
      <c r="O345" s="294">
        <f>ROUND(N345*I345,2)</f>
        <v>74.069999999999993</v>
      </c>
      <c r="P345" s="273">
        <f>H345-L345-N345</f>
        <v>32.579125000000005</v>
      </c>
      <c r="Q345" s="287">
        <f>ROUND(P345*I345,2)</f>
        <v>8155.99</v>
      </c>
      <c r="R345" s="137"/>
      <c r="S345" s="269">
        <f>W345+Y345+AA345+AC345</f>
        <v>0</v>
      </c>
      <c r="T345" s="269">
        <f>ROUND(S345*I345,2)</f>
        <v>0</v>
      </c>
      <c r="U345" s="269">
        <f>H345-S345</f>
        <v>32.875</v>
      </c>
      <c r="V345" s="269">
        <f>ROUND(U345*I345,2)</f>
        <v>8230.06</v>
      </c>
      <c r="W345" s="269"/>
      <c r="X345" s="269"/>
      <c r="Y345" s="269"/>
      <c r="Z345" s="269"/>
      <c r="AA345" s="269"/>
      <c r="AB345" s="269"/>
      <c r="AC345" s="269"/>
      <c r="AD345" s="269"/>
      <c r="BD345" s="132" t="s">
        <v>1</v>
      </c>
      <c r="BE345" s="133" t="s">
        <v>40</v>
      </c>
      <c r="BG345" s="134">
        <f>BF345*H345</f>
        <v>0</v>
      </c>
      <c r="BH345" s="134">
        <v>0</v>
      </c>
      <c r="BI345" s="134">
        <f>BH345*H345</f>
        <v>0</v>
      </c>
      <c r="BJ345" s="134">
        <v>0</v>
      </c>
      <c r="BK345" s="135">
        <f>BJ345*H345</f>
        <v>0</v>
      </c>
      <c r="CI345" s="136" t="s">
        <v>95</v>
      </c>
      <c r="CK345" s="136" t="s">
        <v>284</v>
      </c>
      <c r="CL345" s="136" t="s">
        <v>83</v>
      </c>
      <c r="CP345" s="16" t="s">
        <v>282</v>
      </c>
      <c r="CV345" s="137">
        <f>IF(BE345="základní",J345,0)</f>
        <v>8230.06</v>
      </c>
      <c r="CW345" s="137">
        <f>IF(BE345="snížená",J345,0)</f>
        <v>0</v>
      </c>
      <c r="CX345" s="137">
        <f>IF(BE345="zákl. přenesená",J345,0)</f>
        <v>0</v>
      </c>
      <c r="CY345" s="137">
        <f>IF(BE345="sníž. přenesená",J345,0)</f>
        <v>0</v>
      </c>
      <c r="CZ345" s="137">
        <f>IF(BE345="nulová",J345,0)</f>
        <v>0</v>
      </c>
      <c r="DA345" s="16" t="s">
        <v>81</v>
      </c>
      <c r="DB345" s="137">
        <f>ROUND(I345*H345,2)</f>
        <v>8230.06</v>
      </c>
      <c r="DC345" s="16" t="s">
        <v>95</v>
      </c>
      <c r="DD345" s="136" t="s">
        <v>721</v>
      </c>
    </row>
    <row r="346" spans="2:108" s="1" customFormat="1" ht="29.25" x14ac:dyDescent="0.2">
      <c r="B346" s="31"/>
      <c r="D346" s="138" t="s">
        <v>289</v>
      </c>
      <c r="F346" s="139" t="s">
        <v>720</v>
      </c>
      <c r="I346" s="140"/>
      <c r="L346" s="31"/>
      <c r="N346" s="213">
        <f>1.009*32.875</f>
        <v>33.170874999999995</v>
      </c>
      <c r="O346" s="214" t="s">
        <v>3956</v>
      </c>
      <c r="Q346" s="229"/>
      <c r="BD346" s="141"/>
      <c r="BK346" s="50"/>
      <c r="CK346" s="16" t="s">
        <v>289</v>
      </c>
      <c r="CL346" s="16" t="s">
        <v>83</v>
      </c>
    </row>
    <row r="347" spans="2:108" s="12" customFormat="1" x14ac:dyDescent="0.2">
      <c r="B347" s="149"/>
      <c r="D347" s="138" t="s">
        <v>301</v>
      </c>
      <c r="E347" s="150" t="s">
        <v>1</v>
      </c>
      <c r="F347" s="151" t="s">
        <v>2427</v>
      </c>
      <c r="H347" s="152">
        <v>32.875</v>
      </c>
      <c r="I347" s="153"/>
      <c r="L347" s="149"/>
      <c r="N347" s="310">
        <f>N346-H347</f>
        <v>0.29587499999999523</v>
      </c>
      <c r="O347" s="218"/>
      <c r="Q347" s="231"/>
      <c r="BD347" s="154"/>
      <c r="BK347" s="155"/>
      <c r="CK347" s="150" t="s">
        <v>301</v>
      </c>
      <c r="CL347" s="150" t="s">
        <v>83</v>
      </c>
      <c r="CM347" s="12" t="s">
        <v>83</v>
      </c>
      <c r="CN347" s="12" t="s">
        <v>32</v>
      </c>
      <c r="CO347" s="12" t="s">
        <v>81</v>
      </c>
      <c r="CP347" s="150" t="s">
        <v>282</v>
      </c>
    </row>
    <row r="348" spans="2:108" s="10" customFormat="1" ht="22.9" customHeight="1" x14ac:dyDescent="0.2">
      <c r="B348" s="112"/>
      <c r="D348" s="113" t="s">
        <v>73</v>
      </c>
      <c r="E348" s="122" t="s">
        <v>722</v>
      </c>
      <c r="F348" s="122" t="s">
        <v>723</v>
      </c>
      <c r="I348" s="115"/>
      <c r="J348" s="123">
        <f>DB348</f>
        <v>43365.26</v>
      </c>
      <c r="L348" s="112"/>
      <c r="M348" s="270">
        <f>SUM(M349)</f>
        <v>0</v>
      </c>
      <c r="N348" s="301"/>
      <c r="O348" s="302">
        <f t="shared" ref="O348:V348" si="9">SUM(O349)</f>
        <v>390.29</v>
      </c>
      <c r="P348" s="270"/>
      <c r="Q348" s="288">
        <f t="shared" si="9"/>
        <v>42974.97</v>
      </c>
      <c r="R348" s="270"/>
      <c r="S348" s="270"/>
      <c r="T348" s="270">
        <f t="shared" si="9"/>
        <v>0</v>
      </c>
      <c r="U348" s="270"/>
      <c r="V348" s="270">
        <f t="shared" si="9"/>
        <v>43365.26</v>
      </c>
      <c r="BD348" s="117"/>
      <c r="BG348" s="118">
        <f>SUM(BG349:BG352)</f>
        <v>0</v>
      </c>
      <c r="BI348" s="118">
        <f>SUM(BI349:BI352)</f>
        <v>0</v>
      </c>
      <c r="BK348" s="119">
        <f>SUM(BK349:BK352)</f>
        <v>0</v>
      </c>
      <c r="CI348" s="113" t="s">
        <v>81</v>
      </c>
      <c r="CK348" s="120" t="s">
        <v>73</v>
      </c>
      <c r="CL348" s="120" t="s">
        <v>81</v>
      </c>
      <c r="CP348" s="113" t="s">
        <v>282</v>
      </c>
      <c r="DB348" s="121">
        <f>SUM(DB349:DB352)</f>
        <v>43365.26</v>
      </c>
    </row>
    <row r="349" spans="2:108" s="1" customFormat="1" ht="24.2" customHeight="1" x14ac:dyDescent="0.2">
      <c r="B349" s="124"/>
      <c r="C349" s="125" t="s">
        <v>609</v>
      </c>
      <c r="D349" s="125" t="s">
        <v>284</v>
      </c>
      <c r="E349" s="126" t="s">
        <v>725</v>
      </c>
      <c r="F349" s="127" t="s">
        <v>726</v>
      </c>
      <c r="G349" s="128" t="s">
        <v>418</v>
      </c>
      <c r="H349" s="129">
        <v>47.929000000000002</v>
      </c>
      <c r="I349" s="130">
        <v>904.78117744148574</v>
      </c>
      <c r="J349" s="131">
        <f>ROUND(I349*H349,2)</f>
        <v>43365.26</v>
      </c>
      <c r="K349" s="127" t="s">
        <v>293</v>
      </c>
      <c r="L349" s="268">
        <f>S349</f>
        <v>0</v>
      </c>
      <c r="M349" s="272">
        <f>ROUND(L349*I349,2)</f>
        <v>0</v>
      </c>
      <c r="N349" s="243">
        <f>N351</f>
        <v>0.43136099999999544</v>
      </c>
      <c r="O349" s="294">
        <f>ROUND(N349*I349,2)</f>
        <v>390.29</v>
      </c>
      <c r="P349" s="273">
        <f>H349-L349-N349</f>
        <v>47.497639000000007</v>
      </c>
      <c r="Q349" s="287">
        <f>ROUND(P349*I349,2)</f>
        <v>42974.97</v>
      </c>
      <c r="R349" s="137"/>
      <c r="S349" s="269">
        <f>W349+Y349+AA349+AC349</f>
        <v>0</v>
      </c>
      <c r="T349" s="269">
        <f>ROUND(S349*I349,2)</f>
        <v>0</v>
      </c>
      <c r="U349" s="269">
        <f>H349-S349</f>
        <v>47.929000000000002</v>
      </c>
      <c r="V349" s="269">
        <f>ROUND(U349*I349,2)</f>
        <v>43365.26</v>
      </c>
      <c r="W349" s="269"/>
      <c r="X349" s="269"/>
      <c r="Y349" s="269"/>
      <c r="Z349" s="269"/>
      <c r="AA349" s="269"/>
      <c r="AB349" s="269"/>
      <c r="AC349" s="269"/>
      <c r="AD349" s="269"/>
      <c r="BD349" s="132" t="s">
        <v>1</v>
      </c>
      <c r="BE349" s="133" t="s">
        <v>40</v>
      </c>
      <c r="BG349" s="134">
        <f>BF349*H349</f>
        <v>0</v>
      </c>
      <c r="BH349" s="134">
        <v>0</v>
      </c>
      <c r="BI349" s="134">
        <f>BH349*H349</f>
        <v>0</v>
      </c>
      <c r="BJ349" s="134">
        <v>0</v>
      </c>
      <c r="BK349" s="135">
        <f>BJ349*H349</f>
        <v>0</v>
      </c>
      <c r="CI349" s="136" t="s">
        <v>95</v>
      </c>
      <c r="CK349" s="136" t="s">
        <v>284</v>
      </c>
      <c r="CL349" s="136" t="s">
        <v>83</v>
      </c>
      <c r="CP349" s="16" t="s">
        <v>282</v>
      </c>
      <c r="CV349" s="137">
        <f>IF(BE349="základní",J349,0)</f>
        <v>43365.26</v>
      </c>
      <c r="CW349" s="137">
        <f>IF(BE349="snížená",J349,0)</f>
        <v>0</v>
      </c>
      <c r="CX349" s="137">
        <f>IF(BE349="zákl. přenesená",J349,0)</f>
        <v>0</v>
      </c>
      <c r="CY349" s="137">
        <f>IF(BE349="sníž. přenesená",J349,0)</f>
        <v>0</v>
      </c>
      <c r="CZ349" s="137">
        <f>IF(BE349="nulová",J349,0)</f>
        <v>0</v>
      </c>
      <c r="DA349" s="16" t="s">
        <v>81</v>
      </c>
      <c r="DB349" s="137">
        <f>ROUND(I349*H349,2)</f>
        <v>43365.26</v>
      </c>
      <c r="DC349" s="16" t="s">
        <v>95</v>
      </c>
      <c r="DD349" s="136" t="s">
        <v>727</v>
      </c>
    </row>
    <row r="350" spans="2:108" s="1" customFormat="1" ht="29.25" x14ac:dyDescent="0.2">
      <c r="B350" s="31"/>
      <c r="D350" s="138" t="s">
        <v>289</v>
      </c>
      <c r="F350" s="139" t="s">
        <v>728</v>
      </c>
      <c r="I350" s="140"/>
      <c r="L350" s="31"/>
      <c r="N350" s="213">
        <f>1.009*47.929</f>
        <v>48.360360999999997</v>
      </c>
      <c r="O350" s="214" t="s">
        <v>3957</v>
      </c>
      <c r="Q350" s="229"/>
      <c r="BD350" s="141"/>
      <c r="BK350" s="50"/>
      <c r="CK350" s="16" t="s">
        <v>289</v>
      </c>
      <c r="CL350" s="16" t="s">
        <v>83</v>
      </c>
    </row>
    <row r="351" spans="2:108" s="11" customFormat="1" x14ac:dyDescent="0.2">
      <c r="B351" s="143"/>
      <c r="D351" s="138" t="s">
        <v>301</v>
      </c>
      <c r="E351" s="144" t="s">
        <v>1</v>
      </c>
      <c r="F351" s="145" t="s">
        <v>729</v>
      </c>
      <c r="H351" s="144" t="s">
        <v>1</v>
      </c>
      <c r="I351" s="146"/>
      <c r="L351" s="143"/>
      <c r="N351" s="319">
        <f>N350-H352</f>
        <v>0.43136099999999544</v>
      </c>
      <c r="O351" s="216"/>
      <c r="Q351" s="230"/>
      <c r="BD351" s="147"/>
      <c r="BK351" s="148"/>
      <c r="CK351" s="144" t="s">
        <v>301</v>
      </c>
      <c r="CL351" s="144" t="s">
        <v>83</v>
      </c>
      <c r="CM351" s="11" t="s">
        <v>81</v>
      </c>
      <c r="CN351" s="11" t="s">
        <v>32</v>
      </c>
      <c r="CO351" s="11" t="s">
        <v>74</v>
      </c>
      <c r="CP351" s="144" t="s">
        <v>282</v>
      </c>
    </row>
    <row r="352" spans="2:108" s="12" customFormat="1" x14ac:dyDescent="0.2">
      <c r="B352" s="149"/>
      <c r="D352" s="138" t="s">
        <v>301</v>
      </c>
      <c r="E352" s="150" t="s">
        <v>1</v>
      </c>
      <c r="F352" s="151" t="s">
        <v>2429</v>
      </c>
      <c r="H352" s="152">
        <v>47.929000000000002</v>
      </c>
      <c r="I352" s="153"/>
      <c r="L352" s="149"/>
      <c r="N352" s="217"/>
      <c r="O352" s="218"/>
      <c r="Q352" s="231"/>
      <c r="BD352" s="179"/>
      <c r="BE352" s="180"/>
      <c r="BF352" s="180"/>
      <c r="BG352" s="180"/>
      <c r="BH352" s="180"/>
      <c r="BI352" s="180"/>
      <c r="BJ352" s="180"/>
      <c r="BK352" s="181"/>
      <c r="CK352" s="150" t="s">
        <v>301</v>
      </c>
      <c r="CL352" s="150" t="s">
        <v>83</v>
      </c>
      <c r="CM352" s="12" t="s">
        <v>83</v>
      </c>
      <c r="CN352" s="12" t="s">
        <v>32</v>
      </c>
      <c r="CO352" s="12" t="s">
        <v>81</v>
      </c>
      <c r="CP352" s="150" t="s">
        <v>282</v>
      </c>
    </row>
    <row r="353" spans="2:30" s="1" customFormat="1" ht="6.95" customHeight="1" thickBot="1" x14ac:dyDescent="0.25">
      <c r="B353" s="43"/>
      <c r="C353" s="44"/>
      <c r="D353" s="44"/>
      <c r="E353" s="44"/>
      <c r="F353" s="44"/>
      <c r="G353" s="44"/>
      <c r="H353" s="44"/>
      <c r="I353" s="44"/>
      <c r="J353" s="44"/>
      <c r="K353" s="44"/>
      <c r="L353" s="235"/>
      <c r="M353" s="237"/>
      <c r="N353" s="239"/>
      <c r="O353" s="240"/>
      <c r="P353" s="238"/>
      <c r="Q353" s="241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</row>
  </sheetData>
  <autoFilter ref="C120:K352"/>
  <mergeCells count="23">
    <mergeCell ref="W121:X121"/>
    <mergeCell ref="Y121:Z121"/>
    <mergeCell ref="AA121:AB121"/>
    <mergeCell ref="AC121:AD121"/>
    <mergeCell ref="U121:V121"/>
    <mergeCell ref="L120:Q120"/>
    <mergeCell ref="L121:M121"/>
    <mergeCell ref="N121:O121"/>
    <mergeCell ref="P121:Q121"/>
    <mergeCell ref="S121:T121"/>
    <mergeCell ref="G119:K119"/>
    <mergeCell ref="E116:H116"/>
    <mergeCell ref="L2:BM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DY606"/>
  <sheetViews>
    <sheetView windowProtection="1" showGridLines="0" topLeftCell="A578" zoomScale="85" zoomScaleNormal="85" workbookViewId="0">
      <selection activeCell="P578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2.1640625" customWidth="1"/>
    <col min="13" max="13" width="14.5" customWidth="1"/>
    <col min="14" max="14" width="12.1640625" customWidth="1"/>
    <col min="15" max="15" width="16.6640625" customWidth="1"/>
    <col min="16" max="16" width="12.1640625" hidden="1" customWidth="1"/>
    <col min="17" max="17" width="17.33203125" hidden="1" customWidth="1"/>
    <col min="18" max="19" width="12.1640625" customWidth="1"/>
    <col min="20" max="20" width="14.5" customWidth="1"/>
    <col min="21" max="21" width="12.1640625" customWidth="1"/>
    <col min="22" max="22" width="14.5" customWidth="1"/>
    <col min="23" max="41" width="12.1640625" customWidth="1"/>
    <col min="42" max="42" width="15.1640625" customWidth="1"/>
    <col min="43" max="75" width="12.1640625" customWidth="1"/>
    <col min="76" max="76" width="11.83203125" customWidth="1"/>
    <col min="77" max="77" width="10.83203125" hidden="1" customWidth="1"/>
    <col min="78" max="78" width="0" hidden="1" customWidth="1"/>
    <col min="79" max="84" width="14.1640625" hidden="1" customWidth="1"/>
    <col min="85" max="85" width="16.33203125" customWidth="1"/>
    <col min="86" max="86" width="12.33203125" customWidth="1"/>
    <col min="87" max="87" width="16.33203125" customWidth="1"/>
    <col min="88" max="88" width="12.33203125" customWidth="1"/>
    <col min="89" max="89" width="15" customWidth="1"/>
    <col min="90" max="90" width="11" customWidth="1"/>
    <col min="91" max="91" width="15" customWidth="1"/>
    <col min="92" max="92" width="16.33203125" customWidth="1"/>
    <col min="93" max="93" width="11" customWidth="1"/>
    <col min="94" max="94" width="15" customWidth="1"/>
    <col min="95" max="95" width="16.33203125" customWidth="1"/>
    <col min="108" max="129" width="9.33203125" hidden="1"/>
  </cols>
  <sheetData>
    <row r="1" spans="2:110" hidden="1" x14ac:dyDescent="0.2"/>
    <row r="2" spans="2:110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DF2" s="16" t="s">
        <v>196</v>
      </c>
    </row>
    <row r="3" spans="2:110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F3" s="16" t="s">
        <v>83</v>
      </c>
    </row>
    <row r="4" spans="2:110" ht="24.95" hidden="1" customHeight="1" x14ac:dyDescent="0.2">
      <c r="B4" s="19"/>
      <c r="D4" s="20" t="s">
        <v>243</v>
      </c>
      <c r="L4" s="19"/>
      <c r="BY4" s="79" t="s">
        <v>10</v>
      </c>
      <c r="DF4" s="16" t="s">
        <v>3</v>
      </c>
    </row>
    <row r="5" spans="2:110" ht="6.95" hidden="1" customHeight="1" x14ac:dyDescent="0.2">
      <c r="B5" s="19"/>
      <c r="L5" s="19"/>
    </row>
    <row r="6" spans="2:110" ht="12" hidden="1" customHeight="1" x14ac:dyDescent="0.2">
      <c r="B6" s="19"/>
      <c r="D6" s="26" t="s">
        <v>16</v>
      </c>
      <c r="L6" s="19"/>
    </row>
    <row r="7" spans="2:110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10" ht="12.75" hidden="1" x14ac:dyDescent="0.2">
      <c r="B8" s="19"/>
      <c r="D8" s="26" t="s">
        <v>244</v>
      </c>
      <c r="L8" s="19"/>
    </row>
    <row r="9" spans="2:110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10" ht="12" hidden="1" customHeight="1" x14ac:dyDescent="0.2">
      <c r="B10" s="19"/>
      <c r="D10" s="26" t="s">
        <v>246</v>
      </c>
      <c r="L10" s="19"/>
    </row>
    <row r="11" spans="2:110" s="1" customFormat="1" ht="16.5" hidden="1" customHeight="1" x14ac:dyDescent="0.2">
      <c r="B11" s="31"/>
      <c r="E11" s="401" t="s">
        <v>2277</v>
      </c>
      <c r="F11" s="433"/>
      <c r="G11" s="433"/>
      <c r="H11" s="433"/>
      <c r="L11" s="31"/>
    </row>
    <row r="12" spans="2:110" s="1" customFormat="1" ht="12" hidden="1" customHeight="1" x14ac:dyDescent="0.2">
      <c r="B12" s="31"/>
      <c r="D12" s="26" t="s">
        <v>1790</v>
      </c>
      <c r="L12" s="31"/>
    </row>
    <row r="13" spans="2:110" s="1" customFormat="1" ht="16.5" hidden="1" customHeight="1" x14ac:dyDescent="0.2">
      <c r="B13" s="31"/>
      <c r="E13" s="432" t="s">
        <v>2430</v>
      </c>
      <c r="F13" s="433"/>
      <c r="G13" s="433"/>
      <c r="H13" s="433"/>
      <c r="L13" s="31"/>
    </row>
    <row r="14" spans="2:110" s="1" customFormat="1" hidden="1" x14ac:dyDescent="0.2">
      <c r="B14" s="31"/>
      <c r="L14" s="31"/>
    </row>
    <row r="15" spans="2:110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10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ROUND(J125, 2)</f>
        <v>3611662.13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ROUND((SUM(DQ125:DQ605)),  2)</f>
        <v>3611662.13</v>
      </c>
      <c r="I37" s="84">
        <v>0.21</v>
      </c>
      <c r="J37" s="71">
        <f>ROUND(((SUM(DQ125:DQ605))*I37),  2)</f>
        <v>758449.05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ROUND((SUM(DR125:DR605)),  2)</f>
        <v>0</v>
      </c>
      <c r="I38" s="84">
        <v>0.15</v>
      </c>
      <c r="J38" s="71">
        <f>ROUND(((SUM(DR125:DR605))*I38),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ROUND((SUM(DS125:DS605)),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ROUND((SUM(DT125:DT605)),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ROUND((SUM(DU125:DU605)),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4370111.18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2277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1790</v>
      </c>
      <c r="L89" s="31"/>
    </row>
    <row r="90" spans="2:12" s="1" customFormat="1" ht="16.5" hidden="1" customHeight="1" x14ac:dyDescent="0.2">
      <c r="B90" s="31"/>
      <c r="E90" s="432" t="str">
        <f>E13</f>
        <v>0006 - DSO 11.6 Výtlak V8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11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11" s="1" customFormat="1" ht="10.35" hidden="1" customHeight="1" x14ac:dyDescent="0.2">
      <c r="B98" s="31"/>
      <c r="L98" s="31"/>
    </row>
    <row r="99" spans="2:111" s="1" customFormat="1" ht="22.9" hidden="1" customHeight="1" x14ac:dyDescent="0.2">
      <c r="B99" s="31"/>
      <c r="C99" s="95" t="s">
        <v>256</v>
      </c>
      <c r="J99" s="58">
        <f>J125</f>
        <v>3611662.13</v>
      </c>
      <c r="L99" s="31"/>
      <c r="DG99" s="16" t="s">
        <v>257</v>
      </c>
    </row>
    <row r="100" spans="2:111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J126</f>
        <v>3611662.13</v>
      </c>
      <c r="L100" s="96"/>
    </row>
    <row r="101" spans="2:111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J128</f>
        <v>2096729.76</v>
      </c>
      <c r="L101" s="100"/>
    </row>
    <row r="102" spans="2:111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J347</f>
        <v>381856.64</v>
      </c>
      <c r="L102" s="100"/>
    </row>
    <row r="103" spans="2:111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J396</f>
        <v>51731.92</v>
      </c>
      <c r="L103" s="100"/>
    </row>
    <row r="104" spans="2:111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J424</f>
        <v>360445.39</v>
      </c>
      <c r="L104" s="100"/>
    </row>
    <row r="105" spans="2:111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J443</f>
        <v>427425.89999999997</v>
      </c>
      <c r="L105" s="100"/>
    </row>
    <row r="106" spans="2:111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J575</f>
        <v>34099.769999999997</v>
      </c>
      <c r="L106" s="100"/>
    </row>
    <row r="107" spans="2:111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J581</f>
        <v>157146.05000000002</v>
      </c>
      <c r="L107" s="100"/>
    </row>
    <row r="108" spans="2:111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J601</f>
        <v>102226.7</v>
      </c>
      <c r="L108" s="100"/>
    </row>
    <row r="109" spans="2:111" s="1" customFormat="1" ht="21.75" hidden="1" customHeight="1" x14ac:dyDescent="0.2">
      <c r="B109" s="31"/>
      <c r="L109" s="31"/>
    </row>
    <row r="110" spans="2:111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11" hidden="1" x14ac:dyDescent="0.2"/>
    <row r="112" spans="2:111" hidden="1" x14ac:dyDescent="0.2"/>
    <row r="114" spans="2:127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7" s="1" customFormat="1" ht="24.95" customHeight="1" x14ac:dyDescent="0.2">
      <c r="B115" s="31"/>
      <c r="C115" s="20" t="s">
        <v>3330</v>
      </c>
      <c r="L115" s="31"/>
    </row>
    <row r="116" spans="2:127" s="1" customFormat="1" ht="6.95" customHeight="1" x14ac:dyDescent="0.2">
      <c r="B116" s="31"/>
      <c r="L116" s="31"/>
    </row>
    <row r="117" spans="2:127" s="1" customFormat="1" ht="16.5" customHeight="1" x14ac:dyDescent="0.2">
      <c r="B117" s="31"/>
      <c r="E117" s="432" t="str">
        <f>E13</f>
        <v>0006 - DSO 11.6 Výtlak V8</v>
      </c>
      <c r="F117" s="433"/>
      <c r="G117" s="433"/>
      <c r="H117" s="433"/>
      <c r="L117" s="31"/>
    </row>
    <row r="118" spans="2:127" s="1" customFormat="1" ht="6.95" customHeight="1" x14ac:dyDescent="0.2">
      <c r="B118" s="31"/>
      <c r="L118" s="31"/>
    </row>
    <row r="119" spans="2:127" s="1" customFormat="1" ht="12" customHeight="1" x14ac:dyDescent="0.2">
      <c r="B119" s="31"/>
      <c r="C119" s="26"/>
      <c r="F119" s="24"/>
      <c r="I119" s="26"/>
      <c r="J119" s="48"/>
      <c r="L119" s="31"/>
    </row>
    <row r="120" spans="2:127" s="1" customFormat="1" ht="6.95" customHeight="1" x14ac:dyDescent="0.2">
      <c r="B120" s="31"/>
      <c r="L120" s="31"/>
    </row>
    <row r="121" spans="2:127" s="1" customFormat="1" ht="40.15" customHeight="1" x14ac:dyDescent="0.2">
      <c r="B121" s="31"/>
      <c r="C121" s="26"/>
      <c r="F121" s="24"/>
      <c r="I121" s="26"/>
      <c r="J121" s="29"/>
      <c r="L121" s="31"/>
    </row>
    <row r="122" spans="2:127" s="1" customFormat="1" ht="15.2" customHeight="1" x14ac:dyDescent="0.2">
      <c r="B122" s="31"/>
      <c r="C122" s="26"/>
      <c r="F122" s="24"/>
      <c r="I122" s="26"/>
      <c r="J122" s="29"/>
      <c r="L122" s="31"/>
    </row>
    <row r="123" spans="2:127" s="1" customFormat="1" ht="19.5" customHeight="1" x14ac:dyDescent="0.2">
      <c r="B123" s="31"/>
      <c r="H123" s="430" t="s">
        <v>3305</v>
      </c>
      <c r="I123" s="430"/>
      <c r="J123" s="430"/>
      <c r="K123" s="431"/>
      <c r="L123" s="31"/>
    </row>
    <row r="124" spans="2:127" s="9" customFormat="1" ht="29.25" customHeight="1" thickBot="1" x14ac:dyDescent="0.25">
      <c r="B124" s="104"/>
      <c r="C124" s="105" t="s">
        <v>268</v>
      </c>
      <c r="D124" s="106" t="s">
        <v>59</v>
      </c>
      <c r="E124" s="106" t="s">
        <v>55</v>
      </c>
      <c r="F124" s="106" t="s">
        <v>56</v>
      </c>
      <c r="G124" s="106" t="s">
        <v>269</v>
      </c>
      <c r="H124" s="106" t="s">
        <v>270</v>
      </c>
      <c r="I124" s="106" t="s">
        <v>271</v>
      </c>
      <c r="J124" s="106" t="s">
        <v>255</v>
      </c>
      <c r="K124" s="107" t="s">
        <v>272</v>
      </c>
      <c r="L124" s="437" t="s">
        <v>3307</v>
      </c>
      <c r="M124" s="438"/>
      <c r="N124" s="438"/>
      <c r="O124" s="438"/>
      <c r="P124" s="438"/>
      <c r="Q124" s="439"/>
      <c r="BY124" s="52" t="s">
        <v>1</v>
      </c>
      <c r="BZ124" s="53" t="s">
        <v>39</v>
      </c>
      <c r="CA124" s="53" t="s">
        <v>273</v>
      </c>
      <c r="CB124" s="53" t="s">
        <v>274</v>
      </c>
      <c r="CC124" s="53" t="s">
        <v>275</v>
      </c>
      <c r="CD124" s="53" t="s">
        <v>276</v>
      </c>
      <c r="CE124" s="53" t="s">
        <v>277</v>
      </c>
      <c r="CF124" s="54" t="s">
        <v>278</v>
      </c>
    </row>
    <row r="125" spans="2:127" s="1" customFormat="1" ht="22.9" customHeight="1" x14ac:dyDescent="0.25">
      <c r="B125" s="31"/>
      <c r="C125" s="57" t="s">
        <v>279</v>
      </c>
      <c r="G125" s="1" t="s">
        <v>3306</v>
      </c>
      <c r="J125" s="108">
        <f>DW125</f>
        <v>3611662.13</v>
      </c>
      <c r="L125" s="440" t="s">
        <v>3308</v>
      </c>
      <c r="M125" s="441"/>
      <c r="N125" s="440" t="s">
        <v>3377</v>
      </c>
      <c r="O125" s="441"/>
      <c r="P125" s="440" t="s">
        <v>3309</v>
      </c>
      <c r="Q125" s="441"/>
      <c r="S125" s="442" t="s">
        <v>3312</v>
      </c>
      <c r="T125" s="443"/>
      <c r="U125" s="443" t="s">
        <v>3313</v>
      </c>
      <c r="V125" s="443"/>
      <c r="W125" s="444" t="s">
        <v>3314</v>
      </c>
      <c r="X125" s="444"/>
      <c r="Y125" s="444" t="s">
        <v>3315</v>
      </c>
      <c r="Z125" s="444"/>
      <c r="AA125" s="444" t="s">
        <v>3316</v>
      </c>
      <c r="AB125" s="444"/>
      <c r="AC125" s="444" t="s">
        <v>3317</v>
      </c>
      <c r="AD125" s="444"/>
      <c r="AE125" s="444" t="s">
        <v>3318</v>
      </c>
      <c r="AF125" s="444"/>
      <c r="AG125" s="444" t="s">
        <v>3319</v>
      </c>
      <c r="AH125" s="444"/>
      <c r="AI125" s="444" t="s">
        <v>3320</v>
      </c>
      <c r="AJ125" s="444"/>
      <c r="AK125" s="444" t="s">
        <v>3321</v>
      </c>
      <c r="AL125" s="444"/>
      <c r="AM125" s="444" t="s">
        <v>3322</v>
      </c>
      <c r="AN125" s="444"/>
      <c r="AO125" s="444" t="s">
        <v>3323</v>
      </c>
      <c r="AP125" s="444"/>
      <c r="AQ125" s="444" t="s">
        <v>3324</v>
      </c>
      <c r="AR125" s="444"/>
      <c r="AS125" s="444" t="s">
        <v>3325</v>
      </c>
      <c r="AT125" s="444"/>
      <c r="AU125" s="444" t="s">
        <v>3326</v>
      </c>
      <c r="AV125" s="444"/>
      <c r="AW125" s="444" t="s">
        <v>3327</v>
      </c>
      <c r="AX125" s="445"/>
      <c r="BY125" s="55"/>
      <c r="BZ125" s="49"/>
      <c r="CA125" s="49"/>
      <c r="CB125" s="109">
        <f>CB126</f>
        <v>0</v>
      </c>
      <c r="CC125" s="49"/>
      <c r="CD125" s="109">
        <f>CD126</f>
        <v>1221.3673901000002</v>
      </c>
      <c r="CE125" s="49"/>
      <c r="CF125" s="110">
        <f>CF126</f>
        <v>416.97690999999998</v>
      </c>
      <c r="DF125" s="16" t="s">
        <v>73</v>
      </c>
      <c r="DG125" s="16" t="s">
        <v>257</v>
      </c>
      <c r="DW125" s="111">
        <f>DW126</f>
        <v>3611662.13</v>
      </c>
    </row>
    <row r="126" spans="2:127" s="10" customFormat="1" ht="25.9" customHeight="1" thickBot="1" x14ac:dyDescent="0.25">
      <c r="B126" s="112"/>
      <c r="D126" s="113" t="s">
        <v>73</v>
      </c>
      <c r="E126" s="114" t="s">
        <v>280</v>
      </c>
      <c r="F126" s="114" t="s">
        <v>281</v>
      </c>
      <c r="G126" s="10" t="s">
        <v>3306</v>
      </c>
      <c r="I126" s="115"/>
      <c r="J126" s="116">
        <f>DW126</f>
        <v>3611662.13</v>
      </c>
      <c r="L126" s="190" t="s">
        <v>270</v>
      </c>
      <c r="M126" s="190" t="s">
        <v>3310</v>
      </c>
      <c r="N126" s="190" t="s">
        <v>270</v>
      </c>
      <c r="O126" s="190" t="s">
        <v>3310</v>
      </c>
      <c r="P126" s="190" t="s">
        <v>3311</v>
      </c>
      <c r="Q126" s="190" t="s">
        <v>3310</v>
      </c>
      <c r="S126" s="193" t="s">
        <v>270</v>
      </c>
      <c r="T126" s="194" t="s">
        <v>3310</v>
      </c>
      <c r="U126" s="194" t="s">
        <v>270</v>
      </c>
      <c r="V126" s="194" t="s">
        <v>3310</v>
      </c>
      <c r="W126" s="194" t="s">
        <v>270</v>
      </c>
      <c r="X126" s="194" t="s">
        <v>3328</v>
      </c>
      <c r="Y126" s="194" t="s">
        <v>270</v>
      </c>
      <c r="Z126" s="194" t="s">
        <v>3328</v>
      </c>
      <c r="AA126" s="194" t="s">
        <v>270</v>
      </c>
      <c r="AB126" s="194" t="s">
        <v>3328</v>
      </c>
      <c r="AC126" s="194" t="s">
        <v>270</v>
      </c>
      <c r="AD126" s="194" t="s">
        <v>3328</v>
      </c>
      <c r="AE126" s="194" t="s">
        <v>270</v>
      </c>
      <c r="AF126" s="194" t="s">
        <v>3328</v>
      </c>
      <c r="AG126" s="194" t="s">
        <v>270</v>
      </c>
      <c r="AH126" s="194" t="s">
        <v>3328</v>
      </c>
      <c r="AI126" s="194" t="s">
        <v>270</v>
      </c>
      <c r="AJ126" s="194" t="s">
        <v>3328</v>
      </c>
      <c r="AK126" s="194" t="s">
        <v>270</v>
      </c>
      <c r="AL126" s="194" t="s">
        <v>3328</v>
      </c>
      <c r="AM126" s="194" t="s">
        <v>270</v>
      </c>
      <c r="AN126" s="194" t="s">
        <v>3328</v>
      </c>
      <c r="AO126" s="194" t="s">
        <v>270</v>
      </c>
      <c r="AP126" s="194" t="s">
        <v>3328</v>
      </c>
      <c r="AQ126" s="194" t="s">
        <v>270</v>
      </c>
      <c r="AR126" s="194" t="s">
        <v>3328</v>
      </c>
      <c r="AS126" s="194" t="s">
        <v>270</v>
      </c>
      <c r="AT126" s="194" t="s">
        <v>3328</v>
      </c>
      <c r="AU126" s="194" t="s">
        <v>270</v>
      </c>
      <c r="AV126" s="194" t="s">
        <v>3328</v>
      </c>
      <c r="AW126" s="194" t="s">
        <v>270</v>
      </c>
      <c r="AX126" s="195" t="s">
        <v>3328</v>
      </c>
      <c r="BY126" s="117"/>
      <c r="CB126" s="118">
        <f>CB128+CB347+CB396+CB424+CB443+CB575+CB581+CB601</f>
        <v>0</v>
      </c>
      <c r="CD126" s="118">
        <f>CD128+CD347+CD396+CD424+CD443+CD575+CD581+CD601</f>
        <v>1221.3673901000002</v>
      </c>
      <c r="CF126" s="119">
        <f>CF128+CF347+CF396+CF424+CF443+CF575+CF581+CF601</f>
        <v>416.97690999999998</v>
      </c>
      <c r="DD126" s="113" t="s">
        <v>81</v>
      </c>
      <c r="DF126" s="120" t="s">
        <v>73</v>
      </c>
      <c r="DG126" s="120" t="s">
        <v>74</v>
      </c>
      <c r="DK126" s="113" t="s">
        <v>282</v>
      </c>
      <c r="DW126" s="121">
        <f>DW128+DW347+DW396+DW424+DW443+DW575+DW581+DW601</f>
        <v>3611662.13</v>
      </c>
    </row>
    <row r="127" spans="2:127" s="10" customFormat="1" ht="25.9" customHeight="1" thickBot="1" x14ac:dyDescent="0.25">
      <c r="B127" s="112"/>
      <c r="D127" s="113"/>
      <c r="E127" s="114"/>
      <c r="F127" s="114"/>
      <c r="G127" s="10" t="s">
        <v>3306</v>
      </c>
      <c r="I127" s="115"/>
      <c r="J127" s="116" t="s">
        <v>3306</v>
      </c>
      <c r="L127" s="191"/>
      <c r="M127" s="192">
        <f>M128+M347+M396+M424+M443+M575+M581+M601</f>
        <v>0</v>
      </c>
      <c r="N127" s="208"/>
      <c r="O127" s="208">
        <f t="shared" ref="O127:Q127" si="0">O128+O347+O396+O424+O443+O575+O581+O601</f>
        <v>-7576.4240000000027</v>
      </c>
      <c r="P127" s="192"/>
      <c r="Q127" s="192">
        <f t="shared" si="0"/>
        <v>3619889.2200000007</v>
      </c>
      <c r="S127" s="196"/>
      <c r="T127" s="197">
        <f>T128+T347+T396+T424+T443+T575+T581+T601</f>
        <v>0</v>
      </c>
      <c r="U127" s="197"/>
      <c r="V127" s="197">
        <f t="shared" ref="V127:AX127" si="1">V128+V347+V396+V424+V443+V575+V581+V601</f>
        <v>3611662.13</v>
      </c>
      <c r="W127" s="197"/>
      <c r="X127" s="197">
        <f t="shared" si="1"/>
        <v>0</v>
      </c>
      <c r="Y127" s="197"/>
      <c r="Z127" s="197">
        <f t="shared" si="1"/>
        <v>0</v>
      </c>
      <c r="AA127" s="197"/>
      <c r="AB127" s="197">
        <f t="shared" si="1"/>
        <v>0</v>
      </c>
      <c r="AC127" s="197"/>
      <c r="AD127" s="197">
        <f t="shared" si="1"/>
        <v>0</v>
      </c>
      <c r="AE127" s="197"/>
      <c r="AF127" s="197">
        <f t="shared" si="1"/>
        <v>0</v>
      </c>
      <c r="AG127" s="197"/>
      <c r="AH127" s="197">
        <f t="shared" si="1"/>
        <v>0</v>
      </c>
      <c r="AI127" s="197"/>
      <c r="AJ127" s="197">
        <f t="shared" si="1"/>
        <v>0</v>
      </c>
      <c r="AK127" s="197"/>
      <c r="AL127" s="197">
        <f t="shared" si="1"/>
        <v>0</v>
      </c>
      <c r="AM127" s="197"/>
      <c r="AN127" s="197">
        <f t="shared" si="1"/>
        <v>0</v>
      </c>
      <c r="AO127" s="197"/>
      <c r="AP127" s="197">
        <f t="shared" si="1"/>
        <v>0</v>
      </c>
      <c r="AQ127" s="197"/>
      <c r="AR127" s="197">
        <f t="shared" si="1"/>
        <v>0</v>
      </c>
      <c r="AS127" s="197"/>
      <c r="AT127" s="197">
        <f t="shared" si="1"/>
        <v>0</v>
      </c>
      <c r="AU127" s="197"/>
      <c r="AV127" s="197">
        <f t="shared" si="1"/>
        <v>0</v>
      </c>
      <c r="AW127" s="197"/>
      <c r="AX127" s="242">
        <f t="shared" si="1"/>
        <v>0</v>
      </c>
      <c r="BY127" s="117"/>
      <c r="CB127" s="118"/>
      <c r="CD127" s="118"/>
      <c r="CF127" s="119"/>
      <c r="DD127" s="113"/>
      <c r="DF127" s="120"/>
      <c r="DG127" s="120"/>
      <c r="DK127" s="113"/>
      <c r="DW127" s="121"/>
    </row>
    <row r="128" spans="2:127" s="10" customFormat="1" ht="22.9" customHeight="1" x14ac:dyDescent="0.2">
      <c r="B128" s="112"/>
      <c r="D128" s="113" t="s">
        <v>73</v>
      </c>
      <c r="E128" s="122" t="s">
        <v>81</v>
      </c>
      <c r="F128" s="122" t="s">
        <v>283</v>
      </c>
      <c r="G128" s="10" t="s">
        <v>3306</v>
      </c>
      <c r="I128" s="115"/>
      <c r="J128" s="123">
        <f>DW128</f>
        <v>2096729.76</v>
      </c>
      <c r="L128" s="112"/>
      <c r="M128" s="202">
        <f>SUM(M129:M344)</f>
        <v>0</v>
      </c>
      <c r="N128" s="209"/>
      <c r="O128" s="210">
        <f t="shared" ref="O128:V128" si="2">SUM(O129:O344)</f>
        <v>8287.9259999999995</v>
      </c>
      <c r="P128" s="202"/>
      <c r="Q128" s="227">
        <f t="shared" si="2"/>
        <v>2089092.5100000002</v>
      </c>
      <c r="R128" s="202"/>
      <c r="S128" s="202"/>
      <c r="T128" s="202">
        <f t="shared" si="2"/>
        <v>0</v>
      </c>
      <c r="U128" s="202"/>
      <c r="V128" s="202">
        <f t="shared" si="2"/>
        <v>2096729.76</v>
      </c>
      <c r="BY128" s="117"/>
      <c r="CB128" s="118">
        <f>SUM(CB129:CB346)</f>
        <v>0</v>
      </c>
      <c r="CD128" s="118">
        <f>SUM(CD129:CD346)</f>
        <v>1110.4242675</v>
      </c>
      <c r="CF128" s="119">
        <f>SUM(CF129:CF346)</f>
        <v>416.97690999999998</v>
      </c>
      <c r="DD128" s="113" t="s">
        <v>81</v>
      </c>
      <c r="DF128" s="120" t="s">
        <v>73</v>
      </c>
      <c r="DG128" s="120" t="s">
        <v>81</v>
      </c>
      <c r="DK128" s="113" t="s">
        <v>282</v>
      </c>
      <c r="DW128" s="121">
        <f>SUM(DW129:DW346)</f>
        <v>2096729.76</v>
      </c>
    </row>
    <row r="129" spans="2:129" s="1" customFormat="1" ht="24.2" customHeight="1" x14ac:dyDescent="0.2">
      <c r="B129" s="124"/>
      <c r="C129" s="125" t="s">
        <v>81</v>
      </c>
      <c r="D129" s="125" t="s">
        <v>284</v>
      </c>
      <c r="E129" s="126" t="s">
        <v>2279</v>
      </c>
      <c r="F129" s="127" t="s">
        <v>2280</v>
      </c>
      <c r="G129" s="128" t="s">
        <v>287</v>
      </c>
      <c r="H129" s="129">
        <v>292.32</v>
      </c>
      <c r="I129" s="130">
        <v>68.767172335543137</v>
      </c>
      <c r="J129" s="131">
        <f>ROUND(I129*H129,2)</f>
        <v>20102.02</v>
      </c>
      <c r="K129" s="127" t="s">
        <v>1</v>
      </c>
      <c r="L129" s="198">
        <f>S129</f>
        <v>0</v>
      </c>
      <c r="M129" s="206">
        <f>ROUND(L129*I129,2)</f>
        <v>0</v>
      </c>
      <c r="N129" s="211">
        <f>N133</f>
        <v>2.2230000000000132</v>
      </c>
      <c r="O129" s="212">
        <f>ROUND(N129*I129,2)</f>
        <v>152.87</v>
      </c>
      <c r="P129" s="207">
        <f>H129-L129-N129</f>
        <v>290.09699999999998</v>
      </c>
      <c r="Q129" s="228">
        <f>ROUND(P129*I129,2)</f>
        <v>19949.150000000001</v>
      </c>
      <c r="R129" s="199"/>
      <c r="S129" s="200">
        <f>W129+Y129+AA129+AC129+AE129+AG129+AI129+AK129+AM129+AO129+AQ129+AS129+AU129+AW129</f>
        <v>0</v>
      </c>
      <c r="T129" s="200">
        <f>ROUND(S129*I129,2)</f>
        <v>0</v>
      </c>
      <c r="U129" s="200">
        <f>H129-S129</f>
        <v>292.32</v>
      </c>
      <c r="V129" s="200">
        <f>ROUND(U129*I129,2)</f>
        <v>20102.02</v>
      </c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BY129" s="132" t="s">
        <v>1</v>
      </c>
      <c r="BZ129" s="133" t="s">
        <v>40</v>
      </c>
      <c r="CB129" s="134">
        <f>CA129*H129</f>
        <v>0</v>
      </c>
      <c r="CC129" s="134">
        <v>0</v>
      </c>
      <c r="CD129" s="134">
        <f>CC129*H129</f>
        <v>0</v>
      </c>
      <c r="CE129" s="134">
        <v>0.57999999999999996</v>
      </c>
      <c r="CF129" s="135">
        <f>CE129*H129</f>
        <v>169.54559999999998</v>
      </c>
      <c r="DD129" s="136" t="s">
        <v>95</v>
      </c>
      <c r="DF129" s="136" t="s">
        <v>284</v>
      </c>
      <c r="DG129" s="136" t="s">
        <v>83</v>
      </c>
      <c r="DK129" s="16" t="s">
        <v>282</v>
      </c>
      <c r="DQ129" s="137">
        <f>IF(BZ129="základní",J129,0)</f>
        <v>20102.02</v>
      </c>
      <c r="DR129" s="137">
        <f>IF(BZ129="snížená",J129,0)</f>
        <v>0</v>
      </c>
      <c r="DS129" s="137">
        <f>IF(BZ129="zákl. přenesená",J129,0)</f>
        <v>0</v>
      </c>
      <c r="DT129" s="137">
        <f>IF(BZ129="sníž. přenesená",J129,0)</f>
        <v>0</v>
      </c>
      <c r="DU129" s="137">
        <f>IF(BZ129="nulová",J129,0)</f>
        <v>0</v>
      </c>
      <c r="DV129" s="16" t="s">
        <v>81</v>
      </c>
      <c r="DW129" s="137">
        <f>ROUND(I129*H129,2)</f>
        <v>20102.02</v>
      </c>
      <c r="DX129" s="16" t="s">
        <v>95</v>
      </c>
      <c r="DY129" s="136" t="s">
        <v>2281</v>
      </c>
    </row>
    <row r="130" spans="2:129" s="1" customFormat="1" ht="39" x14ac:dyDescent="0.2">
      <c r="B130" s="31"/>
      <c r="D130" s="138" t="s">
        <v>289</v>
      </c>
      <c r="F130" s="139" t="s">
        <v>290</v>
      </c>
      <c r="I130" s="140"/>
      <c r="L130" s="31"/>
      <c r="N130" s="213"/>
      <c r="O130" s="214"/>
      <c r="Q130" s="229"/>
      <c r="BY130" s="141"/>
      <c r="CF130" s="50"/>
      <c r="DF130" s="16" t="s">
        <v>289</v>
      </c>
      <c r="DG130" s="16" t="s">
        <v>83</v>
      </c>
    </row>
    <row r="131" spans="2:129" s="1" customFormat="1" ht="29.25" x14ac:dyDescent="0.2">
      <c r="B131" s="31"/>
      <c r="D131" s="138" t="s">
        <v>299</v>
      </c>
      <c r="F131" s="142" t="s">
        <v>2431</v>
      </c>
      <c r="I131" s="140"/>
      <c r="L131" s="31"/>
      <c r="N131" s="213"/>
      <c r="O131" s="214"/>
      <c r="Q131" s="229"/>
      <c r="BY131" s="141"/>
      <c r="CF131" s="50"/>
      <c r="DF131" s="16" t="s">
        <v>299</v>
      </c>
      <c r="DG131" s="16" t="s">
        <v>83</v>
      </c>
    </row>
    <row r="132" spans="2:129" s="12" customFormat="1" x14ac:dyDescent="0.2">
      <c r="B132" s="149"/>
      <c r="D132" s="138" t="s">
        <v>301</v>
      </c>
      <c r="E132" s="150" t="s">
        <v>1</v>
      </c>
      <c r="F132" s="151" t="s">
        <v>2432</v>
      </c>
      <c r="H132" s="152">
        <v>292.32</v>
      </c>
      <c r="I132" s="153"/>
      <c r="L132" s="149"/>
      <c r="N132" s="217">
        <f>(203.56+123.71)*0.9</f>
        <v>294.54300000000001</v>
      </c>
      <c r="O132" s="218" t="s">
        <v>3585</v>
      </c>
      <c r="Q132" s="231"/>
      <c r="BY132" s="154"/>
      <c r="CF132" s="155"/>
      <c r="DF132" s="150" t="s">
        <v>301</v>
      </c>
      <c r="DG132" s="150" t="s">
        <v>83</v>
      </c>
      <c r="DH132" s="12" t="s">
        <v>83</v>
      </c>
      <c r="DI132" s="12" t="s">
        <v>32</v>
      </c>
      <c r="DJ132" s="12" t="s">
        <v>81</v>
      </c>
      <c r="DK132" s="150" t="s">
        <v>282</v>
      </c>
    </row>
    <row r="133" spans="2:129" s="12" customFormat="1" x14ac:dyDescent="0.2">
      <c r="B133" s="149"/>
      <c r="D133" s="138"/>
      <c r="E133" s="150"/>
      <c r="F133" s="151"/>
      <c r="H133" s="152"/>
      <c r="I133" s="153"/>
      <c r="L133" s="149"/>
      <c r="N133" s="310">
        <f>N132-H132</f>
        <v>2.2230000000000132</v>
      </c>
      <c r="O133" s="218"/>
      <c r="Q133" s="231"/>
      <c r="BY133" s="154"/>
      <c r="CF133" s="155"/>
      <c r="DF133" s="150"/>
      <c r="DG133" s="150"/>
      <c r="DK133" s="150"/>
    </row>
    <row r="134" spans="2:129" s="1" customFormat="1" ht="24.2" customHeight="1" x14ac:dyDescent="0.2">
      <c r="B134" s="124"/>
      <c r="C134" s="125" t="s">
        <v>83</v>
      </c>
      <c r="D134" s="125" t="s">
        <v>284</v>
      </c>
      <c r="E134" s="126" t="s">
        <v>285</v>
      </c>
      <c r="F134" s="127" t="s">
        <v>2284</v>
      </c>
      <c r="G134" s="128" t="s">
        <v>287</v>
      </c>
      <c r="H134" s="129">
        <v>73.8</v>
      </c>
      <c r="I134" s="130">
        <v>68.767172335543137</v>
      </c>
      <c r="J134" s="131">
        <f>ROUND(I134*H134,2)</f>
        <v>5075.0200000000004</v>
      </c>
      <c r="K134" s="127" t="s">
        <v>1</v>
      </c>
      <c r="L134" s="198">
        <f>S134</f>
        <v>0</v>
      </c>
      <c r="M134" s="206">
        <f>ROUND(L134*I134,2)</f>
        <v>0</v>
      </c>
      <c r="N134" s="211">
        <f>N138</f>
        <v>7.6240000000000094</v>
      </c>
      <c r="O134" s="212">
        <f>ROUND(N134*I134,2)</f>
        <v>524.28</v>
      </c>
      <c r="P134" s="207">
        <f>H134-L134-N134</f>
        <v>66.175999999999988</v>
      </c>
      <c r="Q134" s="228">
        <f>ROUND(P134*I134,2)</f>
        <v>4550.74</v>
      </c>
      <c r="R134" s="199"/>
      <c r="S134" s="200">
        <f>W134+Y134+AA134+AC134+AE134+AG134+AI134+AK134+AM134+AO134+AQ134+AS134+AU134+AW134</f>
        <v>0</v>
      </c>
      <c r="T134" s="200">
        <f>ROUND(S134*I134,2)</f>
        <v>0</v>
      </c>
      <c r="U134" s="200">
        <f>H134-S134</f>
        <v>73.8</v>
      </c>
      <c r="V134" s="200">
        <f>ROUND(U134*I134,2)</f>
        <v>5075.0200000000004</v>
      </c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200"/>
      <c r="AV134" s="200"/>
      <c r="AW134" s="200"/>
      <c r="AX134" s="200"/>
      <c r="BY134" s="132" t="s">
        <v>1</v>
      </c>
      <c r="BZ134" s="133" t="s">
        <v>40</v>
      </c>
      <c r="CB134" s="134">
        <f>CA134*H134</f>
        <v>0</v>
      </c>
      <c r="CC134" s="134">
        <v>0</v>
      </c>
      <c r="CD134" s="134">
        <f>CC134*H134</f>
        <v>0</v>
      </c>
      <c r="CE134" s="134">
        <v>0.57999999999999996</v>
      </c>
      <c r="CF134" s="135">
        <f>CE134*H134</f>
        <v>42.803999999999995</v>
      </c>
      <c r="DD134" s="136" t="s">
        <v>95</v>
      </c>
      <c r="DF134" s="136" t="s">
        <v>284</v>
      </c>
      <c r="DG134" s="136" t="s">
        <v>83</v>
      </c>
      <c r="DK134" s="16" t="s">
        <v>282</v>
      </c>
      <c r="DQ134" s="137">
        <f>IF(BZ134="základní",J134,0)</f>
        <v>5075.0200000000004</v>
      </c>
      <c r="DR134" s="137">
        <f>IF(BZ134="snížená",J134,0)</f>
        <v>0</v>
      </c>
      <c r="DS134" s="137">
        <f>IF(BZ134="zákl. přenesená",J134,0)</f>
        <v>0</v>
      </c>
      <c r="DT134" s="137">
        <f>IF(BZ134="sníž. přenesená",J134,0)</f>
        <v>0</v>
      </c>
      <c r="DU134" s="137">
        <f>IF(BZ134="nulová",J134,0)</f>
        <v>0</v>
      </c>
      <c r="DV134" s="16" t="s">
        <v>81</v>
      </c>
      <c r="DW134" s="137">
        <f>ROUND(I134*H134,2)</f>
        <v>5075.0200000000004</v>
      </c>
      <c r="DX134" s="16" t="s">
        <v>95</v>
      </c>
      <c r="DY134" s="136" t="s">
        <v>2285</v>
      </c>
    </row>
    <row r="135" spans="2:129" s="1" customFormat="1" ht="39" x14ac:dyDescent="0.2">
      <c r="B135" s="31"/>
      <c r="D135" s="138" t="s">
        <v>289</v>
      </c>
      <c r="F135" s="139" t="s">
        <v>290</v>
      </c>
      <c r="I135" s="140"/>
      <c r="L135" s="31"/>
      <c r="N135" s="213"/>
      <c r="O135" s="214"/>
      <c r="Q135" s="229"/>
      <c r="BY135" s="141"/>
      <c r="CF135" s="50"/>
      <c r="DF135" s="16" t="s">
        <v>289</v>
      </c>
      <c r="DG135" s="16" t="s">
        <v>83</v>
      </c>
    </row>
    <row r="136" spans="2:129" s="1" customFormat="1" ht="29.25" x14ac:dyDescent="0.2">
      <c r="B136" s="31"/>
      <c r="D136" s="138" t="s">
        <v>299</v>
      </c>
      <c r="F136" s="142" t="s">
        <v>2431</v>
      </c>
      <c r="I136" s="140"/>
      <c r="L136" s="31"/>
      <c r="N136" s="213"/>
      <c r="O136" s="214"/>
      <c r="Q136" s="229"/>
      <c r="BY136" s="141"/>
      <c r="CF136" s="50"/>
      <c r="DF136" s="16" t="s">
        <v>299</v>
      </c>
      <c r="DG136" s="16" t="s">
        <v>83</v>
      </c>
    </row>
    <row r="137" spans="2:129" s="12" customFormat="1" x14ac:dyDescent="0.2">
      <c r="B137" s="149"/>
      <c r="D137" s="138" t="s">
        <v>301</v>
      </c>
      <c r="E137" s="150" t="s">
        <v>1</v>
      </c>
      <c r="F137" s="151" t="s">
        <v>2433</v>
      </c>
      <c r="H137" s="152">
        <v>73.8</v>
      </c>
      <c r="I137" s="153"/>
      <c r="L137" s="149"/>
      <c r="N137" s="217">
        <f>203.56*(0.9-0.5)</f>
        <v>81.424000000000007</v>
      </c>
      <c r="O137" s="218" t="s">
        <v>3586</v>
      </c>
      <c r="Q137" s="231"/>
      <c r="BY137" s="154"/>
      <c r="CF137" s="155"/>
      <c r="DF137" s="150" t="s">
        <v>301</v>
      </c>
      <c r="DG137" s="150" t="s">
        <v>83</v>
      </c>
      <c r="DH137" s="12" t="s">
        <v>83</v>
      </c>
      <c r="DI137" s="12" t="s">
        <v>32</v>
      </c>
      <c r="DJ137" s="12" t="s">
        <v>81</v>
      </c>
      <c r="DK137" s="150" t="s">
        <v>282</v>
      </c>
    </row>
    <row r="138" spans="2:129" s="12" customFormat="1" x14ac:dyDescent="0.2">
      <c r="B138" s="149"/>
      <c r="D138" s="138"/>
      <c r="E138" s="150"/>
      <c r="F138" s="151"/>
      <c r="H138" s="152"/>
      <c r="I138" s="153"/>
      <c r="L138" s="149"/>
      <c r="N138" s="310">
        <f>N137-H137</f>
        <v>7.6240000000000094</v>
      </c>
      <c r="O138" s="218"/>
      <c r="Q138" s="231"/>
      <c r="BY138" s="154"/>
      <c r="CF138" s="155"/>
      <c r="DF138" s="150"/>
      <c r="DG138" s="150"/>
      <c r="DK138" s="150"/>
    </row>
    <row r="139" spans="2:129" s="1" customFormat="1" ht="24.2" customHeight="1" x14ac:dyDescent="0.2">
      <c r="B139" s="124"/>
      <c r="C139" s="125" t="s">
        <v>90</v>
      </c>
      <c r="D139" s="125" t="s">
        <v>284</v>
      </c>
      <c r="E139" s="126" t="s">
        <v>291</v>
      </c>
      <c r="F139" s="127" t="s">
        <v>292</v>
      </c>
      <c r="G139" s="128" t="s">
        <v>287</v>
      </c>
      <c r="H139" s="129">
        <v>218.52</v>
      </c>
      <c r="I139" s="130">
        <v>68.767172335543137</v>
      </c>
      <c r="J139" s="131">
        <f>ROUND(I139*H139,2)</f>
        <v>15027</v>
      </c>
      <c r="K139" s="127" t="s">
        <v>293</v>
      </c>
      <c r="L139" s="198">
        <f>S139</f>
        <v>0</v>
      </c>
      <c r="M139" s="206">
        <f>ROUND(L139*I139,2)</f>
        <v>0</v>
      </c>
      <c r="N139" s="211">
        <f>N141</f>
        <v>4.7770000000000437</v>
      </c>
      <c r="O139" s="212">
        <f>ROUND(N139*I139,2)</f>
        <v>328.5</v>
      </c>
      <c r="P139" s="207">
        <f>H139-L139-N139</f>
        <v>213.74299999999997</v>
      </c>
      <c r="Q139" s="228">
        <f>ROUND(P139*I139,2)</f>
        <v>14698.5</v>
      </c>
      <c r="R139" s="199"/>
      <c r="S139" s="200">
        <f>W139+Y139+AA139+AC139+AE139+AG139+AI139+AK139+AM139+AO139+AQ139+AS139+AU139+AW139</f>
        <v>0</v>
      </c>
      <c r="T139" s="200">
        <f>ROUND(S139*I139,2)</f>
        <v>0</v>
      </c>
      <c r="U139" s="200">
        <f>H139-S139</f>
        <v>218.52</v>
      </c>
      <c r="V139" s="200">
        <f>ROUND(U139*I139,2)</f>
        <v>15027</v>
      </c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BY139" s="132" t="s">
        <v>1</v>
      </c>
      <c r="BZ139" s="133" t="s">
        <v>40</v>
      </c>
      <c r="CB139" s="134">
        <f>CA139*H139</f>
        <v>0</v>
      </c>
      <c r="CC139" s="134">
        <v>0</v>
      </c>
      <c r="CD139" s="134">
        <f>CC139*H139</f>
        <v>0</v>
      </c>
      <c r="CE139" s="134">
        <v>0.57999999999999996</v>
      </c>
      <c r="CF139" s="135">
        <f>CE139*H139</f>
        <v>126.74159999999999</v>
      </c>
      <c r="DD139" s="136" t="s">
        <v>95</v>
      </c>
      <c r="DF139" s="136" t="s">
        <v>284</v>
      </c>
      <c r="DG139" s="136" t="s">
        <v>83</v>
      </c>
      <c r="DK139" s="16" t="s">
        <v>282</v>
      </c>
      <c r="DQ139" s="137">
        <f>IF(BZ139="základní",J139,0)</f>
        <v>15027</v>
      </c>
      <c r="DR139" s="137">
        <f>IF(BZ139="snížená",J139,0)</f>
        <v>0</v>
      </c>
      <c r="DS139" s="137">
        <f>IF(BZ139="zákl. přenesená",J139,0)</f>
        <v>0</v>
      </c>
      <c r="DT139" s="137">
        <f>IF(BZ139="sníž. přenesená",J139,0)</f>
        <v>0</v>
      </c>
      <c r="DU139" s="137">
        <f>IF(BZ139="nulová",J139,0)</f>
        <v>0</v>
      </c>
      <c r="DV139" s="16" t="s">
        <v>81</v>
      </c>
      <c r="DW139" s="137">
        <f>ROUND(I139*H139,2)</f>
        <v>15027</v>
      </c>
      <c r="DX139" s="16" t="s">
        <v>95</v>
      </c>
      <c r="DY139" s="136" t="s">
        <v>294</v>
      </c>
    </row>
    <row r="140" spans="2:129" s="1" customFormat="1" ht="39" x14ac:dyDescent="0.2">
      <c r="B140" s="31"/>
      <c r="D140" s="138" t="s">
        <v>289</v>
      </c>
      <c r="F140" s="139" t="s">
        <v>290</v>
      </c>
      <c r="I140" s="140"/>
      <c r="L140" s="31"/>
      <c r="N140" s="213"/>
      <c r="O140" s="214"/>
      <c r="Q140" s="229"/>
      <c r="BY140" s="141"/>
      <c r="CF140" s="50"/>
      <c r="DF140" s="16" t="s">
        <v>289</v>
      </c>
      <c r="DG140" s="16" t="s">
        <v>83</v>
      </c>
    </row>
    <row r="141" spans="2:129" s="1" customFormat="1" ht="24.2" customHeight="1" x14ac:dyDescent="0.2">
      <c r="B141" s="124"/>
      <c r="C141" s="125" t="s">
        <v>95</v>
      </c>
      <c r="D141" s="125" t="s">
        <v>284</v>
      </c>
      <c r="E141" s="126" t="s">
        <v>295</v>
      </c>
      <c r="F141" s="127" t="s">
        <v>732</v>
      </c>
      <c r="G141" s="128" t="s">
        <v>287</v>
      </c>
      <c r="H141" s="129">
        <v>218.52</v>
      </c>
      <c r="I141" s="130">
        <v>27.886826761540966</v>
      </c>
      <c r="J141" s="131">
        <f>ROUND(I141*H141,2)</f>
        <v>6093.83</v>
      </c>
      <c r="K141" s="127" t="s">
        <v>293</v>
      </c>
      <c r="L141" s="198">
        <f>S141</f>
        <v>0</v>
      </c>
      <c r="M141" s="206">
        <f>ROUND(L141*I141,2)</f>
        <v>0</v>
      </c>
      <c r="N141" s="211">
        <f>N148</f>
        <v>4.7770000000000437</v>
      </c>
      <c r="O141" s="212">
        <f>ROUND(N141*I141,2)</f>
        <v>133.22</v>
      </c>
      <c r="P141" s="207">
        <f>H141-L141-N141</f>
        <v>213.74299999999997</v>
      </c>
      <c r="Q141" s="228">
        <f>ROUND(P141*I141,2)</f>
        <v>5960.61</v>
      </c>
      <c r="R141" s="199"/>
      <c r="S141" s="200">
        <f>W141+Y141+AA141+AC141+AE141+AG141+AI141+AK141+AM141+AO141+AQ141+AS141+AU141+AW141</f>
        <v>0</v>
      </c>
      <c r="T141" s="200">
        <f>ROUND(S141*I141,2)</f>
        <v>0</v>
      </c>
      <c r="U141" s="200">
        <f>H141-S141</f>
        <v>218.52</v>
      </c>
      <c r="V141" s="200">
        <f>ROUND(U141*I141,2)</f>
        <v>6093.83</v>
      </c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200"/>
      <c r="BY141" s="132" t="s">
        <v>1</v>
      </c>
      <c r="BZ141" s="133" t="s">
        <v>40</v>
      </c>
      <c r="CB141" s="134">
        <f>CA141*H141</f>
        <v>0</v>
      </c>
      <c r="CC141" s="134">
        <v>0</v>
      </c>
      <c r="CD141" s="134">
        <f>CC141*H141</f>
        <v>0</v>
      </c>
      <c r="CE141" s="134">
        <v>9.8000000000000004E-2</v>
      </c>
      <c r="CF141" s="135">
        <f>CE141*H141</f>
        <v>21.414960000000001</v>
      </c>
      <c r="DD141" s="136" t="s">
        <v>95</v>
      </c>
      <c r="DF141" s="136" t="s">
        <v>284</v>
      </c>
      <c r="DG141" s="136" t="s">
        <v>83</v>
      </c>
      <c r="DK141" s="16" t="s">
        <v>282</v>
      </c>
      <c r="DQ141" s="137">
        <f>IF(BZ141="základní",J141,0)</f>
        <v>6093.83</v>
      </c>
      <c r="DR141" s="137">
        <f>IF(BZ141="snížená",J141,0)</f>
        <v>0</v>
      </c>
      <c r="DS141" s="137">
        <f>IF(BZ141="zákl. přenesená",J141,0)</f>
        <v>0</v>
      </c>
      <c r="DT141" s="137">
        <f>IF(BZ141="sníž. přenesená",J141,0)</f>
        <v>0</v>
      </c>
      <c r="DU141" s="137">
        <f>IF(BZ141="nulová",J141,0)</f>
        <v>0</v>
      </c>
      <c r="DV141" s="16" t="s">
        <v>81</v>
      </c>
      <c r="DW141" s="137">
        <f>ROUND(I141*H141,2)</f>
        <v>6093.83</v>
      </c>
      <c r="DX141" s="16" t="s">
        <v>95</v>
      </c>
      <c r="DY141" s="136" t="s">
        <v>297</v>
      </c>
    </row>
    <row r="142" spans="2:129" s="1" customFormat="1" ht="29.25" x14ac:dyDescent="0.2">
      <c r="B142" s="31"/>
      <c r="D142" s="138" t="s">
        <v>289</v>
      </c>
      <c r="F142" s="139" t="s">
        <v>298</v>
      </c>
      <c r="I142" s="140"/>
      <c r="L142" s="31"/>
      <c r="N142" s="213"/>
      <c r="O142" s="214"/>
      <c r="Q142" s="229"/>
      <c r="BY142" s="141"/>
      <c r="CF142" s="50"/>
      <c r="DF142" s="16" t="s">
        <v>289</v>
      </c>
      <c r="DG142" s="16" t="s">
        <v>83</v>
      </c>
    </row>
    <row r="143" spans="2:129" s="1" customFormat="1" ht="29.25" x14ac:dyDescent="0.2">
      <c r="B143" s="31"/>
      <c r="D143" s="138" t="s">
        <v>299</v>
      </c>
      <c r="F143" s="142" t="s">
        <v>2431</v>
      </c>
      <c r="I143" s="140"/>
      <c r="L143" s="31"/>
      <c r="N143" s="213"/>
      <c r="O143" s="214"/>
      <c r="Q143" s="229"/>
      <c r="BY143" s="141"/>
      <c r="CF143" s="50"/>
      <c r="DF143" s="16" t="s">
        <v>299</v>
      </c>
      <c r="DG143" s="16" t="s">
        <v>83</v>
      </c>
    </row>
    <row r="144" spans="2:129" s="11" customFormat="1" x14ac:dyDescent="0.2">
      <c r="B144" s="143"/>
      <c r="D144" s="138" t="s">
        <v>301</v>
      </c>
      <c r="E144" s="144" t="s">
        <v>1</v>
      </c>
      <c r="F144" s="145" t="s">
        <v>302</v>
      </c>
      <c r="H144" s="144" t="s">
        <v>1</v>
      </c>
      <c r="I144" s="146"/>
      <c r="L144" s="143"/>
      <c r="N144" s="215"/>
      <c r="O144" s="216"/>
      <c r="Q144" s="230"/>
      <c r="BY144" s="147"/>
      <c r="CF144" s="148"/>
      <c r="DF144" s="144" t="s">
        <v>301</v>
      </c>
      <c r="DG144" s="144" t="s">
        <v>83</v>
      </c>
      <c r="DH144" s="11" t="s">
        <v>81</v>
      </c>
      <c r="DI144" s="11" t="s">
        <v>32</v>
      </c>
      <c r="DJ144" s="11" t="s">
        <v>74</v>
      </c>
      <c r="DK144" s="144" t="s">
        <v>282</v>
      </c>
    </row>
    <row r="145" spans="2:129" s="12" customFormat="1" x14ac:dyDescent="0.2">
      <c r="B145" s="149"/>
      <c r="D145" s="138" t="s">
        <v>301</v>
      </c>
      <c r="E145" s="150" t="s">
        <v>1</v>
      </c>
      <c r="F145" s="151" t="s">
        <v>2434</v>
      </c>
      <c r="H145" s="152">
        <v>126.27</v>
      </c>
      <c r="I145" s="153"/>
      <c r="L145" s="149"/>
      <c r="N145" s="217">
        <f>123.71*0.9</f>
        <v>111.339</v>
      </c>
      <c r="O145" s="218" t="s">
        <v>3587</v>
      </c>
      <c r="Q145" s="231"/>
      <c r="BY145" s="154"/>
      <c r="CF145" s="155"/>
      <c r="DF145" s="150" t="s">
        <v>301</v>
      </c>
      <c r="DG145" s="150" t="s">
        <v>83</v>
      </c>
      <c r="DH145" s="12" t="s">
        <v>83</v>
      </c>
      <c r="DI145" s="12" t="s">
        <v>32</v>
      </c>
      <c r="DJ145" s="12" t="s">
        <v>74</v>
      </c>
      <c r="DK145" s="150" t="s">
        <v>282</v>
      </c>
    </row>
    <row r="146" spans="2:129" s="12" customFormat="1" ht="22.5" x14ac:dyDescent="0.2">
      <c r="B146" s="149"/>
      <c r="D146" s="138" t="s">
        <v>301</v>
      </c>
      <c r="E146" s="150" t="s">
        <v>1</v>
      </c>
      <c r="F146" s="151" t="s">
        <v>2435</v>
      </c>
      <c r="H146" s="152">
        <v>92.25</v>
      </c>
      <c r="I146" s="153"/>
      <c r="L146" s="149"/>
      <c r="N146" s="217">
        <f>203.56*0.55</f>
        <v>111.95800000000001</v>
      </c>
      <c r="O146" s="218" t="s">
        <v>3588</v>
      </c>
      <c r="Q146" s="231"/>
      <c r="BY146" s="154"/>
      <c r="CF146" s="155"/>
      <c r="DF146" s="150" t="s">
        <v>301</v>
      </c>
      <c r="DG146" s="150" t="s">
        <v>83</v>
      </c>
      <c r="DH146" s="12" t="s">
        <v>83</v>
      </c>
      <c r="DI146" s="12" t="s">
        <v>32</v>
      </c>
      <c r="DJ146" s="12" t="s">
        <v>74</v>
      </c>
      <c r="DK146" s="150" t="s">
        <v>282</v>
      </c>
    </row>
    <row r="147" spans="2:129" s="13" customFormat="1" x14ac:dyDescent="0.2">
      <c r="B147" s="156"/>
      <c r="D147" s="138" t="s">
        <v>301</v>
      </c>
      <c r="E147" s="157" t="s">
        <v>1</v>
      </c>
      <c r="F147" s="158" t="s">
        <v>305</v>
      </c>
      <c r="H147" s="159">
        <v>218.51999999999998</v>
      </c>
      <c r="I147" s="160"/>
      <c r="L147" s="156"/>
      <c r="N147" s="219">
        <f>N145+N146</f>
        <v>223.29700000000003</v>
      </c>
      <c r="O147" s="220"/>
      <c r="Q147" s="232"/>
      <c r="BY147" s="161"/>
      <c r="CF147" s="162"/>
      <c r="DF147" s="157" t="s">
        <v>301</v>
      </c>
      <c r="DG147" s="157" t="s">
        <v>83</v>
      </c>
      <c r="DH147" s="13" t="s">
        <v>95</v>
      </c>
      <c r="DI147" s="13" t="s">
        <v>32</v>
      </c>
      <c r="DJ147" s="13" t="s">
        <v>81</v>
      </c>
      <c r="DK147" s="157" t="s">
        <v>282</v>
      </c>
    </row>
    <row r="148" spans="2:129" s="13" customFormat="1" x14ac:dyDescent="0.2">
      <c r="B148" s="156"/>
      <c r="D148" s="138"/>
      <c r="E148" s="157"/>
      <c r="F148" s="158"/>
      <c r="H148" s="159"/>
      <c r="I148" s="160"/>
      <c r="L148" s="156"/>
      <c r="N148" s="311">
        <f>N147-H147</f>
        <v>4.7770000000000437</v>
      </c>
      <c r="O148" s="220"/>
      <c r="Q148" s="232"/>
      <c r="BY148" s="161"/>
      <c r="CF148" s="162"/>
      <c r="DF148" s="157"/>
      <c r="DG148" s="157"/>
      <c r="DK148" s="157"/>
    </row>
    <row r="149" spans="2:129" s="1" customFormat="1" ht="24.2" customHeight="1" x14ac:dyDescent="0.2">
      <c r="B149" s="124"/>
      <c r="C149" s="125" t="s">
        <v>312</v>
      </c>
      <c r="D149" s="125" t="s">
        <v>284</v>
      </c>
      <c r="E149" s="126" t="s">
        <v>306</v>
      </c>
      <c r="F149" s="127" t="s">
        <v>307</v>
      </c>
      <c r="G149" s="128" t="s">
        <v>287</v>
      </c>
      <c r="H149" s="129">
        <v>491.05</v>
      </c>
      <c r="I149" s="130">
        <v>55.314624729404002</v>
      </c>
      <c r="J149" s="131">
        <f>ROUND(I149*H149,2)</f>
        <v>27162.25</v>
      </c>
      <c r="K149" s="127" t="s">
        <v>293</v>
      </c>
      <c r="L149" s="198">
        <f>S149</f>
        <v>0</v>
      </c>
      <c r="M149" s="206">
        <f>ROUND(L149*I149,2)</f>
        <v>0</v>
      </c>
      <c r="N149" s="211">
        <f>N155</f>
        <v>-58.065000000000055</v>
      </c>
      <c r="O149" s="212">
        <f>ROUND(N149*I149,2)</f>
        <v>-3211.84</v>
      </c>
      <c r="P149" s="207">
        <f>H149-L149-N149</f>
        <v>549.11500000000001</v>
      </c>
      <c r="Q149" s="228">
        <f>ROUND(P149*I149,2)</f>
        <v>30374.09</v>
      </c>
      <c r="R149" s="199"/>
      <c r="S149" s="200">
        <f>W149+Y149+AA149+AC149+AE149+AG149+AI149+AK149+AM149+AO149+AQ149+AS149+AU149+AW149</f>
        <v>0</v>
      </c>
      <c r="T149" s="200">
        <f>ROUND(S149*I149,2)</f>
        <v>0</v>
      </c>
      <c r="U149" s="200">
        <f>H149-S149</f>
        <v>491.05</v>
      </c>
      <c r="V149" s="200">
        <f>ROUND(U149*I149,2)</f>
        <v>27162.25</v>
      </c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BY149" s="132" t="s">
        <v>1</v>
      </c>
      <c r="BZ149" s="133" t="s">
        <v>40</v>
      </c>
      <c r="CB149" s="134">
        <f>CA149*H149</f>
        <v>0</v>
      </c>
      <c r="CC149" s="134">
        <v>6.9999999999999994E-5</v>
      </c>
      <c r="CD149" s="134">
        <f>CC149*H149</f>
        <v>3.4373499999999994E-2</v>
      </c>
      <c r="CE149" s="134">
        <v>0.115</v>
      </c>
      <c r="CF149" s="135">
        <f>CE149*H149</f>
        <v>56.470750000000002</v>
      </c>
      <c r="DD149" s="136" t="s">
        <v>95</v>
      </c>
      <c r="DF149" s="136" t="s">
        <v>284</v>
      </c>
      <c r="DG149" s="136" t="s">
        <v>83</v>
      </c>
      <c r="DK149" s="16" t="s">
        <v>282</v>
      </c>
      <c r="DQ149" s="137">
        <f>IF(BZ149="základní",J149,0)</f>
        <v>27162.25</v>
      </c>
      <c r="DR149" s="137">
        <f>IF(BZ149="snížená",J149,0)</f>
        <v>0</v>
      </c>
      <c r="DS149" s="137">
        <f>IF(BZ149="zákl. přenesená",J149,0)</f>
        <v>0</v>
      </c>
      <c r="DT149" s="137">
        <f>IF(BZ149="sníž. přenesená",J149,0)</f>
        <v>0</v>
      </c>
      <c r="DU149" s="137">
        <f>IF(BZ149="nulová",J149,0)</f>
        <v>0</v>
      </c>
      <c r="DV149" s="16" t="s">
        <v>81</v>
      </c>
      <c r="DW149" s="137">
        <f>ROUND(I149*H149,2)</f>
        <v>27162.25</v>
      </c>
      <c r="DX149" s="16" t="s">
        <v>95</v>
      </c>
      <c r="DY149" s="136" t="s">
        <v>308</v>
      </c>
    </row>
    <row r="150" spans="2:129" s="1" customFormat="1" ht="29.25" x14ac:dyDescent="0.2">
      <c r="B150" s="31"/>
      <c r="D150" s="138" t="s">
        <v>289</v>
      </c>
      <c r="F150" s="139" t="s">
        <v>309</v>
      </c>
      <c r="I150" s="140"/>
      <c r="L150" s="31"/>
      <c r="N150" s="213"/>
      <c r="O150" s="214"/>
      <c r="Q150" s="229"/>
      <c r="BY150" s="141"/>
      <c r="CF150" s="50"/>
      <c r="DF150" s="16" t="s">
        <v>289</v>
      </c>
      <c r="DG150" s="16" t="s">
        <v>83</v>
      </c>
    </row>
    <row r="151" spans="2:129" s="1" customFormat="1" ht="29.25" x14ac:dyDescent="0.2">
      <c r="B151" s="31"/>
      <c r="D151" s="138" t="s">
        <v>299</v>
      </c>
      <c r="F151" s="142" t="s">
        <v>2431</v>
      </c>
      <c r="I151" s="140"/>
      <c r="L151" s="31"/>
      <c r="N151" s="213"/>
      <c r="O151" s="214"/>
      <c r="Q151" s="229"/>
      <c r="BY151" s="141"/>
      <c r="CF151" s="50"/>
      <c r="DF151" s="16" t="s">
        <v>299</v>
      </c>
      <c r="DG151" s="16" t="s">
        <v>83</v>
      </c>
    </row>
    <row r="152" spans="2:129" s="11" customFormat="1" x14ac:dyDescent="0.2">
      <c r="B152" s="143"/>
      <c r="D152" s="138" t="s">
        <v>301</v>
      </c>
      <c r="E152" s="144" t="s">
        <v>1</v>
      </c>
      <c r="F152" s="145" t="s">
        <v>310</v>
      </c>
      <c r="H152" s="144" t="s">
        <v>1</v>
      </c>
      <c r="I152" s="146"/>
      <c r="L152" s="143"/>
      <c r="N152" s="215"/>
      <c r="O152" s="216"/>
      <c r="Q152" s="230"/>
      <c r="BY152" s="147"/>
      <c r="CF152" s="148"/>
      <c r="DF152" s="144" t="s">
        <v>301</v>
      </c>
      <c r="DG152" s="144" t="s">
        <v>83</v>
      </c>
      <c r="DH152" s="11" t="s">
        <v>81</v>
      </c>
      <c r="DI152" s="11" t="s">
        <v>32</v>
      </c>
      <c r="DJ152" s="11" t="s">
        <v>74</v>
      </c>
      <c r="DK152" s="144" t="s">
        <v>282</v>
      </c>
    </row>
    <row r="153" spans="2:129" s="12" customFormat="1" x14ac:dyDescent="0.2">
      <c r="B153" s="149"/>
      <c r="D153" s="138" t="s">
        <v>301</v>
      </c>
      <c r="E153" s="150" t="s">
        <v>1</v>
      </c>
      <c r="F153" s="151" t="s">
        <v>2436</v>
      </c>
      <c r="H153" s="152">
        <v>491.05</v>
      </c>
      <c r="I153" s="153"/>
      <c r="L153" s="149"/>
      <c r="N153" s="217">
        <f>123.71*3.5</f>
        <v>432.98499999999996</v>
      </c>
      <c r="O153" s="218" t="s">
        <v>3589</v>
      </c>
      <c r="Q153" s="231"/>
      <c r="BY153" s="154"/>
      <c r="CF153" s="155"/>
      <c r="DF153" s="150" t="s">
        <v>301</v>
      </c>
      <c r="DG153" s="150" t="s">
        <v>83</v>
      </c>
      <c r="DH153" s="12" t="s">
        <v>83</v>
      </c>
      <c r="DI153" s="12" t="s">
        <v>32</v>
      </c>
      <c r="DJ153" s="12" t="s">
        <v>74</v>
      </c>
      <c r="DK153" s="150" t="s">
        <v>282</v>
      </c>
    </row>
    <row r="154" spans="2:129" s="11" customFormat="1" ht="22.5" x14ac:dyDescent="0.2">
      <c r="B154" s="143"/>
      <c r="D154" s="138" t="s">
        <v>301</v>
      </c>
      <c r="E154" s="144" t="s">
        <v>1</v>
      </c>
      <c r="F154" s="145" t="s">
        <v>2437</v>
      </c>
      <c r="H154" s="144" t="s">
        <v>1</v>
      </c>
      <c r="I154" s="146"/>
      <c r="L154" s="143"/>
      <c r="N154" s="215"/>
      <c r="O154" s="216"/>
      <c r="Q154" s="230"/>
      <c r="BY154" s="147"/>
      <c r="CF154" s="148"/>
      <c r="DF154" s="144" t="s">
        <v>301</v>
      </c>
      <c r="DG154" s="144" t="s">
        <v>83</v>
      </c>
      <c r="DH154" s="11" t="s">
        <v>81</v>
      </c>
      <c r="DI154" s="11" t="s">
        <v>32</v>
      </c>
      <c r="DJ154" s="11" t="s">
        <v>74</v>
      </c>
      <c r="DK154" s="144" t="s">
        <v>282</v>
      </c>
    </row>
    <row r="155" spans="2:129" s="13" customFormat="1" x14ac:dyDescent="0.2">
      <c r="B155" s="156"/>
      <c r="D155" s="138" t="s">
        <v>301</v>
      </c>
      <c r="E155" s="157" t="s">
        <v>1</v>
      </c>
      <c r="F155" s="158" t="s">
        <v>305</v>
      </c>
      <c r="H155" s="159">
        <v>491.05</v>
      </c>
      <c r="I155" s="160"/>
      <c r="L155" s="156"/>
      <c r="N155" s="311">
        <f>N153-H153</f>
        <v>-58.065000000000055</v>
      </c>
      <c r="O155" s="220"/>
      <c r="Q155" s="232"/>
      <c r="BY155" s="161"/>
      <c r="CF155" s="162"/>
      <c r="DF155" s="157" t="s">
        <v>301</v>
      </c>
      <c r="DG155" s="157" t="s">
        <v>83</v>
      </c>
      <c r="DH155" s="13" t="s">
        <v>95</v>
      </c>
      <c r="DI155" s="13" t="s">
        <v>32</v>
      </c>
      <c r="DJ155" s="13" t="s">
        <v>81</v>
      </c>
      <c r="DK155" s="157" t="s">
        <v>282</v>
      </c>
    </row>
    <row r="156" spans="2:129" s="1" customFormat="1" ht="24.2" customHeight="1" x14ac:dyDescent="0.2">
      <c r="B156" s="124"/>
      <c r="C156" s="125" t="s">
        <v>318</v>
      </c>
      <c r="D156" s="125" t="s">
        <v>284</v>
      </c>
      <c r="E156" s="126" t="s">
        <v>313</v>
      </c>
      <c r="F156" s="127" t="s">
        <v>314</v>
      </c>
      <c r="G156" s="128" t="s">
        <v>315</v>
      </c>
      <c r="H156" s="129">
        <v>2</v>
      </c>
      <c r="I156" s="130">
        <v>3788.8627999999999</v>
      </c>
      <c r="J156" s="131">
        <f>ROUND(I156*H156,2)</f>
        <v>7577.73</v>
      </c>
      <c r="K156" s="127" t="s">
        <v>1</v>
      </c>
      <c r="L156" s="198">
        <f>S156</f>
        <v>0</v>
      </c>
      <c r="M156" s="206">
        <f>ROUND(L156*I156,2)</f>
        <v>0</v>
      </c>
      <c r="N156" s="211"/>
      <c r="O156" s="212">
        <f>ROUND(N156*I156,2)</f>
        <v>0</v>
      </c>
      <c r="P156" s="207">
        <f>H156-L156-N156</f>
        <v>2</v>
      </c>
      <c r="Q156" s="228">
        <f>ROUND(P156*I156,2)</f>
        <v>7577.73</v>
      </c>
      <c r="R156" s="199"/>
      <c r="S156" s="200">
        <f>W156+Y156+AA156+AC156+AE156+AG156+AI156+AK156+AM156+AO156+AQ156+AS156+AU156+AW156</f>
        <v>0</v>
      </c>
      <c r="T156" s="200">
        <f>ROUND(S156*I156,2)</f>
        <v>0</v>
      </c>
      <c r="U156" s="200">
        <f>H156-S156</f>
        <v>2</v>
      </c>
      <c r="V156" s="200">
        <f>ROUND(U156*I156,2)</f>
        <v>7577.73</v>
      </c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BY156" s="132" t="s">
        <v>1</v>
      </c>
      <c r="BZ156" s="133" t="s">
        <v>40</v>
      </c>
      <c r="CB156" s="134">
        <f>CA156*H156</f>
        <v>0</v>
      </c>
      <c r="CC156" s="134">
        <v>0</v>
      </c>
      <c r="CD156" s="134">
        <f>CC156*H156</f>
        <v>0</v>
      </c>
      <c r="CE156" s="134">
        <v>0</v>
      </c>
      <c r="CF156" s="135">
        <f>CE156*H156</f>
        <v>0</v>
      </c>
      <c r="DD156" s="136" t="s">
        <v>95</v>
      </c>
      <c r="DF156" s="136" t="s">
        <v>284</v>
      </c>
      <c r="DG156" s="136" t="s">
        <v>83</v>
      </c>
      <c r="DK156" s="16" t="s">
        <v>282</v>
      </c>
      <c r="DQ156" s="137">
        <f>IF(BZ156="základní",J156,0)</f>
        <v>7577.73</v>
      </c>
      <c r="DR156" s="137">
        <f>IF(BZ156="snížená",J156,0)</f>
        <v>0</v>
      </c>
      <c r="DS156" s="137">
        <f>IF(BZ156="zákl. přenesená",J156,0)</f>
        <v>0</v>
      </c>
      <c r="DT156" s="137">
        <f>IF(BZ156="sníž. přenesená",J156,0)</f>
        <v>0</v>
      </c>
      <c r="DU156" s="137">
        <f>IF(BZ156="nulová",J156,0)</f>
        <v>0</v>
      </c>
      <c r="DV156" s="16" t="s">
        <v>81</v>
      </c>
      <c r="DW156" s="137">
        <f>ROUND(I156*H156,2)</f>
        <v>7577.73</v>
      </c>
      <c r="DX156" s="16" t="s">
        <v>95</v>
      </c>
      <c r="DY156" s="136" t="s">
        <v>316</v>
      </c>
    </row>
    <row r="157" spans="2:129" s="1" customFormat="1" ht="19.5" x14ac:dyDescent="0.2">
      <c r="B157" s="31"/>
      <c r="D157" s="138" t="s">
        <v>289</v>
      </c>
      <c r="F157" s="139" t="s">
        <v>314</v>
      </c>
      <c r="I157" s="140"/>
      <c r="L157" s="31"/>
      <c r="N157" s="213"/>
      <c r="O157" s="214"/>
      <c r="Q157" s="229"/>
      <c r="BY157" s="141"/>
      <c r="CF157" s="50"/>
      <c r="DF157" s="16" t="s">
        <v>289</v>
      </c>
      <c r="DG157" s="16" t="s">
        <v>83</v>
      </c>
    </row>
    <row r="158" spans="2:129" s="1" customFormat="1" ht="29.25" x14ac:dyDescent="0.2">
      <c r="B158" s="31"/>
      <c r="D158" s="138" t="s">
        <v>299</v>
      </c>
      <c r="F158" s="142" t="s">
        <v>2431</v>
      </c>
      <c r="I158" s="140"/>
      <c r="L158" s="31"/>
      <c r="N158" s="213"/>
      <c r="O158" s="214"/>
      <c r="Q158" s="229"/>
      <c r="BY158" s="141"/>
      <c r="CF158" s="50"/>
      <c r="DF158" s="16" t="s">
        <v>299</v>
      </c>
      <c r="DG158" s="16" t="s">
        <v>83</v>
      </c>
    </row>
    <row r="159" spans="2:129" s="12" customFormat="1" x14ac:dyDescent="0.2">
      <c r="B159" s="149"/>
      <c r="D159" s="138" t="s">
        <v>301</v>
      </c>
      <c r="E159" s="150" t="s">
        <v>1</v>
      </c>
      <c r="F159" s="151" t="s">
        <v>83</v>
      </c>
      <c r="H159" s="152">
        <v>2</v>
      </c>
      <c r="I159" s="153"/>
      <c r="L159" s="149"/>
      <c r="N159" s="217"/>
      <c r="O159" s="218"/>
      <c r="Q159" s="231"/>
      <c r="BY159" s="154"/>
      <c r="CF159" s="155"/>
      <c r="DF159" s="150" t="s">
        <v>301</v>
      </c>
      <c r="DG159" s="150" t="s">
        <v>83</v>
      </c>
      <c r="DH159" s="12" t="s">
        <v>83</v>
      </c>
      <c r="DI159" s="12" t="s">
        <v>32</v>
      </c>
      <c r="DJ159" s="12" t="s">
        <v>81</v>
      </c>
      <c r="DK159" s="150" t="s">
        <v>282</v>
      </c>
    </row>
    <row r="160" spans="2:129" s="1" customFormat="1" ht="24.2" customHeight="1" x14ac:dyDescent="0.2">
      <c r="B160" s="124"/>
      <c r="C160" s="125" t="s">
        <v>323</v>
      </c>
      <c r="D160" s="125" t="s">
        <v>284</v>
      </c>
      <c r="E160" s="126" t="s">
        <v>324</v>
      </c>
      <c r="F160" s="127" t="s">
        <v>325</v>
      </c>
      <c r="G160" s="128" t="s">
        <v>315</v>
      </c>
      <c r="H160" s="129">
        <v>7</v>
      </c>
      <c r="I160" s="130">
        <v>1847.0706150000001</v>
      </c>
      <c r="J160" s="131">
        <f>ROUND(I160*H160,2)</f>
        <v>12929.49</v>
      </c>
      <c r="K160" s="127" t="s">
        <v>1</v>
      </c>
      <c r="L160" s="198">
        <f>S160</f>
        <v>0</v>
      </c>
      <c r="M160" s="206">
        <f>ROUND(L160*I160,2)</f>
        <v>0</v>
      </c>
      <c r="N160" s="211"/>
      <c r="O160" s="212">
        <f>ROUND(N160*I160,2)</f>
        <v>0</v>
      </c>
      <c r="P160" s="207">
        <f>H160-L160-N160</f>
        <v>7</v>
      </c>
      <c r="Q160" s="228">
        <f>ROUND(P160*I160,2)</f>
        <v>12929.49</v>
      </c>
      <c r="R160" s="199"/>
      <c r="S160" s="200">
        <f>W160+Y160+AA160+AC160+AE160+AG160+AI160+AK160+AM160+AO160+AQ160+AS160+AU160+AW160</f>
        <v>0</v>
      </c>
      <c r="T160" s="200">
        <f>ROUND(S160*I160,2)</f>
        <v>0</v>
      </c>
      <c r="U160" s="200">
        <f>H160-S160</f>
        <v>7</v>
      </c>
      <c r="V160" s="200">
        <f>ROUND(U160*I160,2)</f>
        <v>12929.49</v>
      </c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BY160" s="132" t="s">
        <v>1</v>
      </c>
      <c r="BZ160" s="133" t="s">
        <v>40</v>
      </c>
      <c r="CB160" s="134">
        <f>CA160*H160</f>
        <v>0</v>
      </c>
      <c r="CC160" s="134">
        <v>0</v>
      </c>
      <c r="CD160" s="134">
        <f>CC160*H160</f>
        <v>0</v>
      </c>
      <c r="CE160" s="134">
        <v>0</v>
      </c>
      <c r="CF160" s="135">
        <f>CE160*H160</f>
        <v>0</v>
      </c>
      <c r="DD160" s="136" t="s">
        <v>95</v>
      </c>
      <c r="DF160" s="136" t="s">
        <v>284</v>
      </c>
      <c r="DG160" s="136" t="s">
        <v>83</v>
      </c>
      <c r="DK160" s="16" t="s">
        <v>282</v>
      </c>
      <c r="DQ160" s="137">
        <f>IF(BZ160="základní",J160,0)</f>
        <v>12929.49</v>
      </c>
      <c r="DR160" s="137">
        <f>IF(BZ160="snížená",J160,0)</f>
        <v>0</v>
      </c>
      <c r="DS160" s="137">
        <f>IF(BZ160="zákl. přenesená",J160,0)</f>
        <v>0</v>
      </c>
      <c r="DT160" s="137">
        <f>IF(BZ160="sníž. přenesená",J160,0)</f>
        <v>0</v>
      </c>
      <c r="DU160" s="137">
        <f>IF(BZ160="nulová",J160,0)</f>
        <v>0</v>
      </c>
      <c r="DV160" s="16" t="s">
        <v>81</v>
      </c>
      <c r="DW160" s="137">
        <f>ROUND(I160*H160,2)</f>
        <v>12929.49</v>
      </c>
      <c r="DX160" s="16" t="s">
        <v>95</v>
      </c>
      <c r="DY160" s="136" t="s">
        <v>326</v>
      </c>
    </row>
    <row r="161" spans="2:129" s="1" customFormat="1" ht="19.5" x14ac:dyDescent="0.2">
      <c r="B161" s="31"/>
      <c r="D161" s="138" t="s">
        <v>289</v>
      </c>
      <c r="F161" s="139" t="s">
        <v>325</v>
      </c>
      <c r="I161" s="140"/>
      <c r="L161" s="31"/>
      <c r="N161" s="213"/>
      <c r="O161" s="214"/>
      <c r="Q161" s="229"/>
      <c r="BY161" s="141"/>
      <c r="CF161" s="50"/>
      <c r="DF161" s="16" t="s">
        <v>289</v>
      </c>
      <c r="DG161" s="16" t="s">
        <v>83</v>
      </c>
    </row>
    <row r="162" spans="2:129" s="1" customFormat="1" ht="29.25" x14ac:dyDescent="0.2">
      <c r="B162" s="31"/>
      <c r="D162" s="138" t="s">
        <v>299</v>
      </c>
      <c r="F162" s="142" t="s">
        <v>2431</v>
      </c>
      <c r="I162" s="140"/>
      <c r="L162" s="31"/>
      <c r="N162" s="213"/>
      <c r="O162" s="214"/>
      <c r="Q162" s="229"/>
      <c r="BY162" s="141"/>
      <c r="CF162" s="50"/>
      <c r="DF162" s="16" t="s">
        <v>299</v>
      </c>
      <c r="DG162" s="16" t="s">
        <v>83</v>
      </c>
    </row>
    <row r="163" spans="2:129" s="12" customFormat="1" x14ac:dyDescent="0.2">
      <c r="B163" s="149"/>
      <c r="D163" s="138" t="s">
        <v>301</v>
      </c>
      <c r="E163" s="150" t="s">
        <v>1</v>
      </c>
      <c r="F163" s="151" t="s">
        <v>323</v>
      </c>
      <c r="H163" s="152">
        <v>7</v>
      </c>
      <c r="I163" s="153"/>
      <c r="L163" s="149"/>
      <c r="N163" s="217"/>
      <c r="O163" s="218"/>
      <c r="Q163" s="231"/>
      <c r="BY163" s="154"/>
      <c r="CF163" s="155"/>
      <c r="DF163" s="150" t="s">
        <v>301</v>
      </c>
      <c r="DG163" s="150" t="s">
        <v>83</v>
      </c>
      <c r="DH163" s="12" t="s">
        <v>83</v>
      </c>
      <c r="DI163" s="12" t="s">
        <v>32</v>
      </c>
      <c r="DJ163" s="12" t="s">
        <v>81</v>
      </c>
      <c r="DK163" s="150" t="s">
        <v>282</v>
      </c>
    </row>
    <row r="164" spans="2:129" s="1" customFormat="1" ht="24.2" customHeight="1" x14ac:dyDescent="0.2">
      <c r="B164" s="124"/>
      <c r="C164" s="125" t="s">
        <v>328</v>
      </c>
      <c r="D164" s="125" t="s">
        <v>284</v>
      </c>
      <c r="E164" s="126" t="s">
        <v>1800</v>
      </c>
      <c r="F164" s="127" t="s">
        <v>1801</v>
      </c>
      <c r="G164" s="128" t="s">
        <v>315</v>
      </c>
      <c r="H164" s="129">
        <v>1</v>
      </c>
      <c r="I164" s="130">
        <v>5493.85106</v>
      </c>
      <c r="J164" s="131">
        <f>ROUND(I164*H164,2)</f>
        <v>5493.85</v>
      </c>
      <c r="K164" s="127" t="s">
        <v>1</v>
      </c>
      <c r="L164" s="198">
        <f>S164</f>
        <v>0</v>
      </c>
      <c r="M164" s="206">
        <f>ROUND(L164*I164,2)</f>
        <v>0</v>
      </c>
      <c r="N164" s="211"/>
      <c r="O164" s="212">
        <f>ROUND(N164*I164,2)</f>
        <v>0</v>
      </c>
      <c r="P164" s="207">
        <f>H164-L164-N164</f>
        <v>1</v>
      </c>
      <c r="Q164" s="228">
        <f>ROUND(P164*I164,2)</f>
        <v>5493.85</v>
      </c>
      <c r="R164" s="199"/>
      <c r="S164" s="200">
        <f>W164+Y164+AA164+AC164+AE164+AG164+AI164+AK164+AM164+AO164+AQ164+AS164+AU164+AW164</f>
        <v>0</v>
      </c>
      <c r="T164" s="200">
        <f>ROUND(S164*I164,2)</f>
        <v>0</v>
      </c>
      <c r="U164" s="200">
        <f>H164-S164</f>
        <v>1</v>
      </c>
      <c r="V164" s="200">
        <f>ROUND(U164*I164,2)</f>
        <v>5493.85</v>
      </c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BY164" s="132" t="s">
        <v>1</v>
      </c>
      <c r="BZ164" s="133" t="s">
        <v>40</v>
      </c>
      <c r="CB164" s="134">
        <f>CA164*H164</f>
        <v>0</v>
      </c>
      <c r="CC164" s="134">
        <v>0</v>
      </c>
      <c r="CD164" s="134">
        <f>CC164*H164</f>
        <v>0</v>
      </c>
      <c r="CE164" s="134">
        <v>0</v>
      </c>
      <c r="CF164" s="135">
        <f>CE164*H164</f>
        <v>0</v>
      </c>
      <c r="DD164" s="136" t="s">
        <v>95</v>
      </c>
      <c r="DF164" s="136" t="s">
        <v>284</v>
      </c>
      <c r="DG164" s="136" t="s">
        <v>83</v>
      </c>
      <c r="DK164" s="16" t="s">
        <v>282</v>
      </c>
      <c r="DQ164" s="137">
        <f>IF(BZ164="základní",J164,0)</f>
        <v>5493.85</v>
      </c>
      <c r="DR164" s="137">
        <f>IF(BZ164="snížená",J164,0)</f>
        <v>0</v>
      </c>
      <c r="DS164" s="137">
        <f>IF(BZ164="zákl. přenesená",J164,0)</f>
        <v>0</v>
      </c>
      <c r="DT164" s="137">
        <f>IF(BZ164="sníž. přenesená",J164,0)</f>
        <v>0</v>
      </c>
      <c r="DU164" s="137">
        <f>IF(BZ164="nulová",J164,0)</f>
        <v>0</v>
      </c>
      <c r="DV164" s="16" t="s">
        <v>81</v>
      </c>
      <c r="DW164" s="137">
        <f>ROUND(I164*H164,2)</f>
        <v>5493.85</v>
      </c>
      <c r="DX164" s="16" t="s">
        <v>95</v>
      </c>
      <c r="DY164" s="136" t="s">
        <v>2438</v>
      </c>
    </row>
    <row r="165" spans="2:129" s="1" customFormat="1" ht="19.5" x14ac:dyDescent="0.2">
      <c r="B165" s="31"/>
      <c r="D165" s="138" t="s">
        <v>289</v>
      </c>
      <c r="F165" s="139" t="s">
        <v>1801</v>
      </c>
      <c r="I165" s="140"/>
      <c r="L165" s="31"/>
      <c r="N165" s="213"/>
      <c r="O165" s="214"/>
      <c r="Q165" s="229"/>
      <c r="BY165" s="141"/>
      <c r="CF165" s="50"/>
      <c r="DF165" s="16" t="s">
        <v>289</v>
      </c>
      <c r="DG165" s="16" t="s">
        <v>83</v>
      </c>
    </row>
    <row r="166" spans="2:129" s="1" customFormat="1" ht="29.25" x14ac:dyDescent="0.2">
      <c r="B166" s="31"/>
      <c r="D166" s="138" t="s">
        <v>299</v>
      </c>
      <c r="F166" s="142" t="s">
        <v>2431</v>
      </c>
      <c r="I166" s="140"/>
      <c r="L166" s="31"/>
      <c r="N166" s="213"/>
      <c r="O166" s="214"/>
      <c r="Q166" s="229"/>
      <c r="BY166" s="141"/>
      <c r="CF166" s="50"/>
      <c r="DF166" s="16" t="s">
        <v>299</v>
      </c>
      <c r="DG166" s="16" t="s">
        <v>83</v>
      </c>
    </row>
    <row r="167" spans="2:129" s="11" customFormat="1" x14ac:dyDescent="0.2">
      <c r="B167" s="143"/>
      <c r="D167" s="138" t="s">
        <v>301</v>
      </c>
      <c r="E167" s="144" t="s">
        <v>1</v>
      </c>
      <c r="F167" s="145" t="s">
        <v>2439</v>
      </c>
      <c r="H167" s="144" t="s">
        <v>1</v>
      </c>
      <c r="I167" s="146"/>
      <c r="L167" s="143"/>
      <c r="N167" s="215"/>
      <c r="O167" s="216"/>
      <c r="Q167" s="230"/>
      <c r="BY167" s="147"/>
      <c r="CF167" s="148"/>
      <c r="DF167" s="144" t="s">
        <v>301</v>
      </c>
      <c r="DG167" s="144" t="s">
        <v>83</v>
      </c>
      <c r="DH167" s="11" t="s">
        <v>81</v>
      </c>
      <c r="DI167" s="11" t="s">
        <v>32</v>
      </c>
      <c r="DJ167" s="11" t="s">
        <v>74</v>
      </c>
      <c r="DK167" s="144" t="s">
        <v>282</v>
      </c>
    </row>
    <row r="168" spans="2:129" s="12" customFormat="1" x14ac:dyDescent="0.2">
      <c r="B168" s="149"/>
      <c r="D168" s="138" t="s">
        <v>301</v>
      </c>
      <c r="E168" s="150" t="s">
        <v>1</v>
      </c>
      <c r="F168" s="151" t="s">
        <v>81</v>
      </c>
      <c r="H168" s="152">
        <v>1</v>
      </c>
      <c r="I168" s="153"/>
      <c r="L168" s="149"/>
      <c r="N168" s="217"/>
      <c r="O168" s="218"/>
      <c r="Q168" s="231"/>
      <c r="BY168" s="154"/>
      <c r="CF168" s="155"/>
      <c r="DF168" s="150" t="s">
        <v>301</v>
      </c>
      <c r="DG168" s="150" t="s">
        <v>83</v>
      </c>
      <c r="DH168" s="12" t="s">
        <v>83</v>
      </c>
      <c r="DI168" s="12" t="s">
        <v>32</v>
      </c>
      <c r="DJ168" s="12" t="s">
        <v>81</v>
      </c>
      <c r="DK168" s="150" t="s">
        <v>282</v>
      </c>
    </row>
    <row r="169" spans="2:129" s="1" customFormat="1" ht="24.2" customHeight="1" x14ac:dyDescent="0.2">
      <c r="B169" s="124"/>
      <c r="C169" s="125" t="s">
        <v>335</v>
      </c>
      <c r="D169" s="125" t="s">
        <v>284</v>
      </c>
      <c r="E169" s="126" t="s">
        <v>329</v>
      </c>
      <c r="F169" s="127" t="s">
        <v>330</v>
      </c>
      <c r="G169" s="128" t="s">
        <v>331</v>
      </c>
      <c r="H169" s="129">
        <v>360</v>
      </c>
      <c r="I169" s="130">
        <v>70.957591385341729</v>
      </c>
      <c r="J169" s="131">
        <f>ROUND(I169*H169,2)</f>
        <v>25544.73</v>
      </c>
      <c r="K169" s="127" t="s">
        <v>293</v>
      </c>
      <c r="L169" s="198">
        <f>S169</f>
        <v>0</v>
      </c>
      <c r="M169" s="206">
        <f>ROUND(L169*I169,2)</f>
        <v>0</v>
      </c>
      <c r="N169" s="211"/>
      <c r="O169" s="212">
        <f>ROUND(N169*I169,2)</f>
        <v>0</v>
      </c>
      <c r="P169" s="207">
        <f>H169-L169-N169</f>
        <v>360</v>
      </c>
      <c r="Q169" s="228">
        <f>ROUND(P169*I169,2)</f>
        <v>25544.73</v>
      </c>
      <c r="R169" s="199"/>
      <c r="S169" s="200">
        <f>W169+Y169+AA169+AC169+AE169+AG169+AI169+AK169+AM169+AO169+AQ169+AS169+AU169+AW169</f>
        <v>0</v>
      </c>
      <c r="T169" s="200">
        <f>ROUND(S169*I169,2)</f>
        <v>0</v>
      </c>
      <c r="U169" s="200">
        <f>H169-S169</f>
        <v>360</v>
      </c>
      <c r="V169" s="200">
        <f>ROUND(U169*I169,2)</f>
        <v>25544.73</v>
      </c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BY169" s="132" t="s">
        <v>1</v>
      </c>
      <c r="BZ169" s="133" t="s">
        <v>40</v>
      </c>
      <c r="CB169" s="134">
        <f>CA169*H169</f>
        <v>0</v>
      </c>
      <c r="CC169" s="134">
        <v>3.0000000000000001E-5</v>
      </c>
      <c r="CD169" s="134">
        <f>CC169*H169</f>
        <v>1.0800000000000001E-2</v>
      </c>
      <c r="CE169" s="134">
        <v>0</v>
      </c>
      <c r="CF169" s="135">
        <f>CE169*H169</f>
        <v>0</v>
      </c>
      <c r="DD169" s="136" t="s">
        <v>95</v>
      </c>
      <c r="DF169" s="136" t="s">
        <v>284</v>
      </c>
      <c r="DG169" s="136" t="s">
        <v>83</v>
      </c>
      <c r="DK169" s="16" t="s">
        <v>282</v>
      </c>
      <c r="DQ169" s="137">
        <f>IF(BZ169="základní",J169,0)</f>
        <v>25544.73</v>
      </c>
      <c r="DR169" s="137">
        <f>IF(BZ169="snížená",J169,0)</f>
        <v>0</v>
      </c>
      <c r="DS169" s="137">
        <f>IF(BZ169="zákl. přenesená",J169,0)</f>
        <v>0</v>
      </c>
      <c r="DT169" s="137">
        <f>IF(BZ169="sníž. přenesená",J169,0)</f>
        <v>0</v>
      </c>
      <c r="DU169" s="137">
        <f>IF(BZ169="nulová",J169,0)</f>
        <v>0</v>
      </c>
      <c r="DV169" s="16" t="s">
        <v>81</v>
      </c>
      <c r="DW169" s="137">
        <f>ROUND(I169*H169,2)</f>
        <v>25544.73</v>
      </c>
      <c r="DX169" s="16" t="s">
        <v>95</v>
      </c>
      <c r="DY169" s="136" t="s">
        <v>332</v>
      </c>
    </row>
    <row r="170" spans="2:129" s="1" customFormat="1" ht="19.5" x14ac:dyDescent="0.2">
      <c r="B170" s="31"/>
      <c r="D170" s="138" t="s">
        <v>289</v>
      </c>
      <c r="F170" s="139" t="s">
        <v>333</v>
      </c>
      <c r="I170" s="140"/>
      <c r="L170" s="31"/>
      <c r="N170" s="213"/>
      <c r="O170" s="214"/>
      <c r="Q170" s="229"/>
      <c r="BY170" s="141"/>
      <c r="CF170" s="50"/>
      <c r="DF170" s="16" t="s">
        <v>289</v>
      </c>
      <c r="DG170" s="16" t="s">
        <v>83</v>
      </c>
    </row>
    <row r="171" spans="2:129" s="12" customFormat="1" x14ac:dyDescent="0.2">
      <c r="B171" s="149"/>
      <c r="D171" s="138" t="s">
        <v>301</v>
      </c>
      <c r="E171" s="150" t="s">
        <v>1</v>
      </c>
      <c r="F171" s="151" t="s">
        <v>847</v>
      </c>
      <c r="H171" s="152">
        <v>360</v>
      </c>
      <c r="I171" s="153"/>
      <c r="L171" s="149"/>
      <c r="N171" s="217"/>
      <c r="O171" s="218"/>
      <c r="Q171" s="231"/>
      <c r="BY171" s="154"/>
      <c r="CF171" s="155"/>
      <c r="DF171" s="150" t="s">
        <v>301</v>
      </c>
      <c r="DG171" s="150" t="s">
        <v>83</v>
      </c>
      <c r="DH171" s="12" t="s">
        <v>83</v>
      </c>
      <c r="DI171" s="12" t="s">
        <v>32</v>
      </c>
      <c r="DJ171" s="12" t="s">
        <v>81</v>
      </c>
      <c r="DK171" s="150" t="s">
        <v>282</v>
      </c>
    </row>
    <row r="172" spans="2:129" s="1" customFormat="1" ht="24.2" customHeight="1" x14ac:dyDescent="0.2">
      <c r="B172" s="124"/>
      <c r="C172" s="125" t="s">
        <v>341</v>
      </c>
      <c r="D172" s="125" t="s">
        <v>284</v>
      </c>
      <c r="E172" s="126" t="s">
        <v>336</v>
      </c>
      <c r="F172" s="127" t="s">
        <v>337</v>
      </c>
      <c r="G172" s="128" t="s">
        <v>338</v>
      </c>
      <c r="H172" s="129">
        <v>45</v>
      </c>
      <c r="I172" s="130">
        <v>41.621835247115101</v>
      </c>
      <c r="J172" s="131">
        <f>ROUND(I172*H172,2)</f>
        <v>1872.98</v>
      </c>
      <c r="K172" s="127" t="s">
        <v>293</v>
      </c>
      <c r="L172" s="198">
        <f>S172</f>
        <v>0</v>
      </c>
      <c r="M172" s="206">
        <f>ROUND(L172*I172,2)</f>
        <v>0</v>
      </c>
      <c r="N172" s="211"/>
      <c r="O172" s="212">
        <f>ROUND(N172*I172,2)</f>
        <v>0</v>
      </c>
      <c r="P172" s="207">
        <f>H172-L172-N172</f>
        <v>45</v>
      </c>
      <c r="Q172" s="228">
        <f>ROUND(P172*I172,2)</f>
        <v>1872.98</v>
      </c>
      <c r="R172" s="199"/>
      <c r="S172" s="200">
        <f>W172+Y172+AA172+AC172+AE172+AG172+AI172+AK172+AM172+AO172+AQ172+AS172+AU172+AW172</f>
        <v>0</v>
      </c>
      <c r="T172" s="200">
        <f>ROUND(S172*I172,2)</f>
        <v>0</v>
      </c>
      <c r="U172" s="200">
        <f>H172-S172</f>
        <v>45</v>
      </c>
      <c r="V172" s="200">
        <f>ROUND(U172*I172,2)</f>
        <v>1872.98</v>
      </c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200"/>
      <c r="BY172" s="132" t="s">
        <v>1</v>
      </c>
      <c r="BZ172" s="133" t="s">
        <v>40</v>
      </c>
      <c r="CB172" s="134">
        <f>CA172*H172</f>
        <v>0</v>
      </c>
      <c r="CC172" s="134">
        <v>0</v>
      </c>
      <c r="CD172" s="134">
        <f>CC172*H172</f>
        <v>0</v>
      </c>
      <c r="CE172" s="134">
        <v>0</v>
      </c>
      <c r="CF172" s="135">
        <f>CE172*H172</f>
        <v>0</v>
      </c>
      <c r="DD172" s="136" t="s">
        <v>95</v>
      </c>
      <c r="DF172" s="136" t="s">
        <v>284</v>
      </c>
      <c r="DG172" s="136" t="s">
        <v>83</v>
      </c>
      <c r="DK172" s="16" t="s">
        <v>282</v>
      </c>
      <c r="DQ172" s="137">
        <f>IF(BZ172="základní",J172,0)</f>
        <v>1872.98</v>
      </c>
      <c r="DR172" s="137">
        <f>IF(BZ172="snížená",J172,0)</f>
        <v>0</v>
      </c>
      <c r="DS172" s="137">
        <f>IF(BZ172="zákl. přenesená",J172,0)</f>
        <v>0</v>
      </c>
      <c r="DT172" s="137">
        <f>IF(BZ172="sníž. přenesená",J172,0)</f>
        <v>0</v>
      </c>
      <c r="DU172" s="137">
        <f>IF(BZ172="nulová",J172,0)</f>
        <v>0</v>
      </c>
      <c r="DV172" s="16" t="s">
        <v>81</v>
      </c>
      <c r="DW172" s="137">
        <f>ROUND(I172*H172,2)</f>
        <v>1872.98</v>
      </c>
      <c r="DX172" s="16" t="s">
        <v>95</v>
      </c>
      <c r="DY172" s="136" t="s">
        <v>339</v>
      </c>
    </row>
    <row r="173" spans="2:129" s="1" customFormat="1" ht="19.5" x14ac:dyDescent="0.2">
      <c r="B173" s="31"/>
      <c r="D173" s="138" t="s">
        <v>289</v>
      </c>
      <c r="F173" s="139" t="s">
        <v>340</v>
      </c>
      <c r="I173" s="140"/>
      <c r="L173" s="31"/>
      <c r="N173" s="213"/>
      <c r="O173" s="214"/>
      <c r="Q173" s="229"/>
      <c r="BY173" s="141"/>
      <c r="CF173" s="50"/>
      <c r="DF173" s="16" t="s">
        <v>289</v>
      </c>
      <c r="DG173" s="16" t="s">
        <v>83</v>
      </c>
    </row>
    <row r="174" spans="2:129" s="1" customFormat="1" ht="14.45" customHeight="1" x14ac:dyDescent="0.2">
      <c r="B174" s="124"/>
      <c r="C174" s="125" t="s">
        <v>348</v>
      </c>
      <c r="D174" s="125" t="s">
        <v>284</v>
      </c>
      <c r="E174" s="126" t="s">
        <v>342</v>
      </c>
      <c r="F174" s="127" t="s">
        <v>343</v>
      </c>
      <c r="G174" s="128" t="s">
        <v>344</v>
      </c>
      <c r="H174" s="129">
        <v>3.6</v>
      </c>
      <c r="I174" s="130">
        <v>235.02024596209694</v>
      </c>
      <c r="J174" s="131">
        <f>ROUND(I174*H174,2)</f>
        <v>846.07</v>
      </c>
      <c r="K174" s="127" t="s">
        <v>293</v>
      </c>
      <c r="L174" s="198">
        <f>S174</f>
        <v>0</v>
      </c>
      <c r="M174" s="206">
        <f>ROUND(L174*I174,2)</f>
        <v>0</v>
      </c>
      <c r="N174" s="211"/>
      <c r="O174" s="212">
        <f>ROUND(N174*I174,2)</f>
        <v>0</v>
      </c>
      <c r="P174" s="207">
        <f>H174-L174-N174</f>
        <v>3.6</v>
      </c>
      <c r="Q174" s="228">
        <f>ROUND(P174*I174,2)</f>
        <v>846.07</v>
      </c>
      <c r="R174" s="199"/>
      <c r="S174" s="200">
        <f>W174+Y174+AA174+AC174+AE174+AG174+AI174+AK174+AM174+AO174+AQ174+AS174+AU174+AW174</f>
        <v>0</v>
      </c>
      <c r="T174" s="200">
        <f>ROUND(S174*I174,2)</f>
        <v>0</v>
      </c>
      <c r="U174" s="200">
        <f>H174-S174</f>
        <v>3.6</v>
      </c>
      <c r="V174" s="200">
        <f>ROUND(U174*I174,2)</f>
        <v>846.07</v>
      </c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BY174" s="132" t="s">
        <v>1</v>
      </c>
      <c r="BZ174" s="133" t="s">
        <v>40</v>
      </c>
      <c r="CB174" s="134">
        <f>CA174*H174</f>
        <v>0</v>
      </c>
      <c r="CC174" s="134">
        <v>3.6900000000000002E-2</v>
      </c>
      <c r="CD174" s="134">
        <f>CC174*H174</f>
        <v>0.13284000000000001</v>
      </c>
      <c r="CE174" s="134">
        <v>0</v>
      </c>
      <c r="CF174" s="135">
        <f>CE174*H174</f>
        <v>0</v>
      </c>
      <c r="DD174" s="136" t="s">
        <v>95</v>
      </c>
      <c r="DF174" s="136" t="s">
        <v>284</v>
      </c>
      <c r="DG174" s="136" t="s">
        <v>83</v>
      </c>
      <c r="DK174" s="16" t="s">
        <v>282</v>
      </c>
      <c r="DQ174" s="137">
        <f>IF(BZ174="základní",J174,0)</f>
        <v>846.07</v>
      </c>
      <c r="DR174" s="137">
        <f>IF(BZ174="snížená",J174,0)</f>
        <v>0</v>
      </c>
      <c r="DS174" s="137">
        <f>IF(BZ174="zákl. přenesená",J174,0)</f>
        <v>0</v>
      </c>
      <c r="DT174" s="137">
        <f>IF(BZ174="sníž. přenesená",J174,0)</f>
        <v>0</v>
      </c>
      <c r="DU174" s="137">
        <f>IF(BZ174="nulová",J174,0)</f>
        <v>0</v>
      </c>
      <c r="DV174" s="16" t="s">
        <v>81</v>
      </c>
      <c r="DW174" s="137">
        <f>ROUND(I174*H174,2)</f>
        <v>846.07</v>
      </c>
      <c r="DX174" s="16" t="s">
        <v>95</v>
      </c>
      <c r="DY174" s="136" t="s">
        <v>2292</v>
      </c>
    </row>
    <row r="175" spans="2:129" s="1" customFormat="1" ht="58.5" x14ac:dyDescent="0.2">
      <c r="B175" s="31"/>
      <c r="D175" s="138" t="s">
        <v>289</v>
      </c>
      <c r="F175" s="139" t="s">
        <v>346</v>
      </c>
      <c r="I175" s="140"/>
      <c r="L175" s="31"/>
      <c r="N175" s="213"/>
      <c r="O175" s="214"/>
      <c r="Q175" s="229"/>
      <c r="BY175" s="141"/>
      <c r="CF175" s="50"/>
      <c r="DF175" s="16" t="s">
        <v>289</v>
      </c>
      <c r="DG175" s="16" t="s">
        <v>83</v>
      </c>
    </row>
    <row r="176" spans="2:129" s="1" customFormat="1" ht="29.25" x14ac:dyDescent="0.2">
      <c r="B176" s="31"/>
      <c r="D176" s="138" t="s">
        <v>299</v>
      </c>
      <c r="F176" s="142" t="s">
        <v>2431</v>
      </c>
      <c r="I176" s="140"/>
      <c r="L176" s="31"/>
      <c r="N176" s="213"/>
      <c r="O176" s="214"/>
      <c r="Q176" s="229"/>
      <c r="BY176" s="141"/>
      <c r="CF176" s="50"/>
      <c r="DF176" s="16" t="s">
        <v>299</v>
      </c>
      <c r="DG176" s="16" t="s">
        <v>83</v>
      </c>
    </row>
    <row r="177" spans="2:129" s="12" customFormat="1" x14ac:dyDescent="0.2">
      <c r="B177" s="149"/>
      <c r="D177" s="138" t="s">
        <v>301</v>
      </c>
      <c r="E177" s="150" t="s">
        <v>1</v>
      </c>
      <c r="F177" s="151" t="s">
        <v>2293</v>
      </c>
      <c r="H177" s="152">
        <v>3.6</v>
      </c>
      <c r="I177" s="153"/>
      <c r="L177" s="149"/>
      <c r="N177" s="217"/>
      <c r="O177" s="218"/>
      <c r="Q177" s="231"/>
      <c r="BY177" s="154"/>
      <c r="CF177" s="155"/>
      <c r="DF177" s="150" t="s">
        <v>301</v>
      </c>
      <c r="DG177" s="150" t="s">
        <v>83</v>
      </c>
      <c r="DH177" s="12" t="s">
        <v>83</v>
      </c>
      <c r="DI177" s="12" t="s">
        <v>32</v>
      </c>
      <c r="DJ177" s="12" t="s">
        <v>81</v>
      </c>
      <c r="DK177" s="150" t="s">
        <v>282</v>
      </c>
    </row>
    <row r="178" spans="2:129" s="1" customFormat="1" ht="24.2" customHeight="1" x14ac:dyDescent="0.2">
      <c r="B178" s="124"/>
      <c r="C178" s="125" t="s">
        <v>327</v>
      </c>
      <c r="D178" s="125" t="s">
        <v>284</v>
      </c>
      <c r="E178" s="126" t="s">
        <v>349</v>
      </c>
      <c r="F178" s="127" t="s">
        <v>350</v>
      </c>
      <c r="G178" s="128" t="s">
        <v>344</v>
      </c>
      <c r="H178" s="129">
        <v>3.6</v>
      </c>
      <c r="I178" s="130">
        <v>225.71950862012659</v>
      </c>
      <c r="J178" s="131">
        <f>ROUND(I178*H178,2)</f>
        <v>812.59</v>
      </c>
      <c r="K178" s="127" t="s">
        <v>293</v>
      </c>
      <c r="L178" s="198">
        <f>S178</f>
        <v>0</v>
      </c>
      <c r="M178" s="206">
        <f>ROUND(L178*I178,2)</f>
        <v>0</v>
      </c>
      <c r="N178" s="211"/>
      <c r="O178" s="212">
        <f>ROUND(N178*I178,2)</f>
        <v>0</v>
      </c>
      <c r="P178" s="207">
        <f>H178-L178-N178</f>
        <v>3.6</v>
      </c>
      <c r="Q178" s="228">
        <f>ROUND(P178*I178,2)</f>
        <v>812.59</v>
      </c>
      <c r="R178" s="199"/>
      <c r="S178" s="200">
        <f>W178+Y178+AA178+AC178+AE178+AG178+AI178+AK178+AM178+AO178+AQ178+AS178+AU178+AW178</f>
        <v>0</v>
      </c>
      <c r="T178" s="200">
        <f>ROUND(S178*I178,2)</f>
        <v>0</v>
      </c>
      <c r="U178" s="200">
        <f>H178-S178</f>
        <v>3.6</v>
      </c>
      <c r="V178" s="200">
        <f>ROUND(U178*I178,2)</f>
        <v>812.59</v>
      </c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BY178" s="132" t="s">
        <v>1</v>
      </c>
      <c r="BZ178" s="133" t="s">
        <v>40</v>
      </c>
      <c r="CB178" s="134">
        <f>CA178*H178</f>
        <v>0</v>
      </c>
      <c r="CC178" s="134">
        <v>3.6900000000000002E-2</v>
      </c>
      <c r="CD178" s="134">
        <f>CC178*H178</f>
        <v>0.13284000000000001</v>
      </c>
      <c r="CE178" s="134">
        <v>0</v>
      </c>
      <c r="CF178" s="135">
        <f>CE178*H178</f>
        <v>0</v>
      </c>
      <c r="DD178" s="136" t="s">
        <v>95</v>
      </c>
      <c r="DF178" s="136" t="s">
        <v>284</v>
      </c>
      <c r="DG178" s="136" t="s">
        <v>83</v>
      </c>
      <c r="DK178" s="16" t="s">
        <v>282</v>
      </c>
      <c r="DQ178" s="137">
        <f>IF(BZ178="základní",J178,0)</f>
        <v>812.59</v>
      </c>
      <c r="DR178" s="137">
        <f>IF(BZ178="snížená",J178,0)</f>
        <v>0</v>
      </c>
      <c r="DS178" s="137">
        <f>IF(BZ178="zákl. přenesená",J178,0)</f>
        <v>0</v>
      </c>
      <c r="DT178" s="137">
        <f>IF(BZ178="sníž. přenesená",J178,0)</f>
        <v>0</v>
      </c>
      <c r="DU178" s="137">
        <f>IF(BZ178="nulová",J178,0)</f>
        <v>0</v>
      </c>
      <c r="DV178" s="16" t="s">
        <v>81</v>
      </c>
      <c r="DW178" s="137">
        <f>ROUND(I178*H178,2)</f>
        <v>812.59</v>
      </c>
      <c r="DX178" s="16" t="s">
        <v>95</v>
      </c>
      <c r="DY178" s="136" t="s">
        <v>2294</v>
      </c>
    </row>
    <row r="179" spans="2:129" s="1" customFormat="1" ht="58.5" x14ac:dyDescent="0.2">
      <c r="B179" s="31"/>
      <c r="D179" s="138" t="s">
        <v>289</v>
      </c>
      <c r="F179" s="139" t="s">
        <v>352</v>
      </c>
      <c r="I179" s="140"/>
      <c r="L179" s="31"/>
      <c r="N179" s="213"/>
      <c r="O179" s="214"/>
      <c r="Q179" s="229"/>
      <c r="BY179" s="141"/>
      <c r="CF179" s="50"/>
      <c r="DF179" s="16" t="s">
        <v>289</v>
      </c>
      <c r="DG179" s="16" t="s">
        <v>83</v>
      </c>
    </row>
    <row r="180" spans="2:129" s="1" customFormat="1" ht="29.25" x14ac:dyDescent="0.2">
      <c r="B180" s="31"/>
      <c r="D180" s="138" t="s">
        <v>299</v>
      </c>
      <c r="F180" s="142" t="s">
        <v>2431</v>
      </c>
      <c r="I180" s="140"/>
      <c r="L180" s="31"/>
      <c r="N180" s="213"/>
      <c r="O180" s="214"/>
      <c r="Q180" s="229"/>
      <c r="BY180" s="141"/>
      <c r="CF180" s="50"/>
      <c r="DF180" s="16" t="s">
        <v>299</v>
      </c>
      <c r="DG180" s="16" t="s">
        <v>83</v>
      </c>
    </row>
    <row r="181" spans="2:129" s="12" customFormat="1" x14ac:dyDescent="0.2">
      <c r="B181" s="149"/>
      <c r="D181" s="138" t="s">
        <v>301</v>
      </c>
      <c r="E181" s="150" t="s">
        <v>1</v>
      </c>
      <c r="F181" s="151" t="s">
        <v>2293</v>
      </c>
      <c r="H181" s="152">
        <v>3.6</v>
      </c>
      <c r="I181" s="153"/>
      <c r="L181" s="149"/>
      <c r="N181" s="217"/>
      <c r="O181" s="218"/>
      <c r="Q181" s="231"/>
      <c r="BY181" s="154"/>
      <c r="CF181" s="155"/>
      <c r="DF181" s="150" t="s">
        <v>301</v>
      </c>
      <c r="DG181" s="150" t="s">
        <v>83</v>
      </c>
      <c r="DH181" s="12" t="s">
        <v>83</v>
      </c>
      <c r="DI181" s="12" t="s">
        <v>32</v>
      </c>
      <c r="DJ181" s="12" t="s">
        <v>81</v>
      </c>
      <c r="DK181" s="150" t="s">
        <v>282</v>
      </c>
    </row>
    <row r="182" spans="2:129" s="1" customFormat="1" ht="24.2" customHeight="1" x14ac:dyDescent="0.2">
      <c r="B182" s="124"/>
      <c r="C182" s="125" t="s">
        <v>359</v>
      </c>
      <c r="D182" s="125" t="s">
        <v>284</v>
      </c>
      <c r="E182" s="126" t="s">
        <v>958</v>
      </c>
      <c r="F182" s="127" t="s">
        <v>959</v>
      </c>
      <c r="G182" s="128" t="s">
        <v>287</v>
      </c>
      <c r="H182" s="129">
        <v>297.60000000000002</v>
      </c>
      <c r="I182" s="130">
        <v>23.091823190584471</v>
      </c>
      <c r="J182" s="131">
        <f>ROUND(I182*H182,2)</f>
        <v>6872.13</v>
      </c>
      <c r="K182" s="127" t="s">
        <v>293</v>
      </c>
      <c r="L182" s="198">
        <f>S182</f>
        <v>0</v>
      </c>
      <c r="M182" s="206">
        <f>ROUND(L182*I182,2)</f>
        <v>0</v>
      </c>
      <c r="N182" s="211"/>
      <c r="O182" s="212">
        <f>ROUND(N182*I182,2)</f>
        <v>0</v>
      </c>
      <c r="P182" s="207">
        <f>H182-L182-N182</f>
        <v>297.60000000000002</v>
      </c>
      <c r="Q182" s="228">
        <f>ROUND(P182*I182,2)</f>
        <v>6872.13</v>
      </c>
      <c r="R182" s="199"/>
      <c r="S182" s="200">
        <f>W182+Y182+AA182+AC182+AE182+AG182+AI182+AK182+AM182+AO182+AQ182+AS182+AU182+AW182</f>
        <v>0</v>
      </c>
      <c r="T182" s="200">
        <f>ROUND(S182*I182,2)</f>
        <v>0</v>
      </c>
      <c r="U182" s="200">
        <f>H182-S182</f>
        <v>297.60000000000002</v>
      </c>
      <c r="V182" s="200">
        <f>ROUND(U182*I182,2)</f>
        <v>6872.13</v>
      </c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200"/>
      <c r="AV182" s="200"/>
      <c r="AW182" s="200"/>
      <c r="AX182" s="200"/>
      <c r="BY182" s="132" t="s">
        <v>1</v>
      </c>
      <c r="BZ182" s="133" t="s">
        <v>40</v>
      </c>
      <c r="CB182" s="134">
        <f>CA182*H182</f>
        <v>0</v>
      </c>
      <c r="CC182" s="134">
        <v>0</v>
      </c>
      <c r="CD182" s="134">
        <f>CC182*H182</f>
        <v>0</v>
      </c>
      <c r="CE182" s="134">
        <v>0</v>
      </c>
      <c r="CF182" s="135">
        <f>CE182*H182</f>
        <v>0</v>
      </c>
      <c r="DD182" s="136" t="s">
        <v>95</v>
      </c>
      <c r="DF182" s="136" t="s">
        <v>284</v>
      </c>
      <c r="DG182" s="136" t="s">
        <v>83</v>
      </c>
      <c r="DK182" s="16" t="s">
        <v>282</v>
      </c>
      <c r="DQ182" s="137">
        <f>IF(BZ182="základní",J182,0)</f>
        <v>6872.13</v>
      </c>
      <c r="DR182" s="137">
        <f>IF(BZ182="snížená",J182,0)</f>
        <v>0</v>
      </c>
      <c r="DS182" s="137">
        <f>IF(BZ182="zákl. přenesená",J182,0)</f>
        <v>0</v>
      </c>
      <c r="DT182" s="137">
        <f>IF(BZ182="sníž. přenesená",J182,0)</f>
        <v>0</v>
      </c>
      <c r="DU182" s="137">
        <f>IF(BZ182="nulová",J182,0)</f>
        <v>0</v>
      </c>
      <c r="DV182" s="16" t="s">
        <v>81</v>
      </c>
      <c r="DW182" s="137">
        <f>ROUND(I182*H182,2)</f>
        <v>6872.13</v>
      </c>
      <c r="DX182" s="16" t="s">
        <v>95</v>
      </c>
      <c r="DY182" s="136" t="s">
        <v>2440</v>
      </c>
    </row>
    <row r="183" spans="2:129" s="1" customFormat="1" ht="19.5" x14ac:dyDescent="0.2">
      <c r="B183" s="31"/>
      <c r="D183" s="138" t="s">
        <v>289</v>
      </c>
      <c r="F183" s="139" t="s">
        <v>961</v>
      </c>
      <c r="I183" s="140"/>
      <c r="L183" s="31"/>
      <c r="N183" s="213"/>
      <c r="O183" s="214"/>
      <c r="Q183" s="229"/>
      <c r="BY183" s="141"/>
      <c r="CF183" s="50"/>
      <c r="DF183" s="16" t="s">
        <v>289</v>
      </c>
      <c r="DG183" s="16" t="s">
        <v>83</v>
      </c>
    </row>
    <row r="184" spans="2:129" s="1" customFormat="1" ht="29.25" x14ac:dyDescent="0.2">
      <c r="B184" s="31"/>
      <c r="D184" s="138" t="s">
        <v>299</v>
      </c>
      <c r="F184" s="142" t="s">
        <v>2431</v>
      </c>
      <c r="I184" s="140"/>
      <c r="L184" s="31"/>
      <c r="N184" s="213"/>
      <c r="O184" s="214"/>
      <c r="Q184" s="229"/>
      <c r="BY184" s="141"/>
      <c r="CF184" s="50"/>
      <c r="DF184" s="16" t="s">
        <v>299</v>
      </c>
      <c r="DG184" s="16" t="s">
        <v>83</v>
      </c>
    </row>
    <row r="185" spans="2:129" s="11" customFormat="1" x14ac:dyDescent="0.2">
      <c r="B185" s="143"/>
      <c r="D185" s="138" t="s">
        <v>301</v>
      </c>
      <c r="E185" s="144" t="s">
        <v>1</v>
      </c>
      <c r="F185" s="145" t="s">
        <v>962</v>
      </c>
      <c r="H185" s="144" t="s">
        <v>1</v>
      </c>
      <c r="I185" s="146"/>
      <c r="L185" s="143"/>
      <c r="N185" s="215"/>
      <c r="O185" s="216"/>
      <c r="Q185" s="230"/>
      <c r="BY185" s="147"/>
      <c r="CF185" s="148"/>
      <c r="DF185" s="144" t="s">
        <v>301</v>
      </c>
      <c r="DG185" s="144" t="s">
        <v>83</v>
      </c>
      <c r="DH185" s="11" t="s">
        <v>81</v>
      </c>
      <c r="DI185" s="11" t="s">
        <v>32</v>
      </c>
      <c r="DJ185" s="11" t="s">
        <v>74</v>
      </c>
      <c r="DK185" s="144" t="s">
        <v>282</v>
      </c>
    </row>
    <row r="186" spans="2:129" s="12" customFormat="1" x14ac:dyDescent="0.2">
      <c r="B186" s="149"/>
      <c r="D186" s="138" t="s">
        <v>301</v>
      </c>
      <c r="E186" s="150" t="s">
        <v>1</v>
      </c>
      <c r="F186" s="151" t="s">
        <v>2441</v>
      </c>
      <c r="H186" s="152">
        <v>276.60000000000002</v>
      </c>
      <c r="I186" s="153"/>
      <c r="L186" s="149"/>
      <c r="N186" s="217"/>
      <c r="O186" s="218"/>
      <c r="Q186" s="231"/>
      <c r="BY186" s="154"/>
      <c r="CF186" s="155"/>
      <c r="DF186" s="150" t="s">
        <v>301</v>
      </c>
      <c r="DG186" s="150" t="s">
        <v>83</v>
      </c>
      <c r="DH186" s="12" t="s">
        <v>83</v>
      </c>
      <c r="DI186" s="12" t="s">
        <v>32</v>
      </c>
      <c r="DJ186" s="12" t="s">
        <v>74</v>
      </c>
      <c r="DK186" s="150" t="s">
        <v>282</v>
      </c>
    </row>
    <row r="187" spans="2:129" s="12" customFormat="1" x14ac:dyDescent="0.2">
      <c r="B187" s="149"/>
      <c r="D187" s="138" t="s">
        <v>301</v>
      </c>
      <c r="E187" s="150" t="s">
        <v>1</v>
      </c>
      <c r="F187" s="151" t="s">
        <v>2442</v>
      </c>
      <c r="H187" s="152">
        <v>12</v>
      </c>
      <c r="I187" s="153"/>
      <c r="L187" s="149"/>
      <c r="N187" s="217"/>
      <c r="O187" s="218"/>
      <c r="Q187" s="231"/>
      <c r="BY187" s="154"/>
      <c r="CF187" s="155"/>
      <c r="DF187" s="150" t="s">
        <v>301</v>
      </c>
      <c r="DG187" s="150" t="s">
        <v>83</v>
      </c>
      <c r="DH187" s="12" t="s">
        <v>83</v>
      </c>
      <c r="DI187" s="12" t="s">
        <v>32</v>
      </c>
      <c r="DJ187" s="12" t="s">
        <v>74</v>
      </c>
      <c r="DK187" s="150" t="s">
        <v>282</v>
      </c>
    </row>
    <row r="188" spans="2:129" s="12" customFormat="1" x14ac:dyDescent="0.2">
      <c r="B188" s="149"/>
      <c r="D188" s="138" t="s">
        <v>301</v>
      </c>
      <c r="E188" s="150" t="s">
        <v>1</v>
      </c>
      <c r="F188" s="151" t="s">
        <v>2443</v>
      </c>
      <c r="H188" s="152">
        <v>9</v>
      </c>
      <c r="I188" s="153"/>
      <c r="L188" s="149"/>
      <c r="N188" s="217"/>
      <c r="O188" s="218"/>
      <c r="Q188" s="231"/>
      <c r="BY188" s="154"/>
      <c r="CF188" s="155"/>
      <c r="DF188" s="150" t="s">
        <v>301</v>
      </c>
      <c r="DG188" s="150" t="s">
        <v>83</v>
      </c>
      <c r="DH188" s="12" t="s">
        <v>83</v>
      </c>
      <c r="DI188" s="12" t="s">
        <v>32</v>
      </c>
      <c r="DJ188" s="12" t="s">
        <v>74</v>
      </c>
      <c r="DK188" s="150" t="s">
        <v>282</v>
      </c>
    </row>
    <row r="189" spans="2:129" s="13" customFormat="1" x14ac:dyDescent="0.2">
      <c r="B189" s="156"/>
      <c r="D189" s="138" t="s">
        <v>301</v>
      </c>
      <c r="E189" s="157" t="s">
        <v>1</v>
      </c>
      <c r="F189" s="158" t="s">
        <v>305</v>
      </c>
      <c r="H189" s="159">
        <v>297.60000000000002</v>
      </c>
      <c r="I189" s="160"/>
      <c r="L189" s="156"/>
      <c r="N189" s="219"/>
      <c r="O189" s="220"/>
      <c r="Q189" s="232"/>
      <c r="BY189" s="161"/>
      <c r="CF189" s="162"/>
      <c r="DF189" s="157" t="s">
        <v>301</v>
      </c>
      <c r="DG189" s="157" t="s">
        <v>83</v>
      </c>
      <c r="DH189" s="13" t="s">
        <v>95</v>
      </c>
      <c r="DI189" s="13" t="s">
        <v>32</v>
      </c>
      <c r="DJ189" s="13" t="s">
        <v>81</v>
      </c>
      <c r="DK189" s="157" t="s">
        <v>282</v>
      </c>
    </row>
    <row r="190" spans="2:129" s="1" customFormat="1" ht="24.2" customHeight="1" x14ac:dyDescent="0.2">
      <c r="B190" s="124"/>
      <c r="C190" s="125" t="s">
        <v>363</v>
      </c>
      <c r="D190" s="125" t="s">
        <v>284</v>
      </c>
      <c r="E190" s="126" t="s">
        <v>1836</v>
      </c>
      <c r="F190" s="127" t="s">
        <v>1837</v>
      </c>
      <c r="G190" s="128" t="s">
        <v>366</v>
      </c>
      <c r="H190" s="129">
        <v>21.15</v>
      </c>
      <c r="I190" s="130">
        <v>1176.19125848302</v>
      </c>
      <c r="J190" s="131">
        <f>ROUND(I190*H190,2)</f>
        <v>24876.45</v>
      </c>
      <c r="K190" s="127" t="s">
        <v>293</v>
      </c>
      <c r="L190" s="198">
        <f>S190</f>
        <v>0</v>
      </c>
      <c r="M190" s="206">
        <f>ROUND(L190*I190,2)</f>
        <v>0</v>
      </c>
      <c r="N190" s="211"/>
      <c r="O190" s="212">
        <f>ROUND(N190*I190,2)</f>
        <v>0</v>
      </c>
      <c r="P190" s="207">
        <f>H190-L190-N190</f>
        <v>21.15</v>
      </c>
      <c r="Q190" s="228">
        <f>ROUND(P190*I190,2)</f>
        <v>24876.45</v>
      </c>
      <c r="R190" s="199"/>
      <c r="S190" s="200">
        <f>W190+Y190+AA190+AC190+AE190+AG190+AI190+AK190+AM190+AO190+AQ190+AS190+AU190+AW190</f>
        <v>0</v>
      </c>
      <c r="T190" s="200">
        <f>ROUND(S190*I190,2)</f>
        <v>0</v>
      </c>
      <c r="U190" s="200">
        <f>H190-S190</f>
        <v>21.15</v>
      </c>
      <c r="V190" s="200">
        <f>ROUND(U190*I190,2)</f>
        <v>24876.45</v>
      </c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BY190" s="132" t="s">
        <v>1</v>
      </c>
      <c r="BZ190" s="133" t="s">
        <v>40</v>
      </c>
      <c r="CB190" s="134">
        <f>CA190*H190</f>
        <v>0</v>
      </c>
      <c r="CC190" s="134">
        <v>0</v>
      </c>
      <c r="CD190" s="134">
        <f>CC190*H190</f>
        <v>0</v>
      </c>
      <c r="CE190" s="134">
        <v>0</v>
      </c>
      <c r="CF190" s="135">
        <f>CE190*H190</f>
        <v>0</v>
      </c>
      <c r="DD190" s="136" t="s">
        <v>95</v>
      </c>
      <c r="DF190" s="136" t="s">
        <v>284</v>
      </c>
      <c r="DG190" s="136" t="s">
        <v>83</v>
      </c>
      <c r="DK190" s="16" t="s">
        <v>282</v>
      </c>
      <c r="DQ190" s="137">
        <f>IF(BZ190="základní",J190,0)</f>
        <v>24876.45</v>
      </c>
      <c r="DR190" s="137">
        <f>IF(BZ190="snížená",J190,0)</f>
        <v>0</v>
      </c>
      <c r="DS190" s="137">
        <f>IF(BZ190="zákl. přenesená",J190,0)</f>
        <v>0</v>
      </c>
      <c r="DT190" s="137">
        <f>IF(BZ190="sníž. přenesená",J190,0)</f>
        <v>0</v>
      </c>
      <c r="DU190" s="137">
        <f>IF(BZ190="nulová",J190,0)</f>
        <v>0</v>
      </c>
      <c r="DV190" s="16" t="s">
        <v>81</v>
      </c>
      <c r="DW190" s="137">
        <f>ROUND(I190*H190,2)</f>
        <v>24876.45</v>
      </c>
      <c r="DX190" s="16" t="s">
        <v>95</v>
      </c>
      <c r="DY190" s="136" t="s">
        <v>2444</v>
      </c>
    </row>
    <row r="191" spans="2:129" s="1" customFormat="1" ht="29.25" x14ac:dyDescent="0.2">
      <c r="B191" s="31"/>
      <c r="D191" s="138" t="s">
        <v>289</v>
      </c>
      <c r="F191" s="139" t="s">
        <v>1839</v>
      </c>
      <c r="I191" s="140"/>
      <c r="L191" s="31"/>
      <c r="N191" s="213"/>
      <c r="O191" s="214"/>
      <c r="Q191" s="229"/>
      <c r="BY191" s="141"/>
      <c r="CF191" s="50"/>
      <c r="DF191" s="16" t="s">
        <v>289</v>
      </c>
      <c r="DG191" s="16" t="s">
        <v>83</v>
      </c>
    </row>
    <row r="192" spans="2:129" s="1" customFormat="1" ht="39" x14ac:dyDescent="0.2">
      <c r="B192" s="31"/>
      <c r="D192" s="138" t="s">
        <v>299</v>
      </c>
      <c r="F192" s="142" t="s">
        <v>2445</v>
      </c>
      <c r="I192" s="140"/>
      <c r="L192" s="31"/>
      <c r="N192" s="213"/>
      <c r="O192" s="214"/>
      <c r="Q192" s="229"/>
      <c r="BY192" s="141"/>
      <c r="CF192" s="50"/>
      <c r="DF192" s="16" t="s">
        <v>299</v>
      </c>
      <c r="DG192" s="16" t="s">
        <v>83</v>
      </c>
    </row>
    <row r="193" spans="2:129" s="11" customFormat="1" x14ac:dyDescent="0.2">
      <c r="B193" s="143"/>
      <c r="D193" s="138" t="s">
        <v>301</v>
      </c>
      <c r="E193" s="144" t="s">
        <v>1</v>
      </c>
      <c r="F193" s="145" t="s">
        <v>2446</v>
      </c>
      <c r="H193" s="144" t="s">
        <v>1</v>
      </c>
      <c r="I193" s="146"/>
      <c r="L193" s="143"/>
      <c r="N193" s="215"/>
      <c r="O193" s="216"/>
      <c r="Q193" s="230"/>
      <c r="BY193" s="147"/>
      <c r="CF193" s="148"/>
      <c r="DF193" s="144" t="s">
        <v>301</v>
      </c>
      <c r="DG193" s="144" t="s">
        <v>83</v>
      </c>
      <c r="DH193" s="11" t="s">
        <v>81</v>
      </c>
      <c r="DI193" s="11" t="s">
        <v>32</v>
      </c>
      <c r="DJ193" s="11" t="s">
        <v>74</v>
      </c>
      <c r="DK193" s="144" t="s">
        <v>282</v>
      </c>
    </row>
    <row r="194" spans="2:129" s="12" customFormat="1" x14ac:dyDescent="0.2">
      <c r="B194" s="149"/>
      <c r="D194" s="138" t="s">
        <v>301</v>
      </c>
      <c r="E194" s="150" t="s">
        <v>1</v>
      </c>
      <c r="F194" s="151" t="s">
        <v>2447</v>
      </c>
      <c r="H194" s="152">
        <v>42.3</v>
      </c>
      <c r="I194" s="153"/>
      <c r="L194" s="149"/>
      <c r="N194" s="217"/>
      <c r="O194" s="218"/>
      <c r="Q194" s="231"/>
      <c r="BY194" s="154"/>
      <c r="CF194" s="155"/>
      <c r="DF194" s="150" t="s">
        <v>301</v>
      </c>
      <c r="DG194" s="150" t="s">
        <v>83</v>
      </c>
      <c r="DH194" s="12" t="s">
        <v>83</v>
      </c>
      <c r="DI194" s="12" t="s">
        <v>32</v>
      </c>
      <c r="DJ194" s="12" t="s">
        <v>74</v>
      </c>
      <c r="DK194" s="150" t="s">
        <v>282</v>
      </c>
    </row>
    <row r="195" spans="2:129" s="14" customFormat="1" x14ac:dyDescent="0.2">
      <c r="B195" s="163"/>
      <c r="D195" s="138" t="s">
        <v>301</v>
      </c>
      <c r="E195" s="164" t="s">
        <v>1</v>
      </c>
      <c r="F195" s="165" t="s">
        <v>373</v>
      </c>
      <c r="H195" s="166">
        <v>42.3</v>
      </c>
      <c r="I195" s="167"/>
      <c r="L195" s="163"/>
      <c r="N195" s="221"/>
      <c r="O195" s="222"/>
      <c r="Q195" s="233"/>
      <c r="BY195" s="168"/>
      <c r="CF195" s="169"/>
      <c r="DF195" s="164" t="s">
        <v>301</v>
      </c>
      <c r="DG195" s="164" t="s">
        <v>83</v>
      </c>
      <c r="DH195" s="14" t="s">
        <v>90</v>
      </c>
      <c r="DI195" s="14" t="s">
        <v>32</v>
      </c>
      <c r="DJ195" s="14" t="s">
        <v>74</v>
      </c>
      <c r="DK195" s="164" t="s">
        <v>282</v>
      </c>
    </row>
    <row r="196" spans="2:129" s="12" customFormat="1" x14ac:dyDescent="0.2">
      <c r="B196" s="149"/>
      <c r="D196" s="138" t="s">
        <v>301</v>
      </c>
      <c r="E196" s="150" t="s">
        <v>1</v>
      </c>
      <c r="F196" s="151" t="s">
        <v>2448</v>
      </c>
      <c r="H196" s="152">
        <v>21.15</v>
      </c>
      <c r="I196" s="153"/>
      <c r="L196" s="149"/>
      <c r="N196" s="217"/>
      <c r="O196" s="218"/>
      <c r="Q196" s="231"/>
      <c r="BY196" s="154"/>
      <c r="CF196" s="155"/>
      <c r="DF196" s="150" t="s">
        <v>301</v>
      </c>
      <c r="DG196" s="150" t="s">
        <v>83</v>
      </c>
      <c r="DH196" s="12" t="s">
        <v>83</v>
      </c>
      <c r="DI196" s="12" t="s">
        <v>32</v>
      </c>
      <c r="DJ196" s="12" t="s">
        <v>81</v>
      </c>
      <c r="DK196" s="150" t="s">
        <v>282</v>
      </c>
    </row>
    <row r="197" spans="2:129" s="1" customFormat="1" ht="24.2" customHeight="1" x14ac:dyDescent="0.2">
      <c r="B197" s="124"/>
      <c r="C197" s="125" t="s">
        <v>8</v>
      </c>
      <c r="D197" s="125" t="s">
        <v>284</v>
      </c>
      <c r="E197" s="126" t="s">
        <v>1843</v>
      </c>
      <c r="F197" s="127" t="s">
        <v>1844</v>
      </c>
      <c r="G197" s="128" t="s">
        <v>366</v>
      </c>
      <c r="H197" s="129">
        <v>21.15</v>
      </c>
      <c r="I197" s="130">
        <v>1412.9317984290899</v>
      </c>
      <c r="J197" s="131">
        <f>ROUND(I197*H197,2)</f>
        <v>29883.51</v>
      </c>
      <c r="K197" s="127" t="s">
        <v>293</v>
      </c>
      <c r="L197" s="198">
        <f>S197</f>
        <v>0</v>
      </c>
      <c r="M197" s="206">
        <f>ROUND(L197*I197,2)</f>
        <v>0</v>
      </c>
      <c r="N197" s="211"/>
      <c r="O197" s="212">
        <f>ROUND(N197*I197,2)</f>
        <v>0</v>
      </c>
      <c r="P197" s="207">
        <f>H197-L197-N197</f>
        <v>21.15</v>
      </c>
      <c r="Q197" s="228">
        <f>ROUND(P197*I197,2)</f>
        <v>29883.51</v>
      </c>
      <c r="R197" s="199"/>
      <c r="S197" s="200">
        <f>W197+Y197+AA197+AC197+AE197+AG197+AI197+AK197+AM197+AO197+AQ197+AS197+AU197+AW197</f>
        <v>0</v>
      </c>
      <c r="T197" s="200">
        <f>ROUND(S197*I197,2)</f>
        <v>0</v>
      </c>
      <c r="U197" s="200">
        <f>H197-S197</f>
        <v>21.15</v>
      </c>
      <c r="V197" s="200">
        <f>ROUND(U197*I197,2)</f>
        <v>29883.51</v>
      </c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BY197" s="132" t="s">
        <v>1</v>
      </c>
      <c r="BZ197" s="133" t="s">
        <v>40</v>
      </c>
      <c r="CB197" s="134">
        <f>CA197*H197</f>
        <v>0</v>
      </c>
      <c r="CC197" s="134">
        <v>0</v>
      </c>
      <c r="CD197" s="134">
        <f>CC197*H197</f>
        <v>0</v>
      </c>
      <c r="CE197" s="134">
        <v>0</v>
      </c>
      <c r="CF197" s="135">
        <f>CE197*H197</f>
        <v>0</v>
      </c>
      <c r="DD197" s="136" t="s">
        <v>95</v>
      </c>
      <c r="DF197" s="136" t="s">
        <v>284</v>
      </c>
      <c r="DG197" s="136" t="s">
        <v>83</v>
      </c>
      <c r="DK197" s="16" t="s">
        <v>282</v>
      </c>
      <c r="DQ197" s="137">
        <f>IF(BZ197="základní",J197,0)</f>
        <v>29883.51</v>
      </c>
      <c r="DR197" s="137">
        <f>IF(BZ197="snížená",J197,0)</f>
        <v>0</v>
      </c>
      <c r="DS197" s="137">
        <f>IF(BZ197="zákl. přenesená",J197,0)</f>
        <v>0</v>
      </c>
      <c r="DT197" s="137">
        <f>IF(BZ197="sníž. přenesená",J197,0)</f>
        <v>0</v>
      </c>
      <c r="DU197" s="137">
        <f>IF(BZ197="nulová",J197,0)</f>
        <v>0</v>
      </c>
      <c r="DV197" s="16" t="s">
        <v>81</v>
      </c>
      <c r="DW197" s="137">
        <f>ROUND(I197*H197,2)</f>
        <v>29883.51</v>
      </c>
      <c r="DX197" s="16" t="s">
        <v>95</v>
      </c>
      <c r="DY197" s="136" t="s">
        <v>2449</v>
      </c>
    </row>
    <row r="198" spans="2:129" s="1" customFormat="1" ht="29.25" x14ac:dyDescent="0.2">
      <c r="B198" s="31"/>
      <c r="D198" s="138" t="s">
        <v>289</v>
      </c>
      <c r="F198" s="139" t="s">
        <v>1846</v>
      </c>
      <c r="I198" s="140"/>
      <c r="L198" s="31"/>
      <c r="N198" s="213"/>
      <c r="O198" s="214"/>
      <c r="Q198" s="229"/>
      <c r="BY198" s="141"/>
      <c r="CF198" s="50"/>
      <c r="DF198" s="16" t="s">
        <v>289</v>
      </c>
      <c r="DG198" s="16" t="s">
        <v>83</v>
      </c>
    </row>
    <row r="199" spans="2:129" s="1" customFormat="1" ht="39" x14ac:dyDescent="0.2">
      <c r="B199" s="31"/>
      <c r="D199" s="138" t="s">
        <v>299</v>
      </c>
      <c r="F199" s="142" t="s">
        <v>2445</v>
      </c>
      <c r="I199" s="140"/>
      <c r="L199" s="31"/>
      <c r="N199" s="213"/>
      <c r="O199" s="214"/>
      <c r="Q199" s="229"/>
      <c r="BY199" s="141"/>
      <c r="CF199" s="50"/>
      <c r="DF199" s="16" t="s">
        <v>299</v>
      </c>
      <c r="DG199" s="16" t="s">
        <v>83</v>
      </c>
    </row>
    <row r="200" spans="2:129" s="1" customFormat="1" ht="24.2" customHeight="1" x14ac:dyDescent="0.2">
      <c r="B200" s="124"/>
      <c r="C200" s="125" t="s">
        <v>379</v>
      </c>
      <c r="D200" s="125" t="s">
        <v>284</v>
      </c>
      <c r="E200" s="126" t="s">
        <v>364</v>
      </c>
      <c r="F200" s="127" t="s">
        <v>365</v>
      </c>
      <c r="G200" s="128" t="s">
        <v>366</v>
      </c>
      <c r="H200" s="129">
        <v>287.79300000000001</v>
      </c>
      <c r="I200" s="130">
        <v>235.201942457955</v>
      </c>
      <c r="J200" s="131">
        <f>ROUND(I200*H200,2)</f>
        <v>67689.47</v>
      </c>
      <c r="K200" s="127" t="s">
        <v>293</v>
      </c>
      <c r="L200" s="198">
        <f>S200</f>
        <v>0</v>
      </c>
      <c r="M200" s="206">
        <f>ROUND(L200*I200,2)</f>
        <v>0</v>
      </c>
      <c r="N200" s="211">
        <f>N213</f>
        <v>1.5000250000000506</v>
      </c>
      <c r="O200" s="212">
        <f>ROUND(N200*I200,2)</f>
        <v>352.81</v>
      </c>
      <c r="P200" s="207">
        <f>H200-L200-N200</f>
        <v>286.29297499999996</v>
      </c>
      <c r="Q200" s="228">
        <f>ROUND(P200*I200,2)</f>
        <v>67336.66</v>
      </c>
      <c r="R200" s="199"/>
      <c r="S200" s="200">
        <f>W200+Y200+AA200+AC200+AE200+AG200+AI200+AK200+AM200+AO200+AQ200+AS200+AU200+AW200</f>
        <v>0</v>
      </c>
      <c r="T200" s="200">
        <f>ROUND(S200*I200,2)</f>
        <v>0</v>
      </c>
      <c r="U200" s="200">
        <f>H200-S200</f>
        <v>287.79300000000001</v>
      </c>
      <c r="V200" s="200">
        <f>ROUND(U200*I200,2)</f>
        <v>67689.47</v>
      </c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BY200" s="132" t="s">
        <v>1</v>
      </c>
      <c r="BZ200" s="133" t="s">
        <v>40</v>
      </c>
      <c r="CB200" s="134">
        <f>CA200*H200</f>
        <v>0</v>
      </c>
      <c r="CC200" s="134">
        <v>0</v>
      </c>
      <c r="CD200" s="134">
        <f>CC200*H200</f>
        <v>0</v>
      </c>
      <c r="CE200" s="134">
        <v>0</v>
      </c>
      <c r="CF200" s="135">
        <f>CE200*H200</f>
        <v>0</v>
      </c>
      <c r="DD200" s="136" t="s">
        <v>95</v>
      </c>
      <c r="DF200" s="136" t="s">
        <v>284</v>
      </c>
      <c r="DG200" s="136" t="s">
        <v>83</v>
      </c>
      <c r="DK200" s="16" t="s">
        <v>282</v>
      </c>
      <c r="DQ200" s="137">
        <f>IF(BZ200="základní",J200,0)</f>
        <v>67689.47</v>
      </c>
      <c r="DR200" s="137">
        <f>IF(BZ200="snížená",J200,0)</f>
        <v>0</v>
      </c>
      <c r="DS200" s="137">
        <f>IF(BZ200="zákl. přenesená",J200,0)</f>
        <v>0</v>
      </c>
      <c r="DT200" s="137">
        <f>IF(BZ200="sníž. přenesená",J200,0)</f>
        <v>0</v>
      </c>
      <c r="DU200" s="137">
        <f>IF(BZ200="nulová",J200,0)</f>
        <v>0</v>
      </c>
      <c r="DV200" s="16" t="s">
        <v>81</v>
      </c>
      <c r="DW200" s="137">
        <f>ROUND(I200*H200,2)</f>
        <v>67689.47</v>
      </c>
      <c r="DX200" s="16" t="s">
        <v>95</v>
      </c>
      <c r="DY200" s="136" t="s">
        <v>367</v>
      </c>
    </row>
    <row r="201" spans="2:129" s="1" customFormat="1" ht="39" x14ac:dyDescent="0.2">
      <c r="B201" s="31"/>
      <c r="D201" s="138" t="s">
        <v>289</v>
      </c>
      <c r="F201" s="139" t="s">
        <v>368</v>
      </c>
      <c r="I201" s="140"/>
      <c r="L201" s="31"/>
      <c r="N201" s="213"/>
      <c r="O201" s="214"/>
      <c r="Q201" s="229"/>
      <c r="BY201" s="141"/>
      <c r="CF201" s="50"/>
      <c r="DF201" s="16" t="s">
        <v>289</v>
      </c>
      <c r="DG201" s="16" t="s">
        <v>83</v>
      </c>
    </row>
    <row r="202" spans="2:129" s="1" customFormat="1" ht="39" x14ac:dyDescent="0.2">
      <c r="B202" s="31"/>
      <c r="D202" s="138" t="s">
        <v>299</v>
      </c>
      <c r="F202" s="142" t="s">
        <v>2445</v>
      </c>
      <c r="I202" s="140"/>
      <c r="L202" s="31"/>
      <c r="N202" s="213"/>
      <c r="O202" s="214"/>
      <c r="Q202" s="229"/>
      <c r="BY202" s="141"/>
      <c r="CF202" s="50"/>
      <c r="DF202" s="16" t="s">
        <v>299</v>
      </c>
      <c r="DG202" s="16" t="s">
        <v>83</v>
      </c>
    </row>
    <row r="203" spans="2:129" s="11" customFormat="1" ht="22.5" x14ac:dyDescent="0.2">
      <c r="B203" s="143"/>
      <c r="D203" s="138" t="s">
        <v>301</v>
      </c>
      <c r="E203" s="144" t="s">
        <v>1</v>
      </c>
      <c r="F203" s="145" t="s">
        <v>370</v>
      </c>
      <c r="H203" s="144" t="s">
        <v>1</v>
      </c>
      <c r="I203" s="146"/>
      <c r="L203" s="143"/>
      <c r="N203" s="215"/>
      <c r="O203" s="216"/>
      <c r="Q203" s="230"/>
      <c r="BY203" s="147"/>
      <c r="CF203" s="148"/>
      <c r="DF203" s="144" t="s">
        <v>301</v>
      </c>
      <c r="DG203" s="144" t="s">
        <v>83</v>
      </c>
      <c r="DH203" s="11" t="s">
        <v>81</v>
      </c>
      <c r="DI203" s="11" t="s">
        <v>32</v>
      </c>
      <c r="DJ203" s="11" t="s">
        <v>74</v>
      </c>
      <c r="DK203" s="144" t="s">
        <v>282</v>
      </c>
    </row>
    <row r="204" spans="2:129" s="12" customFormat="1" x14ac:dyDescent="0.2">
      <c r="B204" s="149"/>
      <c r="D204" s="138" t="s">
        <v>301</v>
      </c>
      <c r="E204" s="150" t="s">
        <v>1</v>
      </c>
      <c r="F204" s="151" t="s">
        <v>2450</v>
      </c>
      <c r="H204" s="152">
        <v>170.465</v>
      </c>
      <c r="I204" s="153"/>
      <c r="L204" s="149"/>
      <c r="N204" s="217">
        <f>123.71*0.9*(1.8-0.45)</f>
        <v>150.30765</v>
      </c>
      <c r="O204" s="218" t="s">
        <v>3590</v>
      </c>
      <c r="Q204" s="231"/>
      <c r="BY204" s="154"/>
      <c r="CF204" s="155"/>
      <c r="DF204" s="150" t="s">
        <v>301</v>
      </c>
      <c r="DG204" s="150" t="s">
        <v>83</v>
      </c>
      <c r="DH204" s="12" t="s">
        <v>83</v>
      </c>
      <c r="DI204" s="12" t="s">
        <v>32</v>
      </c>
      <c r="DJ204" s="12" t="s">
        <v>74</v>
      </c>
      <c r="DK204" s="150" t="s">
        <v>282</v>
      </c>
    </row>
    <row r="205" spans="2:129" s="12" customFormat="1" ht="22.5" x14ac:dyDescent="0.2">
      <c r="B205" s="149"/>
      <c r="D205" s="138" t="s">
        <v>301</v>
      </c>
      <c r="E205" s="150" t="s">
        <v>1</v>
      </c>
      <c r="F205" s="151" t="s">
        <v>2451</v>
      </c>
      <c r="H205" s="152">
        <v>224.16800000000001</v>
      </c>
      <c r="I205" s="153"/>
      <c r="L205" s="149"/>
      <c r="N205" s="217">
        <f>203.56*0.9*(1.8-0.45)</f>
        <v>247.32540000000003</v>
      </c>
      <c r="O205" s="218" t="s">
        <v>3591</v>
      </c>
      <c r="Q205" s="231"/>
      <c r="BY205" s="154"/>
      <c r="CF205" s="155"/>
      <c r="DF205" s="150" t="s">
        <v>301</v>
      </c>
      <c r="DG205" s="150" t="s">
        <v>83</v>
      </c>
      <c r="DH205" s="12" t="s">
        <v>83</v>
      </c>
      <c r="DI205" s="12" t="s">
        <v>32</v>
      </c>
      <c r="DJ205" s="12" t="s">
        <v>74</v>
      </c>
      <c r="DK205" s="150" t="s">
        <v>282</v>
      </c>
    </row>
    <row r="206" spans="2:129" s="11" customFormat="1" x14ac:dyDescent="0.2">
      <c r="B206" s="143"/>
      <c r="D206" s="138" t="s">
        <v>301</v>
      </c>
      <c r="E206" s="144" t="s">
        <v>1</v>
      </c>
      <c r="F206" s="145" t="s">
        <v>2452</v>
      </c>
      <c r="H206" s="144" t="s">
        <v>1</v>
      </c>
      <c r="I206" s="146"/>
      <c r="L206" s="143"/>
      <c r="N206" s="215"/>
      <c r="O206" s="216"/>
      <c r="Q206" s="230"/>
      <c r="BY206" s="147"/>
      <c r="CF206" s="148"/>
      <c r="DF206" s="144" t="s">
        <v>301</v>
      </c>
      <c r="DG206" s="144" t="s">
        <v>83</v>
      </c>
      <c r="DH206" s="11" t="s">
        <v>81</v>
      </c>
      <c r="DI206" s="11" t="s">
        <v>32</v>
      </c>
      <c r="DJ206" s="11" t="s">
        <v>74</v>
      </c>
      <c r="DK206" s="144" t="s">
        <v>282</v>
      </c>
    </row>
    <row r="207" spans="2:129" s="12" customFormat="1" x14ac:dyDescent="0.2">
      <c r="B207" s="149"/>
      <c r="D207" s="138" t="s">
        <v>301</v>
      </c>
      <c r="E207" s="150" t="s">
        <v>1</v>
      </c>
      <c r="F207" s="151" t="s">
        <v>2453</v>
      </c>
      <c r="H207" s="152">
        <v>141.066</v>
      </c>
      <c r="I207" s="153"/>
      <c r="L207" s="149"/>
      <c r="N207" s="310">
        <f>H207</f>
        <v>141.066</v>
      </c>
      <c r="O207" s="218"/>
      <c r="Q207" s="231"/>
      <c r="BY207" s="154"/>
      <c r="CF207" s="155"/>
      <c r="DF207" s="150" t="s">
        <v>301</v>
      </c>
      <c r="DG207" s="150" t="s">
        <v>83</v>
      </c>
      <c r="DH207" s="12" t="s">
        <v>83</v>
      </c>
      <c r="DI207" s="12" t="s">
        <v>32</v>
      </c>
      <c r="DJ207" s="12" t="s">
        <v>74</v>
      </c>
      <c r="DK207" s="150" t="s">
        <v>282</v>
      </c>
    </row>
    <row r="208" spans="2:129" s="12" customFormat="1" x14ac:dyDescent="0.2">
      <c r="B208" s="149"/>
      <c r="D208" s="138" t="s">
        <v>301</v>
      </c>
      <c r="E208" s="150" t="s">
        <v>1</v>
      </c>
      <c r="F208" s="151" t="s">
        <v>2454</v>
      </c>
      <c r="H208" s="152">
        <v>5.3550000000000004</v>
      </c>
      <c r="I208" s="153"/>
      <c r="L208" s="149"/>
      <c r="N208" s="217">
        <f>H208</f>
        <v>5.3550000000000004</v>
      </c>
      <c r="O208" s="218"/>
      <c r="Q208" s="231"/>
      <c r="BY208" s="154"/>
      <c r="CF208" s="155"/>
      <c r="DF208" s="150" t="s">
        <v>301</v>
      </c>
      <c r="DG208" s="150" t="s">
        <v>83</v>
      </c>
      <c r="DH208" s="12" t="s">
        <v>83</v>
      </c>
      <c r="DI208" s="12" t="s">
        <v>32</v>
      </c>
      <c r="DJ208" s="12" t="s">
        <v>74</v>
      </c>
      <c r="DK208" s="150" t="s">
        <v>282</v>
      </c>
    </row>
    <row r="209" spans="2:129" s="12" customFormat="1" ht="22.5" x14ac:dyDescent="0.2">
      <c r="B209" s="149"/>
      <c r="D209" s="138" t="s">
        <v>301</v>
      </c>
      <c r="E209" s="150" t="s">
        <v>1</v>
      </c>
      <c r="F209" s="151" t="s">
        <v>2455</v>
      </c>
      <c r="H209" s="152">
        <v>9.032</v>
      </c>
      <c r="I209" s="153"/>
      <c r="L209" s="149"/>
      <c r="N209" s="310">
        <f>H209</f>
        <v>9.032</v>
      </c>
      <c r="O209" s="218"/>
      <c r="Q209" s="231"/>
      <c r="BY209" s="154"/>
      <c r="CF209" s="155"/>
      <c r="DF209" s="150" t="s">
        <v>301</v>
      </c>
      <c r="DG209" s="150" t="s">
        <v>83</v>
      </c>
      <c r="DH209" s="12" t="s">
        <v>83</v>
      </c>
      <c r="DI209" s="12" t="s">
        <v>32</v>
      </c>
      <c r="DJ209" s="12" t="s">
        <v>74</v>
      </c>
      <c r="DK209" s="150" t="s">
        <v>282</v>
      </c>
    </row>
    <row r="210" spans="2:129" s="12" customFormat="1" x14ac:dyDescent="0.2">
      <c r="B210" s="149"/>
      <c r="D210" s="138" t="s">
        <v>301</v>
      </c>
      <c r="E210" s="150" t="s">
        <v>1</v>
      </c>
      <c r="F210" s="151" t="s">
        <v>2456</v>
      </c>
      <c r="H210" s="152">
        <v>25.5</v>
      </c>
      <c r="I210" s="153"/>
      <c r="L210" s="149"/>
      <c r="N210" s="217">
        <f>H210</f>
        <v>25.5</v>
      </c>
      <c r="O210" s="218"/>
      <c r="Q210" s="231"/>
      <c r="BY210" s="154"/>
      <c r="CF210" s="155"/>
      <c r="DF210" s="150" t="s">
        <v>301</v>
      </c>
      <c r="DG210" s="150" t="s">
        <v>83</v>
      </c>
      <c r="DH210" s="12" t="s">
        <v>83</v>
      </c>
      <c r="DI210" s="12" t="s">
        <v>32</v>
      </c>
      <c r="DJ210" s="12" t="s">
        <v>74</v>
      </c>
      <c r="DK210" s="150" t="s">
        <v>282</v>
      </c>
    </row>
    <row r="211" spans="2:129" s="14" customFormat="1" x14ac:dyDescent="0.2">
      <c r="B211" s="163"/>
      <c r="D211" s="138" t="s">
        <v>301</v>
      </c>
      <c r="E211" s="164" t="s">
        <v>1</v>
      </c>
      <c r="F211" s="165" t="s">
        <v>373</v>
      </c>
      <c r="H211" s="166">
        <v>575.58600000000013</v>
      </c>
      <c r="I211" s="167"/>
      <c r="L211" s="163"/>
      <c r="N211" s="318">
        <f>N204+N205+N207+N208+N209+N210</f>
        <v>578.58605000000011</v>
      </c>
      <c r="O211" s="222"/>
      <c r="Q211" s="233"/>
      <c r="BY211" s="168"/>
      <c r="CF211" s="169"/>
      <c r="DF211" s="164" t="s">
        <v>301</v>
      </c>
      <c r="DG211" s="164" t="s">
        <v>83</v>
      </c>
      <c r="DH211" s="14" t="s">
        <v>90</v>
      </c>
      <c r="DI211" s="14" t="s">
        <v>32</v>
      </c>
      <c r="DJ211" s="14" t="s">
        <v>74</v>
      </c>
      <c r="DK211" s="164" t="s">
        <v>282</v>
      </c>
    </row>
    <row r="212" spans="2:129" s="12" customFormat="1" x14ac:dyDescent="0.2">
      <c r="B212" s="149"/>
      <c r="D212" s="138" t="s">
        <v>301</v>
      </c>
      <c r="E212" s="150" t="s">
        <v>1</v>
      </c>
      <c r="F212" s="151" t="s">
        <v>2457</v>
      </c>
      <c r="H212" s="152">
        <v>287.79300000000001</v>
      </c>
      <c r="I212" s="153"/>
      <c r="L212" s="149"/>
      <c r="N212" s="217">
        <f>N211*0.5</f>
        <v>289.29302500000006</v>
      </c>
      <c r="O212" s="218"/>
      <c r="Q212" s="231"/>
      <c r="BY212" s="154"/>
      <c r="CF212" s="155"/>
      <c r="DF212" s="150" t="s">
        <v>301</v>
      </c>
      <c r="DG212" s="150" t="s">
        <v>83</v>
      </c>
      <c r="DH212" s="12" t="s">
        <v>83</v>
      </c>
      <c r="DI212" s="12" t="s">
        <v>32</v>
      </c>
      <c r="DJ212" s="12" t="s">
        <v>81</v>
      </c>
      <c r="DK212" s="150" t="s">
        <v>282</v>
      </c>
    </row>
    <row r="213" spans="2:129" s="12" customFormat="1" x14ac:dyDescent="0.2">
      <c r="B213" s="149"/>
      <c r="D213" s="138"/>
      <c r="E213" s="150"/>
      <c r="F213" s="151"/>
      <c r="H213" s="152"/>
      <c r="I213" s="153"/>
      <c r="L213" s="149"/>
      <c r="N213" s="310">
        <f>N212-H212</f>
        <v>1.5000250000000506</v>
      </c>
      <c r="O213" s="218"/>
      <c r="Q213" s="231"/>
      <c r="BY213" s="154"/>
      <c r="CF213" s="155"/>
      <c r="DF213" s="150"/>
      <c r="DG213" s="150"/>
      <c r="DK213" s="150"/>
    </row>
    <row r="214" spans="2:129" s="1" customFormat="1" ht="24.2" customHeight="1" x14ac:dyDescent="0.2">
      <c r="B214" s="124"/>
      <c r="C214" s="125" t="s">
        <v>386</v>
      </c>
      <c r="D214" s="125" t="s">
        <v>284</v>
      </c>
      <c r="E214" s="126" t="s">
        <v>375</v>
      </c>
      <c r="F214" s="127" t="s">
        <v>376</v>
      </c>
      <c r="G214" s="128" t="s">
        <v>366</v>
      </c>
      <c r="H214" s="129">
        <v>287.79300000000001</v>
      </c>
      <c r="I214" s="130">
        <v>340.55963566140201</v>
      </c>
      <c r="J214" s="131">
        <f>ROUND(I214*H214,2)</f>
        <v>98010.68</v>
      </c>
      <c r="K214" s="127" t="s">
        <v>293</v>
      </c>
      <c r="L214" s="198">
        <f>S214</f>
        <v>0</v>
      </c>
      <c r="M214" s="206">
        <f>ROUND(L214*I214,2)</f>
        <v>0</v>
      </c>
      <c r="N214" s="211">
        <f>N200</f>
        <v>1.5000250000000506</v>
      </c>
      <c r="O214" s="212">
        <f>ROUND(N214*I214,2)</f>
        <v>510.85</v>
      </c>
      <c r="P214" s="207">
        <f>H214-L214-N214</f>
        <v>286.29297499999996</v>
      </c>
      <c r="Q214" s="228">
        <f>ROUND(P214*I214,2)</f>
        <v>97499.83</v>
      </c>
      <c r="R214" s="199"/>
      <c r="S214" s="200">
        <f>W214+Y214+AA214+AC214+AE214+AG214+AI214+AK214+AM214+AO214+AQ214+AS214+AU214+AW214</f>
        <v>0</v>
      </c>
      <c r="T214" s="200">
        <f>ROUND(S214*I214,2)</f>
        <v>0</v>
      </c>
      <c r="U214" s="200">
        <f>H214-S214</f>
        <v>287.79300000000001</v>
      </c>
      <c r="V214" s="200">
        <f>ROUND(U214*I214,2)</f>
        <v>98010.68</v>
      </c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BY214" s="132" t="s">
        <v>1</v>
      </c>
      <c r="BZ214" s="133" t="s">
        <v>40</v>
      </c>
      <c r="CB214" s="134">
        <f>CA214*H214</f>
        <v>0</v>
      </c>
      <c r="CC214" s="134">
        <v>0</v>
      </c>
      <c r="CD214" s="134">
        <f>CC214*H214</f>
        <v>0</v>
      </c>
      <c r="CE214" s="134">
        <v>0</v>
      </c>
      <c r="CF214" s="135">
        <f>CE214*H214</f>
        <v>0</v>
      </c>
      <c r="DD214" s="136" t="s">
        <v>95</v>
      </c>
      <c r="DF214" s="136" t="s">
        <v>284</v>
      </c>
      <c r="DG214" s="136" t="s">
        <v>83</v>
      </c>
      <c r="DK214" s="16" t="s">
        <v>282</v>
      </c>
      <c r="DQ214" s="137">
        <f>IF(BZ214="základní",J214,0)</f>
        <v>98010.68</v>
      </c>
      <c r="DR214" s="137">
        <f>IF(BZ214="snížená",J214,0)</f>
        <v>0</v>
      </c>
      <c r="DS214" s="137">
        <f>IF(BZ214="zákl. přenesená",J214,0)</f>
        <v>0</v>
      </c>
      <c r="DT214" s="137">
        <f>IF(BZ214="sníž. přenesená",J214,0)</f>
        <v>0</v>
      </c>
      <c r="DU214" s="137">
        <f>IF(BZ214="nulová",J214,0)</f>
        <v>0</v>
      </c>
      <c r="DV214" s="16" t="s">
        <v>81</v>
      </c>
      <c r="DW214" s="137">
        <f>ROUND(I214*H214,2)</f>
        <v>98010.68</v>
      </c>
      <c r="DX214" s="16" t="s">
        <v>95</v>
      </c>
      <c r="DY214" s="136" t="s">
        <v>377</v>
      </c>
    </row>
    <row r="215" spans="2:129" s="1" customFormat="1" ht="39" x14ac:dyDescent="0.2">
      <c r="B215" s="31"/>
      <c r="D215" s="138" t="s">
        <v>289</v>
      </c>
      <c r="F215" s="139" t="s">
        <v>378</v>
      </c>
      <c r="I215" s="140"/>
      <c r="L215" s="31"/>
      <c r="N215" s="213"/>
      <c r="O215" s="214"/>
      <c r="Q215" s="229"/>
      <c r="BY215" s="141"/>
      <c r="CF215" s="50"/>
      <c r="DF215" s="16" t="s">
        <v>289</v>
      </c>
      <c r="DG215" s="16" t="s">
        <v>83</v>
      </c>
    </row>
    <row r="216" spans="2:129" s="1" customFormat="1" ht="39" x14ac:dyDescent="0.2">
      <c r="B216" s="31"/>
      <c r="D216" s="138" t="s">
        <v>299</v>
      </c>
      <c r="F216" s="142" t="s">
        <v>2445</v>
      </c>
      <c r="I216" s="140"/>
      <c r="L216" s="31"/>
      <c r="N216" s="213"/>
      <c r="O216" s="214"/>
      <c r="Q216" s="229"/>
      <c r="BY216" s="141"/>
      <c r="CF216" s="50"/>
      <c r="DF216" s="16" t="s">
        <v>299</v>
      </c>
      <c r="DG216" s="16" t="s">
        <v>83</v>
      </c>
    </row>
    <row r="217" spans="2:129" s="1" customFormat="1" ht="24.2" customHeight="1" x14ac:dyDescent="0.2">
      <c r="B217" s="124"/>
      <c r="C217" s="125" t="s">
        <v>392</v>
      </c>
      <c r="D217" s="125" t="s">
        <v>284</v>
      </c>
      <c r="E217" s="126" t="s">
        <v>380</v>
      </c>
      <c r="F217" s="127" t="s">
        <v>381</v>
      </c>
      <c r="G217" s="128" t="s">
        <v>366</v>
      </c>
      <c r="H217" s="129">
        <v>115.117</v>
      </c>
      <c r="I217" s="130">
        <v>650.27058629099099</v>
      </c>
      <c r="J217" s="131">
        <f>ROUND(I217*H217,2)</f>
        <v>74857.2</v>
      </c>
      <c r="K217" s="127" t="s">
        <v>293</v>
      </c>
      <c r="L217" s="198">
        <f>S217</f>
        <v>0</v>
      </c>
      <c r="M217" s="206">
        <f>ROUND(L217*I217,2)</f>
        <v>0</v>
      </c>
      <c r="N217" s="211">
        <f>N221</f>
        <v>0.60020000000000095</v>
      </c>
      <c r="O217" s="212">
        <f>ROUND(N217*I217,2)</f>
        <v>390.29</v>
      </c>
      <c r="P217" s="207">
        <f>H217-L217-N217</f>
        <v>114.5168</v>
      </c>
      <c r="Q217" s="228">
        <f>ROUND(P217*I217,2)</f>
        <v>74466.91</v>
      </c>
      <c r="R217" s="199"/>
      <c r="S217" s="200">
        <f>W217+Y217+AA217+AC217+AE217+AG217+AI217+AK217+AM217+AO217+AQ217+AS217+AU217+AW217</f>
        <v>0</v>
      </c>
      <c r="T217" s="200">
        <f>ROUND(S217*I217,2)</f>
        <v>0</v>
      </c>
      <c r="U217" s="200">
        <f>H217-S217</f>
        <v>115.117</v>
      </c>
      <c r="V217" s="200">
        <f>ROUND(U217*I217,2)</f>
        <v>74857.2</v>
      </c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BY217" s="132" t="s">
        <v>1</v>
      </c>
      <c r="BZ217" s="133" t="s">
        <v>40</v>
      </c>
      <c r="CB217" s="134">
        <f>CA217*H217</f>
        <v>0</v>
      </c>
      <c r="CC217" s="134">
        <v>0</v>
      </c>
      <c r="CD217" s="134">
        <f>CC217*H217</f>
        <v>0</v>
      </c>
      <c r="CE217" s="134">
        <v>0</v>
      </c>
      <c r="CF217" s="135">
        <f>CE217*H217</f>
        <v>0</v>
      </c>
      <c r="DD217" s="136" t="s">
        <v>95</v>
      </c>
      <c r="DF217" s="136" t="s">
        <v>284</v>
      </c>
      <c r="DG217" s="136" t="s">
        <v>83</v>
      </c>
      <c r="DK217" s="16" t="s">
        <v>282</v>
      </c>
      <c r="DQ217" s="137">
        <f>IF(BZ217="základní",J217,0)</f>
        <v>74857.2</v>
      </c>
      <c r="DR217" s="137">
        <f>IF(BZ217="snížená",J217,0)</f>
        <v>0</v>
      </c>
      <c r="DS217" s="137">
        <f>IF(BZ217="zákl. přenesená",J217,0)</f>
        <v>0</v>
      </c>
      <c r="DT217" s="137">
        <f>IF(BZ217="sníž. přenesená",J217,0)</f>
        <v>0</v>
      </c>
      <c r="DU217" s="137">
        <f>IF(BZ217="nulová",J217,0)</f>
        <v>0</v>
      </c>
      <c r="DV217" s="16" t="s">
        <v>81</v>
      </c>
      <c r="DW217" s="137">
        <f>ROUND(I217*H217,2)</f>
        <v>74857.2</v>
      </c>
      <c r="DX217" s="16" t="s">
        <v>95</v>
      </c>
      <c r="DY217" s="136" t="s">
        <v>382</v>
      </c>
    </row>
    <row r="218" spans="2:129" s="1" customFormat="1" ht="29.25" x14ac:dyDescent="0.2">
      <c r="B218" s="31"/>
      <c r="D218" s="138" t="s">
        <v>289</v>
      </c>
      <c r="F218" s="139" t="s">
        <v>383</v>
      </c>
      <c r="I218" s="140"/>
      <c r="L218" s="31"/>
      <c r="N218" s="213"/>
      <c r="O218" s="214"/>
      <c r="Q218" s="229"/>
      <c r="BY218" s="141"/>
      <c r="CF218" s="50"/>
      <c r="DF218" s="16" t="s">
        <v>289</v>
      </c>
      <c r="DG218" s="16" t="s">
        <v>83</v>
      </c>
    </row>
    <row r="219" spans="2:129" s="11" customFormat="1" x14ac:dyDescent="0.2">
      <c r="B219" s="143"/>
      <c r="D219" s="138" t="s">
        <v>301</v>
      </c>
      <c r="E219" s="144" t="s">
        <v>1</v>
      </c>
      <c r="F219" s="145" t="s">
        <v>384</v>
      </c>
      <c r="H219" s="144" t="s">
        <v>1</v>
      </c>
      <c r="I219" s="146"/>
      <c r="L219" s="143"/>
      <c r="N219" s="215"/>
      <c r="O219" s="216"/>
      <c r="Q219" s="230"/>
      <c r="BY219" s="147"/>
      <c r="CF219" s="148"/>
      <c r="DF219" s="144" t="s">
        <v>301</v>
      </c>
      <c r="DG219" s="144" t="s">
        <v>83</v>
      </c>
      <c r="DH219" s="11" t="s">
        <v>81</v>
      </c>
      <c r="DI219" s="11" t="s">
        <v>32</v>
      </c>
      <c r="DJ219" s="11" t="s">
        <v>74</v>
      </c>
      <c r="DK219" s="144" t="s">
        <v>282</v>
      </c>
    </row>
    <row r="220" spans="2:129" s="12" customFormat="1" x14ac:dyDescent="0.2">
      <c r="B220" s="149"/>
      <c r="D220" s="138" t="s">
        <v>301</v>
      </c>
      <c r="E220" s="150" t="s">
        <v>1</v>
      </c>
      <c r="F220" s="151" t="s">
        <v>2458</v>
      </c>
      <c r="H220" s="152">
        <v>115.117</v>
      </c>
      <c r="I220" s="153"/>
      <c r="L220" s="149"/>
      <c r="N220" s="217">
        <f>(289.293+289.293)*0.2</f>
        <v>115.71720000000001</v>
      </c>
      <c r="O220" s="218" t="s">
        <v>3592</v>
      </c>
      <c r="Q220" s="231"/>
      <c r="BY220" s="154"/>
      <c r="CF220" s="155"/>
      <c r="DF220" s="150" t="s">
        <v>301</v>
      </c>
      <c r="DG220" s="150" t="s">
        <v>83</v>
      </c>
      <c r="DH220" s="12" t="s">
        <v>83</v>
      </c>
      <c r="DI220" s="12" t="s">
        <v>32</v>
      </c>
      <c r="DJ220" s="12" t="s">
        <v>81</v>
      </c>
      <c r="DK220" s="150" t="s">
        <v>282</v>
      </c>
    </row>
    <row r="221" spans="2:129" s="12" customFormat="1" x14ac:dyDescent="0.2">
      <c r="B221" s="149"/>
      <c r="D221" s="138"/>
      <c r="E221" s="150"/>
      <c r="F221" s="151"/>
      <c r="H221" s="152"/>
      <c r="I221" s="153"/>
      <c r="L221" s="149"/>
      <c r="N221" s="310">
        <f>N220-H220</f>
        <v>0.60020000000000095</v>
      </c>
      <c r="O221" s="218"/>
      <c r="Q221" s="231"/>
      <c r="BY221" s="154"/>
      <c r="CF221" s="155"/>
      <c r="DF221" s="150"/>
      <c r="DG221" s="150"/>
      <c r="DK221" s="150"/>
    </row>
    <row r="222" spans="2:129" s="1" customFormat="1" ht="37.9" customHeight="1" x14ac:dyDescent="0.2">
      <c r="B222" s="124"/>
      <c r="C222" s="125" t="s">
        <v>397</v>
      </c>
      <c r="D222" s="125" t="s">
        <v>284</v>
      </c>
      <c r="E222" s="126" t="s">
        <v>2459</v>
      </c>
      <c r="F222" s="127" t="s">
        <v>2460</v>
      </c>
      <c r="G222" s="128" t="s">
        <v>344</v>
      </c>
      <c r="H222" s="129">
        <v>97.6</v>
      </c>
      <c r="I222" s="130">
        <v>1631.8453832385892</v>
      </c>
      <c r="J222" s="131">
        <f>ROUND(I222*H222,2)</f>
        <v>159268.10999999999</v>
      </c>
      <c r="K222" s="127" t="s">
        <v>293</v>
      </c>
      <c r="L222" s="198">
        <f>S222</f>
        <v>0</v>
      </c>
      <c r="M222" s="206">
        <f>ROUND(L222*I222,2)</f>
        <v>0</v>
      </c>
      <c r="N222" s="211">
        <f>N225</f>
        <v>0.12000000000000455</v>
      </c>
      <c r="O222" s="212">
        <f>ROUND(N222*I222,2)</f>
        <v>195.82</v>
      </c>
      <c r="P222" s="207">
        <f>H222-L222-N222</f>
        <v>97.47999999999999</v>
      </c>
      <c r="Q222" s="228">
        <f>ROUND(P222*I222,2)</f>
        <v>159072.29</v>
      </c>
      <c r="R222" s="199"/>
      <c r="S222" s="200">
        <f>W222+Y222+AA222+AC222+AE222+AG222+AI222+AK222+AM222+AO222+AQ222+AS222+AU222+AW222</f>
        <v>0</v>
      </c>
      <c r="T222" s="200">
        <f>ROUND(S222*I222,2)</f>
        <v>0</v>
      </c>
      <c r="U222" s="200">
        <f>H222-S222</f>
        <v>97.6</v>
      </c>
      <c r="V222" s="200">
        <f>ROUND(U222*I222,2)</f>
        <v>159268.10999999999</v>
      </c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BY222" s="132" t="s">
        <v>1</v>
      </c>
      <c r="BZ222" s="133" t="s">
        <v>40</v>
      </c>
      <c r="CB222" s="134">
        <f>CA222*H222</f>
        <v>0</v>
      </c>
      <c r="CC222" s="134">
        <v>2.7000000000000001E-3</v>
      </c>
      <c r="CD222" s="134">
        <f>CC222*H222</f>
        <v>0.26351999999999998</v>
      </c>
      <c r="CE222" s="134">
        <v>0</v>
      </c>
      <c r="CF222" s="135">
        <f>CE222*H222</f>
        <v>0</v>
      </c>
      <c r="DD222" s="136" t="s">
        <v>95</v>
      </c>
      <c r="DF222" s="136" t="s">
        <v>284</v>
      </c>
      <c r="DG222" s="136" t="s">
        <v>83</v>
      </c>
      <c r="DK222" s="16" t="s">
        <v>282</v>
      </c>
      <c r="DQ222" s="137">
        <f>IF(BZ222="základní",J222,0)</f>
        <v>159268.10999999999</v>
      </c>
      <c r="DR222" s="137">
        <f>IF(BZ222="snížená",J222,0)</f>
        <v>0</v>
      </c>
      <c r="DS222" s="137">
        <f>IF(BZ222="zákl. přenesená",J222,0)</f>
        <v>0</v>
      </c>
      <c r="DT222" s="137">
        <f>IF(BZ222="sníž. přenesená",J222,0)</f>
        <v>0</v>
      </c>
      <c r="DU222" s="137">
        <f>IF(BZ222="nulová",J222,0)</f>
        <v>0</v>
      </c>
      <c r="DV222" s="16" t="s">
        <v>81</v>
      </c>
      <c r="DW222" s="137">
        <f>ROUND(I222*H222,2)</f>
        <v>159268.10999999999</v>
      </c>
      <c r="DX222" s="16" t="s">
        <v>95</v>
      </c>
      <c r="DY222" s="136" t="s">
        <v>2461</v>
      </c>
    </row>
    <row r="223" spans="2:129" s="1" customFormat="1" ht="29.25" x14ac:dyDescent="0.2">
      <c r="B223" s="31"/>
      <c r="D223" s="138" t="s">
        <v>289</v>
      </c>
      <c r="F223" s="139" t="s">
        <v>2462</v>
      </c>
      <c r="I223" s="140"/>
      <c r="L223" s="31"/>
      <c r="N223" s="213"/>
      <c r="O223" s="214"/>
      <c r="Q223" s="229"/>
      <c r="BY223" s="141"/>
      <c r="CF223" s="50"/>
      <c r="DF223" s="16" t="s">
        <v>289</v>
      </c>
      <c r="DG223" s="16" t="s">
        <v>83</v>
      </c>
    </row>
    <row r="224" spans="2:129" s="1" customFormat="1" ht="29.25" x14ac:dyDescent="0.2">
      <c r="B224" s="31"/>
      <c r="D224" s="138" t="s">
        <v>299</v>
      </c>
      <c r="F224" s="142" t="s">
        <v>2431</v>
      </c>
      <c r="I224" s="140"/>
      <c r="L224" s="31"/>
      <c r="N224" s="213"/>
      <c r="O224" s="214"/>
      <c r="Q224" s="229"/>
      <c r="BY224" s="141"/>
      <c r="CF224" s="50"/>
      <c r="DF224" s="16" t="s">
        <v>299</v>
      </c>
      <c r="DG224" s="16" t="s">
        <v>83</v>
      </c>
    </row>
    <row r="225" spans="2:129" s="12" customFormat="1" x14ac:dyDescent="0.2">
      <c r="B225" s="149"/>
      <c r="D225" s="138" t="s">
        <v>301</v>
      </c>
      <c r="E225" s="150" t="s">
        <v>1</v>
      </c>
      <c r="F225" s="151" t="s">
        <v>2463</v>
      </c>
      <c r="H225" s="152">
        <v>97.6</v>
      </c>
      <c r="I225" s="153"/>
      <c r="L225" s="149"/>
      <c r="N225" s="217">
        <f>97.72-97.6</f>
        <v>0.12000000000000455</v>
      </c>
      <c r="O225" s="218" t="s">
        <v>3593</v>
      </c>
      <c r="Q225" s="231"/>
      <c r="BY225" s="154"/>
      <c r="CF225" s="155"/>
      <c r="DF225" s="150" t="s">
        <v>301</v>
      </c>
      <c r="DG225" s="150" t="s">
        <v>83</v>
      </c>
      <c r="DH225" s="12" t="s">
        <v>83</v>
      </c>
      <c r="DI225" s="12" t="s">
        <v>32</v>
      </c>
      <c r="DJ225" s="12" t="s">
        <v>81</v>
      </c>
      <c r="DK225" s="150" t="s">
        <v>282</v>
      </c>
    </row>
    <row r="226" spans="2:129" s="1" customFormat="1" ht="24.2" customHeight="1" x14ac:dyDescent="0.2">
      <c r="B226" s="124"/>
      <c r="C226" s="170" t="s">
        <v>404</v>
      </c>
      <c r="D226" s="170" t="s">
        <v>439</v>
      </c>
      <c r="E226" s="171" t="s">
        <v>2464</v>
      </c>
      <c r="F226" s="172" t="s">
        <v>2334</v>
      </c>
      <c r="G226" s="173" t="s">
        <v>344</v>
      </c>
      <c r="H226" s="174">
        <v>102.48</v>
      </c>
      <c r="I226" s="175">
        <v>347.62816190000001</v>
      </c>
      <c r="J226" s="176">
        <f>ROUND(I226*H226,2)</f>
        <v>35624.93</v>
      </c>
      <c r="K226" s="172" t="s">
        <v>1</v>
      </c>
      <c r="L226" s="198">
        <f>S226</f>
        <v>0</v>
      </c>
      <c r="M226" s="206">
        <f>ROUND(L226*I226,2)</f>
        <v>0</v>
      </c>
      <c r="N226" s="211">
        <f>N228</f>
        <v>0.126</v>
      </c>
      <c r="O226" s="212">
        <f>ROUND(N226*I226,2)</f>
        <v>43.8</v>
      </c>
      <c r="P226" s="207">
        <f>H226-L226-N226</f>
        <v>102.354</v>
      </c>
      <c r="Q226" s="228">
        <f>ROUND(P226*I226,2)</f>
        <v>35581.129999999997</v>
      </c>
      <c r="R226" s="199"/>
      <c r="S226" s="200">
        <f>W226+Y226+AA226+AC226+AE226+AG226+AI226+AK226+AM226+AO226+AQ226+AS226+AU226+AW226</f>
        <v>0</v>
      </c>
      <c r="T226" s="200">
        <f>ROUND(S226*I226,2)</f>
        <v>0</v>
      </c>
      <c r="U226" s="200">
        <f>H226-S226</f>
        <v>102.48</v>
      </c>
      <c r="V226" s="200">
        <f>ROUND(U226*I226,2)</f>
        <v>35624.93</v>
      </c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77" t="s">
        <v>1</v>
      </c>
      <c r="BZ226" s="178" t="s">
        <v>40</v>
      </c>
      <c r="CB226" s="134">
        <f>CA226*H226</f>
        <v>0</v>
      </c>
      <c r="CC226" s="134">
        <v>3.1800000000000001E-3</v>
      </c>
      <c r="CD226" s="134">
        <f>CC226*H226</f>
        <v>0.32588640000000002</v>
      </c>
      <c r="CE226" s="134">
        <v>0</v>
      </c>
      <c r="CF226" s="135">
        <f>CE226*H226</f>
        <v>0</v>
      </c>
      <c r="DD226" s="136" t="s">
        <v>328</v>
      </c>
      <c r="DF226" s="136" t="s">
        <v>439</v>
      </c>
      <c r="DG226" s="136" t="s">
        <v>83</v>
      </c>
      <c r="DK226" s="16" t="s">
        <v>282</v>
      </c>
      <c r="DQ226" s="137">
        <f>IF(BZ226="základní",J226,0)</f>
        <v>35624.93</v>
      </c>
      <c r="DR226" s="137">
        <f>IF(BZ226="snížená",J226,0)</f>
        <v>0</v>
      </c>
      <c r="DS226" s="137">
        <f>IF(BZ226="zákl. přenesená",J226,0)</f>
        <v>0</v>
      </c>
      <c r="DT226" s="137">
        <f>IF(BZ226="sníž. přenesená",J226,0)</f>
        <v>0</v>
      </c>
      <c r="DU226" s="137">
        <f>IF(BZ226="nulová",J226,0)</f>
        <v>0</v>
      </c>
      <c r="DV226" s="16" t="s">
        <v>81</v>
      </c>
      <c r="DW226" s="137">
        <f>ROUND(I226*H226,2)</f>
        <v>35624.93</v>
      </c>
      <c r="DX226" s="16" t="s">
        <v>95</v>
      </c>
      <c r="DY226" s="136" t="s">
        <v>2465</v>
      </c>
    </row>
    <row r="227" spans="2:129" s="1" customFormat="1" ht="19.5" x14ac:dyDescent="0.2">
      <c r="B227" s="31"/>
      <c r="D227" s="138" t="s">
        <v>289</v>
      </c>
      <c r="F227" s="139" t="s">
        <v>2334</v>
      </c>
      <c r="I227" s="140"/>
      <c r="L227" s="31"/>
      <c r="N227" s="213"/>
      <c r="O227" s="214"/>
      <c r="Q227" s="229"/>
      <c r="BY227" s="141"/>
      <c r="CF227" s="50"/>
      <c r="DF227" s="16" t="s">
        <v>289</v>
      </c>
      <c r="DG227" s="16" t="s">
        <v>83</v>
      </c>
    </row>
    <row r="228" spans="2:129" s="12" customFormat="1" x14ac:dyDescent="0.2">
      <c r="B228" s="149"/>
      <c r="D228" s="138" t="s">
        <v>301</v>
      </c>
      <c r="F228" s="151" t="s">
        <v>2466</v>
      </c>
      <c r="H228" s="152">
        <v>102.48</v>
      </c>
      <c r="I228" s="153"/>
      <c r="L228" s="149"/>
      <c r="N228" s="217">
        <f>0.12*1.05</f>
        <v>0.126</v>
      </c>
      <c r="O228" s="218" t="s">
        <v>3594</v>
      </c>
      <c r="Q228" s="231"/>
      <c r="BY228" s="154"/>
      <c r="CF228" s="155"/>
      <c r="DF228" s="150" t="s">
        <v>301</v>
      </c>
      <c r="DG228" s="150" t="s">
        <v>83</v>
      </c>
      <c r="DH228" s="12" t="s">
        <v>83</v>
      </c>
      <c r="DI228" s="12" t="s">
        <v>3</v>
      </c>
      <c r="DJ228" s="12" t="s">
        <v>81</v>
      </c>
      <c r="DK228" s="150" t="s">
        <v>282</v>
      </c>
    </row>
    <row r="229" spans="2:129" s="1" customFormat="1" ht="14.45" customHeight="1" x14ac:dyDescent="0.2">
      <c r="B229" s="124"/>
      <c r="C229" s="125" t="s">
        <v>7</v>
      </c>
      <c r="D229" s="125" t="s">
        <v>284</v>
      </c>
      <c r="E229" s="126" t="s">
        <v>1848</v>
      </c>
      <c r="F229" s="127" t="s">
        <v>1849</v>
      </c>
      <c r="G229" s="128" t="s">
        <v>287</v>
      </c>
      <c r="H229" s="129">
        <v>56.29</v>
      </c>
      <c r="I229" s="130">
        <v>1000.41610079359</v>
      </c>
      <c r="J229" s="131">
        <f>ROUND(I229*H229,2)</f>
        <v>56313.42</v>
      </c>
      <c r="K229" s="127" t="s">
        <v>293</v>
      </c>
      <c r="L229" s="198">
        <f>S229</f>
        <v>0</v>
      </c>
      <c r="M229" s="206">
        <f>ROUND(L229*I229,2)</f>
        <v>0</v>
      </c>
      <c r="N229" s="211"/>
      <c r="O229" s="212">
        <f>ROUND(N229*I229,2)</f>
        <v>0</v>
      </c>
      <c r="P229" s="207">
        <f>H229-L229-N229</f>
        <v>56.29</v>
      </c>
      <c r="Q229" s="228">
        <f>ROUND(P229*I229,2)</f>
        <v>56313.42</v>
      </c>
      <c r="R229" s="199"/>
      <c r="S229" s="200">
        <f>W229+Y229+AA229+AC229+AE229+AG229+AI229+AK229+AM229+AO229+AQ229+AS229+AU229+AW229</f>
        <v>0</v>
      </c>
      <c r="T229" s="200">
        <f>ROUND(S229*I229,2)</f>
        <v>0</v>
      </c>
      <c r="U229" s="200">
        <f>H229-S229</f>
        <v>56.29</v>
      </c>
      <c r="V229" s="200">
        <f>ROUND(U229*I229,2)</f>
        <v>56313.42</v>
      </c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200"/>
      <c r="BY229" s="132" t="s">
        <v>1</v>
      </c>
      <c r="BZ229" s="133" t="s">
        <v>40</v>
      </c>
      <c r="CB229" s="134">
        <f>CA229*H229</f>
        <v>0</v>
      </c>
      <c r="CC229" s="134">
        <v>4.4400000000000004E-3</v>
      </c>
      <c r="CD229" s="134">
        <f>CC229*H229</f>
        <v>0.24992760000000003</v>
      </c>
      <c r="CE229" s="134">
        <v>0</v>
      </c>
      <c r="CF229" s="135">
        <f>CE229*H229</f>
        <v>0</v>
      </c>
      <c r="DD229" s="136" t="s">
        <v>95</v>
      </c>
      <c r="DF229" s="136" t="s">
        <v>284</v>
      </c>
      <c r="DG229" s="136" t="s">
        <v>83</v>
      </c>
      <c r="DK229" s="16" t="s">
        <v>282</v>
      </c>
      <c r="DQ229" s="137">
        <f>IF(BZ229="základní",J229,0)</f>
        <v>56313.42</v>
      </c>
      <c r="DR229" s="137">
        <f>IF(BZ229="snížená",J229,0)</f>
        <v>0</v>
      </c>
      <c r="DS229" s="137">
        <f>IF(BZ229="zákl. přenesená",J229,0)</f>
        <v>0</v>
      </c>
      <c r="DT229" s="137">
        <f>IF(BZ229="sníž. přenesená",J229,0)</f>
        <v>0</v>
      </c>
      <c r="DU229" s="137">
        <f>IF(BZ229="nulová",J229,0)</f>
        <v>0</v>
      </c>
      <c r="DV229" s="16" t="s">
        <v>81</v>
      </c>
      <c r="DW229" s="137">
        <f>ROUND(I229*H229,2)</f>
        <v>56313.42</v>
      </c>
      <c r="DX229" s="16" t="s">
        <v>95</v>
      </c>
      <c r="DY229" s="136" t="s">
        <v>2467</v>
      </c>
    </row>
    <row r="230" spans="2:129" s="1" customFormat="1" ht="19.5" x14ac:dyDescent="0.2">
      <c r="B230" s="31"/>
      <c r="D230" s="138" t="s">
        <v>289</v>
      </c>
      <c r="F230" s="139" t="s">
        <v>1851</v>
      </c>
      <c r="I230" s="140"/>
      <c r="L230" s="31"/>
      <c r="N230" s="213"/>
      <c r="O230" s="214"/>
      <c r="Q230" s="229"/>
      <c r="BY230" s="141"/>
      <c r="CF230" s="50"/>
      <c r="DF230" s="16" t="s">
        <v>289</v>
      </c>
      <c r="DG230" s="16" t="s">
        <v>83</v>
      </c>
    </row>
    <row r="231" spans="2:129" s="1" customFormat="1" ht="29.25" x14ac:dyDescent="0.2">
      <c r="B231" s="31"/>
      <c r="D231" s="138" t="s">
        <v>299</v>
      </c>
      <c r="F231" s="142" t="s">
        <v>2431</v>
      </c>
      <c r="I231" s="140"/>
      <c r="L231" s="31"/>
      <c r="N231" s="213"/>
      <c r="O231" s="214"/>
      <c r="Q231" s="229"/>
      <c r="BY231" s="141"/>
      <c r="CF231" s="50"/>
      <c r="DF231" s="16" t="s">
        <v>299</v>
      </c>
      <c r="DG231" s="16" t="s">
        <v>83</v>
      </c>
    </row>
    <row r="232" spans="2:129" s="12" customFormat="1" x14ac:dyDescent="0.2">
      <c r="B232" s="149"/>
      <c r="D232" s="138" t="s">
        <v>301</v>
      </c>
      <c r="E232" s="150" t="s">
        <v>1</v>
      </c>
      <c r="F232" s="151" t="s">
        <v>2468</v>
      </c>
      <c r="H232" s="152">
        <v>56.29</v>
      </c>
      <c r="I232" s="153"/>
      <c r="L232" s="149"/>
      <c r="N232" s="217"/>
      <c r="O232" s="218"/>
      <c r="Q232" s="231"/>
      <c r="BY232" s="154"/>
      <c r="CF232" s="155"/>
      <c r="DF232" s="150" t="s">
        <v>301</v>
      </c>
      <c r="DG232" s="150" t="s">
        <v>83</v>
      </c>
      <c r="DH232" s="12" t="s">
        <v>83</v>
      </c>
      <c r="DI232" s="12" t="s">
        <v>32</v>
      </c>
      <c r="DJ232" s="12" t="s">
        <v>81</v>
      </c>
      <c r="DK232" s="150" t="s">
        <v>282</v>
      </c>
    </row>
    <row r="233" spans="2:129" s="1" customFormat="1" ht="14.45" customHeight="1" x14ac:dyDescent="0.2">
      <c r="B233" s="124"/>
      <c r="C233" s="125" t="s">
        <v>415</v>
      </c>
      <c r="D233" s="125" t="s">
        <v>284</v>
      </c>
      <c r="E233" s="126" t="s">
        <v>1853</v>
      </c>
      <c r="F233" s="127" t="s">
        <v>1854</v>
      </c>
      <c r="G233" s="128" t="s">
        <v>287</v>
      </c>
      <c r="H233" s="129">
        <v>56.29</v>
      </c>
      <c r="I233" s="130">
        <v>176.46630360754</v>
      </c>
      <c r="J233" s="131">
        <f>ROUND(I233*H233,2)</f>
        <v>9933.2900000000009</v>
      </c>
      <c r="K233" s="127" t="s">
        <v>293</v>
      </c>
      <c r="L233" s="198">
        <f>S233</f>
        <v>0</v>
      </c>
      <c r="M233" s="206">
        <f>ROUND(L233*I233,2)</f>
        <v>0</v>
      </c>
      <c r="N233" s="211"/>
      <c r="O233" s="212">
        <f>ROUND(N233*I233,2)</f>
        <v>0</v>
      </c>
      <c r="P233" s="207">
        <f>H233-L233-N233</f>
        <v>56.29</v>
      </c>
      <c r="Q233" s="228">
        <f>ROUND(P233*I233,2)</f>
        <v>9933.2900000000009</v>
      </c>
      <c r="R233" s="199"/>
      <c r="S233" s="200">
        <f>W233+Y233+AA233+AC233+AE233+AG233+AI233+AK233+AM233+AO233+AQ233+AS233+AU233+AW233</f>
        <v>0</v>
      </c>
      <c r="T233" s="200">
        <f>ROUND(S233*I233,2)</f>
        <v>0</v>
      </c>
      <c r="U233" s="200">
        <f>H233-S233</f>
        <v>56.29</v>
      </c>
      <c r="V233" s="200">
        <f>ROUND(U233*I233,2)</f>
        <v>9933.2900000000009</v>
      </c>
      <c r="W233" s="200"/>
      <c r="X233" s="200"/>
      <c r="Y233" s="200"/>
      <c r="Z233" s="200"/>
      <c r="AA233" s="200"/>
      <c r="AB233" s="200"/>
      <c r="AC233" s="200"/>
      <c r="AD233" s="200"/>
      <c r="AE233" s="200"/>
      <c r="AF233" s="200"/>
      <c r="AG233" s="200"/>
      <c r="AH233" s="200"/>
      <c r="AI233" s="200"/>
      <c r="AJ233" s="200"/>
      <c r="AK233" s="200"/>
      <c r="AL233" s="200"/>
      <c r="AM233" s="200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200"/>
      <c r="BY233" s="132" t="s">
        <v>1</v>
      </c>
      <c r="BZ233" s="133" t="s">
        <v>40</v>
      </c>
      <c r="CB233" s="134">
        <f>CA233*H233</f>
        <v>0</v>
      </c>
      <c r="CC233" s="134">
        <v>0</v>
      </c>
      <c r="CD233" s="134">
        <f>CC233*H233</f>
        <v>0</v>
      </c>
      <c r="CE233" s="134">
        <v>0</v>
      </c>
      <c r="CF233" s="135">
        <f>CE233*H233</f>
        <v>0</v>
      </c>
      <c r="DD233" s="136" t="s">
        <v>95</v>
      </c>
      <c r="DF233" s="136" t="s">
        <v>284</v>
      </c>
      <c r="DG233" s="136" t="s">
        <v>83</v>
      </c>
      <c r="DK233" s="16" t="s">
        <v>282</v>
      </c>
      <c r="DQ233" s="137">
        <f>IF(BZ233="základní",J233,0)</f>
        <v>9933.2900000000009</v>
      </c>
      <c r="DR233" s="137">
        <f>IF(BZ233="snížená",J233,0)</f>
        <v>0</v>
      </c>
      <c r="DS233" s="137">
        <f>IF(BZ233="zákl. přenesená",J233,0)</f>
        <v>0</v>
      </c>
      <c r="DT233" s="137">
        <f>IF(BZ233="sníž. přenesená",J233,0)</f>
        <v>0</v>
      </c>
      <c r="DU233" s="137">
        <f>IF(BZ233="nulová",J233,0)</f>
        <v>0</v>
      </c>
      <c r="DV233" s="16" t="s">
        <v>81</v>
      </c>
      <c r="DW233" s="137">
        <f>ROUND(I233*H233,2)</f>
        <v>9933.2900000000009</v>
      </c>
      <c r="DX233" s="16" t="s">
        <v>95</v>
      </c>
      <c r="DY233" s="136" t="s">
        <v>2469</v>
      </c>
    </row>
    <row r="234" spans="2:129" s="1" customFormat="1" ht="29.25" x14ac:dyDescent="0.2">
      <c r="B234" s="31"/>
      <c r="D234" s="138" t="s">
        <v>289</v>
      </c>
      <c r="F234" s="139" t="s">
        <v>1856</v>
      </c>
      <c r="I234" s="140"/>
      <c r="L234" s="31"/>
      <c r="N234" s="213"/>
      <c r="O234" s="214"/>
      <c r="Q234" s="229"/>
      <c r="BY234" s="141"/>
      <c r="CF234" s="50"/>
      <c r="DF234" s="16" t="s">
        <v>289</v>
      </c>
      <c r="DG234" s="16" t="s">
        <v>83</v>
      </c>
    </row>
    <row r="235" spans="2:129" s="1" customFormat="1" ht="19.5" x14ac:dyDescent="0.2">
      <c r="B235" s="31"/>
      <c r="D235" s="138" t="s">
        <v>299</v>
      </c>
      <c r="F235" s="142" t="s">
        <v>317</v>
      </c>
      <c r="I235" s="140"/>
      <c r="L235" s="31"/>
      <c r="N235" s="213"/>
      <c r="O235" s="214"/>
      <c r="Q235" s="229"/>
      <c r="BY235" s="141"/>
      <c r="CF235" s="50"/>
      <c r="DF235" s="16" t="s">
        <v>299</v>
      </c>
      <c r="DG235" s="16" t="s">
        <v>83</v>
      </c>
    </row>
    <row r="236" spans="2:129" s="1" customFormat="1" ht="14.45" customHeight="1" x14ac:dyDescent="0.2">
      <c r="B236" s="124"/>
      <c r="C236" s="125" t="s">
        <v>422</v>
      </c>
      <c r="D236" s="125" t="s">
        <v>284</v>
      </c>
      <c r="E236" s="126" t="s">
        <v>387</v>
      </c>
      <c r="F236" s="127" t="s">
        <v>388</v>
      </c>
      <c r="G236" s="128" t="s">
        <v>287</v>
      </c>
      <c r="H236" s="129">
        <v>1512</v>
      </c>
      <c r="I236" s="130">
        <v>156.6895922457376</v>
      </c>
      <c r="J236" s="131">
        <f>ROUND(I236*H236,2)</f>
        <v>236914.66</v>
      </c>
      <c r="K236" s="127" t="s">
        <v>293</v>
      </c>
      <c r="L236" s="198">
        <f>S236</f>
        <v>0</v>
      </c>
      <c r="M236" s="206">
        <f>ROUND(L236*I236,2)</f>
        <v>0</v>
      </c>
      <c r="N236" s="211">
        <f>N242</f>
        <v>8.8920000000000528</v>
      </c>
      <c r="O236" s="212">
        <f>ROUND(N236*I236,2)</f>
        <v>1393.28</v>
      </c>
      <c r="P236" s="207">
        <f>H236-L236-N236</f>
        <v>1503.1079999999999</v>
      </c>
      <c r="Q236" s="228">
        <f>ROUND(P236*I236,2)</f>
        <v>235521.38</v>
      </c>
      <c r="R236" s="199"/>
      <c r="S236" s="200">
        <f>W236+Y236+AA236+AC236+AE236+AG236+AI236+AK236+AM236+AO236+AQ236+AS236+AU236+AW236</f>
        <v>0</v>
      </c>
      <c r="T236" s="200">
        <f>ROUND(S236*I236,2)</f>
        <v>0</v>
      </c>
      <c r="U236" s="200">
        <f>H236-S236</f>
        <v>1512</v>
      </c>
      <c r="V236" s="200">
        <f>ROUND(U236*I236,2)</f>
        <v>236914.66</v>
      </c>
      <c r="W236" s="200"/>
      <c r="X236" s="200"/>
      <c r="Y236" s="200"/>
      <c r="Z236" s="200"/>
      <c r="AA236" s="200"/>
      <c r="AB236" s="200"/>
      <c r="AC236" s="200"/>
      <c r="AD236" s="200"/>
      <c r="AE236" s="200"/>
      <c r="AF236" s="200"/>
      <c r="AG236" s="200"/>
      <c r="AH236" s="200"/>
      <c r="AI236" s="200"/>
      <c r="AJ236" s="200"/>
      <c r="AK236" s="200"/>
      <c r="AL236" s="200"/>
      <c r="AM236" s="200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200"/>
      <c r="BY236" s="132" t="s">
        <v>1</v>
      </c>
      <c r="BZ236" s="133" t="s">
        <v>40</v>
      </c>
      <c r="CB236" s="134">
        <f>CA236*H236</f>
        <v>0</v>
      </c>
      <c r="CC236" s="134">
        <v>5.9000000000000003E-4</v>
      </c>
      <c r="CD236" s="134">
        <f>CC236*H236</f>
        <v>0.8920800000000001</v>
      </c>
      <c r="CE236" s="134">
        <v>0</v>
      </c>
      <c r="CF236" s="135">
        <f>CE236*H236</f>
        <v>0</v>
      </c>
      <c r="DD236" s="136" t="s">
        <v>95</v>
      </c>
      <c r="DF236" s="136" t="s">
        <v>284</v>
      </c>
      <c r="DG236" s="136" t="s">
        <v>83</v>
      </c>
      <c r="DK236" s="16" t="s">
        <v>282</v>
      </c>
      <c r="DQ236" s="137">
        <f>IF(BZ236="základní",J236,0)</f>
        <v>236914.66</v>
      </c>
      <c r="DR236" s="137">
        <f>IF(BZ236="snížená",J236,0)</f>
        <v>0</v>
      </c>
      <c r="DS236" s="137">
        <f>IF(BZ236="zákl. přenesená",J236,0)</f>
        <v>0</v>
      </c>
      <c r="DT236" s="137">
        <f>IF(BZ236="sníž. přenesená",J236,0)</f>
        <v>0</v>
      </c>
      <c r="DU236" s="137">
        <f>IF(BZ236="nulová",J236,0)</f>
        <v>0</v>
      </c>
      <c r="DV236" s="16" t="s">
        <v>81</v>
      </c>
      <c r="DW236" s="137">
        <f>ROUND(I236*H236,2)</f>
        <v>236914.66</v>
      </c>
      <c r="DX236" s="16" t="s">
        <v>95</v>
      </c>
      <c r="DY236" s="136" t="s">
        <v>389</v>
      </c>
    </row>
    <row r="237" spans="2:129" s="1" customFormat="1" ht="19.5" x14ac:dyDescent="0.2">
      <c r="B237" s="31"/>
      <c r="D237" s="138" t="s">
        <v>289</v>
      </c>
      <c r="F237" s="139" t="s">
        <v>390</v>
      </c>
      <c r="I237" s="140"/>
      <c r="L237" s="31"/>
      <c r="N237" s="213"/>
      <c r="O237" s="214"/>
      <c r="Q237" s="229"/>
      <c r="BY237" s="141"/>
      <c r="CF237" s="50"/>
      <c r="DF237" s="16" t="s">
        <v>289</v>
      </c>
      <c r="DG237" s="16" t="s">
        <v>83</v>
      </c>
    </row>
    <row r="238" spans="2:129" s="1" customFormat="1" ht="29.25" x14ac:dyDescent="0.2">
      <c r="B238" s="31"/>
      <c r="D238" s="138" t="s">
        <v>299</v>
      </c>
      <c r="F238" s="142" t="s">
        <v>2431</v>
      </c>
      <c r="I238" s="140"/>
      <c r="L238" s="31"/>
      <c r="N238" s="213"/>
      <c r="O238" s="214"/>
      <c r="Q238" s="229"/>
      <c r="BY238" s="141"/>
      <c r="CF238" s="50"/>
      <c r="DF238" s="16" t="s">
        <v>299</v>
      </c>
      <c r="DG238" s="16" t="s">
        <v>83</v>
      </c>
    </row>
    <row r="239" spans="2:129" s="12" customFormat="1" x14ac:dyDescent="0.2">
      <c r="B239" s="149"/>
      <c r="D239" s="138" t="s">
        <v>301</v>
      </c>
      <c r="E239" s="150" t="s">
        <v>1</v>
      </c>
      <c r="F239" s="151" t="s">
        <v>2470</v>
      </c>
      <c r="H239" s="152">
        <v>1501.2</v>
      </c>
      <c r="I239" s="153"/>
      <c r="L239" s="149"/>
      <c r="N239" s="217">
        <f>(517.19-97.72)*1.8*2</f>
        <v>1510.0920000000001</v>
      </c>
      <c r="O239" s="218" t="s">
        <v>3595</v>
      </c>
      <c r="Q239" s="231"/>
      <c r="BY239" s="154"/>
      <c r="CF239" s="155"/>
      <c r="DF239" s="150" t="s">
        <v>301</v>
      </c>
      <c r="DG239" s="150" t="s">
        <v>83</v>
      </c>
      <c r="DH239" s="12" t="s">
        <v>83</v>
      </c>
      <c r="DI239" s="12" t="s">
        <v>32</v>
      </c>
      <c r="DJ239" s="12" t="s">
        <v>74</v>
      </c>
      <c r="DK239" s="150" t="s">
        <v>282</v>
      </c>
    </row>
    <row r="240" spans="2:129" s="12" customFormat="1" x14ac:dyDescent="0.2">
      <c r="B240" s="149"/>
      <c r="D240" s="138" t="s">
        <v>301</v>
      </c>
      <c r="E240" s="150" t="s">
        <v>1</v>
      </c>
      <c r="F240" s="151" t="s">
        <v>2471</v>
      </c>
      <c r="H240" s="152">
        <v>10.8</v>
      </c>
      <c r="I240" s="153"/>
      <c r="L240" s="149"/>
      <c r="N240" s="310">
        <f>H240</f>
        <v>10.8</v>
      </c>
      <c r="O240" s="218"/>
      <c r="Q240" s="231"/>
      <c r="BY240" s="154"/>
      <c r="CF240" s="155"/>
      <c r="DF240" s="150" t="s">
        <v>301</v>
      </c>
      <c r="DG240" s="150" t="s">
        <v>83</v>
      </c>
      <c r="DH240" s="12" t="s">
        <v>83</v>
      </c>
      <c r="DI240" s="12" t="s">
        <v>32</v>
      </c>
      <c r="DJ240" s="12" t="s">
        <v>74</v>
      </c>
      <c r="DK240" s="150" t="s">
        <v>282</v>
      </c>
    </row>
    <row r="241" spans="2:129" s="13" customFormat="1" x14ac:dyDescent="0.2">
      <c r="B241" s="156"/>
      <c r="D241" s="138" t="s">
        <v>301</v>
      </c>
      <c r="E241" s="157" t="s">
        <v>1</v>
      </c>
      <c r="F241" s="158" t="s">
        <v>305</v>
      </c>
      <c r="H241" s="159">
        <v>1512</v>
      </c>
      <c r="I241" s="160"/>
      <c r="L241" s="156"/>
      <c r="N241" s="311">
        <f>N239+N240</f>
        <v>1520.8920000000001</v>
      </c>
      <c r="O241" s="220"/>
      <c r="Q241" s="232"/>
      <c r="BY241" s="161"/>
      <c r="CF241" s="162"/>
      <c r="DF241" s="157" t="s">
        <v>301</v>
      </c>
      <c r="DG241" s="157" t="s">
        <v>83</v>
      </c>
      <c r="DH241" s="13" t="s">
        <v>95</v>
      </c>
      <c r="DI241" s="13" t="s">
        <v>32</v>
      </c>
      <c r="DJ241" s="13" t="s">
        <v>81</v>
      </c>
      <c r="DK241" s="157" t="s">
        <v>282</v>
      </c>
    </row>
    <row r="242" spans="2:129" s="13" customFormat="1" x14ac:dyDescent="0.2">
      <c r="B242" s="156"/>
      <c r="D242" s="138"/>
      <c r="E242" s="157"/>
      <c r="F242" s="158"/>
      <c r="H242" s="159"/>
      <c r="I242" s="160"/>
      <c r="L242" s="156"/>
      <c r="N242" s="311">
        <f>N241-H241</f>
        <v>8.8920000000000528</v>
      </c>
      <c r="O242" s="220"/>
      <c r="Q242" s="232"/>
      <c r="BY242" s="161"/>
      <c r="CF242" s="162"/>
      <c r="DF242" s="157"/>
      <c r="DG242" s="157"/>
      <c r="DK242" s="157"/>
    </row>
    <row r="243" spans="2:129" s="1" customFormat="1" ht="24" customHeight="1" x14ac:dyDescent="0.2">
      <c r="B243" s="124"/>
      <c r="C243" s="125" t="s">
        <v>438</v>
      </c>
      <c r="D243" s="125" t="s">
        <v>284</v>
      </c>
      <c r="E243" s="126" t="s">
        <v>393</v>
      </c>
      <c r="F243" s="127" t="s">
        <v>394</v>
      </c>
      <c r="G243" s="128" t="s">
        <v>287</v>
      </c>
      <c r="H243" s="129">
        <v>1512</v>
      </c>
      <c r="I243" s="130">
        <v>103.33666316345877</v>
      </c>
      <c r="J243" s="131">
        <f>ROUND(I243*H243,2)</f>
        <v>156245.03</v>
      </c>
      <c r="K243" s="127" t="s">
        <v>293</v>
      </c>
      <c r="L243" s="198">
        <f>S243</f>
        <v>0</v>
      </c>
      <c r="M243" s="206">
        <f>ROUND(L243*I243,2)</f>
        <v>0</v>
      </c>
      <c r="N243" s="211">
        <f>N236</f>
        <v>8.8920000000000528</v>
      </c>
      <c r="O243" s="212">
        <f>ROUND(N243*I243,2)</f>
        <v>918.87</v>
      </c>
      <c r="P243" s="207">
        <f>H243-L243-N243</f>
        <v>1503.1079999999999</v>
      </c>
      <c r="Q243" s="228">
        <f>ROUND(P243*I243,2)</f>
        <v>155326.17000000001</v>
      </c>
      <c r="R243" s="199"/>
      <c r="S243" s="200">
        <f>W243+Y243+AA243+AC243+AE243+AG243+AI243+AK243+AM243+AO243+AQ243+AS243+AU243+AW243</f>
        <v>0</v>
      </c>
      <c r="T243" s="200">
        <f>ROUND(S243*I243,2)</f>
        <v>0</v>
      </c>
      <c r="U243" s="200">
        <f>H243-S243</f>
        <v>1512</v>
      </c>
      <c r="V243" s="200">
        <f>ROUND(U243*I243,2)</f>
        <v>156245.03</v>
      </c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BY243" s="132" t="s">
        <v>1</v>
      </c>
      <c r="BZ243" s="133" t="s">
        <v>40</v>
      </c>
      <c r="CB243" s="134">
        <f>CA243*H243</f>
        <v>0</v>
      </c>
      <c r="CC243" s="134">
        <v>0</v>
      </c>
      <c r="CD243" s="134">
        <f>CC243*H243</f>
        <v>0</v>
      </c>
      <c r="CE243" s="134">
        <v>0</v>
      </c>
      <c r="CF243" s="135">
        <f>CE243*H243</f>
        <v>0</v>
      </c>
      <c r="DD243" s="136" t="s">
        <v>95</v>
      </c>
      <c r="DF243" s="136" t="s">
        <v>284</v>
      </c>
      <c r="DG243" s="136" t="s">
        <v>83</v>
      </c>
      <c r="DK243" s="16" t="s">
        <v>282</v>
      </c>
      <c r="DQ243" s="137">
        <f>IF(BZ243="základní",J243,0)</f>
        <v>156245.03</v>
      </c>
      <c r="DR243" s="137">
        <f>IF(BZ243="snížená",J243,0)</f>
        <v>0</v>
      </c>
      <c r="DS243" s="137">
        <f>IF(BZ243="zákl. přenesená",J243,0)</f>
        <v>0</v>
      </c>
      <c r="DT243" s="137">
        <f>IF(BZ243="sníž. přenesená",J243,0)</f>
        <v>0</v>
      </c>
      <c r="DU243" s="137">
        <f>IF(BZ243="nulová",J243,0)</f>
        <v>0</v>
      </c>
      <c r="DV243" s="16" t="s">
        <v>81</v>
      </c>
      <c r="DW243" s="137">
        <f>ROUND(I243*H243,2)</f>
        <v>156245.03</v>
      </c>
      <c r="DX243" s="16" t="s">
        <v>95</v>
      </c>
      <c r="DY243" s="136" t="s">
        <v>395</v>
      </c>
    </row>
    <row r="244" spans="2:129" s="1" customFormat="1" ht="19.5" x14ac:dyDescent="0.2">
      <c r="B244" s="31"/>
      <c r="D244" s="138" t="s">
        <v>289</v>
      </c>
      <c r="F244" s="139" t="s">
        <v>396</v>
      </c>
      <c r="I244" s="140"/>
      <c r="L244" s="31"/>
      <c r="N244" s="213"/>
      <c r="O244" s="214"/>
      <c r="Q244" s="229"/>
      <c r="BY244" s="141"/>
      <c r="CF244" s="50"/>
      <c r="DF244" s="16" t="s">
        <v>289</v>
      </c>
      <c r="DG244" s="16" t="s">
        <v>83</v>
      </c>
    </row>
    <row r="245" spans="2:129" s="1" customFormat="1" ht="37.9" customHeight="1" x14ac:dyDescent="0.2">
      <c r="B245" s="124"/>
      <c r="C245" s="125" t="s">
        <v>445</v>
      </c>
      <c r="D245" s="125" t="s">
        <v>284</v>
      </c>
      <c r="E245" s="126" t="s">
        <v>398</v>
      </c>
      <c r="F245" s="127" t="s">
        <v>399</v>
      </c>
      <c r="G245" s="128" t="s">
        <v>366</v>
      </c>
      <c r="H245" s="129">
        <v>647.64599999999996</v>
      </c>
      <c r="I245" s="130">
        <v>262.06861194786097</v>
      </c>
      <c r="J245" s="131">
        <f>ROUND(I245*H245,2)</f>
        <v>169727.69</v>
      </c>
      <c r="K245" s="127" t="s">
        <v>293</v>
      </c>
      <c r="L245" s="198">
        <f>S245</f>
        <v>0</v>
      </c>
      <c r="M245" s="206">
        <f>ROUND(L245*I245,2)</f>
        <v>0</v>
      </c>
      <c r="N245" s="211">
        <f>N254</f>
        <v>3</v>
      </c>
      <c r="O245" s="212">
        <f>ROUND(N245*I245,2)</f>
        <v>786.21</v>
      </c>
      <c r="P245" s="207">
        <f>H245-L245-N245</f>
        <v>644.64599999999996</v>
      </c>
      <c r="Q245" s="228">
        <f>ROUND(P245*I245,2)</f>
        <v>168941.48</v>
      </c>
      <c r="R245" s="199"/>
      <c r="S245" s="200">
        <f>W245+Y245+AA245+AC245+AE245+AG245+AI245+AK245+AM245+AO245+AQ245+AS245+AU245+AW245</f>
        <v>0</v>
      </c>
      <c r="T245" s="200">
        <f>ROUND(S245*I245,2)</f>
        <v>0</v>
      </c>
      <c r="U245" s="200">
        <f>H245-S245</f>
        <v>647.64599999999996</v>
      </c>
      <c r="V245" s="200">
        <f>ROUND(U245*I245,2)</f>
        <v>169727.69</v>
      </c>
      <c r="W245" s="200"/>
      <c r="X245" s="200"/>
      <c r="Y245" s="200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200"/>
      <c r="BY245" s="132" t="s">
        <v>1</v>
      </c>
      <c r="BZ245" s="133" t="s">
        <v>40</v>
      </c>
      <c r="CB245" s="134">
        <f>CA245*H245</f>
        <v>0</v>
      </c>
      <c r="CC245" s="134">
        <v>0</v>
      </c>
      <c r="CD245" s="134">
        <f>CC245*H245</f>
        <v>0</v>
      </c>
      <c r="CE245" s="134">
        <v>0</v>
      </c>
      <c r="CF245" s="135">
        <f>CE245*H245</f>
        <v>0</v>
      </c>
      <c r="DD245" s="136" t="s">
        <v>95</v>
      </c>
      <c r="DF245" s="136" t="s">
        <v>284</v>
      </c>
      <c r="DG245" s="136" t="s">
        <v>83</v>
      </c>
      <c r="DK245" s="16" t="s">
        <v>282</v>
      </c>
      <c r="DQ245" s="137">
        <f>IF(BZ245="základní",J245,0)</f>
        <v>169727.69</v>
      </c>
      <c r="DR245" s="137">
        <f>IF(BZ245="snížená",J245,0)</f>
        <v>0</v>
      </c>
      <c r="DS245" s="137">
        <f>IF(BZ245="zákl. přenesená",J245,0)</f>
        <v>0</v>
      </c>
      <c r="DT245" s="137">
        <f>IF(BZ245="sníž. přenesená",J245,0)</f>
        <v>0</v>
      </c>
      <c r="DU245" s="137">
        <f>IF(BZ245="nulová",J245,0)</f>
        <v>0</v>
      </c>
      <c r="DV245" s="16" t="s">
        <v>81</v>
      </c>
      <c r="DW245" s="137">
        <f>ROUND(I245*H245,2)</f>
        <v>169727.69</v>
      </c>
      <c r="DX245" s="16" t="s">
        <v>95</v>
      </c>
      <c r="DY245" s="136" t="s">
        <v>400</v>
      </c>
    </row>
    <row r="246" spans="2:129" s="1" customFormat="1" ht="39" x14ac:dyDescent="0.2">
      <c r="B246" s="31"/>
      <c r="D246" s="138" t="s">
        <v>289</v>
      </c>
      <c r="F246" s="139" t="s">
        <v>401</v>
      </c>
      <c r="I246" s="140"/>
      <c r="L246" s="31"/>
      <c r="N246" s="213"/>
      <c r="O246" s="214"/>
      <c r="Q246" s="229"/>
      <c r="BY246" s="141"/>
      <c r="CF246" s="50"/>
      <c r="DF246" s="16" t="s">
        <v>289</v>
      </c>
      <c r="DG246" s="16" t="s">
        <v>83</v>
      </c>
    </row>
    <row r="247" spans="2:129" s="11" customFormat="1" x14ac:dyDescent="0.2">
      <c r="B247" s="143"/>
      <c r="D247" s="138" t="s">
        <v>301</v>
      </c>
      <c r="E247" s="144" t="s">
        <v>1</v>
      </c>
      <c r="F247" s="145" t="s">
        <v>1458</v>
      </c>
      <c r="H247" s="144" t="s">
        <v>1</v>
      </c>
      <c r="I247" s="146"/>
      <c r="L247" s="143"/>
      <c r="N247" s="215"/>
      <c r="O247" s="216"/>
      <c r="Q247" s="230"/>
      <c r="BY247" s="147"/>
      <c r="CF247" s="148"/>
      <c r="DF247" s="144" t="s">
        <v>301</v>
      </c>
      <c r="DG247" s="144" t="s">
        <v>83</v>
      </c>
      <c r="DH247" s="11" t="s">
        <v>81</v>
      </c>
      <c r="DI247" s="11" t="s">
        <v>32</v>
      </c>
      <c r="DJ247" s="11" t="s">
        <v>74</v>
      </c>
      <c r="DK247" s="144" t="s">
        <v>282</v>
      </c>
    </row>
    <row r="248" spans="2:129" s="12" customFormat="1" x14ac:dyDescent="0.2">
      <c r="B248" s="149"/>
      <c r="D248" s="138" t="s">
        <v>301</v>
      </c>
      <c r="E248" s="150" t="s">
        <v>1</v>
      </c>
      <c r="F248" s="151" t="s">
        <v>2472</v>
      </c>
      <c r="H248" s="152">
        <v>575.58600000000001</v>
      </c>
      <c r="I248" s="153"/>
      <c r="L248" s="149"/>
      <c r="N248" s="217">
        <f>289.293+289.293</f>
        <v>578.58600000000001</v>
      </c>
      <c r="O248" s="218" t="s">
        <v>3596</v>
      </c>
      <c r="Q248" s="231"/>
      <c r="BY248" s="154"/>
      <c r="CF248" s="155"/>
      <c r="DF248" s="150" t="s">
        <v>301</v>
      </c>
      <c r="DG248" s="150" t="s">
        <v>83</v>
      </c>
      <c r="DH248" s="12" t="s">
        <v>83</v>
      </c>
      <c r="DI248" s="12" t="s">
        <v>32</v>
      </c>
      <c r="DJ248" s="12" t="s">
        <v>74</v>
      </c>
      <c r="DK248" s="150" t="s">
        <v>282</v>
      </c>
    </row>
    <row r="249" spans="2:129" s="11" customFormat="1" x14ac:dyDescent="0.2">
      <c r="B249" s="143"/>
      <c r="D249" s="138" t="s">
        <v>301</v>
      </c>
      <c r="E249" s="144" t="s">
        <v>1</v>
      </c>
      <c r="F249" s="145" t="s">
        <v>1858</v>
      </c>
      <c r="H249" s="144" t="s">
        <v>1</v>
      </c>
      <c r="I249" s="146"/>
      <c r="L249" s="143"/>
      <c r="N249" s="215"/>
      <c r="O249" s="216"/>
      <c r="Q249" s="230"/>
      <c r="BY249" s="147"/>
      <c r="CF249" s="148"/>
      <c r="DF249" s="144" t="s">
        <v>301</v>
      </c>
      <c r="DG249" s="144" t="s">
        <v>83</v>
      </c>
      <c r="DH249" s="11" t="s">
        <v>81</v>
      </c>
      <c r="DI249" s="11" t="s">
        <v>32</v>
      </c>
      <c r="DJ249" s="11" t="s">
        <v>74</v>
      </c>
      <c r="DK249" s="144" t="s">
        <v>282</v>
      </c>
    </row>
    <row r="250" spans="2:129" s="12" customFormat="1" x14ac:dyDescent="0.2">
      <c r="B250" s="149"/>
      <c r="D250" s="138" t="s">
        <v>301</v>
      </c>
      <c r="E250" s="150" t="s">
        <v>1</v>
      </c>
      <c r="F250" s="151" t="s">
        <v>2473</v>
      </c>
      <c r="H250" s="152">
        <v>42.3</v>
      </c>
      <c r="I250" s="153"/>
      <c r="L250" s="149"/>
      <c r="N250" s="310">
        <f>H250</f>
        <v>42.3</v>
      </c>
      <c r="O250" s="218"/>
      <c r="Q250" s="231"/>
      <c r="BY250" s="154"/>
      <c r="CF250" s="155"/>
      <c r="DF250" s="150" t="s">
        <v>301</v>
      </c>
      <c r="DG250" s="150" t="s">
        <v>83</v>
      </c>
      <c r="DH250" s="12" t="s">
        <v>83</v>
      </c>
      <c r="DI250" s="12" t="s">
        <v>32</v>
      </c>
      <c r="DJ250" s="12" t="s">
        <v>74</v>
      </c>
      <c r="DK250" s="150" t="s">
        <v>282</v>
      </c>
    </row>
    <row r="251" spans="2:129" s="11" customFormat="1" x14ac:dyDescent="0.2">
      <c r="B251" s="143"/>
      <c r="D251" s="138" t="s">
        <v>301</v>
      </c>
      <c r="E251" s="144" t="s">
        <v>1</v>
      </c>
      <c r="F251" s="145" t="s">
        <v>976</v>
      </c>
      <c r="H251" s="144" t="s">
        <v>1</v>
      </c>
      <c r="I251" s="146"/>
      <c r="L251" s="143"/>
      <c r="N251" s="215"/>
      <c r="O251" s="216"/>
      <c r="Q251" s="230"/>
      <c r="BY251" s="147"/>
      <c r="CF251" s="148"/>
      <c r="DF251" s="144" t="s">
        <v>301</v>
      </c>
      <c r="DG251" s="144" t="s">
        <v>83</v>
      </c>
      <c r="DH251" s="11" t="s">
        <v>81</v>
      </c>
      <c r="DI251" s="11" t="s">
        <v>32</v>
      </c>
      <c r="DJ251" s="11" t="s">
        <v>74</v>
      </c>
      <c r="DK251" s="144" t="s">
        <v>282</v>
      </c>
    </row>
    <row r="252" spans="2:129" s="12" customFormat="1" x14ac:dyDescent="0.2">
      <c r="B252" s="149"/>
      <c r="D252" s="138" t="s">
        <v>301</v>
      </c>
      <c r="E252" s="150" t="s">
        <v>1</v>
      </c>
      <c r="F252" s="151" t="s">
        <v>2474</v>
      </c>
      <c r="H252" s="152">
        <v>29.76</v>
      </c>
      <c r="I252" s="153"/>
      <c r="L252" s="149"/>
      <c r="N252" s="310">
        <f>H252</f>
        <v>29.76</v>
      </c>
      <c r="O252" s="218"/>
      <c r="Q252" s="231"/>
      <c r="BY252" s="154"/>
      <c r="CF252" s="155"/>
      <c r="DF252" s="150" t="s">
        <v>301</v>
      </c>
      <c r="DG252" s="150" t="s">
        <v>83</v>
      </c>
      <c r="DH252" s="12" t="s">
        <v>83</v>
      </c>
      <c r="DI252" s="12" t="s">
        <v>32</v>
      </c>
      <c r="DJ252" s="12" t="s">
        <v>74</v>
      </c>
      <c r="DK252" s="150" t="s">
        <v>282</v>
      </c>
    </row>
    <row r="253" spans="2:129" s="13" customFormat="1" x14ac:dyDescent="0.2">
      <c r="B253" s="156"/>
      <c r="D253" s="138" t="s">
        <v>301</v>
      </c>
      <c r="E253" s="157" t="s">
        <v>1</v>
      </c>
      <c r="F253" s="158" t="s">
        <v>305</v>
      </c>
      <c r="H253" s="159">
        <v>647.64599999999996</v>
      </c>
      <c r="I253" s="160"/>
      <c r="L253" s="156"/>
      <c r="N253" s="311">
        <f>N248+N250+N252</f>
        <v>650.64599999999996</v>
      </c>
      <c r="O253" s="220"/>
      <c r="Q253" s="232"/>
      <c r="BY253" s="161"/>
      <c r="CF253" s="162"/>
      <c r="DF253" s="157" t="s">
        <v>301</v>
      </c>
      <c r="DG253" s="157" t="s">
        <v>83</v>
      </c>
      <c r="DH253" s="13" t="s">
        <v>95</v>
      </c>
      <c r="DI253" s="13" t="s">
        <v>32</v>
      </c>
      <c r="DJ253" s="13" t="s">
        <v>81</v>
      </c>
      <c r="DK253" s="157" t="s">
        <v>282</v>
      </c>
    </row>
    <row r="254" spans="2:129" s="13" customFormat="1" x14ac:dyDescent="0.2">
      <c r="B254" s="156"/>
      <c r="D254" s="138"/>
      <c r="E254" s="157"/>
      <c r="F254" s="158"/>
      <c r="H254" s="159"/>
      <c r="I254" s="160"/>
      <c r="L254" s="156"/>
      <c r="N254" s="311">
        <f>N253-H253</f>
        <v>3</v>
      </c>
      <c r="O254" s="220"/>
      <c r="Q254" s="232"/>
      <c r="BY254" s="161"/>
      <c r="CF254" s="162"/>
      <c r="DF254" s="157"/>
      <c r="DG254" s="157"/>
      <c r="DK254" s="157"/>
    </row>
    <row r="255" spans="2:129" s="1" customFormat="1" ht="37.9" customHeight="1" x14ac:dyDescent="0.2">
      <c r="B255" s="124"/>
      <c r="C255" s="125" t="s">
        <v>451</v>
      </c>
      <c r="D255" s="125" t="s">
        <v>284</v>
      </c>
      <c r="E255" s="126" t="s">
        <v>978</v>
      </c>
      <c r="F255" s="127" t="s">
        <v>979</v>
      </c>
      <c r="G255" s="128" t="s">
        <v>366</v>
      </c>
      <c r="H255" s="129">
        <v>129.64099999999999</v>
      </c>
      <c r="I255" s="130">
        <v>282.06861194786097</v>
      </c>
      <c r="J255" s="131">
        <f>ROUND(I255*H255,2)</f>
        <v>36567.660000000003</v>
      </c>
      <c r="K255" s="127" t="s">
        <v>1</v>
      </c>
      <c r="L255" s="198">
        <f>S255</f>
        <v>0</v>
      </c>
      <c r="M255" s="206">
        <f>ROUND(L255*I255,2)</f>
        <v>0</v>
      </c>
      <c r="N255" s="211"/>
      <c r="O255" s="212">
        <f>ROUND(N255*I255,2)</f>
        <v>0</v>
      </c>
      <c r="P255" s="207">
        <f>H255-L255-N255</f>
        <v>129.64099999999999</v>
      </c>
      <c r="Q255" s="228">
        <f>ROUND(P255*I255,2)</f>
        <v>36567.660000000003</v>
      </c>
      <c r="R255" s="199"/>
      <c r="S255" s="200">
        <f>W255+Y255+AA255+AC255+AE255+AG255+AI255+AK255+AM255+AO255+AQ255+AS255+AU255+AW255</f>
        <v>0</v>
      </c>
      <c r="T255" s="200">
        <f>ROUND(S255*I255,2)</f>
        <v>0</v>
      </c>
      <c r="U255" s="200">
        <f>H255-S255</f>
        <v>129.64099999999999</v>
      </c>
      <c r="V255" s="200">
        <f>ROUND(U255*I255,2)</f>
        <v>36567.660000000003</v>
      </c>
      <c r="W255" s="20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0"/>
      <c r="AP255" s="200"/>
      <c r="AQ255" s="200"/>
      <c r="AR255" s="200"/>
      <c r="AS255" s="200"/>
      <c r="AT255" s="200"/>
      <c r="AU255" s="200"/>
      <c r="AV255" s="200"/>
      <c r="AW255" s="200"/>
      <c r="AX255" s="200"/>
      <c r="BY255" s="132" t="s">
        <v>1</v>
      </c>
      <c r="BZ255" s="133" t="s">
        <v>40</v>
      </c>
      <c r="CB255" s="134">
        <f>CA255*H255</f>
        <v>0</v>
      </c>
      <c r="CC255" s="134">
        <v>0</v>
      </c>
      <c r="CD255" s="134">
        <f>CC255*H255</f>
        <v>0</v>
      </c>
      <c r="CE255" s="134">
        <v>0</v>
      </c>
      <c r="CF255" s="135">
        <f>CE255*H255</f>
        <v>0</v>
      </c>
      <c r="DD255" s="136" t="s">
        <v>95</v>
      </c>
      <c r="DF255" s="136" t="s">
        <v>284</v>
      </c>
      <c r="DG255" s="136" t="s">
        <v>83</v>
      </c>
      <c r="DK255" s="16" t="s">
        <v>282</v>
      </c>
      <c r="DQ255" s="137">
        <f>IF(BZ255="základní",J255,0)</f>
        <v>36567.660000000003</v>
      </c>
      <c r="DR255" s="137">
        <f>IF(BZ255="snížená",J255,0)</f>
        <v>0</v>
      </c>
      <c r="DS255" s="137">
        <f>IF(BZ255="zákl. přenesená",J255,0)</f>
        <v>0</v>
      </c>
      <c r="DT255" s="137">
        <f>IF(BZ255="sníž. přenesená",J255,0)</f>
        <v>0</v>
      </c>
      <c r="DU255" s="137">
        <f>IF(BZ255="nulová",J255,0)</f>
        <v>0</v>
      </c>
      <c r="DV255" s="16" t="s">
        <v>81</v>
      </c>
      <c r="DW255" s="137">
        <f>ROUND(I255*H255,2)</f>
        <v>36567.660000000003</v>
      </c>
      <c r="DX255" s="16" t="s">
        <v>95</v>
      </c>
      <c r="DY255" s="136" t="s">
        <v>2475</v>
      </c>
    </row>
    <row r="256" spans="2:129" s="1" customFormat="1" ht="39" x14ac:dyDescent="0.2">
      <c r="B256" s="31"/>
      <c r="D256" s="138" t="s">
        <v>289</v>
      </c>
      <c r="F256" s="139" t="s">
        <v>401</v>
      </c>
      <c r="I256" s="140"/>
      <c r="L256" s="31"/>
      <c r="N256" s="213"/>
      <c r="O256" s="214"/>
      <c r="Q256" s="229"/>
      <c r="BY256" s="141"/>
      <c r="CF256" s="50"/>
      <c r="DF256" s="16" t="s">
        <v>289</v>
      </c>
      <c r="DG256" s="16" t="s">
        <v>83</v>
      </c>
    </row>
    <row r="257" spans="2:129" s="1" customFormat="1" ht="37.9" customHeight="1" x14ac:dyDescent="0.2">
      <c r="B257" s="124"/>
      <c r="C257" s="125" t="s">
        <v>456</v>
      </c>
      <c r="D257" s="125" t="s">
        <v>284</v>
      </c>
      <c r="E257" s="126" t="s">
        <v>405</v>
      </c>
      <c r="F257" s="127" t="s">
        <v>406</v>
      </c>
      <c r="G257" s="128" t="s">
        <v>366</v>
      </c>
      <c r="H257" s="129">
        <v>3238.23</v>
      </c>
      <c r="I257" s="130">
        <v>3.4208109177592001</v>
      </c>
      <c r="J257" s="131">
        <f>ROUND(I257*H257,2)</f>
        <v>11077.37</v>
      </c>
      <c r="K257" s="127" t="s">
        <v>293</v>
      </c>
      <c r="L257" s="198">
        <f>S257</f>
        <v>0</v>
      </c>
      <c r="M257" s="206">
        <f>ROUND(L257*I257,2)</f>
        <v>0</v>
      </c>
      <c r="N257" s="211">
        <f>N260</f>
        <v>15.010000000000218</v>
      </c>
      <c r="O257" s="212">
        <f>ROUND(N257*I257,2)</f>
        <v>51.35</v>
      </c>
      <c r="P257" s="207">
        <f>H257-L257-N257</f>
        <v>3223.22</v>
      </c>
      <c r="Q257" s="228">
        <f>ROUND(P257*I257,2)</f>
        <v>11026.03</v>
      </c>
      <c r="R257" s="199"/>
      <c r="S257" s="200">
        <f>W257+Y257+AA257+AC257+AE257+AG257+AI257+AK257+AM257+AO257+AQ257+AS257+AU257+AW257</f>
        <v>0</v>
      </c>
      <c r="T257" s="200">
        <f>ROUND(S257*I257,2)</f>
        <v>0</v>
      </c>
      <c r="U257" s="200">
        <f>H257-S257</f>
        <v>3238.23</v>
      </c>
      <c r="V257" s="200">
        <f>ROUND(U257*I257,2)</f>
        <v>11077.37</v>
      </c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200"/>
      <c r="AT257" s="200"/>
      <c r="AU257" s="200"/>
      <c r="AV257" s="200"/>
      <c r="AW257" s="200"/>
      <c r="AX257" s="200"/>
      <c r="BY257" s="132" t="s">
        <v>1</v>
      </c>
      <c r="BZ257" s="133" t="s">
        <v>40</v>
      </c>
      <c r="CB257" s="134">
        <f>CA257*H257</f>
        <v>0</v>
      </c>
      <c r="CC257" s="134">
        <v>0</v>
      </c>
      <c r="CD257" s="134">
        <f>CC257*H257</f>
        <v>0</v>
      </c>
      <c r="CE257" s="134">
        <v>0</v>
      </c>
      <c r="CF257" s="135">
        <f>CE257*H257</f>
        <v>0</v>
      </c>
      <c r="DD257" s="136" t="s">
        <v>95</v>
      </c>
      <c r="DF257" s="136" t="s">
        <v>284</v>
      </c>
      <c r="DG257" s="136" t="s">
        <v>83</v>
      </c>
      <c r="DK257" s="16" t="s">
        <v>282</v>
      </c>
      <c r="DQ257" s="137">
        <f>IF(BZ257="základní",J257,0)</f>
        <v>11077.37</v>
      </c>
      <c r="DR257" s="137">
        <f>IF(BZ257="snížená",J257,0)</f>
        <v>0</v>
      </c>
      <c r="DS257" s="137">
        <f>IF(BZ257="zákl. přenesená",J257,0)</f>
        <v>0</v>
      </c>
      <c r="DT257" s="137">
        <f>IF(BZ257="sníž. přenesená",J257,0)</f>
        <v>0</v>
      </c>
      <c r="DU257" s="137">
        <f>IF(BZ257="nulová",J257,0)</f>
        <v>0</v>
      </c>
      <c r="DV257" s="16" t="s">
        <v>81</v>
      </c>
      <c r="DW257" s="137">
        <f>ROUND(I257*H257,2)</f>
        <v>11077.37</v>
      </c>
      <c r="DX257" s="16" t="s">
        <v>95</v>
      </c>
      <c r="DY257" s="136" t="s">
        <v>407</v>
      </c>
    </row>
    <row r="258" spans="2:129" s="1" customFormat="1" ht="48.75" x14ac:dyDescent="0.2">
      <c r="B258" s="31"/>
      <c r="D258" s="138" t="s">
        <v>289</v>
      </c>
      <c r="F258" s="139" t="s">
        <v>408</v>
      </c>
      <c r="I258" s="140"/>
      <c r="L258" s="31"/>
      <c r="N258" s="213"/>
      <c r="O258" s="214"/>
      <c r="Q258" s="229"/>
      <c r="BY258" s="141"/>
      <c r="CF258" s="50"/>
      <c r="DF258" s="16" t="s">
        <v>289</v>
      </c>
      <c r="DG258" s="16" t="s">
        <v>83</v>
      </c>
    </row>
    <row r="259" spans="2:129" s="12" customFormat="1" x14ac:dyDescent="0.2">
      <c r="B259" s="149"/>
      <c r="D259" s="138" t="s">
        <v>301</v>
      </c>
      <c r="F259" s="151" t="s">
        <v>2476</v>
      </c>
      <c r="H259" s="152">
        <v>3238.23</v>
      </c>
      <c r="I259" s="153"/>
      <c r="L259" s="149"/>
      <c r="N259" s="217">
        <f>650.648*5</f>
        <v>3253.2400000000002</v>
      </c>
      <c r="O259" s="218" t="s">
        <v>3597</v>
      </c>
      <c r="Q259" s="231"/>
      <c r="BY259" s="154"/>
      <c r="CF259" s="155"/>
      <c r="DF259" s="150" t="s">
        <v>301</v>
      </c>
      <c r="DG259" s="150" t="s">
        <v>83</v>
      </c>
      <c r="DH259" s="12" t="s">
        <v>83</v>
      </c>
      <c r="DI259" s="12" t="s">
        <v>3</v>
      </c>
      <c r="DJ259" s="12" t="s">
        <v>81</v>
      </c>
      <c r="DK259" s="150" t="s">
        <v>282</v>
      </c>
    </row>
    <row r="260" spans="2:129" s="12" customFormat="1" x14ac:dyDescent="0.2">
      <c r="B260" s="149"/>
      <c r="D260" s="138"/>
      <c r="F260" s="151"/>
      <c r="H260" s="152"/>
      <c r="I260" s="153"/>
      <c r="L260" s="149"/>
      <c r="N260" s="310">
        <f>N259-H259</f>
        <v>15.010000000000218</v>
      </c>
      <c r="O260" s="218"/>
      <c r="Q260" s="231"/>
      <c r="BY260" s="154"/>
      <c r="CF260" s="155"/>
      <c r="DF260" s="150"/>
      <c r="DG260" s="150"/>
      <c r="DK260" s="150"/>
    </row>
    <row r="261" spans="2:129" s="1" customFormat="1" ht="37.9" customHeight="1" x14ac:dyDescent="0.2">
      <c r="B261" s="124"/>
      <c r="C261" s="125" t="s">
        <v>463</v>
      </c>
      <c r="D261" s="125" t="s">
        <v>284</v>
      </c>
      <c r="E261" s="126" t="s">
        <v>982</v>
      </c>
      <c r="F261" s="127" t="s">
        <v>983</v>
      </c>
      <c r="G261" s="128" t="s">
        <v>366</v>
      </c>
      <c r="H261" s="129">
        <v>648.20500000000004</v>
      </c>
      <c r="I261" s="130">
        <v>3.4208109177592001</v>
      </c>
      <c r="J261" s="131">
        <f>ROUND(I261*H261,2)</f>
        <v>2217.39</v>
      </c>
      <c r="K261" s="127" t="s">
        <v>1</v>
      </c>
      <c r="L261" s="198">
        <f>S261</f>
        <v>0</v>
      </c>
      <c r="M261" s="206">
        <f>ROUND(L261*I261,2)</f>
        <v>0</v>
      </c>
      <c r="N261" s="211"/>
      <c r="O261" s="212">
        <f>ROUND(N261*I261,2)</f>
        <v>0</v>
      </c>
      <c r="P261" s="207">
        <f>H261-L261-N261</f>
        <v>648.20500000000004</v>
      </c>
      <c r="Q261" s="228">
        <f>ROUND(P261*I261,2)</f>
        <v>2217.39</v>
      </c>
      <c r="R261" s="199"/>
      <c r="S261" s="200">
        <f>W261+Y261+AA261+AC261+AE261+AG261+AI261+AK261+AM261+AO261+AQ261+AS261+AU261+AW261</f>
        <v>0</v>
      </c>
      <c r="T261" s="200">
        <f>ROUND(S261*I261,2)</f>
        <v>0</v>
      </c>
      <c r="U261" s="200">
        <f>H261-S261</f>
        <v>648.20500000000004</v>
      </c>
      <c r="V261" s="200">
        <f>ROUND(U261*I261,2)</f>
        <v>2217.39</v>
      </c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0"/>
      <c r="AP261" s="200"/>
      <c r="AQ261" s="200"/>
      <c r="AR261" s="200"/>
      <c r="AS261" s="200"/>
      <c r="AT261" s="200"/>
      <c r="AU261" s="200"/>
      <c r="AV261" s="200"/>
      <c r="AW261" s="200"/>
      <c r="AX261" s="200"/>
      <c r="BY261" s="132" t="s">
        <v>1</v>
      </c>
      <c r="BZ261" s="133" t="s">
        <v>40</v>
      </c>
      <c r="CB261" s="134">
        <f>CA261*H261</f>
        <v>0</v>
      </c>
      <c r="CC261" s="134">
        <v>0</v>
      </c>
      <c r="CD261" s="134">
        <f>CC261*H261</f>
        <v>0</v>
      </c>
      <c r="CE261" s="134">
        <v>0</v>
      </c>
      <c r="CF261" s="135">
        <f>CE261*H261</f>
        <v>0</v>
      </c>
      <c r="DD261" s="136" t="s">
        <v>95</v>
      </c>
      <c r="DF261" s="136" t="s">
        <v>284</v>
      </c>
      <c r="DG261" s="136" t="s">
        <v>83</v>
      </c>
      <c r="DK261" s="16" t="s">
        <v>282</v>
      </c>
      <c r="DQ261" s="137">
        <f>IF(BZ261="základní",J261,0)</f>
        <v>2217.39</v>
      </c>
      <c r="DR261" s="137">
        <f>IF(BZ261="snížená",J261,0)</f>
        <v>0</v>
      </c>
      <c r="DS261" s="137">
        <f>IF(BZ261="zákl. přenesená",J261,0)</f>
        <v>0</v>
      </c>
      <c r="DT261" s="137">
        <f>IF(BZ261="sníž. přenesená",J261,0)</f>
        <v>0</v>
      </c>
      <c r="DU261" s="137">
        <f>IF(BZ261="nulová",J261,0)</f>
        <v>0</v>
      </c>
      <c r="DV261" s="16" t="s">
        <v>81</v>
      </c>
      <c r="DW261" s="137">
        <f>ROUND(I261*H261,2)</f>
        <v>2217.39</v>
      </c>
      <c r="DX261" s="16" t="s">
        <v>95</v>
      </c>
      <c r="DY261" s="136" t="s">
        <v>2477</v>
      </c>
    </row>
    <row r="262" spans="2:129" s="1" customFormat="1" ht="48.75" x14ac:dyDescent="0.2">
      <c r="B262" s="31"/>
      <c r="D262" s="138" t="s">
        <v>289</v>
      </c>
      <c r="F262" s="139" t="s">
        <v>408</v>
      </c>
      <c r="I262" s="140"/>
      <c r="L262" s="31"/>
      <c r="N262" s="213"/>
      <c r="O262" s="214"/>
      <c r="Q262" s="229"/>
      <c r="BY262" s="141"/>
      <c r="CF262" s="50"/>
      <c r="DF262" s="16" t="s">
        <v>289</v>
      </c>
      <c r="DG262" s="16" t="s">
        <v>83</v>
      </c>
    </row>
    <row r="263" spans="2:129" s="12" customFormat="1" x14ac:dyDescent="0.2">
      <c r="B263" s="149"/>
      <c r="D263" s="138" t="s">
        <v>301</v>
      </c>
      <c r="F263" s="151" t="s">
        <v>2478</v>
      </c>
      <c r="H263" s="152">
        <v>648.20500000000004</v>
      </c>
      <c r="I263" s="153"/>
      <c r="L263" s="149"/>
      <c r="N263" s="217"/>
      <c r="O263" s="218"/>
      <c r="Q263" s="231"/>
      <c r="BY263" s="154"/>
      <c r="CF263" s="155"/>
      <c r="DF263" s="150" t="s">
        <v>301</v>
      </c>
      <c r="DG263" s="150" t="s">
        <v>83</v>
      </c>
      <c r="DH263" s="12" t="s">
        <v>83</v>
      </c>
      <c r="DI263" s="12" t="s">
        <v>3</v>
      </c>
      <c r="DJ263" s="12" t="s">
        <v>81</v>
      </c>
      <c r="DK263" s="150" t="s">
        <v>282</v>
      </c>
    </row>
    <row r="264" spans="2:129" s="1" customFormat="1" ht="24.2" customHeight="1" x14ac:dyDescent="0.2">
      <c r="B264" s="124"/>
      <c r="C264" s="125" t="s">
        <v>470</v>
      </c>
      <c r="D264" s="125" t="s">
        <v>284</v>
      </c>
      <c r="E264" s="126" t="s">
        <v>986</v>
      </c>
      <c r="F264" s="127" t="s">
        <v>987</v>
      </c>
      <c r="G264" s="128" t="s">
        <v>366</v>
      </c>
      <c r="H264" s="129">
        <v>129.64099999999999</v>
      </c>
      <c r="I264" s="130">
        <v>43.080493951075745</v>
      </c>
      <c r="J264" s="131">
        <f>ROUND(I264*H264,2)</f>
        <v>5585</v>
      </c>
      <c r="K264" s="127" t="s">
        <v>293</v>
      </c>
      <c r="L264" s="198">
        <f>S264</f>
        <v>0</v>
      </c>
      <c r="M264" s="206">
        <f>ROUND(L264*I264,2)</f>
        <v>0</v>
      </c>
      <c r="N264" s="211"/>
      <c r="O264" s="212">
        <f>ROUND(N264*I264,2)</f>
        <v>0</v>
      </c>
      <c r="P264" s="207">
        <f>H264-L264-N264</f>
        <v>129.64099999999999</v>
      </c>
      <c r="Q264" s="228">
        <f>ROUND(P264*I264,2)</f>
        <v>5585</v>
      </c>
      <c r="R264" s="199"/>
      <c r="S264" s="200">
        <f>W264+Y264+AA264+AC264+AE264+AG264+AI264+AK264+AM264+AO264+AQ264+AS264+AU264+AW264</f>
        <v>0</v>
      </c>
      <c r="T264" s="200">
        <f>ROUND(S264*I264,2)</f>
        <v>0</v>
      </c>
      <c r="U264" s="200">
        <f>H264-S264</f>
        <v>129.64099999999999</v>
      </c>
      <c r="V264" s="200">
        <f>ROUND(U264*I264,2)</f>
        <v>5585</v>
      </c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200"/>
      <c r="AR264" s="200"/>
      <c r="AS264" s="200"/>
      <c r="AT264" s="200"/>
      <c r="AU264" s="200"/>
      <c r="AV264" s="200"/>
      <c r="AW264" s="200"/>
      <c r="AX264" s="200"/>
      <c r="BY264" s="132" t="s">
        <v>1</v>
      </c>
      <c r="BZ264" s="133" t="s">
        <v>40</v>
      </c>
      <c r="CB264" s="134">
        <f>CA264*H264</f>
        <v>0</v>
      </c>
      <c r="CC264" s="134">
        <v>0</v>
      </c>
      <c r="CD264" s="134">
        <f>CC264*H264</f>
        <v>0</v>
      </c>
      <c r="CE264" s="134">
        <v>0</v>
      </c>
      <c r="CF264" s="135">
        <f>CE264*H264</f>
        <v>0</v>
      </c>
      <c r="DD264" s="136" t="s">
        <v>95</v>
      </c>
      <c r="DF264" s="136" t="s">
        <v>284</v>
      </c>
      <c r="DG264" s="136" t="s">
        <v>83</v>
      </c>
      <c r="DK264" s="16" t="s">
        <v>282</v>
      </c>
      <c r="DQ264" s="137">
        <f>IF(BZ264="základní",J264,0)</f>
        <v>5585</v>
      </c>
      <c r="DR264" s="137">
        <f>IF(BZ264="snížená",J264,0)</f>
        <v>0</v>
      </c>
      <c r="DS264" s="137">
        <f>IF(BZ264="zákl. přenesená",J264,0)</f>
        <v>0</v>
      </c>
      <c r="DT264" s="137">
        <f>IF(BZ264="sníž. přenesená",J264,0)</f>
        <v>0</v>
      </c>
      <c r="DU264" s="137">
        <f>IF(BZ264="nulová",J264,0)</f>
        <v>0</v>
      </c>
      <c r="DV264" s="16" t="s">
        <v>81</v>
      </c>
      <c r="DW264" s="137">
        <f>ROUND(I264*H264,2)</f>
        <v>5585</v>
      </c>
      <c r="DX264" s="16" t="s">
        <v>95</v>
      </c>
      <c r="DY264" s="136" t="s">
        <v>2479</v>
      </c>
    </row>
    <row r="265" spans="2:129" s="1" customFormat="1" ht="29.25" x14ac:dyDescent="0.2">
      <c r="B265" s="31"/>
      <c r="D265" s="138" t="s">
        <v>289</v>
      </c>
      <c r="F265" s="139" t="s">
        <v>989</v>
      </c>
      <c r="I265" s="140"/>
      <c r="L265" s="31"/>
      <c r="N265" s="213"/>
      <c r="O265" s="214"/>
      <c r="Q265" s="229"/>
      <c r="BY265" s="141"/>
      <c r="CF265" s="50"/>
      <c r="DF265" s="16" t="s">
        <v>289</v>
      </c>
      <c r="DG265" s="16" t="s">
        <v>83</v>
      </c>
    </row>
    <row r="266" spans="2:129" s="11" customFormat="1" x14ac:dyDescent="0.2">
      <c r="B266" s="143"/>
      <c r="D266" s="138" t="s">
        <v>301</v>
      </c>
      <c r="E266" s="144" t="s">
        <v>1</v>
      </c>
      <c r="F266" s="145" t="s">
        <v>976</v>
      </c>
      <c r="H266" s="144" t="s">
        <v>1</v>
      </c>
      <c r="I266" s="146"/>
      <c r="L266" s="143"/>
      <c r="N266" s="215"/>
      <c r="O266" s="216"/>
      <c r="Q266" s="230"/>
      <c r="BY266" s="147"/>
      <c r="CF266" s="148"/>
      <c r="DF266" s="144" t="s">
        <v>301</v>
      </c>
      <c r="DG266" s="144" t="s">
        <v>83</v>
      </c>
      <c r="DH266" s="11" t="s">
        <v>81</v>
      </c>
      <c r="DI266" s="11" t="s">
        <v>32</v>
      </c>
      <c r="DJ266" s="11" t="s">
        <v>74</v>
      </c>
      <c r="DK266" s="144" t="s">
        <v>282</v>
      </c>
    </row>
    <row r="267" spans="2:129" s="12" customFormat="1" x14ac:dyDescent="0.2">
      <c r="B267" s="149"/>
      <c r="D267" s="138" t="s">
        <v>301</v>
      </c>
      <c r="E267" s="150" t="s">
        <v>1</v>
      </c>
      <c r="F267" s="151" t="s">
        <v>2474</v>
      </c>
      <c r="H267" s="152">
        <v>29.76</v>
      </c>
      <c r="I267" s="153"/>
      <c r="L267" s="149"/>
      <c r="N267" s="310">
        <f>H267</f>
        <v>29.76</v>
      </c>
      <c r="O267" s="218"/>
      <c r="Q267" s="231"/>
      <c r="BY267" s="154"/>
      <c r="CF267" s="155"/>
      <c r="DF267" s="150" t="s">
        <v>301</v>
      </c>
      <c r="DG267" s="150" t="s">
        <v>83</v>
      </c>
      <c r="DH267" s="12" t="s">
        <v>83</v>
      </c>
      <c r="DI267" s="12" t="s">
        <v>32</v>
      </c>
      <c r="DJ267" s="12" t="s">
        <v>74</v>
      </c>
      <c r="DK267" s="150" t="s">
        <v>282</v>
      </c>
    </row>
    <row r="268" spans="2:129" s="14" customFormat="1" x14ac:dyDescent="0.2">
      <c r="B268" s="163"/>
      <c r="D268" s="138" t="s">
        <v>301</v>
      </c>
      <c r="E268" s="164" t="s">
        <v>1</v>
      </c>
      <c r="F268" s="165" t="s">
        <v>373</v>
      </c>
      <c r="H268" s="166">
        <v>29.76</v>
      </c>
      <c r="I268" s="167"/>
      <c r="L268" s="163"/>
      <c r="N268" s="221"/>
      <c r="O268" s="222"/>
      <c r="Q268" s="233"/>
      <c r="BY268" s="168"/>
      <c r="CF268" s="169"/>
      <c r="DF268" s="164" t="s">
        <v>301</v>
      </c>
      <c r="DG268" s="164" t="s">
        <v>83</v>
      </c>
      <c r="DH268" s="14" t="s">
        <v>90</v>
      </c>
      <c r="DI268" s="14" t="s">
        <v>32</v>
      </c>
      <c r="DJ268" s="14" t="s">
        <v>74</v>
      </c>
      <c r="DK268" s="164" t="s">
        <v>282</v>
      </c>
    </row>
    <row r="269" spans="2:129" s="11" customFormat="1" x14ac:dyDescent="0.2">
      <c r="B269" s="143"/>
      <c r="D269" s="138" t="s">
        <v>301</v>
      </c>
      <c r="E269" s="144" t="s">
        <v>1</v>
      </c>
      <c r="F269" s="145" t="s">
        <v>1102</v>
      </c>
      <c r="H269" s="144" t="s">
        <v>1</v>
      </c>
      <c r="I269" s="146"/>
      <c r="L269" s="143"/>
      <c r="N269" s="215"/>
      <c r="O269" s="216"/>
      <c r="Q269" s="230"/>
      <c r="BY269" s="147"/>
      <c r="CF269" s="148"/>
      <c r="DF269" s="144" t="s">
        <v>301</v>
      </c>
      <c r="DG269" s="144" t="s">
        <v>83</v>
      </c>
      <c r="DH269" s="11" t="s">
        <v>81</v>
      </c>
      <c r="DI269" s="11" t="s">
        <v>32</v>
      </c>
      <c r="DJ269" s="11" t="s">
        <v>74</v>
      </c>
      <c r="DK269" s="144" t="s">
        <v>282</v>
      </c>
    </row>
    <row r="270" spans="2:129" s="11" customFormat="1" x14ac:dyDescent="0.2">
      <c r="B270" s="143"/>
      <c r="D270" s="138" t="s">
        <v>301</v>
      </c>
      <c r="E270" s="144" t="s">
        <v>1</v>
      </c>
      <c r="F270" s="145" t="s">
        <v>1102</v>
      </c>
      <c r="H270" s="144" t="s">
        <v>1</v>
      </c>
      <c r="I270" s="146"/>
      <c r="L270" s="143"/>
      <c r="N270" s="215"/>
      <c r="O270" s="216"/>
      <c r="Q270" s="230"/>
      <c r="BY270" s="147"/>
      <c r="CF270" s="148"/>
      <c r="DF270" s="144" t="s">
        <v>301</v>
      </c>
      <c r="DG270" s="144" t="s">
        <v>83</v>
      </c>
      <c r="DH270" s="11" t="s">
        <v>81</v>
      </c>
      <c r="DI270" s="11" t="s">
        <v>32</v>
      </c>
      <c r="DJ270" s="11" t="s">
        <v>74</v>
      </c>
      <c r="DK270" s="144" t="s">
        <v>282</v>
      </c>
    </row>
    <row r="271" spans="2:129" s="12" customFormat="1" x14ac:dyDescent="0.2">
      <c r="B271" s="149"/>
      <c r="D271" s="138" t="s">
        <v>301</v>
      </c>
      <c r="E271" s="150" t="s">
        <v>1</v>
      </c>
      <c r="F271" s="151" t="s">
        <v>2480</v>
      </c>
      <c r="H271" s="152">
        <v>98.745999999999995</v>
      </c>
      <c r="I271" s="153"/>
      <c r="L271" s="149"/>
      <c r="N271" s="310">
        <f>H271</f>
        <v>98.745999999999995</v>
      </c>
      <c r="O271" s="218"/>
      <c r="Q271" s="231"/>
      <c r="BY271" s="154"/>
      <c r="CF271" s="155"/>
      <c r="DF271" s="150" t="s">
        <v>301</v>
      </c>
      <c r="DG271" s="150" t="s">
        <v>83</v>
      </c>
      <c r="DH271" s="12" t="s">
        <v>83</v>
      </c>
      <c r="DI271" s="12" t="s">
        <v>32</v>
      </c>
      <c r="DJ271" s="12" t="s">
        <v>74</v>
      </c>
      <c r="DK271" s="150" t="s">
        <v>282</v>
      </c>
    </row>
    <row r="272" spans="2:129" s="12" customFormat="1" x14ac:dyDescent="0.2">
      <c r="B272" s="149"/>
      <c r="D272" s="138" t="s">
        <v>301</v>
      </c>
      <c r="E272" s="150" t="s">
        <v>1</v>
      </c>
      <c r="F272" s="151" t="s">
        <v>2481</v>
      </c>
      <c r="H272" s="152">
        <v>3.3079999999999998</v>
      </c>
      <c r="I272" s="153"/>
      <c r="L272" s="149"/>
      <c r="N272" s="217">
        <f>H272</f>
        <v>3.3079999999999998</v>
      </c>
      <c r="O272" s="218"/>
      <c r="Q272" s="231"/>
      <c r="BY272" s="154"/>
      <c r="CF272" s="155"/>
      <c r="DF272" s="150" t="s">
        <v>301</v>
      </c>
      <c r="DG272" s="150" t="s">
        <v>83</v>
      </c>
      <c r="DH272" s="12" t="s">
        <v>83</v>
      </c>
      <c r="DI272" s="12" t="s">
        <v>32</v>
      </c>
      <c r="DJ272" s="12" t="s">
        <v>74</v>
      </c>
      <c r="DK272" s="150" t="s">
        <v>282</v>
      </c>
    </row>
    <row r="273" spans="2:129" s="12" customFormat="1" x14ac:dyDescent="0.2">
      <c r="B273" s="149"/>
      <c r="D273" s="138" t="s">
        <v>301</v>
      </c>
      <c r="E273" s="150" t="s">
        <v>1</v>
      </c>
      <c r="F273" s="151" t="s">
        <v>2482</v>
      </c>
      <c r="H273" s="152">
        <v>-2.173</v>
      </c>
      <c r="I273" s="153"/>
      <c r="L273" s="149"/>
      <c r="N273" s="310">
        <f>H273</f>
        <v>-2.173</v>
      </c>
      <c r="O273" s="218"/>
      <c r="Q273" s="231"/>
      <c r="BY273" s="154"/>
      <c r="CF273" s="155"/>
      <c r="DF273" s="150" t="s">
        <v>301</v>
      </c>
      <c r="DG273" s="150" t="s">
        <v>83</v>
      </c>
      <c r="DH273" s="12" t="s">
        <v>83</v>
      </c>
      <c r="DI273" s="12" t="s">
        <v>32</v>
      </c>
      <c r="DJ273" s="12" t="s">
        <v>74</v>
      </c>
      <c r="DK273" s="150" t="s">
        <v>282</v>
      </c>
    </row>
    <row r="274" spans="2:129" s="14" customFormat="1" x14ac:dyDescent="0.2">
      <c r="B274" s="163"/>
      <c r="D274" s="138" t="s">
        <v>301</v>
      </c>
      <c r="E274" s="164" t="s">
        <v>1</v>
      </c>
      <c r="F274" s="165" t="s">
        <v>373</v>
      </c>
      <c r="H274" s="166">
        <v>99.881</v>
      </c>
      <c r="I274" s="167"/>
      <c r="L274" s="163"/>
      <c r="N274" s="318">
        <f>N267+N271+N272+N273</f>
        <v>129.64099999999999</v>
      </c>
      <c r="O274" s="222"/>
      <c r="Q274" s="233"/>
      <c r="BY274" s="168"/>
      <c r="CF274" s="169"/>
      <c r="DF274" s="164" t="s">
        <v>301</v>
      </c>
      <c r="DG274" s="164" t="s">
        <v>83</v>
      </c>
      <c r="DH274" s="14" t="s">
        <v>90</v>
      </c>
      <c r="DI274" s="14" t="s">
        <v>32</v>
      </c>
      <c r="DJ274" s="14" t="s">
        <v>74</v>
      </c>
      <c r="DK274" s="164" t="s">
        <v>282</v>
      </c>
    </row>
    <row r="275" spans="2:129" s="13" customFormat="1" x14ac:dyDescent="0.2">
      <c r="B275" s="156"/>
      <c r="D275" s="138" t="s">
        <v>301</v>
      </c>
      <c r="E275" s="157" t="s">
        <v>1</v>
      </c>
      <c r="F275" s="158" t="s">
        <v>305</v>
      </c>
      <c r="H275" s="159">
        <v>129.64099999999999</v>
      </c>
      <c r="I275" s="160"/>
      <c r="L275" s="156"/>
      <c r="N275" s="311">
        <f>N274-H275</f>
        <v>0</v>
      </c>
      <c r="O275" s="220"/>
      <c r="Q275" s="232"/>
      <c r="BY275" s="161"/>
      <c r="CF275" s="162"/>
      <c r="DF275" s="157" t="s">
        <v>301</v>
      </c>
      <c r="DG275" s="157" t="s">
        <v>83</v>
      </c>
      <c r="DH275" s="13" t="s">
        <v>95</v>
      </c>
      <c r="DI275" s="13" t="s">
        <v>32</v>
      </c>
      <c r="DJ275" s="13" t="s">
        <v>81</v>
      </c>
      <c r="DK275" s="157" t="s">
        <v>282</v>
      </c>
    </row>
    <row r="276" spans="2:129" s="1" customFormat="1" ht="24.2" customHeight="1" x14ac:dyDescent="0.2">
      <c r="B276" s="124"/>
      <c r="C276" s="125" t="s">
        <v>476</v>
      </c>
      <c r="D276" s="125" t="s">
        <v>284</v>
      </c>
      <c r="E276" s="126" t="s">
        <v>410</v>
      </c>
      <c r="F276" s="127" t="s">
        <v>411</v>
      </c>
      <c r="G276" s="128" t="s">
        <v>287</v>
      </c>
      <c r="H276" s="129">
        <v>382.90499999999997</v>
      </c>
      <c r="I276" s="130">
        <v>6.3644601414457247</v>
      </c>
      <c r="J276" s="131">
        <f>ROUND(I276*H276,2)</f>
        <v>2436.98</v>
      </c>
      <c r="K276" s="127" t="s">
        <v>293</v>
      </c>
      <c r="L276" s="198">
        <f>S276</f>
        <v>0</v>
      </c>
      <c r="M276" s="206">
        <f>ROUND(L276*I276,2)</f>
        <v>0</v>
      </c>
      <c r="N276" s="211">
        <f>N283</f>
        <v>2.2230000000000132</v>
      </c>
      <c r="O276" s="212">
        <f>ROUND(N276*I276,2)</f>
        <v>14.15</v>
      </c>
      <c r="P276" s="207">
        <f>H276-L276-N276</f>
        <v>380.68199999999996</v>
      </c>
      <c r="Q276" s="228">
        <f>ROUND(P276*I276,2)</f>
        <v>2422.84</v>
      </c>
      <c r="R276" s="199"/>
      <c r="S276" s="200">
        <f>W276+Y276+AA276+AC276+AE276+AG276+AI276+AK276+AM276+AO276+AQ276+AS276+AU276+AW276</f>
        <v>0</v>
      </c>
      <c r="T276" s="200">
        <f>ROUND(S276*I276,2)</f>
        <v>0</v>
      </c>
      <c r="U276" s="200">
        <f>H276-S276</f>
        <v>382.90499999999997</v>
      </c>
      <c r="V276" s="200">
        <f>ROUND(U276*I276,2)</f>
        <v>2436.98</v>
      </c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0"/>
      <c r="AP276" s="200"/>
      <c r="AQ276" s="200"/>
      <c r="AR276" s="200"/>
      <c r="AS276" s="200"/>
      <c r="AT276" s="200"/>
      <c r="AU276" s="200"/>
      <c r="AV276" s="200"/>
      <c r="AW276" s="200"/>
      <c r="AX276" s="200"/>
      <c r="BY276" s="132" t="s">
        <v>1</v>
      </c>
      <c r="BZ276" s="133" t="s">
        <v>40</v>
      </c>
      <c r="CB276" s="134">
        <f>CA276*H276</f>
        <v>0</v>
      </c>
      <c r="CC276" s="134">
        <v>0</v>
      </c>
      <c r="CD276" s="134">
        <f>CC276*H276</f>
        <v>0</v>
      </c>
      <c r="CE276" s="134">
        <v>0</v>
      </c>
      <c r="CF276" s="135">
        <f>CE276*H276</f>
        <v>0</v>
      </c>
      <c r="DD276" s="136" t="s">
        <v>95</v>
      </c>
      <c r="DF276" s="136" t="s">
        <v>284</v>
      </c>
      <c r="DG276" s="136" t="s">
        <v>83</v>
      </c>
      <c r="DK276" s="16" t="s">
        <v>282</v>
      </c>
      <c r="DQ276" s="137">
        <f>IF(BZ276="základní",J276,0)</f>
        <v>2436.98</v>
      </c>
      <c r="DR276" s="137">
        <f>IF(BZ276="snížená",J276,0)</f>
        <v>0</v>
      </c>
      <c r="DS276" s="137">
        <f>IF(BZ276="zákl. přenesená",J276,0)</f>
        <v>0</v>
      </c>
      <c r="DT276" s="137">
        <f>IF(BZ276="sníž. přenesená",J276,0)</f>
        <v>0</v>
      </c>
      <c r="DU276" s="137">
        <f>IF(BZ276="nulová",J276,0)</f>
        <v>0</v>
      </c>
      <c r="DV276" s="16" t="s">
        <v>81</v>
      </c>
      <c r="DW276" s="137">
        <f>ROUND(I276*H276,2)</f>
        <v>2436.98</v>
      </c>
      <c r="DX276" s="16" t="s">
        <v>95</v>
      </c>
      <c r="DY276" s="136" t="s">
        <v>412</v>
      </c>
    </row>
    <row r="277" spans="2:129" s="1" customFormat="1" ht="19.5" x14ac:dyDescent="0.2">
      <c r="B277" s="31"/>
      <c r="D277" s="138" t="s">
        <v>289</v>
      </c>
      <c r="F277" s="139" t="s">
        <v>413</v>
      </c>
      <c r="I277" s="140"/>
      <c r="L277" s="31"/>
      <c r="N277" s="213"/>
      <c r="O277" s="214"/>
      <c r="Q277" s="229"/>
      <c r="BY277" s="141"/>
      <c r="CF277" s="50"/>
      <c r="DF277" s="16" t="s">
        <v>289</v>
      </c>
      <c r="DG277" s="16" t="s">
        <v>83</v>
      </c>
    </row>
    <row r="278" spans="2:129" s="1" customFormat="1" ht="29.25" x14ac:dyDescent="0.2">
      <c r="B278" s="31"/>
      <c r="D278" s="138" t="s">
        <v>299</v>
      </c>
      <c r="F278" s="142" t="s">
        <v>2431</v>
      </c>
      <c r="I278" s="140"/>
      <c r="L278" s="31"/>
      <c r="N278" s="213"/>
      <c r="O278" s="214"/>
      <c r="Q278" s="229"/>
      <c r="BY278" s="141"/>
      <c r="CF278" s="50"/>
      <c r="DF278" s="16" t="s">
        <v>299</v>
      </c>
      <c r="DG278" s="16" t="s">
        <v>83</v>
      </c>
    </row>
    <row r="279" spans="2:129" s="12" customFormat="1" x14ac:dyDescent="0.2">
      <c r="B279" s="149"/>
      <c r="D279" s="138" t="s">
        <v>301</v>
      </c>
      <c r="E279" s="150" t="s">
        <v>1</v>
      </c>
      <c r="F279" s="151" t="s">
        <v>2483</v>
      </c>
      <c r="H279" s="152">
        <v>375.3</v>
      </c>
      <c r="I279" s="153"/>
      <c r="L279" s="149"/>
      <c r="N279" s="217">
        <f xml:space="preserve"> (517.19-97.72)*0.9</f>
        <v>377.52300000000002</v>
      </c>
      <c r="O279" s="218" t="s">
        <v>3598</v>
      </c>
      <c r="Q279" s="231"/>
      <c r="BY279" s="154"/>
      <c r="CF279" s="155"/>
      <c r="DF279" s="150" t="s">
        <v>301</v>
      </c>
      <c r="DG279" s="150" t="s">
        <v>83</v>
      </c>
      <c r="DH279" s="12" t="s">
        <v>83</v>
      </c>
      <c r="DI279" s="12" t="s">
        <v>32</v>
      </c>
      <c r="DJ279" s="12" t="s">
        <v>74</v>
      </c>
      <c r="DK279" s="150" t="s">
        <v>282</v>
      </c>
    </row>
    <row r="280" spans="2:129" s="12" customFormat="1" x14ac:dyDescent="0.2">
      <c r="B280" s="149"/>
      <c r="D280" s="138" t="s">
        <v>301</v>
      </c>
      <c r="E280" s="150" t="s">
        <v>1</v>
      </c>
      <c r="F280" s="151" t="s">
        <v>2484</v>
      </c>
      <c r="H280" s="152">
        <v>3.15</v>
      </c>
      <c r="I280" s="153"/>
      <c r="L280" s="149"/>
      <c r="N280" s="310">
        <f>H280</f>
        <v>3.15</v>
      </c>
      <c r="O280" s="218"/>
      <c r="Q280" s="231"/>
      <c r="BY280" s="154"/>
      <c r="CF280" s="155"/>
      <c r="DF280" s="150" t="s">
        <v>301</v>
      </c>
      <c r="DG280" s="150" t="s">
        <v>83</v>
      </c>
      <c r="DH280" s="12" t="s">
        <v>83</v>
      </c>
      <c r="DI280" s="12" t="s">
        <v>32</v>
      </c>
      <c r="DJ280" s="12" t="s">
        <v>74</v>
      </c>
      <c r="DK280" s="150" t="s">
        <v>282</v>
      </c>
    </row>
    <row r="281" spans="2:129" s="12" customFormat="1" x14ac:dyDescent="0.2">
      <c r="B281" s="149"/>
      <c r="D281" s="138" t="s">
        <v>301</v>
      </c>
      <c r="E281" s="150" t="s">
        <v>1</v>
      </c>
      <c r="F281" s="151" t="s">
        <v>955</v>
      </c>
      <c r="H281" s="152">
        <v>4.4550000000000001</v>
      </c>
      <c r="I281" s="153"/>
      <c r="L281" s="149"/>
      <c r="N281" s="310">
        <f>H281</f>
        <v>4.4550000000000001</v>
      </c>
      <c r="O281" s="218"/>
      <c r="Q281" s="231"/>
      <c r="BY281" s="154"/>
      <c r="CF281" s="155"/>
      <c r="DF281" s="150" t="s">
        <v>301</v>
      </c>
      <c r="DG281" s="150" t="s">
        <v>83</v>
      </c>
      <c r="DH281" s="12" t="s">
        <v>83</v>
      </c>
      <c r="DI281" s="12" t="s">
        <v>32</v>
      </c>
      <c r="DJ281" s="12" t="s">
        <v>74</v>
      </c>
      <c r="DK281" s="150" t="s">
        <v>282</v>
      </c>
    </row>
    <row r="282" spans="2:129" s="13" customFormat="1" x14ac:dyDescent="0.2">
      <c r="B282" s="156"/>
      <c r="D282" s="138" t="s">
        <v>301</v>
      </c>
      <c r="E282" s="157" t="s">
        <v>1</v>
      </c>
      <c r="F282" s="158" t="s">
        <v>305</v>
      </c>
      <c r="H282" s="159">
        <v>382.90499999999997</v>
      </c>
      <c r="I282" s="160"/>
      <c r="L282" s="156"/>
      <c r="N282" s="311">
        <f>N279+N280+N281</f>
        <v>385.12799999999999</v>
      </c>
      <c r="O282" s="220"/>
      <c r="Q282" s="232"/>
      <c r="BY282" s="161"/>
      <c r="CF282" s="162"/>
      <c r="DF282" s="157" t="s">
        <v>301</v>
      </c>
      <c r="DG282" s="157" t="s">
        <v>83</v>
      </c>
      <c r="DH282" s="13" t="s">
        <v>95</v>
      </c>
      <c r="DI282" s="13" t="s">
        <v>32</v>
      </c>
      <c r="DJ282" s="13" t="s">
        <v>81</v>
      </c>
      <c r="DK282" s="157" t="s">
        <v>282</v>
      </c>
    </row>
    <row r="283" spans="2:129" s="13" customFormat="1" x14ac:dyDescent="0.2">
      <c r="B283" s="156"/>
      <c r="D283" s="138"/>
      <c r="E283" s="157"/>
      <c r="F283" s="158"/>
      <c r="H283" s="159"/>
      <c r="I283" s="160"/>
      <c r="L283" s="156"/>
      <c r="N283" s="311">
        <f>N282-H282</f>
        <v>2.2230000000000132</v>
      </c>
      <c r="O283" s="220"/>
      <c r="Q283" s="232"/>
      <c r="BY283" s="161"/>
      <c r="CF283" s="162"/>
      <c r="DF283" s="157"/>
      <c r="DG283" s="157"/>
      <c r="DK283" s="157"/>
    </row>
    <row r="284" spans="2:129" s="1" customFormat="1" ht="24.2" customHeight="1" x14ac:dyDescent="0.2">
      <c r="B284" s="124"/>
      <c r="C284" s="125" t="s">
        <v>482</v>
      </c>
      <c r="D284" s="125" t="s">
        <v>284</v>
      </c>
      <c r="E284" s="126" t="s">
        <v>416</v>
      </c>
      <c r="F284" s="127" t="s">
        <v>417</v>
      </c>
      <c r="G284" s="128" t="s">
        <v>418</v>
      </c>
      <c r="H284" s="129">
        <v>932.40899999999999</v>
      </c>
      <c r="I284" s="130">
        <v>110.6455721</v>
      </c>
      <c r="J284" s="131">
        <f>ROUND(I284*H284,2)</f>
        <v>103166.93</v>
      </c>
      <c r="K284" s="127" t="s">
        <v>293</v>
      </c>
      <c r="L284" s="198">
        <f>S284</f>
        <v>0</v>
      </c>
      <c r="M284" s="206">
        <f>ROUND(L284*I284,2)</f>
        <v>0</v>
      </c>
      <c r="N284" s="211">
        <f>N292</f>
        <v>5.3999999999999773</v>
      </c>
      <c r="O284" s="212">
        <f>ROUND(N284*I284,2)</f>
        <v>597.49</v>
      </c>
      <c r="P284" s="207">
        <f>H284-L284-N284</f>
        <v>927.00900000000001</v>
      </c>
      <c r="Q284" s="228">
        <f>ROUND(P284*I284,2)</f>
        <v>102569.44</v>
      </c>
      <c r="R284" s="199"/>
      <c r="S284" s="200">
        <f>W284+Y284+AA284+AC284+AE284+AG284+AI284+AK284+AM284+AO284+AQ284+AS284+AU284+AW284</f>
        <v>0</v>
      </c>
      <c r="T284" s="200">
        <f>ROUND(S284*I284,2)</f>
        <v>0</v>
      </c>
      <c r="U284" s="200">
        <f>H284-S284</f>
        <v>932.40899999999999</v>
      </c>
      <c r="V284" s="200">
        <f>ROUND(U284*I284,2)</f>
        <v>103166.93</v>
      </c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200"/>
      <c r="AT284" s="200"/>
      <c r="AU284" s="200"/>
      <c r="AV284" s="200"/>
      <c r="AW284" s="200"/>
      <c r="AX284" s="200"/>
      <c r="BY284" s="132" t="s">
        <v>1</v>
      </c>
      <c r="BZ284" s="133" t="s">
        <v>40</v>
      </c>
      <c r="CB284" s="134">
        <f>CA284*H284</f>
        <v>0</v>
      </c>
      <c r="CC284" s="134">
        <v>0</v>
      </c>
      <c r="CD284" s="134">
        <f>CC284*H284</f>
        <v>0</v>
      </c>
      <c r="CE284" s="134">
        <v>0</v>
      </c>
      <c r="CF284" s="135">
        <f>CE284*H284</f>
        <v>0</v>
      </c>
      <c r="DD284" s="136" t="s">
        <v>95</v>
      </c>
      <c r="DF284" s="136" t="s">
        <v>284</v>
      </c>
      <c r="DG284" s="136" t="s">
        <v>83</v>
      </c>
      <c r="DK284" s="16" t="s">
        <v>282</v>
      </c>
      <c r="DQ284" s="137">
        <f>IF(BZ284="základní",J284,0)</f>
        <v>103166.93</v>
      </c>
      <c r="DR284" s="137">
        <f>IF(BZ284="snížená",J284,0)</f>
        <v>0</v>
      </c>
      <c r="DS284" s="137">
        <f>IF(BZ284="zákl. přenesená",J284,0)</f>
        <v>0</v>
      </c>
      <c r="DT284" s="137">
        <f>IF(BZ284="sníž. přenesená",J284,0)</f>
        <v>0</v>
      </c>
      <c r="DU284" s="137">
        <f>IF(BZ284="nulová",J284,0)</f>
        <v>0</v>
      </c>
      <c r="DV284" s="16" t="s">
        <v>81</v>
      </c>
      <c r="DW284" s="137">
        <f>ROUND(I284*H284,2)</f>
        <v>103166.93</v>
      </c>
      <c r="DX284" s="16" t="s">
        <v>95</v>
      </c>
      <c r="DY284" s="136" t="s">
        <v>2485</v>
      </c>
    </row>
    <row r="285" spans="2:129" s="1" customFormat="1" ht="29.25" x14ac:dyDescent="0.2">
      <c r="B285" s="31"/>
      <c r="D285" s="138" t="s">
        <v>289</v>
      </c>
      <c r="F285" s="139" t="s">
        <v>420</v>
      </c>
      <c r="I285" s="140"/>
      <c r="L285" s="31"/>
      <c r="N285" s="213"/>
      <c r="O285" s="214"/>
      <c r="Q285" s="229"/>
      <c r="BY285" s="141"/>
      <c r="CF285" s="50"/>
      <c r="DF285" s="16" t="s">
        <v>289</v>
      </c>
      <c r="DG285" s="16" t="s">
        <v>83</v>
      </c>
    </row>
    <row r="286" spans="2:129" s="11" customFormat="1" x14ac:dyDescent="0.2">
      <c r="B286" s="143"/>
      <c r="D286" s="138" t="s">
        <v>301</v>
      </c>
      <c r="E286" s="144" t="s">
        <v>1</v>
      </c>
      <c r="F286" s="145" t="s">
        <v>996</v>
      </c>
      <c r="H286" s="144" t="s">
        <v>1</v>
      </c>
      <c r="I286" s="146"/>
      <c r="L286" s="143"/>
      <c r="N286" s="215"/>
      <c r="O286" s="216"/>
      <c r="Q286" s="230"/>
      <c r="BY286" s="147"/>
      <c r="CF286" s="148"/>
      <c r="DF286" s="144" t="s">
        <v>301</v>
      </c>
      <c r="DG286" s="144" t="s">
        <v>83</v>
      </c>
      <c r="DH286" s="11" t="s">
        <v>81</v>
      </c>
      <c r="DI286" s="11" t="s">
        <v>32</v>
      </c>
      <c r="DJ286" s="11" t="s">
        <v>74</v>
      </c>
      <c r="DK286" s="144" t="s">
        <v>282</v>
      </c>
    </row>
    <row r="287" spans="2:129" s="12" customFormat="1" x14ac:dyDescent="0.2">
      <c r="B287" s="149"/>
      <c r="D287" s="138" t="s">
        <v>301</v>
      </c>
      <c r="E287" s="150" t="s">
        <v>1</v>
      </c>
      <c r="F287" s="151" t="s">
        <v>2486</v>
      </c>
      <c r="H287" s="152">
        <v>647.64599999999996</v>
      </c>
      <c r="I287" s="153"/>
      <c r="L287" s="149"/>
      <c r="N287" s="217">
        <f>O287</f>
        <v>650.64599999999996</v>
      </c>
      <c r="O287" s="218">
        <v>650.64599999999996</v>
      </c>
      <c r="Q287" s="231"/>
      <c r="BY287" s="154"/>
      <c r="CF287" s="155"/>
      <c r="DF287" s="150" t="s">
        <v>301</v>
      </c>
      <c r="DG287" s="150" t="s">
        <v>83</v>
      </c>
      <c r="DH287" s="12" t="s">
        <v>83</v>
      </c>
      <c r="DI287" s="12" t="s">
        <v>32</v>
      </c>
      <c r="DJ287" s="12" t="s">
        <v>74</v>
      </c>
      <c r="DK287" s="150" t="s">
        <v>282</v>
      </c>
    </row>
    <row r="288" spans="2:129" s="11" customFormat="1" x14ac:dyDescent="0.2">
      <c r="B288" s="143"/>
      <c r="D288" s="138" t="s">
        <v>301</v>
      </c>
      <c r="E288" s="144" t="s">
        <v>1</v>
      </c>
      <c r="F288" s="145" t="s">
        <v>998</v>
      </c>
      <c r="H288" s="144" t="s">
        <v>1</v>
      </c>
      <c r="I288" s="146"/>
      <c r="L288" s="143"/>
      <c r="N288" s="215"/>
      <c r="O288" s="216"/>
      <c r="Q288" s="230"/>
      <c r="BY288" s="147"/>
      <c r="CF288" s="148"/>
      <c r="DF288" s="144" t="s">
        <v>301</v>
      </c>
      <c r="DG288" s="144" t="s">
        <v>83</v>
      </c>
      <c r="DH288" s="11" t="s">
        <v>81</v>
      </c>
      <c r="DI288" s="11" t="s">
        <v>32</v>
      </c>
      <c r="DJ288" s="11" t="s">
        <v>74</v>
      </c>
      <c r="DK288" s="144" t="s">
        <v>282</v>
      </c>
    </row>
    <row r="289" spans="2:129" s="12" customFormat="1" x14ac:dyDescent="0.2">
      <c r="B289" s="149"/>
      <c r="D289" s="138" t="s">
        <v>301</v>
      </c>
      <c r="E289" s="150" t="s">
        <v>1</v>
      </c>
      <c r="F289" s="151" t="s">
        <v>2487</v>
      </c>
      <c r="H289" s="152">
        <v>-129.64099999999999</v>
      </c>
      <c r="I289" s="153"/>
      <c r="L289" s="149"/>
      <c r="N289" s="310">
        <f>H289</f>
        <v>-129.64099999999999</v>
      </c>
      <c r="O289" s="218"/>
      <c r="Q289" s="231"/>
      <c r="BY289" s="154"/>
      <c r="CF289" s="155"/>
      <c r="DF289" s="150" t="s">
        <v>301</v>
      </c>
      <c r="DG289" s="150" t="s">
        <v>83</v>
      </c>
      <c r="DH289" s="12" t="s">
        <v>83</v>
      </c>
      <c r="DI289" s="12" t="s">
        <v>32</v>
      </c>
      <c r="DJ289" s="12" t="s">
        <v>74</v>
      </c>
      <c r="DK289" s="150" t="s">
        <v>282</v>
      </c>
    </row>
    <row r="290" spans="2:129" s="13" customFormat="1" x14ac:dyDescent="0.2">
      <c r="B290" s="156"/>
      <c r="D290" s="138" t="s">
        <v>301</v>
      </c>
      <c r="E290" s="157" t="s">
        <v>1</v>
      </c>
      <c r="F290" s="158" t="s">
        <v>305</v>
      </c>
      <c r="H290" s="159">
        <v>518.005</v>
      </c>
      <c r="I290" s="160"/>
      <c r="L290" s="156"/>
      <c r="N290" s="311">
        <f>N287+N289</f>
        <v>521.005</v>
      </c>
      <c r="O290" s="220"/>
      <c r="Q290" s="232"/>
      <c r="BY290" s="161"/>
      <c r="CF290" s="162"/>
      <c r="DF290" s="157" t="s">
        <v>301</v>
      </c>
      <c r="DG290" s="157" t="s">
        <v>83</v>
      </c>
      <c r="DH290" s="13" t="s">
        <v>95</v>
      </c>
      <c r="DI290" s="13" t="s">
        <v>32</v>
      </c>
      <c r="DJ290" s="13" t="s">
        <v>81</v>
      </c>
      <c r="DK290" s="157" t="s">
        <v>282</v>
      </c>
    </row>
    <row r="291" spans="2:129" s="12" customFormat="1" x14ac:dyDescent="0.2">
      <c r="B291" s="149"/>
      <c r="D291" s="138" t="s">
        <v>301</v>
      </c>
      <c r="F291" s="151" t="s">
        <v>2488</v>
      </c>
      <c r="H291" s="152">
        <v>932.40899999999999</v>
      </c>
      <c r="I291" s="153"/>
      <c r="L291" s="149"/>
      <c r="N291" s="217">
        <f>N290*1.8</f>
        <v>937.80899999999997</v>
      </c>
      <c r="O291" s="218"/>
      <c r="Q291" s="231"/>
      <c r="BY291" s="154"/>
      <c r="CF291" s="155"/>
      <c r="DF291" s="150" t="s">
        <v>301</v>
      </c>
      <c r="DG291" s="150" t="s">
        <v>83</v>
      </c>
      <c r="DH291" s="12" t="s">
        <v>83</v>
      </c>
      <c r="DI291" s="12" t="s">
        <v>3</v>
      </c>
      <c r="DJ291" s="12" t="s">
        <v>81</v>
      </c>
      <c r="DK291" s="150" t="s">
        <v>282</v>
      </c>
    </row>
    <row r="292" spans="2:129" s="12" customFormat="1" x14ac:dyDescent="0.2">
      <c r="B292" s="149"/>
      <c r="D292" s="138"/>
      <c r="F292" s="151"/>
      <c r="H292" s="152"/>
      <c r="I292" s="153"/>
      <c r="L292" s="149"/>
      <c r="N292" s="310">
        <f>N291-H291</f>
        <v>5.3999999999999773</v>
      </c>
      <c r="O292" s="218"/>
      <c r="Q292" s="231"/>
      <c r="BY292" s="154"/>
      <c r="CF292" s="155"/>
      <c r="DF292" s="150"/>
      <c r="DG292" s="150"/>
      <c r="DK292" s="150"/>
    </row>
    <row r="293" spans="2:129" s="1" customFormat="1" ht="24.2" customHeight="1" x14ac:dyDescent="0.2">
      <c r="B293" s="124"/>
      <c r="C293" s="125" t="s">
        <v>489</v>
      </c>
      <c r="D293" s="125" t="s">
        <v>284</v>
      </c>
      <c r="E293" s="126" t="s">
        <v>423</v>
      </c>
      <c r="F293" s="127" t="s">
        <v>424</v>
      </c>
      <c r="G293" s="128" t="s">
        <v>366</v>
      </c>
      <c r="H293" s="129">
        <v>498.46600000000001</v>
      </c>
      <c r="I293" s="130">
        <v>140.64048227116101</v>
      </c>
      <c r="J293" s="131">
        <f>ROUND(I293*H293,2)</f>
        <v>70104.5</v>
      </c>
      <c r="K293" s="127" t="s">
        <v>293</v>
      </c>
      <c r="L293" s="198">
        <f>S293</f>
        <v>0</v>
      </c>
      <c r="M293" s="206">
        <f>ROUND(L293*I293,2)</f>
        <v>0</v>
      </c>
      <c r="N293" s="211">
        <f>N309</f>
        <v>3.6040150000001177</v>
      </c>
      <c r="O293" s="212">
        <f>ROUND(N293*I293,2)</f>
        <v>506.87</v>
      </c>
      <c r="P293" s="207">
        <f>H293-L293-N293</f>
        <v>494.86198499999989</v>
      </c>
      <c r="Q293" s="228">
        <f>ROUND(P293*I293,2)</f>
        <v>69597.63</v>
      </c>
      <c r="R293" s="199"/>
      <c r="S293" s="200">
        <f>W293+Y293+AA293+AC293+AE293+AG293+AI293+AK293+AM293+AO293+AQ293+AS293+AU293+AW293</f>
        <v>0</v>
      </c>
      <c r="T293" s="200">
        <f>ROUND(S293*I293,2)</f>
        <v>0</v>
      </c>
      <c r="U293" s="200">
        <f>H293-S293</f>
        <v>498.46600000000001</v>
      </c>
      <c r="V293" s="200">
        <f>ROUND(U293*I293,2)</f>
        <v>70104.5</v>
      </c>
      <c r="W293" s="200"/>
      <c r="X293" s="200"/>
      <c r="Y293" s="200"/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0"/>
      <c r="AP293" s="200"/>
      <c r="AQ293" s="200"/>
      <c r="AR293" s="200"/>
      <c r="AS293" s="200"/>
      <c r="AT293" s="200"/>
      <c r="AU293" s="200"/>
      <c r="AV293" s="200"/>
      <c r="AW293" s="200"/>
      <c r="AX293" s="200"/>
      <c r="BY293" s="132" t="s">
        <v>1</v>
      </c>
      <c r="BZ293" s="133" t="s">
        <v>40</v>
      </c>
      <c r="CB293" s="134">
        <f>CA293*H293</f>
        <v>0</v>
      </c>
      <c r="CC293" s="134">
        <v>0</v>
      </c>
      <c r="CD293" s="134">
        <f>CC293*H293</f>
        <v>0</v>
      </c>
      <c r="CE293" s="134">
        <v>0</v>
      </c>
      <c r="CF293" s="135">
        <f>CE293*H293</f>
        <v>0</v>
      </c>
      <c r="DD293" s="136" t="s">
        <v>95</v>
      </c>
      <c r="DF293" s="136" t="s">
        <v>284</v>
      </c>
      <c r="DG293" s="136" t="s">
        <v>83</v>
      </c>
      <c r="DK293" s="16" t="s">
        <v>282</v>
      </c>
      <c r="DQ293" s="137">
        <f>IF(BZ293="základní",J293,0)</f>
        <v>70104.5</v>
      </c>
      <c r="DR293" s="137">
        <f>IF(BZ293="snížená",J293,0)</f>
        <v>0</v>
      </c>
      <c r="DS293" s="137">
        <f>IF(BZ293="zákl. přenesená",J293,0)</f>
        <v>0</v>
      </c>
      <c r="DT293" s="137">
        <f>IF(BZ293="sníž. přenesená",J293,0)</f>
        <v>0</v>
      </c>
      <c r="DU293" s="137">
        <f>IF(BZ293="nulová",J293,0)</f>
        <v>0</v>
      </c>
      <c r="DV293" s="16" t="s">
        <v>81</v>
      </c>
      <c r="DW293" s="137">
        <f>ROUND(I293*H293,2)</f>
        <v>70104.5</v>
      </c>
      <c r="DX293" s="16" t="s">
        <v>95</v>
      </c>
      <c r="DY293" s="136" t="s">
        <v>425</v>
      </c>
    </row>
    <row r="294" spans="2:129" s="1" customFormat="1" ht="29.25" x14ac:dyDescent="0.2">
      <c r="B294" s="31"/>
      <c r="D294" s="138" t="s">
        <v>289</v>
      </c>
      <c r="F294" s="139" t="s">
        <v>426</v>
      </c>
      <c r="I294" s="140"/>
      <c r="L294" s="31"/>
      <c r="N294" s="213"/>
      <c r="O294" s="214"/>
      <c r="Q294" s="229"/>
      <c r="BY294" s="141"/>
      <c r="CF294" s="50"/>
      <c r="DF294" s="16" t="s">
        <v>289</v>
      </c>
      <c r="DG294" s="16" t="s">
        <v>83</v>
      </c>
    </row>
    <row r="295" spans="2:129" s="11" customFormat="1" x14ac:dyDescent="0.2">
      <c r="B295" s="143"/>
      <c r="D295" s="138" t="s">
        <v>301</v>
      </c>
      <c r="E295" s="144" t="s">
        <v>1</v>
      </c>
      <c r="F295" s="145" t="s">
        <v>1458</v>
      </c>
      <c r="H295" s="144" t="s">
        <v>1</v>
      </c>
      <c r="I295" s="146"/>
      <c r="L295" s="143"/>
      <c r="N295" s="215"/>
      <c r="O295" s="216"/>
      <c r="Q295" s="230"/>
      <c r="BY295" s="147"/>
      <c r="CF295" s="148"/>
      <c r="DF295" s="144" t="s">
        <v>301</v>
      </c>
      <c r="DG295" s="144" t="s">
        <v>83</v>
      </c>
      <c r="DH295" s="11" t="s">
        <v>81</v>
      </c>
      <c r="DI295" s="11" t="s">
        <v>32</v>
      </c>
      <c r="DJ295" s="11" t="s">
        <v>74</v>
      </c>
      <c r="DK295" s="144" t="s">
        <v>282</v>
      </c>
    </row>
    <row r="296" spans="2:129" s="12" customFormat="1" x14ac:dyDescent="0.2">
      <c r="B296" s="149"/>
      <c r="D296" s="138" t="s">
        <v>301</v>
      </c>
      <c r="E296" s="150" t="s">
        <v>1</v>
      </c>
      <c r="F296" s="151" t="s">
        <v>2472</v>
      </c>
      <c r="H296" s="152">
        <v>575.58600000000001</v>
      </c>
      <c r="I296" s="153"/>
      <c r="L296" s="149"/>
      <c r="N296" s="217">
        <f>289.293+289.293</f>
        <v>578.58600000000001</v>
      </c>
      <c r="O296" s="218" t="s">
        <v>3596</v>
      </c>
      <c r="Q296" s="231"/>
      <c r="BY296" s="154"/>
      <c r="CF296" s="155"/>
      <c r="DF296" s="150" t="s">
        <v>301</v>
      </c>
      <c r="DG296" s="150" t="s">
        <v>83</v>
      </c>
      <c r="DH296" s="12" t="s">
        <v>83</v>
      </c>
      <c r="DI296" s="12" t="s">
        <v>32</v>
      </c>
      <c r="DJ296" s="12" t="s">
        <v>74</v>
      </c>
      <c r="DK296" s="150" t="s">
        <v>282</v>
      </c>
    </row>
    <row r="297" spans="2:129" s="11" customFormat="1" x14ac:dyDescent="0.2">
      <c r="B297" s="143"/>
      <c r="D297" s="138" t="s">
        <v>301</v>
      </c>
      <c r="E297" s="144" t="s">
        <v>1</v>
      </c>
      <c r="F297" s="145" t="s">
        <v>1858</v>
      </c>
      <c r="H297" s="144" t="s">
        <v>1</v>
      </c>
      <c r="I297" s="146"/>
      <c r="L297" s="143"/>
      <c r="N297" s="215"/>
      <c r="O297" s="216"/>
      <c r="Q297" s="230"/>
      <c r="BY297" s="147"/>
      <c r="CF297" s="148"/>
      <c r="DF297" s="144" t="s">
        <v>301</v>
      </c>
      <c r="DG297" s="144" t="s">
        <v>83</v>
      </c>
      <c r="DH297" s="11" t="s">
        <v>81</v>
      </c>
      <c r="DI297" s="11" t="s">
        <v>32</v>
      </c>
      <c r="DJ297" s="11" t="s">
        <v>74</v>
      </c>
      <c r="DK297" s="144" t="s">
        <v>282</v>
      </c>
    </row>
    <row r="298" spans="2:129" s="12" customFormat="1" x14ac:dyDescent="0.2">
      <c r="B298" s="149"/>
      <c r="D298" s="138" t="s">
        <v>301</v>
      </c>
      <c r="E298" s="150" t="s">
        <v>1</v>
      </c>
      <c r="F298" s="151" t="s">
        <v>2473</v>
      </c>
      <c r="H298" s="152">
        <v>42.3</v>
      </c>
      <c r="I298" s="153"/>
      <c r="L298" s="149"/>
      <c r="N298" s="310">
        <f>H298</f>
        <v>42.3</v>
      </c>
      <c r="O298" s="218"/>
      <c r="Q298" s="231"/>
      <c r="BY298" s="154"/>
      <c r="CF298" s="155"/>
      <c r="DF298" s="150" t="s">
        <v>301</v>
      </c>
      <c r="DG298" s="150" t="s">
        <v>83</v>
      </c>
      <c r="DH298" s="12" t="s">
        <v>83</v>
      </c>
      <c r="DI298" s="12" t="s">
        <v>32</v>
      </c>
      <c r="DJ298" s="12" t="s">
        <v>74</v>
      </c>
      <c r="DK298" s="150" t="s">
        <v>282</v>
      </c>
    </row>
    <row r="299" spans="2:129" s="11" customFormat="1" x14ac:dyDescent="0.2">
      <c r="B299" s="143"/>
      <c r="D299" s="138" t="s">
        <v>301</v>
      </c>
      <c r="E299" s="144" t="s">
        <v>1</v>
      </c>
      <c r="F299" s="145" t="s">
        <v>428</v>
      </c>
      <c r="H299" s="144" t="s">
        <v>1</v>
      </c>
      <c r="I299" s="146"/>
      <c r="L299" s="143"/>
      <c r="N299" s="215"/>
      <c r="O299" s="216"/>
      <c r="Q299" s="230"/>
      <c r="BY299" s="147"/>
      <c r="CF299" s="148"/>
      <c r="DF299" s="144" t="s">
        <v>301</v>
      </c>
      <c r="DG299" s="144" t="s">
        <v>83</v>
      </c>
      <c r="DH299" s="11" t="s">
        <v>81</v>
      </c>
      <c r="DI299" s="11" t="s">
        <v>32</v>
      </c>
      <c r="DJ299" s="11" t="s">
        <v>74</v>
      </c>
      <c r="DK299" s="144" t="s">
        <v>282</v>
      </c>
    </row>
    <row r="300" spans="2:129" s="12" customFormat="1" x14ac:dyDescent="0.2">
      <c r="B300" s="149"/>
      <c r="D300" s="138" t="s">
        <v>301</v>
      </c>
      <c r="E300" s="150" t="s">
        <v>1</v>
      </c>
      <c r="F300" s="151" t="s">
        <v>2489</v>
      </c>
      <c r="H300" s="152">
        <v>-155.60599999999999</v>
      </c>
      <c r="I300" s="153"/>
      <c r="L300" s="149"/>
      <c r="N300" s="217">
        <f>-N329</f>
        <v>-156.499605</v>
      </c>
      <c r="O300" s="218"/>
      <c r="Q300" s="231"/>
      <c r="BY300" s="154"/>
      <c r="CF300" s="155"/>
      <c r="DF300" s="150" t="s">
        <v>301</v>
      </c>
      <c r="DG300" s="150" t="s">
        <v>83</v>
      </c>
      <c r="DH300" s="12" t="s">
        <v>83</v>
      </c>
      <c r="DI300" s="12" t="s">
        <v>32</v>
      </c>
      <c r="DJ300" s="12" t="s">
        <v>74</v>
      </c>
      <c r="DK300" s="150" t="s">
        <v>282</v>
      </c>
    </row>
    <row r="301" spans="2:129" s="11" customFormat="1" x14ac:dyDescent="0.2">
      <c r="B301" s="143"/>
      <c r="D301" s="138" t="s">
        <v>301</v>
      </c>
      <c r="E301" s="144" t="s">
        <v>1</v>
      </c>
      <c r="F301" s="145" t="s">
        <v>430</v>
      </c>
      <c r="H301" s="144" t="s">
        <v>1</v>
      </c>
      <c r="I301" s="146"/>
      <c r="L301" s="143"/>
      <c r="N301" s="215"/>
      <c r="O301" s="216"/>
      <c r="Q301" s="230"/>
      <c r="BY301" s="147"/>
      <c r="CF301" s="148"/>
      <c r="DF301" s="144" t="s">
        <v>301</v>
      </c>
      <c r="DG301" s="144" t="s">
        <v>83</v>
      </c>
      <c r="DH301" s="11" t="s">
        <v>81</v>
      </c>
      <c r="DI301" s="11" t="s">
        <v>32</v>
      </c>
      <c r="DJ301" s="11" t="s">
        <v>74</v>
      </c>
      <c r="DK301" s="144" t="s">
        <v>282</v>
      </c>
    </row>
    <row r="302" spans="2:129" s="12" customFormat="1" x14ac:dyDescent="0.2">
      <c r="B302" s="149"/>
      <c r="D302" s="138" t="s">
        <v>301</v>
      </c>
      <c r="E302" s="150" t="s">
        <v>1</v>
      </c>
      <c r="F302" s="151" t="s">
        <v>2490</v>
      </c>
      <c r="H302" s="152">
        <v>-38.47</v>
      </c>
      <c r="I302" s="153"/>
      <c r="L302" s="149"/>
      <c r="N302" s="310">
        <f>-N402-H404</f>
        <v>-38.692300000000003</v>
      </c>
      <c r="O302" s="218"/>
      <c r="Q302" s="231"/>
      <c r="BY302" s="154"/>
      <c r="CF302" s="155"/>
      <c r="DF302" s="150" t="s">
        <v>301</v>
      </c>
      <c r="DG302" s="150" t="s">
        <v>83</v>
      </c>
      <c r="DH302" s="12" t="s">
        <v>83</v>
      </c>
      <c r="DI302" s="12" t="s">
        <v>32</v>
      </c>
      <c r="DJ302" s="12" t="s">
        <v>74</v>
      </c>
      <c r="DK302" s="150" t="s">
        <v>282</v>
      </c>
    </row>
    <row r="303" spans="2:129" s="11" customFormat="1" x14ac:dyDescent="0.2">
      <c r="B303" s="143"/>
      <c r="D303" s="138" t="s">
        <v>301</v>
      </c>
      <c r="E303" s="144" t="s">
        <v>1</v>
      </c>
      <c r="F303" s="145" t="s">
        <v>2491</v>
      </c>
      <c r="H303" s="144" t="s">
        <v>1</v>
      </c>
      <c r="I303" s="146"/>
      <c r="L303" s="143"/>
      <c r="N303" s="215"/>
      <c r="O303" s="216"/>
      <c r="Q303" s="230"/>
      <c r="BY303" s="147"/>
      <c r="CF303" s="148"/>
      <c r="DF303" s="144" t="s">
        <v>301</v>
      </c>
      <c r="DG303" s="144" t="s">
        <v>83</v>
      </c>
      <c r="DH303" s="11" t="s">
        <v>81</v>
      </c>
      <c r="DI303" s="11" t="s">
        <v>32</v>
      </c>
      <c r="DJ303" s="11" t="s">
        <v>74</v>
      </c>
      <c r="DK303" s="144" t="s">
        <v>282</v>
      </c>
    </row>
    <row r="304" spans="2:129" s="12" customFormat="1" x14ac:dyDescent="0.2">
      <c r="B304" s="149"/>
      <c r="D304" s="138" t="s">
        <v>301</v>
      </c>
      <c r="E304" s="150" t="s">
        <v>1</v>
      </c>
      <c r="F304" s="151" t="s">
        <v>2492</v>
      </c>
      <c r="H304" s="152">
        <v>-1.8380000000000001</v>
      </c>
      <c r="I304" s="153"/>
      <c r="L304" s="149"/>
      <c r="N304" s="310">
        <f>H304</f>
        <v>-1.8380000000000001</v>
      </c>
      <c r="O304" s="218"/>
      <c r="Q304" s="231"/>
      <c r="BY304" s="154"/>
      <c r="CF304" s="155"/>
      <c r="DF304" s="150" t="s">
        <v>301</v>
      </c>
      <c r="DG304" s="150" t="s">
        <v>83</v>
      </c>
      <c r="DH304" s="12" t="s">
        <v>83</v>
      </c>
      <c r="DI304" s="12" t="s">
        <v>32</v>
      </c>
      <c r="DJ304" s="12" t="s">
        <v>74</v>
      </c>
      <c r="DK304" s="150" t="s">
        <v>282</v>
      </c>
    </row>
    <row r="305" spans="2:129" s="12" customFormat="1" x14ac:dyDescent="0.2">
      <c r="B305" s="149"/>
      <c r="D305" s="138" t="s">
        <v>301</v>
      </c>
      <c r="E305" s="150" t="s">
        <v>1</v>
      </c>
      <c r="F305" s="151" t="s">
        <v>2482</v>
      </c>
      <c r="H305" s="152">
        <v>-2.173</v>
      </c>
      <c r="I305" s="153"/>
      <c r="L305" s="149"/>
      <c r="N305" s="310">
        <f>H305</f>
        <v>-2.173</v>
      </c>
      <c r="O305" s="218"/>
      <c r="Q305" s="231"/>
      <c r="BY305" s="154"/>
      <c r="CF305" s="155"/>
      <c r="DF305" s="150" t="s">
        <v>301</v>
      </c>
      <c r="DG305" s="150" t="s">
        <v>83</v>
      </c>
      <c r="DH305" s="12" t="s">
        <v>83</v>
      </c>
      <c r="DI305" s="12" t="s">
        <v>32</v>
      </c>
      <c r="DJ305" s="12" t="s">
        <v>74</v>
      </c>
      <c r="DK305" s="150" t="s">
        <v>282</v>
      </c>
    </row>
    <row r="306" spans="2:129" s="11" customFormat="1" x14ac:dyDescent="0.2">
      <c r="B306" s="143"/>
      <c r="D306" s="138" t="s">
        <v>301</v>
      </c>
      <c r="E306" s="144" t="s">
        <v>1</v>
      </c>
      <c r="F306" s="145" t="s">
        <v>436</v>
      </c>
      <c r="H306" s="144" t="s">
        <v>1</v>
      </c>
      <c r="I306" s="146"/>
      <c r="L306" s="143"/>
      <c r="N306" s="215"/>
      <c r="O306" s="216"/>
      <c r="Q306" s="230"/>
      <c r="BY306" s="147"/>
      <c r="CF306" s="148"/>
      <c r="DF306" s="144" t="s">
        <v>301</v>
      </c>
      <c r="DG306" s="144" t="s">
        <v>83</v>
      </c>
      <c r="DH306" s="11" t="s">
        <v>81</v>
      </c>
      <c r="DI306" s="11" t="s">
        <v>32</v>
      </c>
      <c r="DJ306" s="11" t="s">
        <v>74</v>
      </c>
      <c r="DK306" s="144" t="s">
        <v>282</v>
      </c>
    </row>
    <row r="307" spans="2:129" s="12" customFormat="1" x14ac:dyDescent="0.2">
      <c r="B307" s="149"/>
      <c r="D307" s="138" t="s">
        <v>301</v>
      </c>
      <c r="E307" s="150" t="s">
        <v>1</v>
      </c>
      <c r="F307" s="151" t="s">
        <v>2493</v>
      </c>
      <c r="H307" s="152">
        <v>78.667000000000002</v>
      </c>
      <c r="I307" s="153"/>
      <c r="L307" s="149"/>
      <c r="N307" s="217">
        <f>223.297*0.9*(0.45-0.05)</f>
        <v>80.386920000000003</v>
      </c>
      <c r="O307" s="218" t="s">
        <v>3604</v>
      </c>
      <c r="Q307" s="231"/>
      <c r="BY307" s="154"/>
      <c r="CF307" s="155"/>
      <c r="DF307" s="150" t="s">
        <v>301</v>
      </c>
      <c r="DG307" s="150" t="s">
        <v>83</v>
      </c>
      <c r="DH307" s="12" t="s">
        <v>83</v>
      </c>
      <c r="DI307" s="12" t="s">
        <v>32</v>
      </c>
      <c r="DJ307" s="12" t="s">
        <v>74</v>
      </c>
      <c r="DK307" s="150" t="s">
        <v>282</v>
      </c>
    </row>
    <row r="308" spans="2:129" s="13" customFormat="1" x14ac:dyDescent="0.2">
      <c r="B308" s="156"/>
      <c r="D308" s="138" t="s">
        <v>301</v>
      </c>
      <c r="E308" s="157" t="s">
        <v>1</v>
      </c>
      <c r="F308" s="158" t="s">
        <v>305</v>
      </c>
      <c r="H308" s="159">
        <v>498.46599999999989</v>
      </c>
      <c r="I308" s="160"/>
      <c r="L308" s="156"/>
      <c r="N308" s="311">
        <f>N296+N298+N300+N302+N304+N305+N307</f>
        <v>502.07001500000001</v>
      </c>
      <c r="O308" s="220"/>
      <c r="Q308" s="232"/>
      <c r="BY308" s="161"/>
      <c r="CF308" s="162"/>
      <c r="DF308" s="157" t="s">
        <v>301</v>
      </c>
      <c r="DG308" s="157" t="s">
        <v>83</v>
      </c>
      <c r="DH308" s="13" t="s">
        <v>95</v>
      </c>
      <c r="DI308" s="13" t="s">
        <v>32</v>
      </c>
      <c r="DJ308" s="13" t="s">
        <v>81</v>
      </c>
      <c r="DK308" s="157" t="s">
        <v>282</v>
      </c>
    </row>
    <row r="309" spans="2:129" s="13" customFormat="1" x14ac:dyDescent="0.2">
      <c r="B309" s="156"/>
      <c r="D309" s="138"/>
      <c r="E309" s="157"/>
      <c r="F309" s="158"/>
      <c r="H309" s="159"/>
      <c r="I309" s="160"/>
      <c r="L309" s="156"/>
      <c r="N309" s="311">
        <f>N308-H308</f>
        <v>3.6040150000001177</v>
      </c>
      <c r="O309" s="220"/>
      <c r="Q309" s="232"/>
      <c r="BY309" s="161"/>
      <c r="CF309" s="162"/>
      <c r="DF309" s="157"/>
      <c r="DG309" s="157"/>
      <c r="DK309" s="157"/>
    </row>
    <row r="310" spans="2:129" s="1" customFormat="1" ht="14.45" customHeight="1" x14ac:dyDescent="0.2">
      <c r="B310" s="124"/>
      <c r="C310" s="170" t="s">
        <v>493</v>
      </c>
      <c r="D310" s="170" t="s">
        <v>439</v>
      </c>
      <c r="E310" s="171" t="s">
        <v>440</v>
      </c>
      <c r="F310" s="172" t="s">
        <v>441</v>
      </c>
      <c r="G310" s="173" t="s">
        <v>418</v>
      </c>
      <c r="H310" s="174">
        <v>797.17</v>
      </c>
      <c r="I310" s="175">
        <v>390.0974172</v>
      </c>
      <c r="J310" s="176">
        <f>ROUND(I310*H310,2)</f>
        <v>310973.96000000002</v>
      </c>
      <c r="K310" s="172" t="s">
        <v>293</v>
      </c>
      <c r="L310" s="198">
        <f>S310</f>
        <v>0</v>
      </c>
      <c r="M310" s="206">
        <f>ROUND(L310*I310,2)</f>
        <v>0</v>
      </c>
      <c r="N310" s="211">
        <f>N323</f>
        <v>7.20799999999997</v>
      </c>
      <c r="O310" s="212">
        <f>ROUND(N310*I310,2)</f>
        <v>2811.82</v>
      </c>
      <c r="P310" s="207">
        <f>H310-L310-N310</f>
        <v>789.96199999999999</v>
      </c>
      <c r="Q310" s="228">
        <f>ROUND(P310*I310,2)</f>
        <v>308162.14</v>
      </c>
      <c r="R310" s="199"/>
      <c r="S310" s="200">
        <f>W310+Y310+AA310+AC310+AE310+AG310+AI310+AK310+AM310+AO310+AQ310+AS310+AU310+AW310</f>
        <v>0</v>
      </c>
      <c r="T310" s="200">
        <f>ROUND(S310*I310,2)</f>
        <v>0</v>
      </c>
      <c r="U310" s="200">
        <f>H310-S310</f>
        <v>797.17</v>
      </c>
      <c r="V310" s="200">
        <f>ROUND(U310*I310,2)</f>
        <v>310973.96000000002</v>
      </c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77" t="s">
        <v>1</v>
      </c>
      <c r="BZ310" s="178" t="s">
        <v>40</v>
      </c>
      <c r="CB310" s="134">
        <f>CA310*H310</f>
        <v>0</v>
      </c>
      <c r="CC310" s="134">
        <v>1</v>
      </c>
      <c r="CD310" s="134">
        <f>CC310*H310</f>
        <v>797.17</v>
      </c>
      <c r="CE310" s="134">
        <v>0</v>
      </c>
      <c r="CF310" s="135">
        <f>CE310*H310</f>
        <v>0</v>
      </c>
      <c r="DD310" s="136" t="s">
        <v>328</v>
      </c>
      <c r="DF310" s="136" t="s">
        <v>439</v>
      </c>
      <c r="DG310" s="136" t="s">
        <v>83</v>
      </c>
      <c r="DK310" s="16" t="s">
        <v>282</v>
      </c>
      <c r="DQ310" s="137">
        <f>IF(BZ310="základní",J310,0)</f>
        <v>310973.96000000002</v>
      </c>
      <c r="DR310" s="137">
        <f>IF(BZ310="snížená",J310,0)</f>
        <v>0</v>
      </c>
      <c r="DS310" s="137">
        <f>IF(BZ310="zákl. přenesená",J310,0)</f>
        <v>0</v>
      </c>
      <c r="DT310" s="137">
        <f>IF(BZ310="sníž. přenesená",J310,0)</f>
        <v>0</v>
      </c>
      <c r="DU310" s="137">
        <f>IF(BZ310="nulová",J310,0)</f>
        <v>0</v>
      </c>
      <c r="DV310" s="16" t="s">
        <v>81</v>
      </c>
      <c r="DW310" s="137">
        <f>ROUND(I310*H310,2)</f>
        <v>310973.96000000002</v>
      </c>
      <c r="DX310" s="16" t="s">
        <v>95</v>
      </c>
      <c r="DY310" s="136" t="s">
        <v>2494</v>
      </c>
    </row>
    <row r="311" spans="2:129" s="1" customFormat="1" x14ac:dyDescent="0.2">
      <c r="B311" s="31"/>
      <c r="D311" s="138" t="s">
        <v>289</v>
      </c>
      <c r="F311" s="139" t="s">
        <v>441</v>
      </c>
      <c r="I311" s="140"/>
      <c r="L311" s="31"/>
      <c r="N311" s="213"/>
      <c r="O311" s="214"/>
      <c r="Q311" s="229"/>
      <c r="BY311" s="141"/>
      <c r="CF311" s="50"/>
      <c r="DF311" s="16" t="s">
        <v>289</v>
      </c>
      <c r="DG311" s="16" t="s">
        <v>83</v>
      </c>
    </row>
    <row r="312" spans="2:129" s="1" customFormat="1" ht="19.5" x14ac:dyDescent="0.2">
      <c r="B312" s="31"/>
      <c r="D312" s="138" t="s">
        <v>299</v>
      </c>
      <c r="F312" s="142" t="s">
        <v>443</v>
      </c>
      <c r="I312" s="140"/>
      <c r="L312" s="31"/>
      <c r="N312" s="213"/>
      <c r="O312" s="214"/>
      <c r="Q312" s="229"/>
      <c r="BY312" s="141"/>
      <c r="CF312" s="50"/>
      <c r="DF312" s="16" t="s">
        <v>299</v>
      </c>
      <c r="DG312" s="16" t="s">
        <v>83</v>
      </c>
    </row>
    <row r="313" spans="2:129" s="11" customFormat="1" x14ac:dyDescent="0.2">
      <c r="B313" s="143"/>
      <c r="D313" s="138" t="s">
        <v>301</v>
      </c>
      <c r="E313" s="144" t="s">
        <v>1</v>
      </c>
      <c r="F313" s="145" t="s">
        <v>1006</v>
      </c>
      <c r="H313" s="144" t="s">
        <v>1</v>
      </c>
      <c r="I313" s="146"/>
      <c r="L313" s="143"/>
      <c r="N313" s="215"/>
      <c r="O313" s="216"/>
      <c r="Q313" s="230"/>
      <c r="BY313" s="147"/>
      <c r="CF313" s="148"/>
      <c r="DF313" s="144" t="s">
        <v>301</v>
      </c>
      <c r="DG313" s="144" t="s">
        <v>83</v>
      </c>
      <c r="DH313" s="11" t="s">
        <v>81</v>
      </c>
      <c r="DI313" s="11" t="s">
        <v>32</v>
      </c>
      <c r="DJ313" s="11" t="s">
        <v>74</v>
      </c>
      <c r="DK313" s="144" t="s">
        <v>282</v>
      </c>
    </row>
    <row r="314" spans="2:129" s="12" customFormat="1" x14ac:dyDescent="0.2">
      <c r="B314" s="149"/>
      <c r="D314" s="138" t="s">
        <v>301</v>
      </c>
      <c r="E314" s="150" t="s">
        <v>1</v>
      </c>
      <c r="F314" s="151" t="s">
        <v>2495</v>
      </c>
      <c r="H314" s="152">
        <v>498.46600000000001</v>
      </c>
      <c r="I314" s="153"/>
      <c r="L314" s="149"/>
      <c r="N314" s="217">
        <v>502.07</v>
      </c>
      <c r="O314" s="218"/>
      <c r="Q314" s="231"/>
      <c r="BY314" s="154"/>
      <c r="CF314" s="155"/>
      <c r="DF314" s="150" t="s">
        <v>301</v>
      </c>
      <c r="DG314" s="150" t="s">
        <v>83</v>
      </c>
      <c r="DH314" s="12" t="s">
        <v>83</v>
      </c>
      <c r="DI314" s="12" t="s">
        <v>32</v>
      </c>
      <c r="DJ314" s="12" t="s">
        <v>74</v>
      </c>
      <c r="DK314" s="150" t="s">
        <v>282</v>
      </c>
    </row>
    <row r="315" spans="2:129" s="14" customFormat="1" x14ac:dyDescent="0.2">
      <c r="B315" s="163"/>
      <c r="D315" s="138" t="s">
        <v>301</v>
      </c>
      <c r="E315" s="164" t="s">
        <v>1</v>
      </c>
      <c r="F315" s="165" t="s">
        <v>373</v>
      </c>
      <c r="H315" s="166">
        <v>498.46600000000001</v>
      </c>
      <c r="I315" s="167"/>
      <c r="L315" s="163"/>
      <c r="N315" s="221">
        <f>N314</f>
        <v>502.07</v>
      </c>
      <c r="O315" s="222"/>
      <c r="Q315" s="233"/>
      <c r="BY315" s="168"/>
      <c r="CF315" s="169"/>
      <c r="DF315" s="164" t="s">
        <v>301</v>
      </c>
      <c r="DG315" s="164" t="s">
        <v>83</v>
      </c>
      <c r="DH315" s="14" t="s">
        <v>90</v>
      </c>
      <c r="DI315" s="14" t="s">
        <v>32</v>
      </c>
      <c r="DJ315" s="14" t="s">
        <v>74</v>
      </c>
      <c r="DK315" s="164" t="s">
        <v>282</v>
      </c>
    </row>
    <row r="316" spans="2:129" s="11" customFormat="1" x14ac:dyDescent="0.2">
      <c r="B316" s="143"/>
      <c r="D316" s="138" t="s">
        <v>301</v>
      </c>
      <c r="E316" s="144" t="s">
        <v>1</v>
      </c>
      <c r="F316" s="145" t="s">
        <v>1102</v>
      </c>
      <c r="H316" s="144" t="s">
        <v>1</v>
      </c>
      <c r="I316" s="146"/>
      <c r="L316" s="143"/>
      <c r="N316" s="215"/>
      <c r="O316" s="216"/>
      <c r="Q316" s="230"/>
      <c r="BY316" s="147"/>
      <c r="CF316" s="148"/>
      <c r="DF316" s="144" t="s">
        <v>301</v>
      </c>
      <c r="DG316" s="144" t="s">
        <v>83</v>
      </c>
      <c r="DH316" s="11" t="s">
        <v>81</v>
      </c>
      <c r="DI316" s="11" t="s">
        <v>32</v>
      </c>
      <c r="DJ316" s="11" t="s">
        <v>74</v>
      </c>
      <c r="DK316" s="144" t="s">
        <v>282</v>
      </c>
    </row>
    <row r="317" spans="2:129" s="12" customFormat="1" x14ac:dyDescent="0.2">
      <c r="B317" s="149"/>
      <c r="D317" s="138" t="s">
        <v>301</v>
      </c>
      <c r="E317" s="150" t="s">
        <v>1</v>
      </c>
      <c r="F317" s="151" t="s">
        <v>2480</v>
      </c>
      <c r="H317" s="152">
        <v>98.745999999999995</v>
      </c>
      <c r="I317" s="153"/>
      <c r="L317" s="149"/>
      <c r="N317" s="310">
        <f>H317</f>
        <v>98.745999999999995</v>
      </c>
      <c r="O317" s="218"/>
      <c r="Q317" s="231"/>
      <c r="BY317" s="154"/>
      <c r="CF317" s="155"/>
      <c r="DF317" s="150" t="s">
        <v>301</v>
      </c>
      <c r="DG317" s="150" t="s">
        <v>83</v>
      </c>
      <c r="DH317" s="12" t="s">
        <v>83</v>
      </c>
      <c r="DI317" s="12" t="s">
        <v>32</v>
      </c>
      <c r="DJ317" s="12" t="s">
        <v>74</v>
      </c>
      <c r="DK317" s="150" t="s">
        <v>282</v>
      </c>
    </row>
    <row r="318" spans="2:129" s="12" customFormat="1" x14ac:dyDescent="0.2">
      <c r="B318" s="149"/>
      <c r="D318" s="138" t="s">
        <v>301</v>
      </c>
      <c r="E318" s="150" t="s">
        <v>1</v>
      </c>
      <c r="F318" s="151" t="s">
        <v>2481</v>
      </c>
      <c r="H318" s="152">
        <v>3.3079999999999998</v>
      </c>
      <c r="I318" s="153"/>
      <c r="L318" s="149"/>
      <c r="N318" s="217">
        <f>H318</f>
        <v>3.3079999999999998</v>
      </c>
      <c r="O318" s="218"/>
      <c r="Q318" s="231"/>
      <c r="BY318" s="154"/>
      <c r="CF318" s="155"/>
      <c r="DF318" s="150" t="s">
        <v>301</v>
      </c>
      <c r="DG318" s="150" t="s">
        <v>83</v>
      </c>
      <c r="DH318" s="12" t="s">
        <v>83</v>
      </c>
      <c r="DI318" s="12" t="s">
        <v>32</v>
      </c>
      <c r="DJ318" s="12" t="s">
        <v>74</v>
      </c>
      <c r="DK318" s="150" t="s">
        <v>282</v>
      </c>
    </row>
    <row r="319" spans="2:129" s="12" customFormat="1" x14ac:dyDescent="0.2">
      <c r="B319" s="149"/>
      <c r="D319" s="138" t="s">
        <v>301</v>
      </c>
      <c r="E319" s="150" t="s">
        <v>1</v>
      </c>
      <c r="F319" s="151" t="s">
        <v>2482</v>
      </c>
      <c r="H319" s="152">
        <v>-2.173</v>
      </c>
      <c r="I319" s="153"/>
      <c r="L319" s="149"/>
      <c r="N319" s="310">
        <f>H319</f>
        <v>-2.173</v>
      </c>
      <c r="O319" s="218"/>
      <c r="Q319" s="231"/>
      <c r="BY319" s="154"/>
      <c r="CF319" s="155"/>
      <c r="DF319" s="150" t="s">
        <v>301</v>
      </c>
      <c r="DG319" s="150" t="s">
        <v>83</v>
      </c>
      <c r="DH319" s="12" t="s">
        <v>83</v>
      </c>
      <c r="DI319" s="12" t="s">
        <v>32</v>
      </c>
      <c r="DJ319" s="12" t="s">
        <v>74</v>
      </c>
      <c r="DK319" s="150" t="s">
        <v>282</v>
      </c>
    </row>
    <row r="320" spans="2:129" s="14" customFormat="1" x14ac:dyDescent="0.2">
      <c r="B320" s="163"/>
      <c r="D320" s="138" t="s">
        <v>301</v>
      </c>
      <c r="E320" s="164" t="s">
        <v>1</v>
      </c>
      <c r="F320" s="165" t="s">
        <v>373</v>
      </c>
      <c r="H320" s="166">
        <v>99.881</v>
      </c>
      <c r="I320" s="167"/>
      <c r="L320" s="163"/>
      <c r="N320" s="318">
        <f>N317+N318+N319</f>
        <v>99.881</v>
      </c>
      <c r="O320" s="222"/>
      <c r="Q320" s="233"/>
      <c r="BY320" s="168"/>
      <c r="CF320" s="169"/>
      <c r="DF320" s="164" t="s">
        <v>301</v>
      </c>
      <c r="DG320" s="164" t="s">
        <v>83</v>
      </c>
      <c r="DH320" s="14" t="s">
        <v>90</v>
      </c>
      <c r="DI320" s="14" t="s">
        <v>32</v>
      </c>
      <c r="DJ320" s="14" t="s">
        <v>74</v>
      </c>
      <c r="DK320" s="164" t="s">
        <v>282</v>
      </c>
    </row>
    <row r="321" spans="2:129" s="12" customFormat="1" x14ac:dyDescent="0.2">
      <c r="B321" s="149"/>
      <c r="D321" s="138" t="s">
        <v>301</v>
      </c>
      <c r="E321" s="150" t="s">
        <v>1</v>
      </c>
      <c r="F321" s="151" t="s">
        <v>2496</v>
      </c>
      <c r="H321" s="152">
        <v>398.58499999999998</v>
      </c>
      <c r="I321" s="153"/>
      <c r="L321" s="149"/>
      <c r="N321" s="310">
        <f>502.07-99.881</f>
        <v>402.18899999999996</v>
      </c>
      <c r="O321" s="218" t="s">
        <v>3605</v>
      </c>
      <c r="Q321" s="231"/>
      <c r="BY321" s="154"/>
      <c r="CF321" s="155"/>
      <c r="DF321" s="150" t="s">
        <v>301</v>
      </c>
      <c r="DG321" s="150" t="s">
        <v>83</v>
      </c>
      <c r="DH321" s="12" t="s">
        <v>83</v>
      </c>
      <c r="DI321" s="12" t="s">
        <v>32</v>
      </c>
      <c r="DJ321" s="12" t="s">
        <v>81</v>
      </c>
      <c r="DK321" s="150" t="s">
        <v>282</v>
      </c>
    </row>
    <row r="322" spans="2:129" s="12" customFormat="1" x14ac:dyDescent="0.2">
      <c r="B322" s="149"/>
      <c r="D322" s="138" t="s">
        <v>301</v>
      </c>
      <c r="F322" s="151" t="s">
        <v>2497</v>
      </c>
      <c r="H322" s="152">
        <v>797.17</v>
      </c>
      <c r="I322" s="153"/>
      <c r="L322" s="149"/>
      <c r="N322" s="217">
        <f>N321*2</f>
        <v>804.37799999999993</v>
      </c>
      <c r="O322" s="218" t="s">
        <v>3606</v>
      </c>
      <c r="Q322" s="231"/>
      <c r="BY322" s="154"/>
      <c r="CF322" s="155"/>
      <c r="DF322" s="150" t="s">
        <v>301</v>
      </c>
      <c r="DG322" s="150" t="s">
        <v>83</v>
      </c>
      <c r="DH322" s="12" t="s">
        <v>83</v>
      </c>
      <c r="DI322" s="12" t="s">
        <v>3</v>
      </c>
      <c r="DJ322" s="12" t="s">
        <v>81</v>
      </c>
      <c r="DK322" s="150" t="s">
        <v>282</v>
      </c>
    </row>
    <row r="323" spans="2:129" s="12" customFormat="1" x14ac:dyDescent="0.2">
      <c r="B323" s="149"/>
      <c r="D323" s="138"/>
      <c r="F323" s="151"/>
      <c r="H323" s="152"/>
      <c r="I323" s="153"/>
      <c r="L323" s="149"/>
      <c r="N323" s="310">
        <f>N322-H322</f>
        <v>7.20799999999997</v>
      </c>
      <c r="O323" s="218"/>
      <c r="Q323" s="231"/>
      <c r="BY323" s="154"/>
      <c r="CF323" s="155"/>
      <c r="DF323" s="150"/>
      <c r="DG323" s="150"/>
      <c r="DK323" s="150"/>
    </row>
    <row r="324" spans="2:129" s="1" customFormat="1" ht="24.2" customHeight="1" x14ac:dyDescent="0.2">
      <c r="B324" s="124"/>
      <c r="C324" s="125" t="s">
        <v>497</v>
      </c>
      <c r="D324" s="125" t="s">
        <v>284</v>
      </c>
      <c r="E324" s="126" t="s">
        <v>446</v>
      </c>
      <c r="F324" s="127" t="s">
        <v>447</v>
      </c>
      <c r="G324" s="128" t="s">
        <v>366</v>
      </c>
      <c r="H324" s="129">
        <v>155.60599999999999</v>
      </c>
      <c r="I324" s="130">
        <v>510.38291484661499</v>
      </c>
      <c r="J324" s="131">
        <f>ROUND(I324*H324,2)</f>
        <v>79418.64</v>
      </c>
      <c r="K324" s="127" t="s">
        <v>293</v>
      </c>
      <c r="L324" s="198">
        <f>S324</f>
        <v>0</v>
      </c>
      <c r="M324" s="206">
        <f>ROUND(L324*I324,2)</f>
        <v>0</v>
      </c>
      <c r="N324" s="211">
        <f>N330</f>
        <v>0.89360500000000798</v>
      </c>
      <c r="O324" s="212">
        <f>ROUND(N324*I324,2)</f>
        <v>456.08</v>
      </c>
      <c r="P324" s="207">
        <f>H324-L324-N324</f>
        <v>154.71239499999999</v>
      </c>
      <c r="Q324" s="228">
        <f>ROUND(P324*I324,2)</f>
        <v>78962.559999999998</v>
      </c>
      <c r="R324" s="199"/>
      <c r="S324" s="200">
        <f>W324+Y324+AA324+AC324+AE324+AG324+AI324+AK324+AM324+AO324+AQ324+AS324+AU324+AW324</f>
        <v>0</v>
      </c>
      <c r="T324" s="200">
        <f>ROUND(S324*I324,2)</f>
        <v>0</v>
      </c>
      <c r="U324" s="200">
        <f>H324-S324</f>
        <v>155.60599999999999</v>
      </c>
      <c r="V324" s="200">
        <f>ROUND(U324*I324,2)</f>
        <v>79418.64</v>
      </c>
      <c r="W324" s="200"/>
      <c r="X324" s="200"/>
      <c r="Y324" s="200"/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0"/>
      <c r="AP324" s="200"/>
      <c r="AQ324" s="200"/>
      <c r="AR324" s="200"/>
      <c r="AS324" s="200"/>
      <c r="AT324" s="200"/>
      <c r="AU324" s="200"/>
      <c r="AV324" s="200"/>
      <c r="AW324" s="200"/>
      <c r="AX324" s="200"/>
      <c r="BY324" s="132" t="s">
        <v>1</v>
      </c>
      <c r="BZ324" s="133" t="s">
        <v>40</v>
      </c>
      <c r="CB324" s="134">
        <f>CA324*H324</f>
        <v>0</v>
      </c>
      <c r="CC324" s="134">
        <v>0</v>
      </c>
      <c r="CD324" s="134">
        <f>CC324*H324</f>
        <v>0</v>
      </c>
      <c r="CE324" s="134">
        <v>0</v>
      </c>
      <c r="CF324" s="135">
        <f>CE324*H324</f>
        <v>0</v>
      </c>
      <c r="DD324" s="136" t="s">
        <v>95</v>
      </c>
      <c r="DF324" s="136" t="s">
        <v>284</v>
      </c>
      <c r="DG324" s="136" t="s">
        <v>83</v>
      </c>
      <c r="DK324" s="16" t="s">
        <v>282</v>
      </c>
      <c r="DQ324" s="137">
        <f>IF(BZ324="základní",J324,0)</f>
        <v>79418.64</v>
      </c>
      <c r="DR324" s="137">
        <f>IF(BZ324="snížená",J324,0)</f>
        <v>0</v>
      </c>
      <c r="DS324" s="137">
        <f>IF(BZ324="zákl. přenesená",J324,0)</f>
        <v>0</v>
      </c>
      <c r="DT324" s="137">
        <f>IF(BZ324="sníž. přenesená",J324,0)</f>
        <v>0</v>
      </c>
      <c r="DU324" s="137">
        <f>IF(BZ324="nulová",J324,0)</f>
        <v>0</v>
      </c>
      <c r="DV324" s="16" t="s">
        <v>81</v>
      </c>
      <c r="DW324" s="137">
        <f>ROUND(I324*H324,2)</f>
        <v>79418.64</v>
      </c>
      <c r="DX324" s="16" t="s">
        <v>95</v>
      </c>
      <c r="DY324" s="136" t="s">
        <v>448</v>
      </c>
    </row>
    <row r="325" spans="2:129" s="1" customFormat="1" ht="39" x14ac:dyDescent="0.2">
      <c r="B325" s="31"/>
      <c r="D325" s="138" t="s">
        <v>289</v>
      </c>
      <c r="F325" s="139" t="s">
        <v>449</v>
      </c>
      <c r="I325" s="140"/>
      <c r="L325" s="31"/>
      <c r="N325" s="213"/>
      <c r="O325" s="214"/>
      <c r="Q325" s="229"/>
      <c r="BY325" s="141"/>
      <c r="CF325" s="50"/>
      <c r="DF325" s="16" t="s">
        <v>289</v>
      </c>
      <c r="DG325" s="16" t="s">
        <v>83</v>
      </c>
    </row>
    <row r="326" spans="2:129" s="1" customFormat="1" ht="29.25" x14ac:dyDescent="0.2">
      <c r="B326" s="31"/>
      <c r="D326" s="138" t="s">
        <v>299</v>
      </c>
      <c r="F326" s="142" t="s">
        <v>2431</v>
      </c>
      <c r="I326" s="140"/>
      <c r="L326" s="31"/>
      <c r="N326" s="213"/>
      <c r="O326" s="214"/>
      <c r="Q326" s="229"/>
      <c r="BY326" s="141"/>
      <c r="CF326" s="50"/>
      <c r="DF326" s="16" t="s">
        <v>299</v>
      </c>
      <c r="DG326" s="16" t="s">
        <v>83</v>
      </c>
    </row>
    <row r="327" spans="2:129" s="12" customFormat="1" x14ac:dyDescent="0.2">
      <c r="B327" s="149"/>
      <c r="D327" s="138" t="s">
        <v>301</v>
      </c>
      <c r="E327" s="150" t="s">
        <v>1</v>
      </c>
      <c r="F327" s="151" t="s">
        <v>2498</v>
      </c>
      <c r="H327" s="152">
        <v>153.87299999999999</v>
      </c>
      <c r="I327" s="153"/>
      <c r="L327" s="149"/>
      <c r="N327" s="217">
        <f>(517.19-97.72)*0.9*0.41</f>
        <v>154.78443000000001</v>
      </c>
      <c r="O327" s="218" t="s">
        <v>3599</v>
      </c>
      <c r="Q327" s="231"/>
      <c r="BY327" s="154"/>
      <c r="CF327" s="155"/>
      <c r="DF327" s="150" t="s">
        <v>301</v>
      </c>
      <c r="DG327" s="150" t="s">
        <v>83</v>
      </c>
      <c r="DH327" s="12" t="s">
        <v>83</v>
      </c>
      <c r="DI327" s="12" t="s">
        <v>32</v>
      </c>
      <c r="DJ327" s="12" t="s">
        <v>74</v>
      </c>
      <c r="DK327" s="150" t="s">
        <v>282</v>
      </c>
    </row>
    <row r="328" spans="2:129" s="12" customFormat="1" x14ac:dyDescent="0.2">
      <c r="B328" s="149"/>
      <c r="D328" s="138" t="s">
        <v>301</v>
      </c>
      <c r="E328" s="150" t="s">
        <v>1</v>
      </c>
      <c r="F328" s="151" t="s">
        <v>2499</v>
      </c>
      <c r="H328" s="152">
        <v>1.7330000000000001</v>
      </c>
      <c r="I328" s="153"/>
      <c r="L328" s="149"/>
      <c r="N328" s="217">
        <f>2.97*1.05*0.55</f>
        <v>1.7151750000000003</v>
      </c>
      <c r="O328" s="218" t="s">
        <v>3600</v>
      </c>
      <c r="Q328" s="231"/>
      <c r="BY328" s="154"/>
      <c r="CF328" s="155"/>
      <c r="DF328" s="150" t="s">
        <v>301</v>
      </c>
      <c r="DG328" s="150" t="s">
        <v>83</v>
      </c>
      <c r="DH328" s="12" t="s">
        <v>83</v>
      </c>
      <c r="DI328" s="12" t="s">
        <v>32</v>
      </c>
      <c r="DJ328" s="12" t="s">
        <v>74</v>
      </c>
      <c r="DK328" s="150" t="s">
        <v>282</v>
      </c>
    </row>
    <row r="329" spans="2:129" s="13" customFormat="1" x14ac:dyDescent="0.2">
      <c r="B329" s="156"/>
      <c r="D329" s="138" t="s">
        <v>301</v>
      </c>
      <c r="E329" s="157" t="s">
        <v>1</v>
      </c>
      <c r="F329" s="158" t="s">
        <v>305</v>
      </c>
      <c r="H329" s="159">
        <v>155.60599999999999</v>
      </c>
      <c r="I329" s="160"/>
      <c r="L329" s="156"/>
      <c r="N329" s="219">
        <f>N327+N328</f>
        <v>156.499605</v>
      </c>
      <c r="O329" s="220"/>
      <c r="Q329" s="232"/>
      <c r="BY329" s="161"/>
      <c r="CF329" s="162"/>
      <c r="DF329" s="157" t="s">
        <v>301</v>
      </c>
      <c r="DG329" s="157" t="s">
        <v>83</v>
      </c>
      <c r="DH329" s="13" t="s">
        <v>95</v>
      </c>
      <c r="DI329" s="13" t="s">
        <v>32</v>
      </c>
      <c r="DJ329" s="13" t="s">
        <v>81</v>
      </c>
      <c r="DK329" s="157" t="s">
        <v>282</v>
      </c>
    </row>
    <row r="330" spans="2:129" s="13" customFormat="1" x14ac:dyDescent="0.2">
      <c r="B330" s="156"/>
      <c r="D330" s="138"/>
      <c r="E330" s="157"/>
      <c r="F330" s="158"/>
      <c r="H330" s="159"/>
      <c r="I330" s="160"/>
      <c r="L330" s="156"/>
      <c r="N330" s="311">
        <f>N329-H329</f>
        <v>0.89360500000000798</v>
      </c>
      <c r="O330" s="220"/>
      <c r="Q330" s="232"/>
      <c r="BY330" s="161"/>
      <c r="CF330" s="162"/>
      <c r="DF330" s="157"/>
      <c r="DG330" s="157"/>
      <c r="DK330" s="157"/>
    </row>
    <row r="331" spans="2:129" s="1" customFormat="1" ht="14.45" customHeight="1" x14ac:dyDescent="0.2">
      <c r="B331" s="124"/>
      <c r="C331" s="170" t="s">
        <v>501</v>
      </c>
      <c r="D331" s="170" t="s">
        <v>439</v>
      </c>
      <c r="E331" s="171" t="s">
        <v>452</v>
      </c>
      <c r="F331" s="172" t="s">
        <v>453</v>
      </c>
      <c r="G331" s="173" t="s">
        <v>418</v>
      </c>
      <c r="H331" s="174">
        <v>311.21199999999999</v>
      </c>
      <c r="I331" s="175">
        <v>380.62816190000001</v>
      </c>
      <c r="J331" s="176">
        <f>ROUND(I331*H331,2)</f>
        <v>118456.05</v>
      </c>
      <c r="K331" s="172" t="s">
        <v>293</v>
      </c>
      <c r="L331" s="198">
        <f>S331</f>
        <v>0</v>
      </c>
      <c r="M331" s="206">
        <f>ROUND(L331*I331,2)</f>
        <v>0</v>
      </c>
      <c r="N331" s="211">
        <f>N333</f>
        <v>1.788</v>
      </c>
      <c r="O331" s="212">
        <f>ROUND(N331*I331,2)</f>
        <v>680.56</v>
      </c>
      <c r="P331" s="207">
        <f>H331-L331-N331</f>
        <v>309.42399999999998</v>
      </c>
      <c r="Q331" s="228">
        <f>ROUND(P331*I331,2)</f>
        <v>117775.49</v>
      </c>
      <c r="R331" s="199"/>
      <c r="S331" s="200">
        <f>W331+Y331+AA331+AC331+AE331+AG331+AI331+AK331+AM331+AO331+AQ331+AS331+AU331+AW331</f>
        <v>0</v>
      </c>
      <c r="T331" s="200">
        <f>ROUND(S331*I331,2)</f>
        <v>0</v>
      </c>
      <c r="U331" s="200">
        <f>H331-S331</f>
        <v>311.21199999999999</v>
      </c>
      <c r="V331" s="200">
        <f>ROUND(U331*I331,2)</f>
        <v>118456.05</v>
      </c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77" t="s">
        <v>1</v>
      </c>
      <c r="BZ331" s="178" t="s">
        <v>40</v>
      </c>
      <c r="CB331" s="134">
        <f>CA331*H331</f>
        <v>0</v>
      </c>
      <c r="CC331" s="134">
        <v>1</v>
      </c>
      <c r="CD331" s="134">
        <f>CC331*H331</f>
        <v>311.21199999999999</v>
      </c>
      <c r="CE331" s="134">
        <v>0</v>
      </c>
      <c r="CF331" s="135">
        <f>CE331*H331</f>
        <v>0</v>
      </c>
      <c r="DD331" s="136" t="s">
        <v>328</v>
      </c>
      <c r="DF331" s="136" t="s">
        <v>439</v>
      </c>
      <c r="DG331" s="136" t="s">
        <v>83</v>
      </c>
      <c r="DK331" s="16" t="s">
        <v>282</v>
      </c>
      <c r="DQ331" s="137">
        <f>IF(BZ331="základní",J331,0)</f>
        <v>118456.05</v>
      </c>
      <c r="DR331" s="137">
        <f>IF(BZ331="snížená",J331,0)</f>
        <v>0</v>
      </c>
      <c r="DS331" s="137">
        <f>IF(BZ331="zákl. přenesená",J331,0)</f>
        <v>0</v>
      </c>
      <c r="DT331" s="137">
        <f>IF(BZ331="sníž. přenesená",J331,0)</f>
        <v>0</v>
      </c>
      <c r="DU331" s="137">
        <f>IF(BZ331="nulová",J331,0)</f>
        <v>0</v>
      </c>
      <c r="DV331" s="16" t="s">
        <v>81</v>
      </c>
      <c r="DW331" s="137">
        <f>ROUND(I331*H331,2)</f>
        <v>118456.05</v>
      </c>
      <c r="DX331" s="16" t="s">
        <v>95</v>
      </c>
      <c r="DY331" s="136" t="s">
        <v>454</v>
      </c>
    </row>
    <row r="332" spans="2:129" s="1" customFormat="1" x14ac:dyDescent="0.2">
      <c r="B332" s="31"/>
      <c r="D332" s="138" t="s">
        <v>289</v>
      </c>
      <c r="F332" s="139" t="s">
        <v>453</v>
      </c>
      <c r="I332" s="140"/>
      <c r="L332" s="31"/>
      <c r="N332" s="213"/>
      <c r="O332" s="214"/>
      <c r="Q332" s="229"/>
      <c r="BY332" s="141"/>
      <c r="CF332" s="50"/>
      <c r="DF332" s="16" t="s">
        <v>289</v>
      </c>
      <c r="DG332" s="16" t="s">
        <v>83</v>
      </c>
    </row>
    <row r="333" spans="2:129" s="12" customFormat="1" x14ac:dyDescent="0.2">
      <c r="B333" s="149"/>
      <c r="D333" s="138" t="s">
        <v>301</v>
      </c>
      <c r="F333" s="151" t="s">
        <v>2500</v>
      </c>
      <c r="H333" s="152">
        <v>311.21199999999999</v>
      </c>
      <c r="I333" s="153"/>
      <c r="L333" s="149"/>
      <c r="N333" s="217">
        <f>0.894*2</f>
        <v>1.788</v>
      </c>
      <c r="O333" s="218" t="s">
        <v>3601</v>
      </c>
      <c r="Q333" s="231"/>
      <c r="BY333" s="154"/>
      <c r="CF333" s="155"/>
      <c r="DF333" s="150" t="s">
        <v>301</v>
      </c>
      <c r="DG333" s="150" t="s">
        <v>83</v>
      </c>
      <c r="DH333" s="12" t="s">
        <v>83</v>
      </c>
      <c r="DI333" s="12" t="s">
        <v>3</v>
      </c>
      <c r="DJ333" s="12" t="s">
        <v>81</v>
      </c>
      <c r="DK333" s="150" t="s">
        <v>282</v>
      </c>
    </row>
    <row r="334" spans="2:129" s="1" customFormat="1" ht="24.2" customHeight="1" x14ac:dyDescent="0.2">
      <c r="B334" s="124"/>
      <c r="C334" s="125" t="s">
        <v>505</v>
      </c>
      <c r="D334" s="125" t="s">
        <v>284</v>
      </c>
      <c r="E334" s="126" t="s">
        <v>1012</v>
      </c>
      <c r="F334" s="127" t="s">
        <v>1013</v>
      </c>
      <c r="G334" s="128" t="s">
        <v>287</v>
      </c>
      <c r="H334" s="129">
        <v>297.60000000000002</v>
      </c>
      <c r="I334" s="130">
        <v>64.410667599999996</v>
      </c>
      <c r="J334" s="131">
        <f>ROUND(I334*H334,2)</f>
        <v>19168.61</v>
      </c>
      <c r="K334" s="127" t="s">
        <v>1</v>
      </c>
      <c r="L334" s="198">
        <f>S334</f>
        <v>0</v>
      </c>
      <c r="M334" s="206">
        <f>ROUND(L334*I334,2)</f>
        <v>0</v>
      </c>
      <c r="N334" s="211"/>
      <c r="O334" s="212">
        <f>ROUND(N334*I334,2)</f>
        <v>0</v>
      </c>
      <c r="P334" s="207">
        <f>H334-L334-N334</f>
        <v>297.60000000000002</v>
      </c>
      <c r="Q334" s="228">
        <f>ROUND(P334*I334,2)</f>
        <v>19168.61</v>
      </c>
      <c r="R334" s="199"/>
      <c r="S334" s="200">
        <f>W334+Y334+AA334+AC334+AE334+AG334+AI334+AK334+AM334+AO334+AQ334+AS334+AU334+AW334</f>
        <v>0</v>
      </c>
      <c r="T334" s="200">
        <f>ROUND(S334*I334,2)</f>
        <v>0</v>
      </c>
      <c r="U334" s="200">
        <f>H334-S334</f>
        <v>297.60000000000002</v>
      </c>
      <c r="V334" s="200">
        <f>ROUND(U334*I334,2)</f>
        <v>19168.61</v>
      </c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200"/>
      <c r="AR334" s="200"/>
      <c r="AS334" s="200"/>
      <c r="AT334" s="200"/>
      <c r="AU334" s="200"/>
      <c r="AV334" s="200"/>
      <c r="AW334" s="200"/>
      <c r="AX334" s="200"/>
      <c r="BY334" s="132" t="s">
        <v>1</v>
      </c>
      <c r="BZ334" s="133" t="s">
        <v>40</v>
      </c>
      <c r="CB334" s="134">
        <f>CA334*H334</f>
        <v>0</v>
      </c>
      <c r="CC334" s="134">
        <v>0</v>
      </c>
      <c r="CD334" s="134">
        <f>CC334*H334</f>
        <v>0</v>
      </c>
      <c r="CE334" s="134">
        <v>0</v>
      </c>
      <c r="CF334" s="135">
        <f>CE334*H334</f>
        <v>0</v>
      </c>
      <c r="DD334" s="136" t="s">
        <v>95</v>
      </c>
      <c r="DF334" s="136" t="s">
        <v>284</v>
      </c>
      <c r="DG334" s="136" t="s">
        <v>83</v>
      </c>
      <c r="DK334" s="16" t="s">
        <v>282</v>
      </c>
      <c r="DQ334" s="137">
        <f>IF(BZ334="základní",J334,0)</f>
        <v>19168.61</v>
      </c>
      <c r="DR334" s="137">
        <f>IF(BZ334="snížená",J334,0)</f>
        <v>0</v>
      </c>
      <c r="DS334" s="137">
        <f>IF(BZ334="zákl. přenesená",J334,0)</f>
        <v>0</v>
      </c>
      <c r="DT334" s="137">
        <f>IF(BZ334="sníž. přenesená",J334,0)</f>
        <v>0</v>
      </c>
      <c r="DU334" s="137">
        <f>IF(BZ334="nulová",J334,0)</f>
        <v>0</v>
      </c>
      <c r="DV334" s="16" t="s">
        <v>81</v>
      </c>
      <c r="DW334" s="137">
        <f>ROUND(I334*H334,2)</f>
        <v>19168.61</v>
      </c>
      <c r="DX334" s="16" t="s">
        <v>95</v>
      </c>
      <c r="DY334" s="136" t="s">
        <v>2501</v>
      </c>
    </row>
    <row r="335" spans="2:129" s="1" customFormat="1" x14ac:dyDescent="0.2">
      <c r="B335" s="31"/>
      <c r="D335" s="138" t="s">
        <v>289</v>
      </c>
      <c r="F335" s="139" t="s">
        <v>1013</v>
      </c>
      <c r="I335" s="140"/>
      <c r="L335" s="31"/>
      <c r="N335" s="213"/>
      <c r="O335" s="214"/>
      <c r="Q335" s="229"/>
      <c r="BY335" s="141"/>
      <c r="CF335" s="50"/>
      <c r="DF335" s="16" t="s">
        <v>289</v>
      </c>
      <c r="DG335" s="16" t="s">
        <v>83</v>
      </c>
    </row>
    <row r="336" spans="2:129" s="1" customFormat="1" ht="24.2" customHeight="1" x14ac:dyDescent="0.2">
      <c r="B336" s="124"/>
      <c r="C336" s="125" t="s">
        <v>510</v>
      </c>
      <c r="D336" s="125" t="s">
        <v>284</v>
      </c>
      <c r="E336" s="126" t="s">
        <v>1015</v>
      </c>
      <c r="F336" s="127" t="s">
        <v>1016</v>
      </c>
      <c r="G336" s="128" t="s">
        <v>287</v>
      </c>
      <c r="H336" s="129">
        <v>297.60000000000002</v>
      </c>
      <c r="I336" s="130">
        <v>48.300657632010001</v>
      </c>
      <c r="J336" s="131">
        <f>ROUND(I336*H336,2)</f>
        <v>14374.28</v>
      </c>
      <c r="K336" s="127" t="s">
        <v>293</v>
      </c>
      <c r="L336" s="198">
        <f>S336</f>
        <v>0</v>
      </c>
      <c r="M336" s="206">
        <f>ROUND(L336*I336,2)</f>
        <v>0</v>
      </c>
      <c r="N336" s="211"/>
      <c r="O336" s="212">
        <f>ROUND(N336*I336,2)</f>
        <v>0</v>
      </c>
      <c r="P336" s="207">
        <f>H336-L336-N336</f>
        <v>297.60000000000002</v>
      </c>
      <c r="Q336" s="228">
        <f>ROUND(P336*I336,2)</f>
        <v>14374.28</v>
      </c>
      <c r="R336" s="199"/>
      <c r="S336" s="200">
        <f>W336+Y336+AA336+AC336+AE336+AG336+AI336+AK336+AM336+AO336+AQ336+AS336+AU336+AW336</f>
        <v>0</v>
      </c>
      <c r="T336" s="200">
        <f>ROUND(S336*I336,2)</f>
        <v>0</v>
      </c>
      <c r="U336" s="200">
        <f>H336-S336</f>
        <v>297.60000000000002</v>
      </c>
      <c r="V336" s="200">
        <f>ROUND(U336*I336,2)</f>
        <v>14374.28</v>
      </c>
      <c r="W336" s="200"/>
      <c r="X336" s="200"/>
      <c r="Y336" s="200"/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  <c r="AP336" s="200"/>
      <c r="AQ336" s="200"/>
      <c r="AR336" s="200"/>
      <c r="AS336" s="200"/>
      <c r="AT336" s="200"/>
      <c r="AU336" s="200"/>
      <c r="AV336" s="200"/>
      <c r="AW336" s="200"/>
      <c r="AX336" s="200"/>
      <c r="BY336" s="132" t="s">
        <v>1</v>
      </c>
      <c r="BZ336" s="133" t="s">
        <v>40</v>
      </c>
      <c r="CB336" s="134">
        <f>CA336*H336</f>
        <v>0</v>
      </c>
      <c r="CC336" s="134">
        <v>0</v>
      </c>
      <c r="CD336" s="134">
        <f>CC336*H336</f>
        <v>0</v>
      </c>
      <c r="CE336" s="134">
        <v>0</v>
      </c>
      <c r="CF336" s="135">
        <f>CE336*H336</f>
        <v>0</v>
      </c>
      <c r="DD336" s="136" t="s">
        <v>95</v>
      </c>
      <c r="DF336" s="136" t="s">
        <v>284</v>
      </c>
      <c r="DG336" s="136" t="s">
        <v>83</v>
      </c>
      <c r="DK336" s="16" t="s">
        <v>282</v>
      </c>
      <c r="DQ336" s="137">
        <f>IF(BZ336="základní",J336,0)</f>
        <v>14374.28</v>
      </c>
      <c r="DR336" s="137">
        <f>IF(BZ336="snížená",J336,0)</f>
        <v>0</v>
      </c>
      <c r="DS336" s="137">
        <f>IF(BZ336="zákl. přenesená",J336,0)</f>
        <v>0</v>
      </c>
      <c r="DT336" s="137">
        <f>IF(BZ336="sníž. přenesená",J336,0)</f>
        <v>0</v>
      </c>
      <c r="DU336" s="137">
        <f>IF(BZ336="nulová",J336,0)</f>
        <v>0</v>
      </c>
      <c r="DV336" s="16" t="s">
        <v>81</v>
      </c>
      <c r="DW336" s="137">
        <f>ROUND(I336*H336,2)</f>
        <v>14374.28</v>
      </c>
      <c r="DX336" s="16" t="s">
        <v>95</v>
      </c>
      <c r="DY336" s="136" t="s">
        <v>2502</v>
      </c>
    </row>
    <row r="337" spans="2:129" s="1" customFormat="1" ht="29.25" x14ac:dyDescent="0.2">
      <c r="B337" s="31"/>
      <c r="D337" s="138" t="s">
        <v>289</v>
      </c>
      <c r="F337" s="139" t="s">
        <v>1018</v>
      </c>
      <c r="I337" s="140"/>
      <c r="L337" s="31"/>
      <c r="N337" s="213"/>
      <c r="O337" s="214"/>
      <c r="Q337" s="229"/>
      <c r="BY337" s="141"/>
      <c r="CF337" s="50"/>
      <c r="DF337" s="16" t="s">
        <v>289</v>
      </c>
      <c r="DG337" s="16" t="s">
        <v>83</v>
      </c>
    </row>
    <row r="338" spans="2:129" s="1" customFormat="1" ht="29.25" x14ac:dyDescent="0.2">
      <c r="B338" s="31"/>
      <c r="D338" s="138" t="s">
        <v>299</v>
      </c>
      <c r="F338" s="142" t="s">
        <v>2431</v>
      </c>
      <c r="I338" s="140"/>
      <c r="L338" s="31"/>
      <c r="N338" s="213"/>
      <c r="O338" s="214"/>
      <c r="Q338" s="229"/>
      <c r="BY338" s="141"/>
      <c r="CF338" s="50"/>
      <c r="DF338" s="16" t="s">
        <v>299</v>
      </c>
      <c r="DG338" s="16" t="s">
        <v>83</v>
      </c>
    </row>
    <row r="339" spans="2:129" s="11" customFormat="1" x14ac:dyDescent="0.2">
      <c r="B339" s="143"/>
      <c r="D339" s="138" t="s">
        <v>301</v>
      </c>
      <c r="E339" s="144" t="s">
        <v>1</v>
      </c>
      <c r="F339" s="145" t="s">
        <v>962</v>
      </c>
      <c r="H339" s="144" t="s">
        <v>1</v>
      </c>
      <c r="I339" s="146"/>
      <c r="L339" s="143"/>
      <c r="N339" s="215"/>
      <c r="O339" s="216"/>
      <c r="Q339" s="230"/>
      <c r="BY339" s="147"/>
      <c r="CF339" s="148"/>
      <c r="DF339" s="144" t="s">
        <v>301</v>
      </c>
      <c r="DG339" s="144" t="s">
        <v>83</v>
      </c>
      <c r="DH339" s="11" t="s">
        <v>81</v>
      </c>
      <c r="DI339" s="11" t="s">
        <v>32</v>
      </c>
      <c r="DJ339" s="11" t="s">
        <v>74</v>
      </c>
      <c r="DK339" s="144" t="s">
        <v>282</v>
      </c>
    </row>
    <row r="340" spans="2:129" s="12" customFormat="1" x14ac:dyDescent="0.2">
      <c r="B340" s="149"/>
      <c r="D340" s="138" t="s">
        <v>301</v>
      </c>
      <c r="E340" s="150" t="s">
        <v>1</v>
      </c>
      <c r="F340" s="151" t="s">
        <v>2441</v>
      </c>
      <c r="H340" s="152">
        <v>276.60000000000002</v>
      </c>
      <c r="I340" s="153"/>
      <c r="L340" s="149"/>
      <c r="N340" s="217"/>
      <c r="O340" s="218"/>
      <c r="Q340" s="231"/>
      <c r="BY340" s="154"/>
      <c r="CF340" s="155"/>
      <c r="DF340" s="150" t="s">
        <v>301</v>
      </c>
      <c r="DG340" s="150" t="s">
        <v>83</v>
      </c>
      <c r="DH340" s="12" t="s">
        <v>83</v>
      </c>
      <c r="DI340" s="12" t="s">
        <v>32</v>
      </c>
      <c r="DJ340" s="12" t="s">
        <v>74</v>
      </c>
      <c r="DK340" s="150" t="s">
        <v>282</v>
      </c>
    </row>
    <row r="341" spans="2:129" s="12" customFormat="1" x14ac:dyDescent="0.2">
      <c r="B341" s="149"/>
      <c r="D341" s="138" t="s">
        <v>301</v>
      </c>
      <c r="E341" s="150" t="s">
        <v>1</v>
      </c>
      <c r="F341" s="151" t="s">
        <v>2442</v>
      </c>
      <c r="H341" s="152">
        <v>12</v>
      </c>
      <c r="I341" s="153"/>
      <c r="L341" s="149"/>
      <c r="N341" s="217"/>
      <c r="O341" s="218"/>
      <c r="Q341" s="231"/>
      <c r="BY341" s="154"/>
      <c r="CF341" s="155"/>
      <c r="DF341" s="150" t="s">
        <v>301</v>
      </c>
      <c r="DG341" s="150" t="s">
        <v>83</v>
      </c>
      <c r="DH341" s="12" t="s">
        <v>83</v>
      </c>
      <c r="DI341" s="12" t="s">
        <v>32</v>
      </c>
      <c r="DJ341" s="12" t="s">
        <v>74</v>
      </c>
      <c r="DK341" s="150" t="s">
        <v>282</v>
      </c>
    </row>
    <row r="342" spans="2:129" s="12" customFormat="1" x14ac:dyDescent="0.2">
      <c r="B342" s="149"/>
      <c r="D342" s="138" t="s">
        <v>301</v>
      </c>
      <c r="E342" s="150" t="s">
        <v>1</v>
      </c>
      <c r="F342" s="151" t="s">
        <v>2443</v>
      </c>
      <c r="H342" s="152">
        <v>9</v>
      </c>
      <c r="I342" s="153"/>
      <c r="L342" s="149"/>
      <c r="N342" s="217"/>
      <c r="O342" s="218"/>
      <c r="Q342" s="231"/>
      <c r="BY342" s="154"/>
      <c r="CF342" s="155"/>
      <c r="DF342" s="150" t="s">
        <v>301</v>
      </c>
      <c r="DG342" s="150" t="s">
        <v>83</v>
      </c>
      <c r="DH342" s="12" t="s">
        <v>83</v>
      </c>
      <c r="DI342" s="12" t="s">
        <v>32</v>
      </c>
      <c r="DJ342" s="12" t="s">
        <v>74</v>
      </c>
      <c r="DK342" s="150" t="s">
        <v>282</v>
      </c>
    </row>
    <row r="343" spans="2:129" s="13" customFormat="1" x14ac:dyDescent="0.2">
      <c r="B343" s="156"/>
      <c r="D343" s="138" t="s">
        <v>301</v>
      </c>
      <c r="E343" s="157" t="s">
        <v>1</v>
      </c>
      <c r="F343" s="158" t="s">
        <v>305</v>
      </c>
      <c r="H343" s="159">
        <v>297.60000000000002</v>
      </c>
      <c r="I343" s="160"/>
      <c r="L343" s="156"/>
      <c r="N343" s="219"/>
      <c r="O343" s="220"/>
      <c r="Q343" s="232"/>
      <c r="BY343" s="161"/>
      <c r="CF343" s="162"/>
      <c r="DF343" s="157" t="s">
        <v>301</v>
      </c>
      <c r="DG343" s="157" t="s">
        <v>83</v>
      </c>
      <c r="DH343" s="13" t="s">
        <v>95</v>
      </c>
      <c r="DI343" s="13" t="s">
        <v>32</v>
      </c>
      <c r="DJ343" s="13" t="s">
        <v>81</v>
      </c>
      <c r="DK343" s="157" t="s">
        <v>282</v>
      </c>
    </row>
    <row r="344" spans="2:129" s="1" customFormat="1" ht="24.2" customHeight="1" x14ac:dyDescent="0.2">
      <c r="B344" s="124"/>
      <c r="C344" s="125" t="s">
        <v>514</v>
      </c>
      <c r="D344" s="125" t="s">
        <v>284</v>
      </c>
      <c r="E344" s="126" t="s">
        <v>457</v>
      </c>
      <c r="F344" s="127" t="s">
        <v>458</v>
      </c>
      <c r="G344" s="128" t="s">
        <v>418</v>
      </c>
      <c r="H344" s="129">
        <v>1108.3820000000001</v>
      </c>
      <c r="I344" s="130">
        <v>61.737071122597108</v>
      </c>
      <c r="J344" s="131">
        <f>ROUND(I344*H344,2)</f>
        <v>68428.259999999995</v>
      </c>
      <c r="K344" s="127" t="s">
        <v>293</v>
      </c>
      <c r="L344" s="198">
        <f>S344</f>
        <v>0</v>
      </c>
      <c r="M344" s="206">
        <f>ROUND(L344*I344,2)</f>
        <v>0</v>
      </c>
      <c r="N344" s="211"/>
      <c r="O344" s="212">
        <f>ROUND(N344*I344,2)</f>
        <v>0</v>
      </c>
      <c r="P344" s="207">
        <f>H344-L344-N344</f>
        <v>1108.3820000000001</v>
      </c>
      <c r="Q344" s="228">
        <f>ROUND(P344*I344,2)</f>
        <v>68428.259999999995</v>
      </c>
      <c r="R344" s="199"/>
      <c r="S344" s="200">
        <f>W344+Y344+AA344+AC344+AE344+AG344+AI344+AK344+AM344+AO344+AQ344+AS344+AU344+AW344</f>
        <v>0</v>
      </c>
      <c r="T344" s="200">
        <f>ROUND(S344*I344,2)</f>
        <v>0</v>
      </c>
      <c r="U344" s="200">
        <f>H344-S344</f>
        <v>1108.3820000000001</v>
      </c>
      <c r="V344" s="200">
        <f>ROUND(U344*I344,2)</f>
        <v>68428.259999999995</v>
      </c>
      <c r="W344" s="200"/>
      <c r="X344" s="200"/>
      <c r="Y344" s="200"/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0"/>
      <c r="AP344" s="200"/>
      <c r="AQ344" s="200"/>
      <c r="AR344" s="200"/>
      <c r="AS344" s="200"/>
      <c r="AT344" s="200"/>
      <c r="AU344" s="200"/>
      <c r="AV344" s="200"/>
      <c r="AW344" s="200"/>
      <c r="AX344" s="200"/>
      <c r="BY344" s="132" t="s">
        <v>1</v>
      </c>
      <c r="BZ344" s="133" t="s">
        <v>40</v>
      </c>
      <c r="CB344" s="134">
        <f>CA344*H344</f>
        <v>0</v>
      </c>
      <c r="CC344" s="134">
        <v>0</v>
      </c>
      <c r="CD344" s="134">
        <f>CC344*H344</f>
        <v>0</v>
      </c>
      <c r="CE344" s="134">
        <v>0</v>
      </c>
      <c r="CF344" s="135">
        <f>CE344*H344</f>
        <v>0</v>
      </c>
      <c r="DD344" s="136" t="s">
        <v>95</v>
      </c>
      <c r="DF344" s="136" t="s">
        <v>284</v>
      </c>
      <c r="DG344" s="136" t="s">
        <v>83</v>
      </c>
      <c r="DK344" s="16" t="s">
        <v>282</v>
      </c>
      <c r="DQ344" s="137">
        <f>IF(BZ344="základní",J344,0)</f>
        <v>68428.259999999995</v>
      </c>
      <c r="DR344" s="137">
        <f>IF(BZ344="snížená",J344,0)</f>
        <v>0</v>
      </c>
      <c r="DS344" s="137">
        <f>IF(BZ344="zákl. přenesená",J344,0)</f>
        <v>0</v>
      </c>
      <c r="DT344" s="137">
        <f>IF(BZ344="sníž. přenesená",J344,0)</f>
        <v>0</v>
      </c>
      <c r="DU344" s="137">
        <f>IF(BZ344="nulová",J344,0)</f>
        <v>0</v>
      </c>
      <c r="DV344" s="16" t="s">
        <v>81</v>
      </c>
      <c r="DW344" s="137">
        <f>ROUND(I344*H344,2)</f>
        <v>68428.259999999995</v>
      </c>
      <c r="DX344" s="16" t="s">
        <v>95</v>
      </c>
      <c r="DY344" s="136" t="s">
        <v>459</v>
      </c>
    </row>
    <row r="345" spans="2:129" s="1" customFormat="1" ht="29.25" x14ac:dyDescent="0.2">
      <c r="B345" s="31"/>
      <c r="D345" s="138" t="s">
        <v>289</v>
      </c>
      <c r="F345" s="139" t="s">
        <v>460</v>
      </c>
      <c r="I345" s="140"/>
      <c r="L345" s="31"/>
      <c r="N345" s="213"/>
      <c r="O345" s="214"/>
      <c r="Q345" s="229"/>
      <c r="BY345" s="141"/>
      <c r="CF345" s="50"/>
      <c r="DF345" s="16" t="s">
        <v>289</v>
      </c>
      <c r="DG345" s="16" t="s">
        <v>83</v>
      </c>
    </row>
    <row r="346" spans="2:129" s="12" customFormat="1" x14ac:dyDescent="0.2">
      <c r="B346" s="149"/>
      <c r="D346" s="138" t="s">
        <v>301</v>
      </c>
      <c r="E346" s="150" t="s">
        <v>1</v>
      </c>
      <c r="F346" s="151" t="s">
        <v>2503</v>
      </c>
      <c r="H346" s="152">
        <v>1108.3820000000001</v>
      </c>
      <c r="I346" s="153"/>
      <c r="L346" s="149"/>
      <c r="N346" s="217"/>
      <c r="O346" s="218"/>
      <c r="Q346" s="231"/>
      <c r="BY346" s="154"/>
      <c r="CF346" s="155"/>
      <c r="DF346" s="150" t="s">
        <v>301</v>
      </c>
      <c r="DG346" s="150" t="s">
        <v>83</v>
      </c>
      <c r="DH346" s="12" t="s">
        <v>83</v>
      </c>
      <c r="DI346" s="12" t="s">
        <v>32</v>
      </c>
      <c r="DJ346" s="12" t="s">
        <v>81</v>
      </c>
      <c r="DK346" s="150" t="s">
        <v>282</v>
      </c>
    </row>
    <row r="347" spans="2:129" s="10" customFormat="1" ht="22.9" customHeight="1" x14ac:dyDescent="0.2">
      <c r="B347" s="112"/>
      <c r="D347" s="113" t="s">
        <v>73</v>
      </c>
      <c r="E347" s="122" t="s">
        <v>83</v>
      </c>
      <c r="F347" s="122" t="s">
        <v>462</v>
      </c>
      <c r="I347" s="115"/>
      <c r="J347" s="123">
        <f>DW347</f>
        <v>381856.64</v>
      </c>
      <c r="L347" s="112"/>
      <c r="M347" s="202">
        <f>SUM(M348:M394)</f>
        <v>0</v>
      </c>
      <c r="N347" s="223"/>
      <c r="O347" s="224">
        <f t="shared" ref="O347:V347" si="3">SUM(O348:O394)</f>
        <v>652.25</v>
      </c>
      <c r="P347" s="202"/>
      <c r="Q347" s="234">
        <f t="shared" si="3"/>
        <v>381204.39</v>
      </c>
      <c r="R347" s="202"/>
      <c r="S347" s="202"/>
      <c r="T347" s="202">
        <f t="shared" si="3"/>
        <v>0</v>
      </c>
      <c r="U347" s="202"/>
      <c r="V347" s="202">
        <f t="shared" si="3"/>
        <v>381856.64</v>
      </c>
      <c r="BY347" s="117"/>
      <c r="CB347" s="118">
        <f>SUM(CB348:CB395)</f>
        <v>0</v>
      </c>
      <c r="CD347" s="118">
        <f>SUM(CD348:CD395)</f>
        <v>105.29077159999999</v>
      </c>
      <c r="CF347" s="119">
        <f>SUM(CF348:CF395)</f>
        <v>0</v>
      </c>
      <c r="DD347" s="113" t="s">
        <v>81</v>
      </c>
      <c r="DF347" s="120" t="s">
        <v>73</v>
      </c>
      <c r="DG347" s="120" t="s">
        <v>81</v>
      </c>
      <c r="DK347" s="113" t="s">
        <v>282</v>
      </c>
      <c r="DW347" s="121">
        <f>SUM(DW348:DW395)</f>
        <v>381856.64</v>
      </c>
    </row>
    <row r="348" spans="2:129" s="1" customFormat="1" ht="14.45" customHeight="1" x14ac:dyDescent="0.2">
      <c r="B348" s="124"/>
      <c r="C348" s="125" t="s">
        <v>521</v>
      </c>
      <c r="D348" s="125" t="s">
        <v>284</v>
      </c>
      <c r="E348" s="126" t="s">
        <v>2504</v>
      </c>
      <c r="F348" s="127" t="s">
        <v>2505</v>
      </c>
      <c r="G348" s="128" t="s">
        <v>315</v>
      </c>
      <c r="H348" s="129">
        <v>4</v>
      </c>
      <c r="I348" s="130">
        <v>757.77256</v>
      </c>
      <c r="J348" s="131">
        <f>ROUND(I348*H348,2)</f>
        <v>3031.09</v>
      </c>
      <c r="K348" s="127" t="s">
        <v>2506</v>
      </c>
      <c r="L348" s="198">
        <f>S348</f>
        <v>0</v>
      </c>
      <c r="M348" s="206">
        <f>ROUND(L348*I348,2)</f>
        <v>0</v>
      </c>
      <c r="N348" s="211"/>
      <c r="O348" s="212">
        <f>ROUND(N348*I348,2)</f>
        <v>0</v>
      </c>
      <c r="P348" s="207">
        <f>H348-L348-N348</f>
        <v>4</v>
      </c>
      <c r="Q348" s="228">
        <f>ROUND(P348*I348,2)</f>
        <v>3031.09</v>
      </c>
      <c r="R348" s="199"/>
      <c r="S348" s="200">
        <f>W348+Y348+AA348+AC348+AE348+AG348+AI348+AK348+AM348+AO348+AQ348+AS348+AU348+AW348</f>
        <v>0</v>
      </c>
      <c r="T348" s="200">
        <f>ROUND(S348*I348,2)</f>
        <v>0</v>
      </c>
      <c r="U348" s="200">
        <f>H348-S348</f>
        <v>4</v>
      </c>
      <c r="V348" s="200">
        <f>ROUND(U348*I348,2)</f>
        <v>3031.09</v>
      </c>
      <c r="W348" s="200"/>
      <c r="X348" s="200"/>
      <c r="Y348" s="200"/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0"/>
      <c r="AP348" s="200"/>
      <c r="AQ348" s="200"/>
      <c r="AR348" s="200"/>
      <c r="AS348" s="200"/>
      <c r="AT348" s="200"/>
      <c r="AU348" s="200"/>
      <c r="AV348" s="200"/>
      <c r="AW348" s="200"/>
      <c r="AX348" s="200"/>
      <c r="BY348" s="132" t="s">
        <v>1</v>
      </c>
      <c r="BZ348" s="133" t="s">
        <v>40</v>
      </c>
      <c r="CB348" s="134">
        <f>CA348*H348</f>
        <v>0</v>
      </c>
      <c r="CC348" s="134">
        <v>0</v>
      </c>
      <c r="CD348" s="134">
        <f>CC348*H348</f>
        <v>0</v>
      </c>
      <c r="CE348" s="134">
        <v>0</v>
      </c>
      <c r="CF348" s="135">
        <f>CE348*H348</f>
        <v>0</v>
      </c>
      <c r="DD348" s="136" t="s">
        <v>95</v>
      </c>
      <c r="DF348" s="136" t="s">
        <v>284</v>
      </c>
      <c r="DG348" s="136" t="s">
        <v>83</v>
      </c>
      <c r="DK348" s="16" t="s">
        <v>282</v>
      </c>
      <c r="DQ348" s="137">
        <f>IF(BZ348="základní",J348,0)</f>
        <v>3031.09</v>
      </c>
      <c r="DR348" s="137">
        <f>IF(BZ348="snížená",J348,0)</f>
        <v>0</v>
      </c>
      <c r="DS348" s="137">
        <f>IF(BZ348="zákl. přenesená",J348,0)</f>
        <v>0</v>
      </c>
      <c r="DT348" s="137">
        <f>IF(BZ348="sníž. přenesená",J348,0)</f>
        <v>0</v>
      </c>
      <c r="DU348" s="137">
        <f>IF(BZ348="nulová",J348,0)</f>
        <v>0</v>
      </c>
      <c r="DV348" s="16" t="s">
        <v>81</v>
      </c>
      <c r="DW348" s="137">
        <f>ROUND(I348*H348,2)</f>
        <v>3031.09</v>
      </c>
      <c r="DX348" s="16" t="s">
        <v>95</v>
      </c>
      <c r="DY348" s="136" t="s">
        <v>2507</v>
      </c>
    </row>
    <row r="349" spans="2:129" s="1" customFormat="1" x14ac:dyDescent="0.2">
      <c r="B349" s="31"/>
      <c r="D349" s="138" t="s">
        <v>289</v>
      </c>
      <c r="F349" s="139" t="s">
        <v>2505</v>
      </c>
      <c r="I349" s="140"/>
      <c r="L349" s="31"/>
      <c r="N349" s="213"/>
      <c r="O349" s="214"/>
      <c r="Q349" s="229"/>
      <c r="BY349" s="141"/>
      <c r="CF349" s="50"/>
      <c r="DF349" s="16" t="s">
        <v>289</v>
      </c>
      <c r="DG349" s="16" t="s">
        <v>83</v>
      </c>
    </row>
    <row r="350" spans="2:129" s="12" customFormat="1" x14ac:dyDescent="0.2">
      <c r="B350" s="149"/>
      <c r="D350" s="138" t="s">
        <v>301</v>
      </c>
      <c r="E350" s="150" t="s">
        <v>1</v>
      </c>
      <c r="F350" s="151" t="s">
        <v>2508</v>
      </c>
      <c r="H350" s="152">
        <v>4</v>
      </c>
      <c r="I350" s="153"/>
      <c r="L350" s="149"/>
      <c r="N350" s="217"/>
      <c r="O350" s="218"/>
      <c r="Q350" s="231"/>
      <c r="BY350" s="154"/>
      <c r="CF350" s="155"/>
      <c r="DF350" s="150" t="s">
        <v>301</v>
      </c>
      <c r="DG350" s="150" t="s">
        <v>83</v>
      </c>
      <c r="DH350" s="12" t="s">
        <v>83</v>
      </c>
      <c r="DI350" s="12" t="s">
        <v>32</v>
      </c>
      <c r="DJ350" s="12" t="s">
        <v>81</v>
      </c>
      <c r="DK350" s="150" t="s">
        <v>282</v>
      </c>
    </row>
    <row r="351" spans="2:129" s="1" customFormat="1" ht="37.9" customHeight="1" x14ac:dyDescent="0.2">
      <c r="B351" s="124"/>
      <c r="C351" s="125" t="s">
        <v>526</v>
      </c>
      <c r="D351" s="125" t="s">
        <v>284</v>
      </c>
      <c r="E351" s="126" t="s">
        <v>464</v>
      </c>
      <c r="F351" s="127" t="s">
        <v>465</v>
      </c>
      <c r="G351" s="128" t="s">
        <v>344</v>
      </c>
      <c r="H351" s="129">
        <v>417</v>
      </c>
      <c r="I351" s="130">
        <v>264.06831423630393</v>
      </c>
      <c r="J351" s="131">
        <f>ROUND(I351*H351,2)</f>
        <v>110116.49</v>
      </c>
      <c r="K351" s="127" t="s">
        <v>293</v>
      </c>
      <c r="L351" s="198">
        <f>S351</f>
        <v>0</v>
      </c>
      <c r="M351" s="206">
        <f>ROUND(L351*I351,2)</f>
        <v>0</v>
      </c>
      <c r="N351" s="211">
        <f>N355</f>
        <v>2.4700000000000273</v>
      </c>
      <c r="O351" s="212">
        <f>ROUND(N351*I351,2)</f>
        <v>652.25</v>
      </c>
      <c r="P351" s="207">
        <f>H351-L351-N351</f>
        <v>414.53</v>
      </c>
      <c r="Q351" s="228">
        <f>ROUND(P351*I351,2)</f>
        <v>109464.24</v>
      </c>
      <c r="R351" s="199"/>
      <c r="S351" s="200">
        <f>W351+Y351+AA351+AC351+AE351+AG351+AI351+AK351+AM351+AO351+AQ351+AS351+AU351+AW351</f>
        <v>0</v>
      </c>
      <c r="T351" s="200">
        <f>ROUND(S351*I351,2)</f>
        <v>0</v>
      </c>
      <c r="U351" s="200">
        <f>H351-S351</f>
        <v>417</v>
      </c>
      <c r="V351" s="200">
        <f>ROUND(U351*I351,2)</f>
        <v>110116.49</v>
      </c>
      <c r="W351" s="200"/>
      <c r="X351" s="200"/>
      <c r="Y351" s="200"/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0"/>
      <c r="AP351" s="200"/>
      <c r="AQ351" s="200"/>
      <c r="AR351" s="200"/>
      <c r="AS351" s="200"/>
      <c r="AT351" s="200"/>
      <c r="AU351" s="200"/>
      <c r="AV351" s="200"/>
      <c r="AW351" s="200"/>
      <c r="AX351" s="200"/>
      <c r="BY351" s="132" t="s">
        <v>1</v>
      </c>
      <c r="BZ351" s="133" t="s">
        <v>40</v>
      </c>
      <c r="CB351" s="134">
        <f>CA351*H351</f>
        <v>0</v>
      </c>
      <c r="CC351" s="134">
        <v>0.20469000000000001</v>
      </c>
      <c r="CD351" s="134">
        <f>CC351*H351</f>
        <v>85.355730000000008</v>
      </c>
      <c r="CE351" s="134">
        <v>0</v>
      </c>
      <c r="CF351" s="135">
        <f>CE351*H351</f>
        <v>0</v>
      </c>
      <c r="DD351" s="136" t="s">
        <v>95</v>
      </c>
      <c r="DF351" s="136" t="s">
        <v>284</v>
      </c>
      <c r="DG351" s="136" t="s">
        <v>83</v>
      </c>
      <c r="DK351" s="16" t="s">
        <v>282</v>
      </c>
      <c r="DQ351" s="137">
        <f>IF(BZ351="základní",J351,0)</f>
        <v>110116.49</v>
      </c>
      <c r="DR351" s="137">
        <f>IF(BZ351="snížená",J351,0)</f>
        <v>0</v>
      </c>
      <c r="DS351" s="137">
        <f>IF(BZ351="zákl. přenesená",J351,0)</f>
        <v>0</v>
      </c>
      <c r="DT351" s="137">
        <f>IF(BZ351="sníž. přenesená",J351,0)</f>
        <v>0</v>
      </c>
      <c r="DU351" s="137">
        <f>IF(BZ351="nulová",J351,0)</f>
        <v>0</v>
      </c>
      <c r="DV351" s="16" t="s">
        <v>81</v>
      </c>
      <c r="DW351" s="137">
        <f>ROUND(I351*H351,2)</f>
        <v>110116.49</v>
      </c>
      <c r="DX351" s="16" t="s">
        <v>95</v>
      </c>
      <c r="DY351" s="136" t="s">
        <v>466</v>
      </c>
    </row>
    <row r="352" spans="2:129" s="1" customFormat="1" ht="39" x14ac:dyDescent="0.2">
      <c r="B352" s="31"/>
      <c r="D352" s="138" t="s">
        <v>289</v>
      </c>
      <c r="F352" s="139" t="s">
        <v>467</v>
      </c>
      <c r="I352" s="140"/>
      <c r="L352" s="31"/>
      <c r="N352" s="213"/>
      <c r="O352" s="214"/>
      <c r="Q352" s="229"/>
      <c r="BY352" s="141"/>
      <c r="CF352" s="50"/>
      <c r="DF352" s="16" t="s">
        <v>289</v>
      </c>
      <c r="DG352" s="16" t="s">
        <v>83</v>
      </c>
    </row>
    <row r="353" spans="2:129" s="1" customFormat="1" ht="29.25" x14ac:dyDescent="0.2">
      <c r="B353" s="31"/>
      <c r="D353" s="138" t="s">
        <v>299</v>
      </c>
      <c r="F353" s="142" t="s">
        <v>2431</v>
      </c>
      <c r="I353" s="140"/>
      <c r="L353" s="31"/>
      <c r="N353" s="213"/>
      <c r="O353" s="214"/>
      <c r="Q353" s="229"/>
      <c r="BY353" s="141"/>
      <c r="CF353" s="50"/>
      <c r="DF353" s="16" t="s">
        <v>299</v>
      </c>
      <c r="DG353" s="16" t="s">
        <v>83</v>
      </c>
    </row>
    <row r="354" spans="2:129" s="12" customFormat="1" x14ac:dyDescent="0.2">
      <c r="B354" s="149"/>
      <c r="D354" s="138" t="s">
        <v>301</v>
      </c>
      <c r="E354" s="150" t="s">
        <v>1</v>
      </c>
      <c r="F354" s="151" t="s">
        <v>2509</v>
      </c>
      <c r="H354" s="152">
        <v>417</v>
      </c>
      <c r="I354" s="153"/>
      <c r="L354" s="149"/>
      <c r="N354" s="217">
        <f>517.19-97.72</f>
        <v>419.47</v>
      </c>
      <c r="O354" s="218" t="s">
        <v>3602</v>
      </c>
      <c r="Q354" s="231"/>
      <c r="BY354" s="154"/>
      <c r="CF354" s="155"/>
      <c r="DF354" s="150" t="s">
        <v>301</v>
      </c>
      <c r="DG354" s="150" t="s">
        <v>83</v>
      </c>
      <c r="DH354" s="12" t="s">
        <v>83</v>
      </c>
      <c r="DI354" s="12" t="s">
        <v>32</v>
      </c>
      <c r="DJ354" s="12" t="s">
        <v>81</v>
      </c>
      <c r="DK354" s="150" t="s">
        <v>282</v>
      </c>
    </row>
    <row r="355" spans="2:129" s="12" customFormat="1" x14ac:dyDescent="0.2">
      <c r="B355" s="149"/>
      <c r="D355" s="138"/>
      <c r="E355" s="150"/>
      <c r="F355" s="151"/>
      <c r="H355" s="152"/>
      <c r="I355" s="153"/>
      <c r="L355" s="149"/>
      <c r="N355" s="310">
        <f>N354-H354</f>
        <v>2.4700000000000273</v>
      </c>
      <c r="O355" s="218"/>
      <c r="Q355" s="231"/>
      <c r="BY355" s="154"/>
      <c r="CF355" s="155"/>
      <c r="DF355" s="150"/>
      <c r="DG355" s="150"/>
      <c r="DK355" s="150"/>
    </row>
    <row r="356" spans="2:129" s="1" customFormat="1" ht="14.45" customHeight="1" x14ac:dyDescent="0.2">
      <c r="B356" s="124"/>
      <c r="C356" s="125" t="s">
        <v>531</v>
      </c>
      <c r="D356" s="125" t="s">
        <v>284</v>
      </c>
      <c r="E356" s="126" t="s">
        <v>2510</v>
      </c>
      <c r="F356" s="127" t="s">
        <v>2511</v>
      </c>
      <c r="G356" s="128" t="s">
        <v>366</v>
      </c>
      <c r="H356" s="129">
        <v>1</v>
      </c>
      <c r="I356" s="130">
        <v>2501.7542038360825</v>
      </c>
      <c r="J356" s="131">
        <f>ROUND(I356*H356,2)</f>
        <v>2501.75</v>
      </c>
      <c r="K356" s="127" t="s">
        <v>293</v>
      </c>
      <c r="L356" s="198">
        <f>S356</f>
        <v>0</v>
      </c>
      <c r="M356" s="206">
        <f>ROUND(L356*I356,2)</f>
        <v>0</v>
      </c>
      <c r="N356" s="211"/>
      <c r="O356" s="212">
        <f>ROUND(N356*I356,2)</f>
        <v>0</v>
      </c>
      <c r="P356" s="207">
        <f>H356-L356-N356</f>
        <v>1</v>
      </c>
      <c r="Q356" s="228">
        <f>ROUND(P356*I356,2)</f>
        <v>2501.75</v>
      </c>
      <c r="R356" s="199"/>
      <c r="S356" s="200">
        <f>W356+Y356+AA356+AC356+AE356+AG356+AI356+AK356+AM356+AO356+AQ356+AS356+AU356+AW356</f>
        <v>0</v>
      </c>
      <c r="T356" s="200">
        <f>ROUND(S356*I356,2)</f>
        <v>0</v>
      </c>
      <c r="U356" s="200">
        <f>H356-S356</f>
        <v>1</v>
      </c>
      <c r="V356" s="200">
        <f>ROUND(U356*I356,2)</f>
        <v>2501.75</v>
      </c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200"/>
      <c r="AT356" s="200"/>
      <c r="AU356" s="200"/>
      <c r="AV356" s="200"/>
      <c r="AW356" s="200"/>
      <c r="AX356" s="200"/>
      <c r="BY356" s="132" t="s">
        <v>1</v>
      </c>
      <c r="BZ356" s="133" t="s">
        <v>40</v>
      </c>
      <c r="CB356" s="134">
        <f>CA356*H356</f>
        <v>0</v>
      </c>
      <c r="CC356" s="134">
        <v>2.2563399999999998</v>
      </c>
      <c r="CD356" s="134">
        <f>CC356*H356</f>
        <v>2.2563399999999998</v>
      </c>
      <c r="CE356" s="134">
        <v>0</v>
      </c>
      <c r="CF356" s="135">
        <f>CE356*H356</f>
        <v>0</v>
      </c>
      <c r="DD356" s="136" t="s">
        <v>95</v>
      </c>
      <c r="DF356" s="136" t="s">
        <v>284</v>
      </c>
      <c r="DG356" s="136" t="s">
        <v>83</v>
      </c>
      <c r="DK356" s="16" t="s">
        <v>282</v>
      </c>
      <c r="DQ356" s="137">
        <f>IF(BZ356="základní",J356,0)</f>
        <v>2501.75</v>
      </c>
      <c r="DR356" s="137">
        <f>IF(BZ356="snížená",J356,0)</f>
        <v>0</v>
      </c>
      <c r="DS356" s="137">
        <f>IF(BZ356="zákl. přenesená",J356,0)</f>
        <v>0</v>
      </c>
      <c r="DT356" s="137">
        <f>IF(BZ356="sníž. přenesená",J356,0)</f>
        <v>0</v>
      </c>
      <c r="DU356" s="137">
        <f>IF(BZ356="nulová",J356,0)</f>
        <v>0</v>
      </c>
      <c r="DV356" s="16" t="s">
        <v>81</v>
      </c>
      <c r="DW356" s="137">
        <f>ROUND(I356*H356,2)</f>
        <v>2501.75</v>
      </c>
      <c r="DX356" s="16" t="s">
        <v>95</v>
      </c>
      <c r="DY356" s="136" t="s">
        <v>2512</v>
      </c>
    </row>
    <row r="357" spans="2:129" s="1" customFormat="1" ht="19.5" x14ac:dyDescent="0.2">
      <c r="B357" s="31"/>
      <c r="D357" s="138" t="s">
        <v>289</v>
      </c>
      <c r="F357" s="139" t="s">
        <v>2513</v>
      </c>
      <c r="I357" s="140"/>
      <c r="L357" s="31"/>
      <c r="N357" s="213"/>
      <c r="O357" s="214"/>
      <c r="Q357" s="229"/>
      <c r="BY357" s="141"/>
      <c r="CF357" s="50"/>
      <c r="DF357" s="16" t="s">
        <v>289</v>
      </c>
      <c r="DG357" s="16" t="s">
        <v>83</v>
      </c>
    </row>
    <row r="358" spans="2:129" s="1" customFormat="1" ht="29.25" x14ac:dyDescent="0.2">
      <c r="B358" s="31"/>
      <c r="D358" s="138" t="s">
        <v>299</v>
      </c>
      <c r="F358" s="142" t="s">
        <v>2431</v>
      </c>
      <c r="I358" s="140"/>
      <c r="L358" s="31"/>
      <c r="N358" s="213"/>
      <c r="O358" s="214"/>
      <c r="Q358" s="229"/>
      <c r="BY358" s="141"/>
      <c r="CF358" s="50"/>
      <c r="DF358" s="16" t="s">
        <v>299</v>
      </c>
      <c r="DG358" s="16" t="s">
        <v>83</v>
      </c>
    </row>
    <row r="359" spans="2:129" s="11" customFormat="1" x14ac:dyDescent="0.2">
      <c r="B359" s="143"/>
      <c r="D359" s="138" t="s">
        <v>301</v>
      </c>
      <c r="E359" s="144" t="s">
        <v>1</v>
      </c>
      <c r="F359" s="145" t="s">
        <v>2439</v>
      </c>
      <c r="H359" s="144" t="s">
        <v>1</v>
      </c>
      <c r="I359" s="146"/>
      <c r="L359" s="143"/>
      <c r="N359" s="215"/>
      <c r="O359" s="216"/>
      <c r="Q359" s="230"/>
      <c r="BY359" s="147"/>
      <c r="CF359" s="148"/>
      <c r="DF359" s="144" t="s">
        <v>301</v>
      </c>
      <c r="DG359" s="144" t="s">
        <v>83</v>
      </c>
      <c r="DH359" s="11" t="s">
        <v>81</v>
      </c>
      <c r="DI359" s="11" t="s">
        <v>32</v>
      </c>
      <c r="DJ359" s="11" t="s">
        <v>74</v>
      </c>
      <c r="DK359" s="144" t="s">
        <v>282</v>
      </c>
    </row>
    <row r="360" spans="2:129" s="12" customFormat="1" x14ac:dyDescent="0.2">
      <c r="B360" s="149"/>
      <c r="D360" s="138" t="s">
        <v>301</v>
      </c>
      <c r="E360" s="150" t="s">
        <v>1</v>
      </c>
      <c r="F360" s="151" t="s">
        <v>2514</v>
      </c>
      <c r="H360" s="152">
        <v>1</v>
      </c>
      <c r="I360" s="153"/>
      <c r="L360" s="149"/>
      <c r="N360" s="217"/>
      <c r="O360" s="218"/>
      <c r="Q360" s="231"/>
      <c r="BY360" s="154"/>
      <c r="CF360" s="155"/>
      <c r="DF360" s="150" t="s">
        <v>301</v>
      </c>
      <c r="DG360" s="150" t="s">
        <v>83</v>
      </c>
      <c r="DH360" s="12" t="s">
        <v>83</v>
      </c>
      <c r="DI360" s="12" t="s">
        <v>32</v>
      </c>
      <c r="DJ360" s="12" t="s">
        <v>81</v>
      </c>
      <c r="DK360" s="150" t="s">
        <v>282</v>
      </c>
    </row>
    <row r="361" spans="2:129" s="1" customFormat="1" ht="24.2" customHeight="1" x14ac:dyDescent="0.2">
      <c r="B361" s="124"/>
      <c r="C361" s="125" t="s">
        <v>536</v>
      </c>
      <c r="D361" s="125" t="s">
        <v>284</v>
      </c>
      <c r="E361" s="126" t="s">
        <v>1912</v>
      </c>
      <c r="F361" s="127" t="s">
        <v>1913</v>
      </c>
      <c r="G361" s="128" t="s">
        <v>366</v>
      </c>
      <c r="H361" s="129">
        <v>3.2</v>
      </c>
      <c r="I361" s="130">
        <v>2501.7542038360825</v>
      </c>
      <c r="J361" s="131">
        <f>ROUND(I361*H361,2)</f>
        <v>8005.61</v>
      </c>
      <c r="K361" s="127" t="s">
        <v>1</v>
      </c>
      <c r="L361" s="198">
        <f>S361</f>
        <v>0</v>
      </c>
      <c r="M361" s="206">
        <f>ROUND(L361*I361,2)</f>
        <v>0</v>
      </c>
      <c r="N361" s="211"/>
      <c r="O361" s="212">
        <f>ROUND(N361*I361,2)</f>
        <v>0</v>
      </c>
      <c r="P361" s="207">
        <f>H361-L361-N361</f>
        <v>3.2</v>
      </c>
      <c r="Q361" s="228">
        <f>ROUND(P361*I361,2)</f>
        <v>8005.61</v>
      </c>
      <c r="R361" s="199"/>
      <c r="S361" s="200">
        <f>W361+Y361+AA361+AC361+AE361+AG361+AI361+AK361+AM361+AO361+AQ361+AS361+AU361+AW361</f>
        <v>0</v>
      </c>
      <c r="T361" s="200">
        <f>ROUND(S361*I361,2)</f>
        <v>0</v>
      </c>
      <c r="U361" s="200">
        <f>H361-S361</f>
        <v>3.2</v>
      </c>
      <c r="V361" s="200">
        <f>ROUND(U361*I361,2)</f>
        <v>8005.61</v>
      </c>
      <c r="W361" s="200"/>
      <c r="X361" s="200"/>
      <c r="Y361" s="200"/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0"/>
      <c r="AP361" s="200"/>
      <c r="AQ361" s="200"/>
      <c r="AR361" s="200"/>
      <c r="AS361" s="200"/>
      <c r="AT361" s="200"/>
      <c r="AU361" s="200"/>
      <c r="AV361" s="200"/>
      <c r="AW361" s="200"/>
      <c r="AX361" s="200"/>
      <c r="BY361" s="132" t="s">
        <v>1</v>
      </c>
      <c r="BZ361" s="133" t="s">
        <v>40</v>
      </c>
      <c r="CB361" s="134">
        <f>CA361*H361</f>
        <v>0</v>
      </c>
      <c r="CC361" s="134">
        <v>2.2563399999999998</v>
      </c>
      <c r="CD361" s="134">
        <f>CC361*H361</f>
        <v>7.220288</v>
      </c>
      <c r="CE361" s="134">
        <v>0</v>
      </c>
      <c r="CF361" s="135">
        <f>CE361*H361</f>
        <v>0</v>
      </c>
      <c r="DD361" s="136" t="s">
        <v>95</v>
      </c>
      <c r="DF361" s="136" t="s">
        <v>284</v>
      </c>
      <c r="DG361" s="136" t="s">
        <v>83</v>
      </c>
      <c r="DK361" s="16" t="s">
        <v>282</v>
      </c>
      <c r="DQ361" s="137">
        <f>IF(BZ361="základní",J361,0)</f>
        <v>8005.61</v>
      </c>
      <c r="DR361" s="137">
        <f>IF(BZ361="snížená",J361,0)</f>
        <v>0</v>
      </c>
      <c r="DS361" s="137">
        <f>IF(BZ361="zákl. přenesená",J361,0)</f>
        <v>0</v>
      </c>
      <c r="DT361" s="137">
        <f>IF(BZ361="sníž. přenesená",J361,0)</f>
        <v>0</v>
      </c>
      <c r="DU361" s="137">
        <f>IF(BZ361="nulová",J361,0)</f>
        <v>0</v>
      </c>
      <c r="DV361" s="16" t="s">
        <v>81</v>
      </c>
      <c r="DW361" s="137">
        <f>ROUND(I361*H361,2)</f>
        <v>8005.61</v>
      </c>
      <c r="DX361" s="16" t="s">
        <v>95</v>
      </c>
      <c r="DY361" s="136" t="s">
        <v>2515</v>
      </c>
    </row>
    <row r="362" spans="2:129" s="1" customFormat="1" ht="19.5" x14ac:dyDescent="0.2">
      <c r="B362" s="31"/>
      <c r="D362" s="138" t="s">
        <v>289</v>
      </c>
      <c r="F362" s="139" t="s">
        <v>1915</v>
      </c>
      <c r="I362" s="140"/>
      <c r="L362" s="31"/>
      <c r="N362" s="213"/>
      <c r="O362" s="214"/>
      <c r="Q362" s="229"/>
      <c r="BY362" s="141"/>
      <c r="CF362" s="50"/>
      <c r="DF362" s="16" t="s">
        <v>289</v>
      </c>
      <c r="DG362" s="16" t="s">
        <v>83</v>
      </c>
    </row>
    <row r="363" spans="2:129" s="1" customFormat="1" ht="29.25" x14ac:dyDescent="0.2">
      <c r="B363" s="31"/>
      <c r="D363" s="138" t="s">
        <v>299</v>
      </c>
      <c r="F363" s="142" t="s">
        <v>2431</v>
      </c>
      <c r="I363" s="140"/>
      <c r="L363" s="31"/>
      <c r="N363" s="213"/>
      <c r="O363" s="214"/>
      <c r="Q363" s="229"/>
      <c r="BY363" s="141"/>
      <c r="CF363" s="50"/>
      <c r="DF363" s="16" t="s">
        <v>299</v>
      </c>
      <c r="DG363" s="16" t="s">
        <v>83</v>
      </c>
    </row>
    <row r="364" spans="2:129" s="11" customFormat="1" x14ac:dyDescent="0.2">
      <c r="B364" s="143"/>
      <c r="D364" s="138" t="s">
        <v>301</v>
      </c>
      <c r="E364" s="144" t="s">
        <v>1</v>
      </c>
      <c r="F364" s="145" t="s">
        <v>2439</v>
      </c>
      <c r="H364" s="144" t="s">
        <v>1</v>
      </c>
      <c r="I364" s="146"/>
      <c r="L364" s="143"/>
      <c r="N364" s="215"/>
      <c r="O364" s="216"/>
      <c r="Q364" s="230"/>
      <c r="BY364" s="147"/>
      <c r="CF364" s="148"/>
      <c r="DF364" s="144" t="s">
        <v>301</v>
      </c>
      <c r="DG364" s="144" t="s">
        <v>83</v>
      </c>
      <c r="DH364" s="11" t="s">
        <v>81</v>
      </c>
      <c r="DI364" s="11" t="s">
        <v>32</v>
      </c>
      <c r="DJ364" s="11" t="s">
        <v>74</v>
      </c>
      <c r="DK364" s="144" t="s">
        <v>282</v>
      </c>
    </row>
    <row r="365" spans="2:129" s="12" customFormat="1" x14ac:dyDescent="0.2">
      <c r="B365" s="149"/>
      <c r="D365" s="138" t="s">
        <v>301</v>
      </c>
      <c r="E365" s="150" t="s">
        <v>1</v>
      </c>
      <c r="F365" s="151" t="s">
        <v>2516</v>
      </c>
      <c r="H365" s="152">
        <v>3.2</v>
      </c>
      <c r="I365" s="153"/>
      <c r="L365" s="149"/>
      <c r="N365" s="217"/>
      <c r="O365" s="218"/>
      <c r="Q365" s="231"/>
      <c r="BY365" s="154"/>
      <c r="CF365" s="155"/>
      <c r="DF365" s="150" t="s">
        <v>301</v>
      </c>
      <c r="DG365" s="150" t="s">
        <v>83</v>
      </c>
      <c r="DH365" s="12" t="s">
        <v>83</v>
      </c>
      <c r="DI365" s="12" t="s">
        <v>32</v>
      </c>
      <c r="DJ365" s="12" t="s">
        <v>81</v>
      </c>
      <c r="DK365" s="150" t="s">
        <v>282</v>
      </c>
    </row>
    <row r="366" spans="2:129" s="1" customFormat="1" ht="24.2" customHeight="1" x14ac:dyDescent="0.2">
      <c r="B366" s="124"/>
      <c r="C366" s="125" t="s">
        <v>543</v>
      </c>
      <c r="D366" s="125" t="s">
        <v>284</v>
      </c>
      <c r="E366" s="126" t="s">
        <v>2517</v>
      </c>
      <c r="F366" s="127" t="s">
        <v>2518</v>
      </c>
      <c r="G366" s="128" t="s">
        <v>287</v>
      </c>
      <c r="H366" s="129">
        <v>7.14</v>
      </c>
      <c r="I366" s="130">
        <v>302.12626310194202</v>
      </c>
      <c r="J366" s="131">
        <f>ROUND(I366*H366,2)</f>
        <v>2157.1799999999998</v>
      </c>
      <c r="K366" s="127" t="s">
        <v>293</v>
      </c>
      <c r="L366" s="198">
        <f>S366</f>
        <v>0</v>
      </c>
      <c r="M366" s="206">
        <f>ROUND(L366*I366,2)</f>
        <v>0</v>
      </c>
      <c r="N366" s="211"/>
      <c r="O366" s="212">
        <f>ROUND(N366*I366,2)</f>
        <v>0</v>
      </c>
      <c r="P366" s="207">
        <f>H366-L366-N366</f>
        <v>7.14</v>
      </c>
      <c r="Q366" s="228">
        <f>ROUND(P366*I366,2)</f>
        <v>2157.1799999999998</v>
      </c>
      <c r="R366" s="199"/>
      <c r="S366" s="200">
        <f>W366+Y366+AA366+AC366+AE366+AG366+AI366+AK366+AM366+AO366+AQ366+AS366+AU366+AW366</f>
        <v>0</v>
      </c>
      <c r="T366" s="200">
        <f>ROUND(S366*I366,2)</f>
        <v>0</v>
      </c>
      <c r="U366" s="200">
        <f>H366-S366</f>
        <v>7.14</v>
      </c>
      <c r="V366" s="200">
        <f>ROUND(U366*I366,2)</f>
        <v>2157.1799999999998</v>
      </c>
      <c r="W366" s="200"/>
      <c r="X366" s="200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0"/>
      <c r="AQ366" s="200"/>
      <c r="AR366" s="200"/>
      <c r="AS366" s="200"/>
      <c r="AT366" s="200"/>
      <c r="AU366" s="200"/>
      <c r="AV366" s="200"/>
      <c r="AW366" s="200"/>
      <c r="AX366" s="200"/>
      <c r="BY366" s="132" t="s">
        <v>1</v>
      </c>
      <c r="BZ366" s="133" t="s">
        <v>40</v>
      </c>
      <c r="CB366" s="134">
        <f>CA366*H366</f>
        <v>0</v>
      </c>
      <c r="CC366" s="134">
        <v>2.6900000000000001E-3</v>
      </c>
      <c r="CD366" s="134">
        <f>CC366*H366</f>
        <v>1.9206600000000001E-2</v>
      </c>
      <c r="CE366" s="134">
        <v>0</v>
      </c>
      <c r="CF366" s="135">
        <f>CE366*H366</f>
        <v>0</v>
      </c>
      <c r="DD366" s="136" t="s">
        <v>95</v>
      </c>
      <c r="DF366" s="136" t="s">
        <v>284</v>
      </c>
      <c r="DG366" s="136" t="s">
        <v>83</v>
      </c>
      <c r="DK366" s="16" t="s">
        <v>282</v>
      </c>
      <c r="DQ366" s="137">
        <f>IF(BZ366="základní",J366,0)</f>
        <v>2157.1799999999998</v>
      </c>
      <c r="DR366" s="137">
        <f>IF(BZ366="snížená",J366,0)</f>
        <v>0</v>
      </c>
      <c r="DS366" s="137">
        <f>IF(BZ366="zákl. přenesená",J366,0)</f>
        <v>0</v>
      </c>
      <c r="DT366" s="137">
        <f>IF(BZ366="sníž. přenesená",J366,0)</f>
        <v>0</v>
      </c>
      <c r="DU366" s="137">
        <f>IF(BZ366="nulová",J366,0)</f>
        <v>0</v>
      </c>
      <c r="DV366" s="16" t="s">
        <v>81</v>
      </c>
      <c r="DW366" s="137">
        <f>ROUND(I366*H366,2)</f>
        <v>2157.1799999999998</v>
      </c>
      <c r="DX366" s="16" t="s">
        <v>95</v>
      </c>
      <c r="DY366" s="136" t="s">
        <v>2519</v>
      </c>
    </row>
    <row r="367" spans="2:129" s="1" customFormat="1" x14ac:dyDescent="0.2">
      <c r="B367" s="31"/>
      <c r="D367" s="138" t="s">
        <v>289</v>
      </c>
      <c r="F367" s="139" t="s">
        <v>2520</v>
      </c>
      <c r="I367" s="140"/>
      <c r="L367" s="31"/>
      <c r="N367" s="213"/>
      <c r="O367" s="214"/>
      <c r="Q367" s="229"/>
      <c r="BY367" s="141"/>
      <c r="CF367" s="50"/>
      <c r="DF367" s="16" t="s">
        <v>289</v>
      </c>
      <c r="DG367" s="16" t="s">
        <v>83</v>
      </c>
    </row>
    <row r="368" spans="2:129" s="1" customFormat="1" ht="29.25" x14ac:dyDescent="0.2">
      <c r="B368" s="31"/>
      <c r="D368" s="138" t="s">
        <v>299</v>
      </c>
      <c r="F368" s="142" t="s">
        <v>2431</v>
      </c>
      <c r="I368" s="140"/>
      <c r="L368" s="31"/>
      <c r="N368" s="213"/>
      <c r="O368" s="214"/>
      <c r="Q368" s="229"/>
      <c r="BY368" s="141"/>
      <c r="CF368" s="50"/>
      <c r="DF368" s="16" t="s">
        <v>299</v>
      </c>
      <c r="DG368" s="16" t="s">
        <v>83</v>
      </c>
    </row>
    <row r="369" spans="2:129" s="11" customFormat="1" x14ac:dyDescent="0.2">
      <c r="B369" s="143"/>
      <c r="D369" s="138" t="s">
        <v>301</v>
      </c>
      <c r="E369" s="144" t="s">
        <v>1</v>
      </c>
      <c r="F369" s="145" t="s">
        <v>2439</v>
      </c>
      <c r="H369" s="144" t="s">
        <v>1</v>
      </c>
      <c r="I369" s="146"/>
      <c r="L369" s="143"/>
      <c r="N369" s="215"/>
      <c r="O369" s="216"/>
      <c r="Q369" s="230"/>
      <c r="BY369" s="147"/>
      <c r="CF369" s="148"/>
      <c r="DF369" s="144" t="s">
        <v>301</v>
      </c>
      <c r="DG369" s="144" t="s">
        <v>83</v>
      </c>
      <c r="DH369" s="11" t="s">
        <v>81</v>
      </c>
      <c r="DI369" s="11" t="s">
        <v>32</v>
      </c>
      <c r="DJ369" s="11" t="s">
        <v>74</v>
      </c>
      <c r="DK369" s="144" t="s">
        <v>282</v>
      </c>
    </row>
    <row r="370" spans="2:129" s="12" customFormat="1" x14ac:dyDescent="0.2">
      <c r="B370" s="149"/>
      <c r="D370" s="138" t="s">
        <v>301</v>
      </c>
      <c r="E370" s="150" t="s">
        <v>1</v>
      </c>
      <c r="F370" s="151" t="s">
        <v>2521</v>
      </c>
      <c r="H370" s="152">
        <v>7.14</v>
      </c>
      <c r="I370" s="153"/>
      <c r="L370" s="149"/>
      <c r="N370" s="217"/>
      <c r="O370" s="218"/>
      <c r="Q370" s="231"/>
      <c r="BY370" s="154"/>
      <c r="CF370" s="155"/>
      <c r="DF370" s="150" t="s">
        <v>301</v>
      </c>
      <c r="DG370" s="150" t="s">
        <v>83</v>
      </c>
      <c r="DH370" s="12" t="s">
        <v>83</v>
      </c>
      <c r="DI370" s="12" t="s">
        <v>32</v>
      </c>
      <c r="DJ370" s="12" t="s">
        <v>81</v>
      </c>
      <c r="DK370" s="150" t="s">
        <v>282</v>
      </c>
    </row>
    <row r="371" spans="2:129" s="1" customFormat="1" ht="14.45" customHeight="1" x14ac:dyDescent="0.2">
      <c r="B371" s="124"/>
      <c r="C371" s="125" t="s">
        <v>548</v>
      </c>
      <c r="D371" s="125" t="s">
        <v>284</v>
      </c>
      <c r="E371" s="126" t="s">
        <v>2522</v>
      </c>
      <c r="F371" s="127" t="s">
        <v>2523</v>
      </c>
      <c r="G371" s="128" t="s">
        <v>287</v>
      </c>
      <c r="H371" s="129">
        <v>7.14</v>
      </c>
      <c r="I371" s="130">
        <v>57.97458329241045</v>
      </c>
      <c r="J371" s="131">
        <f>ROUND(I371*H371,2)</f>
        <v>413.94</v>
      </c>
      <c r="K371" s="127" t="s">
        <v>293</v>
      </c>
      <c r="L371" s="198">
        <f>S371</f>
        <v>0</v>
      </c>
      <c r="M371" s="206">
        <f>ROUND(L371*I371,2)</f>
        <v>0</v>
      </c>
      <c r="N371" s="211"/>
      <c r="O371" s="212">
        <f>ROUND(N371*I371,2)</f>
        <v>0</v>
      </c>
      <c r="P371" s="207">
        <f>H371-L371-N371</f>
        <v>7.14</v>
      </c>
      <c r="Q371" s="228">
        <f>ROUND(P371*I371,2)</f>
        <v>413.94</v>
      </c>
      <c r="R371" s="199"/>
      <c r="S371" s="200">
        <f>W371+Y371+AA371+AC371+AE371+AG371+AI371+AK371+AM371+AO371+AQ371+AS371+AU371+AW371</f>
        <v>0</v>
      </c>
      <c r="T371" s="200">
        <f>ROUND(S371*I371,2)</f>
        <v>0</v>
      </c>
      <c r="U371" s="200">
        <f>H371-S371</f>
        <v>7.14</v>
      </c>
      <c r="V371" s="200">
        <f>ROUND(U371*I371,2)</f>
        <v>413.94</v>
      </c>
      <c r="W371" s="200"/>
      <c r="X371" s="200"/>
      <c r="Y371" s="200"/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0"/>
      <c r="AP371" s="200"/>
      <c r="AQ371" s="200"/>
      <c r="AR371" s="200"/>
      <c r="AS371" s="200"/>
      <c r="AT371" s="200"/>
      <c r="AU371" s="200"/>
      <c r="AV371" s="200"/>
      <c r="AW371" s="200"/>
      <c r="AX371" s="200"/>
      <c r="BY371" s="132" t="s">
        <v>1</v>
      </c>
      <c r="BZ371" s="133" t="s">
        <v>40</v>
      </c>
      <c r="CB371" s="134">
        <f>CA371*H371</f>
        <v>0</v>
      </c>
      <c r="CC371" s="134">
        <v>0</v>
      </c>
      <c r="CD371" s="134">
        <f>CC371*H371</f>
        <v>0</v>
      </c>
      <c r="CE371" s="134">
        <v>0</v>
      </c>
      <c r="CF371" s="135">
        <f>CE371*H371</f>
        <v>0</v>
      </c>
      <c r="DD371" s="136" t="s">
        <v>95</v>
      </c>
      <c r="DF371" s="136" t="s">
        <v>284</v>
      </c>
      <c r="DG371" s="136" t="s">
        <v>83</v>
      </c>
      <c r="DK371" s="16" t="s">
        <v>282</v>
      </c>
      <c r="DQ371" s="137">
        <f>IF(BZ371="základní",J371,0)</f>
        <v>413.94</v>
      </c>
      <c r="DR371" s="137">
        <f>IF(BZ371="snížená",J371,0)</f>
        <v>0</v>
      </c>
      <c r="DS371" s="137">
        <f>IF(BZ371="zákl. přenesená",J371,0)</f>
        <v>0</v>
      </c>
      <c r="DT371" s="137">
        <f>IF(BZ371="sníž. přenesená",J371,0)</f>
        <v>0</v>
      </c>
      <c r="DU371" s="137">
        <f>IF(BZ371="nulová",J371,0)</f>
        <v>0</v>
      </c>
      <c r="DV371" s="16" t="s">
        <v>81</v>
      </c>
      <c r="DW371" s="137">
        <f>ROUND(I371*H371,2)</f>
        <v>413.94</v>
      </c>
      <c r="DX371" s="16" t="s">
        <v>95</v>
      </c>
      <c r="DY371" s="136" t="s">
        <v>2524</v>
      </c>
    </row>
    <row r="372" spans="2:129" s="1" customFormat="1" x14ac:dyDescent="0.2">
      <c r="B372" s="31"/>
      <c r="D372" s="138" t="s">
        <v>289</v>
      </c>
      <c r="F372" s="139" t="s">
        <v>2525</v>
      </c>
      <c r="I372" s="140"/>
      <c r="L372" s="31"/>
      <c r="N372" s="213"/>
      <c r="O372" s="214"/>
      <c r="Q372" s="229"/>
      <c r="BY372" s="141"/>
      <c r="CF372" s="50"/>
      <c r="DF372" s="16" t="s">
        <v>289</v>
      </c>
      <c r="DG372" s="16" t="s">
        <v>83</v>
      </c>
    </row>
    <row r="373" spans="2:129" s="1" customFormat="1" ht="24.2" customHeight="1" x14ac:dyDescent="0.2">
      <c r="B373" s="124"/>
      <c r="C373" s="125" t="s">
        <v>556</v>
      </c>
      <c r="D373" s="125" t="s">
        <v>284</v>
      </c>
      <c r="E373" s="126" t="s">
        <v>2526</v>
      </c>
      <c r="F373" s="127" t="s">
        <v>2527</v>
      </c>
      <c r="G373" s="128" t="s">
        <v>315</v>
      </c>
      <c r="H373" s="129">
        <v>2</v>
      </c>
      <c r="I373" s="130">
        <v>568.32942000000003</v>
      </c>
      <c r="J373" s="131">
        <f>ROUND(I373*H373,2)</f>
        <v>1136.6600000000001</v>
      </c>
      <c r="K373" s="127" t="s">
        <v>1</v>
      </c>
      <c r="L373" s="198">
        <f>S373</f>
        <v>0</v>
      </c>
      <c r="M373" s="206">
        <f>ROUND(L373*I373,2)</f>
        <v>0</v>
      </c>
      <c r="N373" s="211"/>
      <c r="O373" s="212">
        <f>ROUND(N373*I373,2)</f>
        <v>0</v>
      </c>
      <c r="P373" s="207">
        <f>H373-L373-N373</f>
        <v>2</v>
      </c>
      <c r="Q373" s="228">
        <f>ROUND(P373*I373,2)</f>
        <v>1136.6600000000001</v>
      </c>
      <c r="R373" s="199"/>
      <c r="S373" s="200">
        <f>W373+Y373+AA373+AC373+AE373+AG373+AI373+AK373+AM373+AO373+AQ373+AS373+AU373+AW373</f>
        <v>0</v>
      </c>
      <c r="T373" s="200">
        <f>ROUND(S373*I373,2)</f>
        <v>0</v>
      </c>
      <c r="U373" s="200">
        <f>H373-S373</f>
        <v>2</v>
      </c>
      <c r="V373" s="200">
        <f>ROUND(U373*I373,2)</f>
        <v>1136.6600000000001</v>
      </c>
      <c r="W373" s="200"/>
      <c r="X373" s="200"/>
      <c r="Y373" s="200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0"/>
      <c r="AP373" s="200"/>
      <c r="AQ373" s="200"/>
      <c r="AR373" s="200"/>
      <c r="AS373" s="200"/>
      <c r="AT373" s="200"/>
      <c r="AU373" s="200"/>
      <c r="AV373" s="200"/>
      <c r="AW373" s="200"/>
      <c r="AX373" s="200"/>
      <c r="BY373" s="132" t="s">
        <v>1</v>
      </c>
      <c r="BZ373" s="133" t="s">
        <v>40</v>
      </c>
      <c r="CB373" s="134">
        <f>CA373*H373</f>
        <v>0</v>
      </c>
      <c r="CC373" s="134">
        <v>0.108</v>
      </c>
      <c r="CD373" s="134">
        <f>CC373*H373</f>
        <v>0.216</v>
      </c>
      <c r="CE373" s="134">
        <v>0</v>
      </c>
      <c r="CF373" s="135">
        <f>CE373*H373</f>
        <v>0</v>
      </c>
      <c r="DD373" s="136" t="s">
        <v>95</v>
      </c>
      <c r="DF373" s="136" t="s">
        <v>284</v>
      </c>
      <c r="DG373" s="136" t="s">
        <v>83</v>
      </c>
      <c r="DK373" s="16" t="s">
        <v>282</v>
      </c>
      <c r="DQ373" s="137">
        <f>IF(BZ373="základní",J373,0)</f>
        <v>1136.6600000000001</v>
      </c>
      <c r="DR373" s="137">
        <f>IF(BZ373="snížená",J373,0)</f>
        <v>0</v>
      </c>
      <c r="DS373" s="137">
        <f>IF(BZ373="zákl. přenesená",J373,0)</f>
        <v>0</v>
      </c>
      <c r="DT373" s="137">
        <f>IF(BZ373="sníž. přenesená",J373,0)</f>
        <v>0</v>
      </c>
      <c r="DU373" s="137">
        <f>IF(BZ373="nulová",J373,0)</f>
        <v>0</v>
      </c>
      <c r="DV373" s="16" t="s">
        <v>81</v>
      </c>
      <c r="DW373" s="137">
        <f>ROUND(I373*H373,2)</f>
        <v>1136.6600000000001</v>
      </c>
      <c r="DX373" s="16" t="s">
        <v>95</v>
      </c>
      <c r="DY373" s="136" t="s">
        <v>2528</v>
      </c>
    </row>
    <row r="374" spans="2:129" s="1" customFormat="1" ht="19.5" x14ac:dyDescent="0.2">
      <c r="B374" s="31"/>
      <c r="D374" s="138" t="s">
        <v>289</v>
      </c>
      <c r="F374" s="139" t="s">
        <v>2527</v>
      </c>
      <c r="I374" s="140"/>
      <c r="L374" s="31"/>
      <c r="N374" s="213"/>
      <c r="O374" s="214"/>
      <c r="Q374" s="229"/>
      <c r="BY374" s="141"/>
      <c r="CF374" s="50"/>
      <c r="DF374" s="16" t="s">
        <v>289</v>
      </c>
      <c r="DG374" s="16" t="s">
        <v>83</v>
      </c>
    </row>
    <row r="375" spans="2:129" s="1" customFormat="1" ht="29.25" x14ac:dyDescent="0.2">
      <c r="B375" s="31"/>
      <c r="D375" s="138" t="s">
        <v>299</v>
      </c>
      <c r="F375" s="142" t="s">
        <v>2431</v>
      </c>
      <c r="I375" s="140"/>
      <c r="L375" s="31"/>
      <c r="N375" s="213"/>
      <c r="O375" s="214"/>
      <c r="Q375" s="229"/>
      <c r="BY375" s="141"/>
      <c r="CF375" s="50"/>
      <c r="DF375" s="16" t="s">
        <v>299</v>
      </c>
      <c r="DG375" s="16" t="s">
        <v>83</v>
      </c>
    </row>
    <row r="376" spans="2:129" s="11" customFormat="1" x14ac:dyDescent="0.2">
      <c r="B376" s="143"/>
      <c r="D376" s="138" t="s">
        <v>301</v>
      </c>
      <c r="E376" s="144" t="s">
        <v>1</v>
      </c>
      <c r="F376" s="145" t="s">
        <v>2529</v>
      </c>
      <c r="H376" s="144" t="s">
        <v>1</v>
      </c>
      <c r="I376" s="146"/>
      <c r="L376" s="143"/>
      <c r="N376" s="215"/>
      <c r="O376" s="216"/>
      <c r="Q376" s="230"/>
      <c r="BY376" s="147"/>
      <c r="CF376" s="148"/>
      <c r="DF376" s="144" t="s">
        <v>301</v>
      </c>
      <c r="DG376" s="144" t="s">
        <v>83</v>
      </c>
      <c r="DH376" s="11" t="s">
        <v>81</v>
      </c>
      <c r="DI376" s="11" t="s">
        <v>32</v>
      </c>
      <c r="DJ376" s="11" t="s">
        <v>74</v>
      </c>
      <c r="DK376" s="144" t="s">
        <v>282</v>
      </c>
    </row>
    <row r="377" spans="2:129" s="12" customFormat="1" x14ac:dyDescent="0.2">
      <c r="B377" s="149"/>
      <c r="D377" s="138" t="s">
        <v>301</v>
      </c>
      <c r="E377" s="150" t="s">
        <v>1</v>
      </c>
      <c r="F377" s="151" t="s">
        <v>83</v>
      </c>
      <c r="H377" s="152">
        <v>2</v>
      </c>
      <c r="I377" s="153"/>
      <c r="L377" s="149"/>
      <c r="N377" s="217"/>
      <c r="O377" s="218"/>
      <c r="Q377" s="231"/>
      <c r="BY377" s="154"/>
      <c r="CF377" s="155"/>
      <c r="DF377" s="150" t="s">
        <v>301</v>
      </c>
      <c r="DG377" s="150" t="s">
        <v>83</v>
      </c>
      <c r="DH377" s="12" t="s">
        <v>83</v>
      </c>
      <c r="DI377" s="12" t="s">
        <v>32</v>
      </c>
      <c r="DJ377" s="12" t="s">
        <v>81</v>
      </c>
      <c r="DK377" s="150" t="s">
        <v>282</v>
      </c>
    </row>
    <row r="378" spans="2:129" s="1" customFormat="1" ht="14.45" customHeight="1" x14ac:dyDescent="0.2">
      <c r="B378" s="124"/>
      <c r="C378" s="170" t="s">
        <v>562</v>
      </c>
      <c r="D378" s="170" t="s">
        <v>439</v>
      </c>
      <c r="E378" s="171" t="s">
        <v>2530</v>
      </c>
      <c r="F378" s="172" t="s">
        <v>2531</v>
      </c>
      <c r="G378" s="173" t="s">
        <v>485</v>
      </c>
      <c r="H378" s="174">
        <v>2</v>
      </c>
      <c r="I378" s="175">
        <v>3466.8094620000002</v>
      </c>
      <c r="J378" s="176">
        <f>ROUND(I378*H378,2)</f>
        <v>6933.62</v>
      </c>
      <c r="K378" s="172" t="s">
        <v>293</v>
      </c>
      <c r="L378" s="198">
        <f>S378</f>
        <v>0</v>
      </c>
      <c r="M378" s="206">
        <f>ROUND(L378*I378,2)</f>
        <v>0</v>
      </c>
      <c r="N378" s="211"/>
      <c r="O378" s="212">
        <f>ROUND(N378*I378,2)</f>
        <v>0</v>
      </c>
      <c r="P378" s="207">
        <f>H378-L378-N378</f>
        <v>2</v>
      </c>
      <c r="Q378" s="228">
        <f>ROUND(P378*I378,2)</f>
        <v>6933.62</v>
      </c>
      <c r="R378" s="199"/>
      <c r="S378" s="200">
        <f>W378+Y378+AA378+AC378+AE378+AG378+AI378+AK378+AM378+AO378+AQ378+AS378+AU378+AW378</f>
        <v>0</v>
      </c>
      <c r="T378" s="200">
        <f>ROUND(S378*I378,2)</f>
        <v>0</v>
      </c>
      <c r="U378" s="200">
        <f>H378-S378</f>
        <v>2</v>
      </c>
      <c r="V378" s="200">
        <f>ROUND(U378*I378,2)</f>
        <v>6933.62</v>
      </c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77" t="s">
        <v>1</v>
      </c>
      <c r="BZ378" s="178" t="s">
        <v>40</v>
      </c>
      <c r="CB378" s="134">
        <f>CA378*H378</f>
        <v>0</v>
      </c>
      <c r="CC378" s="134">
        <v>1.1200000000000001</v>
      </c>
      <c r="CD378" s="134">
        <f>CC378*H378</f>
        <v>2.2400000000000002</v>
      </c>
      <c r="CE378" s="134">
        <v>0</v>
      </c>
      <c r="CF378" s="135">
        <f>CE378*H378</f>
        <v>0</v>
      </c>
      <c r="DD378" s="136" t="s">
        <v>328</v>
      </c>
      <c r="DF378" s="136" t="s">
        <v>439</v>
      </c>
      <c r="DG378" s="136" t="s">
        <v>83</v>
      </c>
      <c r="DK378" s="16" t="s">
        <v>282</v>
      </c>
      <c r="DQ378" s="137">
        <f>IF(BZ378="základní",J378,0)</f>
        <v>6933.62</v>
      </c>
      <c r="DR378" s="137">
        <f>IF(BZ378="snížená",J378,0)</f>
        <v>0</v>
      </c>
      <c r="DS378" s="137">
        <f>IF(BZ378="zákl. přenesená",J378,0)</f>
        <v>0</v>
      </c>
      <c r="DT378" s="137">
        <f>IF(BZ378="sníž. přenesená",J378,0)</f>
        <v>0</v>
      </c>
      <c r="DU378" s="137">
        <f>IF(BZ378="nulová",J378,0)</f>
        <v>0</v>
      </c>
      <c r="DV378" s="16" t="s">
        <v>81</v>
      </c>
      <c r="DW378" s="137">
        <f>ROUND(I378*H378,2)</f>
        <v>6933.62</v>
      </c>
      <c r="DX378" s="16" t="s">
        <v>95</v>
      </c>
      <c r="DY378" s="136" t="s">
        <v>2532</v>
      </c>
    </row>
    <row r="379" spans="2:129" s="1" customFormat="1" x14ac:dyDescent="0.2">
      <c r="B379" s="31"/>
      <c r="D379" s="138" t="s">
        <v>289</v>
      </c>
      <c r="F379" s="139" t="s">
        <v>2531</v>
      </c>
      <c r="I379" s="140"/>
      <c r="L379" s="31"/>
      <c r="N379" s="213"/>
      <c r="O379" s="214"/>
      <c r="Q379" s="229"/>
      <c r="BY379" s="141"/>
      <c r="CF379" s="50"/>
      <c r="DF379" s="16" t="s">
        <v>289</v>
      </c>
      <c r="DG379" s="16" t="s">
        <v>83</v>
      </c>
    </row>
    <row r="380" spans="2:129" s="1" customFormat="1" ht="24.2" customHeight="1" x14ac:dyDescent="0.2">
      <c r="B380" s="124"/>
      <c r="C380" s="125" t="s">
        <v>568</v>
      </c>
      <c r="D380" s="125" t="s">
        <v>284</v>
      </c>
      <c r="E380" s="126" t="s">
        <v>2533</v>
      </c>
      <c r="F380" s="127" t="s">
        <v>2534</v>
      </c>
      <c r="G380" s="128" t="s">
        <v>315</v>
      </c>
      <c r="H380" s="129">
        <v>2</v>
      </c>
      <c r="I380" s="130">
        <v>1136.6588400000001</v>
      </c>
      <c r="J380" s="131">
        <f>ROUND(I380*H380,2)</f>
        <v>2273.3200000000002</v>
      </c>
      <c r="K380" s="127" t="s">
        <v>1</v>
      </c>
      <c r="L380" s="198">
        <f>S380</f>
        <v>0</v>
      </c>
      <c r="M380" s="206">
        <f>ROUND(L380*I380,2)</f>
        <v>0</v>
      </c>
      <c r="N380" s="211"/>
      <c r="O380" s="212">
        <f>ROUND(N380*I380,2)</f>
        <v>0</v>
      </c>
      <c r="P380" s="207">
        <f>H380-L380-N380</f>
        <v>2</v>
      </c>
      <c r="Q380" s="228">
        <f>ROUND(P380*I380,2)</f>
        <v>2273.3200000000002</v>
      </c>
      <c r="R380" s="199"/>
      <c r="S380" s="200">
        <f>W380+Y380+AA380+AC380+AE380+AG380+AI380+AK380+AM380+AO380+AQ380+AS380+AU380+AW380</f>
        <v>0</v>
      </c>
      <c r="T380" s="200">
        <f>ROUND(S380*I380,2)</f>
        <v>0</v>
      </c>
      <c r="U380" s="200">
        <f>H380-S380</f>
        <v>2</v>
      </c>
      <c r="V380" s="200">
        <f>ROUND(U380*I380,2)</f>
        <v>2273.3200000000002</v>
      </c>
      <c r="W380" s="200"/>
      <c r="X380" s="200"/>
      <c r="Y380" s="200"/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0"/>
      <c r="AP380" s="200"/>
      <c r="AQ380" s="200"/>
      <c r="AR380" s="200"/>
      <c r="AS380" s="200"/>
      <c r="AT380" s="200"/>
      <c r="AU380" s="200"/>
      <c r="AV380" s="200"/>
      <c r="AW380" s="200"/>
      <c r="AX380" s="200"/>
      <c r="BY380" s="132" t="s">
        <v>1</v>
      </c>
      <c r="BZ380" s="133" t="s">
        <v>40</v>
      </c>
      <c r="CB380" s="134">
        <f>CA380*H380</f>
        <v>0</v>
      </c>
      <c r="CC380" s="134">
        <v>0.108</v>
      </c>
      <c r="CD380" s="134">
        <f>CC380*H380</f>
        <v>0.216</v>
      </c>
      <c r="CE380" s="134">
        <v>0</v>
      </c>
      <c r="CF380" s="135">
        <f>CE380*H380</f>
        <v>0</v>
      </c>
      <c r="DD380" s="136" t="s">
        <v>95</v>
      </c>
      <c r="DF380" s="136" t="s">
        <v>284</v>
      </c>
      <c r="DG380" s="136" t="s">
        <v>83</v>
      </c>
      <c r="DK380" s="16" t="s">
        <v>282</v>
      </c>
      <c r="DQ380" s="137">
        <f>IF(BZ380="základní",J380,0)</f>
        <v>2273.3200000000002</v>
      </c>
      <c r="DR380" s="137">
        <f>IF(BZ380="snížená",J380,0)</f>
        <v>0</v>
      </c>
      <c r="DS380" s="137">
        <f>IF(BZ380="zákl. přenesená",J380,0)</f>
        <v>0</v>
      </c>
      <c r="DT380" s="137">
        <f>IF(BZ380="sníž. přenesená",J380,0)</f>
        <v>0</v>
      </c>
      <c r="DU380" s="137">
        <f>IF(BZ380="nulová",J380,0)</f>
        <v>0</v>
      </c>
      <c r="DV380" s="16" t="s">
        <v>81</v>
      </c>
      <c r="DW380" s="137">
        <f>ROUND(I380*H380,2)</f>
        <v>2273.3200000000002</v>
      </c>
      <c r="DX380" s="16" t="s">
        <v>95</v>
      </c>
      <c r="DY380" s="136" t="s">
        <v>2535</v>
      </c>
    </row>
    <row r="381" spans="2:129" s="1" customFormat="1" ht="19.5" x14ac:dyDescent="0.2">
      <c r="B381" s="31"/>
      <c r="D381" s="138" t="s">
        <v>289</v>
      </c>
      <c r="F381" s="139" t="s">
        <v>2534</v>
      </c>
      <c r="I381" s="140"/>
      <c r="L381" s="31"/>
      <c r="N381" s="213"/>
      <c r="O381" s="214"/>
      <c r="Q381" s="229"/>
      <c r="BY381" s="141"/>
      <c r="CF381" s="50"/>
      <c r="DF381" s="16" t="s">
        <v>289</v>
      </c>
      <c r="DG381" s="16" t="s">
        <v>83</v>
      </c>
    </row>
    <row r="382" spans="2:129" s="1" customFormat="1" ht="29.25" x14ac:dyDescent="0.2">
      <c r="B382" s="31"/>
      <c r="D382" s="138" t="s">
        <v>299</v>
      </c>
      <c r="F382" s="142" t="s">
        <v>2431</v>
      </c>
      <c r="I382" s="140"/>
      <c r="L382" s="31"/>
      <c r="N382" s="213"/>
      <c r="O382" s="214"/>
      <c r="Q382" s="229"/>
      <c r="BY382" s="141"/>
      <c r="CF382" s="50"/>
      <c r="DF382" s="16" t="s">
        <v>299</v>
      </c>
      <c r="DG382" s="16" t="s">
        <v>83</v>
      </c>
    </row>
    <row r="383" spans="2:129" s="11" customFormat="1" x14ac:dyDescent="0.2">
      <c r="B383" s="143"/>
      <c r="D383" s="138" t="s">
        <v>301</v>
      </c>
      <c r="E383" s="144" t="s">
        <v>1</v>
      </c>
      <c r="F383" s="145" t="s">
        <v>2536</v>
      </c>
      <c r="H383" s="144" t="s">
        <v>1</v>
      </c>
      <c r="I383" s="146"/>
      <c r="L383" s="143"/>
      <c r="N383" s="215"/>
      <c r="O383" s="216"/>
      <c r="Q383" s="230"/>
      <c r="BY383" s="147"/>
      <c r="CF383" s="148"/>
      <c r="DF383" s="144" t="s">
        <v>301</v>
      </c>
      <c r="DG383" s="144" t="s">
        <v>83</v>
      </c>
      <c r="DH383" s="11" t="s">
        <v>81</v>
      </c>
      <c r="DI383" s="11" t="s">
        <v>32</v>
      </c>
      <c r="DJ383" s="11" t="s">
        <v>74</v>
      </c>
      <c r="DK383" s="144" t="s">
        <v>282</v>
      </c>
    </row>
    <row r="384" spans="2:129" s="12" customFormat="1" x14ac:dyDescent="0.2">
      <c r="B384" s="149"/>
      <c r="D384" s="138" t="s">
        <v>301</v>
      </c>
      <c r="E384" s="150" t="s">
        <v>1</v>
      </c>
      <c r="F384" s="151" t="s">
        <v>83</v>
      </c>
      <c r="H384" s="152">
        <v>2</v>
      </c>
      <c r="I384" s="153"/>
      <c r="L384" s="149"/>
      <c r="N384" s="217"/>
      <c r="O384" s="218"/>
      <c r="Q384" s="231"/>
      <c r="BY384" s="154"/>
      <c r="CF384" s="155"/>
      <c r="DF384" s="150" t="s">
        <v>301</v>
      </c>
      <c r="DG384" s="150" t="s">
        <v>83</v>
      </c>
      <c r="DH384" s="12" t="s">
        <v>83</v>
      </c>
      <c r="DI384" s="12" t="s">
        <v>32</v>
      </c>
      <c r="DJ384" s="12" t="s">
        <v>81</v>
      </c>
      <c r="DK384" s="150" t="s">
        <v>282</v>
      </c>
    </row>
    <row r="385" spans="2:129" s="1" customFormat="1" ht="14.45" customHeight="1" x14ac:dyDescent="0.2">
      <c r="B385" s="124"/>
      <c r="C385" s="170" t="s">
        <v>572</v>
      </c>
      <c r="D385" s="170" t="s">
        <v>439</v>
      </c>
      <c r="E385" s="171" t="s">
        <v>2537</v>
      </c>
      <c r="F385" s="172" t="s">
        <v>2538</v>
      </c>
      <c r="G385" s="173" t="s">
        <v>485</v>
      </c>
      <c r="H385" s="174">
        <v>2</v>
      </c>
      <c r="I385" s="175">
        <v>2377.511407</v>
      </c>
      <c r="J385" s="176">
        <f>ROUND(I385*H385,2)</f>
        <v>4755.0200000000004</v>
      </c>
      <c r="K385" s="172" t="s">
        <v>293</v>
      </c>
      <c r="L385" s="198">
        <f>S385</f>
        <v>0</v>
      </c>
      <c r="M385" s="206">
        <f>ROUND(L385*I385,2)</f>
        <v>0</v>
      </c>
      <c r="N385" s="211"/>
      <c r="O385" s="212">
        <f>ROUND(N385*I385,2)</f>
        <v>0</v>
      </c>
      <c r="P385" s="207">
        <f>H385-L385-N385</f>
        <v>2</v>
      </c>
      <c r="Q385" s="228">
        <f>ROUND(P385*I385,2)</f>
        <v>4755.0200000000004</v>
      </c>
      <c r="R385" s="199"/>
      <c r="S385" s="200">
        <f>W385+Y385+AA385+AC385+AE385+AG385+AI385+AK385+AM385+AO385+AQ385+AS385+AU385+AW385</f>
        <v>0</v>
      </c>
      <c r="T385" s="200">
        <f>ROUND(S385*I385,2)</f>
        <v>0</v>
      </c>
      <c r="U385" s="200">
        <f>H385-S385</f>
        <v>2</v>
      </c>
      <c r="V385" s="200">
        <f>ROUND(U385*I385,2)</f>
        <v>4755.0200000000004</v>
      </c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77" t="s">
        <v>1</v>
      </c>
      <c r="BZ385" s="178" t="s">
        <v>40</v>
      </c>
      <c r="CB385" s="134">
        <f>CA385*H385</f>
        <v>0</v>
      </c>
      <c r="CC385" s="134">
        <v>0.75</v>
      </c>
      <c r="CD385" s="134">
        <f>CC385*H385</f>
        <v>1.5</v>
      </c>
      <c r="CE385" s="134">
        <v>0</v>
      </c>
      <c r="CF385" s="135">
        <f>CE385*H385</f>
        <v>0</v>
      </c>
      <c r="DD385" s="136" t="s">
        <v>328</v>
      </c>
      <c r="DF385" s="136" t="s">
        <v>439</v>
      </c>
      <c r="DG385" s="136" t="s">
        <v>83</v>
      </c>
      <c r="DK385" s="16" t="s">
        <v>282</v>
      </c>
      <c r="DQ385" s="137">
        <f>IF(BZ385="základní",J385,0)</f>
        <v>4755.0200000000004</v>
      </c>
      <c r="DR385" s="137">
        <f>IF(BZ385="snížená",J385,0)</f>
        <v>0</v>
      </c>
      <c r="DS385" s="137">
        <f>IF(BZ385="zákl. přenesená",J385,0)</f>
        <v>0</v>
      </c>
      <c r="DT385" s="137">
        <f>IF(BZ385="sníž. přenesená",J385,0)</f>
        <v>0</v>
      </c>
      <c r="DU385" s="137">
        <f>IF(BZ385="nulová",J385,0)</f>
        <v>0</v>
      </c>
      <c r="DV385" s="16" t="s">
        <v>81</v>
      </c>
      <c r="DW385" s="137">
        <f>ROUND(I385*H385,2)</f>
        <v>4755.0200000000004</v>
      </c>
      <c r="DX385" s="16" t="s">
        <v>95</v>
      </c>
      <c r="DY385" s="136" t="s">
        <v>2539</v>
      </c>
    </row>
    <row r="386" spans="2:129" s="1" customFormat="1" x14ac:dyDescent="0.2">
      <c r="B386" s="31"/>
      <c r="D386" s="138" t="s">
        <v>289</v>
      </c>
      <c r="F386" s="139" t="s">
        <v>2538</v>
      </c>
      <c r="I386" s="140"/>
      <c r="L386" s="31"/>
      <c r="N386" s="213"/>
      <c r="O386" s="214"/>
      <c r="Q386" s="229"/>
      <c r="BY386" s="141"/>
      <c r="CF386" s="50"/>
      <c r="DF386" s="16" t="s">
        <v>289</v>
      </c>
      <c r="DG386" s="16" t="s">
        <v>83</v>
      </c>
    </row>
    <row r="387" spans="2:129" s="1" customFormat="1" ht="24.2" customHeight="1" x14ac:dyDescent="0.2">
      <c r="B387" s="124"/>
      <c r="C387" s="125" t="s">
        <v>576</v>
      </c>
      <c r="D387" s="125" t="s">
        <v>284</v>
      </c>
      <c r="E387" s="126" t="s">
        <v>1917</v>
      </c>
      <c r="F387" s="127" t="s">
        <v>1918</v>
      </c>
      <c r="G387" s="128" t="s">
        <v>418</v>
      </c>
      <c r="H387" s="129">
        <v>5.7</v>
      </c>
      <c r="I387" s="130">
        <v>14007.670050412982</v>
      </c>
      <c r="J387" s="131">
        <f>ROUND(I387*H387,2)</f>
        <v>79843.72</v>
      </c>
      <c r="K387" s="127" t="s">
        <v>293</v>
      </c>
      <c r="L387" s="198">
        <f>S387</f>
        <v>0</v>
      </c>
      <c r="M387" s="206">
        <f>ROUND(L387*I387,2)</f>
        <v>0</v>
      </c>
      <c r="N387" s="211"/>
      <c r="O387" s="212">
        <f>ROUND(N387*I387,2)</f>
        <v>0</v>
      </c>
      <c r="P387" s="207">
        <f>H387-L387-N387</f>
        <v>5.7</v>
      </c>
      <c r="Q387" s="228">
        <f>ROUND(P387*I387,2)</f>
        <v>79843.72</v>
      </c>
      <c r="R387" s="199"/>
      <c r="S387" s="200">
        <f>W387+Y387+AA387+AC387+AE387+AG387+AI387+AK387+AM387+AO387+AQ387+AS387+AU387+AW387</f>
        <v>0</v>
      </c>
      <c r="T387" s="200">
        <f>ROUND(S387*I387,2)</f>
        <v>0</v>
      </c>
      <c r="U387" s="200">
        <f>H387-S387</f>
        <v>5.7</v>
      </c>
      <c r="V387" s="200">
        <f>ROUND(U387*I387,2)</f>
        <v>79843.72</v>
      </c>
      <c r="W387" s="200"/>
      <c r="X387" s="200"/>
      <c r="Y387" s="200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0"/>
      <c r="AP387" s="200"/>
      <c r="AQ387" s="200"/>
      <c r="AR387" s="200"/>
      <c r="AS387" s="200"/>
      <c r="AT387" s="200"/>
      <c r="AU387" s="200"/>
      <c r="AV387" s="200"/>
      <c r="AW387" s="200"/>
      <c r="AX387" s="200"/>
      <c r="BY387" s="132" t="s">
        <v>1</v>
      </c>
      <c r="BZ387" s="133" t="s">
        <v>40</v>
      </c>
      <c r="CB387" s="134">
        <f>CA387*H387</f>
        <v>0</v>
      </c>
      <c r="CC387" s="134">
        <v>9.9510000000000001E-2</v>
      </c>
      <c r="CD387" s="134">
        <f>CC387*H387</f>
        <v>0.56720700000000002</v>
      </c>
      <c r="CE387" s="134">
        <v>0</v>
      </c>
      <c r="CF387" s="135">
        <f>CE387*H387</f>
        <v>0</v>
      </c>
      <c r="DD387" s="136" t="s">
        <v>95</v>
      </c>
      <c r="DF387" s="136" t="s">
        <v>284</v>
      </c>
      <c r="DG387" s="136" t="s">
        <v>83</v>
      </c>
      <c r="DK387" s="16" t="s">
        <v>282</v>
      </c>
      <c r="DQ387" s="137">
        <f>IF(BZ387="základní",J387,0)</f>
        <v>79843.72</v>
      </c>
      <c r="DR387" s="137">
        <f>IF(BZ387="snížená",J387,0)</f>
        <v>0</v>
      </c>
      <c r="DS387" s="137">
        <f>IF(BZ387="zákl. přenesená",J387,0)</f>
        <v>0</v>
      </c>
      <c r="DT387" s="137">
        <f>IF(BZ387="sníž. přenesená",J387,0)</f>
        <v>0</v>
      </c>
      <c r="DU387" s="137">
        <f>IF(BZ387="nulová",J387,0)</f>
        <v>0</v>
      </c>
      <c r="DV387" s="16" t="s">
        <v>81</v>
      </c>
      <c r="DW387" s="137">
        <f>ROUND(I387*H387,2)</f>
        <v>79843.72</v>
      </c>
      <c r="DX387" s="16" t="s">
        <v>95</v>
      </c>
      <c r="DY387" s="136" t="s">
        <v>2540</v>
      </c>
    </row>
    <row r="388" spans="2:129" s="1" customFormat="1" ht="19.5" x14ac:dyDescent="0.2">
      <c r="B388" s="31"/>
      <c r="D388" s="138" t="s">
        <v>289</v>
      </c>
      <c r="F388" s="139" t="s">
        <v>1920</v>
      </c>
      <c r="I388" s="140"/>
      <c r="L388" s="31"/>
      <c r="N388" s="213"/>
      <c r="O388" s="214"/>
      <c r="Q388" s="229"/>
      <c r="BY388" s="141"/>
      <c r="CF388" s="50"/>
      <c r="DF388" s="16" t="s">
        <v>289</v>
      </c>
      <c r="DG388" s="16" t="s">
        <v>83</v>
      </c>
    </row>
    <row r="389" spans="2:129" s="1" customFormat="1" ht="29.25" x14ac:dyDescent="0.2">
      <c r="B389" s="31"/>
      <c r="D389" s="138" t="s">
        <v>299</v>
      </c>
      <c r="F389" s="142" t="s">
        <v>2431</v>
      </c>
      <c r="I389" s="140"/>
      <c r="L389" s="31"/>
      <c r="N389" s="213"/>
      <c r="O389" s="214"/>
      <c r="Q389" s="229"/>
      <c r="BY389" s="141"/>
      <c r="CF389" s="50"/>
      <c r="DF389" s="16" t="s">
        <v>299</v>
      </c>
      <c r="DG389" s="16" t="s">
        <v>83</v>
      </c>
    </row>
    <row r="390" spans="2:129" s="11" customFormat="1" x14ac:dyDescent="0.2">
      <c r="B390" s="143"/>
      <c r="D390" s="138" t="s">
        <v>301</v>
      </c>
      <c r="E390" s="144" t="s">
        <v>1</v>
      </c>
      <c r="F390" s="145" t="s">
        <v>2439</v>
      </c>
      <c r="H390" s="144" t="s">
        <v>1</v>
      </c>
      <c r="I390" s="146"/>
      <c r="L390" s="143"/>
      <c r="N390" s="215"/>
      <c r="O390" s="216"/>
      <c r="Q390" s="230"/>
      <c r="BY390" s="147"/>
      <c r="CF390" s="148"/>
      <c r="DF390" s="144" t="s">
        <v>301</v>
      </c>
      <c r="DG390" s="144" t="s">
        <v>83</v>
      </c>
      <c r="DH390" s="11" t="s">
        <v>81</v>
      </c>
      <c r="DI390" s="11" t="s">
        <v>32</v>
      </c>
      <c r="DJ390" s="11" t="s">
        <v>74</v>
      </c>
      <c r="DK390" s="144" t="s">
        <v>282</v>
      </c>
    </row>
    <row r="391" spans="2:129" s="12" customFormat="1" x14ac:dyDescent="0.2">
      <c r="B391" s="149"/>
      <c r="D391" s="138" t="s">
        <v>301</v>
      </c>
      <c r="E391" s="150" t="s">
        <v>1</v>
      </c>
      <c r="F391" s="151" t="s">
        <v>2541</v>
      </c>
      <c r="H391" s="152">
        <v>5.7</v>
      </c>
      <c r="I391" s="153"/>
      <c r="L391" s="149"/>
      <c r="N391" s="217"/>
      <c r="O391" s="218"/>
      <c r="Q391" s="231"/>
      <c r="BY391" s="154"/>
      <c r="CF391" s="155"/>
      <c r="DF391" s="150" t="s">
        <v>301</v>
      </c>
      <c r="DG391" s="150" t="s">
        <v>83</v>
      </c>
      <c r="DH391" s="12" t="s">
        <v>83</v>
      </c>
      <c r="DI391" s="12" t="s">
        <v>32</v>
      </c>
      <c r="DJ391" s="12" t="s">
        <v>81</v>
      </c>
      <c r="DK391" s="150" t="s">
        <v>282</v>
      </c>
    </row>
    <row r="392" spans="2:129" s="1" customFormat="1" ht="14.45" customHeight="1" x14ac:dyDescent="0.2">
      <c r="B392" s="124"/>
      <c r="C392" s="170" t="s">
        <v>581</v>
      </c>
      <c r="D392" s="170" t="s">
        <v>439</v>
      </c>
      <c r="E392" s="171" t="s">
        <v>1922</v>
      </c>
      <c r="F392" s="172" t="s">
        <v>1923</v>
      </c>
      <c r="G392" s="173" t="s">
        <v>418</v>
      </c>
      <c r="H392" s="174">
        <v>5.7</v>
      </c>
      <c r="I392" s="175">
        <v>24248.72192</v>
      </c>
      <c r="J392" s="176">
        <f>ROUND(I392*H392,2)</f>
        <v>138217.71</v>
      </c>
      <c r="K392" s="172" t="s">
        <v>293</v>
      </c>
      <c r="L392" s="198">
        <f>S392</f>
        <v>0</v>
      </c>
      <c r="M392" s="206">
        <f>ROUND(L392*I392,2)</f>
        <v>0</v>
      </c>
      <c r="N392" s="211"/>
      <c r="O392" s="212">
        <f>ROUND(N392*I392,2)</f>
        <v>0</v>
      </c>
      <c r="P392" s="207">
        <f>H392-L392-N392</f>
        <v>5.7</v>
      </c>
      <c r="Q392" s="228">
        <f>ROUND(P392*I392,2)</f>
        <v>138217.71</v>
      </c>
      <c r="R392" s="199"/>
      <c r="S392" s="200">
        <f>W392+Y392+AA392+AC392+AE392+AG392+AI392+AK392+AM392+AO392+AQ392+AS392+AU392+AW392</f>
        <v>0</v>
      </c>
      <c r="T392" s="200">
        <f>ROUND(S392*I392,2)</f>
        <v>0</v>
      </c>
      <c r="U392" s="200">
        <f>H392-S392</f>
        <v>5.7</v>
      </c>
      <c r="V392" s="200">
        <f>ROUND(U392*I392,2)</f>
        <v>138217.71</v>
      </c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77" t="s">
        <v>1</v>
      </c>
      <c r="BZ392" s="178" t="s">
        <v>40</v>
      </c>
      <c r="CB392" s="134">
        <f>CA392*H392</f>
        <v>0</v>
      </c>
      <c r="CC392" s="134">
        <v>1</v>
      </c>
      <c r="CD392" s="134">
        <f>CC392*H392</f>
        <v>5.7</v>
      </c>
      <c r="CE392" s="134">
        <v>0</v>
      </c>
      <c r="CF392" s="135">
        <f>CE392*H392</f>
        <v>0</v>
      </c>
      <c r="DD392" s="136" t="s">
        <v>328</v>
      </c>
      <c r="DF392" s="136" t="s">
        <v>439</v>
      </c>
      <c r="DG392" s="136" t="s">
        <v>83</v>
      </c>
      <c r="DK392" s="16" t="s">
        <v>282</v>
      </c>
      <c r="DQ392" s="137">
        <f>IF(BZ392="základní",J392,0)</f>
        <v>138217.71</v>
      </c>
      <c r="DR392" s="137">
        <f>IF(BZ392="snížená",J392,0)</f>
        <v>0</v>
      </c>
      <c r="DS392" s="137">
        <f>IF(BZ392="zákl. přenesená",J392,0)</f>
        <v>0</v>
      </c>
      <c r="DT392" s="137">
        <f>IF(BZ392="sníž. přenesená",J392,0)</f>
        <v>0</v>
      </c>
      <c r="DU392" s="137">
        <f>IF(BZ392="nulová",J392,0)</f>
        <v>0</v>
      </c>
      <c r="DV392" s="16" t="s">
        <v>81</v>
      </c>
      <c r="DW392" s="137">
        <f>ROUND(I392*H392,2)</f>
        <v>138217.71</v>
      </c>
      <c r="DX392" s="16" t="s">
        <v>95</v>
      </c>
      <c r="DY392" s="136" t="s">
        <v>2542</v>
      </c>
    </row>
    <row r="393" spans="2:129" s="1" customFormat="1" x14ac:dyDescent="0.2">
      <c r="B393" s="31"/>
      <c r="D393" s="138" t="s">
        <v>289</v>
      </c>
      <c r="F393" s="139" t="s">
        <v>1923</v>
      </c>
      <c r="I393" s="140"/>
      <c r="L393" s="31"/>
      <c r="N393" s="213"/>
      <c r="O393" s="214"/>
      <c r="Q393" s="229"/>
      <c r="BY393" s="141"/>
      <c r="CF393" s="50"/>
      <c r="DF393" s="16" t="s">
        <v>289</v>
      </c>
      <c r="DG393" s="16" t="s">
        <v>83</v>
      </c>
    </row>
    <row r="394" spans="2:129" s="1" customFormat="1" ht="24.2" customHeight="1" x14ac:dyDescent="0.2">
      <c r="B394" s="124"/>
      <c r="C394" s="125" t="s">
        <v>589</v>
      </c>
      <c r="D394" s="125" t="s">
        <v>284</v>
      </c>
      <c r="E394" s="126" t="s">
        <v>1925</v>
      </c>
      <c r="F394" s="127" t="s">
        <v>1926</v>
      </c>
      <c r="G394" s="128" t="s">
        <v>418</v>
      </c>
      <c r="H394" s="129">
        <v>5.7</v>
      </c>
      <c r="I394" s="130">
        <v>3942.1989558198643</v>
      </c>
      <c r="J394" s="131">
        <f>ROUND(I394*H394,2)</f>
        <v>22470.53</v>
      </c>
      <c r="K394" s="127" t="s">
        <v>293</v>
      </c>
      <c r="L394" s="198">
        <f>S394</f>
        <v>0</v>
      </c>
      <c r="M394" s="206">
        <f>ROUND(L394*I394,2)</f>
        <v>0</v>
      </c>
      <c r="N394" s="211"/>
      <c r="O394" s="212">
        <f>ROUND(N394*I394,2)</f>
        <v>0</v>
      </c>
      <c r="P394" s="207">
        <f>H394-L394-N394</f>
        <v>5.7</v>
      </c>
      <c r="Q394" s="228">
        <f>ROUND(P394*I394,2)</f>
        <v>22470.53</v>
      </c>
      <c r="R394" s="199"/>
      <c r="S394" s="200">
        <f>W394+Y394+AA394+AC394+AE394+AG394+AI394+AK394+AM394+AO394+AQ394+AS394+AU394+AW394</f>
        <v>0</v>
      </c>
      <c r="T394" s="200">
        <f>ROUND(S394*I394,2)</f>
        <v>0</v>
      </c>
      <c r="U394" s="200">
        <f>H394-S394</f>
        <v>5.7</v>
      </c>
      <c r="V394" s="200">
        <f>ROUND(U394*I394,2)</f>
        <v>22470.53</v>
      </c>
      <c r="W394" s="200"/>
      <c r="X394" s="200"/>
      <c r="Y394" s="200"/>
      <c r="Z394" s="200"/>
      <c r="AA394" s="200"/>
      <c r="AB394" s="200"/>
      <c r="AC394" s="200"/>
      <c r="AD394" s="200"/>
      <c r="AE394" s="200"/>
      <c r="AF394" s="200"/>
      <c r="AG394" s="200"/>
      <c r="AH394" s="200"/>
      <c r="AI394" s="200"/>
      <c r="AJ394" s="200"/>
      <c r="AK394" s="200"/>
      <c r="AL394" s="200"/>
      <c r="AM394" s="200"/>
      <c r="AN394" s="200"/>
      <c r="AO394" s="200"/>
      <c r="AP394" s="200"/>
      <c r="AQ394" s="200"/>
      <c r="AR394" s="200"/>
      <c r="AS394" s="200"/>
      <c r="AT394" s="200"/>
      <c r="AU394" s="200"/>
      <c r="AV394" s="200"/>
      <c r="AW394" s="200"/>
      <c r="AX394" s="200"/>
      <c r="BY394" s="132" t="s">
        <v>1</v>
      </c>
      <c r="BZ394" s="133" t="s">
        <v>40</v>
      </c>
      <c r="CB394" s="134">
        <f>CA394*H394</f>
        <v>0</v>
      </c>
      <c r="CC394" s="134">
        <v>0</v>
      </c>
      <c r="CD394" s="134">
        <f>CC394*H394</f>
        <v>0</v>
      </c>
      <c r="CE394" s="134">
        <v>0</v>
      </c>
      <c r="CF394" s="135">
        <f>CE394*H394</f>
        <v>0</v>
      </c>
      <c r="DD394" s="136" t="s">
        <v>95</v>
      </c>
      <c r="DF394" s="136" t="s">
        <v>284</v>
      </c>
      <c r="DG394" s="136" t="s">
        <v>83</v>
      </c>
      <c r="DK394" s="16" t="s">
        <v>282</v>
      </c>
      <c r="DQ394" s="137">
        <f>IF(BZ394="základní",J394,0)</f>
        <v>22470.53</v>
      </c>
      <c r="DR394" s="137">
        <f>IF(BZ394="snížená",J394,0)</f>
        <v>0</v>
      </c>
      <c r="DS394" s="137">
        <f>IF(BZ394="zákl. přenesená",J394,0)</f>
        <v>0</v>
      </c>
      <c r="DT394" s="137">
        <f>IF(BZ394="sníž. přenesená",J394,0)</f>
        <v>0</v>
      </c>
      <c r="DU394" s="137">
        <f>IF(BZ394="nulová",J394,0)</f>
        <v>0</v>
      </c>
      <c r="DV394" s="16" t="s">
        <v>81</v>
      </c>
      <c r="DW394" s="137">
        <f>ROUND(I394*H394,2)</f>
        <v>22470.53</v>
      </c>
      <c r="DX394" s="16" t="s">
        <v>95</v>
      </c>
      <c r="DY394" s="136" t="s">
        <v>2543</v>
      </c>
    </row>
    <row r="395" spans="2:129" s="1" customFormat="1" ht="19.5" x14ac:dyDescent="0.2">
      <c r="B395" s="31"/>
      <c r="D395" s="138" t="s">
        <v>289</v>
      </c>
      <c r="F395" s="139" t="s">
        <v>1928</v>
      </c>
      <c r="I395" s="140"/>
      <c r="L395" s="31"/>
      <c r="N395" s="213"/>
      <c r="O395" s="214"/>
      <c r="Q395" s="229"/>
      <c r="BY395" s="141"/>
      <c r="CF395" s="50"/>
      <c r="DF395" s="16" t="s">
        <v>289</v>
      </c>
      <c r="DG395" s="16" t="s">
        <v>83</v>
      </c>
    </row>
    <row r="396" spans="2:129" s="10" customFormat="1" ht="22.9" customHeight="1" x14ac:dyDescent="0.2">
      <c r="B396" s="112"/>
      <c r="D396" s="113" t="s">
        <v>73</v>
      </c>
      <c r="E396" s="122" t="s">
        <v>95</v>
      </c>
      <c r="F396" s="122" t="s">
        <v>469</v>
      </c>
      <c r="I396" s="115"/>
      <c r="J396" s="123">
        <f>DW396</f>
        <v>51731.92</v>
      </c>
      <c r="L396" s="112"/>
      <c r="M396" s="202">
        <f>SUM(M397:M420)</f>
        <v>0</v>
      </c>
      <c r="N396" s="223"/>
      <c r="O396" s="224">
        <f t="shared" ref="O396:V396" si="4">SUM(O397:O420)</f>
        <v>266.8</v>
      </c>
      <c r="P396" s="202"/>
      <c r="Q396" s="234">
        <f t="shared" si="4"/>
        <v>51465.119999999995</v>
      </c>
      <c r="R396" s="202"/>
      <c r="S396" s="202"/>
      <c r="T396" s="202">
        <f t="shared" si="4"/>
        <v>0</v>
      </c>
      <c r="U396" s="202"/>
      <c r="V396" s="202">
        <f t="shared" si="4"/>
        <v>51731.92</v>
      </c>
      <c r="BY396" s="117"/>
      <c r="CB396" s="118">
        <f>SUM(CB397:CB423)</f>
        <v>0</v>
      </c>
      <c r="CD396" s="118">
        <f>SUM(CD397:CD423)</f>
        <v>8.7599999999999997E-2</v>
      </c>
      <c r="CF396" s="119">
        <f>SUM(CF397:CF423)</f>
        <v>0</v>
      </c>
      <c r="DD396" s="113" t="s">
        <v>81</v>
      </c>
      <c r="DF396" s="120" t="s">
        <v>73</v>
      </c>
      <c r="DG396" s="120" t="s">
        <v>81</v>
      </c>
      <c r="DK396" s="113" t="s">
        <v>282</v>
      </c>
      <c r="DW396" s="121">
        <f>SUM(DW397:DW423)</f>
        <v>51731.92</v>
      </c>
    </row>
    <row r="397" spans="2:129" s="1" customFormat="1" ht="14.45" customHeight="1" x14ac:dyDescent="0.2">
      <c r="B397" s="124"/>
      <c r="C397" s="125" t="s">
        <v>594</v>
      </c>
      <c r="D397" s="125" t="s">
        <v>284</v>
      </c>
      <c r="E397" s="126" t="s">
        <v>471</v>
      </c>
      <c r="F397" s="127" t="s">
        <v>472</v>
      </c>
      <c r="G397" s="128" t="s">
        <v>366</v>
      </c>
      <c r="H397" s="129">
        <v>37.844999999999999</v>
      </c>
      <c r="I397" s="130">
        <v>1200.17173250368</v>
      </c>
      <c r="J397" s="131">
        <f>ROUND(I397*H397,2)</f>
        <v>45420.5</v>
      </c>
      <c r="K397" s="127" t="s">
        <v>293</v>
      </c>
      <c r="L397" s="198">
        <f>S397</f>
        <v>0</v>
      </c>
      <c r="M397" s="206">
        <f>ROUND(L397*I397,2)</f>
        <v>0</v>
      </c>
      <c r="N397" s="211">
        <f>N403</f>
        <v>0.22230000000000416</v>
      </c>
      <c r="O397" s="212">
        <f>ROUND(N397*I397,2)</f>
        <v>266.8</v>
      </c>
      <c r="P397" s="207">
        <f>H397-L397-N397</f>
        <v>37.622699999999995</v>
      </c>
      <c r="Q397" s="228">
        <f>ROUND(P397*I397,2)</f>
        <v>45153.7</v>
      </c>
      <c r="R397" s="199"/>
      <c r="S397" s="200">
        <f>W397+Y397+AA397+AC397+AE397+AG397+AI397+AK397+AM397+AO397+AQ397+AS397+AU397+AW397</f>
        <v>0</v>
      </c>
      <c r="T397" s="200">
        <f>ROUND(S397*I397,2)</f>
        <v>0</v>
      </c>
      <c r="U397" s="200">
        <f>H397-S397</f>
        <v>37.844999999999999</v>
      </c>
      <c r="V397" s="200">
        <f>ROUND(U397*I397,2)</f>
        <v>45420.5</v>
      </c>
      <c r="W397" s="200"/>
      <c r="X397" s="200"/>
      <c r="Y397" s="200"/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0"/>
      <c r="AP397" s="200"/>
      <c r="AQ397" s="200"/>
      <c r="AR397" s="200"/>
      <c r="AS397" s="200"/>
      <c r="AT397" s="200"/>
      <c r="AU397" s="200"/>
      <c r="AV397" s="200"/>
      <c r="AW397" s="200"/>
      <c r="AX397" s="200"/>
      <c r="BY397" s="132" t="s">
        <v>1</v>
      </c>
      <c r="BZ397" s="133" t="s">
        <v>40</v>
      </c>
      <c r="CB397" s="134">
        <f>CA397*H397</f>
        <v>0</v>
      </c>
      <c r="CC397" s="134">
        <v>0</v>
      </c>
      <c r="CD397" s="134">
        <f>CC397*H397</f>
        <v>0</v>
      </c>
      <c r="CE397" s="134">
        <v>0</v>
      </c>
      <c r="CF397" s="135">
        <f>CE397*H397</f>
        <v>0</v>
      </c>
      <c r="DD397" s="136" t="s">
        <v>95</v>
      </c>
      <c r="DF397" s="136" t="s">
        <v>284</v>
      </c>
      <c r="DG397" s="136" t="s">
        <v>83</v>
      </c>
      <c r="DK397" s="16" t="s">
        <v>282</v>
      </c>
      <c r="DQ397" s="137">
        <f>IF(BZ397="základní",J397,0)</f>
        <v>45420.5</v>
      </c>
      <c r="DR397" s="137">
        <f>IF(BZ397="snížená",J397,0)</f>
        <v>0</v>
      </c>
      <c r="DS397" s="137">
        <f>IF(BZ397="zákl. přenesená",J397,0)</f>
        <v>0</v>
      </c>
      <c r="DT397" s="137">
        <f>IF(BZ397="sníž. přenesená",J397,0)</f>
        <v>0</v>
      </c>
      <c r="DU397" s="137">
        <f>IF(BZ397="nulová",J397,0)</f>
        <v>0</v>
      </c>
      <c r="DV397" s="16" t="s">
        <v>81</v>
      </c>
      <c r="DW397" s="137">
        <f>ROUND(I397*H397,2)</f>
        <v>45420.5</v>
      </c>
      <c r="DX397" s="16" t="s">
        <v>95</v>
      </c>
      <c r="DY397" s="136" t="s">
        <v>473</v>
      </c>
    </row>
    <row r="398" spans="2:129" s="1" customFormat="1" ht="19.5" x14ac:dyDescent="0.2">
      <c r="B398" s="31"/>
      <c r="D398" s="138" t="s">
        <v>289</v>
      </c>
      <c r="F398" s="139" t="s">
        <v>474</v>
      </c>
      <c r="I398" s="140"/>
      <c r="L398" s="31"/>
      <c r="N398" s="213"/>
      <c r="O398" s="214"/>
      <c r="Q398" s="229"/>
      <c r="BY398" s="141"/>
      <c r="CF398" s="50"/>
      <c r="DF398" s="16" t="s">
        <v>289</v>
      </c>
      <c r="DG398" s="16" t="s">
        <v>83</v>
      </c>
    </row>
    <row r="399" spans="2:129" s="1" customFormat="1" ht="29.25" x14ac:dyDescent="0.2">
      <c r="B399" s="31"/>
      <c r="D399" s="138" t="s">
        <v>299</v>
      </c>
      <c r="F399" s="142" t="s">
        <v>2431</v>
      </c>
      <c r="I399" s="140"/>
      <c r="L399" s="31"/>
      <c r="N399" s="213"/>
      <c r="O399" s="214"/>
      <c r="Q399" s="229"/>
      <c r="BY399" s="141"/>
      <c r="CF399" s="50"/>
      <c r="DF399" s="16" t="s">
        <v>299</v>
      </c>
      <c r="DG399" s="16" t="s">
        <v>83</v>
      </c>
    </row>
    <row r="400" spans="2:129" s="12" customFormat="1" x14ac:dyDescent="0.2">
      <c r="B400" s="149"/>
      <c r="D400" s="138" t="s">
        <v>301</v>
      </c>
      <c r="E400" s="150" t="s">
        <v>1</v>
      </c>
      <c r="F400" s="151" t="s">
        <v>2544</v>
      </c>
      <c r="H400" s="152">
        <v>37.53</v>
      </c>
      <c r="I400" s="153"/>
      <c r="L400" s="149"/>
      <c r="N400" s="217">
        <f>(517.19-97.72)*0.9*0.1</f>
        <v>37.752300000000005</v>
      </c>
      <c r="O400" s="218" t="s">
        <v>3603</v>
      </c>
      <c r="Q400" s="231"/>
      <c r="BY400" s="154"/>
      <c r="CF400" s="155"/>
      <c r="DF400" s="150" t="s">
        <v>301</v>
      </c>
      <c r="DG400" s="150" t="s">
        <v>83</v>
      </c>
      <c r="DH400" s="12" t="s">
        <v>83</v>
      </c>
      <c r="DI400" s="12" t="s">
        <v>32</v>
      </c>
      <c r="DJ400" s="12" t="s">
        <v>74</v>
      </c>
      <c r="DK400" s="150" t="s">
        <v>282</v>
      </c>
    </row>
    <row r="401" spans="2:129" s="12" customFormat="1" x14ac:dyDescent="0.2">
      <c r="B401" s="149"/>
      <c r="D401" s="138" t="s">
        <v>301</v>
      </c>
      <c r="E401" s="150" t="s">
        <v>1</v>
      </c>
      <c r="F401" s="151" t="s">
        <v>2545</v>
      </c>
      <c r="H401" s="152">
        <v>0.315</v>
      </c>
      <c r="I401" s="153"/>
      <c r="L401" s="149"/>
      <c r="N401" s="310">
        <f>H401</f>
        <v>0.315</v>
      </c>
      <c r="O401" s="218"/>
      <c r="Q401" s="231"/>
      <c r="BY401" s="154"/>
      <c r="CF401" s="155"/>
      <c r="DF401" s="150" t="s">
        <v>301</v>
      </c>
      <c r="DG401" s="150" t="s">
        <v>83</v>
      </c>
      <c r="DH401" s="12" t="s">
        <v>83</v>
      </c>
      <c r="DI401" s="12" t="s">
        <v>32</v>
      </c>
      <c r="DJ401" s="12" t="s">
        <v>74</v>
      </c>
      <c r="DK401" s="150" t="s">
        <v>282</v>
      </c>
    </row>
    <row r="402" spans="2:129" s="13" customFormat="1" x14ac:dyDescent="0.2">
      <c r="B402" s="156"/>
      <c r="D402" s="138" t="s">
        <v>301</v>
      </c>
      <c r="E402" s="157" t="s">
        <v>1</v>
      </c>
      <c r="F402" s="158" t="s">
        <v>305</v>
      </c>
      <c r="H402" s="159">
        <v>37.844999999999999</v>
      </c>
      <c r="I402" s="160"/>
      <c r="L402" s="156"/>
      <c r="N402" s="311">
        <f>N400+N401</f>
        <v>38.067300000000003</v>
      </c>
      <c r="O402" s="220"/>
      <c r="Q402" s="232"/>
      <c r="BY402" s="161"/>
      <c r="CF402" s="162"/>
      <c r="DF402" s="157" t="s">
        <v>301</v>
      </c>
      <c r="DG402" s="157" t="s">
        <v>83</v>
      </c>
      <c r="DH402" s="13" t="s">
        <v>95</v>
      </c>
      <c r="DI402" s="13" t="s">
        <v>32</v>
      </c>
      <c r="DJ402" s="13" t="s">
        <v>81</v>
      </c>
      <c r="DK402" s="157" t="s">
        <v>282</v>
      </c>
    </row>
    <row r="403" spans="2:129" s="13" customFormat="1" x14ac:dyDescent="0.2">
      <c r="B403" s="156"/>
      <c r="D403" s="138"/>
      <c r="E403" s="157"/>
      <c r="F403" s="158"/>
      <c r="H403" s="159"/>
      <c r="I403" s="160"/>
      <c r="L403" s="156"/>
      <c r="N403" s="311">
        <f>N402-H402</f>
        <v>0.22230000000000416</v>
      </c>
      <c r="O403" s="220"/>
      <c r="Q403" s="232"/>
      <c r="BY403" s="161"/>
      <c r="CF403" s="162"/>
      <c r="DF403" s="157"/>
      <c r="DG403" s="157"/>
      <c r="DK403" s="157"/>
    </row>
    <row r="404" spans="2:129" s="1" customFormat="1" ht="14.45" customHeight="1" x14ac:dyDescent="0.2">
      <c r="B404" s="124"/>
      <c r="C404" s="125" t="s">
        <v>599</v>
      </c>
      <c r="D404" s="125" t="s">
        <v>284</v>
      </c>
      <c r="E404" s="126" t="s">
        <v>477</v>
      </c>
      <c r="F404" s="127" t="s">
        <v>478</v>
      </c>
      <c r="G404" s="128" t="s">
        <v>366</v>
      </c>
      <c r="H404" s="129">
        <v>0.625</v>
      </c>
      <c r="I404" s="130">
        <v>1200.17173250368</v>
      </c>
      <c r="J404" s="131">
        <f>ROUND(I404*H404,2)</f>
        <v>750.11</v>
      </c>
      <c r="K404" s="127" t="s">
        <v>1</v>
      </c>
      <c r="L404" s="198">
        <f>S404</f>
        <v>0</v>
      </c>
      <c r="M404" s="206">
        <f>ROUND(L404*I404,2)</f>
        <v>0</v>
      </c>
      <c r="N404" s="211"/>
      <c r="O404" s="212">
        <f>ROUND(N404*I404,2)</f>
        <v>0</v>
      </c>
      <c r="P404" s="207">
        <f>H404-L404-N404</f>
        <v>0.625</v>
      </c>
      <c r="Q404" s="228">
        <f>ROUND(P404*I404,2)</f>
        <v>750.11</v>
      </c>
      <c r="R404" s="199"/>
      <c r="S404" s="200">
        <f>W404+Y404+AA404+AC404+AE404+AG404+AI404+AK404+AM404+AO404+AQ404+AS404+AU404+AW404</f>
        <v>0</v>
      </c>
      <c r="T404" s="200">
        <f>ROUND(S404*I404,2)</f>
        <v>0</v>
      </c>
      <c r="U404" s="200">
        <f>H404-S404</f>
        <v>0.625</v>
      </c>
      <c r="V404" s="200">
        <f>ROUND(U404*I404,2)</f>
        <v>750.11</v>
      </c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0"/>
      <c r="AP404" s="200"/>
      <c r="AQ404" s="200"/>
      <c r="AR404" s="200"/>
      <c r="AS404" s="200"/>
      <c r="AT404" s="200"/>
      <c r="AU404" s="200"/>
      <c r="AV404" s="200"/>
      <c r="AW404" s="200"/>
      <c r="AX404" s="200"/>
      <c r="BY404" s="132" t="s">
        <v>1</v>
      </c>
      <c r="BZ404" s="133" t="s">
        <v>40</v>
      </c>
      <c r="CB404" s="134">
        <f>CA404*H404</f>
        <v>0</v>
      </c>
      <c r="CC404" s="134">
        <v>0</v>
      </c>
      <c r="CD404" s="134">
        <f>CC404*H404</f>
        <v>0</v>
      </c>
      <c r="CE404" s="134">
        <v>0</v>
      </c>
      <c r="CF404" s="135">
        <f>CE404*H404</f>
        <v>0</v>
      </c>
      <c r="DD404" s="136" t="s">
        <v>95</v>
      </c>
      <c r="DF404" s="136" t="s">
        <v>284</v>
      </c>
      <c r="DG404" s="136" t="s">
        <v>83</v>
      </c>
      <c r="DK404" s="16" t="s">
        <v>282</v>
      </c>
      <c r="DQ404" s="137">
        <f>IF(BZ404="základní",J404,0)</f>
        <v>750.11</v>
      </c>
      <c r="DR404" s="137">
        <f>IF(BZ404="snížená",J404,0)</f>
        <v>0</v>
      </c>
      <c r="DS404" s="137">
        <f>IF(BZ404="zákl. přenesená",J404,0)</f>
        <v>0</v>
      </c>
      <c r="DT404" s="137">
        <f>IF(BZ404="sníž. přenesená",J404,0)</f>
        <v>0</v>
      </c>
      <c r="DU404" s="137">
        <f>IF(BZ404="nulová",J404,0)</f>
        <v>0</v>
      </c>
      <c r="DV404" s="16" t="s">
        <v>81</v>
      </c>
      <c r="DW404" s="137">
        <f>ROUND(I404*H404,2)</f>
        <v>750.11</v>
      </c>
      <c r="DX404" s="16" t="s">
        <v>95</v>
      </c>
      <c r="DY404" s="136" t="s">
        <v>2546</v>
      </c>
    </row>
    <row r="405" spans="2:129" s="1" customFormat="1" ht="19.5" x14ac:dyDescent="0.2">
      <c r="B405" s="31"/>
      <c r="D405" s="138" t="s">
        <v>289</v>
      </c>
      <c r="F405" s="139" t="s">
        <v>474</v>
      </c>
      <c r="I405" s="140"/>
      <c r="L405" s="31"/>
      <c r="N405" s="213"/>
      <c r="O405" s="214"/>
      <c r="Q405" s="229"/>
      <c r="BY405" s="141"/>
      <c r="CF405" s="50"/>
      <c r="DF405" s="16" t="s">
        <v>289</v>
      </c>
      <c r="DG405" s="16" t="s">
        <v>83</v>
      </c>
    </row>
    <row r="406" spans="2:129" s="1" customFormat="1" ht="29.25" x14ac:dyDescent="0.2">
      <c r="B406" s="31"/>
      <c r="D406" s="138" t="s">
        <v>299</v>
      </c>
      <c r="F406" s="142" t="s">
        <v>2431</v>
      </c>
      <c r="I406" s="140"/>
      <c r="L406" s="31"/>
      <c r="N406" s="213"/>
      <c r="O406" s="214"/>
      <c r="Q406" s="229"/>
      <c r="BY406" s="141"/>
      <c r="CF406" s="50"/>
      <c r="DF406" s="16" t="s">
        <v>299</v>
      </c>
      <c r="DG406" s="16" t="s">
        <v>83</v>
      </c>
    </row>
    <row r="407" spans="2:129" s="11" customFormat="1" x14ac:dyDescent="0.2">
      <c r="B407" s="143"/>
      <c r="D407" s="138" t="s">
        <v>301</v>
      </c>
      <c r="E407" s="144" t="s">
        <v>1</v>
      </c>
      <c r="F407" s="145" t="s">
        <v>765</v>
      </c>
      <c r="H407" s="144" t="s">
        <v>1</v>
      </c>
      <c r="I407" s="146"/>
      <c r="L407" s="143"/>
      <c r="N407" s="215"/>
      <c r="O407" s="216"/>
      <c r="Q407" s="230"/>
      <c r="BY407" s="147"/>
      <c r="CF407" s="148"/>
      <c r="DF407" s="144" t="s">
        <v>301</v>
      </c>
      <c r="DG407" s="144" t="s">
        <v>83</v>
      </c>
      <c r="DH407" s="11" t="s">
        <v>81</v>
      </c>
      <c r="DI407" s="11" t="s">
        <v>32</v>
      </c>
      <c r="DJ407" s="11" t="s">
        <v>74</v>
      </c>
      <c r="DK407" s="144" t="s">
        <v>282</v>
      </c>
    </row>
    <row r="408" spans="2:129" s="12" customFormat="1" x14ac:dyDescent="0.2">
      <c r="B408" s="149"/>
      <c r="D408" s="138" t="s">
        <v>301</v>
      </c>
      <c r="E408" s="150" t="s">
        <v>1</v>
      </c>
      <c r="F408" s="151" t="s">
        <v>2547</v>
      </c>
      <c r="H408" s="152">
        <v>0.625</v>
      </c>
      <c r="I408" s="153"/>
      <c r="L408" s="149"/>
      <c r="N408" s="217"/>
      <c r="O408" s="218"/>
      <c r="Q408" s="231"/>
      <c r="BY408" s="154"/>
      <c r="CF408" s="155"/>
      <c r="DF408" s="150" t="s">
        <v>301</v>
      </c>
      <c r="DG408" s="150" t="s">
        <v>83</v>
      </c>
      <c r="DH408" s="12" t="s">
        <v>83</v>
      </c>
      <c r="DI408" s="12" t="s">
        <v>32</v>
      </c>
      <c r="DJ408" s="12" t="s">
        <v>81</v>
      </c>
      <c r="DK408" s="150" t="s">
        <v>282</v>
      </c>
    </row>
    <row r="409" spans="2:129" s="1" customFormat="1" ht="14.45" customHeight="1" x14ac:dyDescent="0.2">
      <c r="B409" s="124"/>
      <c r="C409" s="125" t="s">
        <v>604</v>
      </c>
      <c r="D409" s="125" t="s">
        <v>284</v>
      </c>
      <c r="E409" s="126" t="s">
        <v>506</v>
      </c>
      <c r="F409" s="127" t="s">
        <v>507</v>
      </c>
      <c r="G409" s="128" t="s">
        <v>485</v>
      </c>
      <c r="H409" s="129">
        <v>1</v>
      </c>
      <c r="I409" s="130">
        <v>217.77896833494168</v>
      </c>
      <c r="J409" s="131">
        <f>ROUND(I409*H409,2)</f>
        <v>217.78</v>
      </c>
      <c r="K409" s="127" t="s">
        <v>293</v>
      </c>
      <c r="L409" s="198">
        <f>S409</f>
        <v>0</v>
      </c>
      <c r="M409" s="206">
        <f>ROUND(L409*I409,2)</f>
        <v>0</v>
      </c>
      <c r="N409" s="211"/>
      <c r="O409" s="212">
        <f>ROUND(N409*I409,2)</f>
        <v>0</v>
      </c>
      <c r="P409" s="207">
        <f>H409-L409-N409</f>
        <v>1</v>
      </c>
      <c r="Q409" s="228">
        <f>ROUND(P409*I409,2)</f>
        <v>217.78</v>
      </c>
      <c r="R409" s="199"/>
      <c r="S409" s="200">
        <f>W409+Y409+AA409+AC409+AE409+AG409+AI409+AK409+AM409+AO409+AQ409+AS409+AU409+AW409</f>
        <v>0</v>
      </c>
      <c r="T409" s="200">
        <f>ROUND(S409*I409,2)</f>
        <v>0</v>
      </c>
      <c r="U409" s="200">
        <f>H409-S409</f>
        <v>1</v>
      </c>
      <c r="V409" s="200">
        <f>ROUND(U409*I409,2)</f>
        <v>217.78</v>
      </c>
      <c r="W409" s="200"/>
      <c r="X409" s="200"/>
      <c r="Y409" s="200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0"/>
      <c r="AP409" s="200"/>
      <c r="AQ409" s="200"/>
      <c r="AR409" s="200"/>
      <c r="AS409" s="200"/>
      <c r="AT409" s="200"/>
      <c r="AU409" s="200"/>
      <c r="AV409" s="200"/>
      <c r="AW409" s="200"/>
      <c r="AX409" s="200"/>
      <c r="BY409" s="132" t="s">
        <v>1</v>
      </c>
      <c r="BZ409" s="133" t="s">
        <v>40</v>
      </c>
      <c r="CB409" s="134">
        <f>CA409*H409</f>
        <v>0</v>
      </c>
      <c r="CC409" s="134">
        <v>6.6E-3</v>
      </c>
      <c r="CD409" s="134">
        <f>CC409*H409</f>
        <v>6.6E-3</v>
      </c>
      <c r="CE409" s="134">
        <v>0</v>
      </c>
      <c r="CF409" s="135">
        <f>CE409*H409</f>
        <v>0</v>
      </c>
      <c r="DD409" s="136" t="s">
        <v>95</v>
      </c>
      <c r="DF409" s="136" t="s">
        <v>284</v>
      </c>
      <c r="DG409" s="136" t="s">
        <v>83</v>
      </c>
      <c r="DK409" s="16" t="s">
        <v>282</v>
      </c>
      <c r="DQ409" s="137">
        <f>IF(BZ409="základní",J409,0)</f>
        <v>217.78</v>
      </c>
      <c r="DR409" s="137">
        <f>IF(BZ409="snížená",J409,0)</f>
        <v>0</v>
      </c>
      <c r="DS409" s="137">
        <f>IF(BZ409="zákl. přenesená",J409,0)</f>
        <v>0</v>
      </c>
      <c r="DT409" s="137">
        <f>IF(BZ409="sníž. přenesená",J409,0)</f>
        <v>0</v>
      </c>
      <c r="DU409" s="137">
        <f>IF(BZ409="nulová",J409,0)</f>
        <v>0</v>
      </c>
      <c r="DV409" s="16" t="s">
        <v>81</v>
      </c>
      <c r="DW409" s="137">
        <f>ROUND(I409*H409,2)</f>
        <v>217.78</v>
      </c>
      <c r="DX409" s="16" t="s">
        <v>95</v>
      </c>
      <c r="DY409" s="136" t="s">
        <v>2548</v>
      </c>
    </row>
    <row r="410" spans="2:129" s="1" customFormat="1" ht="19.5" x14ac:dyDescent="0.2">
      <c r="B410" s="31"/>
      <c r="D410" s="138" t="s">
        <v>289</v>
      </c>
      <c r="F410" s="139" t="s">
        <v>509</v>
      </c>
      <c r="I410" s="140"/>
      <c r="L410" s="31"/>
      <c r="N410" s="213"/>
      <c r="O410" s="214"/>
      <c r="Q410" s="229"/>
      <c r="BY410" s="141"/>
      <c r="CF410" s="50"/>
      <c r="DF410" s="16" t="s">
        <v>289</v>
      </c>
      <c r="DG410" s="16" t="s">
        <v>83</v>
      </c>
    </row>
    <row r="411" spans="2:129" s="1" customFormat="1" ht="29.25" x14ac:dyDescent="0.2">
      <c r="B411" s="31"/>
      <c r="D411" s="138" t="s">
        <v>299</v>
      </c>
      <c r="F411" s="142" t="s">
        <v>2431</v>
      </c>
      <c r="I411" s="140"/>
      <c r="L411" s="31"/>
      <c r="N411" s="213"/>
      <c r="O411" s="214"/>
      <c r="Q411" s="229"/>
      <c r="BY411" s="141"/>
      <c r="CF411" s="50"/>
      <c r="DF411" s="16" t="s">
        <v>299</v>
      </c>
      <c r="DG411" s="16" t="s">
        <v>83</v>
      </c>
    </row>
    <row r="412" spans="2:129" s="12" customFormat="1" x14ac:dyDescent="0.2">
      <c r="B412" s="149"/>
      <c r="D412" s="138" t="s">
        <v>301</v>
      </c>
      <c r="E412" s="150" t="s">
        <v>1</v>
      </c>
      <c r="F412" s="151" t="s">
        <v>81</v>
      </c>
      <c r="H412" s="152">
        <v>1</v>
      </c>
      <c r="I412" s="153"/>
      <c r="L412" s="149"/>
      <c r="N412" s="217"/>
      <c r="O412" s="218"/>
      <c r="Q412" s="231"/>
      <c r="BY412" s="154"/>
      <c r="CF412" s="155"/>
      <c r="DF412" s="150" t="s">
        <v>301</v>
      </c>
      <c r="DG412" s="150" t="s">
        <v>83</v>
      </c>
      <c r="DH412" s="12" t="s">
        <v>83</v>
      </c>
      <c r="DI412" s="12" t="s">
        <v>32</v>
      </c>
      <c r="DJ412" s="12" t="s">
        <v>81</v>
      </c>
      <c r="DK412" s="150" t="s">
        <v>282</v>
      </c>
    </row>
    <row r="413" spans="2:129" s="1" customFormat="1" ht="24.2" customHeight="1" x14ac:dyDescent="0.2">
      <c r="B413" s="124"/>
      <c r="C413" s="170" t="s">
        <v>609</v>
      </c>
      <c r="D413" s="170" t="s">
        <v>439</v>
      </c>
      <c r="E413" s="171" t="s">
        <v>511</v>
      </c>
      <c r="F413" s="172" t="s">
        <v>512</v>
      </c>
      <c r="G413" s="173" t="s">
        <v>485</v>
      </c>
      <c r="H413" s="174">
        <v>1</v>
      </c>
      <c r="I413" s="175">
        <v>354.2586718</v>
      </c>
      <c r="J413" s="176">
        <f>ROUND(I413*H413,2)</f>
        <v>354.26</v>
      </c>
      <c r="K413" s="172" t="s">
        <v>293</v>
      </c>
      <c r="L413" s="198">
        <f>S413</f>
        <v>0</v>
      </c>
      <c r="M413" s="206">
        <f>ROUND(L413*I413,2)</f>
        <v>0</v>
      </c>
      <c r="N413" s="211"/>
      <c r="O413" s="212">
        <f>ROUND(N413*I413,2)</f>
        <v>0</v>
      </c>
      <c r="P413" s="207">
        <f>H413-L413-N413</f>
        <v>1</v>
      </c>
      <c r="Q413" s="228">
        <f>ROUND(P413*I413,2)</f>
        <v>354.26</v>
      </c>
      <c r="R413" s="199"/>
      <c r="S413" s="200">
        <f>W413+Y413+AA413+AC413+AE413+AG413+AI413+AK413+AM413+AO413+AQ413+AS413+AU413+AW413</f>
        <v>0</v>
      </c>
      <c r="T413" s="200">
        <f>ROUND(S413*I413,2)</f>
        <v>0</v>
      </c>
      <c r="U413" s="200">
        <f>H413-S413</f>
        <v>1</v>
      </c>
      <c r="V413" s="200">
        <f>ROUND(U413*I413,2)</f>
        <v>354.26</v>
      </c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77" t="s">
        <v>1</v>
      </c>
      <c r="BZ413" s="178" t="s">
        <v>40</v>
      </c>
      <c r="CB413" s="134">
        <f>CA413*H413</f>
        <v>0</v>
      </c>
      <c r="CC413" s="134">
        <v>8.1000000000000003E-2</v>
      </c>
      <c r="CD413" s="134">
        <f>CC413*H413</f>
        <v>8.1000000000000003E-2</v>
      </c>
      <c r="CE413" s="134">
        <v>0</v>
      </c>
      <c r="CF413" s="135">
        <f>CE413*H413</f>
        <v>0</v>
      </c>
      <c r="DD413" s="136" t="s">
        <v>328</v>
      </c>
      <c r="DF413" s="136" t="s">
        <v>439</v>
      </c>
      <c r="DG413" s="136" t="s">
        <v>83</v>
      </c>
      <c r="DK413" s="16" t="s">
        <v>282</v>
      </c>
      <c r="DQ413" s="137">
        <f>IF(BZ413="základní",J413,0)</f>
        <v>354.26</v>
      </c>
      <c r="DR413" s="137">
        <f>IF(BZ413="snížená",J413,0)</f>
        <v>0</v>
      </c>
      <c r="DS413" s="137">
        <f>IF(BZ413="zákl. přenesená",J413,0)</f>
        <v>0</v>
      </c>
      <c r="DT413" s="137">
        <f>IF(BZ413="sníž. přenesená",J413,0)</f>
        <v>0</v>
      </c>
      <c r="DU413" s="137">
        <f>IF(BZ413="nulová",J413,0)</f>
        <v>0</v>
      </c>
      <c r="DV413" s="16" t="s">
        <v>81</v>
      </c>
      <c r="DW413" s="137">
        <f>ROUND(I413*H413,2)</f>
        <v>354.26</v>
      </c>
      <c r="DX413" s="16" t="s">
        <v>95</v>
      </c>
      <c r="DY413" s="136" t="s">
        <v>2549</v>
      </c>
    </row>
    <row r="414" spans="2:129" s="1" customFormat="1" x14ac:dyDescent="0.2">
      <c r="B414" s="31"/>
      <c r="D414" s="138" t="s">
        <v>289</v>
      </c>
      <c r="F414" s="139" t="s">
        <v>512</v>
      </c>
      <c r="I414" s="140"/>
      <c r="L414" s="31"/>
      <c r="N414" s="213"/>
      <c r="O414" s="214"/>
      <c r="Q414" s="229"/>
      <c r="BY414" s="141"/>
      <c r="CF414" s="50"/>
      <c r="DF414" s="16" t="s">
        <v>289</v>
      </c>
      <c r="DG414" s="16" t="s">
        <v>83</v>
      </c>
    </row>
    <row r="415" spans="2:129" s="1" customFormat="1" ht="24.2" customHeight="1" x14ac:dyDescent="0.2">
      <c r="B415" s="124"/>
      <c r="C415" s="125" t="s">
        <v>614</v>
      </c>
      <c r="D415" s="125" t="s">
        <v>284</v>
      </c>
      <c r="E415" s="126" t="s">
        <v>515</v>
      </c>
      <c r="F415" s="127" t="s">
        <v>516</v>
      </c>
      <c r="G415" s="128" t="s">
        <v>366</v>
      </c>
      <c r="H415" s="129">
        <v>0.33800000000000002</v>
      </c>
      <c r="I415" s="130">
        <v>2895.0660868876225</v>
      </c>
      <c r="J415" s="131">
        <f>ROUND(I415*H415,2)</f>
        <v>978.53</v>
      </c>
      <c r="K415" s="127" t="s">
        <v>293</v>
      </c>
      <c r="L415" s="198">
        <f>S415</f>
        <v>0</v>
      </c>
      <c r="M415" s="206">
        <f>ROUND(L415*I415,2)</f>
        <v>0</v>
      </c>
      <c r="N415" s="211"/>
      <c r="O415" s="212">
        <f>ROUND(N415*I415,2)</f>
        <v>0</v>
      </c>
      <c r="P415" s="207">
        <f>H415-L415-N415</f>
        <v>0.33800000000000002</v>
      </c>
      <c r="Q415" s="228">
        <f>ROUND(P415*I415,2)</f>
        <v>978.53</v>
      </c>
      <c r="R415" s="199"/>
      <c r="S415" s="200">
        <f>W415+Y415+AA415+AC415+AE415+AG415+AI415+AK415+AM415+AO415+AQ415+AS415+AU415+AW415</f>
        <v>0</v>
      </c>
      <c r="T415" s="200">
        <f>ROUND(S415*I415,2)</f>
        <v>0</v>
      </c>
      <c r="U415" s="200">
        <f>H415-S415</f>
        <v>0.33800000000000002</v>
      </c>
      <c r="V415" s="200">
        <f>ROUND(U415*I415,2)</f>
        <v>978.53</v>
      </c>
      <c r="W415" s="200"/>
      <c r="X415" s="200"/>
      <c r="Y415" s="200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0"/>
      <c r="AQ415" s="200"/>
      <c r="AR415" s="200"/>
      <c r="AS415" s="200"/>
      <c r="AT415" s="200"/>
      <c r="AU415" s="200"/>
      <c r="AV415" s="200"/>
      <c r="AW415" s="200"/>
      <c r="AX415" s="200"/>
      <c r="BY415" s="132" t="s">
        <v>1</v>
      </c>
      <c r="BZ415" s="133" t="s">
        <v>40</v>
      </c>
      <c r="CB415" s="134">
        <f>CA415*H415</f>
        <v>0</v>
      </c>
      <c r="CC415" s="134">
        <v>0</v>
      </c>
      <c r="CD415" s="134">
        <f>CC415*H415</f>
        <v>0</v>
      </c>
      <c r="CE415" s="134">
        <v>0</v>
      </c>
      <c r="CF415" s="135">
        <f>CE415*H415</f>
        <v>0</v>
      </c>
      <c r="DD415" s="136" t="s">
        <v>95</v>
      </c>
      <c r="DF415" s="136" t="s">
        <v>284</v>
      </c>
      <c r="DG415" s="136" t="s">
        <v>83</v>
      </c>
      <c r="DK415" s="16" t="s">
        <v>282</v>
      </c>
      <c r="DQ415" s="137">
        <f>IF(BZ415="základní",J415,0)</f>
        <v>978.53</v>
      </c>
      <c r="DR415" s="137">
        <f>IF(BZ415="snížená",J415,0)</f>
        <v>0</v>
      </c>
      <c r="DS415" s="137">
        <f>IF(BZ415="zákl. přenesená",J415,0)</f>
        <v>0</v>
      </c>
      <c r="DT415" s="137">
        <f>IF(BZ415="sníž. přenesená",J415,0)</f>
        <v>0</v>
      </c>
      <c r="DU415" s="137">
        <f>IF(BZ415="nulová",J415,0)</f>
        <v>0</v>
      </c>
      <c r="DV415" s="16" t="s">
        <v>81</v>
      </c>
      <c r="DW415" s="137">
        <f>ROUND(I415*H415,2)</f>
        <v>978.53</v>
      </c>
      <c r="DX415" s="16" t="s">
        <v>95</v>
      </c>
      <c r="DY415" s="136" t="s">
        <v>2550</v>
      </c>
    </row>
    <row r="416" spans="2:129" s="1" customFormat="1" ht="29.25" x14ac:dyDescent="0.2">
      <c r="B416" s="31"/>
      <c r="D416" s="138" t="s">
        <v>289</v>
      </c>
      <c r="F416" s="139" t="s">
        <v>518</v>
      </c>
      <c r="I416" s="140"/>
      <c r="L416" s="31"/>
      <c r="N416" s="213"/>
      <c r="O416" s="214"/>
      <c r="Q416" s="229"/>
      <c r="BY416" s="141"/>
      <c r="CF416" s="50"/>
      <c r="DF416" s="16" t="s">
        <v>289</v>
      </c>
      <c r="DG416" s="16" t="s">
        <v>83</v>
      </c>
    </row>
    <row r="417" spans="2:129" s="1" customFormat="1" ht="29.25" x14ac:dyDescent="0.2">
      <c r="B417" s="31"/>
      <c r="D417" s="138" t="s">
        <v>299</v>
      </c>
      <c r="F417" s="142" t="s">
        <v>2431</v>
      </c>
      <c r="I417" s="140"/>
      <c r="L417" s="31"/>
      <c r="N417" s="213"/>
      <c r="O417" s="214"/>
      <c r="Q417" s="229"/>
      <c r="BY417" s="141"/>
      <c r="CF417" s="50"/>
      <c r="DF417" s="16" t="s">
        <v>299</v>
      </c>
      <c r="DG417" s="16" t="s">
        <v>83</v>
      </c>
    </row>
    <row r="418" spans="2:129" s="11" customFormat="1" x14ac:dyDescent="0.2">
      <c r="B418" s="143"/>
      <c r="D418" s="138" t="s">
        <v>301</v>
      </c>
      <c r="E418" s="144" t="s">
        <v>1</v>
      </c>
      <c r="F418" s="145" t="s">
        <v>765</v>
      </c>
      <c r="H418" s="144" t="s">
        <v>1</v>
      </c>
      <c r="I418" s="146"/>
      <c r="L418" s="143"/>
      <c r="N418" s="215"/>
      <c r="O418" s="216"/>
      <c r="Q418" s="230"/>
      <c r="BY418" s="147"/>
      <c r="CF418" s="148"/>
      <c r="DF418" s="144" t="s">
        <v>301</v>
      </c>
      <c r="DG418" s="144" t="s">
        <v>83</v>
      </c>
      <c r="DH418" s="11" t="s">
        <v>81</v>
      </c>
      <c r="DI418" s="11" t="s">
        <v>32</v>
      </c>
      <c r="DJ418" s="11" t="s">
        <v>74</v>
      </c>
      <c r="DK418" s="144" t="s">
        <v>282</v>
      </c>
    </row>
    <row r="419" spans="2:129" s="12" customFormat="1" x14ac:dyDescent="0.2">
      <c r="B419" s="149"/>
      <c r="D419" s="138" t="s">
        <v>301</v>
      </c>
      <c r="E419" s="150" t="s">
        <v>1</v>
      </c>
      <c r="F419" s="151" t="s">
        <v>2551</v>
      </c>
      <c r="H419" s="152">
        <v>0.33800000000000002</v>
      </c>
      <c r="I419" s="153"/>
      <c r="L419" s="149"/>
      <c r="N419" s="217"/>
      <c r="O419" s="218"/>
      <c r="Q419" s="231"/>
      <c r="BY419" s="154"/>
      <c r="CF419" s="155"/>
      <c r="DF419" s="150" t="s">
        <v>301</v>
      </c>
      <c r="DG419" s="150" t="s">
        <v>83</v>
      </c>
      <c r="DH419" s="12" t="s">
        <v>83</v>
      </c>
      <c r="DI419" s="12" t="s">
        <v>32</v>
      </c>
      <c r="DJ419" s="12" t="s">
        <v>81</v>
      </c>
      <c r="DK419" s="150" t="s">
        <v>282</v>
      </c>
    </row>
    <row r="420" spans="2:129" s="1" customFormat="1" ht="24.2" customHeight="1" x14ac:dyDescent="0.2">
      <c r="B420" s="124"/>
      <c r="C420" s="125" t="s">
        <v>618</v>
      </c>
      <c r="D420" s="125" t="s">
        <v>284</v>
      </c>
      <c r="E420" s="126" t="s">
        <v>2316</v>
      </c>
      <c r="F420" s="127" t="s">
        <v>2317</v>
      </c>
      <c r="G420" s="128" t="s">
        <v>366</v>
      </c>
      <c r="H420" s="129">
        <v>1.5</v>
      </c>
      <c r="I420" s="130">
        <v>2673.8237591203297</v>
      </c>
      <c r="J420" s="131">
        <f>ROUND(I420*H420,2)</f>
        <v>4010.74</v>
      </c>
      <c r="K420" s="127" t="s">
        <v>293</v>
      </c>
      <c r="L420" s="198">
        <f>S420</f>
        <v>0</v>
      </c>
      <c r="M420" s="206">
        <f>ROUND(L420*I420,2)</f>
        <v>0</v>
      </c>
      <c r="N420" s="211"/>
      <c r="O420" s="212">
        <f>ROUND(N420*I420,2)</f>
        <v>0</v>
      </c>
      <c r="P420" s="207">
        <f>H420-L420-N420</f>
        <v>1.5</v>
      </c>
      <c r="Q420" s="228">
        <f>ROUND(P420*I420,2)</f>
        <v>4010.74</v>
      </c>
      <c r="R420" s="199"/>
      <c r="S420" s="200">
        <f>W420+Y420+AA420+AC420+AE420+AG420+AI420+AK420+AM420+AO420+AQ420+AS420+AU420+AW420</f>
        <v>0</v>
      </c>
      <c r="T420" s="200">
        <f>ROUND(S420*I420,2)</f>
        <v>0</v>
      </c>
      <c r="U420" s="200">
        <f>H420-S420</f>
        <v>1.5</v>
      </c>
      <c r="V420" s="200">
        <f>ROUND(U420*I420,2)</f>
        <v>4010.74</v>
      </c>
      <c r="W420" s="200"/>
      <c r="X420" s="200"/>
      <c r="Y420" s="200"/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0"/>
      <c r="AP420" s="200"/>
      <c r="AQ420" s="200"/>
      <c r="AR420" s="200"/>
      <c r="AS420" s="200"/>
      <c r="AT420" s="200"/>
      <c r="AU420" s="200"/>
      <c r="AV420" s="200"/>
      <c r="AW420" s="200"/>
      <c r="AX420" s="200"/>
      <c r="BY420" s="132" t="s">
        <v>1</v>
      </c>
      <c r="BZ420" s="133" t="s">
        <v>40</v>
      </c>
      <c r="CB420" s="134">
        <f>CA420*H420</f>
        <v>0</v>
      </c>
      <c r="CC420" s="134">
        <v>0</v>
      </c>
      <c r="CD420" s="134">
        <f>CC420*H420</f>
        <v>0</v>
      </c>
      <c r="CE420" s="134">
        <v>0</v>
      </c>
      <c r="CF420" s="135">
        <f>CE420*H420</f>
        <v>0</v>
      </c>
      <c r="DD420" s="136" t="s">
        <v>95</v>
      </c>
      <c r="DF420" s="136" t="s">
        <v>284</v>
      </c>
      <c r="DG420" s="136" t="s">
        <v>83</v>
      </c>
      <c r="DK420" s="16" t="s">
        <v>282</v>
      </c>
      <c r="DQ420" s="137">
        <f>IF(BZ420="základní",J420,0)</f>
        <v>4010.74</v>
      </c>
      <c r="DR420" s="137">
        <f>IF(BZ420="snížená",J420,0)</f>
        <v>0</v>
      </c>
      <c r="DS420" s="137">
        <f>IF(BZ420="zákl. přenesená",J420,0)</f>
        <v>0</v>
      </c>
      <c r="DT420" s="137">
        <f>IF(BZ420="sníž. přenesená",J420,0)</f>
        <v>0</v>
      </c>
      <c r="DU420" s="137">
        <f>IF(BZ420="nulová",J420,0)</f>
        <v>0</v>
      </c>
      <c r="DV420" s="16" t="s">
        <v>81</v>
      </c>
      <c r="DW420" s="137">
        <f>ROUND(I420*H420,2)</f>
        <v>4010.74</v>
      </c>
      <c r="DX420" s="16" t="s">
        <v>95</v>
      </c>
      <c r="DY420" s="136" t="s">
        <v>2318</v>
      </c>
    </row>
    <row r="421" spans="2:129" s="1" customFormat="1" ht="19.5" x14ac:dyDescent="0.2">
      <c r="B421" s="31"/>
      <c r="D421" s="138" t="s">
        <v>289</v>
      </c>
      <c r="F421" s="139" t="s">
        <v>2319</v>
      </c>
      <c r="I421" s="140"/>
      <c r="L421" s="31"/>
      <c r="N421" s="213"/>
      <c r="O421" s="214"/>
      <c r="Q421" s="229"/>
      <c r="BY421" s="141"/>
      <c r="CF421" s="50"/>
      <c r="DF421" s="16" t="s">
        <v>289</v>
      </c>
      <c r="DG421" s="16" t="s">
        <v>83</v>
      </c>
    </row>
    <row r="422" spans="2:129" s="1" customFormat="1" ht="29.25" x14ac:dyDescent="0.2">
      <c r="B422" s="31"/>
      <c r="D422" s="138" t="s">
        <v>299</v>
      </c>
      <c r="F422" s="142" t="s">
        <v>2431</v>
      </c>
      <c r="I422" s="140"/>
      <c r="L422" s="31"/>
      <c r="N422" s="213"/>
      <c r="O422" s="214"/>
      <c r="Q422" s="229"/>
      <c r="BY422" s="141"/>
      <c r="CF422" s="50"/>
      <c r="DF422" s="16" t="s">
        <v>299</v>
      </c>
      <c r="DG422" s="16" t="s">
        <v>83</v>
      </c>
    </row>
    <row r="423" spans="2:129" s="12" customFormat="1" x14ac:dyDescent="0.2">
      <c r="B423" s="149"/>
      <c r="D423" s="138" t="s">
        <v>301</v>
      </c>
      <c r="E423" s="150" t="s">
        <v>1</v>
      </c>
      <c r="F423" s="151" t="s">
        <v>1490</v>
      </c>
      <c r="H423" s="152">
        <v>1.5</v>
      </c>
      <c r="I423" s="153"/>
      <c r="L423" s="149"/>
      <c r="N423" s="217"/>
      <c r="O423" s="218"/>
      <c r="Q423" s="231"/>
      <c r="BY423" s="154"/>
      <c r="CF423" s="155"/>
      <c r="DF423" s="150" t="s">
        <v>301</v>
      </c>
      <c r="DG423" s="150" t="s">
        <v>83</v>
      </c>
      <c r="DH423" s="12" t="s">
        <v>83</v>
      </c>
      <c r="DI423" s="12" t="s">
        <v>32</v>
      </c>
      <c r="DJ423" s="12" t="s">
        <v>81</v>
      </c>
      <c r="DK423" s="150" t="s">
        <v>282</v>
      </c>
    </row>
    <row r="424" spans="2:129" s="10" customFormat="1" ht="22.9" customHeight="1" x14ac:dyDescent="0.2">
      <c r="B424" s="112"/>
      <c r="D424" s="113" t="s">
        <v>73</v>
      </c>
      <c r="E424" s="122" t="s">
        <v>312</v>
      </c>
      <c r="F424" s="122" t="s">
        <v>520</v>
      </c>
      <c r="I424" s="115"/>
      <c r="J424" s="123">
        <f>DW424</f>
        <v>360445.39</v>
      </c>
      <c r="L424" s="112"/>
      <c r="M424" s="202">
        <f>SUM(M425:M438)</f>
        <v>0</v>
      </c>
      <c r="N424" s="223"/>
      <c r="O424" s="224">
        <f t="shared" ref="O424:V424" si="5">SUM(O425:O438)</f>
        <v>-20127.02</v>
      </c>
      <c r="P424" s="202"/>
      <c r="Q424" s="234">
        <f t="shared" si="5"/>
        <v>380572.42</v>
      </c>
      <c r="R424" s="202"/>
      <c r="S424" s="202"/>
      <c r="T424" s="202">
        <f t="shared" si="5"/>
        <v>0</v>
      </c>
      <c r="U424" s="202"/>
      <c r="V424" s="202">
        <f t="shared" si="5"/>
        <v>360445.39</v>
      </c>
      <c r="BY424" s="117"/>
      <c r="CB424" s="118">
        <f>SUM(CB425:CB442)</f>
        <v>0</v>
      </c>
      <c r="CD424" s="118">
        <f>SUM(CD425:CD442)</f>
        <v>0</v>
      </c>
      <c r="CF424" s="119">
        <f>SUM(CF425:CF442)</f>
        <v>0</v>
      </c>
      <c r="DD424" s="113" t="s">
        <v>81</v>
      </c>
      <c r="DF424" s="120" t="s">
        <v>73</v>
      </c>
      <c r="DG424" s="120" t="s">
        <v>81</v>
      </c>
      <c r="DK424" s="113" t="s">
        <v>282</v>
      </c>
      <c r="DW424" s="121">
        <f>SUM(DW425:DW442)</f>
        <v>360445.39</v>
      </c>
    </row>
    <row r="425" spans="2:129" s="1" customFormat="1" ht="24.2" customHeight="1" x14ac:dyDescent="0.2">
      <c r="B425" s="124"/>
      <c r="C425" s="125" t="s">
        <v>622</v>
      </c>
      <c r="D425" s="125" t="s">
        <v>284</v>
      </c>
      <c r="E425" s="126" t="s">
        <v>522</v>
      </c>
      <c r="F425" s="127" t="s">
        <v>523</v>
      </c>
      <c r="G425" s="128" t="s">
        <v>287</v>
      </c>
      <c r="H425" s="129">
        <v>218.52</v>
      </c>
      <c r="I425" s="130">
        <v>130.95617506780872</v>
      </c>
      <c r="J425" s="131">
        <f>ROUND(I425*H425,2)</f>
        <v>28616.54</v>
      </c>
      <c r="K425" s="127" t="s">
        <v>293</v>
      </c>
      <c r="L425" s="198">
        <f>S425</f>
        <v>0</v>
      </c>
      <c r="M425" s="206">
        <f>ROUND(L425*I425,2)</f>
        <v>0</v>
      </c>
      <c r="N425" s="211">
        <f>N139</f>
        <v>4.7770000000000437</v>
      </c>
      <c r="O425" s="212">
        <f>ROUND(N425*I425,2)</f>
        <v>625.58000000000004</v>
      </c>
      <c r="P425" s="207">
        <f>H425-L425-N425</f>
        <v>213.74299999999997</v>
      </c>
      <c r="Q425" s="228">
        <f>ROUND(P425*I425,2)</f>
        <v>27990.97</v>
      </c>
      <c r="R425" s="199"/>
      <c r="S425" s="200">
        <f>W425+Y425+AA425+AC425+AE425+AG425+AI425+AK425+AM425+AO425+AQ425+AS425+AU425+AW425</f>
        <v>0</v>
      </c>
      <c r="T425" s="200">
        <f>ROUND(S425*I425,2)</f>
        <v>0</v>
      </c>
      <c r="U425" s="200">
        <f>H425-S425</f>
        <v>218.52</v>
      </c>
      <c r="V425" s="200">
        <f>ROUND(U425*I425,2)</f>
        <v>28616.54</v>
      </c>
      <c r="W425" s="200"/>
      <c r="X425" s="200"/>
      <c r="Y425" s="200"/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0"/>
      <c r="AP425" s="200"/>
      <c r="AQ425" s="200"/>
      <c r="AR425" s="200"/>
      <c r="AS425" s="200"/>
      <c r="AT425" s="200"/>
      <c r="AU425" s="200"/>
      <c r="AV425" s="200"/>
      <c r="AW425" s="200"/>
      <c r="AX425" s="200"/>
      <c r="BY425" s="132" t="s">
        <v>1</v>
      </c>
      <c r="BZ425" s="133" t="s">
        <v>40</v>
      </c>
      <c r="CB425" s="134">
        <f>CA425*H425</f>
        <v>0</v>
      </c>
      <c r="CC425" s="134">
        <v>0</v>
      </c>
      <c r="CD425" s="134">
        <f>CC425*H425</f>
        <v>0</v>
      </c>
      <c r="CE425" s="134">
        <v>0</v>
      </c>
      <c r="CF425" s="135">
        <f>CE425*H425</f>
        <v>0</v>
      </c>
      <c r="DD425" s="136" t="s">
        <v>95</v>
      </c>
      <c r="DF425" s="136" t="s">
        <v>284</v>
      </c>
      <c r="DG425" s="136" t="s">
        <v>83</v>
      </c>
      <c r="DK425" s="16" t="s">
        <v>282</v>
      </c>
      <c r="DQ425" s="137">
        <f>IF(BZ425="základní",J425,0)</f>
        <v>28616.54</v>
      </c>
      <c r="DR425" s="137">
        <f>IF(BZ425="snížená",J425,0)</f>
        <v>0</v>
      </c>
      <c r="DS425" s="137">
        <f>IF(BZ425="zákl. přenesená",J425,0)</f>
        <v>0</v>
      </c>
      <c r="DT425" s="137">
        <f>IF(BZ425="sníž. přenesená",J425,0)</f>
        <v>0</v>
      </c>
      <c r="DU425" s="137">
        <f>IF(BZ425="nulová",J425,0)</f>
        <v>0</v>
      </c>
      <c r="DV425" s="16" t="s">
        <v>81</v>
      </c>
      <c r="DW425" s="137">
        <f>ROUND(I425*H425,2)</f>
        <v>28616.54</v>
      </c>
      <c r="DX425" s="16" t="s">
        <v>95</v>
      </c>
      <c r="DY425" s="136" t="s">
        <v>2321</v>
      </c>
    </row>
    <row r="426" spans="2:129" s="1" customFormat="1" ht="19.5" x14ac:dyDescent="0.2">
      <c r="B426" s="31"/>
      <c r="D426" s="138" t="s">
        <v>289</v>
      </c>
      <c r="F426" s="139" t="s">
        <v>525</v>
      </c>
      <c r="I426" s="140"/>
      <c r="L426" s="31"/>
      <c r="N426" s="213"/>
      <c r="O426" s="214"/>
      <c r="Q426" s="229"/>
      <c r="BY426" s="141"/>
      <c r="CF426" s="50"/>
      <c r="DF426" s="16" t="s">
        <v>289</v>
      </c>
      <c r="DG426" s="16" t="s">
        <v>83</v>
      </c>
    </row>
    <row r="427" spans="2:129" s="1" customFormat="1" ht="14.45" customHeight="1" x14ac:dyDescent="0.2">
      <c r="B427" s="124"/>
      <c r="C427" s="125" t="s">
        <v>627</v>
      </c>
      <c r="D427" s="125" t="s">
        <v>284</v>
      </c>
      <c r="E427" s="126" t="s">
        <v>527</v>
      </c>
      <c r="F427" s="127" t="s">
        <v>528</v>
      </c>
      <c r="G427" s="128" t="s">
        <v>287</v>
      </c>
      <c r="H427" s="129">
        <v>218.52</v>
      </c>
      <c r="I427" s="130">
        <v>200.20823792465458</v>
      </c>
      <c r="J427" s="131">
        <f>ROUND(I427*H427,2)</f>
        <v>43749.5</v>
      </c>
      <c r="K427" s="127" t="s">
        <v>293</v>
      </c>
      <c r="L427" s="198">
        <f>S427</f>
        <v>0</v>
      </c>
      <c r="M427" s="206">
        <f>ROUND(L427*I427,2)</f>
        <v>0</v>
      </c>
      <c r="N427" s="211">
        <f>N425</f>
        <v>4.7770000000000437</v>
      </c>
      <c r="O427" s="212">
        <f>ROUND(N427*I427,2)</f>
        <v>956.39</v>
      </c>
      <c r="P427" s="207">
        <f>H427-L427-N427</f>
        <v>213.74299999999997</v>
      </c>
      <c r="Q427" s="228">
        <f>ROUND(P427*I427,2)</f>
        <v>42793.11</v>
      </c>
      <c r="R427" s="199"/>
      <c r="S427" s="200">
        <f>W427+Y427+AA427+AC427+AE427+AG427+AI427+AK427+AM427+AO427+AQ427+AS427+AU427+AW427</f>
        <v>0</v>
      </c>
      <c r="T427" s="200">
        <f>ROUND(S427*I427,2)</f>
        <v>0</v>
      </c>
      <c r="U427" s="200">
        <f>H427-S427</f>
        <v>218.52</v>
      </c>
      <c r="V427" s="200">
        <f>ROUND(U427*I427,2)</f>
        <v>43749.5</v>
      </c>
      <c r="W427" s="200"/>
      <c r="X427" s="200"/>
      <c r="Y427" s="200"/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0"/>
      <c r="AP427" s="200"/>
      <c r="AQ427" s="200"/>
      <c r="AR427" s="200"/>
      <c r="AS427" s="200"/>
      <c r="AT427" s="200"/>
      <c r="AU427" s="200"/>
      <c r="AV427" s="200"/>
      <c r="AW427" s="200"/>
      <c r="AX427" s="200"/>
      <c r="BY427" s="132" t="s">
        <v>1</v>
      </c>
      <c r="BZ427" s="133" t="s">
        <v>40</v>
      </c>
      <c r="CB427" s="134">
        <f>CA427*H427</f>
        <v>0</v>
      </c>
      <c r="CC427" s="134">
        <v>0</v>
      </c>
      <c r="CD427" s="134">
        <f>CC427*H427</f>
        <v>0</v>
      </c>
      <c r="CE427" s="134">
        <v>0</v>
      </c>
      <c r="CF427" s="135">
        <f>CE427*H427</f>
        <v>0</v>
      </c>
      <c r="DD427" s="136" t="s">
        <v>95</v>
      </c>
      <c r="DF427" s="136" t="s">
        <v>284</v>
      </c>
      <c r="DG427" s="136" t="s">
        <v>83</v>
      </c>
      <c r="DK427" s="16" t="s">
        <v>282</v>
      </c>
      <c r="DQ427" s="137">
        <f>IF(BZ427="základní",J427,0)</f>
        <v>43749.5</v>
      </c>
      <c r="DR427" s="137">
        <f>IF(BZ427="snížená",J427,0)</f>
        <v>0</v>
      </c>
      <c r="DS427" s="137">
        <f>IF(BZ427="zákl. přenesená",J427,0)</f>
        <v>0</v>
      </c>
      <c r="DT427" s="137">
        <f>IF(BZ427="sníž. přenesená",J427,0)</f>
        <v>0</v>
      </c>
      <c r="DU427" s="137">
        <f>IF(BZ427="nulová",J427,0)</f>
        <v>0</v>
      </c>
      <c r="DV427" s="16" t="s">
        <v>81</v>
      </c>
      <c r="DW427" s="137">
        <f>ROUND(I427*H427,2)</f>
        <v>43749.5</v>
      </c>
      <c r="DX427" s="16" t="s">
        <v>95</v>
      </c>
      <c r="DY427" s="136" t="s">
        <v>2322</v>
      </c>
    </row>
    <row r="428" spans="2:129" s="1" customFormat="1" ht="19.5" x14ac:dyDescent="0.2">
      <c r="B428" s="31"/>
      <c r="D428" s="138" t="s">
        <v>289</v>
      </c>
      <c r="F428" s="139" t="s">
        <v>530</v>
      </c>
      <c r="I428" s="140"/>
      <c r="L428" s="31"/>
      <c r="N428" s="213"/>
      <c r="O428" s="214"/>
      <c r="Q428" s="229"/>
      <c r="BY428" s="141"/>
      <c r="CF428" s="50"/>
      <c r="DF428" s="16" t="s">
        <v>289</v>
      </c>
      <c r="DG428" s="16" t="s">
        <v>83</v>
      </c>
    </row>
    <row r="429" spans="2:129" s="1" customFormat="1" ht="24.2" customHeight="1" x14ac:dyDescent="0.2">
      <c r="B429" s="124"/>
      <c r="C429" s="125" t="s">
        <v>631</v>
      </c>
      <c r="D429" s="125" t="s">
        <v>284</v>
      </c>
      <c r="E429" s="126" t="s">
        <v>532</v>
      </c>
      <c r="F429" s="127" t="s">
        <v>533</v>
      </c>
      <c r="G429" s="128" t="s">
        <v>287</v>
      </c>
      <c r="H429" s="129">
        <v>218.52</v>
      </c>
      <c r="I429" s="130">
        <v>40.878739778868102</v>
      </c>
      <c r="J429" s="131">
        <f>ROUND(I429*H429,2)</f>
        <v>8932.82</v>
      </c>
      <c r="K429" s="127" t="s">
        <v>293</v>
      </c>
      <c r="L429" s="198">
        <f>S429</f>
        <v>0</v>
      </c>
      <c r="M429" s="206">
        <f>ROUND(L429*I429,2)</f>
        <v>0</v>
      </c>
      <c r="N429" s="211">
        <f>N425</f>
        <v>4.7770000000000437</v>
      </c>
      <c r="O429" s="212">
        <f>ROUND(N429*I429,2)</f>
        <v>195.28</v>
      </c>
      <c r="P429" s="207">
        <f>H429-L429-N429</f>
        <v>213.74299999999997</v>
      </c>
      <c r="Q429" s="228">
        <f>ROUND(P429*I429,2)</f>
        <v>8737.5400000000009</v>
      </c>
      <c r="R429" s="199"/>
      <c r="S429" s="200">
        <f>W429+Y429+AA429+AC429+AE429+AG429+AI429+AK429+AM429+AO429+AQ429+AS429+AU429+AW429</f>
        <v>0</v>
      </c>
      <c r="T429" s="200">
        <f>ROUND(S429*I429,2)</f>
        <v>0</v>
      </c>
      <c r="U429" s="200">
        <f>H429-S429</f>
        <v>218.52</v>
      </c>
      <c r="V429" s="200">
        <f>ROUND(U429*I429,2)</f>
        <v>8932.82</v>
      </c>
      <c r="W429" s="200"/>
      <c r="X429" s="200"/>
      <c r="Y429" s="200"/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0"/>
      <c r="AP429" s="200"/>
      <c r="AQ429" s="200"/>
      <c r="AR429" s="200"/>
      <c r="AS429" s="200"/>
      <c r="AT429" s="200"/>
      <c r="AU429" s="200"/>
      <c r="AV429" s="200"/>
      <c r="AW429" s="200"/>
      <c r="AX429" s="200"/>
      <c r="BY429" s="132" t="s">
        <v>1</v>
      </c>
      <c r="BZ429" s="133" t="s">
        <v>40</v>
      </c>
      <c r="CB429" s="134">
        <f>CA429*H429</f>
        <v>0</v>
      </c>
      <c r="CC429" s="134">
        <v>0</v>
      </c>
      <c r="CD429" s="134">
        <f>CC429*H429</f>
        <v>0</v>
      </c>
      <c r="CE429" s="134">
        <v>0</v>
      </c>
      <c r="CF429" s="135">
        <f>CE429*H429</f>
        <v>0</v>
      </c>
      <c r="DD429" s="136" t="s">
        <v>95</v>
      </c>
      <c r="DF429" s="136" t="s">
        <v>284</v>
      </c>
      <c r="DG429" s="136" t="s">
        <v>83</v>
      </c>
      <c r="DK429" s="16" t="s">
        <v>282</v>
      </c>
      <c r="DQ429" s="137">
        <f>IF(BZ429="základní",J429,0)</f>
        <v>8932.82</v>
      </c>
      <c r="DR429" s="137">
        <f>IF(BZ429="snížená",J429,0)</f>
        <v>0</v>
      </c>
      <c r="DS429" s="137">
        <f>IF(BZ429="zákl. přenesená",J429,0)</f>
        <v>0</v>
      </c>
      <c r="DT429" s="137">
        <f>IF(BZ429="sníž. přenesená",J429,0)</f>
        <v>0</v>
      </c>
      <c r="DU429" s="137">
        <f>IF(BZ429="nulová",J429,0)</f>
        <v>0</v>
      </c>
      <c r="DV429" s="16" t="s">
        <v>81</v>
      </c>
      <c r="DW429" s="137">
        <f>ROUND(I429*H429,2)</f>
        <v>8932.82</v>
      </c>
      <c r="DX429" s="16" t="s">
        <v>95</v>
      </c>
      <c r="DY429" s="136" t="s">
        <v>2323</v>
      </c>
    </row>
    <row r="430" spans="2:129" s="1" customFormat="1" ht="19.5" x14ac:dyDescent="0.2">
      <c r="B430" s="31"/>
      <c r="D430" s="138" t="s">
        <v>289</v>
      </c>
      <c r="F430" s="139" t="s">
        <v>535</v>
      </c>
      <c r="I430" s="140"/>
      <c r="L430" s="31"/>
      <c r="N430" s="213"/>
      <c r="O430" s="214"/>
      <c r="Q430" s="229"/>
      <c r="BY430" s="141"/>
      <c r="CF430" s="50"/>
      <c r="DF430" s="16" t="s">
        <v>289</v>
      </c>
      <c r="DG430" s="16" t="s">
        <v>83</v>
      </c>
    </row>
    <row r="431" spans="2:129" s="1" customFormat="1" ht="24.2" customHeight="1" x14ac:dyDescent="0.2">
      <c r="B431" s="124"/>
      <c r="C431" s="125" t="s">
        <v>635</v>
      </c>
      <c r="D431" s="125" t="s">
        <v>284</v>
      </c>
      <c r="E431" s="126" t="s">
        <v>537</v>
      </c>
      <c r="F431" s="127" t="s">
        <v>538</v>
      </c>
      <c r="G431" s="128" t="s">
        <v>287</v>
      </c>
      <c r="H431" s="129">
        <v>218.52</v>
      </c>
      <c r="I431" s="130">
        <v>362.67856108310502</v>
      </c>
      <c r="J431" s="131">
        <f>ROUND(I431*H431,2)</f>
        <v>79252.52</v>
      </c>
      <c r="K431" s="127" t="s">
        <v>293</v>
      </c>
      <c r="L431" s="198">
        <f>S431</f>
        <v>0</v>
      </c>
      <c r="M431" s="206">
        <f>ROUND(L431*I431,2)</f>
        <v>0</v>
      </c>
      <c r="N431" s="211">
        <f>N425</f>
        <v>4.7770000000000437</v>
      </c>
      <c r="O431" s="212">
        <f>ROUND(N431*I431,2)</f>
        <v>1732.52</v>
      </c>
      <c r="P431" s="207">
        <f>H431-L431-N431</f>
        <v>213.74299999999997</v>
      </c>
      <c r="Q431" s="228">
        <f>ROUND(P431*I431,2)</f>
        <v>77520</v>
      </c>
      <c r="R431" s="199"/>
      <c r="S431" s="200">
        <f>W431+Y431+AA431+AC431+AE431+AG431+AI431+AK431+AM431+AO431+AQ431+AS431+AU431+AW431</f>
        <v>0</v>
      </c>
      <c r="T431" s="200">
        <f>ROUND(S431*I431,2)</f>
        <v>0</v>
      </c>
      <c r="U431" s="200">
        <f>H431-S431</f>
        <v>218.52</v>
      </c>
      <c r="V431" s="200">
        <f>ROUND(U431*I431,2)</f>
        <v>79252.52</v>
      </c>
      <c r="W431" s="200"/>
      <c r="X431" s="200"/>
      <c r="Y431" s="200"/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0"/>
      <c r="AP431" s="200"/>
      <c r="AQ431" s="200"/>
      <c r="AR431" s="200"/>
      <c r="AS431" s="200"/>
      <c r="AT431" s="200"/>
      <c r="AU431" s="200"/>
      <c r="AV431" s="200"/>
      <c r="AW431" s="200"/>
      <c r="AX431" s="200"/>
      <c r="BY431" s="132" t="s">
        <v>1</v>
      </c>
      <c r="BZ431" s="133" t="s">
        <v>40</v>
      </c>
      <c r="CB431" s="134">
        <f>CA431*H431</f>
        <v>0</v>
      </c>
      <c r="CC431" s="134">
        <v>0</v>
      </c>
      <c r="CD431" s="134">
        <f>CC431*H431</f>
        <v>0</v>
      </c>
      <c r="CE431" s="134">
        <v>0</v>
      </c>
      <c r="CF431" s="135">
        <f>CE431*H431</f>
        <v>0</v>
      </c>
      <c r="DD431" s="136" t="s">
        <v>95</v>
      </c>
      <c r="DF431" s="136" t="s">
        <v>284</v>
      </c>
      <c r="DG431" s="136" t="s">
        <v>83</v>
      </c>
      <c r="DK431" s="16" t="s">
        <v>282</v>
      </c>
      <c r="DQ431" s="137">
        <f>IF(BZ431="základní",J431,0)</f>
        <v>79252.52</v>
      </c>
      <c r="DR431" s="137">
        <f>IF(BZ431="snížená",J431,0)</f>
        <v>0</v>
      </c>
      <c r="DS431" s="137">
        <f>IF(BZ431="zákl. přenesená",J431,0)</f>
        <v>0</v>
      </c>
      <c r="DT431" s="137">
        <f>IF(BZ431="sníž. přenesená",J431,0)</f>
        <v>0</v>
      </c>
      <c r="DU431" s="137">
        <f>IF(BZ431="nulová",J431,0)</f>
        <v>0</v>
      </c>
      <c r="DV431" s="16" t="s">
        <v>81</v>
      </c>
      <c r="DW431" s="137">
        <f>ROUND(I431*H431,2)</f>
        <v>79252.52</v>
      </c>
      <c r="DX431" s="16" t="s">
        <v>95</v>
      </c>
      <c r="DY431" s="136" t="s">
        <v>2324</v>
      </c>
    </row>
    <row r="432" spans="2:129" s="1" customFormat="1" ht="29.25" x14ac:dyDescent="0.2">
      <c r="B432" s="31"/>
      <c r="D432" s="138" t="s">
        <v>289</v>
      </c>
      <c r="F432" s="139" t="s">
        <v>540</v>
      </c>
      <c r="I432" s="140"/>
      <c r="L432" s="31"/>
      <c r="N432" s="213"/>
      <c r="O432" s="214"/>
      <c r="Q432" s="229"/>
      <c r="BY432" s="141"/>
      <c r="CF432" s="50"/>
      <c r="DF432" s="16" t="s">
        <v>289</v>
      </c>
      <c r="DG432" s="16" t="s">
        <v>83</v>
      </c>
    </row>
    <row r="433" spans="2:129" s="1" customFormat="1" ht="29.25" x14ac:dyDescent="0.2">
      <c r="B433" s="31"/>
      <c r="D433" s="138" t="s">
        <v>299</v>
      </c>
      <c r="F433" s="142" t="s">
        <v>2431</v>
      </c>
      <c r="I433" s="140"/>
      <c r="L433" s="31"/>
      <c r="N433" s="213"/>
      <c r="O433" s="214"/>
      <c r="Q433" s="229"/>
      <c r="BY433" s="141"/>
      <c r="CF433" s="50"/>
      <c r="DF433" s="16" t="s">
        <v>299</v>
      </c>
      <c r="DG433" s="16" t="s">
        <v>83</v>
      </c>
    </row>
    <row r="434" spans="2:129" s="11" customFormat="1" x14ac:dyDescent="0.2">
      <c r="B434" s="143"/>
      <c r="D434" s="138" t="s">
        <v>301</v>
      </c>
      <c r="E434" s="144" t="s">
        <v>1</v>
      </c>
      <c r="F434" s="145" t="s">
        <v>541</v>
      </c>
      <c r="H434" s="144" t="s">
        <v>1</v>
      </c>
      <c r="I434" s="146"/>
      <c r="L434" s="143"/>
      <c r="N434" s="215"/>
      <c r="O434" s="216"/>
      <c r="Q434" s="230"/>
      <c r="BY434" s="147"/>
      <c r="CF434" s="148"/>
      <c r="DF434" s="144" t="s">
        <v>301</v>
      </c>
      <c r="DG434" s="144" t="s">
        <v>83</v>
      </c>
      <c r="DH434" s="11" t="s">
        <v>81</v>
      </c>
      <c r="DI434" s="11" t="s">
        <v>32</v>
      </c>
      <c r="DJ434" s="11" t="s">
        <v>74</v>
      </c>
      <c r="DK434" s="144" t="s">
        <v>282</v>
      </c>
    </row>
    <row r="435" spans="2:129" s="12" customFormat="1" x14ac:dyDescent="0.2">
      <c r="B435" s="149"/>
      <c r="D435" s="138" t="s">
        <v>301</v>
      </c>
      <c r="E435" s="150" t="s">
        <v>1</v>
      </c>
      <c r="F435" s="151" t="s">
        <v>2552</v>
      </c>
      <c r="H435" s="152">
        <v>218.52</v>
      </c>
      <c r="I435" s="153"/>
      <c r="L435" s="149"/>
      <c r="N435" s="217"/>
      <c r="O435" s="218"/>
      <c r="Q435" s="231"/>
      <c r="BY435" s="154"/>
      <c r="CF435" s="155"/>
      <c r="DF435" s="150" t="s">
        <v>301</v>
      </c>
      <c r="DG435" s="150" t="s">
        <v>83</v>
      </c>
      <c r="DH435" s="12" t="s">
        <v>83</v>
      </c>
      <c r="DI435" s="12" t="s">
        <v>32</v>
      </c>
      <c r="DJ435" s="12" t="s">
        <v>81</v>
      </c>
      <c r="DK435" s="150" t="s">
        <v>282</v>
      </c>
    </row>
    <row r="436" spans="2:129" s="1" customFormat="1" ht="14.45" customHeight="1" x14ac:dyDescent="0.2">
      <c r="B436" s="124"/>
      <c r="C436" s="125" t="s">
        <v>639</v>
      </c>
      <c r="D436" s="125" t="s">
        <v>284</v>
      </c>
      <c r="E436" s="126" t="s">
        <v>544</v>
      </c>
      <c r="F436" s="127" t="s">
        <v>545</v>
      </c>
      <c r="G436" s="128" t="s">
        <v>287</v>
      </c>
      <c r="H436" s="129">
        <v>491.05</v>
      </c>
      <c r="I436" s="130">
        <v>18.105699236185</v>
      </c>
      <c r="J436" s="131">
        <f>ROUND(I436*H436,2)</f>
        <v>8890.7999999999993</v>
      </c>
      <c r="K436" s="127" t="s">
        <v>293</v>
      </c>
      <c r="L436" s="198">
        <f>S436</f>
        <v>0</v>
      </c>
      <c r="M436" s="206">
        <f>ROUND(L436*I436,2)</f>
        <v>0</v>
      </c>
      <c r="N436" s="211">
        <f>N149</f>
        <v>-58.065000000000055</v>
      </c>
      <c r="O436" s="212">
        <f>ROUND(N436*I436,2)</f>
        <v>-1051.31</v>
      </c>
      <c r="P436" s="207">
        <f>H436-L436-N436</f>
        <v>549.11500000000001</v>
      </c>
      <c r="Q436" s="228">
        <f>ROUND(P436*I436,2)</f>
        <v>9942.11</v>
      </c>
      <c r="R436" s="199"/>
      <c r="S436" s="200">
        <f>W436+Y436+AA436+AC436+AE436+AG436+AI436+AK436+AM436+AO436+AQ436+AS436+AU436+AW436</f>
        <v>0</v>
      </c>
      <c r="T436" s="200">
        <f>ROUND(S436*I436,2)</f>
        <v>0</v>
      </c>
      <c r="U436" s="200">
        <f>H436-S436</f>
        <v>491.05</v>
      </c>
      <c r="V436" s="200">
        <f>ROUND(U436*I436,2)</f>
        <v>8890.7999999999993</v>
      </c>
      <c r="W436" s="200"/>
      <c r="X436" s="200"/>
      <c r="Y436" s="200"/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0"/>
      <c r="AP436" s="200"/>
      <c r="AQ436" s="200"/>
      <c r="AR436" s="200"/>
      <c r="AS436" s="200"/>
      <c r="AT436" s="200"/>
      <c r="AU436" s="200"/>
      <c r="AV436" s="200"/>
      <c r="AW436" s="200"/>
      <c r="AX436" s="200"/>
      <c r="BY436" s="132" t="s">
        <v>1</v>
      </c>
      <c r="BZ436" s="133" t="s">
        <v>40</v>
      </c>
      <c r="CB436" s="134">
        <f>CA436*H436</f>
        <v>0</v>
      </c>
      <c r="CC436" s="134">
        <v>0</v>
      </c>
      <c r="CD436" s="134">
        <f>CC436*H436</f>
        <v>0</v>
      </c>
      <c r="CE436" s="134">
        <v>0</v>
      </c>
      <c r="CF436" s="135">
        <f>CE436*H436</f>
        <v>0</v>
      </c>
      <c r="DD436" s="136" t="s">
        <v>95</v>
      </c>
      <c r="DF436" s="136" t="s">
        <v>284</v>
      </c>
      <c r="DG436" s="136" t="s">
        <v>83</v>
      </c>
      <c r="DK436" s="16" t="s">
        <v>282</v>
      </c>
      <c r="DQ436" s="137">
        <f>IF(BZ436="základní",J436,0)</f>
        <v>8890.7999999999993</v>
      </c>
      <c r="DR436" s="137">
        <f>IF(BZ436="snížená",J436,0)</f>
        <v>0</v>
      </c>
      <c r="DS436" s="137">
        <f>IF(BZ436="zákl. přenesená",J436,0)</f>
        <v>0</v>
      </c>
      <c r="DT436" s="137">
        <f>IF(BZ436="sníž. přenesená",J436,0)</f>
        <v>0</v>
      </c>
      <c r="DU436" s="137">
        <f>IF(BZ436="nulová",J436,0)</f>
        <v>0</v>
      </c>
      <c r="DV436" s="16" t="s">
        <v>81</v>
      </c>
      <c r="DW436" s="137">
        <f>ROUND(I436*H436,2)</f>
        <v>8890.7999999999993</v>
      </c>
      <c r="DX436" s="16" t="s">
        <v>95</v>
      </c>
      <c r="DY436" s="136" t="s">
        <v>2326</v>
      </c>
    </row>
    <row r="437" spans="2:129" s="1" customFormat="1" ht="19.5" x14ac:dyDescent="0.2">
      <c r="B437" s="31"/>
      <c r="D437" s="138" t="s">
        <v>289</v>
      </c>
      <c r="F437" s="139" t="s">
        <v>547</v>
      </c>
      <c r="I437" s="140"/>
      <c r="L437" s="31"/>
      <c r="N437" s="213"/>
      <c r="O437" s="214"/>
      <c r="Q437" s="229"/>
      <c r="BY437" s="141"/>
      <c r="CF437" s="50"/>
      <c r="DF437" s="16" t="s">
        <v>289</v>
      </c>
      <c r="DG437" s="16" t="s">
        <v>83</v>
      </c>
    </row>
    <row r="438" spans="2:129" s="1" customFormat="1" ht="24.2" customHeight="1" x14ac:dyDescent="0.2">
      <c r="B438" s="124"/>
      <c r="C438" s="125" t="s">
        <v>643</v>
      </c>
      <c r="D438" s="125" t="s">
        <v>284</v>
      </c>
      <c r="E438" s="126" t="s">
        <v>549</v>
      </c>
      <c r="F438" s="127" t="s">
        <v>550</v>
      </c>
      <c r="G438" s="128" t="s">
        <v>287</v>
      </c>
      <c r="H438" s="129">
        <v>491.05</v>
      </c>
      <c r="I438" s="130">
        <v>388.96896513366403</v>
      </c>
      <c r="J438" s="131">
        <f>ROUND(I438*H438,2)</f>
        <v>191003.21</v>
      </c>
      <c r="K438" s="127" t="s">
        <v>293</v>
      </c>
      <c r="L438" s="198">
        <f>S438</f>
        <v>0</v>
      </c>
      <c r="M438" s="206">
        <f>ROUND(L438*I438,2)</f>
        <v>0</v>
      </c>
      <c r="N438" s="211">
        <f>N436</f>
        <v>-58.065000000000055</v>
      </c>
      <c r="O438" s="212">
        <f>ROUND(N438*I438,2)</f>
        <v>-22585.48</v>
      </c>
      <c r="P438" s="207">
        <f>H438-L438-N438</f>
        <v>549.11500000000001</v>
      </c>
      <c r="Q438" s="228">
        <f>ROUND(P438*I438,2)</f>
        <v>213588.69</v>
      </c>
      <c r="R438" s="199"/>
      <c r="S438" s="200">
        <f>W438+Y438+AA438+AC438+AE438+AG438+AI438+AK438+AM438+AO438+AQ438+AS438+AU438+AW438</f>
        <v>0</v>
      </c>
      <c r="T438" s="200">
        <f>ROUND(S438*I438,2)</f>
        <v>0</v>
      </c>
      <c r="U438" s="200">
        <f>H438-S438</f>
        <v>491.05</v>
      </c>
      <c r="V438" s="200">
        <f>ROUND(U438*I438,2)</f>
        <v>191003.21</v>
      </c>
      <c r="W438" s="200"/>
      <c r="X438" s="200"/>
      <c r="Y438" s="200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0"/>
      <c r="AP438" s="200"/>
      <c r="AQ438" s="200"/>
      <c r="AR438" s="200"/>
      <c r="AS438" s="200"/>
      <c r="AT438" s="200"/>
      <c r="AU438" s="200"/>
      <c r="AV438" s="200"/>
      <c r="AW438" s="200"/>
      <c r="AX438" s="200"/>
      <c r="BY438" s="132" t="s">
        <v>1</v>
      </c>
      <c r="BZ438" s="133" t="s">
        <v>40</v>
      </c>
      <c r="CB438" s="134">
        <f>CA438*H438</f>
        <v>0</v>
      </c>
      <c r="CC438" s="134">
        <v>0</v>
      </c>
      <c r="CD438" s="134">
        <f>CC438*H438</f>
        <v>0</v>
      </c>
      <c r="CE438" s="134">
        <v>0</v>
      </c>
      <c r="CF438" s="135">
        <f>CE438*H438</f>
        <v>0</v>
      </c>
      <c r="DD438" s="136" t="s">
        <v>95</v>
      </c>
      <c r="DF438" s="136" t="s">
        <v>284</v>
      </c>
      <c r="DG438" s="136" t="s">
        <v>83</v>
      </c>
      <c r="DK438" s="16" t="s">
        <v>282</v>
      </c>
      <c r="DQ438" s="137">
        <f>IF(BZ438="základní",J438,0)</f>
        <v>191003.21</v>
      </c>
      <c r="DR438" s="137">
        <f>IF(BZ438="snížená",J438,0)</f>
        <v>0</v>
      </c>
      <c r="DS438" s="137">
        <f>IF(BZ438="zákl. přenesená",J438,0)</f>
        <v>0</v>
      </c>
      <c r="DT438" s="137">
        <f>IF(BZ438="sníž. přenesená",J438,0)</f>
        <v>0</v>
      </c>
      <c r="DU438" s="137">
        <f>IF(BZ438="nulová",J438,0)</f>
        <v>0</v>
      </c>
      <c r="DV438" s="16" t="s">
        <v>81</v>
      </c>
      <c r="DW438" s="137">
        <f>ROUND(I438*H438,2)</f>
        <v>191003.21</v>
      </c>
      <c r="DX438" s="16" t="s">
        <v>95</v>
      </c>
      <c r="DY438" s="136" t="s">
        <v>2327</v>
      </c>
    </row>
    <row r="439" spans="2:129" s="1" customFormat="1" ht="29.25" x14ac:dyDescent="0.2">
      <c r="B439" s="31"/>
      <c r="D439" s="138" t="s">
        <v>289</v>
      </c>
      <c r="F439" s="139" t="s">
        <v>552</v>
      </c>
      <c r="I439" s="140"/>
      <c r="L439" s="31"/>
      <c r="N439" s="213"/>
      <c r="O439" s="214"/>
      <c r="Q439" s="229"/>
      <c r="BY439" s="141"/>
      <c r="CF439" s="50"/>
      <c r="DF439" s="16" t="s">
        <v>289</v>
      </c>
      <c r="DG439" s="16" t="s">
        <v>83</v>
      </c>
    </row>
    <row r="440" spans="2:129" s="1" customFormat="1" ht="29.25" x14ac:dyDescent="0.2">
      <c r="B440" s="31"/>
      <c r="D440" s="138" t="s">
        <v>299</v>
      </c>
      <c r="F440" s="142" t="s">
        <v>2431</v>
      </c>
      <c r="I440" s="140"/>
      <c r="L440" s="31"/>
      <c r="N440" s="213"/>
      <c r="O440" s="214"/>
      <c r="Q440" s="229"/>
      <c r="BY440" s="141"/>
      <c r="CF440" s="50"/>
      <c r="DF440" s="16" t="s">
        <v>299</v>
      </c>
      <c r="DG440" s="16" t="s">
        <v>83</v>
      </c>
    </row>
    <row r="441" spans="2:129" s="11" customFormat="1" x14ac:dyDescent="0.2">
      <c r="B441" s="143"/>
      <c r="D441" s="138" t="s">
        <v>301</v>
      </c>
      <c r="E441" s="144" t="s">
        <v>1</v>
      </c>
      <c r="F441" s="145" t="s">
        <v>553</v>
      </c>
      <c r="H441" s="144" t="s">
        <v>1</v>
      </c>
      <c r="I441" s="146"/>
      <c r="L441" s="143"/>
      <c r="N441" s="215"/>
      <c r="O441" s="216"/>
      <c r="Q441" s="230"/>
      <c r="BY441" s="147"/>
      <c r="CF441" s="148"/>
      <c r="DF441" s="144" t="s">
        <v>301</v>
      </c>
      <c r="DG441" s="144" t="s">
        <v>83</v>
      </c>
      <c r="DH441" s="11" t="s">
        <v>81</v>
      </c>
      <c r="DI441" s="11" t="s">
        <v>32</v>
      </c>
      <c r="DJ441" s="11" t="s">
        <v>74</v>
      </c>
      <c r="DK441" s="144" t="s">
        <v>282</v>
      </c>
    </row>
    <row r="442" spans="2:129" s="12" customFormat="1" x14ac:dyDescent="0.2">
      <c r="B442" s="149"/>
      <c r="D442" s="138" t="s">
        <v>301</v>
      </c>
      <c r="E442" s="150" t="s">
        <v>1</v>
      </c>
      <c r="F442" s="151" t="s">
        <v>2553</v>
      </c>
      <c r="H442" s="152">
        <v>491.05</v>
      </c>
      <c r="I442" s="153"/>
      <c r="L442" s="149"/>
      <c r="N442" s="217"/>
      <c r="O442" s="218"/>
      <c r="Q442" s="231"/>
      <c r="BY442" s="154"/>
      <c r="CF442" s="155"/>
      <c r="DF442" s="150" t="s">
        <v>301</v>
      </c>
      <c r="DG442" s="150" t="s">
        <v>83</v>
      </c>
      <c r="DH442" s="12" t="s">
        <v>83</v>
      </c>
      <c r="DI442" s="12" t="s">
        <v>32</v>
      </c>
      <c r="DJ442" s="12" t="s">
        <v>81</v>
      </c>
      <c r="DK442" s="150" t="s">
        <v>282</v>
      </c>
    </row>
    <row r="443" spans="2:129" s="10" customFormat="1" ht="22.9" customHeight="1" x14ac:dyDescent="0.2">
      <c r="B443" s="112"/>
      <c r="D443" s="113" t="s">
        <v>73</v>
      </c>
      <c r="E443" s="122" t="s">
        <v>328</v>
      </c>
      <c r="F443" s="122" t="s">
        <v>555</v>
      </c>
      <c r="I443" s="115"/>
      <c r="J443" s="123">
        <f>DW443</f>
        <v>427425.89999999997</v>
      </c>
      <c r="L443" s="112"/>
      <c r="M443" s="202">
        <f>SUM(M444:M571)</f>
        <v>0</v>
      </c>
      <c r="N443" s="223"/>
      <c r="O443" s="224">
        <f t="shared" ref="O443:V443" si="6">SUM(O444:O571)</f>
        <v>1268.6399999999999</v>
      </c>
      <c r="P443" s="202"/>
      <c r="Q443" s="234">
        <f t="shared" si="6"/>
        <v>426157.24</v>
      </c>
      <c r="R443" s="202"/>
      <c r="S443" s="202"/>
      <c r="T443" s="202">
        <f t="shared" si="6"/>
        <v>0</v>
      </c>
      <c r="U443" s="202"/>
      <c r="V443" s="202">
        <f t="shared" si="6"/>
        <v>427425.89999999997</v>
      </c>
      <c r="BY443" s="117"/>
      <c r="CB443" s="118">
        <f>SUM(CB444:CB574)</f>
        <v>0</v>
      </c>
      <c r="CD443" s="118">
        <f>SUM(CD444:CD574)</f>
        <v>5.5647510000000011</v>
      </c>
      <c r="CF443" s="119">
        <f>SUM(CF444:CF574)</f>
        <v>0</v>
      </c>
      <c r="DD443" s="113" t="s">
        <v>81</v>
      </c>
      <c r="DF443" s="120" t="s">
        <v>73</v>
      </c>
      <c r="DG443" s="120" t="s">
        <v>81</v>
      </c>
      <c r="DK443" s="113" t="s">
        <v>282</v>
      </c>
      <c r="DW443" s="121">
        <f>SUM(DW444:DW574)</f>
        <v>427425.89999999997</v>
      </c>
    </row>
    <row r="444" spans="2:129" s="1" customFormat="1" ht="24.2" customHeight="1" x14ac:dyDescent="0.2">
      <c r="B444" s="124"/>
      <c r="C444" s="125" t="s">
        <v>650</v>
      </c>
      <c r="D444" s="125" t="s">
        <v>284</v>
      </c>
      <c r="E444" s="126" t="s">
        <v>2554</v>
      </c>
      <c r="F444" s="127" t="s">
        <v>2555</v>
      </c>
      <c r="G444" s="128" t="s">
        <v>485</v>
      </c>
      <c r="H444" s="129">
        <v>1.8</v>
      </c>
      <c r="I444" s="130">
        <v>867.50328054945919</v>
      </c>
      <c r="J444" s="131">
        <f>ROUND(I444*H444,2)</f>
        <v>1561.51</v>
      </c>
      <c r="K444" s="127" t="s">
        <v>293</v>
      </c>
      <c r="L444" s="198">
        <f>S444</f>
        <v>0</v>
      </c>
      <c r="M444" s="206">
        <f>ROUND(L444*I444,2)</f>
        <v>0</v>
      </c>
      <c r="N444" s="211"/>
      <c r="O444" s="212">
        <f>ROUND(N444*I444,2)</f>
        <v>0</v>
      </c>
      <c r="P444" s="207">
        <f>H444-L444-N444</f>
        <v>1.8</v>
      </c>
      <c r="Q444" s="228">
        <f>ROUND(P444*I444,2)</f>
        <v>1561.51</v>
      </c>
      <c r="R444" s="199"/>
      <c r="S444" s="200">
        <f>W444+Y444+AA444+AC444+AE444+AG444+AI444+AK444+AM444+AO444+AQ444+AS444+AU444+AW444</f>
        <v>0</v>
      </c>
      <c r="T444" s="200">
        <f>ROUND(S444*I444,2)</f>
        <v>0</v>
      </c>
      <c r="U444" s="200">
        <f>H444-S444</f>
        <v>1.8</v>
      </c>
      <c r="V444" s="200">
        <f>ROUND(U444*I444,2)</f>
        <v>1561.51</v>
      </c>
      <c r="W444" s="200"/>
      <c r="X444" s="200"/>
      <c r="Y444" s="200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0"/>
      <c r="AP444" s="200"/>
      <c r="AQ444" s="200"/>
      <c r="AR444" s="200"/>
      <c r="AS444" s="200"/>
      <c r="AT444" s="200"/>
      <c r="AU444" s="200"/>
      <c r="AV444" s="200"/>
      <c r="AW444" s="200"/>
      <c r="AX444" s="200"/>
      <c r="BY444" s="132" t="s">
        <v>1</v>
      </c>
      <c r="BZ444" s="133" t="s">
        <v>40</v>
      </c>
      <c r="CB444" s="134">
        <f>CA444*H444</f>
        <v>0</v>
      </c>
      <c r="CC444" s="134">
        <v>1.67E-3</v>
      </c>
      <c r="CD444" s="134">
        <f>CC444*H444</f>
        <v>3.006E-3</v>
      </c>
      <c r="CE444" s="134">
        <v>0</v>
      </c>
      <c r="CF444" s="135">
        <f>CE444*H444</f>
        <v>0</v>
      </c>
      <c r="DD444" s="136" t="s">
        <v>95</v>
      </c>
      <c r="DF444" s="136" t="s">
        <v>284</v>
      </c>
      <c r="DG444" s="136" t="s">
        <v>83</v>
      </c>
      <c r="DK444" s="16" t="s">
        <v>282</v>
      </c>
      <c r="DQ444" s="137">
        <f>IF(BZ444="základní",J444,0)</f>
        <v>1561.51</v>
      </c>
      <c r="DR444" s="137">
        <f>IF(BZ444="snížená",J444,0)</f>
        <v>0</v>
      </c>
      <c r="DS444" s="137">
        <f>IF(BZ444="zákl. přenesená",J444,0)</f>
        <v>0</v>
      </c>
      <c r="DT444" s="137">
        <f>IF(BZ444="sníž. přenesená",J444,0)</f>
        <v>0</v>
      </c>
      <c r="DU444" s="137">
        <f>IF(BZ444="nulová",J444,0)</f>
        <v>0</v>
      </c>
      <c r="DV444" s="16" t="s">
        <v>81</v>
      </c>
      <c r="DW444" s="137">
        <f>ROUND(I444*H444,2)</f>
        <v>1561.51</v>
      </c>
      <c r="DX444" s="16" t="s">
        <v>95</v>
      </c>
      <c r="DY444" s="136" t="s">
        <v>2556</v>
      </c>
    </row>
    <row r="445" spans="2:129" s="1" customFormat="1" ht="19.5" x14ac:dyDescent="0.2">
      <c r="B445" s="31"/>
      <c r="D445" s="138" t="s">
        <v>289</v>
      </c>
      <c r="F445" s="139" t="s">
        <v>2557</v>
      </c>
      <c r="I445" s="140"/>
      <c r="L445" s="31"/>
      <c r="N445" s="213"/>
      <c r="O445" s="214"/>
      <c r="Q445" s="229"/>
      <c r="BY445" s="141"/>
      <c r="CF445" s="50"/>
      <c r="DF445" s="16" t="s">
        <v>289</v>
      </c>
      <c r="DG445" s="16" t="s">
        <v>83</v>
      </c>
    </row>
    <row r="446" spans="2:129" s="1" customFormat="1" ht="29.25" x14ac:dyDescent="0.2">
      <c r="B446" s="31"/>
      <c r="D446" s="138" t="s">
        <v>299</v>
      </c>
      <c r="F446" s="142" t="s">
        <v>2431</v>
      </c>
      <c r="I446" s="140"/>
      <c r="L446" s="31"/>
      <c r="N446" s="213"/>
      <c r="O446" s="214"/>
      <c r="Q446" s="229"/>
      <c r="BY446" s="141"/>
      <c r="CF446" s="50"/>
      <c r="DF446" s="16" t="s">
        <v>299</v>
      </c>
      <c r="DG446" s="16" t="s">
        <v>83</v>
      </c>
    </row>
    <row r="447" spans="2:129" s="12" customFormat="1" x14ac:dyDescent="0.2">
      <c r="B447" s="149"/>
      <c r="D447" s="138" t="s">
        <v>301</v>
      </c>
      <c r="E447" s="150" t="s">
        <v>1</v>
      </c>
      <c r="F447" s="151" t="s">
        <v>2558</v>
      </c>
      <c r="H447" s="152">
        <v>1.8</v>
      </c>
      <c r="I447" s="153"/>
      <c r="L447" s="149"/>
      <c r="N447" s="217"/>
      <c r="O447" s="218"/>
      <c r="Q447" s="231"/>
      <c r="BY447" s="154"/>
      <c r="CF447" s="155"/>
      <c r="DF447" s="150" t="s">
        <v>301</v>
      </c>
      <c r="DG447" s="150" t="s">
        <v>83</v>
      </c>
      <c r="DH447" s="12" t="s">
        <v>83</v>
      </c>
      <c r="DI447" s="12" t="s">
        <v>32</v>
      </c>
      <c r="DJ447" s="12" t="s">
        <v>81</v>
      </c>
      <c r="DK447" s="150" t="s">
        <v>282</v>
      </c>
    </row>
    <row r="448" spans="2:129" s="1" customFormat="1" ht="24.2" customHeight="1" x14ac:dyDescent="0.2">
      <c r="B448" s="124"/>
      <c r="C448" s="170" t="s">
        <v>655</v>
      </c>
      <c r="D448" s="170" t="s">
        <v>439</v>
      </c>
      <c r="E448" s="171" t="s">
        <v>2559</v>
      </c>
      <c r="F448" s="172" t="s">
        <v>2560</v>
      </c>
      <c r="G448" s="173" t="s">
        <v>485</v>
      </c>
      <c r="H448" s="174">
        <v>1.89</v>
      </c>
      <c r="I448" s="175">
        <v>6507.3718589999999</v>
      </c>
      <c r="J448" s="176">
        <f>ROUND(I448*H448,2)</f>
        <v>12298.93</v>
      </c>
      <c r="K448" s="172" t="s">
        <v>293</v>
      </c>
      <c r="L448" s="198">
        <f>S448</f>
        <v>0</v>
      </c>
      <c r="M448" s="206">
        <f>ROUND(L448*I448,2)</f>
        <v>0</v>
      </c>
      <c r="N448" s="211"/>
      <c r="O448" s="212">
        <f>ROUND(N448*I448,2)</f>
        <v>0</v>
      </c>
      <c r="P448" s="207">
        <f>H448-L448-N448</f>
        <v>1.89</v>
      </c>
      <c r="Q448" s="228">
        <f>ROUND(P448*I448,2)</f>
        <v>12298.93</v>
      </c>
      <c r="R448" s="199"/>
      <c r="S448" s="200">
        <f>W448+Y448+AA448+AC448+AE448+AG448+AI448+AK448+AM448+AO448+AQ448+AS448+AU448+AW448</f>
        <v>0</v>
      </c>
      <c r="T448" s="200">
        <f>ROUND(S448*I448,2)</f>
        <v>0</v>
      </c>
      <c r="U448" s="200">
        <f>H448-S448</f>
        <v>1.89</v>
      </c>
      <c r="V448" s="200">
        <f>ROUND(U448*I448,2)</f>
        <v>12298.93</v>
      </c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77" t="s">
        <v>1</v>
      </c>
      <c r="BZ448" s="178" t="s">
        <v>40</v>
      </c>
      <c r="CB448" s="134">
        <f>CA448*H448</f>
        <v>0</v>
      </c>
      <c r="CC448" s="134">
        <v>1.78E-2</v>
      </c>
      <c r="CD448" s="134">
        <f>CC448*H448</f>
        <v>3.3641999999999998E-2</v>
      </c>
      <c r="CE448" s="134">
        <v>0</v>
      </c>
      <c r="CF448" s="135">
        <f>CE448*H448</f>
        <v>0</v>
      </c>
      <c r="DD448" s="136" t="s">
        <v>328</v>
      </c>
      <c r="DF448" s="136" t="s">
        <v>439</v>
      </c>
      <c r="DG448" s="136" t="s">
        <v>83</v>
      </c>
      <c r="DK448" s="16" t="s">
        <v>282</v>
      </c>
      <c r="DQ448" s="137">
        <f>IF(BZ448="základní",J448,0)</f>
        <v>12298.93</v>
      </c>
      <c r="DR448" s="137">
        <f>IF(BZ448="snížená",J448,0)</f>
        <v>0</v>
      </c>
      <c r="DS448" s="137">
        <f>IF(BZ448="zákl. přenesená",J448,0)</f>
        <v>0</v>
      </c>
      <c r="DT448" s="137">
        <f>IF(BZ448="sníž. přenesená",J448,0)</f>
        <v>0</v>
      </c>
      <c r="DU448" s="137">
        <f>IF(BZ448="nulová",J448,0)</f>
        <v>0</v>
      </c>
      <c r="DV448" s="16" t="s">
        <v>81</v>
      </c>
      <c r="DW448" s="137">
        <f>ROUND(I448*H448,2)</f>
        <v>12298.93</v>
      </c>
      <c r="DX448" s="16" t="s">
        <v>95</v>
      </c>
      <c r="DY448" s="136" t="s">
        <v>2561</v>
      </c>
    </row>
    <row r="449" spans="2:129" s="1" customFormat="1" x14ac:dyDescent="0.2">
      <c r="B449" s="31"/>
      <c r="D449" s="138" t="s">
        <v>289</v>
      </c>
      <c r="F449" s="139" t="s">
        <v>2560</v>
      </c>
      <c r="I449" s="140"/>
      <c r="L449" s="31"/>
      <c r="N449" s="213"/>
      <c r="O449" s="214"/>
      <c r="Q449" s="229"/>
      <c r="BY449" s="141"/>
      <c r="CF449" s="50"/>
      <c r="DF449" s="16" t="s">
        <v>289</v>
      </c>
      <c r="DG449" s="16" t="s">
        <v>83</v>
      </c>
    </row>
    <row r="450" spans="2:129" s="12" customFormat="1" x14ac:dyDescent="0.2">
      <c r="B450" s="149"/>
      <c r="D450" s="138" t="s">
        <v>301</v>
      </c>
      <c r="F450" s="151" t="s">
        <v>2562</v>
      </c>
      <c r="H450" s="152">
        <v>1.89</v>
      </c>
      <c r="I450" s="153"/>
      <c r="L450" s="149"/>
      <c r="N450" s="217"/>
      <c r="O450" s="218"/>
      <c r="Q450" s="231"/>
      <c r="BY450" s="154"/>
      <c r="CF450" s="155"/>
      <c r="DF450" s="150" t="s">
        <v>301</v>
      </c>
      <c r="DG450" s="150" t="s">
        <v>83</v>
      </c>
      <c r="DH450" s="12" t="s">
        <v>83</v>
      </c>
      <c r="DI450" s="12" t="s">
        <v>3</v>
      </c>
      <c r="DJ450" s="12" t="s">
        <v>81</v>
      </c>
      <c r="DK450" s="150" t="s">
        <v>282</v>
      </c>
    </row>
    <row r="451" spans="2:129" s="1" customFormat="1" ht="24.2" customHeight="1" x14ac:dyDescent="0.2">
      <c r="B451" s="124"/>
      <c r="C451" s="125" t="s">
        <v>660</v>
      </c>
      <c r="D451" s="125" t="s">
        <v>284</v>
      </c>
      <c r="E451" s="126" t="s">
        <v>2563</v>
      </c>
      <c r="F451" s="127" t="s">
        <v>2564</v>
      </c>
      <c r="G451" s="128" t="s">
        <v>485</v>
      </c>
      <c r="H451" s="129">
        <v>4</v>
      </c>
      <c r="I451" s="130">
        <v>674.71199565088716</v>
      </c>
      <c r="J451" s="131">
        <f>ROUND(I451*H451,2)</f>
        <v>2698.85</v>
      </c>
      <c r="K451" s="127" t="s">
        <v>293</v>
      </c>
      <c r="L451" s="198">
        <f>S451</f>
        <v>0</v>
      </c>
      <c r="M451" s="206">
        <f>ROUND(L451*I451,2)</f>
        <v>0</v>
      </c>
      <c r="N451" s="211"/>
      <c r="O451" s="212">
        <f>ROUND(N451*I451,2)</f>
        <v>0</v>
      </c>
      <c r="P451" s="207">
        <f>H451-L451-N451</f>
        <v>4</v>
      </c>
      <c r="Q451" s="228">
        <f>ROUND(P451*I451,2)</f>
        <v>2698.85</v>
      </c>
      <c r="R451" s="199"/>
      <c r="S451" s="200">
        <f>W451+Y451+AA451+AC451+AE451+AG451+AI451+AK451+AM451+AO451+AQ451+AS451+AU451+AW451</f>
        <v>0</v>
      </c>
      <c r="T451" s="200">
        <f>ROUND(S451*I451,2)</f>
        <v>0</v>
      </c>
      <c r="U451" s="200">
        <f>H451-S451</f>
        <v>4</v>
      </c>
      <c r="V451" s="200">
        <f>ROUND(U451*I451,2)</f>
        <v>2698.85</v>
      </c>
      <c r="W451" s="200"/>
      <c r="X451" s="200"/>
      <c r="Y451" s="200"/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0"/>
      <c r="AP451" s="200"/>
      <c r="AQ451" s="200"/>
      <c r="AR451" s="200"/>
      <c r="AS451" s="200"/>
      <c r="AT451" s="200"/>
      <c r="AU451" s="200"/>
      <c r="AV451" s="200"/>
      <c r="AW451" s="200"/>
      <c r="AX451" s="200"/>
      <c r="BY451" s="132" t="s">
        <v>1</v>
      </c>
      <c r="BZ451" s="133" t="s">
        <v>40</v>
      </c>
      <c r="CB451" s="134">
        <f>CA451*H451</f>
        <v>0</v>
      </c>
      <c r="CC451" s="134">
        <v>1.67E-3</v>
      </c>
      <c r="CD451" s="134">
        <f>CC451*H451</f>
        <v>6.6800000000000002E-3</v>
      </c>
      <c r="CE451" s="134">
        <v>0</v>
      </c>
      <c r="CF451" s="135">
        <f>CE451*H451</f>
        <v>0</v>
      </c>
      <c r="DD451" s="136" t="s">
        <v>95</v>
      </c>
      <c r="DF451" s="136" t="s">
        <v>284</v>
      </c>
      <c r="DG451" s="136" t="s">
        <v>83</v>
      </c>
      <c r="DK451" s="16" t="s">
        <v>282</v>
      </c>
      <c r="DQ451" s="137">
        <f>IF(BZ451="základní",J451,0)</f>
        <v>2698.85</v>
      </c>
      <c r="DR451" s="137">
        <f>IF(BZ451="snížená",J451,0)</f>
        <v>0</v>
      </c>
      <c r="DS451" s="137">
        <f>IF(BZ451="zákl. přenesená",J451,0)</f>
        <v>0</v>
      </c>
      <c r="DT451" s="137">
        <f>IF(BZ451="sníž. přenesená",J451,0)</f>
        <v>0</v>
      </c>
      <c r="DU451" s="137">
        <f>IF(BZ451="nulová",J451,0)</f>
        <v>0</v>
      </c>
      <c r="DV451" s="16" t="s">
        <v>81</v>
      </c>
      <c r="DW451" s="137">
        <f>ROUND(I451*H451,2)</f>
        <v>2698.85</v>
      </c>
      <c r="DX451" s="16" t="s">
        <v>95</v>
      </c>
      <c r="DY451" s="136" t="s">
        <v>2565</v>
      </c>
    </row>
    <row r="452" spans="2:129" s="1" customFormat="1" ht="29.25" x14ac:dyDescent="0.2">
      <c r="B452" s="31"/>
      <c r="D452" s="138" t="s">
        <v>289</v>
      </c>
      <c r="F452" s="139" t="s">
        <v>2566</v>
      </c>
      <c r="I452" s="140"/>
      <c r="L452" s="31"/>
      <c r="N452" s="213"/>
      <c r="O452" s="214"/>
      <c r="Q452" s="229"/>
      <c r="BY452" s="141"/>
      <c r="CF452" s="50"/>
      <c r="DF452" s="16" t="s">
        <v>289</v>
      </c>
      <c r="DG452" s="16" t="s">
        <v>83</v>
      </c>
    </row>
    <row r="453" spans="2:129" s="1" customFormat="1" ht="29.25" x14ac:dyDescent="0.2">
      <c r="B453" s="31"/>
      <c r="D453" s="138" t="s">
        <v>299</v>
      </c>
      <c r="F453" s="142" t="s">
        <v>2431</v>
      </c>
      <c r="I453" s="140"/>
      <c r="L453" s="31"/>
      <c r="N453" s="213"/>
      <c r="O453" s="214"/>
      <c r="Q453" s="229"/>
      <c r="BY453" s="141"/>
      <c r="CF453" s="50"/>
      <c r="DF453" s="16" t="s">
        <v>299</v>
      </c>
      <c r="DG453" s="16" t="s">
        <v>83</v>
      </c>
    </row>
    <row r="454" spans="2:129" s="12" customFormat="1" x14ac:dyDescent="0.2">
      <c r="B454" s="149"/>
      <c r="D454" s="138" t="s">
        <v>301</v>
      </c>
      <c r="E454" s="150" t="s">
        <v>1</v>
      </c>
      <c r="F454" s="151" t="s">
        <v>2508</v>
      </c>
      <c r="H454" s="152">
        <v>4</v>
      </c>
      <c r="I454" s="153"/>
      <c r="L454" s="149"/>
      <c r="N454" s="217"/>
      <c r="O454" s="218"/>
      <c r="Q454" s="231"/>
      <c r="BY454" s="154"/>
      <c r="CF454" s="155"/>
      <c r="DF454" s="150" t="s">
        <v>301</v>
      </c>
      <c r="DG454" s="150" t="s">
        <v>83</v>
      </c>
      <c r="DH454" s="12" t="s">
        <v>83</v>
      </c>
      <c r="DI454" s="12" t="s">
        <v>32</v>
      </c>
      <c r="DJ454" s="12" t="s">
        <v>81</v>
      </c>
      <c r="DK454" s="150" t="s">
        <v>282</v>
      </c>
    </row>
    <row r="455" spans="2:129" s="1" customFormat="1" ht="24.2" customHeight="1" x14ac:dyDescent="0.2">
      <c r="B455" s="124"/>
      <c r="C455" s="170" t="s">
        <v>666</v>
      </c>
      <c r="D455" s="170" t="s">
        <v>439</v>
      </c>
      <c r="E455" s="171" t="s">
        <v>2567</v>
      </c>
      <c r="F455" s="172" t="s">
        <v>2568</v>
      </c>
      <c r="G455" s="173" t="s">
        <v>485</v>
      </c>
      <c r="H455" s="174">
        <v>2</v>
      </c>
      <c r="I455" s="175">
        <v>2794.2863149999998</v>
      </c>
      <c r="J455" s="176">
        <f>ROUND(I455*H455,2)</f>
        <v>5588.57</v>
      </c>
      <c r="K455" s="172" t="s">
        <v>293</v>
      </c>
      <c r="L455" s="198">
        <f>S455</f>
        <v>0</v>
      </c>
      <c r="M455" s="206">
        <f>ROUND(L455*I455,2)</f>
        <v>0</v>
      </c>
      <c r="N455" s="211"/>
      <c r="O455" s="212">
        <f>ROUND(N455*I455,2)</f>
        <v>0</v>
      </c>
      <c r="P455" s="207">
        <f>H455-L455-N455</f>
        <v>2</v>
      </c>
      <c r="Q455" s="228">
        <f>ROUND(P455*I455,2)</f>
        <v>5588.57</v>
      </c>
      <c r="R455" s="199"/>
      <c r="S455" s="200">
        <f>W455+Y455+AA455+AC455+AE455+AG455+AI455+AK455+AM455+AO455+AQ455+AS455+AU455+AW455</f>
        <v>0</v>
      </c>
      <c r="T455" s="200">
        <f>ROUND(S455*I455,2)</f>
        <v>0</v>
      </c>
      <c r="U455" s="200">
        <f>H455-S455</f>
        <v>2</v>
      </c>
      <c r="V455" s="200">
        <f>ROUND(U455*I455,2)</f>
        <v>5588.57</v>
      </c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77" t="s">
        <v>1</v>
      </c>
      <c r="BZ455" s="178" t="s">
        <v>40</v>
      </c>
      <c r="CB455" s="134">
        <f>CA455*H455</f>
        <v>0</v>
      </c>
      <c r="CC455" s="134">
        <v>1.2200000000000001E-2</v>
      </c>
      <c r="CD455" s="134">
        <f>CC455*H455</f>
        <v>2.4400000000000002E-2</v>
      </c>
      <c r="CE455" s="134">
        <v>0</v>
      </c>
      <c r="CF455" s="135">
        <f>CE455*H455</f>
        <v>0</v>
      </c>
      <c r="DD455" s="136" t="s">
        <v>328</v>
      </c>
      <c r="DF455" s="136" t="s">
        <v>439</v>
      </c>
      <c r="DG455" s="136" t="s">
        <v>83</v>
      </c>
      <c r="DK455" s="16" t="s">
        <v>282</v>
      </c>
      <c r="DQ455" s="137">
        <f>IF(BZ455="základní",J455,0)</f>
        <v>5588.57</v>
      </c>
      <c r="DR455" s="137">
        <f>IF(BZ455="snížená",J455,0)</f>
        <v>0</v>
      </c>
      <c r="DS455" s="137">
        <f>IF(BZ455="zákl. přenesená",J455,0)</f>
        <v>0</v>
      </c>
      <c r="DT455" s="137">
        <f>IF(BZ455="sníž. přenesená",J455,0)</f>
        <v>0</v>
      </c>
      <c r="DU455" s="137">
        <f>IF(BZ455="nulová",J455,0)</f>
        <v>0</v>
      </c>
      <c r="DV455" s="16" t="s">
        <v>81</v>
      </c>
      <c r="DW455" s="137">
        <f>ROUND(I455*H455,2)</f>
        <v>5588.57</v>
      </c>
      <c r="DX455" s="16" t="s">
        <v>95</v>
      </c>
      <c r="DY455" s="136" t="s">
        <v>2569</v>
      </c>
    </row>
    <row r="456" spans="2:129" s="1" customFormat="1" ht="19.5" x14ac:dyDescent="0.2">
      <c r="B456" s="31"/>
      <c r="D456" s="138" t="s">
        <v>289</v>
      </c>
      <c r="F456" s="139" t="s">
        <v>2568</v>
      </c>
      <c r="I456" s="140"/>
      <c r="L456" s="31"/>
      <c r="N456" s="213"/>
      <c r="O456" s="214"/>
      <c r="Q456" s="229"/>
      <c r="BY456" s="141"/>
      <c r="CF456" s="50"/>
      <c r="DF456" s="16" t="s">
        <v>289</v>
      </c>
      <c r="DG456" s="16" t="s">
        <v>83</v>
      </c>
    </row>
    <row r="457" spans="2:129" s="1" customFormat="1" ht="14.45" customHeight="1" x14ac:dyDescent="0.2">
      <c r="B457" s="124"/>
      <c r="C457" s="170" t="s">
        <v>670</v>
      </c>
      <c r="D457" s="170" t="s">
        <v>439</v>
      </c>
      <c r="E457" s="171" t="s">
        <v>671</v>
      </c>
      <c r="F457" s="172" t="s">
        <v>2570</v>
      </c>
      <c r="G457" s="173" t="s">
        <v>485</v>
      </c>
      <c r="H457" s="174">
        <v>2</v>
      </c>
      <c r="I457" s="175">
        <v>3618.3639739999999</v>
      </c>
      <c r="J457" s="176">
        <f>ROUND(I457*H457,2)</f>
        <v>7236.73</v>
      </c>
      <c r="K457" s="172" t="s">
        <v>1</v>
      </c>
      <c r="L457" s="198">
        <f>S457</f>
        <v>0</v>
      </c>
      <c r="M457" s="206">
        <f>ROUND(L457*I457,2)</f>
        <v>0</v>
      </c>
      <c r="N457" s="211"/>
      <c r="O457" s="212">
        <f>ROUND(N457*I457,2)</f>
        <v>0</v>
      </c>
      <c r="P457" s="207">
        <f>H457-L457-N457</f>
        <v>2</v>
      </c>
      <c r="Q457" s="228">
        <f>ROUND(P457*I457,2)</f>
        <v>7236.73</v>
      </c>
      <c r="R457" s="199"/>
      <c r="S457" s="200">
        <f>W457+Y457+AA457+AC457+AE457+AG457+AI457+AK457+AM457+AO457+AQ457+AS457+AU457+AW457</f>
        <v>0</v>
      </c>
      <c r="T457" s="200">
        <f>ROUND(S457*I457,2)</f>
        <v>0</v>
      </c>
      <c r="U457" s="200">
        <f>H457-S457</f>
        <v>2</v>
      </c>
      <c r="V457" s="200">
        <f>ROUND(U457*I457,2)</f>
        <v>7236.73</v>
      </c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77" t="s">
        <v>1</v>
      </c>
      <c r="BZ457" s="178" t="s">
        <v>40</v>
      </c>
      <c r="CB457" s="134">
        <f>CA457*H457</f>
        <v>0</v>
      </c>
      <c r="CC457" s="134">
        <v>4.5999999999999999E-2</v>
      </c>
      <c r="CD457" s="134">
        <f>CC457*H457</f>
        <v>9.1999999999999998E-2</v>
      </c>
      <c r="CE457" s="134">
        <v>0</v>
      </c>
      <c r="CF457" s="135">
        <f>CE457*H457</f>
        <v>0</v>
      </c>
      <c r="DD457" s="136" t="s">
        <v>328</v>
      </c>
      <c r="DF457" s="136" t="s">
        <v>439</v>
      </c>
      <c r="DG457" s="136" t="s">
        <v>83</v>
      </c>
      <c r="DK457" s="16" t="s">
        <v>282</v>
      </c>
      <c r="DQ457" s="137">
        <f>IF(BZ457="základní",J457,0)</f>
        <v>7236.73</v>
      </c>
      <c r="DR457" s="137">
        <f>IF(BZ457="snížená",J457,0)</f>
        <v>0</v>
      </c>
      <c r="DS457" s="137">
        <f>IF(BZ457="zákl. přenesená",J457,0)</f>
        <v>0</v>
      </c>
      <c r="DT457" s="137">
        <f>IF(BZ457="sníž. přenesená",J457,0)</f>
        <v>0</v>
      </c>
      <c r="DU457" s="137">
        <f>IF(BZ457="nulová",J457,0)</f>
        <v>0</v>
      </c>
      <c r="DV457" s="16" t="s">
        <v>81</v>
      </c>
      <c r="DW457" s="137">
        <f>ROUND(I457*H457,2)</f>
        <v>7236.73</v>
      </c>
      <c r="DX457" s="16" t="s">
        <v>95</v>
      </c>
      <c r="DY457" s="136" t="s">
        <v>2571</v>
      </c>
    </row>
    <row r="458" spans="2:129" s="1" customFormat="1" x14ac:dyDescent="0.2">
      <c r="B458" s="31"/>
      <c r="D458" s="138" t="s">
        <v>289</v>
      </c>
      <c r="F458" s="139" t="s">
        <v>2570</v>
      </c>
      <c r="I458" s="140"/>
      <c r="L458" s="31"/>
      <c r="N458" s="213"/>
      <c r="O458" s="214"/>
      <c r="Q458" s="229"/>
      <c r="BY458" s="141"/>
      <c r="CF458" s="50"/>
      <c r="DF458" s="16" t="s">
        <v>289</v>
      </c>
      <c r="DG458" s="16" t="s">
        <v>83</v>
      </c>
    </row>
    <row r="459" spans="2:129" s="1" customFormat="1" ht="24.2" customHeight="1" x14ac:dyDescent="0.2">
      <c r="B459" s="124"/>
      <c r="C459" s="125" t="s">
        <v>675</v>
      </c>
      <c r="D459" s="125" t="s">
        <v>284</v>
      </c>
      <c r="E459" s="126" t="s">
        <v>2572</v>
      </c>
      <c r="F459" s="127" t="s">
        <v>2573</v>
      </c>
      <c r="G459" s="128" t="s">
        <v>485</v>
      </c>
      <c r="H459" s="129">
        <v>2</v>
      </c>
      <c r="I459" s="130">
        <v>1008.3774696655136</v>
      </c>
      <c r="J459" s="131">
        <f>ROUND(I459*H459,2)</f>
        <v>2016.75</v>
      </c>
      <c r="K459" s="127" t="s">
        <v>293</v>
      </c>
      <c r="L459" s="198">
        <f>S459</f>
        <v>0</v>
      </c>
      <c r="M459" s="206">
        <f>ROUND(L459*I459,2)</f>
        <v>0</v>
      </c>
      <c r="N459" s="211"/>
      <c r="O459" s="212">
        <f>ROUND(N459*I459,2)</f>
        <v>0</v>
      </c>
      <c r="P459" s="207">
        <f>H459-L459-N459</f>
        <v>2</v>
      </c>
      <c r="Q459" s="228">
        <f>ROUND(P459*I459,2)</f>
        <v>2016.75</v>
      </c>
      <c r="R459" s="199"/>
      <c r="S459" s="200">
        <f>W459+Y459+AA459+AC459+AE459+AG459+AI459+AK459+AM459+AO459+AQ459+AS459+AU459+AW459</f>
        <v>0</v>
      </c>
      <c r="T459" s="200">
        <f>ROUND(S459*I459,2)</f>
        <v>0</v>
      </c>
      <c r="U459" s="200">
        <f>H459-S459</f>
        <v>2</v>
      </c>
      <c r="V459" s="200">
        <f>ROUND(U459*I459,2)</f>
        <v>2016.75</v>
      </c>
      <c r="W459" s="200"/>
      <c r="X459" s="200"/>
      <c r="Y459" s="200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0"/>
      <c r="AP459" s="200"/>
      <c r="AQ459" s="200"/>
      <c r="AR459" s="200"/>
      <c r="AS459" s="200"/>
      <c r="AT459" s="200"/>
      <c r="AU459" s="200"/>
      <c r="AV459" s="200"/>
      <c r="AW459" s="200"/>
      <c r="AX459" s="200"/>
      <c r="BY459" s="132" t="s">
        <v>1</v>
      </c>
      <c r="BZ459" s="133" t="s">
        <v>40</v>
      </c>
      <c r="CB459" s="134">
        <f>CA459*H459</f>
        <v>0</v>
      </c>
      <c r="CC459" s="134">
        <v>1.7099999999999999E-3</v>
      </c>
      <c r="CD459" s="134">
        <f>CC459*H459</f>
        <v>3.4199999999999999E-3</v>
      </c>
      <c r="CE459" s="134">
        <v>0</v>
      </c>
      <c r="CF459" s="135">
        <f>CE459*H459</f>
        <v>0</v>
      </c>
      <c r="DD459" s="136" t="s">
        <v>95</v>
      </c>
      <c r="DF459" s="136" t="s">
        <v>284</v>
      </c>
      <c r="DG459" s="136" t="s">
        <v>83</v>
      </c>
      <c r="DK459" s="16" t="s">
        <v>282</v>
      </c>
      <c r="DQ459" s="137">
        <f>IF(BZ459="základní",J459,0)</f>
        <v>2016.75</v>
      </c>
      <c r="DR459" s="137">
        <f>IF(BZ459="snížená",J459,0)</f>
        <v>0</v>
      </c>
      <c r="DS459" s="137">
        <f>IF(BZ459="zákl. přenesená",J459,0)</f>
        <v>0</v>
      </c>
      <c r="DT459" s="137">
        <f>IF(BZ459="sníž. přenesená",J459,0)</f>
        <v>0</v>
      </c>
      <c r="DU459" s="137">
        <f>IF(BZ459="nulová",J459,0)</f>
        <v>0</v>
      </c>
      <c r="DV459" s="16" t="s">
        <v>81</v>
      </c>
      <c r="DW459" s="137">
        <f>ROUND(I459*H459,2)</f>
        <v>2016.75</v>
      </c>
      <c r="DX459" s="16" t="s">
        <v>95</v>
      </c>
      <c r="DY459" s="136" t="s">
        <v>2574</v>
      </c>
    </row>
    <row r="460" spans="2:129" s="1" customFormat="1" ht="29.25" x14ac:dyDescent="0.2">
      <c r="B460" s="31"/>
      <c r="D460" s="138" t="s">
        <v>289</v>
      </c>
      <c r="F460" s="139" t="s">
        <v>2575</v>
      </c>
      <c r="I460" s="140"/>
      <c r="L460" s="31"/>
      <c r="N460" s="213"/>
      <c r="O460" s="214"/>
      <c r="Q460" s="229"/>
      <c r="BY460" s="141"/>
      <c r="CF460" s="50"/>
      <c r="DF460" s="16" t="s">
        <v>289</v>
      </c>
      <c r="DG460" s="16" t="s">
        <v>83</v>
      </c>
    </row>
    <row r="461" spans="2:129" s="1" customFormat="1" ht="29.25" x14ac:dyDescent="0.2">
      <c r="B461" s="31"/>
      <c r="D461" s="138" t="s">
        <v>299</v>
      </c>
      <c r="F461" s="142" t="s">
        <v>2431</v>
      </c>
      <c r="I461" s="140"/>
      <c r="L461" s="31"/>
      <c r="N461" s="213"/>
      <c r="O461" s="214"/>
      <c r="Q461" s="229"/>
      <c r="BY461" s="141"/>
      <c r="CF461" s="50"/>
      <c r="DF461" s="16" t="s">
        <v>299</v>
      </c>
      <c r="DG461" s="16" t="s">
        <v>83</v>
      </c>
    </row>
    <row r="462" spans="2:129" s="12" customFormat="1" x14ac:dyDescent="0.2">
      <c r="B462" s="149"/>
      <c r="D462" s="138" t="s">
        <v>301</v>
      </c>
      <c r="E462" s="150" t="s">
        <v>1</v>
      </c>
      <c r="F462" s="151" t="s">
        <v>83</v>
      </c>
      <c r="H462" s="152">
        <v>2</v>
      </c>
      <c r="I462" s="153"/>
      <c r="L462" s="149"/>
      <c r="N462" s="217"/>
      <c r="O462" s="218"/>
      <c r="Q462" s="231"/>
      <c r="BY462" s="154"/>
      <c r="CF462" s="155"/>
      <c r="DF462" s="150" t="s">
        <v>301</v>
      </c>
      <c r="DG462" s="150" t="s">
        <v>83</v>
      </c>
      <c r="DH462" s="12" t="s">
        <v>83</v>
      </c>
      <c r="DI462" s="12" t="s">
        <v>32</v>
      </c>
      <c r="DJ462" s="12" t="s">
        <v>81</v>
      </c>
      <c r="DK462" s="150" t="s">
        <v>282</v>
      </c>
    </row>
    <row r="463" spans="2:129" s="1" customFormat="1" ht="24.2" customHeight="1" x14ac:dyDescent="0.2">
      <c r="B463" s="124"/>
      <c r="C463" s="170" t="s">
        <v>681</v>
      </c>
      <c r="D463" s="170" t="s">
        <v>439</v>
      </c>
      <c r="E463" s="171" t="s">
        <v>2576</v>
      </c>
      <c r="F463" s="172" t="s">
        <v>2577</v>
      </c>
      <c r="G463" s="173" t="s">
        <v>485</v>
      </c>
      <c r="H463" s="174">
        <v>2</v>
      </c>
      <c r="I463" s="175">
        <v>4328.7757490000004</v>
      </c>
      <c r="J463" s="176">
        <f>ROUND(I463*H463,2)</f>
        <v>8657.5499999999993</v>
      </c>
      <c r="K463" s="172" t="s">
        <v>293</v>
      </c>
      <c r="L463" s="198">
        <f>S463</f>
        <v>0</v>
      </c>
      <c r="M463" s="206">
        <f>ROUND(L463*I463,2)</f>
        <v>0</v>
      </c>
      <c r="N463" s="211"/>
      <c r="O463" s="212">
        <f>ROUND(N463*I463,2)</f>
        <v>0</v>
      </c>
      <c r="P463" s="207">
        <f>H463-L463-N463</f>
        <v>2</v>
      </c>
      <c r="Q463" s="228">
        <f>ROUND(P463*I463,2)</f>
        <v>8657.5499999999993</v>
      </c>
      <c r="R463" s="199"/>
      <c r="S463" s="200">
        <f>W463+Y463+AA463+AC463+AE463+AG463+AI463+AK463+AM463+AO463+AQ463+AS463+AU463+AW463</f>
        <v>0</v>
      </c>
      <c r="T463" s="200">
        <f>ROUND(S463*I463,2)</f>
        <v>0</v>
      </c>
      <c r="U463" s="200">
        <f>H463-S463</f>
        <v>2</v>
      </c>
      <c r="V463" s="200">
        <f>ROUND(U463*I463,2)</f>
        <v>8657.5499999999993</v>
      </c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77" t="s">
        <v>1</v>
      </c>
      <c r="BZ463" s="178" t="s">
        <v>40</v>
      </c>
      <c r="CB463" s="134">
        <f>CA463*H463</f>
        <v>0</v>
      </c>
      <c r="CC463" s="134">
        <v>1.78E-2</v>
      </c>
      <c r="CD463" s="134">
        <f>CC463*H463</f>
        <v>3.56E-2</v>
      </c>
      <c r="CE463" s="134">
        <v>0</v>
      </c>
      <c r="CF463" s="135">
        <f>CE463*H463</f>
        <v>0</v>
      </c>
      <c r="DD463" s="136" t="s">
        <v>328</v>
      </c>
      <c r="DF463" s="136" t="s">
        <v>439</v>
      </c>
      <c r="DG463" s="136" t="s">
        <v>83</v>
      </c>
      <c r="DK463" s="16" t="s">
        <v>282</v>
      </c>
      <c r="DQ463" s="137">
        <f>IF(BZ463="základní",J463,0)</f>
        <v>8657.5499999999993</v>
      </c>
      <c r="DR463" s="137">
        <f>IF(BZ463="snížená",J463,0)</f>
        <v>0</v>
      </c>
      <c r="DS463" s="137">
        <f>IF(BZ463="zákl. přenesená",J463,0)</f>
        <v>0</v>
      </c>
      <c r="DT463" s="137">
        <f>IF(BZ463="sníž. přenesená",J463,0)</f>
        <v>0</v>
      </c>
      <c r="DU463" s="137">
        <f>IF(BZ463="nulová",J463,0)</f>
        <v>0</v>
      </c>
      <c r="DV463" s="16" t="s">
        <v>81</v>
      </c>
      <c r="DW463" s="137">
        <f>ROUND(I463*H463,2)</f>
        <v>8657.5499999999993</v>
      </c>
      <c r="DX463" s="16" t="s">
        <v>95</v>
      </c>
      <c r="DY463" s="136" t="s">
        <v>2578</v>
      </c>
    </row>
    <row r="464" spans="2:129" s="1" customFormat="1" ht="19.5" x14ac:dyDescent="0.2">
      <c r="B464" s="31"/>
      <c r="D464" s="138" t="s">
        <v>289</v>
      </c>
      <c r="F464" s="139" t="s">
        <v>2577</v>
      </c>
      <c r="I464" s="140"/>
      <c r="L464" s="31"/>
      <c r="N464" s="213"/>
      <c r="O464" s="214"/>
      <c r="Q464" s="229"/>
      <c r="BY464" s="141"/>
      <c r="CF464" s="50"/>
      <c r="DF464" s="16" t="s">
        <v>289</v>
      </c>
      <c r="DG464" s="16" t="s">
        <v>83</v>
      </c>
    </row>
    <row r="465" spans="2:129" s="1" customFormat="1" ht="37.9" customHeight="1" x14ac:dyDescent="0.2">
      <c r="B465" s="124"/>
      <c r="C465" s="125" t="s">
        <v>688</v>
      </c>
      <c r="D465" s="125" t="s">
        <v>284</v>
      </c>
      <c r="E465" s="126" t="s">
        <v>2329</v>
      </c>
      <c r="F465" s="127" t="s">
        <v>2330</v>
      </c>
      <c r="G465" s="128" t="s">
        <v>344</v>
      </c>
      <c r="H465" s="129">
        <v>417</v>
      </c>
      <c r="I465" s="130">
        <v>126.22001222256996</v>
      </c>
      <c r="J465" s="131">
        <f>ROUND(I465*H465,2)</f>
        <v>52633.75</v>
      </c>
      <c r="K465" s="127" t="s">
        <v>293</v>
      </c>
      <c r="L465" s="198">
        <f>S465</f>
        <v>0</v>
      </c>
      <c r="M465" s="206">
        <f>ROUND(L465*I465,2)</f>
        <v>0</v>
      </c>
      <c r="N465" s="211">
        <f>N470</f>
        <v>2.4700000000000273</v>
      </c>
      <c r="O465" s="212">
        <f>ROUND(N465*I465,2)</f>
        <v>311.76</v>
      </c>
      <c r="P465" s="207">
        <f>H465-L465-N465</f>
        <v>414.53</v>
      </c>
      <c r="Q465" s="228">
        <f>ROUND(P465*I465,2)</f>
        <v>52321.98</v>
      </c>
      <c r="R465" s="199"/>
      <c r="S465" s="200">
        <f>W465+Y465+AA465+AC465+AE465+AG465+AI465+AK465+AM465+AO465+AQ465+AS465+AU465+AW465</f>
        <v>0</v>
      </c>
      <c r="T465" s="200">
        <f>ROUND(S465*I465,2)</f>
        <v>0</v>
      </c>
      <c r="U465" s="200">
        <f>H465-S465</f>
        <v>417</v>
      </c>
      <c r="V465" s="200">
        <f>ROUND(U465*I465,2)</f>
        <v>52633.75</v>
      </c>
      <c r="W465" s="200"/>
      <c r="X465" s="200"/>
      <c r="Y465" s="200"/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0"/>
      <c r="AP465" s="200"/>
      <c r="AQ465" s="200"/>
      <c r="AR465" s="200"/>
      <c r="AS465" s="200"/>
      <c r="AT465" s="200"/>
      <c r="AU465" s="200"/>
      <c r="AV465" s="200"/>
      <c r="AW465" s="200"/>
      <c r="AX465" s="200"/>
      <c r="BY465" s="132" t="s">
        <v>1</v>
      </c>
      <c r="BZ465" s="133" t="s">
        <v>40</v>
      </c>
      <c r="CB465" s="134">
        <f>CA465*H465</f>
        <v>0</v>
      </c>
      <c r="CC465" s="134">
        <v>0</v>
      </c>
      <c r="CD465" s="134">
        <f>CC465*H465</f>
        <v>0</v>
      </c>
      <c r="CE465" s="134">
        <v>0</v>
      </c>
      <c r="CF465" s="135">
        <f>CE465*H465</f>
        <v>0</v>
      </c>
      <c r="DD465" s="136" t="s">
        <v>95</v>
      </c>
      <c r="DF465" s="136" t="s">
        <v>284</v>
      </c>
      <c r="DG465" s="136" t="s">
        <v>83</v>
      </c>
      <c r="DK465" s="16" t="s">
        <v>282</v>
      </c>
      <c r="DQ465" s="137">
        <f>IF(BZ465="základní",J465,0)</f>
        <v>52633.75</v>
      </c>
      <c r="DR465" s="137">
        <f>IF(BZ465="snížená",J465,0)</f>
        <v>0</v>
      </c>
      <c r="DS465" s="137">
        <f>IF(BZ465="zákl. přenesená",J465,0)</f>
        <v>0</v>
      </c>
      <c r="DT465" s="137">
        <f>IF(BZ465="sníž. přenesená",J465,0)</f>
        <v>0</v>
      </c>
      <c r="DU465" s="137">
        <f>IF(BZ465="nulová",J465,0)</f>
        <v>0</v>
      </c>
      <c r="DV465" s="16" t="s">
        <v>81</v>
      </c>
      <c r="DW465" s="137">
        <f>ROUND(I465*H465,2)</f>
        <v>52633.75</v>
      </c>
      <c r="DX465" s="16" t="s">
        <v>95</v>
      </c>
      <c r="DY465" s="136" t="s">
        <v>2331</v>
      </c>
    </row>
    <row r="466" spans="2:129" s="1" customFormat="1" ht="29.25" x14ac:dyDescent="0.2">
      <c r="B466" s="31"/>
      <c r="D466" s="138" t="s">
        <v>289</v>
      </c>
      <c r="F466" s="139" t="s">
        <v>2332</v>
      </c>
      <c r="I466" s="140"/>
      <c r="L466" s="31"/>
      <c r="N466" s="213"/>
      <c r="O466" s="214"/>
      <c r="Q466" s="229"/>
      <c r="BY466" s="141"/>
      <c r="CF466" s="50"/>
      <c r="DF466" s="16" t="s">
        <v>289</v>
      </c>
      <c r="DG466" s="16" t="s">
        <v>83</v>
      </c>
    </row>
    <row r="467" spans="2:129" s="1" customFormat="1" ht="29.25" x14ac:dyDescent="0.2">
      <c r="B467" s="31"/>
      <c r="D467" s="138" t="s">
        <v>299</v>
      </c>
      <c r="F467" s="142" t="s">
        <v>2431</v>
      </c>
      <c r="I467" s="140"/>
      <c r="L467" s="31"/>
      <c r="N467" s="213"/>
      <c r="O467" s="214"/>
      <c r="Q467" s="229"/>
      <c r="BY467" s="141"/>
      <c r="CF467" s="50"/>
      <c r="DF467" s="16" t="s">
        <v>299</v>
      </c>
      <c r="DG467" s="16" t="s">
        <v>83</v>
      </c>
    </row>
    <row r="468" spans="2:129" s="11" customFormat="1" x14ac:dyDescent="0.2">
      <c r="B468" s="143"/>
      <c r="D468" s="138" t="s">
        <v>301</v>
      </c>
      <c r="E468" s="144" t="s">
        <v>1</v>
      </c>
      <c r="F468" s="145" t="s">
        <v>2579</v>
      </c>
      <c r="H468" s="144" t="s">
        <v>1</v>
      </c>
      <c r="I468" s="146"/>
      <c r="L468" s="143"/>
      <c r="N468" s="215"/>
      <c r="O468" s="216"/>
      <c r="Q468" s="230"/>
      <c r="BY468" s="147"/>
      <c r="CF468" s="148"/>
      <c r="DF468" s="144" t="s">
        <v>301</v>
      </c>
      <c r="DG468" s="144" t="s">
        <v>83</v>
      </c>
      <c r="DH468" s="11" t="s">
        <v>81</v>
      </c>
      <c r="DI468" s="11" t="s">
        <v>32</v>
      </c>
      <c r="DJ468" s="11" t="s">
        <v>74</v>
      </c>
      <c r="DK468" s="144" t="s">
        <v>282</v>
      </c>
    </row>
    <row r="469" spans="2:129" s="12" customFormat="1" x14ac:dyDescent="0.2">
      <c r="B469" s="149"/>
      <c r="D469" s="138" t="s">
        <v>301</v>
      </c>
      <c r="E469" s="150" t="s">
        <v>1</v>
      </c>
      <c r="F469" s="151" t="s">
        <v>2580</v>
      </c>
      <c r="H469" s="152">
        <v>417</v>
      </c>
      <c r="I469" s="153"/>
      <c r="L469" s="149"/>
      <c r="N469" s="217">
        <f>517.19-97.72</f>
        <v>419.47</v>
      </c>
      <c r="O469" s="218" t="s">
        <v>3602</v>
      </c>
      <c r="Q469" s="231"/>
      <c r="BY469" s="154"/>
      <c r="CF469" s="155"/>
      <c r="DF469" s="150" t="s">
        <v>301</v>
      </c>
      <c r="DG469" s="150" t="s">
        <v>83</v>
      </c>
      <c r="DH469" s="12" t="s">
        <v>83</v>
      </c>
      <c r="DI469" s="12" t="s">
        <v>32</v>
      </c>
      <c r="DJ469" s="12" t="s">
        <v>81</v>
      </c>
      <c r="DK469" s="150" t="s">
        <v>282</v>
      </c>
    </row>
    <row r="470" spans="2:129" s="12" customFormat="1" x14ac:dyDescent="0.2">
      <c r="B470" s="149"/>
      <c r="D470" s="138"/>
      <c r="E470" s="150"/>
      <c r="F470" s="151"/>
      <c r="H470" s="152"/>
      <c r="I470" s="153"/>
      <c r="L470" s="149"/>
      <c r="N470" s="310">
        <f>N469-H469</f>
        <v>2.4700000000000273</v>
      </c>
      <c r="O470" s="218"/>
      <c r="Q470" s="231"/>
      <c r="BY470" s="154"/>
      <c r="CF470" s="155"/>
      <c r="DF470" s="150"/>
      <c r="DG470" s="150"/>
      <c r="DK470" s="150"/>
    </row>
    <row r="471" spans="2:129" s="1" customFormat="1" ht="24.2" customHeight="1" x14ac:dyDescent="0.2">
      <c r="B471" s="124"/>
      <c r="C471" s="170" t="s">
        <v>697</v>
      </c>
      <c r="D471" s="170" t="s">
        <v>439</v>
      </c>
      <c r="E471" s="171" t="s">
        <v>2333</v>
      </c>
      <c r="F471" s="172" t="s">
        <v>2334</v>
      </c>
      <c r="G471" s="173" t="s">
        <v>344</v>
      </c>
      <c r="H471" s="174">
        <v>437.85</v>
      </c>
      <c r="I471" s="175">
        <v>347.62816190000001</v>
      </c>
      <c r="J471" s="176">
        <f>ROUND(I471*H471,2)</f>
        <v>152208.99</v>
      </c>
      <c r="K471" s="172" t="s">
        <v>293</v>
      </c>
      <c r="L471" s="198">
        <f>S471</f>
        <v>0</v>
      </c>
      <c r="M471" s="206">
        <f>ROUND(L471*I471,2)</f>
        <v>0</v>
      </c>
      <c r="N471" s="211">
        <f>N474</f>
        <v>2.5935000000000059</v>
      </c>
      <c r="O471" s="212">
        <f>ROUND(N471*I471,2)</f>
        <v>901.57</v>
      </c>
      <c r="P471" s="207">
        <f>H471-L471-N471</f>
        <v>435.25650000000002</v>
      </c>
      <c r="Q471" s="228">
        <f>ROUND(P471*I471,2)</f>
        <v>151307.42000000001</v>
      </c>
      <c r="R471" s="199"/>
      <c r="S471" s="200">
        <f>W471+Y471+AA471+AC471+AE471+AG471+AI471+AK471+AM471+AO471+AQ471+AS471+AU471+AW471</f>
        <v>0</v>
      </c>
      <c r="T471" s="200">
        <f>ROUND(S471*I471,2)</f>
        <v>0</v>
      </c>
      <c r="U471" s="200">
        <f>H471-S471</f>
        <v>437.85</v>
      </c>
      <c r="V471" s="200">
        <f>ROUND(U471*I471,2)</f>
        <v>152208.99</v>
      </c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77" t="s">
        <v>1</v>
      </c>
      <c r="BZ471" s="178" t="s">
        <v>40</v>
      </c>
      <c r="CB471" s="134">
        <f>CA471*H471</f>
        <v>0</v>
      </c>
      <c r="CC471" s="134">
        <v>3.1800000000000001E-3</v>
      </c>
      <c r="CD471" s="134">
        <f>CC471*H471</f>
        <v>1.392363</v>
      </c>
      <c r="CE471" s="134">
        <v>0</v>
      </c>
      <c r="CF471" s="135">
        <f>CE471*H471</f>
        <v>0</v>
      </c>
      <c r="DD471" s="136" t="s">
        <v>328</v>
      </c>
      <c r="DF471" s="136" t="s">
        <v>439</v>
      </c>
      <c r="DG471" s="136" t="s">
        <v>83</v>
      </c>
      <c r="DK471" s="16" t="s">
        <v>282</v>
      </c>
      <c r="DQ471" s="137">
        <f>IF(BZ471="základní",J471,0)</f>
        <v>152208.99</v>
      </c>
      <c r="DR471" s="137">
        <f>IF(BZ471="snížená",J471,0)</f>
        <v>0</v>
      </c>
      <c r="DS471" s="137">
        <f>IF(BZ471="zákl. přenesená",J471,0)</f>
        <v>0</v>
      </c>
      <c r="DT471" s="137">
        <f>IF(BZ471="sníž. přenesená",J471,0)</f>
        <v>0</v>
      </c>
      <c r="DU471" s="137">
        <f>IF(BZ471="nulová",J471,0)</f>
        <v>0</v>
      </c>
      <c r="DV471" s="16" t="s">
        <v>81</v>
      </c>
      <c r="DW471" s="137">
        <f>ROUND(I471*H471,2)</f>
        <v>152208.99</v>
      </c>
      <c r="DX471" s="16" t="s">
        <v>95</v>
      </c>
      <c r="DY471" s="136" t="s">
        <v>2335</v>
      </c>
    </row>
    <row r="472" spans="2:129" s="1" customFormat="1" ht="19.5" x14ac:dyDescent="0.2">
      <c r="B472" s="31"/>
      <c r="D472" s="138" t="s">
        <v>289</v>
      </c>
      <c r="F472" s="139" t="s">
        <v>2334</v>
      </c>
      <c r="I472" s="140"/>
      <c r="L472" s="31"/>
      <c r="N472" s="213"/>
      <c r="O472" s="214"/>
      <c r="Q472" s="229"/>
      <c r="BY472" s="141"/>
      <c r="CF472" s="50"/>
      <c r="DF472" s="16" t="s">
        <v>289</v>
      </c>
      <c r="DG472" s="16" t="s">
        <v>83</v>
      </c>
    </row>
    <row r="473" spans="2:129" s="12" customFormat="1" x14ac:dyDescent="0.2">
      <c r="B473" s="149"/>
      <c r="D473" s="138" t="s">
        <v>301</v>
      </c>
      <c r="F473" s="151" t="s">
        <v>2581</v>
      </c>
      <c r="H473" s="152">
        <v>437.85</v>
      </c>
      <c r="I473" s="153"/>
      <c r="L473" s="149"/>
      <c r="N473" s="217">
        <f>419.47*1.05</f>
        <v>440.44350000000003</v>
      </c>
      <c r="O473" s="214" t="s">
        <v>3607</v>
      </c>
      <c r="Q473" s="231"/>
      <c r="BY473" s="154"/>
      <c r="CF473" s="155"/>
      <c r="DF473" s="150" t="s">
        <v>301</v>
      </c>
      <c r="DG473" s="150" t="s">
        <v>83</v>
      </c>
      <c r="DH473" s="12" t="s">
        <v>83</v>
      </c>
      <c r="DI473" s="12" t="s">
        <v>3</v>
      </c>
      <c r="DJ473" s="12" t="s">
        <v>81</v>
      </c>
      <c r="DK473" s="150" t="s">
        <v>282</v>
      </c>
    </row>
    <row r="474" spans="2:129" s="12" customFormat="1" x14ac:dyDescent="0.2">
      <c r="B474" s="149"/>
      <c r="D474" s="138"/>
      <c r="F474" s="151"/>
      <c r="H474" s="152"/>
      <c r="I474" s="153"/>
      <c r="L474" s="149"/>
      <c r="N474" s="310">
        <f>N473-H473</f>
        <v>2.5935000000000059</v>
      </c>
      <c r="O474" s="214"/>
      <c r="Q474" s="231"/>
      <c r="BY474" s="154"/>
      <c r="CF474" s="155"/>
      <c r="DF474" s="150"/>
      <c r="DG474" s="150"/>
      <c r="DK474" s="150"/>
    </row>
    <row r="475" spans="2:129" s="1" customFormat="1" ht="24.2" customHeight="1" x14ac:dyDescent="0.2">
      <c r="B475" s="124"/>
      <c r="C475" s="125" t="s">
        <v>704</v>
      </c>
      <c r="D475" s="125" t="s">
        <v>284</v>
      </c>
      <c r="E475" s="126" t="s">
        <v>557</v>
      </c>
      <c r="F475" s="127" t="s">
        <v>558</v>
      </c>
      <c r="G475" s="128" t="s">
        <v>344</v>
      </c>
      <c r="H475" s="129">
        <v>3</v>
      </c>
      <c r="I475" s="130">
        <v>750.78954015145484</v>
      </c>
      <c r="J475" s="131">
        <f>ROUND(I475*H475,2)</f>
        <v>2252.37</v>
      </c>
      <c r="K475" s="127" t="s">
        <v>293</v>
      </c>
      <c r="L475" s="198">
        <f>S475</f>
        <v>0</v>
      </c>
      <c r="M475" s="206">
        <f>ROUND(L475*I475,2)</f>
        <v>0</v>
      </c>
      <c r="N475" s="211">
        <f>N478</f>
        <v>-2.9999999999999805E-2</v>
      </c>
      <c r="O475" s="212">
        <f>ROUND(N475*I475,2)</f>
        <v>-22.52</v>
      </c>
      <c r="P475" s="207">
        <f>H475-L475-N475</f>
        <v>3.03</v>
      </c>
      <c r="Q475" s="228">
        <f>ROUND(P475*I475,2)</f>
        <v>2274.89</v>
      </c>
      <c r="R475" s="199"/>
      <c r="S475" s="200">
        <f>W475+Y475+AA475+AC475+AE475+AG475+AI475+AK475+AM475+AO475+AQ475+AS475+AU475+AW475</f>
        <v>0</v>
      </c>
      <c r="T475" s="200">
        <f>ROUND(S475*I475,2)</f>
        <v>0</v>
      </c>
      <c r="U475" s="200">
        <f>H475-S475</f>
        <v>3</v>
      </c>
      <c r="V475" s="200">
        <f>ROUND(U475*I475,2)</f>
        <v>2252.37</v>
      </c>
      <c r="W475" s="200"/>
      <c r="X475" s="200"/>
      <c r="Y475" s="200"/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0"/>
      <c r="AP475" s="200"/>
      <c r="AQ475" s="200"/>
      <c r="AR475" s="200"/>
      <c r="AS475" s="200"/>
      <c r="AT475" s="200"/>
      <c r="AU475" s="200"/>
      <c r="AV475" s="200"/>
      <c r="AW475" s="200"/>
      <c r="AX475" s="200"/>
      <c r="BY475" s="132" t="s">
        <v>1</v>
      </c>
      <c r="BZ475" s="133" t="s">
        <v>40</v>
      </c>
      <c r="CB475" s="134">
        <f>CA475*H475</f>
        <v>0</v>
      </c>
      <c r="CC475" s="134">
        <v>1.323E-2</v>
      </c>
      <c r="CD475" s="134">
        <f>CC475*H475</f>
        <v>3.9690000000000003E-2</v>
      </c>
      <c r="CE475" s="134">
        <v>0</v>
      </c>
      <c r="CF475" s="135">
        <f>CE475*H475</f>
        <v>0</v>
      </c>
      <c r="DD475" s="136" t="s">
        <v>95</v>
      </c>
      <c r="DF475" s="136" t="s">
        <v>284</v>
      </c>
      <c r="DG475" s="136" t="s">
        <v>83</v>
      </c>
      <c r="DK475" s="16" t="s">
        <v>282</v>
      </c>
      <c r="DQ475" s="137">
        <f>IF(BZ475="základní",J475,0)</f>
        <v>2252.37</v>
      </c>
      <c r="DR475" s="137">
        <f>IF(BZ475="snížená",J475,0)</f>
        <v>0</v>
      </c>
      <c r="DS475" s="137">
        <f>IF(BZ475="zákl. přenesená",J475,0)</f>
        <v>0</v>
      </c>
      <c r="DT475" s="137">
        <f>IF(BZ475="sníž. přenesená",J475,0)</f>
        <v>0</v>
      </c>
      <c r="DU475" s="137">
        <f>IF(BZ475="nulová",J475,0)</f>
        <v>0</v>
      </c>
      <c r="DV475" s="16" t="s">
        <v>81</v>
      </c>
      <c r="DW475" s="137">
        <f>ROUND(I475*H475,2)</f>
        <v>2252.37</v>
      </c>
      <c r="DX475" s="16" t="s">
        <v>95</v>
      </c>
      <c r="DY475" s="136" t="s">
        <v>2582</v>
      </c>
    </row>
    <row r="476" spans="2:129" s="1" customFormat="1" ht="29.25" x14ac:dyDescent="0.2">
      <c r="B476" s="31"/>
      <c r="D476" s="138" t="s">
        <v>289</v>
      </c>
      <c r="F476" s="139" t="s">
        <v>560</v>
      </c>
      <c r="I476" s="140"/>
      <c r="L476" s="31"/>
      <c r="N476" s="213"/>
      <c r="O476" s="214"/>
      <c r="Q476" s="229"/>
      <c r="BY476" s="141"/>
      <c r="CF476" s="50"/>
      <c r="DF476" s="16" t="s">
        <v>289</v>
      </c>
      <c r="DG476" s="16" t="s">
        <v>83</v>
      </c>
    </row>
    <row r="477" spans="2:129" s="1" customFormat="1" ht="29.25" x14ac:dyDescent="0.2">
      <c r="B477" s="31"/>
      <c r="D477" s="138" t="s">
        <v>299</v>
      </c>
      <c r="F477" s="142" t="s">
        <v>2431</v>
      </c>
      <c r="I477" s="140"/>
      <c r="L477" s="31"/>
      <c r="N477" s="213"/>
      <c r="O477" s="214"/>
      <c r="Q477" s="229"/>
      <c r="BY477" s="141"/>
      <c r="CF477" s="50"/>
      <c r="DF477" s="16" t="s">
        <v>299</v>
      </c>
      <c r="DG477" s="16" t="s">
        <v>83</v>
      </c>
    </row>
    <row r="478" spans="2:129" s="12" customFormat="1" x14ac:dyDescent="0.2">
      <c r="B478" s="149"/>
      <c r="D478" s="138" t="s">
        <v>301</v>
      </c>
      <c r="E478" s="150" t="s">
        <v>1</v>
      </c>
      <c r="F478" s="151" t="s">
        <v>90</v>
      </c>
      <c r="H478" s="152">
        <v>3</v>
      </c>
      <c r="I478" s="153"/>
      <c r="L478" s="149"/>
      <c r="N478" s="217">
        <f>2.97-3</f>
        <v>-2.9999999999999805E-2</v>
      </c>
      <c r="O478" s="218" t="s">
        <v>3609</v>
      </c>
      <c r="Q478" s="231"/>
      <c r="BY478" s="154"/>
      <c r="CF478" s="155"/>
      <c r="DF478" s="150" t="s">
        <v>301</v>
      </c>
      <c r="DG478" s="150" t="s">
        <v>83</v>
      </c>
      <c r="DH478" s="12" t="s">
        <v>83</v>
      </c>
      <c r="DI478" s="12" t="s">
        <v>32</v>
      </c>
      <c r="DJ478" s="12" t="s">
        <v>81</v>
      </c>
      <c r="DK478" s="150" t="s">
        <v>282</v>
      </c>
    </row>
    <row r="479" spans="2:129" s="1" customFormat="1" ht="24.2" customHeight="1" x14ac:dyDescent="0.2">
      <c r="B479" s="124"/>
      <c r="C479" s="125" t="s">
        <v>710</v>
      </c>
      <c r="D479" s="125" t="s">
        <v>284</v>
      </c>
      <c r="E479" s="126" t="s">
        <v>2337</v>
      </c>
      <c r="F479" s="127" t="s">
        <v>2338</v>
      </c>
      <c r="G479" s="128" t="s">
        <v>485</v>
      </c>
      <c r="H479" s="129">
        <v>41</v>
      </c>
      <c r="I479" s="130">
        <v>283.67270856236348</v>
      </c>
      <c r="J479" s="131">
        <f>ROUND(I479*H479,2)</f>
        <v>11630.58</v>
      </c>
      <c r="K479" s="127" t="s">
        <v>293</v>
      </c>
      <c r="L479" s="198">
        <f>S479</f>
        <v>0</v>
      </c>
      <c r="M479" s="206">
        <f>ROUND(L479*I479,2)</f>
        <v>0</v>
      </c>
      <c r="N479" s="211"/>
      <c r="O479" s="212">
        <f>ROUND(N479*I479,2)</f>
        <v>0</v>
      </c>
      <c r="P479" s="207">
        <f>H479-L479-N479</f>
        <v>41</v>
      </c>
      <c r="Q479" s="228">
        <f>ROUND(P479*I479,2)</f>
        <v>11630.58</v>
      </c>
      <c r="R479" s="199"/>
      <c r="S479" s="200">
        <f>W479+Y479+AA479+AC479+AE479+AG479+AI479+AK479+AM479+AO479+AQ479+AS479+AU479+AW479</f>
        <v>0</v>
      </c>
      <c r="T479" s="200">
        <f>ROUND(S479*I479,2)</f>
        <v>0</v>
      </c>
      <c r="U479" s="200">
        <f>H479-S479</f>
        <v>41</v>
      </c>
      <c r="V479" s="200">
        <f>ROUND(U479*I479,2)</f>
        <v>11630.58</v>
      </c>
      <c r="W479" s="200"/>
      <c r="X479" s="200"/>
      <c r="Y479" s="200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0"/>
      <c r="AP479" s="200"/>
      <c r="AQ479" s="200"/>
      <c r="AR479" s="200"/>
      <c r="AS479" s="200"/>
      <c r="AT479" s="200"/>
      <c r="AU479" s="200"/>
      <c r="AV479" s="200"/>
      <c r="AW479" s="200"/>
      <c r="AX479" s="200"/>
      <c r="BY479" s="132" t="s">
        <v>1</v>
      </c>
      <c r="BZ479" s="133" t="s">
        <v>40</v>
      </c>
      <c r="CB479" s="134">
        <f>CA479*H479</f>
        <v>0</v>
      </c>
      <c r="CC479" s="134">
        <v>0</v>
      </c>
      <c r="CD479" s="134">
        <f>CC479*H479</f>
        <v>0</v>
      </c>
      <c r="CE479" s="134">
        <v>0</v>
      </c>
      <c r="CF479" s="135">
        <f>CE479*H479</f>
        <v>0</v>
      </c>
      <c r="DD479" s="136" t="s">
        <v>95</v>
      </c>
      <c r="DF479" s="136" t="s">
        <v>284</v>
      </c>
      <c r="DG479" s="136" t="s">
        <v>83</v>
      </c>
      <c r="DK479" s="16" t="s">
        <v>282</v>
      </c>
      <c r="DQ479" s="137">
        <f>IF(BZ479="základní",J479,0)</f>
        <v>11630.58</v>
      </c>
      <c r="DR479" s="137">
        <f>IF(BZ479="snížená",J479,0)</f>
        <v>0</v>
      </c>
      <c r="DS479" s="137">
        <f>IF(BZ479="zákl. přenesená",J479,0)</f>
        <v>0</v>
      </c>
      <c r="DT479" s="137">
        <f>IF(BZ479="sníž. přenesená",J479,0)</f>
        <v>0</v>
      </c>
      <c r="DU479" s="137">
        <f>IF(BZ479="nulová",J479,0)</f>
        <v>0</v>
      </c>
      <c r="DV479" s="16" t="s">
        <v>81</v>
      </c>
      <c r="DW479" s="137">
        <f>ROUND(I479*H479,2)</f>
        <v>11630.58</v>
      </c>
      <c r="DX479" s="16" t="s">
        <v>95</v>
      </c>
      <c r="DY479" s="136" t="s">
        <v>2339</v>
      </c>
    </row>
    <row r="480" spans="2:129" s="1" customFormat="1" ht="19.5" x14ac:dyDescent="0.2">
      <c r="B480" s="31"/>
      <c r="D480" s="138" t="s">
        <v>289</v>
      </c>
      <c r="F480" s="139" t="s">
        <v>2340</v>
      </c>
      <c r="I480" s="140"/>
      <c r="L480" s="31"/>
      <c r="N480" s="213"/>
      <c r="O480" s="214"/>
      <c r="Q480" s="229"/>
      <c r="BY480" s="141"/>
      <c r="CF480" s="50"/>
      <c r="DF480" s="16" t="s">
        <v>289</v>
      </c>
      <c r="DG480" s="16" t="s">
        <v>83</v>
      </c>
    </row>
    <row r="481" spans="2:129" s="1" customFormat="1" ht="29.25" x14ac:dyDescent="0.2">
      <c r="B481" s="31"/>
      <c r="D481" s="138" t="s">
        <v>299</v>
      </c>
      <c r="F481" s="142" t="s">
        <v>2431</v>
      </c>
      <c r="I481" s="140"/>
      <c r="L481" s="31"/>
      <c r="N481" s="213"/>
      <c r="O481" s="214"/>
      <c r="Q481" s="229"/>
      <c r="BY481" s="141"/>
      <c r="CF481" s="50"/>
      <c r="DF481" s="16" t="s">
        <v>299</v>
      </c>
      <c r="DG481" s="16" t="s">
        <v>83</v>
      </c>
    </row>
    <row r="482" spans="2:129" s="12" customFormat="1" x14ac:dyDescent="0.2">
      <c r="B482" s="149"/>
      <c r="D482" s="138" t="s">
        <v>301</v>
      </c>
      <c r="E482" s="150" t="s">
        <v>1</v>
      </c>
      <c r="F482" s="151" t="s">
        <v>2583</v>
      </c>
      <c r="H482" s="152">
        <v>41</v>
      </c>
      <c r="I482" s="153"/>
      <c r="L482" s="149"/>
      <c r="N482" s="217"/>
      <c r="O482" s="218"/>
      <c r="Q482" s="231"/>
      <c r="BY482" s="154"/>
      <c r="CF482" s="155"/>
      <c r="DF482" s="150" t="s">
        <v>301</v>
      </c>
      <c r="DG482" s="150" t="s">
        <v>83</v>
      </c>
      <c r="DH482" s="12" t="s">
        <v>83</v>
      </c>
      <c r="DI482" s="12" t="s">
        <v>32</v>
      </c>
      <c r="DJ482" s="12" t="s">
        <v>81</v>
      </c>
      <c r="DK482" s="150" t="s">
        <v>282</v>
      </c>
    </row>
    <row r="483" spans="2:129" s="1" customFormat="1" ht="14.45" customHeight="1" x14ac:dyDescent="0.2">
      <c r="B483" s="124"/>
      <c r="C483" s="170" t="s">
        <v>715</v>
      </c>
      <c r="D483" s="170" t="s">
        <v>439</v>
      </c>
      <c r="E483" s="171" t="s">
        <v>2342</v>
      </c>
      <c r="F483" s="172" t="s">
        <v>2343</v>
      </c>
      <c r="G483" s="173" t="s">
        <v>485</v>
      </c>
      <c r="H483" s="174">
        <v>26</v>
      </c>
      <c r="I483" s="175">
        <v>368.4669073</v>
      </c>
      <c r="J483" s="176">
        <f>ROUND(I483*H483,2)</f>
        <v>9580.14</v>
      </c>
      <c r="K483" s="172" t="s">
        <v>293</v>
      </c>
      <c r="L483" s="198">
        <f>S483</f>
        <v>0</v>
      </c>
      <c r="M483" s="206">
        <f>ROUND(L483*I483,2)</f>
        <v>0</v>
      </c>
      <c r="N483" s="211"/>
      <c r="O483" s="212">
        <f>ROUND(N483*I483,2)</f>
        <v>0</v>
      </c>
      <c r="P483" s="207">
        <f>H483-L483-N483</f>
        <v>26</v>
      </c>
      <c r="Q483" s="228">
        <f>ROUND(P483*I483,2)</f>
        <v>9580.14</v>
      </c>
      <c r="R483" s="199"/>
      <c r="S483" s="200">
        <f>W483+Y483+AA483+AC483+AE483+AG483+AI483+AK483+AM483+AO483+AQ483+AS483+AU483+AW483</f>
        <v>0</v>
      </c>
      <c r="T483" s="200">
        <f>ROUND(S483*I483,2)</f>
        <v>0</v>
      </c>
      <c r="U483" s="200">
        <f>H483-S483</f>
        <v>26</v>
      </c>
      <c r="V483" s="200">
        <f>ROUND(U483*I483,2)</f>
        <v>9580.14</v>
      </c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77" t="s">
        <v>1</v>
      </c>
      <c r="BZ483" s="178" t="s">
        <v>40</v>
      </c>
      <c r="CB483" s="134">
        <f>CA483*H483</f>
        <v>0</v>
      </c>
      <c r="CC483" s="134">
        <v>7.2000000000000005E-4</v>
      </c>
      <c r="CD483" s="134">
        <f>CC483*H483</f>
        <v>1.8720000000000001E-2</v>
      </c>
      <c r="CE483" s="134">
        <v>0</v>
      </c>
      <c r="CF483" s="135">
        <f>CE483*H483</f>
        <v>0</v>
      </c>
      <c r="DD483" s="136" t="s">
        <v>328</v>
      </c>
      <c r="DF483" s="136" t="s">
        <v>439</v>
      </c>
      <c r="DG483" s="136" t="s">
        <v>83</v>
      </c>
      <c r="DK483" s="16" t="s">
        <v>282</v>
      </c>
      <c r="DQ483" s="137">
        <f>IF(BZ483="základní",J483,0)</f>
        <v>9580.14</v>
      </c>
      <c r="DR483" s="137">
        <f>IF(BZ483="snížená",J483,0)</f>
        <v>0</v>
      </c>
      <c r="DS483" s="137">
        <f>IF(BZ483="zákl. přenesená",J483,0)</f>
        <v>0</v>
      </c>
      <c r="DT483" s="137">
        <f>IF(BZ483="sníž. přenesená",J483,0)</f>
        <v>0</v>
      </c>
      <c r="DU483" s="137">
        <f>IF(BZ483="nulová",J483,0)</f>
        <v>0</v>
      </c>
      <c r="DV483" s="16" t="s">
        <v>81</v>
      </c>
      <c r="DW483" s="137">
        <f>ROUND(I483*H483,2)</f>
        <v>9580.14</v>
      </c>
      <c r="DX483" s="16" t="s">
        <v>95</v>
      </c>
      <c r="DY483" s="136" t="s">
        <v>2344</v>
      </c>
    </row>
    <row r="484" spans="2:129" s="1" customFormat="1" x14ac:dyDescent="0.2">
      <c r="B484" s="31"/>
      <c r="D484" s="138" t="s">
        <v>289</v>
      </c>
      <c r="F484" s="139" t="s">
        <v>2343</v>
      </c>
      <c r="I484" s="140"/>
      <c r="L484" s="31"/>
      <c r="N484" s="213"/>
      <c r="O484" s="214"/>
      <c r="Q484" s="229"/>
      <c r="BY484" s="141"/>
      <c r="CF484" s="50"/>
      <c r="DF484" s="16" t="s">
        <v>289</v>
      </c>
      <c r="DG484" s="16" t="s">
        <v>83</v>
      </c>
    </row>
    <row r="485" spans="2:129" s="1" customFormat="1" ht="14.45" customHeight="1" x14ac:dyDescent="0.2">
      <c r="B485" s="124"/>
      <c r="C485" s="170" t="s">
        <v>718</v>
      </c>
      <c r="D485" s="170" t="s">
        <v>439</v>
      </c>
      <c r="E485" s="171" t="s">
        <v>2345</v>
      </c>
      <c r="F485" s="172" t="s">
        <v>2346</v>
      </c>
      <c r="G485" s="173" t="s">
        <v>485</v>
      </c>
      <c r="H485" s="174">
        <v>2</v>
      </c>
      <c r="I485" s="175">
        <v>1373.462765</v>
      </c>
      <c r="J485" s="176">
        <f>ROUND(I485*H485,2)</f>
        <v>2746.93</v>
      </c>
      <c r="K485" s="172" t="s">
        <v>1</v>
      </c>
      <c r="L485" s="198">
        <f>S485</f>
        <v>0</v>
      </c>
      <c r="M485" s="206">
        <f>ROUND(L485*I485,2)</f>
        <v>0</v>
      </c>
      <c r="N485" s="211"/>
      <c r="O485" s="212">
        <f>ROUND(N485*I485,2)</f>
        <v>0</v>
      </c>
      <c r="P485" s="207">
        <f>H485-L485-N485</f>
        <v>2</v>
      </c>
      <c r="Q485" s="228">
        <f>ROUND(P485*I485,2)</f>
        <v>2746.93</v>
      </c>
      <c r="R485" s="199"/>
      <c r="S485" s="200">
        <f>W485+Y485+AA485+AC485+AE485+AG485+AI485+AK485+AM485+AO485+AQ485+AS485+AU485+AW485</f>
        <v>0</v>
      </c>
      <c r="T485" s="200">
        <f>ROUND(S485*I485,2)</f>
        <v>0</v>
      </c>
      <c r="U485" s="200">
        <f>H485-S485</f>
        <v>2</v>
      </c>
      <c r="V485" s="200">
        <f>ROUND(U485*I485,2)</f>
        <v>2746.93</v>
      </c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77" t="s">
        <v>1</v>
      </c>
      <c r="BZ485" s="178" t="s">
        <v>40</v>
      </c>
      <c r="CB485" s="134">
        <f>CA485*H485</f>
        <v>0</v>
      </c>
      <c r="CC485" s="134">
        <v>1.4E-3</v>
      </c>
      <c r="CD485" s="134">
        <f>CC485*H485</f>
        <v>2.8E-3</v>
      </c>
      <c r="CE485" s="134">
        <v>0</v>
      </c>
      <c r="CF485" s="135">
        <f>CE485*H485</f>
        <v>0</v>
      </c>
      <c r="DD485" s="136" t="s">
        <v>328</v>
      </c>
      <c r="DF485" s="136" t="s">
        <v>439</v>
      </c>
      <c r="DG485" s="136" t="s">
        <v>83</v>
      </c>
      <c r="DK485" s="16" t="s">
        <v>282</v>
      </c>
      <c r="DQ485" s="137">
        <f>IF(BZ485="základní",J485,0)</f>
        <v>2746.93</v>
      </c>
      <c r="DR485" s="137">
        <f>IF(BZ485="snížená",J485,0)</f>
        <v>0</v>
      </c>
      <c r="DS485" s="137">
        <f>IF(BZ485="zákl. přenesená",J485,0)</f>
        <v>0</v>
      </c>
      <c r="DT485" s="137">
        <f>IF(BZ485="sníž. přenesená",J485,0)</f>
        <v>0</v>
      </c>
      <c r="DU485" s="137">
        <f>IF(BZ485="nulová",J485,0)</f>
        <v>0</v>
      </c>
      <c r="DV485" s="16" t="s">
        <v>81</v>
      </c>
      <c r="DW485" s="137">
        <f>ROUND(I485*H485,2)</f>
        <v>2746.93</v>
      </c>
      <c r="DX485" s="16" t="s">
        <v>95</v>
      </c>
      <c r="DY485" s="136" t="s">
        <v>2584</v>
      </c>
    </row>
    <row r="486" spans="2:129" s="1" customFormat="1" x14ac:dyDescent="0.2">
      <c r="B486" s="31"/>
      <c r="D486" s="138" t="s">
        <v>289</v>
      </c>
      <c r="F486" s="139" t="s">
        <v>2346</v>
      </c>
      <c r="I486" s="140"/>
      <c r="L486" s="31"/>
      <c r="N486" s="213"/>
      <c r="O486" s="214"/>
      <c r="Q486" s="229"/>
      <c r="BY486" s="141"/>
      <c r="CF486" s="50"/>
      <c r="DF486" s="16" t="s">
        <v>289</v>
      </c>
      <c r="DG486" s="16" t="s">
        <v>83</v>
      </c>
    </row>
    <row r="487" spans="2:129" s="1" customFormat="1" ht="14.45" customHeight="1" x14ac:dyDescent="0.2">
      <c r="B487" s="124"/>
      <c r="C487" s="170" t="s">
        <v>724</v>
      </c>
      <c r="D487" s="170" t="s">
        <v>439</v>
      </c>
      <c r="E487" s="171" t="s">
        <v>2421</v>
      </c>
      <c r="F487" s="172" t="s">
        <v>2422</v>
      </c>
      <c r="G487" s="173" t="s">
        <v>485</v>
      </c>
      <c r="H487" s="174">
        <v>3</v>
      </c>
      <c r="I487" s="175">
        <v>1136.6588400000001</v>
      </c>
      <c r="J487" s="176">
        <f>ROUND(I487*H487,2)</f>
        <v>3409.98</v>
      </c>
      <c r="K487" s="172" t="s">
        <v>1</v>
      </c>
      <c r="L487" s="198">
        <f>S487</f>
        <v>0</v>
      </c>
      <c r="M487" s="206">
        <f>ROUND(L487*I487,2)</f>
        <v>0</v>
      </c>
      <c r="N487" s="211"/>
      <c r="O487" s="212">
        <f>ROUND(N487*I487,2)</f>
        <v>0</v>
      </c>
      <c r="P487" s="207">
        <f>H487-L487-N487</f>
        <v>3</v>
      </c>
      <c r="Q487" s="228">
        <f>ROUND(P487*I487,2)</f>
        <v>3409.98</v>
      </c>
      <c r="R487" s="199"/>
      <c r="S487" s="200">
        <f>W487+Y487+AA487+AC487+AE487+AG487+AI487+AK487+AM487+AO487+AQ487+AS487+AU487+AW487</f>
        <v>0</v>
      </c>
      <c r="T487" s="200">
        <f>ROUND(S487*I487,2)</f>
        <v>0</v>
      </c>
      <c r="U487" s="200">
        <f>H487-S487</f>
        <v>3</v>
      </c>
      <c r="V487" s="200">
        <f>ROUND(U487*I487,2)</f>
        <v>3409.98</v>
      </c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77" t="s">
        <v>1</v>
      </c>
      <c r="BZ487" s="178" t="s">
        <v>40</v>
      </c>
      <c r="CB487" s="134">
        <f>CA487*H487</f>
        <v>0</v>
      </c>
      <c r="CC487" s="134">
        <v>1.4E-3</v>
      </c>
      <c r="CD487" s="134">
        <f>CC487*H487</f>
        <v>4.1999999999999997E-3</v>
      </c>
      <c r="CE487" s="134">
        <v>0</v>
      </c>
      <c r="CF487" s="135">
        <f>CE487*H487</f>
        <v>0</v>
      </c>
      <c r="DD487" s="136" t="s">
        <v>328</v>
      </c>
      <c r="DF487" s="136" t="s">
        <v>439</v>
      </c>
      <c r="DG487" s="136" t="s">
        <v>83</v>
      </c>
      <c r="DK487" s="16" t="s">
        <v>282</v>
      </c>
      <c r="DQ487" s="137">
        <f>IF(BZ487="základní",J487,0)</f>
        <v>3409.98</v>
      </c>
      <c r="DR487" s="137">
        <f>IF(BZ487="snížená",J487,0)</f>
        <v>0</v>
      </c>
      <c r="DS487" s="137">
        <f>IF(BZ487="zákl. přenesená",J487,0)</f>
        <v>0</v>
      </c>
      <c r="DT487" s="137">
        <f>IF(BZ487="sníž. přenesená",J487,0)</f>
        <v>0</v>
      </c>
      <c r="DU487" s="137">
        <f>IF(BZ487="nulová",J487,0)</f>
        <v>0</v>
      </c>
      <c r="DV487" s="16" t="s">
        <v>81</v>
      </c>
      <c r="DW487" s="137">
        <f>ROUND(I487*H487,2)</f>
        <v>3409.98</v>
      </c>
      <c r="DX487" s="16" t="s">
        <v>95</v>
      </c>
      <c r="DY487" s="136" t="s">
        <v>2585</v>
      </c>
    </row>
    <row r="488" spans="2:129" s="1" customFormat="1" x14ac:dyDescent="0.2">
      <c r="B488" s="31"/>
      <c r="D488" s="138" t="s">
        <v>289</v>
      </c>
      <c r="F488" s="139" t="s">
        <v>2422</v>
      </c>
      <c r="I488" s="140"/>
      <c r="L488" s="31"/>
      <c r="N488" s="213"/>
      <c r="O488" s="214"/>
      <c r="Q488" s="229"/>
      <c r="BY488" s="141"/>
      <c r="CF488" s="50"/>
      <c r="DF488" s="16" t="s">
        <v>289</v>
      </c>
      <c r="DG488" s="16" t="s">
        <v>83</v>
      </c>
    </row>
    <row r="489" spans="2:129" s="1" customFormat="1" ht="14.45" customHeight="1" x14ac:dyDescent="0.2">
      <c r="B489" s="124"/>
      <c r="C489" s="170" t="s">
        <v>1544</v>
      </c>
      <c r="D489" s="170" t="s">
        <v>439</v>
      </c>
      <c r="E489" s="171" t="s">
        <v>2586</v>
      </c>
      <c r="F489" s="172" t="s">
        <v>2587</v>
      </c>
      <c r="G489" s="173" t="s">
        <v>485</v>
      </c>
      <c r="H489" s="174">
        <v>1</v>
      </c>
      <c r="I489" s="175">
        <v>1515.54512</v>
      </c>
      <c r="J489" s="176">
        <f>ROUND(I489*H489,2)</f>
        <v>1515.55</v>
      </c>
      <c r="K489" s="172" t="s">
        <v>1</v>
      </c>
      <c r="L489" s="198">
        <f>S489</f>
        <v>0</v>
      </c>
      <c r="M489" s="206">
        <f>ROUND(L489*I489,2)</f>
        <v>0</v>
      </c>
      <c r="N489" s="211"/>
      <c r="O489" s="212">
        <f>ROUND(N489*I489,2)</f>
        <v>0</v>
      </c>
      <c r="P489" s="207">
        <f>H489-L489-N489</f>
        <v>1</v>
      </c>
      <c r="Q489" s="228">
        <f>ROUND(P489*I489,2)</f>
        <v>1515.55</v>
      </c>
      <c r="R489" s="199"/>
      <c r="S489" s="200">
        <f>W489+Y489+AA489+AC489+AE489+AG489+AI489+AK489+AM489+AO489+AQ489+AS489+AU489+AW489</f>
        <v>0</v>
      </c>
      <c r="T489" s="200">
        <f>ROUND(S489*I489,2)</f>
        <v>0</v>
      </c>
      <c r="U489" s="200">
        <f>H489-S489</f>
        <v>1</v>
      </c>
      <c r="V489" s="200">
        <f>ROUND(U489*I489,2)</f>
        <v>1515.55</v>
      </c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77" t="s">
        <v>1</v>
      </c>
      <c r="BZ489" s="178" t="s">
        <v>40</v>
      </c>
      <c r="CB489" s="134">
        <f>CA489*H489</f>
        <v>0</v>
      </c>
      <c r="CC489" s="134">
        <v>1.4E-3</v>
      </c>
      <c r="CD489" s="134">
        <f>CC489*H489</f>
        <v>1.4E-3</v>
      </c>
      <c r="CE489" s="134">
        <v>0</v>
      </c>
      <c r="CF489" s="135">
        <f>CE489*H489</f>
        <v>0</v>
      </c>
      <c r="DD489" s="136" t="s">
        <v>328</v>
      </c>
      <c r="DF489" s="136" t="s">
        <v>439</v>
      </c>
      <c r="DG489" s="136" t="s">
        <v>83</v>
      </c>
      <c r="DK489" s="16" t="s">
        <v>282</v>
      </c>
      <c r="DQ489" s="137">
        <f>IF(BZ489="základní",J489,0)</f>
        <v>1515.55</v>
      </c>
      <c r="DR489" s="137">
        <f>IF(BZ489="snížená",J489,0)</f>
        <v>0</v>
      </c>
      <c r="DS489" s="137">
        <f>IF(BZ489="zákl. přenesená",J489,0)</f>
        <v>0</v>
      </c>
      <c r="DT489" s="137">
        <f>IF(BZ489="sníž. přenesená",J489,0)</f>
        <v>0</v>
      </c>
      <c r="DU489" s="137">
        <f>IF(BZ489="nulová",J489,0)</f>
        <v>0</v>
      </c>
      <c r="DV489" s="16" t="s">
        <v>81</v>
      </c>
      <c r="DW489" s="137">
        <f>ROUND(I489*H489,2)</f>
        <v>1515.55</v>
      </c>
      <c r="DX489" s="16" t="s">
        <v>95</v>
      </c>
      <c r="DY489" s="136" t="s">
        <v>2588</v>
      </c>
    </row>
    <row r="490" spans="2:129" s="1" customFormat="1" x14ac:dyDescent="0.2">
      <c r="B490" s="31"/>
      <c r="D490" s="138" t="s">
        <v>289</v>
      </c>
      <c r="F490" s="139" t="s">
        <v>2587</v>
      </c>
      <c r="I490" s="140"/>
      <c r="L490" s="31"/>
      <c r="N490" s="213"/>
      <c r="O490" s="214"/>
      <c r="Q490" s="229"/>
      <c r="BY490" s="141"/>
      <c r="CF490" s="50"/>
      <c r="DF490" s="16" t="s">
        <v>289</v>
      </c>
      <c r="DG490" s="16" t="s">
        <v>83</v>
      </c>
    </row>
    <row r="491" spans="2:129" s="1" customFormat="1" ht="14.45" customHeight="1" x14ac:dyDescent="0.2">
      <c r="B491" s="124"/>
      <c r="C491" s="170" t="s">
        <v>1546</v>
      </c>
      <c r="D491" s="170" t="s">
        <v>439</v>
      </c>
      <c r="E491" s="171" t="s">
        <v>2348</v>
      </c>
      <c r="F491" s="172" t="s">
        <v>2349</v>
      </c>
      <c r="G491" s="173" t="s">
        <v>485</v>
      </c>
      <c r="H491" s="174">
        <v>4</v>
      </c>
      <c r="I491" s="175">
        <v>1610.2666899999999</v>
      </c>
      <c r="J491" s="176">
        <f>ROUND(I491*H491,2)</f>
        <v>6441.07</v>
      </c>
      <c r="K491" s="172" t="s">
        <v>1</v>
      </c>
      <c r="L491" s="198">
        <f>S491</f>
        <v>0</v>
      </c>
      <c r="M491" s="206">
        <f>ROUND(L491*I491,2)</f>
        <v>0</v>
      </c>
      <c r="N491" s="211"/>
      <c r="O491" s="212">
        <f>ROUND(N491*I491,2)</f>
        <v>0</v>
      </c>
      <c r="P491" s="207">
        <f>H491-L491-N491</f>
        <v>4</v>
      </c>
      <c r="Q491" s="228">
        <f>ROUND(P491*I491,2)</f>
        <v>6441.07</v>
      </c>
      <c r="R491" s="199"/>
      <c r="S491" s="200">
        <f>W491+Y491+AA491+AC491+AE491+AG491+AI491+AK491+AM491+AO491+AQ491+AS491+AU491+AW491</f>
        <v>0</v>
      </c>
      <c r="T491" s="200">
        <f>ROUND(S491*I491,2)</f>
        <v>0</v>
      </c>
      <c r="U491" s="200">
        <f>H491-S491</f>
        <v>4</v>
      </c>
      <c r="V491" s="200">
        <f>ROUND(U491*I491,2)</f>
        <v>6441.07</v>
      </c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77" t="s">
        <v>1</v>
      </c>
      <c r="BZ491" s="178" t="s">
        <v>40</v>
      </c>
      <c r="CB491" s="134">
        <f>CA491*H491</f>
        <v>0</v>
      </c>
      <c r="CC491" s="134">
        <v>1.4E-3</v>
      </c>
      <c r="CD491" s="134">
        <f>CC491*H491</f>
        <v>5.5999999999999999E-3</v>
      </c>
      <c r="CE491" s="134">
        <v>0</v>
      </c>
      <c r="CF491" s="135">
        <f>CE491*H491</f>
        <v>0</v>
      </c>
      <c r="DD491" s="136" t="s">
        <v>328</v>
      </c>
      <c r="DF491" s="136" t="s">
        <v>439</v>
      </c>
      <c r="DG491" s="136" t="s">
        <v>83</v>
      </c>
      <c r="DK491" s="16" t="s">
        <v>282</v>
      </c>
      <c r="DQ491" s="137">
        <f>IF(BZ491="základní",J491,0)</f>
        <v>6441.07</v>
      </c>
      <c r="DR491" s="137">
        <f>IF(BZ491="snížená",J491,0)</f>
        <v>0</v>
      </c>
      <c r="DS491" s="137">
        <f>IF(BZ491="zákl. přenesená",J491,0)</f>
        <v>0</v>
      </c>
      <c r="DT491" s="137">
        <f>IF(BZ491="sníž. přenesená",J491,0)</f>
        <v>0</v>
      </c>
      <c r="DU491" s="137">
        <f>IF(BZ491="nulová",J491,0)</f>
        <v>0</v>
      </c>
      <c r="DV491" s="16" t="s">
        <v>81</v>
      </c>
      <c r="DW491" s="137">
        <f>ROUND(I491*H491,2)</f>
        <v>6441.07</v>
      </c>
      <c r="DX491" s="16" t="s">
        <v>95</v>
      </c>
      <c r="DY491" s="136" t="s">
        <v>2589</v>
      </c>
    </row>
    <row r="492" spans="2:129" s="1" customFormat="1" x14ac:dyDescent="0.2">
      <c r="B492" s="31"/>
      <c r="D492" s="138" t="s">
        <v>289</v>
      </c>
      <c r="F492" s="139" t="s">
        <v>2349</v>
      </c>
      <c r="I492" s="140"/>
      <c r="L492" s="31"/>
      <c r="N492" s="213"/>
      <c r="O492" s="214"/>
      <c r="Q492" s="229"/>
      <c r="BY492" s="141"/>
      <c r="CF492" s="50"/>
      <c r="DF492" s="16" t="s">
        <v>289</v>
      </c>
      <c r="DG492" s="16" t="s">
        <v>83</v>
      </c>
    </row>
    <row r="493" spans="2:129" s="1" customFormat="1" ht="14.45" customHeight="1" x14ac:dyDescent="0.2">
      <c r="B493" s="124"/>
      <c r="C493" s="170" t="s">
        <v>1551</v>
      </c>
      <c r="D493" s="170" t="s">
        <v>439</v>
      </c>
      <c r="E493" s="171" t="s">
        <v>2351</v>
      </c>
      <c r="F493" s="172" t="s">
        <v>2352</v>
      </c>
      <c r="G493" s="173" t="s">
        <v>485</v>
      </c>
      <c r="H493" s="174">
        <v>5</v>
      </c>
      <c r="I493" s="175">
        <v>318.26447519999999</v>
      </c>
      <c r="J493" s="176">
        <f>ROUND(I493*H493,2)</f>
        <v>1591.32</v>
      </c>
      <c r="K493" s="172" t="s">
        <v>293</v>
      </c>
      <c r="L493" s="198">
        <f>S493</f>
        <v>0</v>
      </c>
      <c r="M493" s="206">
        <f>ROUND(L493*I493,2)</f>
        <v>0</v>
      </c>
      <c r="N493" s="211"/>
      <c r="O493" s="212">
        <f>ROUND(N493*I493,2)</f>
        <v>0</v>
      </c>
      <c r="P493" s="207">
        <f>H493-L493-N493</f>
        <v>5</v>
      </c>
      <c r="Q493" s="228">
        <f>ROUND(P493*I493,2)</f>
        <v>1591.32</v>
      </c>
      <c r="R493" s="199"/>
      <c r="S493" s="200">
        <f>W493+Y493+AA493+AC493+AE493+AG493+AI493+AK493+AM493+AO493+AQ493+AS493+AU493+AW493</f>
        <v>0</v>
      </c>
      <c r="T493" s="200">
        <f>ROUND(S493*I493,2)</f>
        <v>0</v>
      </c>
      <c r="U493" s="200">
        <f>H493-S493</f>
        <v>5</v>
      </c>
      <c r="V493" s="200">
        <f>ROUND(U493*I493,2)</f>
        <v>1591.32</v>
      </c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77" t="s">
        <v>1</v>
      </c>
      <c r="BZ493" s="178" t="s">
        <v>40</v>
      </c>
      <c r="CB493" s="134">
        <f>CA493*H493</f>
        <v>0</v>
      </c>
      <c r="CC493" s="134">
        <v>7.2000000000000005E-4</v>
      </c>
      <c r="CD493" s="134">
        <f>CC493*H493</f>
        <v>3.6000000000000003E-3</v>
      </c>
      <c r="CE493" s="134">
        <v>0</v>
      </c>
      <c r="CF493" s="135">
        <f>CE493*H493</f>
        <v>0</v>
      </c>
      <c r="DD493" s="136" t="s">
        <v>328</v>
      </c>
      <c r="DF493" s="136" t="s">
        <v>439</v>
      </c>
      <c r="DG493" s="136" t="s">
        <v>83</v>
      </c>
      <c r="DK493" s="16" t="s">
        <v>282</v>
      </c>
      <c r="DQ493" s="137">
        <f>IF(BZ493="základní",J493,0)</f>
        <v>1591.32</v>
      </c>
      <c r="DR493" s="137">
        <f>IF(BZ493="snížená",J493,0)</f>
        <v>0</v>
      </c>
      <c r="DS493" s="137">
        <f>IF(BZ493="zákl. přenesená",J493,0)</f>
        <v>0</v>
      </c>
      <c r="DT493" s="137">
        <f>IF(BZ493="sníž. přenesená",J493,0)</f>
        <v>0</v>
      </c>
      <c r="DU493" s="137">
        <f>IF(BZ493="nulová",J493,0)</f>
        <v>0</v>
      </c>
      <c r="DV493" s="16" t="s">
        <v>81</v>
      </c>
      <c r="DW493" s="137">
        <f>ROUND(I493*H493,2)</f>
        <v>1591.32</v>
      </c>
      <c r="DX493" s="16" t="s">
        <v>95</v>
      </c>
      <c r="DY493" s="136" t="s">
        <v>2353</v>
      </c>
    </row>
    <row r="494" spans="2:129" s="1" customFormat="1" x14ac:dyDescent="0.2">
      <c r="B494" s="31"/>
      <c r="D494" s="138" t="s">
        <v>289</v>
      </c>
      <c r="F494" s="139" t="s">
        <v>2352</v>
      </c>
      <c r="I494" s="140"/>
      <c r="L494" s="31"/>
      <c r="N494" s="213"/>
      <c r="O494" s="214"/>
      <c r="Q494" s="229"/>
      <c r="BY494" s="141"/>
      <c r="CF494" s="50"/>
      <c r="DF494" s="16" t="s">
        <v>289</v>
      </c>
      <c r="DG494" s="16" t="s">
        <v>83</v>
      </c>
    </row>
    <row r="495" spans="2:129" s="1" customFormat="1" ht="24.2" customHeight="1" x14ac:dyDescent="0.2">
      <c r="B495" s="124"/>
      <c r="C495" s="170" t="s">
        <v>1069</v>
      </c>
      <c r="D495" s="170" t="s">
        <v>439</v>
      </c>
      <c r="E495" s="171" t="s">
        <v>2354</v>
      </c>
      <c r="F495" s="172" t="s">
        <v>2355</v>
      </c>
      <c r="G495" s="173" t="s">
        <v>485</v>
      </c>
      <c r="H495" s="174">
        <v>5</v>
      </c>
      <c r="I495" s="175">
        <v>654.52604870000005</v>
      </c>
      <c r="J495" s="176">
        <f>ROUND(I495*H495,2)</f>
        <v>3272.63</v>
      </c>
      <c r="K495" s="172" t="s">
        <v>293</v>
      </c>
      <c r="L495" s="198">
        <f>S495</f>
        <v>0</v>
      </c>
      <c r="M495" s="206">
        <f>ROUND(L495*I495,2)</f>
        <v>0</v>
      </c>
      <c r="N495" s="211"/>
      <c r="O495" s="212">
        <f>ROUND(N495*I495,2)</f>
        <v>0</v>
      </c>
      <c r="P495" s="207">
        <f>H495-L495-N495</f>
        <v>5</v>
      </c>
      <c r="Q495" s="228">
        <f>ROUND(P495*I495,2)</f>
        <v>3272.63</v>
      </c>
      <c r="R495" s="199"/>
      <c r="S495" s="200">
        <f>W495+Y495+AA495+AC495+AE495+AG495+AI495+AK495+AM495+AO495+AQ495+AS495+AU495+AW495</f>
        <v>0</v>
      </c>
      <c r="T495" s="200">
        <f>ROUND(S495*I495,2)</f>
        <v>0</v>
      </c>
      <c r="U495" s="200">
        <f>H495-S495</f>
        <v>5</v>
      </c>
      <c r="V495" s="200">
        <f>ROUND(U495*I495,2)</f>
        <v>3272.63</v>
      </c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77" t="s">
        <v>1</v>
      </c>
      <c r="BZ495" s="178" t="s">
        <v>40</v>
      </c>
      <c r="CB495" s="134">
        <f>CA495*H495</f>
        <v>0</v>
      </c>
      <c r="CC495" s="134">
        <v>4.0000000000000001E-3</v>
      </c>
      <c r="CD495" s="134">
        <f>CC495*H495</f>
        <v>0.02</v>
      </c>
      <c r="CE495" s="134">
        <v>0</v>
      </c>
      <c r="CF495" s="135">
        <f>CE495*H495</f>
        <v>0</v>
      </c>
      <c r="DD495" s="136" t="s">
        <v>328</v>
      </c>
      <c r="DF495" s="136" t="s">
        <v>439</v>
      </c>
      <c r="DG495" s="136" t="s">
        <v>83</v>
      </c>
      <c r="DK495" s="16" t="s">
        <v>282</v>
      </c>
      <c r="DQ495" s="137">
        <f>IF(BZ495="základní",J495,0)</f>
        <v>3272.63</v>
      </c>
      <c r="DR495" s="137">
        <f>IF(BZ495="snížená",J495,0)</f>
        <v>0</v>
      </c>
      <c r="DS495" s="137">
        <f>IF(BZ495="zákl. přenesená",J495,0)</f>
        <v>0</v>
      </c>
      <c r="DT495" s="137">
        <f>IF(BZ495="sníž. přenesená",J495,0)</f>
        <v>0</v>
      </c>
      <c r="DU495" s="137">
        <f>IF(BZ495="nulová",J495,0)</f>
        <v>0</v>
      </c>
      <c r="DV495" s="16" t="s">
        <v>81</v>
      </c>
      <c r="DW495" s="137">
        <f>ROUND(I495*H495,2)</f>
        <v>3272.63</v>
      </c>
      <c r="DX495" s="16" t="s">
        <v>95</v>
      </c>
      <c r="DY495" s="136" t="s">
        <v>2356</v>
      </c>
    </row>
    <row r="496" spans="2:129" s="1" customFormat="1" x14ac:dyDescent="0.2">
      <c r="B496" s="31"/>
      <c r="D496" s="138" t="s">
        <v>289</v>
      </c>
      <c r="F496" s="139" t="s">
        <v>2357</v>
      </c>
      <c r="I496" s="140"/>
      <c r="L496" s="31"/>
      <c r="N496" s="213"/>
      <c r="O496" s="214"/>
      <c r="Q496" s="229"/>
      <c r="BY496" s="141"/>
      <c r="CF496" s="50"/>
      <c r="DF496" s="16" t="s">
        <v>289</v>
      </c>
      <c r="DG496" s="16" t="s">
        <v>83</v>
      </c>
    </row>
    <row r="497" spans="2:129" s="1" customFormat="1" ht="24.2" customHeight="1" x14ac:dyDescent="0.2">
      <c r="B497" s="124"/>
      <c r="C497" s="125" t="s">
        <v>1555</v>
      </c>
      <c r="D497" s="125" t="s">
        <v>284</v>
      </c>
      <c r="E497" s="126" t="s">
        <v>2358</v>
      </c>
      <c r="F497" s="127" t="s">
        <v>2359</v>
      </c>
      <c r="G497" s="128" t="s">
        <v>485</v>
      </c>
      <c r="H497" s="129">
        <v>1</v>
      </c>
      <c r="I497" s="130">
        <v>321.31669478087099</v>
      </c>
      <c r="J497" s="131">
        <f>ROUND(I497*H497,2)</f>
        <v>321.32</v>
      </c>
      <c r="K497" s="127" t="s">
        <v>293</v>
      </c>
      <c r="L497" s="198">
        <f>S497</f>
        <v>0</v>
      </c>
      <c r="M497" s="206">
        <f>ROUND(L497*I497,2)</f>
        <v>0</v>
      </c>
      <c r="N497" s="211"/>
      <c r="O497" s="212">
        <f>ROUND(N497*I497,2)</f>
        <v>0</v>
      </c>
      <c r="P497" s="207">
        <f>H497-L497-N497</f>
        <v>1</v>
      </c>
      <c r="Q497" s="228">
        <f>ROUND(P497*I497,2)</f>
        <v>321.32</v>
      </c>
      <c r="R497" s="199"/>
      <c r="S497" s="200">
        <f>W497+Y497+AA497+AC497+AE497+AG497+AI497+AK497+AM497+AO497+AQ497+AS497+AU497+AW497</f>
        <v>0</v>
      </c>
      <c r="T497" s="200">
        <f>ROUND(S497*I497,2)</f>
        <v>0</v>
      </c>
      <c r="U497" s="200">
        <f>H497-S497</f>
        <v>1</v>
      </c>
      <c r="V497" s="200">
        <f>ROUND(U497*I497,2)</f>
        <v>321.32</v>
      </c>
      <c r="W497" s="200"/>
      <c r="X497" s="200"/>
      <c r="Y497" s="200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0"/>
      <c r="AP497" s="200"/>
      <c r="AQ497" s="200"/>
      <c r="AR497" s="200"/>
      <c r="AS497" s="200"/>
      <c r="AT497" s="200"/>
      <c r="AU497" s="200"/>
      <c r="AV497" s="200"/>
      <c r="AW497" s="200"/>
      <c r="AX497" s="200"/>
      <c r="BY497" s="132" t="s">
        <v>1</v>
      </c>
      <c r="BZ497" s="133" t="s">
        <v>40</v>
      </c>
      <c r="CB497" s="134">
        <f>CA497*H497</f>
        <v>0</v>
      </c>
      <c r="CC497" s="134">
        <v>0</v>
      </c>
      <c r="CD497" s="134">
        <f>CC497*H497</f>
        <v>0</v>
      </c>
      <c r="CE497" s="134">
        <v>0</v>
      </c>
      <c r="CF497" s="135">
        <f>CE497*H497</f>
        <v>0</v>
      </c>
      <c r="DD497" s="136" t="s">
        <v>95</v>
      </c>
      <c r="DF497" s="136" t="s">
        <v>284</v>
      </c>
      <c r="DG497" s="136" t="s">
        <v>83</v>
      </c>
      <c r="DK497" s="16" t="s">
        <v>282</v>
      </c>
      <c r="DQ497" s="137">
        <f>IF(BZ497="základní",J497,0)</f>
        <v>321.32</v>
      </c>
      <c r="DR497" s="137">
        <f>IF(BZ497="snížená",J497,0)</f>
        <v>0</v>
      </c>
      <c r="DS497" s="137">
        <f>IF(BZ497="zákl. přenesená",J497,0)</f>
        <v>0</v>
      </c>
      <c r="DT497" s="137">
        <f>IF(BZ497="sníž. přenesená",J497,0)</f>
        <v>0</v>
      </c>
      <c r="DU497" s="137">
        <f>IF(BZ497="nulová",J497,0)</f>
        <v>0</v>
      </c>
      <c r="DV497" s="16" t="s">
        <v>81</v>
      </c>
      <c r="DW497" s="137">
        <f>ROUND(I497*H497,2)</f>
        <v>321.32</v>
      </c>
      <c r="DX497" s="16" t="s">
        <v>95</v>
      </c>
      <c r="DY497" s="136" t="s">
        <v>2360</v>
      </c>
    </row>
    <row r="498" spans="2:129" s="1" customFormat="1" ht="19.5" x14ac:dyDescent="0.2">
      <c r="B498" s="31"/>
      <c r="D498" s="138" t="s">
        <v>289</v>
      </c>
      <c r="F498" s="139" t="s">
        <v>2361</v>
      </c>
      <c r="I498" s="140"/>
      <c r="L498" s="31"/>
      <c r="N498" s="213"/>
      <c r="O498" s="214"/>
      <c r="Q498" s="229"/>
      <c r="BY498" s="141"/>
      <c r="CF498" s="50"/>
      <c r="DF498" s="16" t="s">
        <v>289</v>
      </c>
      <c r="DG498" s="16" t="s">
        <v>83</v>
      </c>
    </row>
    <row r="499" spans="2:129" s="1" customFormat="1" ht="29.25" x14ac:dyDescent="0.2">
      <c r="B499" s="31"/>
      <c r="D499" s="138" t="s">
        <v>299</v>
      </c>
      <c r="F499" s="142" t="s">
        <v>2431</v>
      </c>
      <c r="I499" s="140"/>
      <c r="L499" s="31"/>
      <c r="N499" s="213"/>
      <c r="O499" s="214"/>
      <c r="Q499" s="229"/>
      <c r="BY499" s="141"/>
      <c r="CF499" s="50"/>
      <c r="DF499" s="16" t="s">
        <v>299</v>
      </c>
      <c r="DG499" s="16" t="s">
        <v>83</v>
      </c>
    </row>
    <row r="500" spans="2:129" s="12" customFormat="1" x14ac:dyDescent="0.2">
      <c r="B500" s="149"/>
      <c r="D500" s="138" t="s">
        <v>301</v>
      </c>
      <c r="E500" s="150" t="s">
        <v>1</v>
      </c>
      <c r="F500" s="151" t="s">
        <v>81</v>
      </c>
      <c r="H500" s="152">
        <v>1</v>
      </c>
      <c r="I500" s="153"/>
      <c r="L500" s="149"/>
      <c r="N500" s="217"/>
      <c r="O500" s="218"/>
      <c r="Q500" s="231"/>
      <c r="BY500" s="154"/>
      <c r="CF500" s="155"/>
      <c r="DF500" s="150" t="s">
        <v>301</v>
      </c>
      <c r="DG500" s="150" t="s">
        <v>83</v>
      </c>
      <c r="DH500" s="12" t="s">
        <v>83</v>
      </c>
      <c r="DI500" s="12" t="s">
        <v>32</v>
      </c>
      <c r="DJ500" s="12" t="s">
        <v>81</v>
      </c>
      <c r="DK500" s="150" t="s">
        <v>282</v>
      </c>
    </row>
    <row r="501" spans="2:129" s="1" customFormat="1" ht="24.2" customHeight="1" x14ac:dyDescent="0.2">
      <c r="B501" s="124"/>
      <c r="C501" s="170" t="s">
        <v>1557</v>
      </c>
      <c r="D501" s="170" t="s">
        <v>439</v>
      </c>
      <c r="E501" s="171" t="s">
        <v>2362</v>
      </c>
      <c r="F501" s="172" t="s">
        <v>2363</v>
      </c>
      <c r="G501" s="173" t="s">
        <v>485</v>
      </c>
      <c r="H501" s="174">
        <v>1</v>
      </c>
      <c r="I501" s="175">
        <v>1297.6855089999999</v>
      </c>
      <c r="J501" s="176">
        <f>ROUND(I501*H501,2)</f>
        <v>1297.69</v>
      </c>
      <c r="K501" s="172" t="s">
        <v>293</v>
      </c>
      <c r="L501" s="198">
        <f>S501</f>
        <v>0</v>
      </c>
      <c r="M501" s="206">
        <f>ROUND(L501*I501,2)</f>
        <v>0</v>
      </c>
      <c r="N501" s="211"/>
      <c r="O501" s="212">
        <f>ROUND(N501*I501,2)</f>
        <v>0</v>
      </c>
      <c r="P501" s="207">
        <f>H501-L501-N501</f>
        <v>1</v>
      </c>
      <c r="Q501" s="228">
        <f>ROUND(P501*I501,2)</f>
        <v>1297.69</v>
      </c>
      <c r="R501" s="199"/>
      <c r="S501" s="200">
        <f>W501+Y501+AA501+AC501+AE501+AG501+AI501+AK501+AM501+AO501+AQ501+AS501+AU501+AW501</f>
        <v>0</v>
      </c>
      <c r="T501" s="200">
        <f>ROUND(S501*I501,2)</f>
        <v>0</v>
      </c>
      <c r="U501" s="200">
        <f>H501-S501</f>
        <v>1</v>
      </c>
      <c r="V501" s="200">
        <f>ROUND(U501*I501,2)</f>
        <v>1297.69</v>
      </c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77" t="s">
        <v>1</v>
      </c>
      <c r="BZ501" s="178" t="s">
        <v>40</v>
      </c>
      <c r="CB501" s="134">
        <f>CA501*H501</f>
        <v>0</v>
      </c>
      <c r="CC501" s="134">
        <v>2.2300000000000002E-3</v>
      </c>
      <c r="CD501" s="134">
        <f>CC501*H501</f>
        <v>2.2300000000000002E-3</v>
      </c>
      <c r="CE501" s="134">
        <v>0</v>
      </c>
      <c r="CF501" s="135">
        <f>CE501*H501</f>
        <v>0</v>
      </c>
      <c r="DD501" s="136" t="s">
        <v>328</v>
      </c>
      <c r="DF501" s="136" t="s">
        <v>439</v>
      </c>
      <c r="DG501" s="136" t="s">
        <v>83</v>
      </c>
      <c r="DK501" s="16" t="s">
        <v>282</v>
      </c>
      <c r="DQ501" s="137">
        <f>IF(BZ501="základní",J501,0)</f>
        <v>1297.69</v>
      </c>
      <c r="DR501" s="137">
        <f>IF(BZ501="snížená",J501,0)</f>
        <v>0</v>
      </c>
      <c r="DS501" s="137">
        <f>IF(BZ501="zákl. přenesená",J501,0)</f>
        <v>0</v>
      </c>
      <c r="DT501" s="137">
        <f>IF(BZ501="sníž. přenesená",J501,0)</f>
        <v>0</v>
      </c>
      <c r="DU501" s="137">
        <f>IF(BZ501="nulová",J501,0)</f>
        <v>0</v>
      </c>
      <c r="DV501" s="16" t="s">
        <v>81</v>
      </c>
      <c r="DW501" s="137">
        <f>ROUND(I501*H501,2)</f>
        <v>1297.69</v>
      </c>
      <c r="DX501" s="16" t="s">
        <v>95</v>
      </c>
      <c r="DY501" s="136" t="s">
        <v>2364</v>
      </c>
    </row>
    <row r="502" spans="2:129" s="1" customFormat="1" x14ac:dyDescent="0.2">
      <c r="B502" s="31"/>
      <c r="D502" s="138" t="s">
        <v>289</v>
      </c>
      <c r="F502" s="139" t="s">
        <v>2363</v>
      </c>
      <c r="I502" s="140"/>
      <c r="L502" s="31"/>
      <c r="N502" s="213"/>
      <c r="O502" s="214"/>
      <c r="Q502" s="229"/>
      <c r="BY502" s="141"/>
      <c r="CF502" s="50"/>
      <c r="DF502" s="16" t="s">
        <v>289</v>
      </c>
      <c r="DG502" s="16" t="s">
        <v>83</v>
      </c>
    </row>
    <row r="503" spans="2:129" s="1" customFormat="1" ht="14.45" customHeight="1" x14ac:dyDescent="0.2">
      <c r="B503" s="124"/>
      <c r="C503" s="125" t="s">
        <v>1559</v>
      </c>
      <c r="D503" s="125" t="s">
        <v>284</v>
      </c>
      <c r="E503" s="126" t="s">
        <v>2590</v>
      </c>
      <c r="F503" s="127" t="s">
        <v>2591</v>
      </c>
      <c r="G503" s="128" t="s">
        <v>485</v>
      </c>
      <c r="H503" s="129">
        <v>2</v>
      </c>
      <c r="I503" s="130">
        <v>288.13348175961909</v>
      </c>
      <c r="J503" s="131">
        <f>ROUND(I503*H503,2)</f>
        <v>576.27</v>
      </c>
      <c r="K503" s="127" t="s">
        <v>293</v>
      </c>
      <c r="L503" s="198">
        <f>S503</f>
        <v>0</v>
      </c>
      <c r="M503" s="206">
        <f>ROUND(L503*I503,2)</f>
        <v>0</v>
      </c>
      <c r="N503" s="211"/>
      <c r="O503" s="212">
        <f>ROUND(N503*I503,2)</f>
        <v>0</v>
      </c>
      <c r="P503" s="207">
        <f>H503-L503-N503</f>
        <v>2</v>
      </c>
      <c r="Q503" s="228">
        <f>ROUND(P503*I503,2)</f>
        <v>576.27</v>
      </c>
      <c r="R503" s="199"/>
      <c r="S503" s="200">
        <f>W503+Y503+AA503+AC503+AE503+AG503+AI503+AK503+AM503+AO503+AQ503+AS503+AU503+AW503</f>
        <v>0</v>
      </c>
      <c r="T503" s="200">
        <f>ROUND(S503*I503,2)</f>
        <v>0</v>
      </c>
      <c r="U503" s="200">
        <f>H503-S503</f>
        <v>2</v>
      </c>
      <c r="V503" s="200">
        <f>ROUND(U503*I503,2)</f>
        <v>576.27</v>
      </c>
      <c r="W503" s="200"/>
      <c r="X503" s="200"/>
      <c r="Y503" s="200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0"/>
      <c r="AP503" s="200"/>
      <c r="AQ503" s="200"/>
      <c r="AR503" s="200"/>
      <c r="AS503" s="200"/>
      <c r="AT503" s="200"/>
      <c r="AU503" s="200"/>
      <c r="AV503" s="200"/>
      <c r="AW503" s="200"/>
      <c r="AX503" s="200"/>
      <c r="BY503" s="132" t="s">
        <v>1</v>
      </c>
      <c r="BZ503" s="133" t="s">
        <v>40</v>
      </c>
      <c r="CB503" s="134">
        <f>CA503*H503</f>
        <v>0</v>
      </c>
      <c r="CC503" s="134">
        <v>3.4000000000000002E-4</v>
      </c>
      <c r="CD503" s="134">
        <f>CC503*H503</f>
        <v>6.8000000000000005E-4</v>
      </c>
      <c r="CE503" s="134">
        <v>0</v>
      </c>
      <c r="CF503" s="135">
        <f>CE503*H503</f>
        <v>0</v>
      </c>
      <c r="DD503" s="136" t="s">
        <v>95</v>
      </c>
      <c r="DF503" s="136" t="s">
        <v>284</v>
      </c>
      <c r="DG503" s="136" t="s">
        <v>83</v>
      </c>
      <c r="DK503" s="16" t="s">
        <v>282</v>
      </c>
      <c r="DQ503" s="137">
        <f>IF(BZ503="základní",J503,0)</f>
        <v>576.27</v>
      </c>
      <c r="DR503" s="137">
        <f>IF(BZ503="snížená",J503,0)</f>
        <v>0</v>
      </c>
      <c r="DS503" s="137">
        <f>IF(BZ503="zákl. přenesená",J503,0)</f>
        <v>0</v>
      </c>
      <c r="DT503" s="137">
        <f>IF(BZ503="sníž. přenesená",J503,0)</f>
        <v>0</v>
      </c>
      <c r="DU503" s="137">
        <f>IF(BZ503="nulová",J503,0)</f>
        <v>0</v>
      </c>
      <c r="DV503" s="16" t="s">
        <v>81</v>
      </c>
      <c r="DW503" s="137">
        <f>ROUND(I503*H503,2)</f>
        <v>576.27</v>
      </c>
      <c r="DX503" s="16" t="s">
        <v>95</v>
      </c>
      <c r="DY503" s="136" t="s">
        <v>2592</v>
      </c>
    </row>
    <row r="504" spans="2:129" s="1" customFormat="1" ht="19.5" x14ac:dyDescent="0.2">
      <c r="B504" s="31"/>
      <c r="D504" s="138" t="s">
        <v>289</v>
      </c>
      <c r="F504" s="139" t="s">
        <v>2593</v>
      </c>
      <c r="I504" s="140"/>
      <c r="L504" s="31"/>
      <c r="N504" s="213"/>
      <c r="O504" s="214"/>
      <c r="Q504" s="229"/>
      <c r="BY504" s="141"/>
      <c r="CF504" s="50"/>
      <c r="DF504" s="16" t="s">
        <v>289</v>
      </c>
      <c r="DG504" s="16" t="s">
        <v>83</v>
      </c>
    </row>
    <row r="505" spans="2:129" s="1" customFormat="1" ht="29.25" x14ac:dyDescent="0.2">
      <c r="B505" s="31"/>
      <c r="D505" s="138" t="s">
        <v>299</v>
      </c>
      <c r="F505" s="142" t="s">
        <v>2431</v>
      </c>
      <c r="I505" s="140"/>
      <c r="L505" s="31"/>
      <c r="N505" s="213"/>
      <c r="O505" s="214"/>
      <c r="Q505" s="229"/>
      <c r="BY505" s="141"/>
      <c r="CF505" s="50"/>
      <c r="DF505" s="16" t="s">
        <v>299</v>
      </c>
      <c r="DG505" s="16" t="s">
        <v>83</v>
      </c>
    </row>
    <row r="506" spans="2:129" s="12" customFormat="1" x14ac:dyDescent="0.2">
      <c r="B506" s="149"/>
      <c r="D506" s="138" t="s">
        <v>301</v>
      </c>
      <c r="E506" s="150" t="s">
        <v>1</v>
      </c>
      <c r="F506" s="151" t="s">
        <v>83</v>
      </c>
      <c r="H506" s="152">
        <v>2</v>
      </c>
      <c r="I506" s="153"/>
      <c r="L506" s="149"/>
      <c r="N506" s="217"/>
      <c r="O506" s="218"/>
      <c r="Q506" s="231"/>
      <c r="BY506" s="154"/>
      <c r="CF506" s="155"/>
      <c r="DF506" s="150" t="s">
        <v>301</v>
      </c>
      <c r="DG506" s="150" t="s">
        <v>83</v>
      </c>
      <c r="DH506" s="12" t="s">
        <v>83</v>
      </c>
      <c r="DI506" s="12" t="s">
        <v>32</v>
      </c>
      <c r="DJ506" s="12" t="s">
        <v>81</v>
      </c>
      <c r="DK506" s="150" t="s">
        <v>282</v>
      </c>
    </row>
    <row r="507" spans="2:129" s="1" customFormat="1" ht="24.2" customHeight="1" x14ac:dyDescent="0.2">
      <c r="B507" s="124"/>
      <c r="C507" s="170" t="s">
        <v>1560</v>
      </c>
      <c r="D507" s="170" t="s">
        <v>439</v>
      </c>
      <c r="E507" s="171" t="s">
        <v>2594</v>
      </c>
      <c r="F507" s="172" t="s">
        <v>2595</v>
      </c>
      <c r="G507" s="173" t="s">
        <v>485</v>
      </c>
      <c r="H507" s="174">
        <v>2</v>
      </c>
      <c r="I507" s="175">
        <v>30973.953389999999</v>
      </c>
      <c r="J507" s="176">
        <f>ROUND(I507*H507,2)</f>
        <v>61947.91</v>
      </c>
      <c r="K507" s="172" t="s">
        <v>293</v>
      </c>
      <c r="L507" s="198">
        <f>S507</f>
        <v>0</v>
      </c>
      <c r="M507" s="206">
        <f>ROUND(L507*I507,2)</f>
        <v>0</v>
      </c>
      <c r="N507" s="211"/>
      <c r="O507" s="212">
        <f>ROUND(N507*I507,2)</f>
        <v>0</v>
      </c>
      <c r="P507" s="207">
        <f>H507-L507-N507</f>
        <v>2</v>
      </c>
      <c r="Q507" s="228">
        <f>ROUND(P507*I507,2)</f>
        <v>61947.91</v>
      </c>
      <c r="R507" s="199"/>
      <c r="S507" s="200">
        <f>W507+Y507+AA507+AC507+AE507+AG507+AI507+AK507+AM507+AO507+AQ507+AS507+AU507+AW507</f>
        <v>0</v>
      </c>
      <c r="T507" s="200">
        <f>ROUND(S507*I507,2)</f>
        <v>0</v>
      </c>
      <c r="U507" s="200">
        <f>H507-S507</f>
        <v>2</v>
      </c>
      <c r="V507" s="200">
        <f>ROUND(U507*I507,2)</f>
        <v>61947.91</v>
      </c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77" t="s">
        <v>1</v>
      </c>
      <c r="BZ507" s="178" t="s">
        <v>40</v>
      </c>
      <c r="CB507" s="134">
        <f>CA507*H507</f>
        <v>0</v>
      </c>
      <c r="CC507" s="134">
        <v>4.4999999999999998E-2</v>
      </c>
      <c r="CD507" s="134">
        <f>CC507*H507</f>
        <v>0.09</v>
      </c>
      <c r="CE507" s="134">
        <v>0</v>
      </c>
      <c r="CF507" s="135">
        <f>CE507*H507</f>
        <v>0</v>
      </c>
      <c r="DD507" s="136" t="s">
        <v>328</v>
      </c>
      <c r="DF507" s="136" t="s">
        <v>439</v>
      </c>
      <c r="DG507" s="136" t="s">
        <v>83</v>
      </c>
      <c r="DK507" s="16" t="s">
        <v>282</v>
      </c>
      <c r="DQ507" s="137">
        <f>IF(BZ507="základní",J507,0)</f>
        <v>61947.91</v>
      </c>
      <c r="DR507" s="137">
        <f>IF(BZ507="snížená",J507,0)</f>
        <v>0</v>
      </c>
      <c r="DS507" s="137">
        <f>IF(BZ507="zákl. přenesená",J507,0)</f>
        <v>0</v>
      </c>
      <c r="DT507" s="137">
        <f>IF(BZ507="sníž. přenesená",J507,0)</f>
        <v>0</v>
      </c>
      <c r="DU507" s="137">
        <f>IF(BZ507="nulová",J507,0)</f>
        <v>0</v>
      </c>
      <c r="DV507" s="16" t="s">
        <v>81</v>
      </c>
      <c r="DW507" s="137">
        <f>ROUND(I507*H507,2)</f>
        <v>61947.91</v>
      </c>
      <c r="DX507" s="16" t="s">
        <v>95</v>
      </c>
      <c r="DY507" s="136" t="s">
        <v>2596</v>
      </c>
    </row>
    <row r="508" spans="2:129" s="1" customFormat="1" ht="19.5" x14ac:dyDescent="0.2">
      <c r="B508" s="31"/>
      <c r="D508" s="138" t="s">
        <v>289</v>
      </c>
      <c r="F508" s="139" t="s">
        <v>2595</v>
      </c>
      <c r="I508" s="140"/>
      <c r="L508" s="31"/>
      <c r="N508" s="213"/>
      <c r="O508" s="214"/>
      <c r="Q508" s="229"/>
      <c r="BY508" s="141"/>
      <c r="CF508" s="50"/>
      <c r="DF508" s="16" t="s">
        <v>289</v>
      </c>
      <c r="DG508" s="16" t="s">
        <v>83</v>
      </c>
    </row>
    <row r="509" spans="2:129" s="1" customFormat="1" ht="24.2" customHeight="1" x14ac:dyDescent="0.2">
      <c r="B509" s="124"/>
      <c r="C509" s="125" t="s">
        <v>1561</v>
      </c>
      <c r="D509" s="125" t="s">
        <v>284</v>
      </c>
      <c r="E509" s="126" t="s">
        <v>573</v>
      </c>
      <c r="F509" s="127" t="s">
        <v>574</v>
      </c>
      <c r="G509" s="128" t="s">
        <v>344</v>
      </c>
      <c r="H509" s="129">
        <v>3</v>
      </c>
      <c r="I509" s="130">
        <v>61.569020500000001</v>
      </c>
      <c r="J509" s="131">
        <f>ROUND(I509*H509,2)</f>
        <v>184.71</v>
      </c>
      <c r="K509" s="127" t="s">
        <v>1</v>
      </c>
      <c r="L509" s="198">
        <f>S509</f>
        <v>0</v>
      </c>
      <c r="M509" s="206">
        <f>ROUND(L509*I509,2)</f>
        <v>0</v>
      </c>
      <c r="N509" s="211">
        <f>N475</f>
        <v>-2.9999999999999805E-2</v>
      </c>
      <c r="O509" s="212">
        <f>ROUND(N509*I509,2)</f>
        <v>-1.85</v>
      </c>
      <c r="P509" s="207">
        <f>H509-L509-N509</f>
        <v>3.03</v>
      </c>
      <c r="Q509" s="228">
        <f>ROUND(P509*I509,2)</f>
        <v>186.55</v>
      </c>
      <c r="R509" s="199"/>
      <c r="S509" s="200">
        <f>W509+Y509+AA509+AC509+AE509+AG509+AI509+AK509+AM509+AO509+AQ509+AS509+AU509+AW509</f>
        <v>0</v>
      </c>
      <c r="T509" s="200">
        <f>ROUND(S509*I509,2)</f>
        <v>0</v>
      </c>
      <c r="U509" s="200">
        <f>H509-S509</f>
        <v>3</v>
      </c>
      <c r="V509" s="200">
        <f>ROUND(U509*I509,2)</f>
        <v>184.71</v>
      </c>
      <c r="W509" s="200"/>
      <c r="X509" s="200"/>
      <c r="Y509" s="200"/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0"/>
      <c r="AP509" s="200"/>
      <c r="AQ509" s="200"/>
      <c r="AR509" s="200"/>
      <c r="AS509" s="200"/>
      <c r="AT509" s="200"/>
      <c r="AU509" s="200"/>
      <c r="AV509" s="200"/>
      <c r="AW509" s="200"/>
      <c r="AX509" s="200"/>
      <c r="BY509" s="132" t="s">
        <v>1</v>
      </c>
      <c r="BZ509" s="133" t="s">
        <v>40</v>
      </c>
      <c r="CB509" s="134">
        <f>CA509*H509</f>
        <v>0</v>
      </c>
      <c r="CC509" s="134">
        <v>0</v>
      </c>
      <c r="CD509" s="134">
        <f>CC509*H509</f>
        <v>0</v>
      </c>
      <c r="CE509" s="134">
        <v>0</v>
      </c>
      <c r="CF509" s="135">
        <f>CE509*H509</f>
        <v>0</v>
      </c>
      <c r="DD509" s="136" t="s">
        <v>95</v>
      </c>
      <c r="DF509" s="136" t="s">
        <v>284</v>
      </c>
      <c r="DG509" s="136" t="s">
        <v>83</v>
      </c>
      <c r="DK509" s="16" t="s">
        <v>282</v>
      </c>
      <c r="DQ509" s="137">
        <f>IF(BZ509="základní",J509,0)</f>
        <v>184.71</v>
      </c>
      <c r="DR509" s="137">
        <f>IF(BZ509="snížená",J509,0)</f>
        <v>0</v>
      </c>
      <c r="DS509" s="137">
        <f>IF(BZ509="zákl. přenesená",J509,0)</f>
        <v>0</v>
      </c>
      <c r="DT509" s="137">
        <f>IF(BZ509="sníž. přenesená",J509,0)</f>
        <v>0</v>
      </c>
      <c r="DU509" s="137">
        <f>IF(BZ509="nulová",J509,0)</f>
        <v>0</v>
      </c>
      <c r="DV509" s="16" t="s">
        <v>81</v>
      </c>
      <c r="DW509" s="137">
        <f>ROUND(I509*H509,2)</f>
        <v>184.71</v>
      </c>
      <c r="DX509" s="16" t="s">
        <v>95</v>
      </c>
      <c r="DY509" s="136" t="s">
        <v>2597</v>
      </c>
    </row>
    <row r="510" spans="2:129" s="1" customFormat="1" ht="19.5" x14ac:dyDescent="0.2">
      <c r="B510" s="31"/>
      <c r="D510" s="138" t="s">
        <v>289</v>
      </c>
      <c r="F510" s="139" t="s">
        <v>574</v>
      </c>
      <c r="I510" s="140"/>
      <c r="L510" s="31"/>
      <c r="N510" s="213"/>
      <c r="O510" s="214"/>
      <c r="Q510" s="229"/>
      <c r="BY510" s="141"/>
      <c r="CF510" s="50"/>
      <c r="DF510" s="16" t="s">
        <v>289</v>
      </c>
      <c r="DG510" s="16" t="s">
        <v>83</v>
      </c>
    </row>
    <row r="511" spans="2:129" s="12" customFormat="1" x14ac:dyDescent="0.2">
      <c r="B511" s="149"/>
      <c r="D511" s="138" t="s">
        <v>301</v>
      </c>
      <c r="E511" s="150" t="s">
        <v>1</v>
      </c>
      <c r="F511" s="151" t="s">
        <v>90</v>
      </c>
      <c r="H511" s="152">
        <v>3</v>
      </c>
      <c r="I511" s="153"/>
      <c r="L511" s="149"/>
      <c r="N511" s="217"/>
      <c r="O511" s="218"/>
      <c r="Q511" s="231"/>
      <c r="BY511" s="154"/>
      <c r="CF511" s="155"/>
      <c r="DF511" s="150" t="s">
        <v>301</v>
      </c>
      <c r="DG511" s="150" t="s">
        <v>83</v>
      </c>
      <c r="DH511" s="12" t="s">
        <v>83</v>
      </c>
      <c r="DI511" s="12" t="s">
        <v>32</v>
      </c>
      <c r="DJ511" s="12" t="s">
        <v>81</v>
      </c>
      <c r="DK511" s="150" t="s">
        <v>282</v>
      </c>
    </row>
    <row r="512" spans="2:129" s="1" customFormat="1" ht="14.45" customHeight="1" x14ac:dyDescent="0.2">
      <c r="B512" s="124"/>
      <c r="C512" s="125" t="s">
        <v>1562</v>
      </c>
      <c r="D512" s="125" t="s">
        <v>284</v>
      </c>
      <c r="E512" s="126" t="s">
        <v>2365</v>
      </c>
      <c r="F512" s="127" t="s">
        <v>2366</v>
      </c>
      <c r="G512" s="128" t="s">
        <v>344</v>
      </c>
      <c r="H512" s="129">
        <v>514.6</v>
      </c>
      <c r="I512" s="130">
        <v>16.910732975755494</v>
      </c>
      <c r="J512" s="131">
        <f>ROUND(I512*H512,2)</f>
        <v>8702.26</v>
      </c>
      <c r="K512" s="127" t="s">
        <v>293</v>
      </c>
      <c r="L512" s="198">
        <f>S512</f>
        <v>0</v>
      </c>
      <c r="M512" s="206">
        <f>ROUND(L512*I512,2)</f>
        <v>0</v>
      </c>
      <c r="N512" s="211">
        <f>N514</f>
        <v>2.5900000000000318</v>
      </c>
      <c r="O512" s="212">
        <f>ROUND(N512*I512,2)</f>
        <v>43.8</v>
      </c>
      <c r="P512" s="207">
        <f>H512-L512-N512</f>
        <v>512.01</v>
      </c>
      <c r="Q512" s="228">
        <f>ROUND(P512*I512,2)</f>
        <v>8658.4599999999991</v>
      </c>
      <c r="R512" s="199"/>
      <c r="S512" s="200">
        <f>W512+Y512+AA512+AC512+AE512+AG512+AI512+AK512+AM512+AO512+AQ512+AS512+AU512+AW512</f>
        <v>0</v>
      </c>
      <c r="T512" s="200">
        <f>ROUND(S512*I512,2)</f>
        <v>0</v>
      </c>
      <c r="U512" s="200">
        <f>H512-S512</f>
        <v>514.6</v>
      </c>
      <c r="V512" s="200">
        <f>ROUND(U512*I512,2)</f>
        <v>8702.26</v>
      </c>
      <c r="W512" s="200"/>
      <c r="X512" s="200"/>
      <c r="Y512" s="200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0"/>
      <c r="AP512" s="200"/>
      <c r="AQ512" s="200"/>
      <c r="AR512" s="200"/>
      <c r="AS512" s="200"/>
      <c r="AT512" s="200"/>
      <c r="AU512" s="200"/>
      <c r="AV512" s="200"/>
      <c r="AW512" s="200"/>
      <c r="AX512" s="200"/>
      <c r="BY512" s="132" t="s">
        <v>1</v>
      </c>
      <c r="BZ512" s="133" t="s">
        <v>40</v>
      </c>
      <c r="CB512" s="134">
        <f>CA512*H512</f>
        <v>0</v>
      </c>
      <c r="CC512" s="134">
        <v>0</v>
      </c>
      <c r="CD512" s="134">
        <f>CC512*H512</f>
        <v>0</v>
      </c>
      <c r="CE512" s="134">
        <v>0</v>
      </c>
      <c r="CF512" s="135">
        <f>CE512*H512</f>
        <v>0</v>
      </c>
      <c r="DD512" s="136" t="s">
        <v>95</v>
      </c>
      <c r="DF512" s="136" t="s">
        <v>284</v>
      </c>
      <c r="DG512" s="136" t="s">
        <v>83</v>
      </c>
      <c r="DK512" s="16" t="s">
        <v>282</v>
      </c>
      <c r="DQ512" s="137">
        <f>IF(BZ512="základní",J512,0)</f>
        <v>8702.26</v>
      </c>
      <c r="DR512" s="137">
        <f>IF(BZ512="snížená",J512,0)</f>
        <v>0</v>
      </c>
      <c r="DS512" s="137">
        <f>IF(BZ512="zákl. přenesená",J512,0)</f>
        <v>0</v>
      </c>
      <c r="DT512" s="137">
        <f>IF(BZ512="sníž. přenesená",J512,0)</f>
        <v>0</v>
      </c>
      <c r="DU512" s="137">
        <f>IF(BZ512="nulová",J512,0)</f>
        <v>0</v>
      </c>
      <c r="DV512" s="16" t="s">
        <v>81</v>
      </c>
      <c r="DW512" s="137">
        <f>ROUND(I512*H512,2)</f>
        <v>8702.26</v>
      </c>
      <c r="DX512" s="16" t="s">
        <v>95</v>
      </c>
      <c r="DY512" s="136" t="s">
        <v>2367</v>
      </c>
    </row>
    <row r="513" spans="2:129" s="1" customFormat="1" x14ac:dyDescent="0.2">
      <c r="B513" s="31"/>
      <c r="D513" s="138" t="s">
        <v>289</v>
      </c>
      <c r="F513" s="139" t="s">
        <v>2368</v>
      </c>
      <c r="I513" s="140"/>
      <c r="L513" s="31"/>
      <c r="N513" s="213"/>
      <c r="O513" s="214"/>
      <c r="Q513" s="229"/>
      <c r="BY513" s="141"/>
      <c r="CF513" s="50"/>
      <c r="DF513" s="16" t="s">
        <v>289</v>
      </c>
      <c r="DG513" s="16" t="s">
        <v>83</v>
      </c>
    </row>
    <row r="514" spans="2:129" s="1" customFormat="1" ht="19.5" x14ac:dyDescent="0.2">
      <c r="B514" s="31"/>
      <c r="D514" s="138" t="s">
        <v>299</v>
      </c>
      <c r="F514" s="142" t="s">
        <v>587</v>
      </c>
      <c r="I514" s="140"/>
      <c r="L514" s="31"/>
      <c r="N514" s="213">
        <f>517.19-514.6</f>
        <v>2.5900000000000318</v>
      </c>
      <c r="O514" s="214" t="s">
        <v>3608</v>
      </c>
      <c r="Q514" s="229"/>
      <c r="BY514" s="141"/>
      <c r="CF514" s="50"/>
      <c r="DF514" s="16" t="s">
        <v>299</v>
      </c>
      <c r="DG514" s="16" t="s">
        <v>83</v>
      </c>
    </row>
    <row r="515" spans="2:129" s="1" customFormat="1" ht="24.2" customHeight="1" x14ac:dyDescent="0.2">
      <c r="B515" s="124"/>
      <c r="C515" s="125" t="s">
        <v>1563</v>
      </c>
      <c r="D515" s="125" t="s">
        <v>284</v>
      </c>
      <c r="E515" s="126" t="s">
        <v>582</v>
      </c>
      <c r="F515" s="127" t="s">
        <v>583</v>
      </c>
      <c r="G515" s="128" t="s">
        <v>584</v>
      </c>
      <c r="H515" s="129">
        <v>1</v>
      </c>
      <c r="I515" s="130">
        <v>933.22469567263556</v>
      </c>
      <c r="J515" s="131">
        <f>ROUND(I515*H515,2)</f>
        <v>933.22</v>
      </c>
      <c r="K515" s="127" t="s">
        <v>293</v>
      </c>
      <c r="L515" s="198">
        <f>S515</f>
        <v>0</v>
      </c>
      <c r="M515" s="206">
        <f>ROUND(L515*I515,2)</f>
        <v>0</v>
      </c>
      <c r="N515" s="211"/>
      <c r="O515" s="212">
        <f>ROUND(N515*I515,2)</f>
        <v>0</v>
      </c>
      <c r="P515" s="207">
        <f>H515-L515-N515</f>
        <v>1</v>
      </c>
      <c r="Q515" s="228">
        <f>ROUND(P515*I515,2)</f>
        <v>933.22</v>
      </c>
      <c r="R515" s="199"/>
      <c r="S515" s="200">
        <f>W515+Y515+AA515+AC515+AE515+AG515+AI515+AK515+AM515+AO515+AQ515+AS515+AU515+AW515</f>
        <v>0</v>
      </c>
      <c r="T515" s="200">
        <f>ROUND(S515*I515,2)</f>
        <v>0</v>
      </c>
      <c r="U515" s="200">
        <f>H515-S515</f>
        <v>1</v>
      </c>
      <c r="V515" s="200">
        <f>ROUND(U515*I515,2)</f>
        <v>933.22</v>
      </c>
      <c r="W515" s="200"/>
      <c r="X515" s="200"/>
      <c r="Y515" s="200"/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0"/>
      <c r="AP515" s="200"/>
      <c r="AQ515" s="200"/>
      <c r="AR515" s="200"/>
      <c r="AS515" s="200"/>
      <c r="AT515" s="200"/>
      <c r="AU515" s="200"/>
      <c r="AV515" s="200"/>
      <c r="AW515" s="200"/>
      <c r="AX515" s="200"/>
      <c r="BY515" s="132" t="s">
        <v>1</v>
      </c>
      <c r="BZ515" s="133" t="s">
        <v>40</v>
      </c>
      <c r="CB515" s="134">
        <f>CA515*H515</f>
        <v>0</v>
      </c>
      <c r="CC515" s="134">
        <v>3.1E-4</v>
      </c>
      <c r="CD515" s="134">
        <f>CC515*H515</f>
        <v>3.1E-4</v>
      </c>
      <c r="CE515" s="134">
        <v>0</v>
      </c>
      <c r="CF515" s="135">
        <f>CE515*H515</f>
        <v>0</v>
      </c>
      <c r="DD515" s="136" t="s">
        <v>95</v>
      </c>
      <c r="DF515" s="136" t="s">
        <v>284</v>
      </c>
      <c r="DG515" s="136" t="s">
        <v>83</v>
      </c>
      <c r="DK515" s="16" t="s">
        <v>282</v>
      </c>
      <c r="DQ515" s="137">
        <f>IF(BZ515="základní",J515,0)</f>
        <v>933.22</v>
      </c>
      <c r="DR515" s="137">
        <f>IF(BZ515="snížená",J515,0)</f>
        <v>0</v>
      </c>
      <c r="DS515" s="137">
        <f>IF(BZ515="zákl. přenesená",J515,0)</f>
        <v>0</v>
      </c>
      <c r="DT515" s="137">
        <f>IF(BZ515="sníž. přenesená",J515,0)</f>
        <v>0</v>
      </c>
      <c r="DU515" s="137">
        <f>IF(BZ515="nulová",J515,0)</f>
        <v>0</v>
      </c>
      <c r="DV515" s="16" t="s">
        <v>81</v>
      </c>
      <c r="DW515" s="137">
        <f>ROUND(I515*H515,2)</f>
        <v>933.22</v>
      </c>
      <c r="DX515" s="16" t="s">
        <v>95</v>
      </c>
      <c r="DY515" s="136" t="s">
        <v>2598</v>
      </c>
    </row>
    <row r="516" spans="2:129" s="1" customFormat="1" x14ac:dyDescent="0.2">
      <c r="B516" s="31"/>
      <c r="D516" s="138" t="s">
        <v>289</v>
      </c>
      <c r="F516" s="139" t="s">
        <v>586</v>
      </c>
      <c r="I516" s="140"/>
      <c r="L516" s="31"/>
      <c r="N516" s="213"/>
      <c r="O516" s="214"/>
      <c r="Q516" s="229"/>
      <c r="BY516" s="141"/>
      <c r="CF516" s="50"/>
      <c r="DF516" s="16" t="s">
        <v>289</v>
      </c>
      <c r="DG516" s="16" t="s">
        <v>83</v>
      </c>
    </row>
    <row r="517" spans="2:129" s="1" customFormat="1" ht="19.5" x14ac:dyDescent="0.2">
      <c r="B517" s="31"/>
      <c r="D517" s="138" t="s">
        <v>299</v>
      </c>
      <c r="F517" s="142" t="s">
        <v>587</v>
      </c>
      <c r="I517" s="140"/>
      <c r="L517" s="31"/>
      <c r="N517" s="213"/>
      <c r="O517" s="214"/>
      <c r="Q517" s="229"/>
      <c r="BY517" s="141"/>
      <c r="CF517" s="50"/>
      <c r="DF517" s="16" t="s">
        <v>299</v>
      </c>
      <c r="DG517" s="16" t="s">
        <v>83</v>
      </c>
    </row>
    <row r="518" spans="2:129" s="11" customFormat="1" x14ac:dyDescent="0.2">
      <c r="B518" s="143"/>
      <c r="D518" s="138" t="s">
        <v>301</v>
      </c>
      <c r="E518" s="144" t="s">
        <v>1</v>
      </c>
      <c r="F518" s="145" t="s">
        <v>588</v>
      </c>
      <c r="H518" s="144" t="s">
        <v>1</v>
      </c>
      <c r="I518" s="146"/>
      <c r="L518" s="143"/>
      <c r="N518" s="215"/>
      <c r="O518" s="216"/>
      <c r="Q518" s="230"/>
      <c r="BY518" s="147"/>
      <c r="CF518" s="148"/>
      <c r="DF518" s="144" t="s">
        <v>301</v>
      </c>
      <c r="DG518" s="144" t="s">
        <v>83</v>
      </c>
      <c r="DH518" s="11" t="s">
        <v>81</v>
      </c>
      <c r="DI518" s="11" t="s">
        <v>32</v>
      </c>
      <c r="DJ518" s="11" t="s">
        <v>74</v>
      </c>
      <c r="DK518" s="144" t="s">
        <v>282</v>
      </c>
    </row>
    <row r="519" spans="2:129" s="12" customFormat="1" x14ac:dyDescent="0.2">
      <c r="B519" s="149"/>
      <c r="D519" s="138" t="s">
        <v>301</v>
      </c>
      <c r="E519" s="150" t="s">
        <v>1</v>
      </c>
      <c r="F519" s="151" t="s">
        <v>81</v>
      </c>
      <c r="H519" s="152">
        <v>1</v>
      </c>
      <c r="I519" s="153"/>
      <c r="L519" s="149"/>
      <c r="N519" s="217"/>
      <c r="O519" s="218"/>
      <c r="Q519" s="231"/>
      <c r="BY519" s="154"/>
      <c r="CF519" s="155"/>
      <c r="DF519" s="150" t="s">
        <v>301</v>
      </c>
      <c r="DG519" s="150" t="s">
        <v>83</v>
      </c>
      <c r="DH519" s="12" t="s">
        <v>83</v>
      </c>
      <c r="DI519" s="12" t="s">
        <v>32</v>
      </c>
      <c r="DJ519" s="12" t="s">
        <v>81</v>
      </c>
      <c r="DK519" s="150" t="s">
        <v>282</v>
      </c>
    </row>
    <row r="520" spans="2:129" s="1" customFormat="1" ht="24.2" customHeight="1" x14ac:dyDescent="0.2">
      <c r="B520" s="124"/>
      <c r="C520" s="125" t="s">
        <v>1566</v>
      </c>
      <c r="D520" s="125" t="s">
        <v>284</v>
      </c>
      <c r="E520" s="126" t="s">
        <v>590</v>
      </c>
      <c r="F520" s="127" t="s">
        <v>591</v>
      </c>
      <c r="G520" s="128" t="s">
        <v>344</v>
      </c>
      <c r="H520" s="129">
        <v>3</v>
      </c>
      <c r="I520" s="130">
        <v>29.453410986389244</v>
      </c>
      <c r="J520" s="131">
        <f>ROUND(I520*H520,2)</f>
        <v>88.36</v>
      </c>
      <c r="K520" s="127" t="s">
        <v>293</v>
      </c>
      <c r="L520" s="198">
        <f>S520</f>
        <v>0</v>
      </c>
      <c r="M520" s="206">
        <f>ROUND(L520*I520,2)</f>
        <v>0</v>
      </c>
      <c r="N520" s="211">
        <f>N522</f>
        <v>-2.9999999999999805E-2</v>
      </c>
      <c r="O520" s="212">
        <f>ROUND(N520*I520,2)</f>
        <v>-0.88</v>
      </c>
      <c r="P520" s="207">
        <f>H520-L520-N520</f>
        <v>3.03</v>
      </c>
      <c r="Q520" s="228">
        <f>ROUND(P520*I520,2)</f>
        <v>89.24</v>
      </c>
      <c r="R520" s="199"/>
      <c r="S520" s="200">
        <f>W520+Y520+AA520+AC520+AE520+AG520+AI520+AK520+AM520+AO520+AQ520+AS520+AU520+AW520</f>
        <v>0</v>
      </c>
      <c r="T520" s="200">
        <f>ROUND(S520*I520,2)</f>
        <v>0</v>
      </c>
      <c r="U520" s="200">
        <f>H520-S520</f>
        <v>3</v>
      </c>
      <c r="V520" s="200">
        <f>ROUND(U520*I520,2)</f>
        <v>88.36</v>
      </c>
      <c r="W520" s="200"/>
      <c r="X520" s="200"/>
      <c r="Y520" s="200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0"/>
      <c r="AP520" s="200"/>
      <c r="AQ520" s="200"/>
      <c r="AR520" s="200"/>
      <c r="AS520" s="200"/>
      <c r="AT520" s="200"/>
      <c r="AU520" s="200"/>
      <c r="AV520" s="200"/>
      <c r="AW520" s="200"/>
      <c r="AX520" s="200"/>
      <c r="BY520" s="132" t="s">
        <v>1</v>
      </c>
      <c r="BZ520" s="133" t="s">
        <v>40</v>
      </c>
      <c r="CB520" s="134">
        <f>CA520*H520</f>
        <v>0</v>
      </c>
      <c r="CC520" s="134">
        <v>0</v>
      </c>
      <c r="CD520" s="134">
        <f>CC520*H520</f>
        <v>0</v>
      </c>
      <c r="CE520" s="134">
        <v>0</v>
      </c>
      <c r="CF520" s="135">
        <f>CE520*H520</f>
        <v>0</v>
      </c>
      <c r="DD520" s="136" t="s">
        <v>95</v>
      </c>
      <c r="DF520" s="136" t="s">
        <v>284</v>
      </c>
      <c r="DG520" s="136" t="s">
        <v>83</v>
      </c>
      <c r="DK520" s="16" t="s">
        <v>282</v>
      </c>
      <c r="DQ520" s="137">
        <f>IF(BZ520="základní",J520,0)</f>
        <v>88.36</v>
      </c>
      <c r="DR520" s="137">
        <f>IF(BZ520="snížená",J520,0)</f>
        <v>0</v>
      </c>
      <c r="DS520" s="137">
        <f>IF(BZ520="zákl. přenesená",J520,0)</f>
        <v>0</v>
      </c>
      <c r="DT520" s="137">
        <f>IF(BZ520="sníž. přenesená",J520,0)</f>
        <v>0</v>
      </c>
      <c r="DU520" s="137">
        <f>IF(BZ520="nulová",J520,0)</f>
        <v>0</v>
      </c>
      <c r="DV520" s="16" t="s">
        <v>81</v>
      </c>
      <c r="DW520" s="137">
        <f>ROUND(I520*H520,2)</f>
        <v>88.36</v>
      </c>
      <c r="DX520" s="16" t="s">
        <v>95</v>
      </c>
      <c r="DY520" s="136" t="s">
        <v>2599</v>
      </c>
    </row>
    <row r="521" spans="2:129" s="1" customFormat="1" x14ac:dyDescent="0.2">
      <c r="B521" s="31"/>
      <c r="D521" s="138" t="s">
        <v>289</v>
      </c>
      <c r="F521" s="139" t="s">
        <v>593</v>
      </c>
      <c r="I521" s="140"/>
      <c r="L521" s="31"/>
      <c r="N521" s="213"/>
      <c r="O521" s="214"/>
      <c r="Q521" s="229"/>
      <c r="BY521" s="141"/>
      <c r="CF521" s="50"/>
      <c r="DF521" s="16" t="s">
        <v>289</v>
      </c>
      <c r="DG521" s="16" t="s">
        <v>83</v>
      </c>
    </row>
    <row r="522" spans="2:129" s="1" customFormat="1" ht="19.5" x14ac:dyDescent="0.2">
      <c r="B522" s="31"/>
      <c r="D522" s="138" t="s">
        <v>299</v>
      </c>
      <c r="F522" s="142" t="s">
        <v>587</v>
      </c>
      <c r="I522" s="140"/>
      <c r="L522" s="31"/>
      <c r="N522" s="213">
        <f>2.97-3</f>
        <v>-2.9999999999999805E-2</v>
      </c>
      <c r="O522" s="214" t="s">
        <v>3609</v>
      </c>
      <c r="Q522" s="229"/>
      <c r="BY522" s="141"/>
      <c r="CF522" s="50"/>
      <c r="DF522" s="16" t="s">
        <v>299</v>
      </c>
      <c r="DG522" s="16" t="s">
        <v>83</v>
      </c>
    </row>
    <row r="523" spans="2:129" s="1" customFormat="1" ht="24.2" customHeight="1" x14ac:dyDescent="0.2">
      <c r="B523" s="124"/>
      <c r="C523" s="125" t="s">
        <v>1568</v>
      </c>
      <c r="D523" s="125" t="s">
        <v>284</v>
      </c>
      <c r="E523" s="126" t="s">
        <v>595</v>
      </c>
      <c r="F523" s="127" t="s">
        <v>596</v>
      </c>
      <c r="G523" s="128" t="s">
        <v>485</v>
      </c>
      <c r="H523" s="129">
        <v>1</v>
      </c>
      <c r="I523" s="130">
        <v>867.6587001634532</v>
      </c>
      <c r="J523" s="131">
        <f>ROUND(I523*H523,2)</f>
        <v>867.66</v>
      </c>
      <c r="K523" s="127" t="s">
        <v>293</v>
      </c>
      <c r="L523" s="198">
        <f>S523</f>
        <v>0</v>
      </c>
      <c r="M523" s="206">
        <f>ROUND(L523*I523,2)</f>
        <v>0</v>
      </c>
      <c r="N523" s="211"/>
      <c r="O523" s="212">
        <f>ROUND(N523*I523,2)</f>
        <v>0</v>
      </c>
      <c r="P523" s="207">
        <f>H523-L523-N523</f>
        <v>1</v>
      </c>
      <c r="Q523" s="228">
        <f>ROUND(P523*I523,2)</f>
        <v>867.66</v>
      </c>
      <c r="R523" s="199"/>
      <c r="S523" s="200">
        <f>W523+Y523+AA523+AC523+AE523+AG523+AI523+AK523+AM523+AO523+AQ523+AS523+AU523+AW523</f>
        <v>0</v>
      </c>
      <c r="T523" s="200">
        <f>ROUND(S523*I523,2)</f>
        <v>0</v>
      </c>
      <c r="U523" s="200">
        <f>H523-S523</f>
        <v>1</v>
      </c>
      <c r="V523" s="200">
        <f>ROUND(U523*I523,2)</f>
        <v>867.66</v>
      </c>
      <c r="W523" s="200"/>
      <c r="X523" s="200"/>
      <c r="Y523" s="200"/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0"/>
      <c r="AP523" s="200"/>
      <c r="AQ523" s="200"/>
      <c r="AR523" s="200"/>
      <c r="AS523" s="200"/>
      <c r="AT523" s="200"/>
      <c r="AU523" s="200"/>
      <c r="AV523" s="200"/>
      <c r="AW523" s="200"/>
      <c r="AX523" s="200"/>
      <c r="BY523" s="132" t="s">
        <v>1</v>
      </c>
      <c r="BZ523" s="133" t="s">
        <v>40</v>
      </c>
      <c r="CB523" s="134">
        <f>CA523*H523</f>
        <v>0</v>
      </c>
      <c r="CC523" s="134">
        <v>1.0189999999999999E-2</v>
      </c>
      <c r="CD523" s="134">
        <f>CC523*H523</f>
        <v>1.0189999999999999E-2</v>
      </c>
      <c r="CE523" s="134">
        <v>0</v>
      </c>
      <c r="CF523" s="135">
        <f>CE523*H523</f>
        <v>0</v>
      </c>
      <c r="DD523" s="136" t="s">
        <v>95</v>
      </c>
      <c r="DF523" s="136" t="s">
        <v>284</v>
      </c>
      <c r="DG523" s="136" t="s">
        <v>83</v>
      </c>
      <c r="DK523" s="16" t="s">
        <v>282</v>
      </c>
      <c r="DQ523" s="137">
        <f>IF(BZ523="základní",J523,0)</f>
        <v>867.66</v>
      </c>
      <c r="DR523" s="137">
        <f>IF(BZ523="snížená",J523,0)</f>
        <v>0</v>
      </c>
      <c r="DS523" s="137">
        <f>IF(BZ523="zákl. přenesená",J523,0)</f>
        <v>0</v>
      </c>
      <c r="DT523" s="137">
        <f>IF(BZ523="sníž. přenesená",J523,0)</f>
        <v>0</v>
      </c>
      <c r="DU523" s="137">
        <f>IF(BZ523="nulová",J523,0)</f>
        <v>0</v>
      </c>
      <c r="DV523" s="16" t="s">
        <v>81</v>
      </c>
      <c r="DW523" s="137">
        <f>ROUND(I523*H523,2)</f>
        <v>867.66</v>
      </c>
      <c r="DX523" s="16" t="s">
        <v>95</v>
      </c>
      <c r="DY523" s="136" t="s">
        <v>2600</v>
      </c>
    </row>
    <row r="524" spans="2:129" s="1" customFormat="1" ht="19.5" x14ac:dyDescent="0.2">
      <c r="B524" s="31"/>
      <c r="D524" s="138" t="s">
        <v>289</v>
      </c>
      <c r="F524" s="139" t="s">
        <v>596</v>
      </c>
      <c r="I524" s="140"/>
      <c r="L524" s="31"/>
      <c r="N524" s="213"/>
      <c r="O524" s="214"/>
      <c r="Q524" s="229"/>
      <c r="BY524" s="141"/>
      <c r="CF524" s="50"/>
      <c r="DF524" s="16" t="s">
        <v>289</v>
      </c>
      <c r="DG524" s="16" t="s">
        <v>83</v>
      </c>
    </row>
    <row r="525" spans="2:129" s="1" customFormat="1" ht="29.25" x14ac:dyDescent="0.2">
      <c r="B525" s="31"/>
      <c r="D525" s="138" t="s">
        <v>299</v>
      </c>
      <c r="F525" s="142" t="s">
        <v>2431</v>
      </c>
      <c r="I525" s="140"/>
      <c r="L525" s="31"/>
      <c r="N525" s="213"/>
      <c r="O525" s="214"/>
      <c r="Q525" s="229"/>
      <c r="BY525" s="141"/>
      <c r="CF525" s="50"/>
      <c r="DF525" s="16" t="s">
        <v>299</v>
      </c>
      <c r="DG525" s="16" t="s">
        <v>83</v>
      </c>
    </row>
    <row r="526" spans="2:129" s="12" customFormat="1" x14ac:dyDescent="0.2">
      <c r="B526" s="149"/>
      <c r="D526" s="138" t="s">
        <v>301</v>
      </c>
      <c r="E526" s="150" t="s">
        <v>1</v>
      </c>
      <c r="F526" s="151" t="s">
        <v>81</v>
      </c>
      <c r="H526" s="152">
        <v>1</v>
      </c>
      <c r="I526" s="153"/>
      <c r="L526" s="149"/>
      <c r="N526" s="217"/>
      <c r="O526" s="218"/>
      <c r="Q526" s="231"/>
      <c r="BY526" s="154"/>
      <c r="CF526" s="155"/>
      <c r="DF526" s="150" t="s">
        <v>301</v>
      </c>
      <c r="DG526" s="150" t="s">
        <v>83</v>
      </c>
      <c r="DH526" s="12" t="s">
        <v>83</v>
      </c>
      <c r="DI526" s="12" t="s">
        <v>32</v>
      </c>
      <c r="DJ526" s="12" t="s">
        <v>81</v>
      </c>
      <c r="DK526" s="150" t="s">
        <v>282</v>
      </c>
    </row>
    <row r="527" spans="2:129" s="1" customFormat="1" ht="24.2" customHeight="1" x14ac:dyDescent="0.2">
      <c r="B527" s="124"/>
      <c r="C527" s="170" t="s">
        <v>1569</v>
      </c>
      <c r="D527" s="170" t="s">
        <v>439</v>
      </c>
      <c r="E527" s="171" t="s">
        <v>600</v>
      </c>
      <c r="F527" s="172" t="s">
        <v>601</v>
      </c>
      <c r="G527" s="173" t="s">
        <v>485</v>
      </c>
      <c r="H527" s="174">
        <v>1</v>
      </c>
      <c r="I527" s="175">
        <v>1250.3247240000001</v>
      </c>
      <c r="J527" s="176">
        <f>ROUND(I527*H527,2)</f>
        <v>1250.32</v>
      </c>
      <c r="K527" s="172" t="s">
        <v>293</v>
      </c>
      <c r="L527" s="198">
        <f>S527</f>
        <v>0</v>
      </c>
      <c r="M527" s="206">
        <f>ROUND(L527*I527,2)</f>
        <v>0</v>
      </c>
      <c r="N527" s="211"/>
      <c r="O527" s="212">
        <f>ROUND(N527*I527,2)</f>
        <v>0</v>
      </c>
      <c r="P527" s="207">
        <f>H527-L527-N527</f>
        <v>1</v>
      </c>
      <c r="Q527" s="228">
        <f>ROUND(P527*I527,2)</f>
        <v>1250.32</v>
      </c>
      <c r="R527" s="199"/>
      <c r="S527" s="200">
        <f>W527+Y527+AA527+AC527+AE527+AG527+AI527+AK527+AM527+AO527+AQ527+AS527+AU527+AW527</f>
        <v>0</v>
      </c>
      <c r="T527" s="200">
        <f>ROUND(S527*I527,2)</f>
        <v>0</v>
      </c>
      <c r="U527" s="200">
        <f>H527-S527</f>
        <v>1</v>
      </c>
      <c r="V527" s="200">
        <f>ROUND(U527*I527,2)</f>
        <v>1250.32</v>
      </c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77" t="s">
        <v>1</v>
      </c>
      <c r="BZ527" s="178" t="s">
        <v>40</v>
      </c>
      <c r="CB527" s="134">
        <f>CA527*H527</f>
        <v>0</v>
      </c>
      <c r="CC527" s="134">
        <v>0.254</v>
      </c>
      <c r="CD527" s="134">
        <f>CC527*H527</f>
        <v>0.254</v>
      </c>
      <c r="CE527" s="134">
        <v>0</v>
      </c>
      <c r="CF527" s="135">
        <f>CE527*H527</f>
        <v>0</v>
      </c>
      <c r="DD527" s="136" t="s">
        <v>328</v>
      </c>
      <c r="DF527" s="136" t="s">
        <v>439</v>
      </c>
      <c r="DG527" s="136" t="s">
        <v>83</v>
      </c>
      <c r="DK527" s="16" t="s">
        <v>282</v>
      </c>
      <c r="DQ527" s="137">
        <f>IF(BZ527="základní",J527,0)</f>
        <v>1250.32</v>
      </c>
      <c r="DR527" s="137">
        <f>IF(BZ527="snížená",J527,0)</f>
        <v>0</v>
      </c>
      <c r="DS527" s="137">
        <f>IF(BZ527="zákl. přenesená",J527,0)</f>
        <v>0</v>
      </c>
      <c r="DT527" s="137">
        <f>IF(BZ527="sníž. přenesená",J527,0)</f>
        <v>0</v>
      </c>
      <c r="DU527" s="137">
        <f>IF(BZ527="nulová",J527,0)</f>
        <v>0</v>
      </c>
      <c r="DV527" s="16" t="s">
        <v>81</v>
      </c>
      <c r="DW527" s="137">
        <f>ROUND(I527*H527,2)</f>
        <v>1250.32</v>
      </c>
      <c r="DX527" s="16" t="s">
        <v>95</v>
      </c>
      <c r="DY527" s="136" t="s">
        <v>2601</v>
      </c>
    </row>
    <row r="528" spans="2:129" s="1" customFormat="1" x14ac:dyDescent="0.2">
      <c r="B528" s="31"/>
      <c r="D528" s="138" t="s">
        <v>289</v>
      </c>
      <c r="F528" s="139" t="s">
        <v>603</v>
      </c>
      <c r="I528" s="140"/>
      <c r="L528" s="31"/>
      <c r="N528" s="213"/>
      <c r="O528" s="214"/>
      <c r="Q528" s="229"/>
      <c r="BY528" s="141"/>
      <c r="CF528" s="50"/>
      <c r="DF528" s="16" t="s">
        <v>289</v>
      </c>
      <c r="DG528" s="16" t="s">
        <v>83</v>
      </c>
    </row>
    <row r="529" spans="2:129" s="1" customFormat="1" ht="24.2" customHeight="1" x14ac:dyDescent="0.2">
      <c r="B529" s="124"/>
      <c r="C529" s="125" t="s">
        <v>1570</v>
      </c>
      <c r="D529" s="125" t="s">
        <v>284</v>
      </c>
      <c r="E529" s="126" t="s">
        <v>623</v>
      </c>
      <c r="F529" s="127" t="s">
        <v>624</v>
      </c>
      <c r="G529" s="128" t="s">
        <v>485</v>
      </c>
      <c r="H529" s="129">
        <v>1</v>
      </c>
      <c r="I529" s="130">
        <v>1039.9593659999746</v>
      </c>
      <c r="J529" s="131">
        <f>ROUND(I529*H529,2)</f>
        <v>1039.96</v>
      </c>
      <c r="K529" s="127" t="s">
        <v>293</v>
      </c>
      <c r="L529" s="198">
        <f>S529</f>
        <v>0</v>
      </c>
      <c r="M529" s="206">
        <f>ROUND(L529*I529,2)</f>
        <v>0</v>
      </c>
      <c r="N529" s="211"/>
      <c r="O529" s="212">
        <f>ROUND(N529*I529,2)</f>
        <v>0</v>
      </c>
      <c r="P529" s="207">
        <f>H529-L529-N529</f>
        <v>1</v>
      </c>
      <c r="Q529" s="228">
        <f>ROUND(P529*I529,2)</f>
        <v>1039.96</v>
      </c>
      <c r="R529" s="199"/>
      <c r="S529" s="200">
        <f>W529+Y529+AA529+AC529+AE529+AG529+AI529+AK529+AM529+AO529+AQ529+AS529+AU529+AW529</f>
        <v>0</v>
      </c>
      <c r="T529" s="200">
        <f>ROUND(S529*I529,2)</f>
        <v>0</v>
      </c>
      <c r="U529" s="200">
        <f>H529-S529</f>
        <v>1</v>
      </c>
      <c r="V529" s="200">
        <f>ROUND(U529*I529,2)</f>
        <v>1039.96</v>
      </c>
      <c r="W529" s="200"/>
      <c r="X529" s="200"/>
      <c r="Y529" s="200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0"/>
      <c r="AP529" s="200"/>
      <c r="AQ529" s="200"/>
      <c r="AR529" s="200"/>
      <c r="AS529" s="200"/>
      <c r="AT529" s="200"/>
      <c r="AU529" s="200"/>
      <c r="AV529" s="200"/>
      <c r="AW529" s="200"/>
      <c r="AX529" s="200"/>
      <c r="BY529" s="132" t="s">
        <v>1</v>
      </c>
      <c r="BZ529" s="133" t="s">
        <v>40</v>
      </c>
      <c r="CB529" s="134">
        <f>CA529*H529</f>
        <v>0</v>
      </c>
      <c r="CC529" s="134">
        <v>2.8539999999999999E-2</v>
      </c>
      <c r="CD529" s="134">
        <f>CC529*H529</f>
        <v>2.8539999999999999E-2</v>
      </c>
      <c r="CE529" s="134">
        <v>0</v>
      </c>
      <c r="CF529" s="135">
        <f>CE529*H529</f>
        <v>0</v>
      </c>
      <c r="DD529" s="136" t="s">
        <v>95</v>
      </c>
      <c r="DF529" s="136" t="s">
        <v>284</v>
      </c>
      <c r="DG529" s="136" t="s">
        <v>83</v>
      </c>
      <c r="DK529" s="16" t="s">
        <v>282</v>
      </c>
      <c r="DQ529" s="137">
        <f>IF(BZ529="základní",J529,0)</f>
        <v>1039.96</v>
      </c>
      <c r="DR529" s="137">
        <f>IF(BZ529="snížená",J529,0)</f>
        <v>0</v>
      </c>
      <c r="DS529" s="137">
        <f>IF(BZ529="zákl. přenesená",J529,0)</f>
        <v>0</v>
      </c>
      <c r="DT529" s="137">
        <f>IF(BZ529="sníž. přenesená",J529,0)</f>
        <v>0</v>
      </c>
      <c r="DU529" s="137">
        <f>IF(BZ529="nulová",J529,0)</f>
        <v>0</v>
      </c>
      <c r="DV529" s="16" t="s">
        <v>81</v>
      </c>
      <c r="DW529" s="137">
        <f>ROUND(I529*H529,2)</f>
        <v>1039.96</v>
      </c>
      <c r="DX529" s="16" t="s">
        <v>95</v>
      </c>
      <c r="DY529" s="136" t="s">
        <v>2602</v>
      </c>
    </row>
    <row r="530" spans="2:129" s="1" customFormat="1" ht="19.5" x14ac:dyDescent="0.2">
      <c r="B530" s="31"/>
      <c r="D530" s="138" t="s">
        <v>289</v>
      </c>
      <c r="F530" s="139" t="s">
        <v>624</v>
      </c>
      <c r="I530" s="140"/>
      <c r="L530" s="31"/>
      <c r="N530" s="213"/>
      <c r="O530" s="214"/>
      <c r="Q530" s="229"/>
      <c r="BY530" s="141"/>
      <c r="CF530" s="50"/>
      <c r="DF530" s="16" t="s">
        <v>289</v>
      </c>
      <c r="DG530" s="16" t="s">
        <v>83</v>
      </c>
    </row>
    <row r="531" spans="2:129" s="1" customFormat="1" ht="29.25" x14ac:dyDescent="0.2">
      <c r="B531" s="31"/>
      <c r="D531" s="138" t="s">
        <v>299</v>
      </c>
      <c r="F531" s="142" t="s">
        <v>2431</v>
      </c>
      <c r="I531" s="140"/>
      <c r="L531" s="31"/>
      <c r="N531" s="213"/>
      <c r="O531" s="214"/>
      <c r="Q531" s="229"/>
      <c r="BY531" s="141"/>
      <c r="CF531" s="50"/>
      <c r="DF531" s="16" t="s">
        <v>299</v>
      </c>
      <c r="DG531" s="16" t="s">
        <v>83</v>
      </c>
    </row>
    <row r="532" spans="2:129" s="12" customFormat="1" x14ac:dyDescent="0.2">
      <c r="B532" s="149"/>
      <c r="D532" s="138" t="s">
        <v>301</v>
      </c>
      <c r="E532" s="150" t="s">
        <v>1</v>
      </c>
      <c r="F532" s="151" t="s">
        <v>81</v>
      </c>
      <c r="H532" s="152">
        <v>1</v>
      </c>
      <c r="I532" s="153"/>
      <c r="L532" s="149"/>
      <c r="N532" s="217"/>
      <c r="O532" s="218"/>
      <c r="Q532" s="231"/>
      <c r="BY532" s="154"/>
      <c r="CF532" s="155"/>
      <c r="DF532" s="150" t="s">
        <v>301</v>
      </c>
      <c r="DG532" s="150" t="s">
        <v>83</v>
      </c>
      <c r="DH532" s="12" t="s">
        <v>83</v>
      </c>
      <c r="DI532" s="12" t="s">
        <v>32</v>
      </c>
      <c r="DJ532" s="12" t="s">
        <v>81</v>
      </c>
      <c r="DK532" s="150" t="s">
        <v>282</v>
      </c>
    </row>
    <row r="533" spans="2:129" s="1" customFormat="1" ht="62.65" customHeight="1" x14ac:dyDescent="0.2">
      <c r="B533" s="124"/>
      <c r="C533" s="170" t="s">
        <v>1571</v>
      </c>
      <c r="D533" s="170" t="s">
        <v>439</v>
      </c>
      <c r="E533" s="171" t="s">
        <v>2603</v>
      </c>
      <c r="F533" s="172" t="s">
        <v>2604</v>
      </c>
      <c r="G533" s="173" t="s">
        <v>485</v>
      </c>
      <c r="H533" s="174">
        <v>1</v>
      </c>
      <c r="I533" s="175">
        <v>8998.5491500000007</v>
      </c>
      <c r="J533" s="176">
        <f>ROUND(I533*H533,2)</f>
        <v>8998.5499999999993</v>
      </c>
      <c r="K533" s="172" t="s">
        <v>1</v>
      </c>
      <c r="L533" s="198">
        <f>S533</f>
        <v>0</v>
      </c>
      <c r="M533" s="206">
        <f>ROUND(L533*I533,2)</f>
        <v>0</v>
      </c>
      <c r="N533" s="211"/>
      <c r="O533" s="212">
        <f>ROUND(N533*I533,2)</f>
        <v>0</v>
      </c>
      <c r="P533" s="207">
        <f>H533-L533-N533</f>
        <v>1</v>
      </c>
      <c r="Q533" s="228">
        <f>ROUND(P533*I533,2)</f>
        <v>8998.5499999999993</v>
      </c>
      <c r="R533" s="199"/>
      <c r="S533" s="200">
        <f>W533+Y533+AA533+AC533+AE533+AG533+AI533+AK533+AM533+AO533+AQ533+AS533+AU533+AW533</f>
        <v>0</v>
      </c>
      <c r="T533" s="200">
        <f>ROUND(S533*I533,2)</f>
        <v>0</v>
      </c>
      <c r="U533" s="200">
        <f>H533-S533</f>
        <v>1</v>
      </c>
      <c r="V533" s="200">
        <f>ROUND(U533*I533,2)</f>
        <v>8998.5499999999993</v>
      </c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77" t="s">
        <v>1</v>
      </c>
      <c r="BZ533" s="178" t="s">
        <v>40</v>
      </c>
      <c r="CB533" s="134">
        <f>CA533*H533</f>
        <v>0</v>
      </c>
      <c r="CC533" s="134">
        <v>1.87</v>
      </c>
      <c r="CD533" s="134">
        <f>CC533*H533</f>
        <v>1.87</v>
      </c>
      <c r="CE533" s="134">
        <v>0</v>
      </c>
      <c r="CF533" s="135">
        <f>CE533*H533</f>
        <v>0</v>
      </c>
      <c r="DD533" s="136" t="s">
        <v>328</v>
      </c>
      <c r="DF533" s="136" t="s">
        <v>439</v>
      </c>
      <c r="DG533" s="136" t="s">
        <v>83</v>
      </c>
      <c r="DK533" s="16" t="s">
        <v>282</v>
      </c>
      <c r="DQ533" s="137">
        <f>IF(BZ533="základní",J533,0)</f>
        <v>8998.5499999999993</v>
      </c>
      <c r="DR533" s="137">
        <f>IF(BZ533="snížená",J533,0)</f>
        <v>0</v>
      </c>
      <c r="DS533" s="137">
        <f>IF(BZ533="zákl. přenesená",J533,0)</f>
        <v>0</v>
      </c>
      <c r="DT533" s="137">
        <f>IF(BZ533="sníž. přenesená",J533,0)</f>
        <v>0</v>
      </c>
      <c r="DU533" s="137">
        <f>IF(BZ533="nulová",J533,0)</f>
        <v>0</v>
      </c>
      <c r="DV533" s="16" t="s">
        <v>81</v>
      </c>
      <c r="DW533" s="137">
        <f>ROUND(I533*H533,2)</f>
        <v>8998.5499999999993</v>
      </c>
      <c r="DX533" s="16" t="s">
        <v>95</v>
      </c>
      <c r="DY533" s="136" t="s">
        <v>2605</v>
      </c>
    </row>
    <row r="534" spans="2:129" s="1" customFormat="1" ht="39" x14ac:dyDescent="0.2">
      <c r="B534" s="31"/>
      <c r="D534" s="138" t="s">
        <v>289</v>
      </c>
      <c r="F534" s="139" t="s">
        <v>2604</v>
      </c>
      <c r="I534" s="140"/>
      <c r="L534" s="31"/>
      <c r="N534" s="213"/>
      <c r="O534" s="214"/>
      <c r="Q534" s="229"/>
      <c r="BY534" s="141"/>
      <c r="CF534" s="50"/>
      <c r="DF534" s="16" t="s">
        <v>289</v>
      </c>
      <c r="DG534" s="16" t="s">
        <v>83</v>
      </c>
    </row>
    <row r="535" spans="2:129" s="1" customFormat="1" ht="24.2" customHeight="1" x14ac:dyDescent="0.2">
      <c r="B535" s="124"/>
      <c r="C535" s="170" t="s">
        <v>2606</v>
      </c>
      <c r="D535" s="170" t="s">
        <v>439</v>
      </c>
      <c r="E535" s="171" t="s">
        <v>640</v>
      </c>
      <c r="F535" s="172" t="s">
        <v>641</v>
      </c>
      <c r="G535" s="173" t="s">
        <v>485</v>
      </c>
      <c r="H535" s="174">
        <v>2</v>
      </c>
      <c r="I535" s="175">
        <v>182.81263010000001</v>
      </c>
      <c r="J535" s="176">
        <f>ROUND(I535*H535,2)</f>
        <v>365.63</v>
      </c>
      <c r="K535" s="172" t="s">
        <v>293</v>
      </c>
      <c r="L535" s="198">
        <f>S535</f>
        <v>0</v>
      </c>
      <c r="M535" s="206">
        <f>ROUND(L535*I535,2)</f>
        <v>0</v>
      </c>
      <c r="N535" s="211"/>
      <c r="O535" s="212">
        <f>ROUND(N535*I535,2)</f>
        <v>0</v>
      </c>
      <c r="P535" s="207">
        <f>H535-L535-N535</f>
        <v>2</v>
      </c>
      <c r="Q535" s="228">
        <f>ROUND(P535*I535,2)</f>
        <v>365.63</v>
      </c>
      <c r="R535" s="199"/>
      <c r="S535" s="200">
        <f>W535+Y535+AA535+AC535+AE535+AG535+AI535+AK535+AM535+AO535+AQ535+AS535+AU535+AW535</f>
        <v>0</v>
      </c>
      <c r="T535" s="200">
        <f>ROUND(S535*I535,2)</f>
        <v>0</v>
      </c>
      <c r="U535" s="200">
        <f>H535-S535</f>
        <v>2</v>
      </c>
      <c r="V535" s="200">
        <f>ROUND(U535*I535,2)</f>
        <v>365.63</v>
      </c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77" t="s">
        <v>1</v>
      </c>
      <c r="BZ535" s="178" t="s">
        <v>40</v>
      </c>
      <c r="CB535" s="134">
        <f>CA535*H535</f>
        <v>0</v>
      </c>
      <c r="CC535" s="134">
        <v>2E-3</v>
      </c>
      <c r="CD535" s="134">
        <f>CC535*H535</f>
        <v>4.0000000000000001E-3</v>
      </c>
      <c r="CE535" s="134">
        <v>0</v>
      </c>
      <c r="CF535" s="135">
        <f>CE535*H535</f>
        <v>0</v>
      </c>
      <c r="DD535" s="136" t="s">
        <v>328</v>
      </c>
      <c r="DF535" s="136" t="s">
        <v>439</v>
      </c>
      <c r="DG535" s="136" t="s">
        <v>83</v>
      </c>
      <c r="DK535" s="16" t="s">
        <v>282</v>
      </c>
      <c r="DQ535" s="137">
        <f>IF(BZ535="základní",J535,0)</f>
        <v>365.63</v>
      </c>
      <c r="DR535" s="137">
        <f>IF(BZ535="snížená",J535,0)</f>
        <v>0</v>
      </c>
      <c r="DS535" s="137">
        <f>IF(BZ535="zákl. přenesená",J535,0)</f>
        <v>0</v>
      </c>
      <c r="DT535" s="137">
        <f>IF(BZ535="sníž. přenesená",J535,0)</f>
        <v>0</v>
      </c>
      <c r="DU535" s="137">
        <f>IF(BZ535="nulová",J535,0)</f>
        <v>0</v>
      </c>
      <c r="DV535" s="16" t="s">
        <v>81</v>
      </c>
      <c r="DW535" s="137">
        <f>ROUND(I535*H535,2)</f>
        <v>365.63</v>
      </c>
      <c r="DX535" s="16" t="s">
        <v>95</v>
      </c>
      <c r="DY535" s="136" t="s">
        <v>2607</v>
      </c>
    </row>
    <row r="536" spans="2:129" s="1" customFormat="1" x14ac:dyDescent="0.2">
      <c r="B536" s="31"/>
      <c r="D536" s="138" t="s">
        <v>289</v>
      </c>
      <c r="F536" s="139" t="s">
        <v>641</v>
      </c>
      <c r="I536" s="140"/>
      <c r="L536" s="31"/>
      <c r="N536" s="213"/>
      <c r="O536" s="214"/>
      <c r="Q536" s="229"/>
      <c r="BY536" s="141"/>
      <c r="CF536" s="50"/>
      <c r="DF536" s="16" t="s">
        <v>289</v>
      </c>
      <c r="DG536" s="16" t="s">
        <v>83</v>
      </c>
    </row>
    <row r="537" spans="2:129" s="1" customFormat="1" ht="24.2" customHeight="1" x14ac:dyDescent="0.2">
      <c r="B537" s="124"/>
      <c r="C537" s="125" t="s">
        <v>2608</v>
      </c>
      <c r="D537" s="125" t="s">
        <v>284</v>
      </c>
      <c r="E537" s="126" t="s">
        <v>785</v>
      </c>
      <c r="F537" s="127" t="s">
        <v>786</v>
      </c>
      <c r="G537" s="128" t="s">
        <v>485</v>
      </c>
      <c r="H537" s="129">
        <v>1</v>
      </c>
      <c r="I537" s="130">
        <v>670.01283357972886</v>
      </c>
      <c r="J537" s="131">
        <f>ROUND(I537*H537,2)</f>
        <v>670.01</v>
      </c>
      <c r="K537" s="127" t="s">
        <v>293</v>
      </c>
      <c r="L537" s="198">
        <f>S537</f>
        <v>0</v>
      </c>
      <c r="M537" s="206">
        <f>ROUND(L537*I537,2)</f>
        <v>0</v>
      </c>
      <c r="N537" s="211"/>
      <c r="O537" s="212">
        <f>ROUND(N537*I537,2)</f>
        <v>0</v>
      </c>
      <c r="P537" s="207">
        <f>H537-L537-N537</f>
        <v>1</v>
      </c>
      <c r="Q537" s="228">
        <f>ROUND(P537*I537,2)</f>
        <v>670.01</v>
      </c>
      <c r="R537" s="199"/>
      <c r="S537" s="200">
        <f>W537+Y537+AA537+AC537+AE537+AG537+AI537+AK537+AM537+AO537+AQ537+AS537+AU537+AW537</f>
        <v>0</v>
      </c>
      <c r="T537" s="200">
        <f>ROUND(S537*I537,2)</f>
        <v>0</v>
      </c>
      <c r="U537" s="200">
        <f>H537-S537</f>
        <v>1</v>
      </c>
      <c r="V537" s="200">
        <f>ROUND(U537*I537,2)</f>
        <v>670.01</v>
      </c>
      <c r="W537" s="200"/>
      <c r="X537" s="200"/>
      <c r="Y537" s="200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0"/>
      <c r="AP537" s="200"/>
      <c r="AQ537" s="200"/>
      <c r="AR537" s="200"/>
      <c r="AS537" s="200"/>
      <c r="AT537" s="200"/>
      <c r="AU537" s="200"/>
      <c r="AV537" s="200"/>
      <c r="AW537" s="200"/>
      <c r="AX537" s="200"/>
      <c r="BY537" s="132" t="s">
        <v>1</v>
      </c>
      <c r="BZ537" s="133" t="s">
        <v>40</v>
      </c>
      <c r="CB537" s="134">
        <f>CA537*H537</f>
        <v>0</v>
      </c>
      <c r="CC537" s="134">
        <v>3.9269999999999999E-2</v>
      </c>
      <c r="CD537" s="134">
        <f>CC537*H537</f>
        <v>3.9269999999999999E-2</v>
      </c>
      <c r="CE537" s="134">
        <v>0</v>
      </c>
      <c r="CF537" s="135">
        <f>CE537*H537</f>
        <v>0</v>
      </c>
      <c r="DD537" s="136" t="s">
        <v>95</v>
      </c>
      <c r="DF537" s="136" t="s">
        <v>284</v>
      </c>
      <c r="DG537" s="136" t="s">
        <v>83</v>
      </c>
      <c r="DK537" s="16" t="s">
        <v>282</v>
      </c>
      <c r="DQ537" s="137">
        <f>IF(BZ537="základní",J537,0)</f>
        <v>670.01</v>
      </c>
      <c r="DR537" s="137">
        <f>IF(BZ537="snížená",J537,0)</f>
        <v>0</v>
      </c>
      <c r="DS537" s="137">
        <f>IF(BZ537="zákl. přenesená",J537,0)</f>
        <v>0</v>
      </c>
      <c r="DT537" s="137">
        <f>IF(BZ537="sníž. přenesená",J537,0)</f>
        <v>0</v>
      </c>
      <c r="DU537" s="137">
        <f>IF(BZ537="nulová",J537,0)</f>
        <v>0</v>
      </c>
      <c r="DV537" s="16" t="s">
        <v>81</v>
      </c>
      <c r="DW537" s="137">
        <f>ROUND(I537*H537,2)</f>
        <v>670.01</v>
      </c>
      <c r="DX537" s="16" t="s">
        <v>95</v>
      </c>
      <c r="DY537" s="136" t="s">
        <v>2609</v>
      </c>
    </row>
    <row r="538" spans="2:129" s="1" customFormat="1" ht="19.5" x14ac:dyDescent="0.2">
      <c r="B538" s="31"/>
      <c r="D538" s="138" t="s">
        <v>289</v>
      </c>
      <c r="F538" s="139" t="s">
        <v>786</v>
      </c>
      <c r="I538" s="140"/>
      <c r="L538" s="31"/>
      <c r="N538" s="213"/>
      <c r="O538" s="214"/>
      <c r="Q538" s="229"/>
      <c r="BY538" s="141"/>
      <c r="CF538" s="50"/>
      <c r="DF538" s="16" t="s">
        <v>289</v>
      </c>
      <c r="DG538" s="16" t="s">
        <v>83</v>
      </c>
    </row>
    <row r="539" spans="2:129" s="1" customFormat="1" ht="29.25" x14ac:dyDescent="0.2">
      <c r="B539" s="31"/>
      <c r="D539" s="138" t="s">
        <v>299</v>
      </c>
      <c r="F539" s="142" t="s">
        <v>2431</v>
      </c>
      <c r="I539" s="140"/>
      <c r="L539" s="31"/>
      <c r="N539" s="213"/>
      <c r="O539" s="214"/>
      <c r="Q539" s="229"/>
      <c r="BY539" s="141"/>
      <c r="CF539" s="50"/>
      <c r="DF539" s="16" t="s">
        <v>299</v>
      </c>
      <c r="DG539" s="16" t="s">
        <v>83</v>
      </c>
    </row>
    <row r="540" spans="2:129" s="12" customFormat="1" x14ac:dyDescent="0.2">
      <c r="B540" s="149"/>
      <c r="D540" s="138" t="s">
        <v>301</v>
      </c>
      <c r="E540" s="150" t="s">
        <v>1</v>
      </c>
      <c r="F540" s="151" t="s">
        <v>81</v>
      </c>
      <c r="H540" s="152">
        <v>1</v>
      </c>
      <c r="I540" s="153"/>
      <c r="L540" s="149"/>
      <c r="N540" s="217"/>
      <c r="O540" s="218"/>
      <c r="Q540" s="231"/>
      <c r="BY540" s="154"/>
      <c r="CF540" s="155"/>
      <c r="DF540" s="150" t="s">
        <v>301</v>
      </c>
      <c r="DG540" s="150" t="s">
        <v>83</v>
      </c>
      <c r="DH540" s="12" t="s">
        <v>83</v>
      </c>
      <c r="DI540" s="12" t="s">
        <v>32</v>
      </c>
      <c r="DJ540" s="12" t="s">
        <v>81</v>
      </c>
      <c r="DK540" s="150" t="s">
        <v>282</v>
      </c>
    </row>
    <row r="541" spans="2:129" s="1" customFormat="1" ht="24.2" customHeight="1" x14ac:dyDescent="0.2">
      <c r="B541" s="124"/>
      <c r="C541" s="170" t="s">
        <v>2610</v>
      </c>
      <c r="D541" s="170" t="s">
        <v>439</v>
      </c>
      <c r="E541" s="171" t="s">
        <v>788</v>
      </c>
      <c r="F541" s="172" t="s">
        <v>789</v>
      </c>
      <c r="G541" s="173" t="s">
        <v>485</v>
      </c>
      <c r="H541" s="174">
        <v>1</v>
      </c>
      <c r="I541" s="175">
        <v>3220.5333799999999</v>
      </c>
      <c r="J541" s="176">
        <f>ROUND(I541*H541,2)</f>
        <v>3220.53</v>
      </c>
      <c r="K541" s="172" t="s">
        <v>1</v>
      </c>
      <c r="L541" s="198">
        <f>S541</f>
        <v>0</v>
      </c>
      <c r="M541" s="206">
        <f>ROUND(L541*I541,2)</f>
        <v>0</v>
      </c>
      <c r="N541" s="211"/>
      <c r="O541" s="212">
        <f>ROUND(N541*I541,2)</f>
        <v>0</v>
      </c>
      <c r="P541" s="207">
        <f>H541-L541-N541</f>
        <v>1</v>
      </c>
      <c r="Q541" s="228">
        <f>ROUND(P541*I541,2)</f>
        <v>3220.53</v>
      </c>
      <c r="R541" s="199"/>
      <c r="S541" s="200">
        <f>W541+Y541+AA541+AC541+AE541+AG541+AI541+AK541+AM541+AO541+AQ541+AS541+AU541+AW541</f>
        <v>0</v>
      </c>
      <c r="T541" s="200">
        <f>ROUND(S541*I541,2)</f>
        <v>0</v>
      </c>
      <c r="U541" s="200">
        <f>H541-S541</f>
        <v>1</v>
      </c>
      <c r="V541" s="200">
        <f>ROUND(U541*I541,2)</f>
        <v>3220.53</v>
      </c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77" t="s">
        <v>1</v>
      </c>
      <c r="BZ541" s="178" t="s">
        <v>40</v>
      </c>
      <c r="CB541" s="134">
        <f>CA541*H541</f>
        <v>0</v>
      </c>
      <c r="CC541" s="134">
        <v>0.44900000000000001</v>
      </c>
      <c r="CD541" s="134">
        <f>CC541*H541</f>
        <v>0.44900000000000001</v>
      </c>
      <c r="CE541" s="134">
        <v>0</v>
      </c>
      <c r="CF541" s="135">
        <f>CE541*H541</f>
        <v>0</v>
      </c>
      <c r="DD541" s="136" t="s">
        <v>328</v>
      </c>
      <c r="DF541" s="136" t="s">
        <v>439</v>
      </c>
      <c r="DG541" s="136" t="s">
        <v>83</v>
      </c>
      <c r="DK541" s="16" t="s">
        <v>282</v>
      </c>
      <c r="DQ541" s="137">
        <f>IF(BZ541="základní",J541,0)</f>
        <v>3220.53</v>
      </c>
      <c r="DR541" s="137">
        <f>IF(BZ541="snížená",J541,0)</f>
        <v>0</v>
      </c>
      <c r="DS541" s="137">
        <f>IF(BZ541="zákl. přenesená",J541,0)</f>
        <v>0</v>
      </c>
      <c r="DT541" s="137">
        <f>IF(BZ541="sníž. přenesená",J541,0)</f>
        <v>0</v>
      </c>
      <c r="DU541" s="137">
        <f>IF(BZ541="nulová",J541,0)</f>
        <v>0</v>
      </c>
      <c r="DV541" s="16" t="s">
        <v>81</v>
      </c>
      <c r="DW541" s="137">
        <f>ROUND(I541*H541,2)</f>
        <v>3220.53</v>
      </c>
      <c r="DX541" s="16" t="s">
        <v>95</v>
      </c>
      <c r="DY541" s="136" t="s">
        <v>2611</v>
      </c>
    </row>
    <row r="542" spans="2:129" s="1" customFormat="1" x14ac:dyDescent="0.2">
      <c r="B542" s="31"/>
      <c r="D542" s="138" t="s">
        <v>289</v>
      </c>
      <c r="F542" s="139" t="s">
        <v>791</v>
      </c>
      <c r="I542" s="140"/>
      <c r="L542" s="31"/>
      <c r="N542" s="213"/>
      <c r="O542" s="214"/>
      <c r="Q542" s="229"/>
      <c r="BY542" s="141"/>
      <c r="CF542" s="50"/>
      <c r="DF542" s="16" t="s">
        <v>289</v>
      </c>
      <c r="DG542" s="16" t="s">
        <v>83</v>
      </c>
    </row>
    <row r="543" spans="2:129" s="1" customFormat="1" ht="14.45" customHeight="1" x14ac:dyDescent="0.2">
      <c r="B543" s="124"/>
      <c r="C543" s="125" t="s">
        <v>2612</v>
      </c>
      <c r="D543" s="125" t="s">
        <v>284</v>
      </c>
      <c r="E543" s="126" t="s">
        <v>2369</v>
      </c>
      <c r="F543" s="127" t="s">
        <v>2370</v>
      </c>
      <c r="G543" s="128" t="s">
        <v>315</v>
      </c>
      <c r="H543" s="129">
        <v>1</v>
      </c>
      <c r="I543" s="130">
        <v>1420.8235500000001</v>
      </c>
      <c r="J543" s="131">
        <f>ROUND(I543*H543,2)</f>
        <v>1420.82</v>
      </c>
      <c r="K543" s="127" t="s">
        <v>1</v>
      </c>
      <c r="L543" s="198">
        <f>S543</f>
        <v>0</v>
      </c>
      <c r="M543" s="206">
        <f>ROUND(L543*I543,2)</f>
        <v>0</v>
      </c>
      <c r="N543" s="211"/>
      <c r="O543" s="212">
        <f>ROUND(N543*I543,2)</f>
        <v>0</v>
      </c>
      <c r="P543" s="207">
        <f>H543-L543-N543</f>
        <v>1</v>
      </c>
      <c r="Q543" s="228">
        <f>ROUND(P543*I543,2)</f>
        <v>1420.82</v>
      </c>
      <c r="R543" s="199"/>
      <c r="S543" s="200">
        <f>W543+Y543+AA543+AC543+AE543+AG543+AI543+AK543+AM543+AO543+AQ543+AS543+AU543+AW543</f>
        <v>0</v>
      </c>
      <c r="T543" s="200">
        <f>ROUND(S543*I543,2)</f>
        <v>0</v>
      </c>
      <c r="U543" s="200">
        <f>H543-S543</f>
        <v>1</v>
      </c>
      <c r="V543" s="200">
        <f>ROUND(U543*I543,2)</f>
        <v>1420.82</v>
      </c>
      <c r="W543" s="200"/>
      <c r="X543" s="200"/>
      <c r="Y543" s="200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0"/>
      <c r="AP543" s="200"/>
      <c r="AQ543" s="200"/>
      <c r="AR543" s="200"/>
      <c r="AS543" s="200"/>
      <c r="AT543" s="200"/>
      <c r="AU543" s="200"/>
      <c r="AV543" s="200"/>
      <c r="AW543" s="200"/>
      <c r="AX543" s="200"/>
      <c r="BY543" s="132" t="s">
        <v>1</v>
      </c>
      <c r="BZ543" s="133" t="s">
        <v>40</v>
      </c>
      <c r="CB543" s="134">
        <f>CA543*H543</f>
        <v>0</v>
      </c>
      <c r="CC543" s="134">
        <v>0</v>
      </c>
      <c r="CD543" s="134">
        <f>CC543*H543</f>
        <v>0</v>
      </c>
      <c r="CE543" s="134">
        <v>0</v>
      </c>
      <c r="CF543" s="135">
        <f>CE543*H543</f>
        <v>0</v>
      </c>
      <c r="DD543" s="136" t="s">
        <v>95</v>
      </c>
      <c r="DF543" s="136" t="s">
        <v>284</v>
      </c>
      <c r="DG543" s="136" t="s">
        <v>83</v>
      </c>
      <c r="DK543" s="16" t="s">
        <v>282</v>
      </c>
      <c r="DQ543" s="137">
        <f>IF(BZ543="základní",J543,0)</f>
        <v>1420.82</v>
      </c>
      <c r="DR543" s="137">
        <f>IF(BZ543="snížená",J543,0)</f>
        <v>0</v>
      </c>
      <c r="DS543" s="137">
        <f>IF(BZ543="zákl. přenesená",J543,0)</f>
        <v>0</v>
      </c>
      <c r="DT543" s="137">
        <f>IF(BZ543="sníž. přenesená",J543,0)</f>
        <v>0</v>
      </c>
      <c r="DU543" s="137">
        <f>IF(BZ543="nulová",J543,0)</f>
        <v>0</v>
      </c>
      <c r="DV543" s="16" t="s">
        <v>81</v>
      </c>
      <c r="DW543" s="137">
        <f>ROUND(I543*H543,2)</f>
        <v>1420.82</v>
      </c>
      <c r="DX543" s="16" t="s">
        <v>95</v>
      </c>
      <c r="DY543" s="136" t="s">
        <v>2371</v>
      </c>
    </row>
    <row r="544" spans="2:129" s="1" customFormat="1" x14ac:dyDescent="0.2">
      <c r="B544" s="31"/>
      <c r="D544" s="138" t="s">
        <v>289</v>
      </c>
      <c r="F544" s="139" t="s">
        <v>2370</v>
      </c>
      <c r="I544" s="140"/>
      <c r="L544" s="31"/>
      <c r="N544" s="213"/>
      <c r="O544" s="214"/>
      <c r="Q544" s="229"/>
      <c r="BY544" s="141"/>
      <c r="CF544" s="50"/>
      <c r="DF544" s="16" t="s">
        <v>289</v>
      </c>
      <c r="DG544" s="16" t="s">
        <v>83</v>
      </c>
    </row>
    <row r="545" spans="2:129" s="1" customFormat="1" ht="37.9" customHeight="1" x14ac:dyDescent="0.2">
      <c r="B545" s="124"/>
      <c r="C545" s="125" t="s">
        <v>2613</v>
      </c>
      <c r="D545" s="125" t="s">
        <v>284</v>
      </c>
      <c r="E545" s="126" t="s">
        <v>656</v>
      </c>
      <c r="F545" s="127" t="s">
        <v>657</v>
      </c>
      <c r="G545" s="128" t="s">
        <v>315</v>
      </c>
      <c r="H545" s="129">
        <v>1</v>
      </c>
      <c r="I545" s="130">
        <v>5683.2942000000003</v>
      </c>
      <c r="J545" s="131">
        <f>ROUND(I545*H545,2)</f>
        <v>5683.29</v>
      </c>
      <c r="K545" s="127" t="s">
        <v>1</v>
      </c>
      <c r="L545" s="198">
        <f>S545</f>
        <v>0</v>
      </c>
      <c r="M545" s="206">
        <f>ROUND(L545*I545,2)</f>
        <v>0</v>
      </c>
      <c r="N545" s="211"/>
      <c r="O545" s="212">
        <f>ROUND(N545*I545,2)</f>
        <v>0</v>
      </c>
      <c r="P545" s="207">
        <f>H545-L545-N545</f>
        <v>1</v>
      </c>
      <c r="Q545" s="228">
        <f>ROUND(P545*I545,2)</f>
        <v>5683.29</v>
      </c>
      <c r="R545" s="199"/>
      <c r="S545" s="200">
        <f>W545+Y545+AA545+AC545+AE545+AG545+AI545+AK545+AM545+AO545+AQ545+AS545+AU545+AW545</f>
        <v>0</v>
      </c>
      <c r="T545" s="200">
        <f>ROUND(S545*I545,2)</f>
        <v>0</v>
      </c>
      <c r="U545" s="200">
        <f>H545-S545</f>
        <v>1</v>
      </c>
      <c r="V545" s="200">
        <f>ROUND(U545*I545,2)</f>
        <v>5683.29</v>
      </c>
      <c r="W545" s="200"/>
      <c r="X545" s="200"/>
      <c r="Y545" s="200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0"/>
      <c r="AP545" s="200"/>
      <c r="AQ545" s="200"/>
      <c r="AR545" s="200"/>
      <c r="AS545" s="200"/>
      <c r="AT545" s="200"/>
      <c r="AU545" s="200"/>
      <c r="AV545" s="200"/>
      <c r="AW545" s="200"/>
      <c r="AX545" s="200"/>
      <c r="BY545" s="132" t="s">
        <v>1</v>
      </c>
      <c r="BZ545" s="133" t="s">
        <v>40</v>
      </c>
      <c r="CB545" s="134">
        <f>CA545*H545</f>
        <v>0</v>
      </c>
      <c r="CC545" s="134">
        <v>0</v>
      </c>
      <c r="CD545" s="134">
        <f>CC545*H545</f>
        <v>0</v>
      </c>
      <c r="CE545" s="134">
        <v>0</v>
      </c>
      <c r="CF545" s="135">
        <f>CE545*H545</f>
        <v>0</v>
      </c>
      <c r="DD545" s="136" t="s">
        <v>95</v>
      </c>
      <c r="DF545" s="136" t="s">
        <v>284</v>
      </c>
      <c r="DG545" s="136" t="s">
        <v>83</v>
      </c>
      <c r="DK545" s="16" t="s">
        <v>282</v>
      </c>
      <c r="DQ545" s="137">
        <f>IF(BZ545="základní",J545,0)</f>
        <v>5683.29</v>
      </c>
      <c r="DR545" s="137">
        <f>IF(BZ545="snížená",J545,0)</f>
        <v>0</v>
      </c>
      <c r="DS545" s="137">
        <f>IF(BZ545="zákl. přenesená",J545,0)</f>
        <v>0</v>
      </c>
      <c r="DT545" s="137">
        <f>IF(BZ545="sníž. přenesená",J545,0)</f>
        <v>0</v>
      </c>
      <c r="DU545" s="137">
        <f>IF(BZ545="nulová",J545,0)</f>
        <v>0</v>
      </c>
      <c r="DV545" s="16" t="s">
        <v>81</v>
      </c>
      <c r="DW545" s="137">
        <f>ROUND(I545*H545,2)</f>
        <v>5683.29</v>
      </c>
      <c r="DX545" s="16" t="s">
        <v>95</v>
      </c>
      <c r="DY545" s="136" t="s">
        <v>2614</v>
      </c>
    </row>
    <row r="546" spans="2:129" s="1" customFormat="1" ht="29.25" x14ac:dyDescent="0.2">
      <c r="B546" s="31"/>
      <c r="D546" s="138" t="s">
        <v>289</v>
      </c>
      <c r="F546" s="139" t="s">
        <v>657</v>
      </c>
      <c r="I546" s="140"/>
      <c r="L546" s="31"/>
      <c r="N546" s="213"/>
      <c r="O546" s="214"/>
      <c r="Q546" s="229"/>
      <c r="BY546" s="141"/>
      <c r="CF546" s="50"/>
      <c r="DF546" s="16" t="s">
        <v>289</v>
      </c>
      <c r="DG546" s="16" t="s">
        <v>83</v>
      </c>
    </row>
    <row r="547" spans="2:129" s="1" customFormat="1" ht="29.25" x14ac:dyDescent="0.2">
      <c r="B547" s="31"/>
      <c r="D547" s="138" t="s">
        <v>299</v>
      </c>
      <c r="F547" s="142" t="s">
        <v>2431</v>
      </c>
      <c r="I547" s="140"/>
      <c r="L547" s="31"/>
      <c r="N547" s="213"/>
      <c r="O547" s="214"/>
      <c r="Q547" s="229"/>
      <c r="BY547" s="141"/>
      <c r="CF547" s="50"/>
      <c r="DF547" s="16" t="s">
        <v>299</v>
      </c>
      <c r="DG547" s="16" t="s">
        <v>83</v>
      </c>
    </row>
    <row r="548" spans="2:129" s="12" customFormat="1" x14ac:dyDescent="0.2">
      <c r="B548" s="149"/>
      <c r="D548" s="138" t="s">
        <v>301</v>
      </c>
      <c r="E548" s="150" t="s">
        <v>1</v>
      </c>
      <c r="F548" s="151" t="s">
        <v>2615</v>
      </c>
      <c r="H548" s="152">
        <v>1</v>
      </c>
      <c r="I548" s="153"/>
      <c r="L548" s="149"/>
      <c r="N548" s="217"/>
      <c r="O548" s="218"/>
      <c r="Q548" s="231"/>
      <c r="BY548" s="154"/>
      <c r="CF548" s="155"/>
      <c r="DF548" s="150" t="s">
        <v>301</v>
      </c>
      <c r="DG548" s="150" t="s">
        <v>83</v>
      </c>
      <c r="DH548" s="12" t="s">
        <v>83</v>
      </c>
      <c r="DI548" s="12" t="s">
        <v>32</v>
      </c>
      <c r="DJ548" s="12" t="s">
        <v>81</v>
      </c>
      <c r="DK548" s="150" t="s">
        <v>282</v>
      </c>
    </row>
    <row r="549" spans="2:129" s="1" customFormat="1" ht="37.9" customHeight="1" x14ac:dyDescent="0.2">
      <c r="B549" s="124"/>
      <c r="C549" s="125" t="s">
        <v>2616</v>
      </c>
      <c r="D549" s="125" t="s">
        <v>284</v>
      </c>
      <c r="E549" s="126" t="s">
        <v>2372</v>
      </c>
      <c r="F549" s="127" t="s">
        <v>2373</v>
      </c>
      <c r="G549" s="128" t="s">
        <v>315</v>
      </c>
      <c r="H549" s="129">
        <v>1</v>
      </c>
      <c r="I549" s="130">
        <v>4262.4706500000002</v>
      </c>
      <c r="J549" s="131">
        <f>ROUND(I549*H549,2)</f>
        <v>4262.47</v>
      </c>
      <c r="K549" s="127" t="s">
        <v>1</v>
      </c>
      <c r="L549" s="198">
        <f>S549</f>
        <v>0</v>
      </c>
      <c r="M549" s="206">
        <f>ROUND(L549*I549,2)</f>
        <v>0</v>
      </c>
      <c r="N549" s="211"/>
      <c r="O549" s="212">
        <f>ROUND(N549*I549,2)</f>
        <v>0</v>
      </c>
      <c r="P549" s="207">
        <f>H549-L549-N549</f>
        <v>1</v>
      </c>
      <c r="Q549" s="228">
        <f>ROUND(P549*I549,2)</f>
        <v>4262.47</v>
      </c>
      <c r="R549" s="199"/>
      <c r="S549" s="200">
        <f>W549+Y549+AA549+AC549+AE549+AG549+AI549+AK549+AM549+AO549+AQ549+AS549+AU549+AW549</f>
        <v>0</v>
      </c>
      <c r="T549" s="200">
        <f>ROUND(S549*I549,2)</f>
        <v>0</v>
      </c>
      <c r="U549" s="200">
        <f>H549-S549</f>
        <v>1</v>
      </c>
      <c r="V549" s="200">
        <f>ROUND(U549*I549,2)</f>
        <v>4262.47</v>
      </c>
      <c r="W549" s="200"/>
      <c r="X549" s="200"/>
      <c r="Y549" s="200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0"/>
      <c r="AP549" s="200"/>
      <c r="AQ549" s="200"/>
      <c r="AR549" s="200"/>
      <c r="AS549" s="200"/>
      <c r="AT549" s="200"/>
      <c r="AU549" s="200"/>
      <c r="AV549" s="200"/>
      <c r="AW549" s="200"/>
      <c r="AX549" s="200"/>
      <c r="BY549" s="132" t="s">
        <v>1</v>
      </c>
      <c r="BZ549" s="133" t="s">
        <v>40</v>
      </c>
      <c r="CB549" s="134">
        <f>CA549*H549</f>
        <v>0</v>
      </c>
      <c r="CC549" s="134">
        <v>0</v>
      </c>
      <c r="CD549" s="134">
        <f>CC549*H549</f>
        <v>0</v>
      </c>
      <c r="CE549" s="134">
        <v>0</v>
      </c>
      <c r="CF549" s="135">
        <f>CE549*H549</f>
        <v>0</v>
      </c>
      <c r="DD549" s="136" t="s">
        <v>95</v>
      </c>
      <c r="DF549" s="136" t="s">
        <v>284</v>
      </c>
      <c r="DG549" s="136" t="s">
        <v>83</v>
      </c>
      <c r="DK549" s="16" t="s">
        <v>282</v>
      </c>
      <c r="DQ549" s="137">
        <f>IF(BZ549="základní",J549,0)</f>
        <v>4262.47</v>
      </c>
      <c r="DR549" s="137">
        <f>IF(BZ549="snížená",J549,0)</f>
        <v>0</v>
      </c>
      <c r="DS549" s="137">
        <f>IF(BZ549="zákl. přenesená",J549,0)</f>
        <v>0</v>
      </c>
      <c r="DT549" s="137">
        <f>IF(BZ549="sníž. přenesená",J549,0)</f>
        <v>0</v>
      </c>
      <c r="DU549" s="137">
        <f>IF(BZ549="nulová",J549,0)</f>
        <v>0</v>
      </c>
      <c r="DV549" s="16" t="s">
        <v>81</v>
      </c>
      <c r="DW549" s="137">
        <f>ROUND(I549*H549,2)</f>
        <v>4262.47</v>
      </c>
      <c r="DX549" s="16" t="s">
        <v>95</v>
      </c>
      <c r="DY549" s="136" t="s">
        <v>2374</v>
      </c>
    </row>
    <row r="550" spans="2:129" s="1" customFormat="1" ht="29.25" x14ac:dyDescent="0.2">
      <c r="B550" s="31"/>
      <c r="D550" s="138" t="s">
        <v>289</v>
      </c>
      <c r="F550" s="139" t="s">
        <v>2373</v>
      </c>
      <c r="I550" s="140"/>
      <c r="L550" s="31"/>
      <c r="N550" s="213"/>
      <c r="O550" s="214"/>
      <c r="Q550" s="229"/>
      <c r="BY550" s="141"/>
      <c r="CF550" s="50"/>
      <c r="DF550" s="16" t="s">
        <v>289</v>
      </c>
      <c r="DG550" s="16" t="s">
        <v>83</v>
      </c>
    </row>
    <row r="551" spans="2:129" s="1" customFormat="1" ht="29.25" x14ac:dyDescent="0.2">
      <c r="B551" s="31"/>
      <c r="D551" s="138" t="s">
        <v>299</v>
      </c>
      <c r="F551" s="142" t="s">
        <v>2431</v>
      </c>
      <c r="I551" s="140"/>
      <c r="L551" s="31"/>
      <c r="N551" s="213"/>
      <c r="O551" s="214"/>
      <c r="Q551" s="229"/>
      <c r="BY551" s="141"/>
      <c r="CF551" s="50"/>
      <c r="DF551" s="16" t="s">
        <v>299</v>
      </c>
      <c r="DG551" s="16" t="s">
        <v>83</v>
      </c>
    </row>
    <row r="552" spans="2:129" s="12" customFormat="1" x14ac:dyDescent="0.2">
      <c r="B552" s="149"/>
      <c r="D552" s="138" t="s">
        <v>301</v>
      </c>
      <c r="E552" s="150" t="s">
        <v>1</v>
      </c>
      <c r="F552" s="151" t="s">
        <v>2617</v>
      </c>
      <c r="H552" s="152">
        <v>1</v>
      </c>
      <c r="I552" s="153"/>
      <c r="L552" s="149"/>
      <c r="N552" s="217"/>
      <c r="O552" s="218"/>
      <c r="Q552" s="231"/>
      <c r="BY552" s="154"/>
      <c r="CF552" s="155"/>
      <c r="DF552" s="150" t="s">
        <v>301</v>
      </c>
      <c r="DG552" s="150" t="s">
        <v>83</v>
      </c>
      <c r="DH552" s="12" t="s">
        <v>83</v>
      </c>
      <c r="DI552" s="12" t="s">
        <v>32</v>
      </c>
      <c r="DJ552" s="12" t="s">
        <v>81</v>
      </c>
      <c r="DK552" s="150" t="s">
        <v>282</v>
      </c>
    </row>
    <row r="553" spans="2:129" s="1" customFormat="1" ht="24.2" customHeight="1" x14ac:dyDescent="0.2">
      <c r="B553" s="124"/>
      <c r="C553" s="125" t="s">
        <v>2618</v>
      </c>
      <c r="D553" s="125" t="s">
        <v>284</v>
      </c>
      <c r="E553" s="126" t="s">
        <v>661</v>
      </c>
      <c r="F553" s="127" t="s">
        <v>662</v>
      </c>
      <c r="G553" s="128" t="s">
        <v>485</v>
      </c>
      <c r="H553" s="129">
        <v>1</v>
      </c>
      <c r="I553" s="130">
        <v>1019.8832798103068</v>
      </c>
      <c r="J553" s="131">
        <f>ROUND(I553*H553,2)</f>
        <v>1019.88</v>
      </c>
      <c r="K553" s="127" t="s">
        <v>293</v>
      </c>
      <c r="L553" s="198">
        <f>S553</f>
        <v>0</v>
      </c>
      <c r="M553" s="206">
        <f>ROUND(L553*I553,2)</f>
        <v>0</v>
      </c>
      <c r="N553" s="211"/>
      <c r="O553" s="212">
        <f>ROUND(N553*I553,2)</f>
        <v>0</v>
      </c>
      <c r="P553" s="207">
        <f>H553-L553-N553</f>
        <v>1</v>
      </c>
      <c r="Q553" s="228">
        <f>ROUND(P553*I553,2)</f>
        <v>1019.88</v>
      </c>
      <c r="R553" s="199"/>
      <c r="S553" s="200">
        <f>W553+Y553+AA553+AC553+AE553+AG553+AI553+AK553+AM553+AO553+AQ553+AS553+AU553+AW553</f>
        <v>0</v>
      </c>
      <c r="T553" s="200">
        <f>ROUND(S553*I553,2)</f>
        <v>0</v>
      </c>
      <c r="U553" s="200">
        <f>H553-S553</f>
        <v>1</v>
      </c>
      <c r="V553" s="200">
        <f>ROUND(U553*I553,2)</f>
        <v>1019.88</v>
      </c>
      <c r="W553" s="200"/>
      <c r="X553" s="200"/>
      <c r="Y553" s="200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0"/>
      <c r="AP553" s="200"/>
      <c r="AQ553" s="200"/>
      <c r="AR553" s="200"/>
      <c r="AS553" s="200"/>
      <c r="AT553" s="200"/>
      <c r="AU553" s="200"/>
      <c r="AV553" s="200"/>
      <c r="AW553" s="200"/>
      <c r="AX553" s="200"/>
      <c r="BY553" s="132" t="s">
        <v>1</v>
      </c>
      <c r="BZ553" s="133" t="s">
        <v>40</v>
      </c>
      <c r="CB553" s="134">
        <f>CA553*H553</f>
        <v>0</v>
      </c>
      <c r="CC553" s="134">
        <v>0.21734000000000001</v>
      </c>
      <c r="CD553" s="134">
        <f>CC553*H553</f>
        <v>0.21734000000000001</v>
      </c>
      <c r="CE553" s="134">
        <v>0</v>
      </c>
      <c r="CF553" s="135">
        <f>CE553*H553</f>
        <v>0</v>
      </c>
      <c r="DD553" s="136" t="s">
        <v>95</v>
      </c>
      <c r="DF553" s="136" t="s">
        <v>284</v>
      </c>
      <c r="DG553" s="136" t="s">
        <v>83</v>
      </c>
      <c r="DK553" s="16" t="s">
        <v>282</v>
      </c>
      <c r="DQ553" s="137">
        <f>IF(BZ553="základní",J553,0)</f>
        <v>1019.88</v>
      </c>
      <c r="DR553" s="137">
        <f>IF(BZ553="snížená",J553,0)</f>
        <v>0</v>
      </c>
      <c r="DS553" s="137">
        <f>IF(BZ553="zákl. přenesená",J553,0)</f>
        <v>0</v>
      </c>
      <c r="DT553" s="137">
        <f>IF(BZ553="sníž. přenesená",J553,0)</f>
        <v>0</v>
      </c>
      <c r="DU553" s="137">
        <f>IF(BZ553="nulová",J553,0)</f>
        <v>0</v>
      </c>
      <c r="DV553" s="16" t="s">
        <v>81</v>
      </c>
      <c r="DW553" s="137">
        <f>ROUND(I553*H553,2)</f>
        <v>1019.88</v>
      </c>
      <c r="DX553" s="16" t="s">
        <v>95</v>
      </c>
      <c r="DY553" s="136" t="s">
        <v>2619</v>
      </c>
    </row>
    <row r="554" spans="2:129" s="1" customFormat="1" ht="19.5" x14ac:dyDescent="0.2">
      <c r="B554" s="31"/>
      <c r="D554" s="138" t="s">
        <v>289</v>
      </c>
      <c r="F554" s="139" t="s">
        <v>664</v>
      </c>
      <c r="I554" s="140"/>
      <c r="L554" s="31"/>
      <c r="N554" s="213"/>
      <c r="O554" s="214"/>
      <c r="Q554" s="229"/>
      <c r="BY554" s="141"/>
      <c r="CF554" s="50"/>
      <c r="DF554" s="16" t="s">
        <v>289</v>
      </c>
      <c r="DG554" s="16" t="s">
        <v>83</v>
      </c>
    </row>
    <row r="555" spans="2:129" s="1" customFormat="1" ht="29.25" x14ac:dyDescent="0.2">
      <c r="B555" s="31"/>
      <c r="D555" s="138" t="s">
        <v>299</v>
      </c>
      <c r="F555" s="142" t="s">
        <v>2431</v>
      </c>
      <c r="I555" s="140"/>
      <c r="L555" s="31"/>
      <c r="N555" s="213"/>
      <c r="O555" s="214"/>
      <c r="Q555" s="229"/>
      <c r="BY555" s="141"/>
      <c r="CF555" s="50"/>
      <c r="DF555" s="16" t="s">
        <v>299</v>
      </c>
      <c r="DG555" s="16" t="s">
        <v>83</v>
      </c>
    </row>
    <row r="556" spans="2:129" s="12" customFormat="1" x14ac:dyDescent="0.2">
      <c r="B556" s="149"/>
      <c r="D556" s="138" t="s">
        <v>301</v>
      </c>
      <c r="E556" s="150" t="s">
        <v>1</v>
      </c>
      <c r="F556" s="151" t="s">
        <v>81</v>
      </c>
      <c r="H556" s="152">
        <v>1</v>
      </c>
      <c r="I556" s="153"/>
      <c r="L556" s="149"/>
      <c r="N556" s="217"/>
      <c r="O556" s="218"/>
      <c r="Q556" s="231"/>
      <c r="BY556" s="154"/>
      <c r="CF556" s="155"/>
      <c r="DF556" s="150" t="s">
        <v>301</v>
      </c>
      <c r="DG556" s="150" t="s">
        <v>83</v>
      </c>
      <c r="DH556" s="12" t="s">
        <v>83</v>
      </c>
      <c r="DI556" s="12" t="s">
        <v>32</v>
      </c>
      <c r="DJ556" s="12" t="s">
        <v>81</v>
      </c>
      <c r="DK556" s="150" t="s">
        <v>282</v>
      </c>
    </row>
    <row r="557" spans="2:129" s="1" customFormat="1" ht="24.2" customHeight="1" x14ac:dyDescent="0.2">
      <c r="B557" s="124"/>
      <c r="C557" s="170" t="s">
        <v>2620</v>
      </c>
      <c r="D557" s="170" t="s">
        <v>439</v>
      </c>
      <c r="E557" s="171" t="s">
        <v>667</v>
      </c>
      <c r="F557" s="172" t="s">
        <v>668</v>
      </c>
      <c r="G557" s="173" t="s">
        <v>485</v>
      </c>
      <c r="H557" s="174">
        <v>1</v>
      </c>
      <c r="I557" s="175">
        <v>3125.8118100000002</v>
      </c>
      <c r="J557" s="176">
        <f>ROUND(I557*H557,2)</f>
        <v>3125.81</v>
      </c>
      <c r="K557" s="172" t="s">
        <v>1</v>
      </c>
      <c r="L557" s="198">
        <f>S557</f>
        <v>0</v>
      </c>
      <c r="M557" s="206">
        <f>ROUND(L557*I557,2)</f>
        <v>0</v>
      </c>
      <c r="N557" s="211"/>
      <c r="O557" s="212">
        <f>ROUND(N557*I557,2)</f>
        <v>0</v>
      </c>
      <c r="P557" s="207">
        <f>H557-L557-N557</f>
        <v>1</v>
      </c>
      <c r="Q557" s="228">
        <f>ROUND(P557*I557,2)</f>
        <v>3125.81</v>
      </c>
      <c r="R557" s="199"/>
      <c r="S557" s="200">
        <f>W557+Y557+AA557+AC557+AE557+AG557+AI557+AK557+AM557+AO557+AQ557+AS557+AU557+AW557</f>
        <v>0</v>
      </c>
      <c r="T557" s="200">
        <f>ROUND(S557*I557,2)</f>
        <v>0</v>
      </c>
      <c r="U557" s="200">
        <f>H557-S557</f>
        <v>1</v>
      </c>
      <c r="V557" s="200">
        <f>ROUND(U557*I557,2)</f>
        <v>3125.81</v>
      </c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77" t="s">
        <v>1</v>
      </c>
      <c r="BZ557" s="178" t="s">
        <v>40</v>
      </c>
      <c r="CB557" s="134">
        <f>CA557*H557</f>
        <v>0</v>
      </c>
      <c r="CC557" s="134">
        <v>4.5999999999999999E-2</v>
      </c>
      <c r="CD557" s="134">
        <f>CC557*H557</f>
        <v>4.5999999999999999E-2</v>
      </c>
      <c r="CE557" s="134">
        <v>0</v>
      </c>
      <c r="CF557" s="135">
        <f>CE557*H557</f>
        <v>0</v>
      </c>
      <c r="DD557" s="136" t="s">
        <v>328</v>
      </c>
      <c r="DF557" s="136" t="s">
        <v>439</v>
      </c>
      <c r="DG557" s="136" t="s">
        <v>83</v>
      </c>
      <c r="DK557" s="16" t="s">
        <v>282</v>
      </c>
      <c r="DQ557" s="137">
        <f>IF(BZ557="základní",J557,0)</f>
        <v>3125.81</v>
      </c>
      <c r="DR557" s="137">
        <f>IF(BZ557="snížená",J557,0)</f>
        <v>0</v>
      </c>
      <c r="DS557" s="137">
        <f>IF(BZ557="zákl. přenesená",J557,0)</f>
        <v>0</v>
      </c>
      <c r="DT557" s="137">
        <f>IF(BZ557="sníž. přenesená",J557,0)</f>
        <v>0</v>
      </c>
      <c r="DU557" s="137">
        <f>IF(BZ557="nulová",J557,0)</f>
        <v>0</v>
      </c>
      <c r="DV557" s="16" t="s">
        <v>81</v>
      </c>
      <c r="DW557" s="137">
        <f>ROUND(I557*H557,2)</f>
        <v>3125.81</v>
      </c>
      <c r="DX557" s="16" t="s">
        <v>95</v>
      </c>
      <c r="DY557" s="136" t="s">
        <v>2621</v>
      </c>
    </row>
    <row r="558" spans="2:129" s="1" customFormat="1" ht="19.5" x14ac:dyDescent="0.2">
      <c r="B558" s="31"/>
      <c r="D558" s="138" t="s">
        <v>289</v>
      </c>
      <c r="F558" s="139" t="s">
        <v>668</v>
      </c>
      <c r="I558" s="140"/>
      <c r="L558" s="31"/>
      <c r="N558" s="213"/>
      <c r="O558" s="214"/>
      <c r="Q558" s="229"/>
      <c r="BY558" s="141"/>
      <c r="CF558" s="50"/>
      <c r="DF558" s="16" t="s">
        <v>289</v>
      </c>
      <c r="DG558" s="16" t="s">
        <v>83</v>
      </c>
    </row>
    <row r="559" spans="2:129" s="1" customFormat="1" ht="24.2" customHeight="1" x14ac:dyDescent="0.2">
      <c r="B559" s="124"/>
      <c r="C559" s="125" t="s">
        <v>2622</v>
      </c>
      <c r="D559" s="125" t="s">
        <v>284</v>
      </c>
      <c r="E559" s="126" t="s">
        <v>2623</v>
      </c>
      <c r="F559" s="127" t="s">
        <v>2624</v>
      </c>
      <c r="G559" s="128" t="s">
        <v>485</v>
      </c>
      <c r="H559" s="129">
        <v>2</v>
      </c>
      <c r="I559" s="130">
        <v>818.62430666375144</v>
      </c>
      <c r="J559" s="131">
        <f>ROUND(I559*H559,2)</f>
        <v>1637.25</v>
      </c>
      <c r="K559" s="127" t="s">
        <v>293</v>
      </c>
      <c r="L559" s="198">
        <f>S559</f>
        <v>0</v>
      </c>
      <c r="M559" s="206">
        <f>ROUND(L559*I559,2)</f>
        <v>0</v>
      </c>
      <c r="N559" s="211"/>
      <c r="O559" s="212">
        <f>ROUND(N559*I559,2)</f>
        <v>0</v>
      </c>
      <c r="P559" s="207">
        <f>H559-L559-N559</f>
        <v>2</v>
      </c>
      <c r="Q559" s="228">
        <f>ROUND(P559*I559,2)</f>
        <v>1637.25</v>
      </c>
      <c r="R559" s="199"/>
      <c r="S559" s="200">
        <f>W559+Y559+AA559+AC559+AE559+AG559+AI559+AK559+AM559+AO559+AQ559+AS559+AU559+AW559</f>
        <v>0</v>
      </c>
      <c r="T559" s="200">
        <f>ROUND(S559*I559,2)</f>
        <v>0</v>
      </c>
      <c r="U559" s="200">
        <f>H559-S559</f>
        <v>2</v>
      </c>
      <c r="V559" s="200">
        <f>ROUND(U559*I559,2)</f>
        <v>1637.25</v>
      </c>
      <c r="W559" s="200"/>
      <c r="X559" s="200"/>
      <c r="Y559" s="200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0"/>
      <c r="AP559" s="200"/>
      <c r="AQ559" s="200"/>
      <c r="AR559" s="200"/>
      <c r="AS559" s="200"/>
      <c r="AT559" s="200"/>
      <c r="AU559" s="200"/>
      <c r="AV559" s="200"/>
      <c r="AW559" s="200"/>
      <c r="AX559" s="200"/>
      <c r="BY559" s="132" t="s">
        <v>1</v>
      </c>
      <c r="BZ559" s="133" t="s">
        <v>40</v>
      </c>
      <c r="CB559" s="134">
        <f>CA559*H559</f>
        <v>0</v>
      </c>
      <c r="CC559" s="134">
        <v>0.32906000000000002</v>
      </c>
      <c r="CD559" s="134">
        <f>CC559*H559</f>
        <v>0.65812000000000004</v>
      </c>
      <c r="CE559" s="134">
        <v>0</v>
      </c>
      <c r="CF559" s="135">
        <f>CE559*H559</f>
        <v>0</v>
      </c>
      <c r="DD559" s="136" t="s">
        <v>95</v>
      </c>
      <c r="DF559" s="136" t="s">
        <v>284</v>
      </c>
      <c r="DG559" s="136" t="s">
        <v>83</v>
      </c>
      <c r="DK559" s="16" t="s">
        <v>282</v>
      </c>
      <c r="DQ559" s="137">
        <f>IF(BZ559="základní",J559,0)</f>
        <v>1637.25</v>
      </c>
      <c r="DR559" s="137">
        <f>IF(BZ559="snížená",J559,0)</f>
        <v>0</v>
      </c>
      <c r="DS559" s="137">
        <f>IF(BZ559="zákl. přenesená",J559,0)</f>
        <v>0</v>
      </c>
      <c r="DT559" s="137">
        <f>IF(BZ559="sníž. přenesená",J559,0)</f>
        <v>0</v>
      </c>
      <c r="DU559" s="137">
        <f>IF(BZ559="nulová",J559,0)</f>
        <v>0</v>
      </c>
      <c r="DV559" s="16" t="s">
        <v>81</v>
      </c>
      <c r="DW559" s="137">
        <f>ROUND(I559*H559,2)</f>
        <v>1637.25</v>
      </c>
      <c r="DX559" s="16" t="s">
        <v>95</v>
      </c>
      <c r="DY559" s="136" t="s">
        <v>2625</v>
      </c>
    </row>
    <row r="560" spans="2:129" s="1" customFormat="1" x14ac:dyDescent="0.2">
      <c r="B560" s="31"/>
      <c r="D560" s="138" t="s">
        <v>289</v>
      </c>
      <c r="F560" s="139" t="s">
        <v>2626</v>
      </c>
      <c r="I560" s="140"/>
      <c r="L560" s="31"/>
      <c r="N560" s="213"/>
      <c r="O560" s="214"/>
      <c r="Q560" s="229"/>
      <c r="BY560" s="141"/>
      <c r="CF560" s="50"/>
      <c r="DF560" s="16" t="s">
        <v>289</v>
      </c>
      <c r="DG560" s="16" t="s">
        <v>83</v>
      </c>
    </row>
    <row r="561" spans="2:129" s="1" customFormat="1" ht="29.25" x14ac:dyDescent="0.2">
      <c r="B561" s="31"/>
      <c r="D561" s="138" t="s">
        <v>299</v>
      </c>
      <c r="F561" s="142" t="s">
        <v>2431</v>
      </c>
      <c r="I561" s="140"/>
      <c r="L561" s="31"/>
      <c r="N561" s="213"/>
      <c r="O561" s="214"/>
      <c r="Q561" s="229"/>
      <c r="BY561" s="141"/>
      <c r="CF561" s="50"/>
      <c r="DF561" s="16" t="s">
        <v>299</v>
      </c>
      <c r="DG561" s="16" t="s">
        <v>83</v>
      </c>
    </row>
    <row r="562" spans="2:129" s="12" customFormat="1" x14ac:dyDescent="0.2">
      <c r="B562" s="149"/>
      <c r="D562" s="138" t="s">
        <v>301</v>
      </c>
      <c r="E562" s="150" t="s">
        <v>1</v>
      </c>
      <c r="F562" s="151" t="s">
        <v>83</v>
      </c>
      <c r="H562" s="152">
        <v>2</v>
      </c>
      <c r="I562" s="153"/>
      <c r="L562" s="149"/>
      <c r="N562" s="217"/>
      <c r="O562" s="218"/>
      <c r="Q562" s="231"/>
      <c r="BY562" s="154"/>
      <c r="CF562" s="155"/>
      <c r="DF562" s="150" t="s">
        <v>301</v>
      </c>
      <c r="DG562" s="150" t="s">
        <v>83</v>
      </c>
      <c r="DH562" s="12" t="s">
        <v>83</v>
      </c>
      <c r="DI562" s="12" t="s">
        <v>32</v>
      </c>
      <c r="DJ562" s="12" t="s">
        <v>81</v>
      </c>
      <c r="DK562" s="150" t="s">
        <v>282</v>
      </c>
    </row>
    <row r="563" spans="2:129" s="1" customFormat="1" ht="14.45" customHeight="1" x14ac:dyDescent="0.2">
      <c r="B563" s="124"/>
      <c r="C563" s="170" t="s">
        <v>2627</v>
      </c>
      <c r="D563" s="170" t="s">
        <v>439</v>
      </c>
      <c r="E563" s="171" t="s">
        <v>2628</v>
      </c>
      <c r="F563" s="172" t="s">
        <v>2629</v>
      </c>
      <c r="G563" s="173" t="s">
        <v>485</v>
      </c>
      <c r="H563" s="174">
        <v>2</v>
      </c>
      <c r="I563" s="175">
        <v>1809.1819869999999</v>
      </c>
      <c r="J563" s="176">
        <f>ROUND(I563*H563,2)</f>
        <v>3618.36</v>
      </c>
      <c r="K563" s="172" t="s">
        <v>293</v>
      </c>
      <c r="L563" s="198">
        <f>S563</f>
        <v>0</v>
      </c>
      <c r="M563" s="206">
        <f>ROUND(L563*I563,2)</f>
        <v>0</v>
      </c>
      <c r="N563" s="211"/>
      <c r="O563" s="212">
        <f>ROUND(N563*I563,2)</f>
        <v>0</v>
      </c>
      <c r="P563" s="207">
        <f>H563-L563-N563</f>
        <v>2</v>
      </c>
      <c r="Q563" s="228">
        <f>ROUND(P563*I563,2)</f>
        <v>3618.36</v>
      </c>
      <c r="R563" s="199"/>
      <c r="S563" s="200">
        <f>W563+Y563+AA563+AC563+AE563+AG563+AI563+AK563+AM563+AO563+AQ563+AS563+AU563+AW563</f>
        <v>0</v>
      </c>
      <c r="T563" s="200">
        <f>ROUND(S563*I563,2)</f>
        <v>0</v>
      </c>
      <c r="U563" s="200">
        <f>H563-S563</f>
        <v>2</v>
      </c>
      <c r="V563" s="200">
        <f>ROUND(U563*I563,2)</f>
        <v>3618.36</v>
      </c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77" t="s">
        <v>1</v>
      </c>
      <c r="BZ563" s="178" t="s">
        <v>40</v>
      </c>
      <c r="CB563" s="134">
        <f>CA563*H563</f>
        <v>0</v>
      </c>
      <c r="CC563" s="134">
        <v>2.9499999999999998E-2</v>
      </c>
      <c r="CD563" s="134">
        <f>CC563*H563</f>
        <v>5.8999999999999997E-2</v>
      </c>
      <c r="CE563" s="134">
        <v>0</v>
      </c>
      <c r="CF563" s="135">
        <f>CE563*H563</f>
        <v>0</v>
      </c>
      <c r="DD563" s="136" t="s">
        <v>328</v>
      </c>
      <c r="DF563" s="136" t="s">
        <v>439</v>
      </c>
      <c r="DG563" s="136" t="s">
        <v>83</v>
      </c>
      <c r="DK563" s="16" t="s">
        <v>282</v>
      </c>
      <c r="DQ563" s="137">
        <f>IF(BZ563="základní",J563,0)</f>
        <v>3618.36</v>
      </c>
      <c r="DR563" s="137">
        <f>IF(BZ563="snížená",J563,0)</f>
        <v>0</v>
      </c>
      <c r="DS563" s="137">
        <f>IF(BZ563="zákl. přenesená",J563,0)</f>
        <v>0</v>
      </c>
      <c r="DT563" s="137">
        <f>IF(BZ563="sníž. přenesená",J563,0)</f>
        <v>0</v>
      </c>
      <c r="DU563" s="137">
        <f>IF(BZ563="nulová",J563,0)</f>
        <v>0</v>
      </c>
      <c r="DV563" s="16" t="s">
        <v>81</v>
      </c>
      <c r="DW563" s="137">
        <f>ROUND(I563*H563,2)</f>
        <v>3618.36</v>
      </c>
      <c r="DX563" s="16" t="s">
        <v>95</v>
      </c>
      <c r="DY563" s="136" t="s">
        <v>2630</v>
      </c>
    </row>
    <row r="564" spans="2:129" s="1" customFormat="1" x14ac:dyDescent="0.2">
      <c r="B564" s="31"/>
      <c r="D564" s="138" t="s">
        <v>289</v>
      </c>
      <c r="F564" s="139" t="s">
        <v>2629</v>
      </c>
      <c r="I564" s="140"/>
      <c r="L564" s="31"/>
      <c r="N564" s="213"/>
      <c r="O564" s="214"/>
      <c r="Q564" s="229"/>
      <c r="BY564" s="141"/>
      <c r="CF564" s="50"/>
      <c r="DF564" s="16" t="s">
        <v>289</v>
      </c>
      <c r="DG564" s="16" t="s">
        <v>83</v>
      </c>
    </row>
    <row r="565" spans="2:129" s="1" customFormat="1" ht="14.45" customHeight="1" x14ac:dyDescent="0.2">
      <c r="B565" s="124"/>
      <c r="C565" s="170" t="s">
        <v>2631</v>
      </c>
      <c r="D565" s="170" t="s">
        <v>439</v>
      </c>
      <c r="E565" s="171" t="s">
        <v>2632</v>
      </c>
      <c r="F565" s="172" t="s">
        <v>2633</v>
      </c>
      <c r="G565" s="173" t="s">
        <v>315</v>
      </c>
      <c r="H565" s="174">
        <v>2</v>
      </c>
      <c r="I565" s="175">
        <v>198.91529700000001</v>
      </c>
      <c r="J565" s="176">
        <f>ROUND(I565*H565,2)</f>
        <v>397.83</v>
      </c>
      <c r="K565" s="172" t="s">
        <v>1</v>
      </c>
      <c r="L565" s="198">
        <f>S565</f>
        <v>0</v>
      </c>
      <c r="M565" s="206">
        <f>ROUND(L565*I565,2)</f>
        <v>0</v>
      </c>
      <c r="N565" s="211"/>
      <c r="O565" s="212">
        <f>ROUND(N565*I565,2)</f>
        <v>0</v>
      </c>
      <c r="P565" s="207">
        <f>H565-L565-N565</f>
        <v>2</v>
      </c>
      <c r="Q565" s="228">
        <f>ROUND(P565*I565,2)</f>
        <v>397.83</v>
      </c>
      <c r="R565" s="199"/>
      <c r="S565" s="200">
        <f>W565+Y565+AA565+AC565+AE565+AG565+AI565+AK565+AM565+AO565+AQ565+AS565+AU565+AW565</f>
        <v>0</v>
      </c>
      <c r="T565" s="200">
        <f>ROUND(S565*I565,2)</f>
        <v>0</v>
      </c>
      <c r="U565" s="200">
        <f>H565-S565</f>
        <v>2</v>
      </c>
      <c r="V565" s="200">
        <f>ROUND(U565*I565,2)</f>
        <v>397.83</v>
      </c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77" t="s">
        <v>1</v>
      </c>
      <c r="BZ565" s="178" t="s">
        <v>40</v>
      </c>
      <c r="CB565" s="134">
        <f>CA565*H565</f>
        <v>0</v>
      </c>
      <c r="CC565" s="134">
        <v>0</v>
      </c>
      <c r="CD565" s="134">
        <f>CC565*H565</f>
        <v>0</v>
      </c>
      <c r="CE565" s="134">
        <v>0</v>
      </c>
      <c r="CF565" s="135">
        <f>CE565*H565</f>
        <v>0</v>
      </c>
      <c r="DD565" s="136" t="s">
        <v>328</v>
      </c>
      <c r="DF565" s="136" t="s">
        <v>439</v>
      </c>
      <c r="DG565" s="136" t="s">
        <v>83</v>
      </c>
      <c r="DK565" s="16" t="s">
        <v>282</v>
      </c>
      <c r="DQ565" s="137">
        <f>IF(BZ565="základní",J565,0)</f>
        <v>397.83</v>
      </c>
      <c r="DR565" s="137">
        <f>IF(BZ565="snížená",J565,0)</f>
        <v>0</v>
      </c>
      <c r="DS565" s="137">
        <f>IF(BZ565="zákl. přenesená",J565,0)</f>
        <v>0</v>
      </c>
      <c r="DT565" s="137">
        <f>IF(BZ565="sníž. přenesená",J565,0)</f>
        <v>0</v>
      </c>
      <c r="DU565" s="137">
        <f>IF(BZ565="nulová",J565,0)</f>
        <v>0</v>
      </c>
      <c r="DV565" s="16" t="s">
        <v>81</v>
      </c>
      <c r="DW565" s="137">
        <f>ROUND(I565*H565,2)</f>
        <v>397.83</v>
      </c>
      <c r="DX565" s="16" t="s">
        <v>95</v>
      </c>
      <c r="DY565" s="136" t="s">
        <v>2634</v>
      </c>
    </row>
    <row r="566" spans="2:129" s="1" customFormat="1" x14ac:dyDescent="0.2">
      <c r="B566" s="31"/>
      <c r="D566" s="138" t="s">
        <v>289</v>
      </c>
      <c r="F566" s="139" t="s">
        <v>2633</v>
      </c>
      <c r="I566" s="140"/>
      <c r="L566" s="31"/>
      <c r="N566" s="213"/>
      <c r="O566" s="214"/>
      <c r="Q566" s="229"/>
      <c r="BY566" s="141"/>
      <c r="CF566" s="50"/>
      <c r="DF566" s="16" t="s">
        <v>289</v>
      </c>
      <c r="DG566" s="16" t="s">
        <v>83</v>
      </c>
    </row>
    <row r="567" spans="2:129" s="1" customFormat="1" ht="24.2" customHeight="1" x14ac:dyDescent="0.2">
      <c r="B567" s="124"/>
      <c r="C567" s="125" t="s">
        <v>1595</v>
      </c>
      <c r="D567" s="125" t="s">
        <v>284</v>
      </c>
      <c r="E567" s="126" t="s">
        <v>2376</v>
      </c>
      <c r="F567" s="127" t="s">
        <v>2377</v>
      </c>
      <c r="G567" s="128" t="s">
        <v>344</v>
      </c>
      <c r="H567" s="129">
        <v>540</v>
      </c>
      <c r="I567" s="130">
        <v>41.004583386686377</v>
      </c>
      <c r="J567" s="131">
        <f>ROUND(I567*H567,2)</f>
        <v>22142.48</v>
      </c>
      <c r="K567" s="127" t="s">
        <v>293</v>
      </c>
      <c r="L567" s="198">
        <f>S567</f>
        <v>0</v>
      </c>
      <c r="M567" s="206">
        <f>ROUND(L567*I567,2)</f>
        <v>0</v>
      </c>
      <c r="N567" s="211"/>
      <c r="O567" s="212">
        <f>ROUND(N567*I567,2)</f>
        <v>0</v>
      </c>
      <c r="P567" s="207">
        <f>H567-L567-N567</f>
        <v>540</v>
      </c>
      <c r="Q567" s="228">
        <f>ROUND(P567*I567,2)</f>
        <v>22142.48</v>
      </c>
      <c r="R567" s="199"/>
      <c r="S567" s="200">
        <f>W567+Y567+AA567+AC567+AE567+AG567+AI567+AK567+AM567+AO567+AQ567+AS567+AU567+AW567</f>
        <v>0</v>
      </c>
      <c r="T567" s="200">
        <f>ROUND(S567*I567,2)</f>
        <v>0</v>
      </c>
      <c r="U567" s="200">
        <f>H567-S567</f>
        <v>540</v>
      </c>
      <c r="V567" s="200">
        <f>ROUND(U567*I567,2)</f>
        <v>22142.48</v>
      </c>
      <c r="W567" s="200"/>
      <c r="X567" s="200"/>
      <c r="Y567" s="200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0"/>
      <c r="AP567" s="200"/>
      <c r="AQ567" s="200"/>
      <c r="AR567" s="200"/>
      <c r="AS567" s="200"/>
      <c r="AT567" s="200"/>
      <c r="AU567" s="200"/>
      <c r="AV567" s="200"/>
      <c r="AW567" s="200"/>
      <c r="AX567" s="200"/>
      <c r="BY567" s="132" t="s">
        <v>1</v>
      </c>
      <c r="BZ567" s="133" t="s">
        <v>40</v>
      </c>
      <c r="CB567" s="134">
        <f>CA567*H567</f>
        <v>0</v>
      </c>
      <c r="CC567" s="134">
        <v>1.9000000000000001E-4</v>
      </c>
      <c r="CD567" s="134">
        <f>CC567*H567</f>
        <v>0.10260000000000001</v>
      </c>
      <c r="CE567" s="134">
        <v>0</v>
      </c>
      <c r="CF567" s="135">
        <f>CE567*H567</f>
        <v>0</v>
      </c>
      <c r="DD567" s="136" t="s">
        <v>95</v>
      </c>
      <c r="DF567" s="136" t="s">
        <v>284</v>
      </c>
      <c r="DG567" s="136" t="s">
        <v>83</v>
      </c>
      <c r="DK567" s="16" t="s">
        <v>282</v>
      </c>
      <c r="DQ567" s="137">
        <f>IF(BZ567="základní",J567,0)</f>
        <v>22142.48</v>
      </c>
      <c r="DR567" s="137">
        <f>IF(BZ567="snížená",J567,0)</f>
        <v>0</v>
      </c>
      <c r="DS567" s="137">
        <f>IF(BZ567="zákl. přenesená",J567,0)</f>
        <v>0</v>
      </c>
      <c r="DT567" s="137">
        <f>IF(BZ567="sníž. přenesená",J567,0)</f>
        <v>0</v>
      </c>
      <c r="DU567" s="137">
        <f>IF(BZ567="nulová",J567,0)</f>
        <v>0</v>
      </c>
      <c r="DV567" s="16" t="s">
        <v>81</v>
      </c>
      <c r="DW567" s="137">
        <f>ROUND(I567*H567,2)</f>
        <v>22142.48</v>
      </c>
      <c r="DX567" s="16" t="s">
        <v>95</v>
      </c>
      <c r="DY567" s="136" t="s">
        <v>2378</v>
      </c>
    </row>
    <row r="568" spans="2:129" s="1" customFormat="1" x14ac:dyDescent="0.2">
      <c r="B568" s="31"/>
      <c r="D568" s="138" t="s">
        <v>289</v>
      </c>
      <c r="F568" s="139" t="s">
        <v>2379</v>
      </c>
      <c r="I568" s="140"/>
      <c r="L568" s="31"/>
      <c r="N568" s="213"/>
      <c r="O568" s="214"/>
      <c r="Q568" s="229"/>
      <c r="BY568" s="141"/>
      <c r="CF568" s="50"/>
      <c r="DF568" s="16" t="s">
        <v>289</v>
      </c>
      <c r="DG568" s="16" t="s">
        <v>83</v>
      </c>
    </row>
    <row r="569" spans="2:129" s="1" customFormat="1" ht="29.25" x14ac:dyDescent="0.2">
      <c r="B569" s="31"/>
      <c r="D569" s="138" t="s">
        <v>299</v>
      </c>
      <c r="F569" s="142" t="s">
        <v>2431</v>
      </c>
      <c r="I569" s="140"/>
      <c r="L569" s="31"/>
      <c r="N569" s="213"/>
      <c r="O569" s="214"/>
      <c r="Q569" s="229"/>
      <c r="BY569" s="141"/>
      <c r="CF569" s="50"/>
      <c r="DF569" s="16" t="s">
        <v>299</v>
      </c>
      <c r="DG569" s="16" t="s">
        <v>83</v>
      </c>
    </row>
    <row r="570" spans="2:129" s="12" customFormat="1" x14ac:dyDescent="0.2">
      <c r="B570" s="149"/>
      <c r="D570" s="138" t="s">
        <v>301</v>
      </c>
      <c r="E570" s="150" t="s">
        <v>1</v>
      </c>
      <c r="F570" s="151" t="s">
        <v>2635</v>
      </c>
      <c r="H570" s="152">
        <v>540</v>
      </c>
      <c r="I570" s="153"/>
      <c r="L570" s="149"/>
      <c r="N570" s="217"/>
      <c r="O570" s="218"/>
      <c r="Q570" s="231"/>
      <c r="BY570" s="154"/>
      <c r="CF570" s="155"/>
      <c r="DF570" s="150" t="s">
        <v>301</v>
      </c>
      <c r="DG570" s="150" t="s">
        <v>83</v>
      </c>
      <c r="DH570" s="12" t="s">
        <v>83</v>
      </c>
      <c r="DI570" s="12" t="s">
        <v>32</v>
      </c>
      <c r="DJ570" s="12" t="s">
        <v>81</v>
      </c>
      <c r="DK570" s="150" t="s">
        <v>282</v>
      </c>
    </row>
    <row r="571" spans="2:129" s="1" customFormat="1" ht="14.45" customHeight="1" x14ac:dyDescent="0.2">
      <c r="B571" s="124"/>
      <c r="C571" s="125" t="s">
        <v>2636</v>
      </c>
      <c r="D571" s="125" t="s">
        <v>284</v>
      </c>
      <c r="E571" s="126" t="s">
        <v>2381</v>
      </c>
      <c r="F571" s="127" t="s">
        <v>2382</v>
      </c>
      <c r="G571" s="128" t="s">
        <v>344</v>
      </c>
      <c r="H571" s="129">
        <v>515</v>
      </c>
      <c r="I571" s="130">
        <v>12.254588887781324</v>
      </c>
      <c r="J571" s="131">
        <f>ROUND(I571*H571,2)</f>
        <v>6311.11</v>
      </c>
      <c r="K571" s="127" t="s">
        <v>293</v>
      </c>
      <c r="L571" s="198">
        <f>S571</f>
        <v>0</v>
      </c>
      <c r="M571" s="206">
        <f>ROUND(L571*I571,2)</f>
        <v>0</v>
      </c>
      <c r="N571" s="211">
        <f>N574</f>
        <v>3</v>
      </c>
      <c r="O571" s="212">
        <f>ROUND(N571*I571,2)</f>
        <v>36.76</v>
      </c>
      <c r="P571" s="207">
        <f>H571-L571-N571</f>
        <v>512</v>
      </c>
      <c r="Q571" s="228">
        <f>ROUND(P571*I571,2)</f>
        <v>6274.35</v>
      </c>
      <c r="R571" s="199"/>
      <c r="S571" s="200">
        <f>W571+Y571+AA571+AC571+AE571+AG571+AI571+AK571+AM571+AO571+AQ571+AS571+AU571+AW571</f>
        <v>0</v>
      </c>
      <c r="T571" s="200">
        <f>ROUND(S571*I571,2)</f>
        <v>0</v>
      </c>
      <c r="U571" s="200">
        <f>H571-S571</f>
        <v>515</v>
      </c>
      <c r="V571" s="200">
        <f>ROUND(U571*I571,2)</f>
        <v>6311.11</v>
      </c>
      <c r="W571" s="200"/>
      <c r="X571" s="200"/>
      <c r="Y571" s="200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0"/>
      <c r="AP571" s="200"/>
      <c r="AQ571" s="200"/>
      <c r="AR571" s="200"/>
      <c r="AS571" s="200"/>
      <c r="AT571" s="200"/>
      <c r="AU571" s="200"/>
      <c r="AV571" s="200"/>
      <c r="AW571" s="200"/>
      <c r="AX571" s="200"/>
      <c r="BY571" s="132" t="s">
        <v>1</v>
      </c>
      <c r="BZ571" s="133" t="s">
        <v>40</v>
      </c>
      <c r="CB571" s="134">
        <f>CA571*H571</f>
        <v>0</v>
      </c>
      <c r="CC571" s="134">
        <v>9.0000000000000006E-5</v>
      </c>
      <c r="CD571" s="134">
        <f>CC571*H571</f>
        <v>4.6350000000000002E-2</v>
      </c>
      <c r="CE571" s="134">
        <v>0</v>
      </c>
      <c r="CF571" s="135">
        <f>CE571*H571</f>
        <v>0</v>
      </c>
      <c r="DD571" s="136" t="s">
        <v>95</v>
      </c>
      <c r="DF571" s="136" t="s">
        <v>284</v>
      </c>
      <c r="DG571" s="136" t="s">
        <v>83</v>
      </c>
      <c r="DK571" s="16" t="s">
        <v>282</v>
      </c>
      <c r="DQ571" s="137">
        <f>IF(BZ571="základní",J571,0)</f>
        <v>6311.11</v>
      </c>
      <c r="DR571" s="137">
        <f>IF(BZ571="snížená",J571,0)</f>
        <v>0</v>
      </c>
      <c r="DS571" s="137">
        <f>IF(BZ571="zákl. přenesená",J571,0)</f>
        <v>0</v>
      </c>
      <c r="DT571" s="137">
        <f>IF(BZ571="sníž. přenesená",J571,0)</f>
        <v>0</v>
      </c>
      <c r="DU571" s="137">
        <f>IF(BZ571="nulová",J571,0)</f>
        <v>0</v>
      </c>
      <c r="DV571" s="16" t="s">
        <v>81</v>
      </c>
      <c r="DW571" s="137">
        <f>ROUND(I571*H571,2)</f>
        <v>6311.11</v>
      </c>
      <c r="DX571" s="16" t="s">
        <v>95</v>
      </c>
      <c r="DY571" s="136" t="s">
        <v>2383</v>
      </c>
    </row>
    <row r="572" spans="2:129" s="1" customFormat="1" x14ac:dyDescent="0.2">
      <c r="B572" s="31"/>
      <c r="D572" s="138" t="s">
        <v>289</v>
      </c>
      <c r="F572" s="139" t="s">
        <v>2384</v>
      </c>
      <c r="I572" s="140"/>
      <c r="L572" s="31"/>
      <c r="N572" s="213"/>
      <c r="O572" s="214"/>
      <c r="Q572" s="229"/>
      <c r="BY572" s="141"/>
      <c r="CF572" s="50"/>
      <c r="DF572" s="16" t="s">
        <v>289</v>
      </c>
      <c r="DG572" s="16" t="s">
        <v>83</v>
      </c>
    </row>
    <row r="573" spans="2:129" s="1" customFormat="1" ht="29.25" x14ac:dyDescent="0.2">
      <c r="B573" s="31"/>
      <c r="D573" s="138" t="s">
        <v>299</v>
      </c>
      <c r="F573" s="142" t="s">
        <v>2431</v>
      </c>
      <c r="I573" s="140"/>
      <c r="L573" s="31"/>
      <c r="N573" s="213"/>
      <c r="O573" s="214"/>
      <c r="Q573" s="229"/>
      <c r="BY573" s="141"/>
      <c r="CF573" s="50"/>
      <c r="DF573" s="16" t="s">
        <v>299</v>
      </c>
      <c r="DG573" s="16" t="s">
        <v>83</v>
      </c>
    </row>
    <row r="574" spans="2:129" s="12" customFormat="1" x14ac:dyDescent="0.2">
      <c r="B574" s="149"/>
      <c r="D574" s="138" t="s">
        <v>301</v>
      </c>
      <c r="E574" s="150" t="s">
        <v>1</v>
      </c>
      <c r="F574" s="151" t="s">
        <v>2637</v>
      </c>
      <c r="H574" s="152">
        <v>515</v>
      </c>
      <c r="I574" s="153"/>
      <c r="L574" s="149"/>
      <c r="N574" s="217">
        <f>518-515</f>
        <v>3</v>
      </c>
      <c r="O574" s="218" t="s">
        <v>3610</v>
      </c>
      <c r="Q574" s="231"/>
      <c r="BY574" s="154"/>
      <c r="CF574" s="155"/>
      <c r="DF574" s="150" t="s">
        <v>301</v>
      </c>
      <c r="DG574" s="150" t="s">
        <v>83</v>
      </c>
      <c r="DH574" s="12" t="s">
        <v>83</v>
      </c>
      <c r="DI574" s="12" t="s">
        <v>32</v>
      </c>
      <c r="DJ574" s="12" t="s">
        <v>81</v>
      </c>
      <c r="DK574" s="150" t="s">
        <v>282</v>
      </c>
    </row>
    <row r="575" spans="2:129" s="10" customFormat="1" ht="22.9" customHeight="1" x14ac:dyDescent="0.2">
      <c r="B575" s="112"/>
      <c r="D575" s="113" t="s">
        <v>73</v>
      </c>
      <c r="E575" s="122" t="s">
        <v>335</v>
      </c>
      <c r="F575" s="122" t="s">
        <v>674</v>
      </c>
      <c r="I575" s="115"/>
      <c r="J575" s="123">
        <f>DW575</f>
        <v>34099.769999999997</v>
      </c>
      <c r="L575" s="112"/>
      <c r="M575" s="202">
        <f>M576</f>
        <v>0</v>
      </c>
      <c r="N575" s="223"/>
      <c r="O575" s="224">
        <f t="shared" ref="O575:V575" si="7">O576</f>
        <v>0</v>
      </c>
      <c r="P575" s="202"/>
      <c r="Q575" s="234">
        <f t="shared" si="7"/>
        <v>34099.769999999997</v>
      </c>
      <c r="R575" s="202"/>
      <c r="S575" s="202"/>
      <c r="T575" s="202">
        <f t="shared" si="7"/>
        <v>0</v>
      </c>
      <c r="U575" s="202"/>
      <c r="V575" s="202">
        <f t="shared" si="7"/>
        <v>34099.769999999997</v>
      </c>
      <c r="BY575" s="117"/>
      <c r="CB575" s="118">
        <f>SUM(CB576:CB580)</f>
        <v>0</v>
      </c>
      <c r="CD575" s="118">
        <f>SUM(CD576:CD580)</f>
        <v>0</v>
      </c>
      <c r="CF575" s="119">
        <f>SUM(CF576:CF580)</f>
        <v>0</v>
      </c>
      <c r="DD575" s="113" t="s">
        <v>81</v>
      </c>
      <c r="DF575" s="120" t="s">
        <v>73</v>
      </c>
      <c r="DG575" s="120" t="s">
        <v>81</v>
      </c>
      <c r="DK575" s="113" t="s">
        <v>282</v>
      </c>
      <c r="DW575" s="121">
        <f>SUM(DW576:DW580)</f>
        <v>34099.769999999997</v>
      </c>
    </row>
    <row r="576" spans="2:129" s="1" customFormat="1" ht="14.45" customHeight="1" x14ac:dyDescent="0.2">
      <c r="B576" s="124"/>
      <c r="C576" s="125" t="s">
        <v>2638</v>
      </c>
      <c r="D576" s="125" t="s">
        <v>284</v>
      </c>
      <c r="E576" s="126" t="s">
        <v>689</v>
      </c>
      <c r="F576" s="127" t="s">
        <v>690</v>
      </c>
      <c r="G576" s="128" t="s">
        <v>315</v>
      </c>
      <c r="H576" s="129">
        <v>20</v>
      </c>
      <c r="I576" s="130">
        <v>1704.9882600000001</v>
      </c>
      <c r="J576" s="131">
        <f>ROUND(I576*H576,2)</f>
        <v>34099.769999999997</v>
      </c>
      <c r="K576" s="127" t="s">
        <v>1</v>
      </c>
      <c r="L576" s="198">
        <f>S576</f>
        <v>0</v>
      </c>
      <c r="M576" s="206">
        <f>ROUND(L576*I576,2)</f>
        <v>0</v>
      </c>
      <c r="N576" s="211"/>
      <c r="O576" s="212">
        <f>ROUND(N576*I576,2)</f>
        <v>0</v>
      </c>
      <c r="P576" s="207">
        <f>H576-L576-N576</f>
        <v>20</v>
      </c>
      <c r="Q576" s="228">
        <f>ROUND(P576*I576,2)</f>
        <v>34099.769999999997</v>
      </c>
      <c r="R576" s="199"/>
      <c r="S576" s="200">
        <f>W576+Y576+AA576+AC576+AE576+AG576+AI576+AK576+AM576+AO576+AQ576+AS576+AU576+AW576</f>
        <v>0</v>
      </c>
      <c r="T576" s="200">
        <f>ROUND(S576*I576,2)</f>
        <v>0</v>
      </c>
      <c r="U576" s="200">
        <f>H576-S576</f>
        <v>20</v>
      </c>
      <c r="V576" s="200">
        <f>ROUND(U576*I576,2)</f>
        <v>34099.769999999997</v>
      </c>
      <c r="W576" s="200"/>
      <c r="X576" s="200"/>
      <c r="Y576" s="200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0"/>
      <c r="AP576" s="200"/>
      <c r="AQ576" s="200"/>
      <c r="AR576" s="200"/>
      <c r="AS576" s="200"/>
      <c r="AT576" s="200"/>
      <c r="AU576" s="200"/>
      <c r="AV576" s="200"/>
      <c r="AW576" s="200"/>
      <c r="AX576" s="200"/>
      <c r="BY576" s="132" t="s">
        <v>1</v>
      </c>
      <c r="BZ576" s="133" t="s">
        <v>40</v>
      </c>
      <c r="CB576" s="134">
        <f>CA576*H576</f>
        <v>0</v>
      </c>
      <c r="CC576" s="134">
        <v>0</v>
      </c>
      <c r="CD576" s="134">
        <f>CC576*H576</f>
        <v>0</v>
      </c>
      <c r="CE576" s="134">
        <v>0</v>
      </c>
      <c r="CF576" s="135">
        <f>CE576*H576</f>
        <v>0</v>
      </c>
      <c r="DD576" s="136" t="s">
        <v>95</v>
      </c>
      <c r="DF576" s="136" t="s">
        <v>284</v>
      </c>
      <c r="DG576" s="136" t="s">
        <v>83</v>
      </c>
      <c r="DK576" s="16" t="s">
        <v>282</v>
      </c>
      <c r="DQ576" s="137">
        <f>IF(BZ576="základní",J576,0)</f>
        <v>34099.769999999997</v>
      </c>
      <c r="DR576" s="137">
        <f>IF(BZ576="snížená",J576,0)</f>
        <v>0</v>
      </c>
      <c r="DS576" s="137">
        <f>IF(BZ576="zákl. přenesená",J576,0)</f>
        <v>0</v>
      </c>
      <c r="DT576" s="137">
        <f>IF(BZ576="sníž. přenesená",J576,0)</f>
        <v>0</v>
      </c>
      <c r="DU576" s="137">
        <f>IF(BZ576="nulová",J576,0)</f>
        <v>0</v>
      </c>
      <c r="DV576" s="16" t="s">
        <v>81</v>
      </c>
      <c r="DW576" s="137">
        <f>ROUND(I576*H576,2)</f>
        <v>34099.769999999997</v>
      </c>
      <c r="DX576" s="16" t="s">
        <v>95</v>
      </c>
      <c r="DY576" s="136" t="s">
        <v>691</v>
      </c>
    </row>
    <row r="577" spans="2:129" s="1" customFormat="1" ht="48.75" x14ac:dyDescent="0.2">
      <c r="B577" s="31"/>
      <c r="D577" s="138" t="s">
        <v>289</v>
      </c>
      <c r="F577" s="139" t="s">
        <v>692</v>
      </c>
      <c r="I577" s="140"/>
      <c r="L577" s="31"/>
      <c r="N577" s="213"/>
      <c r="O577" s="214"/>
      <c r="Q577" s="229"/>
      <c r="BY577" s="141"/>
      <c r="CF577" s="50"/>
      <c r="DF577" s="16" t="s">
        <v>289</v>
      </c>
      <c r="DG577" s="16" t="s">
        <v>83</v>
      </c>
    </row>
    <row r="578" spans="2:129" s="1" customFormat="1" ht="19.5" x14ac:dyDescent="0.2">
      <c r="B578" s="31"/>
      <c r="D578" s="138" t="s">
        <v>299</v>
      </c>
      <c r="F578" s="142" t="s">
        <v>2386</v>
      </c>
      <c r="I578" s="140"/>
      <c r="L578" s="31"/>
      <c r="N578" s="213"/>
      <c r="O578" s="214"/>
      <c r="Q578" s="229"/>
      <c r="BY578" s="141"/>
      <c r="CF578" s="50"/>
      <c r="DF578" s="16" t="s">
        <v>299</v>
      </c>
      <c r="DG578" s="16" t="s">
        <v>83</v>
      </c>
    </row>
    <row r="579" spans="2:129" s="11" customFormat="1" x14ac:dyDescent="0.2">
      <c r="B579" s="143"/>
      <c r="D579" s="138" t="s">
        <v>301</v>
      </c>
      <c r="E579" s="144" t="s">
        <v>1</v>
      </c>
      <c r="F579" s="145" t="s">
        <v>694</v>
      </c>
      <c r="H579" s="144" t="s">
        <v>1</v>
      </c>
      <c r="I579" s="146"/>
      <c r="L579" s="143"/>
      <c r="N579" s="215"/>
      <c r="O579" s="216"/>
      <c r="Q579" s="230"/>
      <c r="BY579" s="147"/>
      <c r="CF579" s="148"/>
      <c r="DF579" s="144" t="s">
        <v>301</v>
      </c>
      <c r="DG579" s="144" t="s">
        <v>83</v>
      </c>
      <c r="DH579" s="11" t="s">
        <v>81</v>
      </c>
      <c r="DI579" s="11" t="s">
        <v>32</v>
      </c>
      <c r="DJ579" s="11" t="s">
        <v>74</v>
      </c>
      <c r="DK579" s="144" t="s">
        <v>282</v>
      </c>
    </row>
    <row r="580" spans="2:129" s="12" customFormat="1" x14ac:dyDescent="0.2">
      <c r="B580" s="149"/>
      <c r="D580" s="138" t="s">
        <v>301</v>
      </c>
      <c r="E580" s="150" t="s">
        <v>1</v>
      </c>
      <c r="F580" s="151" t="s">
        <v>404</v>
      </c>
      <c r="H580" s="152">
        <v>20</v>
      </c>
      <c r="I580" s="153"/>
      <c r="L580" s="149"/>
      <c r="N580" s="217"/>
      <c r="O580" s="218"/>
      <c r="Q580" s="231"/>
      <c r="BY580" s="154"/>
      <c r="CF580" s="155"/>
      <c r="DF580" s="150" t="s">
        <v>301</v>
      </c>
      <c r="DG580" s="150" t="s">
        <v>83</v>
      </c>
      <c r="DH580" s="12" t="s">
        <v>83</v>
      </c>
      <c r="DI580" s="12" t="s">
        <v>32</v>
      </c>
      <c r="DJ580" s="12" t="s">
        <v>81</v>
      </c>
      <c r="DK580" s="150" t="s">
        <v>282</v>
      </c>
    </row>
    <row r="581" spans="2:129" s="10" customFormat="1" ht="22.9" customHeight="1" x14ac:dyDescent="0.2">
      <c r="B581" s="112"/>
      <c r="D581" s="113" t="s">
        <v>73</v>
      </c>
      <c r="E581" s="122" t="s">
        <v>695</v>
      </c>
      <c r="F581" s="122" t="s">
        <v>696</v>
      </c>
      <c r="I581" s="115"/>
      <c r="J581" s="123">
        <f>DW581</f>
        <v>157146.05000000002</v>
      </c>
      <c r="L581" s="112"/>
      <c r="M581" s="202">
        <f>SUM(M582:M598)</f>
        <v>0</v>
      </c>
      <c r="N581" s="223"/>
      <c r="O581" s="224">
        <f t="shared" ref="O581:V581" si="8">SUM(O582:O598)</f>
        <v>1257.1699999999998</v>
      </c>
      <c r="P581" s="202"/>
      <c r="Q581" s="234">
        <f t="shared" si="8"/>
        <v>155888.87999999998</v>
      </c>
      <c r="R581" s="202"/>
      <c r="S581" s="202"/>
      <c r="T581" s="202">
        <f t="shared" si="8"/>
        <v>0</v>
      </c>
      <c r="U581" s="202"/>
      <c r="V581" s="202">
        <f t="shared" si="8"/>
        <v>157146.05000000002</v>
      </c>
      <c r="BY581" s="117"/>
      <c r="CB581" s="118">
        <f>SUM(CB582:CB600)</f>
        <v>0</v>
      </c>
      <c r="CD581" s="118">
        <f>SUM(CD582:CD600)</f>
        <v>0</v>
      </c>
      <c r="CF581" s="119">
        <f>SUM(CF582:CF600)</f>
        <v>0</v>
      </c>
      <c r="DD581" s="113" t="s">
        <v>81</v>
      </c>
      <c r="DF581" s="120" t="s">
        <v>73</v>
      </c>
      <c r="DG581" s="120" t="s">
        <v>81</v>
      </c>
      <c r="DK581" s="113" t="s">
        <v>282</v>
      </c>
      <c r="DW581" s="121">
        <f>SUM(DW582:DW600)</f>
        <v>157146.05000000002</v>
      </c>
    </row>
    <row r="582" spans="2:129" s="1" customFormat="1" ht="14.45" customHeight="1" x14ac:dyDescent="0.2">
      <c r="B582" s="124"/>
      <c r="C582" s="125" t="s">
        <v>2639</v>
      </c>
      <c r="D582" s="125" t="s">
        <v>284</v>
      </c>
      <c r="E582" s="126" t="s">
        <v>698</v>
      </c>
      <c r="F582" s="127" t="s">
        <v>699</v>
      </c>
      <c r="G582" s="128" t="s">
        <v>418</v>
      </c>
      <c r="H582" s="129">
        <v>416.97800000000001</v>
      </c>
      <c r="I582" s="130">
        <v>40.477390926043419</v>
      </c>
      <c r="J582" s="131">
        <f>ROUND(I582*H582,2)</f>
        <v>16878.18</v>
      </c>
      <c r="K582" s="127" t="s">
        <v>293</v>
      </c>
      <c r="L582" s="198">
        <f>S582</f>
        <v>0</v>
      </c>
      <c r="M582" s="206">
        <f>ROUND(L582*I582,2)</f>
        <v>0</v>
      </c>
      <c r="N582" s="211">
        <f>N584</f>
        <v>3.3358240000000592</v>
      </c>
      <c r="O582" s="212">
        <f>ROUND(N582*I582,2)</f>
        <v>135.03</v>
      </c>
      <c r="P582" s="207">
        <f>H582-L582-N582</f>
        <v>413.64217599999995</v>
      </c>
      <c r="Q582" s="228">
        <f>ROUND(P582*I582,2)</f>
        <v>16743.16</v>
      </c>
      <c r="R582" s="199"/>
      <c r="S582" s="200">
        <f>W582+Y582+AA582+AC582+AE582+AG582+AI582+AK582+AM582+AO582+AQ582+AS582+AU582+AW582</f>
        <v>0</v>
      </c>
      <c r="T582" s="200">
        <f>ROUND(S582*I582,2)</f>
        <v>0</v>
      </c>
      <c r="U582" s="200">
        <f>H582-S582</f>
        <v>416.97800000000001</v>
      </c>
      <c r="V582" s="200">
        <f>ROUND(U582*I582,2)</f>
        <v>16878.18</v>
      </c>
      <c r="W582" s="200"/>
      <c r="X582" s="200"/>
      <c r="Y582" s="200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00"/>
      <c r="AT582" s="200"/>
      <c r="AU582" s="200"/>
      <c r="AV582" s="200"/>
      <c r="AW582" s="200"/>
      <c r="AX582" s="200"/>
      <c r="BY582" s="132" t="s">
        <v>1</v>
      </c>
      <c r="BZ582" s="133" t="s">
        <v>40</v>
      </c>
      <c r="CB582" s="134">
        <f>CA582*H582</f>
        <v>0</v>
      </c>
      <c r="CC582" s="134">
        <v>0</v>
      </c>
      <c r="CD582" s="134">
        <f>CC582*H582</f>
        <v>0</v>
      </c>
      <c r="CE582" s="134">
        <v>0</v>
      </c>
      <c r="CF582" s="135">
        <f>CE582*H582</f>
        <v>0</v>
      </c>
      <c r="DD582" s="136" t="s">
        <v>95</v>
      </c>
      <c r="DF582" s="136" t="s">
        <v>284</v>
      </c>
      <c r="DG582" s="136" t="s">
        <v>83</v>
      </c>
      <c r="DK582" s="16" t="s">
        <v>282</v>
      </c>
      <c r="DQ582" s="137">
        <f>IF(BZ582="základní",J582,0)</f>
        <v>16878.18</v>
      </c>
      <c r="DR582" s="137">
        <f>IF(BZ582="snížená",J582,0)</f>
        <v>0</v>
      </c>
      <c r="DS582" s="137">
        <f>IF(BZ582="zákl. přenesená",J582,0)</f>
        <v>0</v>
      </c>
      <c r="DT582" s="137">
        <f>IF(BZ582="sníž. přenesená",J582,0)</f>
        <v>0</v>
      </c>
      <c r="DU582" s="137">
        <f>IF(BZ582="nulová",J582,0)</f>
        <v>0</v>
      </c>
      <c r="DV582" s="16" t="s">
        <v>81</v>
      </c>
      <c r="DW582" s="137">
        <f>ROUND(I582*H582,2)</f>
        <v>16878.18</v>
      </c>
      <c r="DX582" s="16" t="s">
        <v>95</v>
      </c>
      <c r="DY582" s="136" t="s">
        <v>700</v>
      </c>
    </row>
    <row r="583" spans="2:129" s="1" customFormat="1" ht="19.5" x14ac:dyDescent="0.2">
      <c r="B583" s="31"/>
      <c r="D583" s="138" t="s">
        <v>289</v>
      </c>
      <c r="F583" s="139" t="s">
        <v>701</v>
      </c>
      <c r="I583" s="140"/>
      <c r="L583" s="31"/>
      <c r="N583" s="213">
        <f>1.008*416.978</f>
        <v>420.31382400000001</v>
      </c>
      <c r="O583" s="214" t="s">
        <v>3958</v>
      </c>
      <c r="Q583" s="229"/>
      <c r="BY583" s="141"/>
      <c r="CF583" s="50"/>
      <c r="DF583" s="16" t="s">
        <v>289</v>
      </c>
      <c r="DG583" s="16" t="s">
        <v>83</v>
      </c>
    </row>
    <row r="584" spans="2:129" s="12" customFormat="1" x14ac:dyDescent="0.2">
      <c r="B584" s="149"/>
      <c r="D584" s="138" t="s">
        <v>301</v>
      </c>
      <c r="E584" s="150" t="s">
        <v>1</v>
      </c>
      <c r="F584" s="151" t="s">
        <v>2640</v>
      </c>
      <c r="H584" s="152">
        <v>339.09199999999998</v>
      </c>
      <c r="I584" s="153"/>
      <c r="L584" s="149"/>
      <c r="N584" s="310">
        <f>N583-H586</f>
        <v>3.3358240000000592</v>
      </c>
      <c r="O584" s="218"/>
      <c r="Q584" s="231"/>
      <c r="BY584" s="154"/>
      <c r="CF584" s="155"/>
      <c r="DF584" s="150" t="s">
        <v>301</v>
      </c>
      <c r="DG584" s="150" t="s">
        <v>83</v>
      </c>
      <c r="DH584" s="12" t="s">
        <v>83</v>
      </c>
      <c r="DI584" s="12" t="s">
        <v>32</v>
      </c>
      <c r="DJ584" s="12" t="s">
        <v>74</v>
      </c>
      <c r="DK584" s="150" t="s">
        <v>282</v>
      </c>
    </row>
    <row r="585" spans="2:129" s="12" customFormat="1" x14ac:dyDescent="0.2">
      <c r="B585" s="149"/>
      <c r="D585" s="138" t="s">
        <v>301</v>
      </c>
      <c r="E585" s="150" t="s">
        <v>1</v>
      </c>
      <c r="F585" s="151" t="s">
        <v>2641</v>
      </c>
      <c r="H585" s="152">
        <v>77.885999999999996</v>
      </c>
      <c r="I585" s="153"/>
      <c r="L585" s="149"/>
      <c r="N585" s="217"/>
      <c r="O585" s="218"/>
      <c r="Q585" s="231"/>
      <c r="BY585" s="154"/>
      <c r="CF585" s="155"/>
      <c r="DF585" s="150" t="s">
        <v>301</v>
      </c>
      <c r="DG585" s="150" t="s">
        <v>83</v>
      </c>
      <c r="DH585" s="12" t="s">
        <v>83</v>
      </c>
      <c r="DI585" s="12" t="s">
        <v>32</v>
      </c>
      <c r="DJ585" s="12" t="s">
        <v>74</v>
      </c>
      <c r="DK585" s="150" t="s">
        <v>282</v>
      </c>
    </row>
    <row r="586" spans="2:129" s="13" customFormat="1" x14ac:dyDescent="0.2">
      <c r="B586" s="156"/>
      <c r="D586" s="138" t="s">
        <v>301</v>
      </c>
      <c r="E586" s="157" t="s">
        <v>1</v>
      </c>
      <c r="F586" s="158" t="s">
        <v>305</v>
      </c>
      <c r="H586" s="159">
        <v>416.97799999999995</v>
      </c>
      <c r="I586" s="160"/>
      <c r="L586" s="156"/>
      <c r="N586" s="219"/>
      <c r="O586" s="220"/>
      <c r="Q586" s="232"/>
      <c r="BY586" s="161"/>
      <c r="CF586" s="162"/>
      <c r="DF586" s="157" t="s">
        <v>301</v>
      </c>
      <c r="DG586" s="157" t="s">
        <v>83</v>
      </c>
      <c r="DH586" s="13" t="s">
        <v>95</v>
      </c>
      <c r="DI586" s="13" t="s">
        <v>32</v>
      </c>
      <c r="DJ586" s="13" t="s">
        <v>81</v>
      </c>
      <c r="DK586" s="157" t="s">
        <v>282</v>
      </c>
    </row>
    <row r="587" spans="2:129" s="1" customFormat="1" ht="24.2" customHeight="1" x14ac:dyDescent="0.2">
      <c r="B587" s="124"/>
      <c r="C587" s="125" t="s">
        <v>2642</v>
      </c>
      <c r="D587" s="125" t="s">
        <v>284</v>
      </c>
      <c r="E587" s="126" t="s">
        <v>705</v>
      </c>
      <c r="F587" s="127" t="s">
        <v>706</v>
      </c>
      <c r="G587" s="128" t="s">
        <v>418</v>
      </c>
      <c r="H587" s="129">
        <v>5837.692</v>
      </c>
      <c r="I587" s="130">
        <v>3.1192340975392101</v>
      </c>
      <c r="J587" s="131">
        <f>ROUND(I587*H587,2)</f>
        <v>18209.13</v>
      </c>
      <c r="K587" s="127" t="s">
        <v>293</v>
      </c>
      <c r="L587" s="198">
        <f>S587</f>
        <v>0</v>
      </c>
      <c r="M587" s="206">
        <f>ROUND(L587*I587,2)</f>
        <v>0</v>
      </c>
      <c r="N587" s="211">
        <f>N589</f>
        <v>46.701536000000488</v>
      </c>
      <c r="O587" s="212">
        <f>ROUND(N587*I587,2)</f>
        <v>145.66999999999999</v>
      </c>
      <c r="P587" s="207">
        <f>H587-L587-N587</f>
        <v>5790.9904639999995</v>
      </c>
      <c r="Q587" s="228">
        <f>ROUND(P587*I587,2)</f>
        <v>18063.45</v>
      </c>
      <c r="R587" s="199"/>
      <c r="S587" s="200">
        <f>W587+Y587+AA587+AC587+AE587+AG587+AI587+AK587+AM587+AO587+AQ587+AS587+AU587+AW587</f>
        <v>0</v>
      </c>
      <c r="T587" s="200">
        <f>ROUND(S587*I587,2)</f>
        <v>0</v>
      </c>
      <c r="U587" s="200">
        <f>H587-S587</f>
        <v>5837.692</v>
      </c>
      <c r="V587" s="200">
        <f>ROUND(U587*I587,2)</f>
        <v>18209.13</v>
      </c>
      <c r="W587" s="200"/>
      <c r="X587" s="200"/>
      <c r="Y587" s="200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0"/>
      <c r="AP587" s="200"/>
      <c r="AQ587" s="200"/>
      <c r="AR587" s="200"/>
      <c r="AS587" s="200"/>
      <c r="AT587" s="200"/>
      <c r="AU587" s="200"/>
      <c r="AV587" s="200"/>
      <c r="AW587" s="200"/>
      <c r="AX587" s="200"/>
      <c r="BY587" s="132" t="s">
        <v>1</v>
      </c>
      <c r="BZ587" s="133" t="s">
        <v>40</v>
      </c>
      <c r="CB587" s="134">
        <f>CA587*H587</f>
        <v>0</v>
      </c>
      <c r="CC587" s="134">
        <v>0</v>
      </c>
      <c r="CD587" s="134">
        <f>CC587*H587</f>
        <v>0</v>
      </c>
      <c r="CE587" s="134">
        <v>0</v>
      </c>
      <c r="CF587" s="135">
        <f>CE587*H587</f>
        <v>0</v>
      </c>
      <c r="DD587" s="136" t="s">
        <v>95</v>
      </c>
      <c r="DF587" s="136" t="s">
        <v>284</v>
      </c>
      <c r="DG587" s="136" t="s">
        <v>83</v>
      </c>
      <c r="DK587" s="16" t="s">
        <v>282</v>
      </c>
      <c r="DQ587" s="137">
        <f>IF(BZ587="základní",J587,0)</f>
        <v>18209.13</v>
      </c>
      <c r="DR587" s="137">
        <f>IF(BZ587="snížená",J587,0)</f>
        <v>0</v>
      </c>
      <c r="DS587" s="137">
        <f>IF(BZ587="zákl. přenesená",J587,0)</f>
        <v>0</v>
      </c>
      <c r="DT587" s="137">
        <f>IF(BZ587="sníž. přenesená",J587,0)</f>
        <v>0</v>
      </c>
      <c r="DU587" s="137">
        <f>IF(BZ587="nulová",J587,0)</f>
        <v>0</v>
      </c>
      <c r="DV587" s="16" t="s">
        <v>81</v>
      </c>
      <c r="DW587" s="137">
        <f>ROUND(I587*H587,2)</f>
        <v>18209.13</v>
      </c>
      <c r="DX587" s="16" t="s">
        <v>95</v>
      </c>
      <c r="DY587" s="136" t="s">
        <v>707</v>
      </c>
    </row>
    <row r="588" spans="2:129" s="1" customFormat="1" ht="29.25" x14ac:dyDescent="0.2">
      <c r="B588" s="31"/>
      <c r="D588" s="138" t="s">
        <v>289</v>
      </c>
      <c r="F588" s="139" t="s">
        <v>708</v>
      </c>
      <c r="I588" s="140"/>
      <c r="L588" s="31"/>
      <c r="N588" s="213">
        <f>1.008*5837.692</f>
        <v>5884.3935360000005</v>
      </c>
      <c r="O588" s="214" t="s">
        <v>3959</v>
      </c>
      <c r="Q588" s="229"/>
      <c r="BY588" s="141"/>
      <c r="CF588" s="50"/>
      <c r="DF588" s="16" t="s">
        <v>289</v>
      </c>
      <c r="DG588" s="16" t="s">
        <v>83</v>
      </c>
    </row>
    <row r="589" spans="2:129" s="12" customFormat="1" x14ac:dyDescent="0.2">
      <c r="B589" s="149"/>
      <c r="D589" s="138" t="s">
        <v>301</v>
      </c>
      <c r="E589" s="150" t="s">
        <v>1</v>
      </c>
      <c r="F589" s="151" t="s">
        <v>2640</v>
      </c>
      <c r="H589" s="152">
        <v>339.09199999999998</v>
      </c>
      <c r="I589" s="153"/>
      <c r="L589" s="149"/>
      <c r="N589" s="310">
        <f>N588-H592</f>
        <v>46.701536000000488</v>
      </c>
      <c r="O589" s="218"/>
      <c r="Q589" s="231"/>
      <c r="BY589" s="154"/>
      <c r="CF589" s="155"/>
      <c r="DF589" s="150" t="s">
        <v>301</v>
      </c>
      <c r="DG589" s="150" t="s">
        <v>83</v>
      </c>
      <c r="DH589" s="12" t="s">
        <v>83</v>
      </c>
      <c r="DI589" s="12" t="s">
        <v>32</v>
      </c>
      <c r="DJ589" s="12" t="s">
        <v>74</v>
      </c>
      <c r="DK589" s="150" t="s">
        <v>282</v>
      </c>
    </row>
    <row r="590" spans="2:129" s="12" customFormat="1" x14ac:dyDescent="0.2">
      <c r="B590" s="149"/>
      <c r="D590" s="138" t="s">
        <v>301</v>
      </c>
      <c r="E590" s="150" t="s">
        <v>1</v>
      </c>
      <c r="F590" s="151" t="s">
        <v>2641</v>
      </c>
      <c r="H590" s="152">
        <v>77.885999999999996</v>
      </c>
      <c r="I590" s="153"/>
      <c r="L590" s="149"/>
      <c r="N590" s="217"/>
      <c r="O590" s="218"/>
      <c r="Q590" s="231"/>
      <c r="BY590" s="154"/>
      <c r="CF590" s="155"/>
      <c r="DF590" s="150" t="s">
        <v>301</v>
      </c>
      <c r="DG590" s="150" t="s">
        <v>83</v>
      </c>
      <c r="DH590" s="12" t="s">
        <v>83</v>
      </c>
      <c r="DI590" s="12" t="s">
        <v>32</v>
      </c>
      <c r="DJ590" s="12" t="s">
        <v>74</v>
      </c>
      <c r="DK590" s="150" t="s">
        <v>282</v>
      </c>
    </row>
    <row r="591" spans="2:129" s="13" customFormat="1" x14ac:dyDescent="0.2">
      <c r="B591" s="156"/>
      <c r="D591" s="138" t="s">
        <v>301</v>
      </c>
      <c r="E591" s="157" t="s">
        <v>1</v>
      </c>
      <c r="F591" s="158" t="s">
        <v>305</v>
      </c>
      <c r="H591" s="159">
        <v>416.97799999999995</v>
      </c>
      <c r="I591" s="160"/>
      <c r="L591" s="156"/>
      <c r="N591" s="219"/>
      <c r="O591" s="220"/>
      <c r="Q591" s="232"/>
      <c r="BY591" s="161"/>
      <c r="CF591" s="162"/>
      <c r="DF591" s="157" t="s">
        <v>301</v>
      </c>
      <c r="DG591" s="157" t="s">
        <v>83</v>
      </c>
      <c r="DH591" s="13" t="s">
        <v>95</v>
      </c>
      <c r="DI591" s="13" t="s">
        <v>32</v>
      </c>
      <c r="DJ591" s="13" t="s">
        <v>81</v>
      </c>
      <c r="DK591" s="157" t="s">
        <v>282</v>
      </c>
    </row>
    <row r="592" spans="2:129" s="12" customFormat="1" x14ac:dyDescent="0.2">
      <c r="B592" s="149"/>
      <c r="D592" s="138" t="s">
        <v>301</v>
      </c>
      <c r="F592" s="151" t="s">
        <v>2643</v>
      </c>
      <c r="H592" s="152">
        <v>5837.692</v>
      </c>
      <c r="I592" s="153"/>
      <c r="L592" s="149"/>
      <c r="N592" s="217"/>
      <c r="O592" s="218"/>
      <c r="Q592" s="231"/>
      <c r="BY592" s="154"/>
      <c r="CF592" s="155"/>
      <c r="DF592" s="150" t="s">
        <v>301</v>
      </c>
      <c r="DG592" s="150" t="s">
        <v>83</v>
      </c>
      <c r="DH592" s="12" t="s">
        <v>83</v>
      </c>
      <c r="DI592" s="12" t="s">
        <v>3</v>
      </c>
      <c r="DJ592" s="12" t="s">
        <v>81</v>
      </c>
      <c r="DK592" s="150" t="s">
        <v>282</v>
      </c>
    </row>
    <row r="593" spans="2:129" s="1" customFormat="1" ht="24.2" customHeight="1" x14ac:dyDescent="0.2">
      <c r="B593" s="124"/>
      <c r="C593" s="125" t="s">
        <v>2385</v>
      </c>
      <c r="D593" s="125" t="s">
        <v>284</v>
      </c>
      <c r="E593" s="126" t="s">
        <v>711</v>
      </c>
      <c r="F593" s="127" t="s">
        <v>712</v>
      </c>
      <c r="G593" s="128" t="s">
        <v>418</v>
      </c>
      <c r="H593" s="129">
        <v>416.97699999999998</v>
      </c>
      <c r="I593" s="130">
        <v>155.98322812074767</v>
      </c>
      <c r="J593" s="131">
        <f>ROUND(I593*H593,2)</f>
        <v>65041.42</v>
      </c>
      <c r="K593" s="127" t="s">
        <v>293</v>
      </c>
      <c r="L593" s="198">
        <f>S593</f>
        <v>0</v>
      </c>
      <c r="M593" s="206">
        <f>ROUND(L593*I593,2)</f>
        <v>0</v>
      </c>
      <c r="N593" s="211">
        <f>N582</f>
        <v>3.3358240000000592</v>
      </c>
      <c r="O593" s="212">
        <f>ROUND(N593*I593,2)</f>
        <v>520.33000000000004</v>
      </c>
      <c r="P593" s="207">
        <f>H593-L593-N593</f>
        <v>413.64117599999992</v>
      </c>
      <c r="Q593" s="228">
        <f>ROUND(P593*I593,2)</f>
        <v>64521.09</v>
      </c>
      <c r="R593" s="199"/>
      <c r="S593" s="200">
        <f>W593+Y593+AA593+AC593+AE593+AG593+AI593+AK593+AM593+AO593+AQ593+AS593+AU593+AW593</f>
        <v>0</v>
      </c>
      <c r="T593" s="200">
        <f>ROUND(S593*I593,2)</f>
        <v>0</v>
      </c>
      <c r="U593" s="200">
        <f>H593-S593</f>
        <v>416.97699999999998</v>
      </c>
      <c r="V593" s="200">
        <f>ROUND(U593*I593,2)</f>
        <v>65041.42</v>
      </c>
      <c r="W593" s="200"/>
      <c r="X593" s="200"/>
      <c r="Y593" s="200"/>
      <c r="Z593" s="200"/>
      <c r="AA593" s="200"/>
      <c r="AB593" s="200"/>
      <c r="AC593" s="200"/>
      <c r="AD593" s="200"/>
      <c r="AE593" s="200"/>
      <c r="AF593" s="200"/>
      <c r="AG593" s="200"/>
      <c r="AH593" s="200"/>
      <c r="AI593" s="200"/>
      <c r="AJ593" s="200"/>
      <c r="AK593" s="200"/>
      <c r="AL593" s="200"/>
      <c r="AM593" s="200"/>
      <c r="AN593" s="200"/>
      <c r="AO593" s="200"/>
      <c r="AP593" s="200"/>
      <c r="AQ593" s="200"/>
      <c r="AR593" s="200"/>
      <c r="AS593" s="200"/>
      <c r="AT593" s="200"/>
      <c r="AU593" s="200"/>
      <c r="AV593" s="200"/>
      <c r="AW593" s="200"/>
      <c r="AX593" s="200"/>
      <c r="BY593" s="132" t="s">
        <v>1</v>
      </c>
      <c r="BZ593" s="133" t="s">
        <v>40</v>
      </c>
      <c r="CB593" s="134">
        <f>CA593*H593</f>
        <v>0</v>
      </c>
      <c r="CC593" s="134">
        <v>0</v>
      </c>
      <c r="CD593" s="134">
        <f>CC593*H593</f>
        <v>0</v>
      </c>
      <c r="CE593" s="134">
        <v>0</v>
      </c>
      <c r="CF593" s="135">
        <f>CE593*H593</f>
        <v>0</v>
      </c>
      <c r="DD593" s="136" t="s">
        <v>95</v>
      </c>
      <c r="DF593" s="136" t="s">
        <v>284</v>
      </c>
      <c r="DG593" s="136" t="s">
        <v>83</v>
      </c>
      <c r="DK593" s="16" t="s">
        <v>282</v>
      </c>
      <c r="DQ593" s="137">
        <f>IF(BZ593="základní",J593,0)</f>
        <v>65041.42</v>
      </c>
      <c r="DR593" s="137">
        <f>IF(BZ593="snížená",J593,0)</f>
        <v>0</v>
      </c>
      <c r="DS593" s="137">
        <f>IF(BZ593="zákl. přenesená",J593,0)</f>
        <v>0</v>
      </c>
      <c r="DT593" s="137">
        <f>IF(BZ593="sníž. přenesená",J593,0)</f>
        <v>0</v>
      </c>
      <c r="DU593" s="137">
        <f>IF(BZ593="nulová",J593,0)</f>
        <v>0</v>
      </c>
      <c r="DV593" s="16" t="s">
        <v>81</v>
      </c>
      <c r="DW593" s="137">
        <f>ROUND(I593*H593,2)</f>
        <v>65041.42</v>
      </c>
      <c r="DX593" s="16" t="s">
        <v>95</v>
      </c>
      <c r="DY593" s="136" t="s">
        <v>713</v>
      </c>
    </row>
    <row r="594" spans="2:129" s="1" customFormat="1" x14ac:dyDescent="0.2">
      <c r="B594" s="31"/>
      <c r="D594" s="138" t="s">
        <v>289</v>
      </c>
      <c r="F594" s="139" t="s">
        <v>714</v>
      </c>
      <c r="I594" s="140"/>
      <c r="L594" s="31"/>
      <c r="N594" s="213"/>
      <c r="O594" s="214"/>
      <c r="Q594" s="229"/>
      <c r="BY594" s="141"/>
      <c r="CF594" s="50"/>
      <c r="DF594" s="16" t="s">
        <v>289</v>
      </c>
      <c r="DG594" s="16" t="s">
        <v>83</v>
      </c>
    </row>
    <row r="595" spans="2:129" s="1" customFormat="1" ht="37.9" customHeight="1" x14ac:dyDescent="0.2">
      <c r="B595" s="124"/>
      <c r="C595" s="125" t="s">
        <v>2644</v>
      </c>
      <c r="D595" s="125" t="s">
        <v>284</v>
      </c>
      <c r="E595" s="126" t="s">
        <v>716</v>
      </c>
      <c r="F595" s="127" t="s">
        <v>420</v>
      </c>
      <c r="G595" s="128" t="s">
        <v>418</v>
      </c>
      <c r="H595" s="129">
        <v>339.09199999999998</v>
      </c>
      <c r="I595" s="130">
        <v>110.6455721</v>
      </c>
      <c r="J595" s="131">
        <f>ROUND(I595*H595,2)</f>
        <v>37519.03</v>
      </c>
      <c r="K595" s="127" t="s">
        <v>293</v>
      </c>
      <c r="L595" s="198">
        <f>S595</f>
        <v>0</v>
      </c>
      <c r="M595" s="206">
        <f>ROUND(L595*I595,2)</f>
        <v>0</v>
      </c>
      <c r="N595" s="211">
        <f>N597</f>
        <v>2.7127360000000067</v>
      </c>
      <c r="O595" s="212">
        <f>ROUND(N595*I595,2)</f>
        <v>300.14999999999998</v>
      </c>
      <c r="P595" s="207">
        <f>H595-L595-N595</f>
        <v>336.37926399999998</v>
      </c>
      <c r="Q595" s="228">
        <f>ROUND(P595*I595,2)</f>
        <v>37218.879999999997</v>
      </c>
      <c r="R595" s="199"/>
      <c r="S595" s="200">
        <f>W595+Y595+AA595+AC595+AE595+AG595+AI595+AK595+AM595+AO595+AQ595+AS595+AU595+AW595</f>
        <v>0</v>
      </c>
      <c r="T595" s="200">
        <f>ROUND(S595*I595,2)</f>
        <v>0</v>
      </c>
      <c r="U595" s="200">
        <f>H595-S595</f>
        <v>339.09199999999998</v>
      </c>
      <c r="V595" s="200">
        <f>ROUND(U595*I595,2)</f>
        <v>37519.03</v>
      </c>
      <c r="W595" s="200"/>
      <c r="X595" s="200"/>
      <c r="Y595" s="200"/>
      <c r="Z595" s="200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0"/>
      <c r="AP595" s="200"/>
      <c r="AQ595" s="200"/>
      <c r="AR595" s="200"/>
      <c r="AS595" s="200"/>
      <c r="AT595" s="200"/>
      <c r="AU595" s="200"/>
      <c r="AV595" s="200"/>
      <c r="AW595" s="200"/>
      <c r="AX595" s="200"/>
      <c r="BY595" s="132" t="s">
        <v>1</v>
      </c>
      <c r="BZ595" s="133" t="s">
        <v>40</v>
      </c>
      <c r="CB595" s="134">
        <f>CA595*H595</f>
        <v>0</v>
      </c>
      <c r="CC595" s="134">
        <v>0</v>
      </c>
      <c r="CD595" s="134">
        <f>CC595*H595</f>
        <v>0</v>
      </c>
      <c r="CE595" s="134">
        <v>0</v>
      </c>
      <c r="CF595" s="135">
        <f>CE595*H595</f>
        <v>0</v>
      </c>
      <c r="DD595" s="136" t="s">
        <v>95</v>
      </c>
      <c r="DF595" s="136" t="s">
        <v>284</v>
      </c>
      <c r="DG595" s="136" t="s">
        <v>83</v>
      </c>
      <c r="DK595" s="16" t="s">
        <v>282</v>
      </c>
      <c r="DQ595" s="137">
        <f>IF(BZ595="základní",J595,0)</f>
        <v>37519.03</v>
      </c>
      <c r="DR595" s="137">
        <f>IF(BZ595="snížená",J595,0)</f>
        <v>0</v>
      </c>
      <c r="DS595" s="137">
        <f>IF(BZ595="zákl. přenesená",J595,0)</f>
        <v>0</v>
      </c>
      <c r="DT595" s="137">
        <f>IF(BZ595="sníž. přenesená",J595,0)</f>
        <v>0</v>
      </c>
      <c r="DU595" s="137">
        <f>IF(BZ595="nulová",J595,0)</f>
        <v>0</v>
      </c>
      <c r="DV595" s="16" t="s">
        <v>81</v>
      </c>
      <c r="DW595" s="137">
        <f>ROUND(I595*H595,2)</f>
        <v>37519.03</v>
      </c>
      <c r="DX595" s="16" t="s">
        <v>95</v>
      </c>
      <c r="DY595" s="136" t="s">
        <v>717</v>
      </c>
    </row>
    <row r="596" spans="2:129" s="1" customFormat="1" ht="29.25" x14ac:dyDescent="0.2">
      <c r="B596" s="31"/>
      <c r="D596" s="138" t="s">
        <v>289</v>
      </c>
      <c r="F596" s="139" t="s">
        <v>420</v>
      </c>
      <c r="I596" s="140"/>
      <c r="L596" s="31"/>
      <c r="N596" s="213">
        <f>1.008*339.092</f>
        <v>341.80473599999999</v>
      </c>
      <c r="O596" s="214" t="s">
        <v>3960</v>
      </c>
      <c r="Q596" s="229"/>
      <c r="BY596" s="141"/>
      <c r="CF596" s="50"/>
      <c r="DF596" s="16" t="s">
        <v>289</v>
      </c>
      <c r="DG596" s="16" t="s">
        <v>83</v>
      </c>
    </row>
    <row r="597" spans="2:129" s="12" customFormat="1" x14ac:dyDescent="0.2">
      <c r="B597" s="149"/>
      <c r="D597" s="138" t="s">
        <v>301</v>
      </c>
      <c r="E597" s="150" t="s">
        <v>1</v>
      </c>
      <c r="F597" s="151" t="s">
        <v>2640</v>
      </c>
      <c r="H597" s="152">
        <v>339.09199999999998</v>
      </c>
      <c r="I597" s="153"/>
      <c r="L597" s="149"/>
      <c r="N597" s="310">
        <f>N596-H597</f>
        <v>2.7127360000000067</v>
      </c>
      <c r="O597" s="218"/>
      <c r="Q597" s="231"/>
      <c r="BY597" s="154"/>
      <c r="CF597" s="155"/>
      <c r="DF597" s="150" t="s">
        <v>301</v>
      </c>
      <c r="DG597" s="150" t="s">
        <v>83</v>
      </c>
      <c r="DH597" s="12" t="s">
        <v>83</v>
      </c>
      <c r="DI597" s="12" t="s">
        <v>32</v>
      </c>
      <c r="DJ597" s="12" t="s">
        <v>81</v>
      </c>
      <c r="DK597" s="150" t="s">
        <v>282</v>
      </c>
    </row>
    <row r="598" spans="2:129" s="1" customFormat="1" ht="37.9" customHeight="1" x14ac:dyDescent="0.2">
      <c r="B598" s="124"/>
      <c r="C598" s="125" t="s">
        <v>2645</v>
      </c>
      <c r="D598" s="125" t="s">
        <v>284</v>
      </c>
      <c r="E598" s="126" t="s">
        <v>719</v>
      </c>
      <c r="F598" s="127" t="s">
        <v>720</v>
      </c>
      <c r="G598" s="128" t="s">
        <v>418</v>
      </c>
      <c r="H598" s="129">
        <v>77.885999999999996</v>
      </c>
      <c r="I598" s="130">
        <v>250.3439285</v>
      </c>
      <c r="J598" s="131">
        <f>ROUND(I598*H598,2)</f>
        <v>19498.29</v>
      </c>
      <c r="K598" s="127" t="s">
        <v>293</v>
      </c>
      <c r="L598" s="198">
        <f>S598</f>
        <v>0</v>
      </c>
      <c r="M598" s="206">
        <f>ROUND(L598*I598,2)</f>
        <v>0</v>
      </c>
      <c r="N598" s="211">
        <f>N600</f>
        <v>0.62308799999999565</v>
      </c>
      <c r="O598" s="212">
        <f>ROUND(N598*I598,2)</f>
        <v>155.99</v>
      </c>
      <c r="P598" s="207">
        <f>H598-L598-N598</f>
        <v>77.262912</v>
      </c>
      <c r="Q598" s="228">
        <f>ROUND(P598*I598,2)</f>
        <v>19342.3</v>
      </c>
      <c r="R598" s="199"/>
      <c r="S598" s="200">
        <f>W598+Y598+AA598+AC598+AE598+AG598+AI598+AK598+AM598+AO598+AQ598+AS598+AU598+AW598</f>
        <v>0</v>
      </c>
      <c r="T598" s="200">
        <f>ROUND(S598*I598,2)</f>
        <v>0</v>
      </c>
      <c r="U598" s="200">
        <f>H598-S598</f>
        <v>77.885999999999996</v>
      </c>
      <c r="V598" s="200">
        <f>ROUND(U598*I598,2)</f>
        <v>19498.29</v>
      </c>
      <c r="W598" s="200"/>
      <c r="X598" s="200"/>
      <c r="Y598" s="200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0"/>
      <c r="AP598" s="200"/>
      <c r="AQ598" s="200"/>
      <c r="AR598" s="200"/>
      <c r="AS598" s="200"/>
      <c r="AT598" s="200"/>
      <c r="AU598" s="200"/>
      <c r="AV598" s="200"/>
      <c r="AW598" s="200"/>
      <c r="AX598" s="200"/>
      <c r="BY598" s="132" t="s">
        <v>1</v>
      </c>
      <c r="BZ598" s="133" t="s">
        <v>40</v>
      </c>
      <c r="CB598" s="134">
        <f>CA598*H598</f>
        <v>0</v>
      </c>
      <c r="CC598" s="134">
        <v>0</v>
      </c>
      <c r="CD598" s="134">
        <f>CC598*H598</f>
        <v>0</v>
      </c>
      <c r="CE598" s="134">
        <v>0</v>
      </c>
      <c r="CF598" s="135">
        <f>CE598*H598</f>
        <v>0</v>
      </c>
      <c r="DD598" s="136" t="s">
        <v>95</v>
      </c>
      <c r="DF598" s="136" t="s">
        <v>284</v>
      </c>
      <c r="DG598" s="136" t="s">
        <v>83</v>
      </c>
      <c r="DK598" s="16" t="s">
        <v>282</v>
      </c>
      <c r="DQ598" s="137">
        <f>IF(BZ598="základní",J598,0)</f>
        <v>19498.29</v>
      </c>
      <c r="DR598" s="137">
        <f>IF(BZ598="snížená",J598,0)</f>
        <v>0</v>
      </c>
      <c r="DS598" s="137">
        <f>IF(BZ598="zákl. přenesená",J598,0)</f>
        <v>0</v>
      </c>
      <c r="DT598" s="137">
        <f>IF(BZ598="sníž. přenesená",J598,0)</f>
        <v>0</v>
      </c>
      <c r="DU598" s="137">
        <f>IF(BZ598="nulová",J598,0)</f>
        <v>0</v>
      </c>
      <c r="DV598" s="16" t="s">
        <v>81</v>
      </c>
      <c r="DW598" s="137">
        <f>ROUND(I598*H598,2)</f>
        <v>19498.29</v>
      </c>
      <c r="DX598" s="16" t="s">
        <v>95</v>
      </c>
      <c r="DY598" s="136" t="s">
        <v>721</v>
      </c>
    </row>
    <row r="599" spans="2:129" s="1" customFormat="1" ht="29.25" x14ac:dyDescent="0.2">
      <c r="B599" s="31"/>
      <c r="D599" s="138" t="s">
        <v>289</v>
      </c>
      <c r="F599" s="139" t="s">
        <v>720</v>
      </c>
      <c r="I599" s="140"/>
      <c r="L599" s="31"/>
      <c r="N599" s="213">
        <f>1.008*77.886</f>
        <v>78.509087999999991</v>
      </c>
      <c r="O599" s="214" t="s">
        <v>3961</v>
      </c>
      <c r="Q599" s="229"/>
      <c r="BY599" s="141"/>
      <c r="CF599" s="50"/>
      <c r="DF599" s="16" t="s">
        <v>289</v>
      </c>
      <c r="DG599" s="16" t="s">
        <v>83</v>
      </c>
    </row>
    <row r="600" spans="2:129" s="12" customFormat="1" x14ac:dyDescent="0.2">
      <c r="B600" s="149"/>
      <c r="D600" s="138" t="s">
        <v>301</v>
      </c>
      <c r="E600" s="150" t="s">
        <v>1</v>
      </c>
      <c r="F600" s="151" t="s">
        <v>2641</v>
      </c>
      <c r="H600" s="152">
        <v>77.885999999999996</v>
      </c>
      <c r="I600" s="153"/>
      <c r="L600" s="149"/>
      <c r="N600" s="310">
        <f>N599-H600</f>
        <v>0.62308799999999565</v>
      </c>
      <c r="O600" s="218"/>
      <c r="Q600" s="231"/>
      <c r="BY600" s="154"/>
      <c r="CF600" s="155"/>
      <c r="DF600" s="150" t="s">
        <v>301</v>
      </c>
      <c r="DG600" s="150" t="s">
        <v>83</v>
      </c>
      <c r="DH600" s="12" t="s">
        <v>83</v>
      </c>
      <c r="DI600" s="12" t="s">
        <v>32</v>
      </c>
      <c r="DJ600" s="12" t="s">
        <v>81</v>
      </c>
      <c r="DK600" s="150" t="s">
        <v>282</v>
      </c>
    </row>
    <row r="601" spans="2:129" s="10" customFormat="1" ht="22.9" customHeight="1" x14ac:dyDescent="0.2">
      <c r="B601" s="112"/>
      <c r="D601" s="113" t="s">
        <v>73</v>
      </c>
      <c r="E601" s="122" t="s">
        <v>722</v>
      </c>
      <c r="F601" s="122" t="s">
        <v>723</v>
      </c>
      <c r="I601" s="115"/>
      <c r="J601" s="123">
        <f>DW601</f>
        <v>102226.7</v>
      </c>
      <c r="L601" s="112"/>
      <c r="M601" s="202">
        <f>M602</f>
        <v>0</v>
      </c>
      <c r="N601" s="223"/>
      <c r="O601" s="224">
        <f t="shared" ref="O601:V601" si="9">O602</f>
        <v>817.81</v>
      </c>
      <c r="P601" s="202"/>
      <c r="Q601" s="234">
        <f t="shared" si="9"/>
        <v>101408.89</v>
      </c>
      <c r="R601" s="202"/>
      <c r="S601" s="202"/>
      <c r="T601" s="202">
        <f t="shared" si="9"/>
        <v>0</v>
      </c>
      <c r="U601" s="202"/>
      <c r="V601" s="202">
        <f t="shared" si="9"/>
        <v>102226.7</v>
      </c>
      <c r="BY601" s="117"/>
      <c r="CB601" s="118">
        <f>SUM(CB602:CB605)</f>
        <v>0</v>
      </c>
      <c r="CD601" s="118">
        <f>SUM(CD602:CD605)</f>
        <v>0</v>
      </c>
      <c r="CF601" s="119">
        <f>SUM(CF602:CF605)</f>
        <v>0</v>
      </c>
      <c r="DD601" s="113" t="s">
        <v>81</v>
      </c>
      <c r="DF601" s="120" t="s">
        <v>73</v>
      </c>
      <c r="DG601" s="120" t="s">
        <v>81</v>
      </c>
      <c r="DK601" s="113" t="s">
        <v>282</v>
      </c>
      <c r="DW601" s="121">
        <f>SUM(DW602:DW605)</f>
        <v>102226.7</v>
      </c>
    </row>
    <row r="602" spans="2:129" s="1" customFormat="1" ht="24.2" customHeight="1" x14ac:dyDescent="0.2">
      <c r="B602" s="124"/>
      <c r="C602" s="125" t="s">
        <v>2646</v>
      </c>
      <c r="D602" s="125" t="s">
        <v>284</v>
      </c>
      <c r="E602" s="126" t="s">
        <v>725</v>
      </c>
      <c r="F602" s="127" t="s">
        <v>726</v>
      </c>
      <c r="G602" s="128" t="s">
        <v>418</v>
      </c>
      <c r="H602" s="129">
        <v>112.985</v>
      </c>
      <c r="I602" s="130">
        <v>904.78117744148574</v>
      </c>
      <c r="J602" s="131">
        <f>ROUND(I602*H602,2)</f>
        <v>102226.7</v>
      </c>
      <c r="K602" s="127" t="s">
        <v>293</v>
      </c>
      <c r="L602" s="198">
        <f>S602</f>
        <v>0</v>
      </c>
      <c r="M602" s="206">
        <f>ROUND(L602*I602,2)</f>
        <v>0</v>
      </c>
      <c r="N602" s="211">
        <f>N604</f>
        <v>0.9038800000000009</v>
      </c>
      <c r="O602" s="212">
        <f>ROUND(N602*I602,2)</f>
        <v>817.81</v>
      </c>
      <c r="P602" s="207">
        <f>H602-L602-N602</f>
        <v>112.08112</v>
      </c>
      <c r="Q602" s="228">
        <f>ROUND(P602*I602,2)</f>
        <v>101408.89</v>
      </c>
      <c r="R602" s="199"/>
      <c r="S602" s="200">
        <f>W602+Y602+AA602+AC602+AE602+AG602+AI602+AK602+AM602+AO602+AQ602+AS602+AU602+AW602</f>
        <v>0</v>
      </c>
      <c r="T602" s="200">
        <f>ROUND(S602*I602,2)</f>
        <v>0</v>
      </c>
      <c r="U602" s="200">
        <f>H602-S602</f>
        <v>112.985</v>
      </c>
      <c r="V602" s="200">
        <f>ROUND(U602*I602,2)</f>
        <v>102226.7</v>
      </c>
      <c r="W602" s="200"/>
      <c r="X602" s="200"/>
      <c r="Y602" s="200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  <c r="AP602" s="200"/>
      <c r="AQ602" s="200"/>
      <c r="AR602" s="200"/>
      <c r="AS602" s="200"/>
      <c r="AT602" s="200"/>
      <c r="AU602" s="200"/>
      <c r="AV602" s="200"/>
      <c r="AW602" s="200"/>
      <c r="AX602" s="200"/>
      <c r="BY602" s="132" t="s">
        <v>1</v>
      </c>
      <c r="BZ602" s="133" t="s">
        <v>40</v>
      </c>
      <c r="CB602" s="134">
        <f>CA602*H602</f>
        <v>0</v>
      </c>
      <c r="CC602" s="134">
        <v>0</v>
      </c>
      <c r="CD602" s="134">
        <f>CC602*H602</f>
        <v>0</v>
      </c>
      <c r="CE602" s="134">
        <v>0</v>
      </c>
      <c r="CF602" s="135">
        <f>CE602*H602</f>
        <v>0</v>
      </c>
      <c r="DD602" s="136" t="s">
        <v>95</v>
      </c>
      <c r="DF602" s="136" t="s">
        <v>284</v>
      </c>
      <c r="DG602" s="136" t="s">
        <v>83</v>
      </c>
      <c r="DK602" s="16" t="s">
        <v>282</v>
      </c>
      <c r="DQ602" s="137">
        <f>IF(BZ602="základní",J602,0)</f>
        <v>102226.7</v>
      </c>
      <c r="DR602" s="137">
        <f>IF(BZ602="snížená",J602,0)</f>
        <v>0</v>
      </c>
      <c r="DS602" s="137">
        <f>IF(BZ602="zákl. přenesená",J602,0)</f>
        <v>0</v>
      </c>
      <c r="DT602" s="137">
        <f>IF(BZ602="sníž. přenesená",J602,0)</f>
        <v>0</v>
      </c>
      <c r="DU602" s="137">
        <f>IF(BZ602="nulová",J602,0)</f>
        <v>0</v>
      </c>
      <c r="DV602" s="16" t="s">
        <v>81</v>
      </c>
      <c r="DW602" s="137">
        <f>ROUND(I602*H602,2)</f>
        <v>102226.7</v>
      </c>
      <c r="DX602" s="16" t="s">
        <v>95</v>
      </c>
      <c r="DY602" s="136" t="s">
        <v>727</v>
      </c>
    </row>
    <row r="603" spans="2:129" s="1" customFormat="1" ht="29.25" x14ac:dyDescent="0.2">
      <c r="B603" s="31"/>
      <c r="D603" s="138" t="s">
        <v>289</v>
      </c>
      <c r="F603" s="139" t="s">
        <v>728</v>
      </c>
      <c r="I603" s="140"/>
      <c r="L603" s="31"/>
      <c r="N603" s="213">
        <f>1.008*112.985</f>
        <v>113.88888</v>
      </c>
      <c r="O603" s="214" t="s">
        <v>3962</v>
      </c>
      <c r="Q603" s="229"/>
      <c r="BY603" s="141"/>
      <c r="CF603" s="50"/>
      <c r="DF603" s="16" t="s">
        <v>289</v>
      </c>
      <c r="DG603" s="16" t="s">
        <v>83</v>
      </c>
    </row>
    <row r="604" spans="2:129" s="11" customFormat="1" x14ac:dyDescent="0.2">
      <c r="B604" s="143"/>
      <c r="D604" s="138" t="s">
        <v>301</v>
      </c>
      <c r="E604" s="144" t="s">
        <v>1</v>
      </c>
      <c r="F604" s="145" t="s">
        <v>729</v>
      </c>
      <c r="H604" s="144" t="s">
        <v>1</v>
      </c>
      <c r="I604" s="146"/>
      <c r="L604" s="143"/>
      <c r="N604" s="319">
        <f>N603-H605</f>
        <v>0.9038800000000009</v>
      </c>
      <c r="O604" s="216"/>
      <c r="Q604" s="230"/>
      <c r="BY604" s="147"/>
      <c r="CF604" s="148"/>
      <c r="DF604" s="144" t="s">
        <v>301</v>
      </c>
      <c r="DG604" s="144" t="s">
        <v>83</v>
      </c>
      <c r="DH604" s="11" t="s">
        <v>81</v>
      </c>
      <c r="DI604" s="11" t="s">
        <v>32</v>
      </c>
      <c r="DJ604" s="11" t="s">
        <v>74</v>
      </c>
      <c r="DK604" s="144" t="s">
        <v>282</v>
      </c>
    </row>
    <row r="605" spans="2:129" s="12" customFormat="1" x14ac:dyDescent="0.2">
      <c r="B605" s="149"/>
      <c r="D605" s="138" t="s">
        <v>301</v>
      </c>
      <c r="E605" s="150" t="s">
        <v>1</v>
      </c>
      <c r="F605" s="151" t="s">
        <v>2647</v>
      </c>
      <c r="H605" s="152">
        <v>112.985</v>
      </c>
      <c r="I605" s="153"/>
      <c r="L605" s="149"/>
      <c r="N605" s="217"/>
      <c r="O605" s="218"/>
      <c r="Q605" s="231"/>
      <c r="BY605" s="179"/>
      <c r="BZ605" s="180"/>
      <c r="CA605" s="180"/>
      <c r="CB605" s="180"/>
      <c r="CC605" s="180"/>
      <c r="CD605" s="180"/>
      <c r="CE605" s="180"/>
      <c r="CF605" s="181"/>
      <c r="DF605" s="150" t="s">
        <v>301</v>
      </c>
      <c r="DG605" s="150" t="s">
        <v>83</v>
      </c>
      <c r="DH605" s="12" t="s">
        <v>83</v>
      </c>
      <c r="DI605" s="12" t="s">
        <v>32</v>
      </c>
      <c r="DJ605" s="12" t="s">
        <v>81</v>
      </c>
      <c r="DK605" s="150" t="s">
        <v>282</v>
      </c>
    </row>
    <row r="606" spans="2:129" s="1" customFormat="1" ht="6.95" customHeight="1" thickBot="1" x14ac:dyDescent="0.25">
      <c r="B606" s="43"/>
      <c r="C606" s="44"/>
      <c r="D606" s="44"/>
      <c r="E606" s="44"/>
      <c r="F606" s="44"/>
      <c r="G606" s="44"/>
      <c r="H606" s="44"/>
      <c r="I606" s="44"/>
      <c r="J606" s="44"/>
      <c r="K606" s="44"/>
      <c r="L606" s="198"/>
      <c r="M606" s="206"/>
      <c r="N606" s="225"/>
      <c r="O606" s="226"/>
      <c r="P606" s="207"/>
      <c r="Q606" s="228"/>
      <c r="R606" s="199"/>
      <c r="S606" s="200"/>
      <c r="T606" s="200"/>
      <c r="U606" s="200"/>
      <c r="V606" s="200"/>
      <c r="W606" s="200"/>
      <c r="X606" s="200"/>
      <c r="Y606" s="200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0"/>
      <c r="AP606" s="200"/>
      <c r="AQ606" s="200"/>
      <c r="AR606" s="200"/>
      <c r="AS606" s="200"/>
      <c r="AT606" s="200"/>
      <c r="AU606" s="200"/>
      <c r="AV606" s="200"/>
      <c r="AW606" s="200"/>
      <c r="AX606" s="200"/>
    </row>
  </sheetData>
  <autoFilter ref="C124:K605"/>
  <mergeCells count="33">
    <mergeCell ref="AO125:AP125"/>
    <mergeCell ref="AQ125:AR125"/>
    <mergeCell ref="AS125:AT125"/>
    <mergeCell ref="AU125:AV125"/>
    <mergeCell ref="AW125:AX125"/>
    <mergeCell ref="AE125:AF125"/>
    <mergeCell ref="AG125:AH125"/>
    <mergeCell ref="AI125:AJ125"/>
    <mergeCell ref="AK125:AL125"/>
    <mergeCell ref="AM125:AN125"/>
    <mergeCell ref="U125:V125"/>
    <mergeCell ref="W125:X125"/>
    <mergeCell ref="Y125:Z125"/>
    <mergeCell ref="AA125:AB125"/>
    <mergeCell ref="AC125:AD125"/>
    <mergeCell ref="L124:Q124"/>
    <mergeCell ref="L125:M125"/>
    <mergeCell ref="N125:O125"/>
    <mergeCell ref="P125:Q125"/>
    <mergeCell ref="S125:T125"/>
    <mergeCell ref="H123:K123"/>
    <mergeCell ref="E117:H117"/>
    <mergeCell ref="L2:CH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U357"/>
  <sheetViews>
    <sheetView windowProtection="1" showGridLines="0" topLeftCell="A333" zoomScale="90" zoomScaleNormal="90" workbookViewId="0">
      <selection activeCell="P333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5" width="14.33203125" customWidth="1"/>
    <col min="16" max="17" width="14.33203125" hidden="1" customWidth="1"/>
    <col min="18" max="124" width="14.33203125" customWidth="1"/>
    <col min="125" max="125" width="10.83203125" customWidth="1"/>
    <col min="127" max="132" width="14.1640625" customWidth="1"/>
    <col min="133" max="133" width="16.33203125" customWidth="1"/>
    <col min="134" max="134" width="12.33203125" customWidth="1"/>
    <col min="135" max="135" width="16.33203125" customWidth="1"/>
    <col min="136" max="136" width="12.33203125" customWidth="1"/>
    <col min="137" max="137" width="15" customWidth="1"/>
    <col min="138" max="138" width="11" customWidth="1"/>
    <col min="139" max="139" width="15" customWidth="1"/>
    <col min="140" max="140" width="16.33203125" customWidth="1"/>
    <col min="141" max="141" width="11" customWidth="1"/>
    <col min="142" max="142" width="15" customWidth="1"/>
    <col min="143" max="143" width="16.33203125" customWidth="1"/>
    <col min="156" max="177" width="9.33203125" hidden="1"/>
  </cols>
  <sheetData>
    <row r="1" spans="2:158" hidden="1" x14ac:dyDescent="0.2"/>
    <row r="2" spans="2:158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8"/>
      <c r="DG2" s="398"/>
      <c r="DH2" s="398"/>
      <c r="DI2" s="398"/>
      <c r="DJ2" s="398"/>
      <c r="DK2" s="398"/>
      <c r="DL2" s="398"/>
      <c r="DM2" s="398"/>
      <c r="DN2" s="398"/>
      <c r="DO2" s="398"/>
      <c r="DP2" s="398"/>
      <c r="DQ2" s="398"/>
      <c r="DR2" s="398"/>
      <c r="DS2" s="398"/>
      <c r="DT2" s="398"/>
      <c r="DU2" s="399"/>
      <c r="DV2" s="399"/>
      <c r="DW2" s="399"/>
      <c r="DX2" s="399"/>
      <c r="DY2" s="399"/>
      <c r="DZ2" s="399"/>
      <c r="EA2" s="399"/>
      <c r="EB2" s="399"/>
      <c r="EC2" s="399"/>
      <c r="ED2" s="399"/>
      <c r="FB2" s="16" t="s">
        <v>199</v>
      </c>
    </row>
    <row r="3" spans="2:158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FB3" s="16" t="s">
        <v>83</v>
      </c>
    </row>
    <row r="4" spans="2:158" ht="24.95" hidden="1" customHeight="1" x14ac:dyDescent="0.2">
      <c r="B4" s="19"/>
      <c r="D4" s="20" t="s">
        <v>243</v>
      </c>
      <c r="L4" s="19"/>
      <c r="DU4" s="79" t="s">
        <v>10</v>
      </c>
      <c r="FB4" s="16" t="s">
        <v>3</v>
      </c>
    </row>
    <row r="5" spans="2:158" ht="6.95" hidden="1" customHeight="1" x14ac:dyDescent="0.2">
      <c r="B5" s="19"/>
      <c r="L5" s="19"/>
    </row>
    <row r="6" spans="2:158" ht="12" hidden="1" customHeight="1" x14ac:dyDescent="0.2">
      <c r="B6" s="19"/>
      <c r="D6" s="26" t="s">
        <v>16</v>
      </c>
      <c r="L6" s="19"/>
    </row>
    <row r="7" spans="2:158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58" ht="12.75" hidden="1" x14ac:dyDescent="0.2">
      <c r="B8" s="19"/>
      <c r="D8" s="26" t="s">
        <v>244</v>
      </c>
      <c r="L8" s="19"/>
    </row>
    <row r="9" spans="2:158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58" ht="12" hidden="1" customHeight="1" x14ac:dyDescent="0.2">
      <c r="B10" s="19"/>
      <c r="D10" s="26" t="s">
        <v>246</v>
      </c>
      <c r="L10" s="19"/>
    </row>
    <row r="11" spans="2:158" s="1" customFormat="1" ht="16.5" hidden="1" customHeight="1" x14ac:dyDescent="0.2">
      <c r="B11" s="31"/>
      <c r="E11" s="401" t="s">
        <v>2277</v>
      </c>
      <c r="F11" s="433"/>
      <c r="G11" s="433"/>
      <c r="H11" s="433"/>
      <c r="L11" s="31"/>
    </row>
    <row r="12" spans="2:158" s="1" customFormat="1" ht="12" hidden="1" customHeight="1" x14ac:dyDescent="0.2">
      <c r="B12" s="31"/>
      <c r="D12" s="26" t="s">
        <v>1790</v>
      </c>
      <c r="L12" s="31"/>
    </row>
    <row r="13" spans="2:158" s="1" customFormat="1" ht="16.5" hidden="1" customHeight="1" x14ac:dyDescent="0.2">
      <c r="B13" s="31"/>
      <c r="E13" s="432" t="s">
        <v>2648</v>
      </c>
      <c r="F13" s="433"/>
      <c r="G13" s="433"/>
      <c r="H13" s="433"/>
      <c r="L13" s="31"/>
    </row>
    <row r="14" spans="2:158" s="1" customFormat="1" hidden="1" x14ac:dyDescent="0.2">
      <c r="B14" s="31"/>
      <c r="L14" s="31"/>
    </row>
    <row r="15" spans="2:158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250</v>
      </c>
      <c r="L15" s="31"/>
    </row>
    <row r="16" spans="2:158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21.75" hidden="1" customHeight="1" x14ac:dyDescent="0.2">
      <c r="B17" s="31"/>
      <c r="D17" s="23" t="s">
        <v>251</v>
      </c>
      <c r="F17" s="81" t="s">
        <v>252</v>
      </c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ROUND(J121, 2)</f>
        <v>648313.32999999996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ROUND((SUM(FM121:FM356)),  2)</f>
        <v>648313.32999999996</v>
      </c>
      <c r="I37" s="84">
        <v>0.21</v>
      </c>
      <c r="J37" s="71">
        <f>ROUND(((SUM(FM121:FM356))*I37),  2)</f>
        <v>136145.79999999999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ROUND((SUM(FN121:FN356)),  2)</f>
        <v>0</v>
      </c>
      <c r="I38" s="84">
        <v>0.15</v>
      </c>
      <c r="J38" s="71">
        <f>ROUND(((SUM(FN121:FN356))*I38),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ROUND((SUM(FO121:FO356)),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ROUND((SUM(FP121:FP356)),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ROUND((SUM(FQ121:FQ356)),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784459.12999999989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s="1" customFormat="1" ht="14.45" hidden="1" customHeight="1" x14ac:dyDescent="0.2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  <c r="K49" s="41"/>
      <c r="L49" s="31"/>
    </row>
    <row r="50" spans="2:12" hidden="1" x14ac:dyDescent="0.2">
      <c r="B50" s="19"/>
      <c r="L50" s="19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s="1" customFormat="1" ht="12.75" hidden="1" x14ac:dyDescent="0.2">
      <c r="B60" s="31"/>
      <c r="D60" s="42" t="s">
        <v>50</v>
      </c>
      <c r="E60" s="33"/>
      <c r="F60" s="91" t="s">
        <v>51</v>
      </c>
      <c r="G60" s="42" t="s">
        <v>50</v>
      </c>
      <c r="H60" s="33"/>
      <c r="I60" s="33"/>
      <c r="J60" s="92" t="s">
        <v>51</v>
      </c>
      <c r="K60" s="33"/>
      <c r="L60" s="31"/>
    </row>
    <row r="61" spans="2:12" hidden="1" x14ac:dyDescent="0.2">
      <c r="B61" s="19"/>
      <c r="L61" s="19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s="1" customFormat="1" ht="12.75" hidden="1" x14ac:dyDescent="0.2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  <c r="K64" s="41"/>
      <c r="L64" s="31"/>
    </row>
    <row r="65" spans="2:12" hidden="1" x14ac:dyDescent="0.2">
      <c r="B65" s="19"/>
      <c r="L65" s="19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s="1" customFormat="1" ht="12.75" hidden="1" x14ac:dyDescent="0.2">
      <c r="B75" s="31"/>
      <c r="D75" s="42" t="s">
        <v>50</v>
      </c>
      <c r="E75" s="33"/>
      <c r="F75" s="91" t="s">
        <v>51</v>
      </c>
      <c r="G75" s="42" t="s">
        <v>50</v>
      </c>
      <c r="H75" s="33"/>
      <c r="I75" s="33"/>
      <c r="J75" s="92" t="s">
        <v>51</v>
      </c>
      <c r="K75" s="33"/>
      <c r="L75" s="31"/>
    </row>
    <row r="76" spans="2:12" s="1" customFormat="1" ht="14.45" hidden="1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1"/>
    </row>
    <row r="77" spans="2:12" hidden="1" x14ac:dyDescent="0.2"/>
    <row r="78" spans="2:12" hidden="1" x14ac:dyDescent="0.2"/>
    <row r="79" spans="2:12" hidden="1" x14ac:dyDescent="0.2"/>
    <row r="80" spans="2:12" s="1" customFormat="1" ht="6.95" hidden="1" customHeight="1" x14ac:dyDescent="0.2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1"/>
    </row>
    <row r="81" spans="2:12" s="1" customFormat="1" ht="24.95" hidden="1" customHeight="1" x14ac:dyDescent="0.2">
      <c r="B81" s="31"/>
      <c r="C81" s="20" t="s">
        <v>253</v>
      </c>
      <c r="L81" s="31"/>
    </row>
    <row r="82" spans="2:12" s="1" customFormat="1" ht="6.95" hidden="1" customHeight="1" x14ac:dyDescent="0.2">
      <c r="B82" s="31"/>
      <c r="L82" s="31"/>
    </row>
    <row r="83" spans="2:12" s="1" customFormat="1" ht="12" hidden="1" customHeight="1" x14ac:dyDescent="0.2">
      <c r="B83" s="31"/>
      <c r="C83" s="26" t="s">
        <v>16</v>
      </c>
      <c r="L83" s="31"/>
    </row>
    <row r="84" spans="2:12" s="1" customFormat="1" ht="16.5" hidden="1" customHeight="1" x14ac:dyDescent="0.2">
      <c r="B84" s="31"/>
      <c r="E84" s="434" t="str">
        <f>E7</f>
        <v>Kanalizace Podlesí - I.Etapa</v>
      </c>
      <c r="F84" s="435"/>
      <c r="G84" s="435"/>
      <c r="H84" s="435"/>
      <c r="L84" s="31"/>
    </row>
    <row r="85" spans="2:12" ht="12" hidden="1" customHeight="1" x14ac:dyDescent="0.2">
      <c r="B85" s="19"/>
      <c r="C85" s="26" t="s">
        <v>244</v>
      </c>
      <c r="L85" s="19"/>
    </row>
    <row r="86" spans="2:12" ht="16.5" hidden="1" customHeight="1" x14ac:dyDescent="0.2">
      <c r="B86" s="19"/>
      <c r="E86" s="434" t="s">
        <v>245</v>
      </c>
      <c r="F86" s="399"/>
      <c r="G86" s="399"/>
      <c r="H86" s="399"/>
      <c r="L86" s="19"/>
    </row>
    <row r="87" spans="2:12" ht="12" hidden="1" customHeight="1" x14ac:dyDescent="0.2">
      <c r="B87" s="19"/>
      <c r="C87" s="26" t="s">
        <v>246</v>
      </c>
      <c r="L87" s="19"/>
    </row>
    <row r="88" spans="2:12" s="1" customFormat="1" ht="16.5" hidden="1" customHeight="1" x14ac:dyDescent="0.2">
      <c r="B88" s="31"/>
      <c r="E88" s="401" t="s">
        <v>2277</v>
      </c>
      <c r="F88" s="433"/>
      <c r="G88" s="433"/>
      <c r="H88" s="433"/>
      <c r="L88" s="31"/>
    </row>
    <row r="89" spans="2:12" s="1" customFormat="1" ht="12" hidden="1" customHeight="1" x14ac:dyDescent="0.2">
      <c r="B89" s="31"/>
      <c r="C89" s="26" t="s">
        <v>1790</v>
      </c>
      <c r="L89" s="31"/>
    </row>
    <row r="90" spans="2:12" s="1" customFormat="1" ht="16.5" hidden="1" customHeight="1" x14ac:dyDescent="0.2">
      <c r="B90" s="31"/>
      <c r="E90" s="432" t="str">
        <f>E13</f>
        <v>0008 - DSO 11.8 Výtlak V11</v>
      </c>
      <c r="F90" s="433"/>
      <c r="G90" s="433"/>
      <c r="H90" s="433"/>
      <c r="L90" s="31"/>
    </row>
    <row r="91" spans="2:12" s="1" customFormat="1" ht="6.95" hidden="1" customHeight="1" x14ac:dyDescent="0.2">
      <c r="B91" s="31"/>
      <c r="L91" s="31"/>
    </row>
    <row r="92" spans="2:12" s="1" customFormat="1" ht="12" hidden="1" customHeight="1" x14ac:dyDescent="0.2">
      <c r="B92" s="31"/>
      <c r="C92" s="26" t="s">
        <v>20</v>
      </c>
      <c r="F92" s="24" t="str">
        <f>F16</f>
        <v xml:space="preserve"> </v>
      </c>
      <c r="I92" s="26" t="s">
        <v>22</v>
      </c>
      <c r="J92" s="48" t="str">
        <f>IF(J16="","",J16)</f>
        <v>18. 11. 2020</v>
      </c>
      <c r="L92" s="31"/>
    </row>
    <row r="93" spans="2:12" s="1" customFormat="1" ht="6.95" hidden="1" customHeight="1" x14ac:dyDescent="0.2">
      <c r="B93" s="31"/>
      <c r="L93" s="31"/>
    </row>
    <row r="94" spans="2:12" s="1" customFormat="1" ht="40.15" hidden="1" customHeight="1" x14ac:dyDescent="0.2">
      <c r="B94" s="31"/>
      <c r="C94" s="26" t="s">
        <v>24</v>
      </c>
      <c r="F94" s="24" t="str">
        <f>E19</f>
        <v>Město Petřvald</v>
      </c>
      <c r="I94" s="26" t="s">
        <v>30</v>
      </c>
      <c r="J94" s="29" t="str">
        <f>E25</f>
        <v>Sweco Hydroprojekt a.s., divize Morava</v>
      </c>
      <c r="L94" s="31"/>
    </row>
    <row r="95" spans="2:12" s="1" customFormat="1" ht="15.2" hidden="1" customHeight="1" x14ac:dyDescent="0.2">
      <c r="B95" s="31"/>
      <c r="C95" s="26" t="s">
        <v>28</v>
      </c>
      <c r="F95" s="24" t="str">
        <f>IF(E22="","",E22)</f>
        <v>Společnost Podlesí se sídlem Žitenická 871/1, 190 00 Praha 9</v>
      </c>
      <c r="I95" s="26" t="s">
        <v>33</v>
      </c>
      <c r="J95" s="29" t="str">
        <f>E28</f>
        <v xml:space="preserve"> </v>
      </c>
      <c r="L95" s="31"/>
    </row>
    <row r="96" spans="2:12" s="1" customFormat="1" ht="10.35" hidden="1" customHeight="1" x14ac:dyDescent="0.2">
      <c r="B96" s="31"/>
      <c r="L96" s="31"/>
    </row>
    <row r="97" spans="2:159" s="1" customFormat="1" ht="29.25" hidden="1" customHeight="1" x14ac:dyDescent="0.2">
      <c r="B97" s="31"/>
      <c r="C97" s="93" t="s">
        <v>254</v>
      </c>
      <c r="D97" s="85"/>
      <c r="E97" s="85"/>
      <c r="F97" s="85"/>
      <c r="G97" s="85"/>
      <c r="H97" s="85"/>
      <c r="I97" s="85"/>
      <c r="J97" s="94" t="s">
        <v>255</v>
      </c>
      <c r="K97" s="85"/>
      <c r="L97" s="31"/>
    </row>
    <row r="98" spans="2:159" s="1" customFormat="1" ht="10.35" hidden="1" customHeight="1" x14ac:dyDescent="0.2">
      <c r="B98" s="31"/>
      <c r="L98" s="31"/>
    </row>
    <row r="99" spans="2:159" s="1" customFormat="1" ht="22.9" hidden="1" customHeight="1" x14ac:dyDescent="0.2">
      <c r="B99" s="31"/>
      <c r="C99" s="95" t="s">
        <v>256</v>
      </c>
      <c r="J99" s="58">
        <f>J121</f>
        <v>648313.32999999996</v>
      </c>
      <c r="L99" s="31"/>
      <c r="FC99" s="16" t="s">
        <v>257</v>
      </c>
    </row>
    <row r="100" spans="2:159" s="7" customFormat="1" ht="24.95" hidden="1" customHeight="1" x14ac:dyDescent="0.2">
      <c r="B100" s="96"/>
      <c r="D100" s="97" t="s">
        <v>258</v>
      </c>
      <c r="E100" s="98"/>
      <c r="F100" s="98"/>
      <c r="G100" s="98"/>
      <c r="H100" s="98"/>
      <c r="I100" s="98"/>
      <c r="J100" s="99">
        <f>J122</f>
        <v>648313.32999999996</v>
      </c>
      <c r="L100" s="96"/>
    </row>
    <row r="101" spans="2:159" s="8" customFormat="1" ht="19.899999999999999" hidden="1" customHeight="1" x14ac:dyDescent="0.2">
      <c r="B101" s="100"/>
      <c r="D101" s="101" t="s">
        <v>259</v>
      </c>
      <c r="E101" s="102"/>
      <c r="F101" s="102"/>
      <c r="G101" s="102"/>
      <c r="H101" s="102"/>
      <c r="I101" s="102"/>
      <c r="J101" s="103">
        <f>J124</f>
        <v>402608.63</v>
      </c>
      <c r="L101" s="100"/>
    </row>
    <row r="102" spans="2:159" s="8" customFormat="1" ht="19.899999999999999" hidden="1" customHeight="1" x14ac:dyDescent="0.2">
      <c r="B102" s="100"/>
      <c r="D102" s="101" t="s">
        <v>260</v>
      </c>
      <c r="E102" s="102"/>
      <c r="F102" s="102"/>
      <c r="G102" s="102"/>
      <c r="H102" s="102"/>
      <c r="I102" s="102"/>
      <c r="J102" s="103">
        <f>J244</f>
        <v>22128.92</v>
      </c>
      <c r="L102" s="100"/>
    </row>
    <row r="103" spans="2:159" s="8" customFormat="1" ht="19.899999999999999" hidden="1" customHeight="1" x14ac:dyDescent="0.2">
      <c r="B103" s="100"/>
      <c r="D103" s="101" t="s">
        <v>261</v>
      </c>
      <c r="E103" s="102"/>
      <c r="F103" s="102"/>
      <c r="G103" s="102"/>
      <c r="H103" s="102"/>
      <c r="I103" s="102"/>
      <c r="J103" s="103">
        <f>J249</f>
        <v>10388.61</v>
      </c>
      <c r="L103" s="100"/>
    </row>
    <row r="104" spans="2:159" s="8" customFormat="1" ht="19.899999999999999" hidden="1" customHeight="1" x14ac:dyDescent="0.2">
      <c r="B104" s="100"/>
      <c r="D104" s="101" t="s">
        <v>262</v>
      </c>
      <c r="E104" s="102"/>
      <c r="F104" s="102"/>
      <c r="G104" s="102"/>
      <c r="H104" s="102"/>
      <c r="I104" s="102"/>
      <c r="J104" s="103">
        <f>J259</f>
        <v>84578.59</v>
      </c>
      <c r="L104" s="100"/>
    </row>
    <row r="105" spans="2:159" s="8" customFormat="1" ht="19.899999999999999" hidden="1" customHeight="1" x14ac:dyDescent="0.2">
      <c r="B105" s="100"/>
      <c r="D105" s="101" t="s">
        <v>263</v>
      </c>
      <c r="E105" s="102"/>
      <c r="F105" s="102"/>
      <c r="G105" s="102"/>
      <c r="H105" s="102"/>
      <c r="I105" s="102"/>
      <c r="J105" s="103">
        <f>J278</f>
        <v>67944.990000000005</v>
      </c>
      <c r="L105" s="100"/>
    </row>
    <row r="106" spans="2:159" s="8" customFormat="1" ht="19.899999999999999" hidden="1" customHeight="1" x14ac:dyDescent="0.2">
      <c r="B106" s="100"/>
      <c r="D106" s="101" t="s">
        <v>264</v>
      </c>
      <c r="E106" s="102"/>
      <c r="F106" s="102"/>
      <c r="G106" s="102"/>
      <c r="H106" s="102"/>
      <c r="I106" s="102"/>
      <c r="J106" s="103">
        <f>J326</f>
        <v>5114.96</v>
      </c>
      <c r="L106" s="100"/>
    </row>
    <row r="107" spans="2:159" s="8" customFormat="1" ht="19.899999999999999" hidden="1" customHeight="1" x14ac:dyDescent="0.2">
      <c r="B107" s="100"/>
      <c r="D107" s="101" t="s">
        <v>265</v>
      </c>
      <c r="E107" s="102"/>
      <c r="F107" s="102"/>
      <c r="G107" s="102"/>
      <c r="H107" s="102"/>
      <c r="I107" s="102"/>
      <c r="J107" s="103">
        <f>J332</f>
        <v>39483.339999999997</v>
      </c>
      <c r="L107" s="100"/>
    </row>
    <row r="108" spans="2:159" s="8" customFormat="1" ht="19.899999999999999" hidden="1" customHeight="1" x14ac:dyDescent="0.2">
      <c r="B108" s="100"/>
      <c r="D108" s="101" t="s">
        <v>266</v>
      </c>
      <c r="E108" s="102"/>
      <c r="F108" s="102"/>
      <c r="G108" s="102"/>
      <c r="H108" s="102"/>
      <c r="I108" s="102"/>
      <c r="J108" s="103">
        <f>J352</f>
        <v>16065.29</v>
      </c>
      <c r="L108" s="100"/>
    </row>
    <row r="109" spans="2:159" s="1" customFormat="1" ht="21.75" hidden="1" customHeight="1" x14ac:dyDescent="0.2">
      <c r="B109" s="31"/>
      <c r="L109" s="31"/>
    </row>
    <row r="110" spans="2:159" s="1" customFormat="1" ht="6.95" hidden="1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1" spans="2:159" hidden="1" x14ac:dyDescent="0.2"/>
    <row r="112" spans="2:159" hidden="1" x14ac:dyDescent="0.2"/>
    <row r="114" spans="2:177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77" s="1" customFormat="1" ht="24.95" customHeight="1" x14ac:dyDescent="0.2">
      <c r="B115" s="31"/>
      <c r="C115" s="20" t="s">
        <v>3330</v>
      </c>
      <c r="L115" s="31"/>
    </row>
    <row r="116" spans="2:177" s="1" customFormat="1" ht="6.95" customHeight="1" x14ac:dyDescent="0.2">
      <c r="B116" s="31"/>
      <c r="L116" s="31"/>
    </row>
    <row r="117" spans="2:177" s="1" customFormat="1" ht="16.5" customHeight="1" x14ac:dyDescent="0.2">
      <c r="B117" s="31"/>
      <c r="E117" s="432" t="str">
        <f>E13</f>
        <v>0008 - DSO 11.8 Výtlak V11</v>
      </c>
      <c r="F117" s="433"/>
      <c r="G117" s="433"/>
      <c r="H117" s="433"/>
      <c r="L117" s="31"/>
    </row>
    <row r="118" spans="2:177" s="1" customFormat="1" ht="15.2" customHeight="1" x14ac:dyDescent="0.2">
      <c r="B118" s="31"/>
      <c r="C118" s="26"/>
      <c r="F118" s="24"/>
      <c r="I118" s="26"/>
      <c r="J118" s="29"/>
      <c r="L118" s="31"/>
    </row>
    <row r="119" spans="2:177" s="1" customFormat="1" ht="23.25" customHeight="1" x14ac:dyDescent="0.2">
      <c r="B119" s="31"/>
      <c r="H119" s="430" t="s">
        <v>3305</v>
      </c>
      <c r="I119" s="430"/>
      <c r="J119" s="430"/>
      <c r="K119" s="431"/>
      <c r="L119" s="31"/>
    </row>
    <row r="120" spans="2:177" s="9" customFormat="1" ht="29.25" customHeight="1" thickBot="1" x14ac:dyDescent="0.25">
      <c r="B120" s="104"/>
      <c r="C120" s="105" t="s">
        <v>268</v>
      </c>
      <c r="D120" s="106" t="s">
        <v>59</v>
      </c>
      <c r="E120" s="106" t="s">
        <v>55</v>
      </c>
      <c r="F120" s="106" t="s">
        <v>56</v>
      </c>
      <c r="G120" s="106" t="s">
        <v>269</v>
      </c>
      <c r="H120" s="106" t="s">
        <v>270</v>
      </c>
      <c r="I120" s="106" t="s">
        <v>271</v>
      </c>
      <c r="J120" s="106" t="s">
        <v>255</v>
      </c>
      <c r="K120" s="107" t="s">
        <v>272</v>
      </c>
      <c r="L120" s="437" t="s">
        <v>3307</v>
      </c>
      <c r="M120" s="438"/>
      <c r="N120" s="438"/>
      <c r="O120" s="438"/>
      <c r="P120" s="438"/>
      <c r="Q120" s="439"/>
      <c r="DU120" s="52" t="s">
        <v>1</v>
      </c>
      <c r="DV120" s="53" t="s">
        <v>39</v>
      </c>
      <c r="DW120" s="53" t="s">
        <v>273</v>
      </c>
      <c r="DX120" s="53" t="s">
        <v>274</v>
      </c>
      <c r="DY120" s="53" t="s">
        <v>275</v>
      </c>
      <c r="DZ120" s="53" t="s">
        <v>276</v>
      </c>
      <c r="EA120" s="53" t="s">
        <v>277</v>
      </c>
      <c r="EB120" s="54" t="s">
        <v>278</v>
      </c>
    </row>
    <row r="121" spans="2:177" s="1" customFormat="1" ht="22.9" customHeight="1" x14ac:dyDescent="0.25">
      <c r="B121" s="31"/>
      <c r="C121" s="57" t="s">
        <v>279</v>
      </c>
      <c r="G121" s="1" t="s">
        <v>3306</v>
      </c>
      <c r="J121" s="108">
        <f>FS121</f>
        <v>648313.32999999996</v>
      </c>
      <c r="L121" s="440" t="s">
        <v>3308</v>
      </c>
      <c r="M121" s="441"/>
      <c r="N121" s="440" t="s">
        <v>3377</v>
      </c>
      <c r="O121" s="441"/>
      <c r="P121" s="440" t="s">
        <v>3309</v>
      </c>
      <c r="Q121" s="441"/>
      <c r="S121" s="442" t="s">
        <v>3312</v>
      </c>
      <c r="T121" s="443"/>
      <c r="U121" s="443" t="s">
        <v>3313</v>
      </c>
      <c r="V121" s="443"/>
      <c r="W121" s="444" t="s">
        <v>3318</v>
      </c>
      <c r="X121" s="444"/>
      <c r="Y121" s="444" t="s">
        <v>3319</v>
      </c>
      <c r="Z121" s="444"/>
      <c r="AA121" s="444" t="s">
        <v>3320</v>
      </c>
      <c r="AB121" s="444"/>
      <c r="AC121" s="444" t="s">
        <v>3321</v>
      </c>
      <c r="AD121" s="444"/>
      <c r="AE121" s="444" t="s">
        <v>3322</v>
      </c>
      <c r="AF121" s="444"/>
      <c r="AG121" s="444" t="s">
        <v>3323</v>
      </c>
      <c r="AH121" s="444"/>
      <c r="AI121" s="444" t="s">
        <v>3324</v>
      </c>
      <c r="AJ121" s="444"/>
      <c r="AK121" s="444" t="s">
        <v>3325</v>
      </c>
      <c r="AL121" s="444"/>
      <c r="AM121" s="444" t="s">
        <v>3326</v>
      </c>
      <c r="AN121" s="444"/>
      <c r="AO121" s="444" t="s">
        <v>3327</v>
      </c>
      <c r="AP121" s="445"/>
      <c r="DU121" s="55"/>
      <c r="DV121" s="49"/>
      <c r="DW121" s="49"/>
      <c r="DX121" s="109">
        <f>DX122</f>
        <v>0</v>
      </c>
      <c r="DY121" s="49"/>
      <c r="DZ121" s="109">
        <f>DZ122</f>
        <v>295.81119670000004</v>
      </c>
      <c r="EA121" s="49"/>
      <c r="EB121" s="110">
        <f>EB122</f>
        <v>105.41861</v>
      </c>
      <c r="FB121" s="16" t="s">
        <v>73</v>
      </c>
      <c r="FC121" s="16" t="s">
        <v>257</v>
      </c>
      <c r="FS121" s="111">
        <f>FS122</f>
        <v>648313.32999999996</v>
      </c>
    </row>
    <row r="122" spans="2:177" s="10" customFormat="1" ht="25.9" customHeight="1" thickBot="1" x14ac:dyDescent="0.25">
      <c r="B122" s="112"/>
      <c r="D122" s="113" t="s">
        <v>73</v>
      </c>
      <c r="E122" s="114" t="s">
        <v>280</v>
      </c>
      <c r="F122" s="114" t="s">
        <v>281</v>
      </c>
      <c r="G122" s="10" t="s">
        <v>3306</v>
      </c>
      <c r="I122" s="115"/>
      <c r="J122" s="116">
        <f>FS122</f>
        <v>648313.32999999996</v>
      </c>
      <c r="L122" s="190" t="s">
        <v>270</v>
      </c>
      <c r="M122" s="190" t="s">
        <v>3310</v>
      </c>
      <c r="N122" s="190" t="s">
        <v>270</v>
      </c>
      <c r="O122" s="190" t="s">
        <v>3310</v>
      </c>
      <c r="P122" s="190" t="s">
        <v>3311</v>
      </c>
      <c r="Q122" s="190" t="s">
        <v>3310</v>
      </c>
      <c r="S122" s="193" t="s">
        <v>270</v>
      </c>
      <c r="T122" s="194" t="s">
        <v>3310</v>
      </c>
      <c r="U122" s="194" t="s">
        <v>270</v>
      </c>
      <c r="V122" s="194" t="s">
        <v>3310</v>
      </c>
      <c r="W122" s="194" t="s">
        <v>270</v>
      </c>
      <c r="X122" s="194" t="s">
        <v>3328</v>
      </c>
      <c r="Y122" s="194" t="s">
        <v>270</v>
      </c>
      <c r="Z122" s="194" t="s">
        <v>3328</v>
      </c>
      <c r="AA122" s="194" t="s">
        <v>270</v>
      </c>
      <c r="AB122" s="194" t="s">
        <v>3328</v>
      </c>
      <c r="AC122" s="194" t="s">
        <v>270</v>
      </c>
      <c r="AD122" s="194" t="s">
        <v>3328</v>
      </c>
      <c r="AE122" s="194" t="s">
        <v>270</v>
      </c>
      <c r="AF122" s="194" t="s">
        <v>3328</v>
      </c>
      <c r="AG122" s="194" t="s">
        <v>270</v>
      </c>
      <c r="AH122" s="194" t="s">
        <v>3328</v>
      </c>
      <c r="AI122" s="194" t="s">
        <v>270</v>
      </c>
      <c r="AJ122" s="194" t="s">
        <v>3328</v>
      </c>
      <c r="AK122" s="194" t="s">
        <v>270</v>
      </c>
      <c r="AL122" s="194" t="s">
        <v>3328</v>
      </c>
      <c r="AM122" s="194" t="s">
        <v>270</v>
      </c>
      <c r="AN122" s="194" t="s">
        <v>3328</v>
      </c>
      <c r="AO122" s="194" t="s">
        <v>270</v>
      </c>
      <c r="AP122" s="195" t="s">
        <v>3328</v>
      </c>
      <c r="DU122" s="117"/>
      <c r="DX122" s="118">
        <f>DX124+DX244+DX249+DX259+DX278+DX326+DX332+DX352</f>
        <v>0</v>
      </c>
      <c r="DZ122" s="118">
        <f>DZ124+DZ244+DZ249+DZ259+DZ278+DZ326+DZ332+DZ352</f>
        <v>295.81119670000004</v>
      </c>
      <c r="EB122" s="119">
        <f>EB124+EB244+EB249+EB259+EB278+EB326+EB332+EB352</f>
        <v>105.41861</v>
      </c>
      <c r="EZ122" s="113" t="s">
        <v>81</v>
      </c>
      <c r="FB122" s="120" t="s">
        <v>73</v>
      </c>
      <c r="FC122" s="120" t="s">
        <v>74</v>
      </c>
      <c r="FG122" s="113" t="s">
        <v>282</v>
      </c>
      <c r="FS122" s="121">
        <f>FS124+FS244+FS249+FS259+FS278+FS326+FS332+FS352</f>
        <v>648313.32999999996</v>
      </c>
    </row>
    <row r="123" spans="2:177" s="10" customFormat="1" ht="25.9" customHeight="1" thickBot="1" x14ac:dyDescent="0.25">
      <c r="B123" s="112"/>
      <c r="D123" s="113"/>
      <c r="E123" s="114"/>
      <c r="F123" s="114"/>
      <c r="G123" s="10" t="s">
        <v>3306</v>
      </c>
      <c r="I123" s="115"/>
      <c r="J123" s="116" t="s">
        <v>3306</v>
      </c>
      <c r="L123" s="191"/>
      <c r="M123" s="192">
        <f>M124+M244+M249+M259+M278+M326+M332+M352</f>
        <v>0</v>
      </c>
      <c r="N123" s="208"/>
      <c r="O123" s="208">
        <f t="shared" ref="O123:Q123" si="0">O124+O244+O249+O259+O278+O326+O332+O352</f>
        <v>10021.790000000001</v>
      </c>
      <c r="P123" s="192"/>
      <c r="Q123" s="192">
        <f t="shared" si="0"/>
        <v>638291.52</v>
      </c>
      <c r="S123" s="196"/>
      <c r="T123" s="197">
        <f>T124+T244+T249+T259+T278+T326+T332+T352</f>
        <v>0</v>
      </c>
      <c r="U123" s="197"/>
      <c r="V123" s="197">
        <f t="shared" ref="V123:AP123" si="1">V124+V244+V249+V259+V278+V326+V332+V352</f>
        <v>648313.32999999996</v>
      </c>
      <c r="W123" s="197"/>
      <c r="X123" s="197">
        <f t="shared" si="1"/>
        <v>0</v>
      </c>
      <c r="Y123" s="197"/>
      <c r="Z123" s="197">
        <f t="shared" si="1"/>
        <v>0</v>
      </c>
      <c r="AA123" s="197"/>
      <c r="AB123" s="197">
        <f t="shared" si="1"/>
        <v>0</v>
      </c>
      <c r="AC123" s="197"/>
      <c r="AD123" s="197">
        <f t="shared" si="1"/>
        <v>0</v>
      </c>
      <c r="AE123" s="197"/>
      <c r="AF123" s="197">
        <f t="shared" si="1"/>
        <v>0</v>
      </c>
      <c r="AG123" s="197"/>
      <c r="AH123" s="197">
        <f t="shared" si="1"/>
        <v>0</v>
      </c>
      <c r="AI123" s="197"/>
      <c r="AJ123" s="197">
        <f t="shared" si="1"/>
        <v>0</v>
      </c>
      <c r="AK123" s="197"/>
      <c r="AL123" s="197">
        <f t="shared" si="1"/>
        <v>0</v>
      </c>
      <c r="AM123" s="197"/>
      <c r="AN123" s="197">
        <f t="shared" si="1"/>
        <v>0</v>
      </c>
      <c r="AO123" s="197"/>
      <c r="AP123" s="242">
        <f t="shared" si="1"/>
        <v>0</v>
      </c>
      <c r="DU123" s="117"/>
      <c r="DX123" s="118"/>
      <c r="DZ123" s="118"/>
      <c r="EB123" s="119"/>
      <c r="EZ123" s="113"/>
      <c r="FB123" s="120"/>
      <c r="FC123" s="120"/>
      <c r="FG123" s="113"/>
      <c r="FS123" s="121"/>
    </row>
    <row r="124" spans="2:177" s="10" customFormat="1" ht="22.9" customHeight="1" x14ac:dyDescent="0.2">
      <c r="B124" s="112"/>
      <c r="D124" s="113" t="s">
        <v>73</v>
      </c>
      <c r="E124" s="122" t="s">
        <v>81</v>
      </c>
      <c r="F124" s="122" t="s">
        <v>283</v>
      </c>
      <c r="G124" s="10" t="s">
        <v>3306</v>
      </c>
      <c r="I124" s="115"/>
      <c r="J124" s="123">
        <f>FS124</f>
        <v>402608.63</v>
      </c>
      <c r="L124" s="112"/>
      <c r="M124" s="270">
        <f>SUM(M125:M241)</f>
        <v>0</v>
      </c>
      <c r="N124" s="299"/>
      <c r="O124" s="300">
        <f t="shared" ref="O124:V124" si="2">SUM(O125:O241)</f>
        <v>8200.98</v>
      </c>
      <c r="P124" s="270"/>
      <c r="Q124" s="286">
        <f t="shared" si="2"/>
        <v>394407.66000000003</v>
      </c>
      <c r="R124" s="270"/>
      <c r="S124" s="270"/>
      <c r="T124" s="270">
        <f t="shared" si="2"/>
        <v>0</v>
      </c>
      <c r="U124" s="270"/>
      <c r="V124" s="270">
        <f t="shared" si="2"/>
        <v>402608.63</v>
      </c>
      <c r="DU124" s="117"/>
      <c r="DX124" s="118">
        <f>SUM(DX125:DX243)</f>
        <v>0</v>
      </c>
      <c r="DZ124" s="118">
        <f>SUM(DZ125:DZ243)</f>
        <v>278.33505650000001</v>
      </c>
      <c r="EB124" s="119">
        <f>SUM(EB125:EB243)</f>
        <v>105.41861</v>
      </c>
      <c r="EZ124" s="113" t="s">
        <v>81</v>
      </c>
      <c r="FB124" s="120" t="s">
        <v>73</v>
      </c>
      <c r="FC124" s="120" t="s">
        <v>81</v>
      </c>
      <c r="FG124" s="113" t="s">
        <v>282</v>
      </c>
      <c r="FS124" s="121">
        <f>SUM(FS125:FS243)</f>
        <v>402608.63</v>
      </c>
    </row>
    <row r="125" spans="2:177" s="1" customFormat="1" ht="24.2" customHeight="1" x14ac:dyDescent="0.2">
      <c r="B125" s="124"/>
      <c r="C125" s="125" t="s">
        <v>81</v>
      </c>
      <c r="D125" s="125" t="s">
        <v>284</v>
      </c>
      <c r="E125" s="126" t="s">
        <v>2279</v>
      </c>
      <c r="F125" s="127" t="s">
        <v>2280</v>
      </c>
      <c r="G125" s="128" t="s">
        <v>287</v>
      </c>
      <c r="H125" s="129">
        <v>75.42</v>
      </c>
      <c r="I125" s="130">
        <v>68.767172335543137</v>
      </c>
      <c r="J125" s="131">
        <f>ROUND(I125*H125,2)</f>
        <v>5186.42</v>
      </c>
      <c r="K125" s="127" t="s">
        <v>1</v>
      </c>
      <c r="L125" s="268">
        <f>S125</f>
        <v>0</v>
      </c>
      <c r="M125" s="272">
        <f>ROUND(L125*I125,2)</f>
        <v>0</v>
      </c>
      <c r="N125" s="243">
        <f>N129</f>
        <v>1.7189999999999941</v>
      </c>
      <c r="O125" s="294">
        <f>ROUND(N125*I125,2)</f>
        <v>118.21</v>
      </c>
      <c r="P125" s="273">
        <f>H125-L125-N125</f>
        <v>73.701000000000008</v>
      </c>
      <c r="Q125" s="287">
        <f>ROUND(P125*I125,2)</f>
        <v>5068.21</v>
      </c>
      <c r="R125" s="137"/>
      <c r="S125" s="269">
        <f>W125+Y125+AA125+AC125+AE125+AG125+AI125+AK125+AM125+AO125</f>
        <v>0</v>
      </c>
      <c r="T125" s="269">
        <f>ROUND(S125*I125,2)</f>
        <v>0</v>
      </c>
      <c r="U125" s="269">
        <f>H125-S125</f>
        <v>75.42</v>
      </c>
      <c r="V125" s="269">
        <f>ROUND(U125*I125,2)</f>
        <v>5186.42</v>
      </c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DU125" s="132" t="s">
        <v>1</v>
      </c>
      <c r="DV125" s="133" t="s">
        <v>40</v>
      </c>
      <c r="DX125" s="134">
        <f>DW125*H125</f>
        <v>0</v>
      </c>
      <c r="DY125" s="134">
        <v>0</v>
      </c>
      <c r="DZ125" s="134">
        <f>DY125*H125</f>
        <v>0</v>
      </c>
      <c r="EA125" s="134">
        <v>0.57999999999999996</v>
      </c>
      <c r="EB125" s="135">
        <f>EA125*H125</f>
        <v>43.743600000000001</v>
      </c>
      <c r="EZ125" s="136" t="s">
        <v>95</v>
      </c>
      <c r="FB125" s="136" t="s">
        <v>284</v>
      </c>
      <c r="FC125" s="136" t="s">
        <v>83</v>
      </c>
      <c r="FG125" s="16" t="s">
        <v>282</v>
      </c>
      <c r="FM125" s="137">
        <f>IF(DV125="základní",J125,0)</f>
        <v>5186.42</v>
      </c>
      <c r="FN125" s="137">
        <f>IF(DV125="snížená",J125,0)</f>
        <v>0</v>
      </c>
      <c r="FO125" s="137">
        <f>IF(DV125="zákl. přenesená",J125,0)</f>
        <v>0</v>
      </c>
      <c r="FP125" s="137">
        <f>IF(DV125="sníž. přenesená",J125,0)</f>
        <v>0</v>
      </c>
      <c r="FQ125" s="137">
        <f>IF(DV125="nulová",J125,0)</f>
        <v>0</v>
      </c>
      <c r="FR125" s="16" t="s">
        <v>81</v>
      </c>
      <c r="FS125" s="137">
        <f>ROUND(I125*H125,2)</f>
        <v>5186.42</v>
      </c>
      <c r="FT125" s="16" t="s">
        <v>95</v>
      </c>
      <c r="FU125" s="136" t="s">
        <v>2281</v>
      </c>
    </row>
    <row r="126" spans="2:177" s="1" customFormat="1" ht="39" x14ac:dyDescent="0.2">
      <c r="B126" s="31"/>
      <c r="D126" s="138" t="s">
        <v>289</v>
      </c>
      <c r="F126" s="139" t="s">
        <v>290</v>
      </c>
      <c r="I126" s="140"/>
      <c r="L126" s="31"/>
      <c r="N126" s="213"/>
      <c r="O126" s="214"/>
      <c r="Q126" s="229"/>
      <c r="DU126" s="141"/>
      <c r="EB126" s="50"/>
      <c r="FB126" s="16" t="s">
        <v>289</v>
      </c>
      <c r="FC126" s="16" t="s">
        <v>83</v>
      </c>
    </row>
    <row r="127" spans="2:177" s="1" customFormat="1" ht="29.25" x14ac:dyDescent="0.2">
      <c r="B127" s="31"/>
      <c r="D127" s="138" t="s">
        <v>299</v>
      </c>
      <c r="F127" s="142" t="s">
        <v>2649</v>
      </c>
      <c r="I127" s="140"/>
      <c r="L127" s="31"/>
      <c r="N127" s="213"/>
      <c r="O127" s="214"/>
      <c r="Q127" s="229"/>
      <c r="DU127" s="141"/>
      <c r="EB127" s="50"/>
      <c r="FB127" s="16" t="s">
        <v>299</v>
      </c>
      <c r="FC127" s="16" t="s">
        <v>83</v>
      </c>
    </row>
    <row r="128" spans="2:177" s="12" customFormat="1" x14ac:dyDescent="0.2">
      <c r="B128" s="149"/>
      <c r="D128" s="138" t="s">
        <v>301</v>
      </c>
      <c r="E128" s="150" t="s">
        <v>1</v>
      </c>
      <c r="F128" s="151" t="s">
        <v>2650</v>
      </c>
      <c r="H128" s="152">
        <v>75.42</v>
      </c>
      <c r="I128" s="153"/>
      <c r="L128" s="149"/>
      <c r="N128" s="217">
        <f>85.71*0.9</f>
        <v>77.138999999999996</v>
      </c>
      <c r="O128" s="218" t="s">
        <v>3613</v>
      </c>
      <c r="Q128" s="231"/>
      <c r="DU128" s="154"/>
      <c r="EB128" s="155"/>
      <c r="FB128" s="150" t="s">
        <v>301</v>
      </c>
      <c r="FC128" s="150" t="s">
        <v>83</v>
      </c>
      <c r="FD128" s="12" t="s">
        <v>83</v>
      </c>
      <c r="FE128" s="12" t="s">
        <v>32</v>
      </c>
      <c r="FF128" s="12" t="s">
        <v>81</v>
      </c>
      <c r="FG128" s="150" t="s">
        <v>282</v>
      </c>
    </row>
    <row r="129" spans="2:177" s="12" customFormat="1" x14ac:dyDescent="0.2">
      <c r="B129" s="149"/>
      <c r="D129" s="138"/>
      <c r="E129" s="150"/>
      <c r="F129" s="151"/>
      <c r="H129" s="152"/>
      <c r="I129" s="153"/>
      <c r="L129" s="149"/>
      <c r="N129" s="310">
        <f>N128-H128</f>
        <v>1.7189999999999941</v>
      </c>
      <c r="O129" s="218"/>
      <c r="Q129" s="231"/>
      <c r="DU129" s="154"/>
      <c r="EB129" s="155"/>
      <c r="FB129" s="150"/>
      <c r="FC129" s="150"/>
      <c r="FG129" s="150"/>
    </row>
    <row r="130" spans="2:177" s="1" customFormat="1" ht="24.2" customHeight="1" x14ac:dyDescent="0.2">
      <c r="B130" s="124"/>
      <c r="C130" s="125" t="s">
        <v>83</v>
      </c>
      <c r="D130" s="125" t="s">
        <v>284</v>
      </c>
      <c r="E130" s="126" t="s">
        <v>285</v>
      </c>
      <c r="F130" s="127" t="s">
        <v>2284</v>
      </c>
      <c r="G130" s="128" t="s">
        <v>287</v>
      </c>
      <c r="H130" s="129">
        <v>21</v>
      </c>
      <c r="I130" s="130">
        <v>68.767172335543137</v>
      </c>
      <c r="J130" s="131">
        <f>ROUND(I130*H130,2)</f>
        <v>1444.11</v>
      </c>
      <c r="K130" s="127" t="s">
        <v>1</v>
      </c>
      <c r="L130" s="268">
        <f>S130</f>
        <v>0</v>
      </c>
      <c r="M130" s="272">
        <f>ROUND(L130*I130,2)</f>
        <v>0</v>
      </c>
      <c r="N130" s="243">
        <f>N134</f>
        <v>1.152000000000001</v>
      </c>
      <c r="O130" s="294">
        <f>ROUND(N130*I130,2)</f>
        <v>79.22</v>
      </c>
      <c r="P130" s="273">
        <f>H130-L130-N130</f>
        <v>19.847999999999999</v>
      </c>
      <c r="Q130" s="287">
        <f>ROUND(P130*I130,2)</f>
        <v>1364.89</v>
      </c>
      <c r="R130" s="137"/>
      <c r="S130" s="269">
        <f>W130+Y130+AA130+AC130+AE130+AG130+AI130+AK130+AM130+AO130</f>
        <v>0</v>
      </c>
      <c r="T130" s="269">
        <f>ROUND(S130*I130,2)</f>
        <v>0</v>
      </c>
      <c r="U130" s="269">
        <f>H130-S130</f>
        <v>21</v>
      </c>
      <c r="V130" s="269">
        <f>ROUND(U130*I130,2)</f>
        <v>1444.11</v>
      </c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DU130" s="132" t="s">
        <v>1</v>
      </c>
      <c r="DV130" s="133" t="s">
        <v>40</v>
      </c>
      <c r="DX130" s="134">
        <f>DW130*H130</f>
        <v>0</v>
      </c>
      <c r="DY130" s="134">
        <v>0</v>
      </c>
      <c r="DZ130" s="134">
        <f>DY130*H130</f>
        <v>0</v>
      </c>
      <c r="EA130" s="134">
        <v>0.57999999999999996</v>
      </c>
      <c r="EB130" s="135">
        <f>EA130*H130</f>
        <v>12.18</v>
      </c>
      <c r="EZ130" s="136" t="s">
        <v>95</v>
      </c>
      <c r="FB130" s="136" t="s">
        <v>284</v>
      </c>
      <c r="FC130" s="136" t="s">
        <v>83</v>
      </c>
      <c r="FG130" s="16" t="s">
        <v>282</v>
      </c>
      <c r="FM130" s="137">
        <f>IF(DV130="základní",J130,0)</f>
        <v>1444.11</v>
      </c>
      <c r="FN130" s="137">
        <f>IF(DV130="snížená",J130,0)</f>
        <v>0</v>
      </c>
      <c r="FO130" s="137">
        <f>IF(DV130="zákl. přenesená",J130,0)</f>
        <v>0</v>
      </c>
      <c r="FP130" s="137">
        <f>IF(DV130="sníž. přenesená",J130,0)</f>
        <v>0</v>
      </c>
      <c r="FQ130" s="137">
        <f>IF(DV130="nulová",J130,0)</f>
        <v>0</v>
      </c>
      <c r="FR130" s="16" t="s">
        <v>81</v>
      </c>
      <c r="FS130" s="137">
        <f>ROUND(I130*H130,2)</f>
        <v>1444.11</v>
      </c>
      <c r="FT130" s="16" t="s">
        <v>95</v>
      </c>
      <c r="FU130" s="136" t="s">
        <v>2285</v>
      </c>
    </row>
    <row r="131" spans="2:177" s="1" customFormat="1" ht="39" x14ac:dyDescent="0.2">
      <c r="B131" s="31"/>
      <c r="D131" s="138" t="s">
        <v>289</v>
      </c>
      <c r="F131" s="139" t="s">
        <v>290</v>
      </c>
      <c r="I131" s="140"/>
      <c r="L131" s="31"/>
      <c r="N131" s="213"/>
      <c r="O131" s="214"/>
      <c r="Q131" s="229"/>
      <c r="DU131" s="141"/>
      <c r="EB131" s="50"/>
      <c r="FB131" s="16" t="s">
        <v>289</v>
      </c>
      <c r="FC131" s="16" t="s">
        <v>83</v>
      </c>
    </row>
    <row r="132" spans="2:177" s="1" customFormat="1" ht="29.25" x14ac:dyDescent="0.2">
      <c r="B132" s="31"/>
      <c r="D132" s="138" t="s">
        <v>299</v>
      </c>
      <c r="F132" s="142" t="s">
        <v>2649</v>
      </c>
      <c r="I132" s="140"/>
      <c r="L132" s="31"/>
      <c r="N132" s="213"/>
      <c r="O132" s="214"/>
      <c r="Q132" s="229"/>
      <c r="DU132" s="141"/>
      <c r="EB132" s="50"/>
      <c r="FB132" s="16" t="s">
        <v>299</v>
      </c>
      <c r="FC132" s="16" t="s">
        <v>83</v>
      </c>
    </row>
    <row r="133" spans="2:177" s="12" customFormat="1" x14ac:dyDescent="0.2">
      <c r="B133" s="149"/>
      <c r="D133" s="138" t="s">
        <v>301</v>
      </c>
      <c r="E133" s="150" t="s">
        <v>1</v>
      </c>
      <c r="F133" s="151" t="s">
        <v>2651</v>
      </c>
      <c r="H133" s="152">
        <v>21</v>
      </c>
      <c r="I133" s="153"/>
      <c r="L133" s="149"/>
      <c r="N133" s="217">
        <f>55.38*(0.9-0.5)</f>
        <v>22.152000000000001</v>
      </c>
      <c r="O133" s="218" t="s">
        <v>3614</v>
      </c>
      <c r="Q133" s="231"/>
      <c r="DU133" s="154"/>
      <c r="EB133" s="155"/>
      <c r="FB133" s="150" t="s">
        <v>301</v>
      </c>
      <c r="FC133" s="150" t="s">
        <v>83</v>
      </c>
      <c r="FD133" s="12" t="s">
        <v>83</v>
      </c>
      <c r="FE133" s="12" t="s">
        <v>32</v>
      </c>
      <c r="FF133" s="12" t="s">
        <v>81</v>
      </c>
      <c r="FG133" s="150" t="s">
        <v>282</v>
      </c>
    </row>
    <row r="134" spans="2:177" s="12" customFormat="1" x14ac:dyDescent="0.2">
      <c r="B134" s="149"/>
      <c r="D134" s="138"/>
      <c r="E134" s="150"/>
      <c r="F134" s="151"/>
      <c r="H134" s="152"/>
      <c r="I134" s="153"/>
      <c r="L134" s="149"/>
      <c r="N134" s="310">
        <f>N133-H133</f>
        <v>1.152000000000001</v>
      </c>
      <c r="O134" s="218"/>
      <c r="Q134" s="231"/>
      <c r="DU134" s="154"/>
      <c r="EB134" s="155"/>
      <c r="FB134" s="150"/>
      <c r="FC134" s="150"/>
      <c r="FG134" s="150"/>
    </row>
    <row r="135" spans="2:177" s="1" customFormat="1" ht="24.2" customHeight="1" x14ac:dyDescent="0.2">
      <c r="B135" s="124"/>
      <c r="C135" s="125" t="s">
        <v>90</v>
      </c>
      <c r="D135" s="125" t="s">
        <v>284</v>
      </c>
      <c r="E135" s="126" t="s">
        <v>291</v>
      </c>
      <c r="F135" s="127" t="s">
        <v>292</v>
      </c>
      <c r="G135" s="128" t="s">
        <v>287</v>
      </c>
      <c r="H135" s="129">
        <v>54.42</v>
      </c>
      <c r="I135" s="130">
        <v>68.767172335543137</v>
      </c>
      <c r="J135" s="131">
        <f>ROUND(I135*H135,2)</f>
        <v>3742.31</v>
      </c>
      <c r="K135" s="127" t="s">
        <v>293</v>
      </c>
      <c r="L135" s="268">
        <f>S135</f>
        <v>0</v>
      </c>
      <c r="M135" s="272">
        <f>ROUND(L135*I135,2)</f>
        <v>0</v>
      </c>
      <c r="N135" s="243">
        <f>N137</f>
        <v>0.56700000000000017</v>
      </c>
      <c r="O135" s="294">
        <f>ROUND(N135*I135,2)</f>
        <v>38.99</v>
      </c>
      <c r="P135" s="273">
        <f>H135-L135-N135</f>
        <v>53.853000000000002</v>
      </c>
      <c r="Q135" s="287">
        <f>ROUND(P135*I135,2)</f>
        <v>3703.32</v>
      </c>
      <c r="R135" s="137"/>
      <c r="S135" s="269">
        <f>W135+Y135+AA135+AC135+AE135+AG135+AI135+AK135+AM135+AO135</f>
        <v>0</v>
      </c>
      <c r="T135" s="269">
        <f>ROUND(S135*I135,2)</f>
        <v>0</v>
      </c>
      <c r="U135" s="269">
        <f>H135-S135</f>
        <v>54.42</v>
      </c>
      <c r="V135" s="269">
        <f>ROUND(U135*I135,2)</f>
        <v>3742.31</v>
      </c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DU135" s="132" t="s">
        <v>1</v>
      </c>
      <c r="DV135" s="133" t="s">
        <v>40</v>
      </c>
      <c r="DX135" s="134">
        <f>DW135*H135</f>
        <v>0</v>
      </c>
      <c r="DY135" s="134">
        <v>0</v>
      </c>
      <c r="DZ135" s="134">
        <f>DY135*H135</f>
        <v>0</v>
      </c>
      <c r="EA135" s="134">
        <v>0.57999999999999996</v>
      </c>
      <c r="EB135" s="135">
        <f>EA135*H135</f>
        <v>31.563599999999997</v>
      </c>
      <c r="EZ135" s="136" t="s">
        <v>95</v>
      </c>
      <c r="FB135" s="136" t="s">
        <v>284</v>
      </c>
      <c r="FC135" s="136" t="s">
        <v>83</v>
      </c>
      <c r="FG135" s="16" t="s">
        <v>282</v>
      </c>
      <c r="FM135" s="137">
        <f>IF(DV135="základní",J135,0)</f>
        <v>3742.31</v>
      </c>
      <c r="FN135" s="137">
        <f>IF(DV135="snížená",J135,0)</f>
        <v>0</v>
      </c>
      <c r="FO135" s="137">
        <f>IF(DV135="zákl. přenesená",J135,0)</f>
        <v>0</v>
      </c>
      <c r="FP135" s="137">
        <f>IF(DV135="sníž. přenesená",J135,0)</f>
        <v>0</v>
      </c>
      <c r="FQ135" s="137">
        <f>IF(DV135="nulová",J135,0)</f>
        <v>0</v>
      </c>
      <c r="FR135" s="16" t="s">
        <v>81</v>
      </c>
      <c r="FS135" s="137">
        <f>ROUND(I135*H135,2)</f>
        <v>3742.31</v>
      </c>
      <c r="FT135" s="16" t="s">
        <v>95</v>
      </c>
      <c r="FU135" s="136" t="s">
        <v>294</v>
      </c>
    </row>
    <row r="136" spans="2:177" s="1" customFormat="1" ht="39" x14ac:dyDescent="0.2">
      <c r="B136" s="31"/>
      <c r="D136" s="138" t="s">
        <v>289</v>
      </c>
      <c r="F136" s="139" t="s">
        <v>290</v>
      </c>
      <c r="I136" s="140"/>
      <c r="L136" s="31"/>
      <c r="N136" s="213"/>
      <c r="O136" s="214"/>
      <c r="Q136" s="229"/>
      <c r="DU136" s="141"/>
      <c r="EB136" s="50"/>
      <c r="FB136" s="16" t="s">
        <v>289</v>
      </c>
      <c r="FC136" s="16" t="s">
        <v>83</v>
      </c>
    </row>
    <row r="137" spans="2:177" s="1" customFormat="1" ht="24.2" customHeight="1" x14ac:dyDescent="0.2">
      <c r="B137" s="124"/>
      <c r="C137" s="125" t="s">
        <v>95</v>
      </c>
      <c r="D137" s="125" t="s">
        <v>284</v>
      </c>
      <c r="E137" s="126" t="s">
        <v>295</v>
      </c>
      <c r="F137" s="127" t="s">
        <v>732</v>
      </c>
      <c r="G137" s="128" t="s">
        <v>287</v>
      </c>
      <c r="H137" s="129">
        <v>54.42</v>
      </c>
      <c r="I137" s="130">
        <v>27.886826761540966</v>
      </c>
      <c r="J137" s="131">
        <f>ROUND(I137*H137,2)</f>
        <v>1517.6</v>
      </c>
      <c r="K137" s="127" t="s">
        <v>293</v>
      </c>
      <c r="L137" s="268">
        <f>S137</f>
        <v>0</v>
      </c>
      <c r="M137" s="272">
        <f>ROUND(L137*I137,2)</f>
        <v>0</v>
      </c>
      <c r="N137" s="243">
        <f>N144</f>
        <v>0.56700000000000017</v>
      </c>
      <c r="O137" s="294">
        <f>ROUND(N137*I137,2)</f>
        <v>15.81</v>
      </c>
      <c r="P137" s="273">
        <f>H137-L137-N137</f>
        <v>53.853000000000002</v>
      </c>
      <c r="Q137" s="287">
        <f>ROUND(P137*I137,2)</f>
        <v>1501.79</v>
      </c>
      <c r="R137" s="137"/>
      <c r="S137" s="269">
        <f>W137+Y137+AA137+AC137+AE137+AG137+AI137+AK137+AM137+AO137</f>
        <v>0</v>
      </c>
      <c r="T137" s="269">
        <f>ROUND(S137*I137,2)</f>
        <v>0</v>
      </c>
      <c r="U137" s="269">
        <f>H137-S137</f>
        <v>54.42</v>
      </c>
      <c r="V137" s="269">
        <f>ROUND(U137*I137,2)</f>
        <v>1517.6</v>
      </c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DU137" s="132" t="s">
        <v>1</v>
      </c>
      <c r="DV137" s="133" t="s">
        <v>40</v>
      </c>
      <c r="DX137" s="134">
        <f>DW137*H137</f>
        <v>0</v>
      </c>
      <c r="DY137" s="134">
        <v>0</v>
      </c>
      <c r="DZ137" s="134">
        <f>DY137*H137</f>
        <v>0</v>
      </c>
      <c r="EA137" s="134">
        <v>9.8000000000000004E-2</v>
      </c>
      <c r="EB137" s="135">
        <f>EA137*H137</f>
        <v>5.3331600000000003</v>
      </c>
      <c r="EZ137" s="136" t="s">
        <v>95</v>
      </c>
      <c r="FB137" s="136" t="s">
        <v>284</v>
      </c>
      <c r="FC137" s="136" t="s">
        <v>83</v>
      </c>
      <c r="FG137" s="16" t="s">
        <v>282</v>
      </c>
      <c r="FM137" s="137">
        <f>IF(DV137="základní",J137,0)</f>
        <v>1517.6</v>
      </c>
      <c r="FN137" s="137">
        <f>IF(DV137="snížená",J137,0)</f>
        <v>0</v>
      </c>
      <c r="FO137" s="137">
        <f>IF(DV137="zákl. přenesená",J137,0)</f>
        <v>0</v>
      </c>
      <c r="FP137" s="137">
        <f>IF(DV137="sníž. přenesená",J137,0)</f>
        <v>0</v>
      </c>
      <c r="FQ137" s="137">
        <f>IF(DV137="nulová",J137,0)</f>
        <v>0</v>
      </c>
      <c r="FR137" s="16" t="s">
        <v>81</v>
      </c>
      <c r="FS137" s="137">
        <f>ROUND(I137*H137,2)</f>
        <v>1517.6</v>
      </c>
      <c r="FT137" s="16" t="s">
        <v>95</v>
      </c>
      <c r="FU137" s="136" t="s">
        <v>297</v>
      </c>
    </row>
    <row r="138" spans="2:177" s="1" customFormat="1" ht="29.25" x14ac:dyDescent="0.2">
      <c r="B138" s="31"/>
      <c r="D138" s="138" t="s">
        <v>289</v>
      </c>
      <c r="F138" s="139" t="s">
        <v>298</v>
      </c>
      <c r="I138" s="140"/>
      <c r="L138" s="31"/>
      <c r="N138" s="213"/>
      <c r="O138" s="214"/>
      <c r="Q138" s="229"/>
      <c r="DU138" s="141"/>
      <c r="EB138" s="50"/>
      <c r="FB138" s="16" t="s">
        <v>289</v>
      </c>
      <c r="FC138" s="16" t="s">
        <v>83</v>
      </c>
    </row>
    <row r="139" spans="2:177" s="1" customFormat="1" ht="29.25" x14ac:dyDescent="0.2">
      <c r="B139" s="31"/>
      <c r="D139" s="138" t="s">
        <v>299</v>
      </c>
      <c r="F139" s="142" t="s">
        <v>2649</v>
      </c>
      <c r="I139" s="140"/>
      <c r="L139" s="31"/>
      <c r="N139" s="213"/>
      <c r="O139" s="214"/>
      <c r="Q139" s="229"/>
      <c r="DU139" s="141"/>
      <c r="EB139" s="50"/>
      <c r="FB139" s="16" t="s">
        <v>299</v>
      </c>
      <c r="FC139" s="16" t="s">
        <v>83</v>
      </c>
    </row>
    <row r="140" spans="2:177" s="11" customFormat="1" x14ac:dyDescent="0.2">
      <c r="B140" s="143"/>
      <c r="D140" s="138" t="s">
        <v>301</v>
      </c>
      <c r="E140" s="144" t="s">
        <v>1</v>
      </c>
      <c r="F140" s="145" t="s">
        <v>302</v>
      </c>
      <c r="H140" s="144" t="s">
        <v>1</v>
      </c>
      <c r="I140" s="146"/>
      <c r="L140" s="143"/>
      <c r="N140" s="215"/>
      <c r="O140" s="216"/>
      <c r="Q140" s="230"/>
      <c r="DU140" s="147"/>
      <c r="EB140" s="148"/>
      <c r="FB140" s="144" t="s">
        <v>301</v>
      </c>
      <c r="FC140" s="144" t="s">
        <v>83</v>
      </c>
      <c r="FD140" s="11" t="s">
        <v>81</v>
      </c>
      <c r="FE140" s="11" t="s">
        <v>32</v>
      </c>
      <c r="FF140" s="11" t="s">
        <v>74</v>
      </c>
      <c r="FG140" s="144" t="s">
        <v>282</v>
      </c>
    </row>
    <row r="141" spans="2:177" s="12" customFormat="1" x14ac:dyDescent="0.2">
      <c r="B141" s="149"/>
      <c r="D141" s="138" t="s">
        <v>301</v>
      </c>
      <c r="E141" s="150" t="s">
        <v>1</v>
      </c>
      <c r="F141" s="151" t="s">
        <v>2652</v>
      </c>
      <c r="H141" s="152">
        <v>28.17</v>
      </c>
      <c r="I141" s="153"/>
      <c r="L141" s="149"/>
      <c r="N141" s="217">
        <f>30.33*0.9</f>
        <v>27.297000000000001</v>
      </c>
      <c r="O141" s="218" t="s">
        <v>3611</v>
      </c>
      <c r="Q141" s="231"/>
      <c r="DU141" s="154"/>
      <c r="EB141" s="155"/>
      <c r="FB141" s="150" t="s">
        <v>301</v>
      </c>
      <c r="FC141" s="150" t="s">
        <v>83</v>
      </c>
      <c r="FD141" s="12" t="s">
        <v>83</v>
      </c>
      <c r="FE141" s="12" t="s">
        <v>32</v>
      </c>
      <c r="FF141" s="12" t="s">
        <v>74</v>
      </c>
      <c r="FG141" s="150" t="s">
        <v>282</v>
      </c>
    </row>
    <row r="142" spans="2:177" s="12" customFormat="1" x14ac:dyDescent="0.2">
      <c r="B142" s="149"/>
      <c r="D142" s="138" t="s">
        <v>301</v>
      </c>
      <c r="E142" s="150" t="s">
        <v>1</v>
      </c>
      <c r="F142" s="151" t="s">
        <v>2653</v>
      </c>
      <c r="H142" s="152">
        <v>26.25</v>
      </c>
      <c r="I142" s="153"/>
      <c r="L142" s="149"/>
      <c r="N142" s="217">
        <f>55.38*0.5</f>
        <v>27.69</v>
      </c>
      <c r="O142" s="218" t="s">
        <v>3612</v>
      </c>
      <c r="Q142" s="231"/>
      <c r="DU142" s="154"/>
      <c r="EB142" s="155"/>
      <c r="FB142" s="150" t="s">
        <v>301</v>
      </c>
      <c r="FC142" s="150" t="s">
        <v>83</v>
      </c>
      <c r="FD142" s="12" t="s">
        <v>83</v>
      </c>
      <c r="FE142" s="12" t="s">
        <v>32</v>
      </c>
      <c r="FF142" s="12" t="s">
        <v>74</v>
      </c>
      <c r="FG142" s="150" t="s">
        <v>282</v>
      </c>
    </row>
    <row r="143" spans="2:177" s="13" customFormat="1" x14ac:dyDescent="0.2">
      <c r="B143" s="156"/>
      <c r="D143" s="138" t="s">
        <v>301</v>
      </c>
      <c r="E143" s="157" t="s">
        <v>1</v>
      </c>
      <c r="F143" s="158" t="s">
        <v>305</v>
      </c>
      <c r="H143" s="159">
        <v>54.42</v>
      </c>
      <c r="I143" s="160"/>
      <c r="L143" s="156"/>
      <c r="N143" s="219">
        <f>N141+N142</f>
        <v>54.987000000000002</v>
      </c>
      <c r="O143" s="220"/>
      <c r="Q143" s="232"/>
      <c r="DU143" s="161"/>
      <c r="EB143" s="162"/>
      <c r="FB143" s="157" t="s">
        <v>301</v>
      </c>
      <c r="FC143" s="157" t="s">
        <v>83</v>
      </c>
      <c r="FD143" s="13" t="s">
        <v>95</v>
      </c>
      <c r="FE143" s="13" t="s">
        <v>32</v>
      </c>
      <c r="FF143" s="13" t="s">
        <v>81</v>
      </c>
      <c r="FG143" s="157" t="s">
        <v>282</v>
      </c>
    </row>
    <row r="144" spans="2:177" s="13" customFormat="1" x14ac:dyDescent="0.2">
      <c r="B144" s="156"/>
      <c r="D144" s="138"/>
      <c r="E144" s="157"/>
      <c r="F144" s="158"/>
      <c r="H144" s="159"/>
      <c r="I144" s="160"/>
      <c r="L144" s="156"/>
      <c r="N144" s="311">
        <f>N143-H143</f>
        <v>0.56700000000000017</v>
      </c>
      <c r="O144" s="220"/>
      <c r="Q144" s="232"/>
      <c r="DU144" s="161"/>
      <c r="EB144" s="162"/>
      <c r="FB144" s="157"/>
      <c r="FC144" s="157"/>
      <c r="FG144" s="157"/>
    </row>
    <row r="145" spans="2:177" s="1" customFormat="1" ht="24.2" customHeight="1" x14ac:dyDescent="0.2">
      <c r="B145" s="124"/>
      <c r="C145" s="125" t="s">
        <v>312</v>
      </c>
      <c r="D145" s="125" t="s">
        <v>284</v>
      </c>
      <c r="E145" s="126" t="s">
        <v>306</v>
      </c>
      <c r="F145" s="127" t="s">
        <v>307</v>
      </c>
      <c r="G145" s="128" t="s">
        <v>287</v>
      </c>
      <c r="H145" s="129">
        <v>109.55</v>
      </c>
      <c r="I145" s="130">
        <v>55.314624729404002</v>
      </c>
      <c r="J145" s="131">
        <f>ROUND(I145*H145,2)</f>
        <v>6059.72</v>
      </c>
      <c r="K145" s="127" t="s">
        <v>293</v>
      </c>
      <c r="L145" s="268">
        <f>S145</f>
        <v>0</v>
      </c>
      <c r="M145" s="272">
        <f>ROUND(L145*I145,2)</f>
        <v>0</v>
      </c>
      <c r="N145" s="243">
        <f>N151</f>
        <v>-3.394999999999996</v>
      </c>
      <c r="O145" s="294">
        <f>ROUND(N145*I145,2)</f>
        <v>-187.79</v>
      </c>
      <c r="P145" s="273">
        <f>H145-L145-N145</f>
        <v>112.94499999999999</v>
      </c>
      <c r="Q145" s="287">
        <f>ROUND(P145*I145,2)</f>
        <v>6247.51</v>
      </c>
      <c r="R145" s="137"/>
      <c r="S145" s="269">
        <f>W145+Y145+AA145+AC145+AE145+AG145+AI145+AK145+AM145+AO145</f>
        <v>0</v>
      </c>
      <c r="T145" s="269">
        <f>ROUND(S145*I145,2)</f>
        <v>0</v>
      </c>
      <c r="U145" s="269">
        <f>H145-S145</f>
        <v>109.55</v>
      </c>
      <c r="V145" s="269">
        <f>ROUND(U145*I145,2)</f>
        <v>6059.72</v>
      </c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DU145" s="132" t="s">
        <v>1</v>
      </c>
      <c r="DV145" s="133" t="s">
        <v>40</v>
      </c>
      <c r="DX145" s="134">
        <f>DW145*H145</f>
        <v>0</v>
      </c>
      <c r="DY145" s="134">
        <v>6.9999999999999994E-5</v>
      </c>
      <c r="DZ145" s="134">
        <f>DY145*H145</f>
        <v>7.6684999999999991E-3</v>
      </c>
      <c r="EA145" s="134">
        <v>0.115</v>
      </c>
      <c r="EB145" s="135">
        <f>EA145*H145</f>
        <v>12.59825</v>
      </c>
      <c r="EZ145" s="136" t="s">
        <v>95</v>
      </c>
      <c r="FB145" s="136" t="s">
        <v>284</v>
      </c>
      <c r="FC145" s="136" t="s">
        <v>83</v>
      </c>
      <c r="FG145" s="16" t="s">
        <v>282</v>
      </c>
      <c r="FM145" s="137">
        <f>IF(DV145="základní",J145,0)</f>
        <v>6059.72</v>
      </c>
      <c r="FN145" s="137">
        <f>IF(DV145="snížená",J145,0)</f>
        <v>0</v>
      </c>
      <c r="FO145" s="137">
        <f>IF(DV145="zákl. přenesená",J145,0)</f>
        <v>0</v>
      </c>
      <c r="FP145" s="137">
        <f>IF(DV145="sníž. přenesená",J145,0)</f>
        <v>0</v>
      </c>
      <c r="FQ145" s="137">
        <f>IF(DV145="nulová",J145,0)</f>
        <v>0</v>
      </c>
      <c r="FR145" s="16" t="s">
        <v>81</v>
      </c>
      <c r="FS145" s="137">
        <f>ROUND(I145*H145,2)</f>
        <v>6059.72</v>
      </c>
      <c r="FT145" s="16" t="s">
        <v>95</v>
      </c>
      <c r="FU145" s="136" t="s">
        <v>308</v>
      </c>
    </row>
    <row r="146" spans="2:177" s="1" customFormat="1" ht="29.25" x14ac:dyDescent="0.2">
      <c r="B146" s="31"/>
      <c r="D146" s="138" t="s">
        <v>289</v>
      </c>
      <c r="F146" s="139" t="s">
        <v>309</v>
      </c>
      <c r="I146" s="140"/>
      <c r="L146" s="31"/>
      <c r="N146" s="213"/>
      <c r="O146" s="214"/>
      <c r="Q146" s="229"/>
      <c r="DU146" s="141"/>
      <c r="EB146" s="50"/>
      <c r="FB146" s="16" t="s">
        <v>289</v>
      </c>
      <c r="FC146" s="16" t="s">
        <v>83</v>
      </c>
    </row>
    <row r="147" spans="2:177" s="1" customFormat="1" ht="29.25" x14ac:dyDescent="0.2">
      <c r="B147" s="31"/>
      <c r="D147" s="138" t="s">
        <v>299</v>
      </c>
      <c r="F147" s="142" t="s">
        <v>2649</v>
      </c>
      <c r="I147" s="140"/>
      <c r="L147" s="31"/>
      <c r="N147" s="213"/>
      <c r="O147" s="214"/>
      <c r="Q147" s="229"/>
      <c r="DU147" s="141"/>
      <c r="EB147" s="50"/>
      <c r="FB147" s="16" t="s">
        <v>299</v>
      </c>
      <c r="FC147" s="16" t="s">
        <v>83</v>
      </c>
    </row>
    <row r="148" spans="2:177" s="11" customFormat="1" x14ac:dyDescent="0.2">
      <c r="B148" s="143"/>
      <c r="D148" s="138" t="s">
        <v>301</v>
      </c>
      <c r="E148" s="144" t="s">
        <v>1</v>
      </c>
      <c r="F148" s="145" t="s">
        <v>310</v>
      </c>
      <c r="H148" s="144" t="s">
        <v>1</v>
      </c>
      <c r="I148" s="146"/>
      <c r="L148" s="143"/>
      <c r="N148" s="215"/>
      <c r="O148" s="216"/>
      <c r="Q148" s="230"/>
      <c r="DU148" s="147"/>
      <c r="EB148" s="148"/>
      <c r="FB148" s="144" t="s">
        <v>301</v>
      </c>
      <c r="FC148" s="144" t="s">
        <v>83</v>
      </c>
      <c r="FD148" s="11" t="s">
        <v>81</v>
      </c>
      <c r="FE148" s="11" t="s">
        <v>32</v>
      </c>
      <c r="FF148" s="11" t="s">
        <v>74</v>
      </c>
      <c r="FG148" s="144" t="s">
        <v>282</v>
      </c>
    </row>
    <row r="149" spans="2:177" s="12" customFormat="1" x14ac:dyDescent="0.2">
      <c r="B149" s="149"/>
      <c r="D149" s="138" t="s">
        <v>301</v>
      </c>
      <c r="E149" s="150" t="s">
        <v>1</v>
      </c>
      <c r="F149" s="151" t="s">
        <v>2654</v>
      </c>
      <c r="H149" s="152">
        <v>109.55</v>
      </c>
      <c r="I149" s="153"/>
      <c r="L149" s="149"/>
      <c r="N149" s="217">
        <f>30.33*3.5</f>
        <v>106.155</v>
      </c>
      <c r="O149" s="218" t="s">
        <v>3615</v>
      </c>
      <c r="Q149" s="231"/>
      <c r="DU149" s="154"/>
      <c r="EB149" s="155"/>
      <c r="FB149" s="150" t="s">
        <v>301</v>
      </c>
      <c r="FC149" s="150" t="s">
        <v>83</v>
      </c>
      <c r="FD149" s="12" t="s">
        <v>83</v>
      </c>
      <c r="FE149" s="12" t="s">
        <v>32</v>
      </c>
      <c r="FF149" s="12" t="s">
        <v>74</v>
      </c>
      <c r="FG149" s="150" t="s">
        <v>282</v>
      </c>
    </row>
    <row r="150" spans="2:177" s="11" customFormat="1" x14ac:dyDescent="0.2">
      <c r="B150" s="143"/>
      <c r="D150" s="138" t="s">
        <v>301</v>
      </c>
      <c r="E150" s="144" t="s">
        <v>1</v>
      </c>
      <c r="F150" s="145" t="s">
        <v>2655</v>
      </c>
      <c r="H150" s="144" t="s">
        <v>1</v>
      </c>
      <c r="I150" s="146"/>
      <c r="L150" s="143"/>
      <c r="N150" s="215"/>
      <c r="O150" s="216"/>
      <c r="Q150" s="230"/>
      <c r="DU150" s="147"/>
      <c r="EB150" s="148"/>
      <c r="FB150" s="144" t="s">
        <v>301</v>
      </c>
      <c r="FC150" s="144" t="s">
        <v>83</v>
      </c>
      <c r="FD150" s="11" t="s">
        <v>81</v>
      </c>
      <c r="FE150" s="11" t="s">
        <v>32</v>
      </c>
      <c r="FF150" s="11" t="s">
        <v>74</v>
      </c>
      <c r="FG150" s="144" t="s">
        <v>282</v>
      </c>
    </row>
    <row r="151" spans="2:177" s="13" customFormat="1" x14ac:dyDescent="0.2">
      <c r="B151" s="156"/>
      <c r="D151" s="138" t="s">
        <v>301</v>
      </c>
      <c r="E151" s="157" t="s">
        <v>1</v>
      </c>
      <c r="F151" s="158" t="s">
        <v>305</v>
      </c>
      <c r="H151" s="159">
        <v>109.55</v>
      </c>
      <c r="I151" s="160"/>
      <c r="L151" s="156"/>
      <c r="N151" s="311">
        <f>N149-H151</f>
        <v>-3.394999999999996</v>
      </c>
      <c r="O151" s="220"/>
      <c r="Q151" s="232"/>
      <c r="DU151" s="161"/>
      <c r="EB151" s="162"/>
      <c r="FB151" s="157" t="s">
        <v>301</v>
      </c>
      <c r="FC151" s="157" t="s">
        <v>83</v>
      </c>
      <c r="FD151" s="13" t="s">
        <v>95</v>
      </c>
      <c r="FE151" s="13" t="s">
        <v>32</v>
      </c>
      <c r="FF151" s="13" t="s">
        <v>81</v>
      </c>
      <c r="FG151" s="157" t="s">
        <v>282</v>
      </c>
    </row>
    <row r="152" spans="2:177" s="1" customFormat="1" ht="24.2" customHeight="1" x14ac:dyDescent="0.2">
      <c r="B152" s="124"/>
      <c r="C152" s="125" t="s">
        <v>318</v>
      </c>
      <c r="D152" s="125" t="s">
        <v>284</v>
      </c>
      <c r="E152" s="126" t="s">
        <v>313</v>
      </c>
      <c r="F152" s="127" t="s">
        <v>314</v>
      </c>
      <c r="G152" s="128" t="s">
        <v>315</v>
      </c>
      <c r="H152" s="129">
        <v>1</v>
      </c>
      <c r="I152" s="130">
        <v>3788.8627999999999</v>
      </c>
      <c r="J152" s="131">
        <f>ROUND(I152*H152,2)</f>
        <v>3788.86</v>
      </c>
      <c r="K152" s="127" t="s">
        <v>1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1</v>
      </c>
      <c r="Q152" s="287">
        <f>ROUND(P152*I152,2)</f>
        <v>3788.86</v>
      </c>
      <c r="R152" s="137"/>
      <c r="S152" s="269">
        <f>W152+Y152+AA152+AC152+AE152+AG152+AI152+AK152+AM152+AO152</f>
        <v>0</v>
      </c>
      <c r="T152" s="269">
        <f>ROUND(S152*I152,2)</f>
        <v>0</v>
      </c>
      <c r="U152" s="269">
        <f>H152-S152</f>
        <v>1</v>
      </c>
      <c r="V152" s="269">
        <f>ROUND(U152*I152,2)</f>
        <v>3788.86</v>
      </c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DU152" s="132" t="s">
        <v>1</v>
      </c>
      <c r="DV152" s="133" t="s">
        <v>40</v>
      </c>
      <c r="DX152" s="134">
        <f>DW152*H152</f>
        <v>0</v>
      </c>
      <c r="DY152" s="134">
        <v>0</v>
      </c>
      <c r="DZ152" s="134">
        <f>DY152*H152</f>
        <v>0</v>
      </c>
      <c r="EA152" s="134">
        <v>0</v>
      </c>
      <c r="EB152" s="135">
        <f>EA152*H152</f>
        <v>0</v>
      </c>
      <c r="EZ152" s="136" t="s">
        <v>95</v>
      </c>
      <c r="FB152" s="136" t="s">
        <v>284</v>
      </c>
      <c r="FC152" s="136" t="s">
        <v>83</v>
      </c>
      <c r="FG152" s="16" t="s">
        <v>282</v>
      </c>
      <c r="FM152" s="137">
        <f>IF(DV152="základní",J152,0)</f>
        <v>3788.86</v>
      </c>
      <c r="FN152" s="137">
        <f>IF(DV152="snížená",J152,0)</f>
        <v>0</v>
      </c>
      <c r="FO152" s="137">
        <f>IF(DV152="zákl. přenesená",J152,0)</f>
        <v>0</v>
      </c>
      <c r="FP152" s="137">
        <f>IF(DV152="sníž. přenesená",J152,0)</f>
        <v>0</v>
      </c>
      <c r="FQ152" s="137">
        <f>IF(DV152="nulová",J152,0)</f>
        <v>0</v>
      </c>
      <c r="FR152" s="16" t="s">
        <v>81</v>
      </c>
      <c r="FS152" s="137">
        <f>ROUND(I152*H152,2)</f>
        <v>3788.86</v>
      </c>
      <c r="FT152" s="16" t="s">
        <v>95</v>
      </c>
      <c r="FU152" s="136" t="s">
        <v>316</v>
      </c>
    </row>
    <row r="153" spans="2:177" s="1" customFormat="1" ht="19.5" x14ac:dyDescent="0.2">
      <c r="B153" s="31"/>
      <c r="D153" s="138" t="s">
        <v>289</v>
      </c>
      <c r="F153" s="139" t="s">
        <v>314</v>
      </c>
      <c r="I153" s="140"/>
      <c r="L153" s="31"/>
      <c r="N153" s="213"/>
      <c r="O153" s="214"/>
      <c r="Q153" s="229"/>
      <c r="DU153" s="141"/>
      <c r="EB153" s="50"/>
      <c r="FB153" s="16" t="s">
        <v>289</v>
      </c>
      <c r="FC153" s="16" t="s">
        <v>83</v>
      </c>
    </row>
    <row r="154" spans="2:177" s="1" customFormat="1" ht="29.25" x14ac:dyDescent="0.2">
      <c r="B154" s="31"/>
      <c r="D154" s="138" t="s">
        <v>299</v>
      </c>
      <c r="F154" s="142" t="s">
        <v>2649</v>
      </c>
      <c r="I154" s="140"/>
      <c r="L154" s="31"/>
      <c r="N154" s="213"/>
      <c r="O154" s="214"/>
      <c r="Q154" s="229"/>
      <c r="DU154" s="141"/>
      <c r="EB154" s="50"/>
      <c r="FB154" s="16" t="s">
        <v>299</v>
      </c>
      <c r="FC154" s="16" t="s">
        <v>83</v>
      </c>
    </row>
    <row r="155" spans="2:177" s="12" customFormat="1" x14ac:dyDescent="0.2">
      <c r="B155" s="149"/>
      <c r="D155" s="138" t="s">
        <v>301</v>
      </c>
      <c r="E155" s="150" t="s">
        <v>1</v>
      </c>
      <c r="F155" s="151" t="s">
        <v>81</v>
      </c>
      <c r="H155" s="152">
        <v>1</v>
      </c>
      <c r="I155" s="153"/>
      <c r="L155" s="149"/>
      <c r="N155" s="217"/>
      <c r="O155" s="218"/>
      <c r="Q155" s="231"/>
      <c r="DU155" s="154"/>
      <c r="EB155" s="155"/>
      <c r="FB155" s="150" t="s">
        <v>301</v>
      </c>
      <c r="FC155" s="150" t="s">
        <v>83</v>
      </c>
      <c r="FD155" s="12" t="s">
        <v>83</v>
      </c>
      <c r="FE155" s="12" t="s">
        <v>32</v>
      </c>
      <c r="FF155" s="12" t="s">
        <v>81</v>
      </c>
      <c r="FG155" s="150" t="s">
        <v>282</v>
      </c>
    </row>
    <row r="156" spans="2:177" s="1" customFormat="1" ht="24.2" customHeight="1" x14ac:dyDescent="0.2">
      <c r="B156" s="124"/>
      <c r="C156" s="125" t="s">
        <v>323</v>
      </c>
      <c r="D156" s="125" t="s">
        <v>284</v>
      </c>
      <c r="E156" s="126" t="s">
        <v>324</v>
      </c>
      <c r="F156" s="127" t="s">
        <v>325</v>
      </c>
      <c r="G156" s="128" t="s">
        <v>315</v>
      </c>
      <c r="H156" s="129">
        <v>3</v>
      </c>
      <c r="I156" s="130">
        <v>1847.0706150000001</v>
      </c>
      <c r="J156" s="131">
        <f>ROUND(I156*H156,2)</f>
        <v>5541.21</v>
      </c>
      <c r="K156" s="127" t="s">
        <v>1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3</v>
      </c>
      <c r="Q156" s="287">
        <f>ROUND(P156*I156,2)</f>
        <v>5541.21</v>
      </c>
      <c r="R156" s="137"/>
      <c r="S156" s="269">
        <f>W156+Y156+AA156+AC156+AE156+AG156+AI156+AK156+AM156+AO156</f>
        <v>0</v>
      </c>
      <c r="T156" s="269">
        <f>ROUND(S156*I156,2)</f>
        <v>0</v>
      </c>
      <c r="U156" s="269">
        <f>H156-S156</f>
        <v>3</v>
      </c>
      <c r="V156" s="269">
        <f>ROUND(U156*I156,2)</f>
        <v>5541.21</v>
      </c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DU156" s="132" t="s">
        <v>1</v>
      </c>
      <c r="DV156" s="133" t="s">
        <v>40</v>
      </c>
      <c r="DX156" s="134">
        <f>DW156*H156</f>
        <v>0</v>
      </c>
      <c r="DY156" s="134">
        <v>0</v>
      </c>
      <c r="DZ156" s="134">
        <f>DY156*H156</f>
        <v>0</v>
      </c>
      <c r="EA156" s="134">
        <v>0</v>
      </c>
      <c r="EB156" s="135">
        <f>EA156*H156</f>
        <v>0</v>
      </c>
      <c r="EZ156" s="136" t="s">
        <v>95</v>
      </c>
      <c r="FB156" s="136" t="s">
        <v>284</v>
      </c>
      <c r="FC156" s="136" t="s">
        <v>83</v>
      </c>
      <c r="FG156" s="16" t="s">
        <v>282</v>
      </c>
      <c r="FM156" s="137">
        <f>IF(DV156="základní",J156,0)</f>
        <v>5541.21</v>
      </c>
      <c r="FN156" s="137">
        <f>IF(DV156="snížená",J156,0)</f>
        <v>0</v>
      </c>
      <c r="FO156" s="137">
        <f>IF(DV156="zákl. přenesená",J156,0)</f>
        <v>0</v>
      </c>
      <c r="FP156" s="137">
        <f>IF(DV156="sníž. přenesená",J156,0)</f>
        <v>0</v>
      </c>
      <c r="FQ156" s="137">
        <f>IF(DV156="nulová",J156,0)</f>
        <v>0</v>
      </c>
      <c r="FR156" s="16" t="s">
        <v>81</v>
      </c>
      <c r="FS156" s="137">
        <f>ROUND(I156*H156,2)</f>
        <v>5541.21</v>
      </c>
      <c r="FT156" s="16" t="s">
        <v>95</v>
      </c>
      <c r="FU156" s="136" t="s">
        <v>326</v>
      </c>
    </row>
    <row r="157" spans="2:177" s="1" customFormat="1" ht="19.5" x14ac:dyDescent="0.2">
      <c r="B157" s="31"/>
      <c r="D157" s="138" t="s">
        <v>289</v>
      </c>
      <c r="F157" s="139" t="s">
        <v>325</v>
      </c>
      <c r="I157" s="140"/>
      <c r="L157" s="31"/>
      <c r="N157" s="213"/>
      <c r="O157" s="214"/>
      <c r="Q157" s="229"/>
      <c r="DU157" s="141"/>
      <c r="EB157" s="50"/>
      <c r="FB157" s="16" t="s">
        <v>289</v>
      </c>
      <c r="FC157" s="16" t="s">
        <v>83</v>
      </c>
    </row>
    <row r="158" spans="2:177" s="1" customFormat="1" ht="29.25" x14ac:dyDescent="0.2">
      <c r="B158" s="31"/>
      <c r="D158" s="138" t="s">
        <v>299</v>
      </c>
      <c r="F158" s="142" t="s">
        <v>2649</v>
      </c>
      <c r="I158" s="140"/>
      <c r="L158" s="31"/>
      <c r="N158" s="213"/>
      <c r="O158" s="214"/>
      <c r="Q158" s="229"/>
      <c r="DU158" s="141"/>
      <c r="EB158" s="50"/>
      <c r="FB158" s="16" t="s">
        <v>299</v>
      </c>
      <c r="FC158" s="16" t="s">
        <v>83</v>
      </c>
    </row>
    <row r="159" spans="2:177" s="12" customFormat="1" x14ac:dyDescent="0.2">
      <c r="B159" s="149"/>
      <c r="D159" s="138" t="s">
        <v>301</v>
      </c>
      <c r="E159" s="150" t="s">
        <v>1</v>
      </c>
      <c r="F159" s="151" t="s">
        <v>90</v>
      </c>
      <c r="H159" s="152">
        <v>3</v>
      </c>
      <c r="I159" s="153"/>
      <c r="L159" s="149"/>
      <c r="N159" s="217"/>
      <c r="O159" s="218"/>
      <c r="Q159" s="231"/>
      <c r="DU159" s="154"/>
      <c r="EB159" s="155"/>
      <c r="FB159" s="150" t="s">
        <v>301</v>
      </c>
      <c r="FC159" s="150" t="s">
        <v>83</v>
      </c>
      <c r="FD159" s="12" t="s">
        <v>83</v>
      </c>
      <c r="FE159" s="12" t="s">
        <v>32</v>
      </c>
      <c r="FF159" s="12" t="s">
        <v>81</v>
      </c>
      <c r="FG159" s="150" t="s">
        <v>282</v>
      </c>
    </row>
    <row r="160" spans="2:177" s="1" customFormat="1" ht="24.2" customHeight="1" x14ac:dyDescent="0.2">
      <c r="B160" s="124"/>
      <c r="C160" s="125" t="s">
        <v>328</v>
      </c>
      <c r="D160" s="125" t="s">
        <v>284</v>
      </c>
      <c r="E160" s="126" t="s">
        <v>329</v>
      </c>
      <c r="F160" s="127" t="s">
        <v>330</v>
      </c>
      <c r="G160" s="128" t="s">
        <v>331</v>
      </c>
      <c r="H160" s="129">
        <v>240</v>
      </c>
      <c r="I160" s="130">
        <v>70.957591385341729</v>
      </c>
      <c r="J160" s="131">
        <f>ROUND(I160*H160,2)</f>
        <v>17029.82</v>
      </c>
      <c r="K160" s="127" t="s">
        <v>293</v>
      </c>
      <c r="L160" s="268">
        <f>S160</f>
        <v>0</v>
      </c>
      <c r="M160" s="272">
        <f>ROUND(L160*I160,2)</f>
        <v>0</v>
      </c>
      <c r="N160" s="243"/>
      <c r="O160" s="294">
        <f>ROUND(N160*I160,2)</f>
        <v>0</v>
      </c>
      <c r="P160" s="273">
        <f>H160-L160-N160</f>
        <v>240</v>
      </c>
      <c r="Q160" s="287">
        <f>ROUND(P160*I160,2)</f>
        <v>17029.82</v>
      </c>
      <c r="R160" s="137"/>
      <c r="S160" s="269">
        <f>W160+Y160+AA160+AC160+AE160+AG160+AI160+AK160+AM160+AO160</f>
        <v>0</v>
      </c>
      <c r="T160" s="269">
        <f>ROUND(S160*I160,2)</f>
        <v>0</v>
      </c>
      <c r="U160" s="269">
        <f>H160-S160</f>
        <v>240</v>
      </c>
      <c r="V160" s="269">
        <f>ROUND(U160*I160,2)</f>
        <v>17029.82</v>
      </c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DU160" s="132" t="s">
        <v>1</v>
      </c>
      <c r="DV160" s="133" t="s">
        <v>40</v>
      </c>
      <c r="DX160" s="134">
        <f>DW160*H160</f>
        <v>0</v>
      </c>
      <c r="DY160" s="134">
        <v>3.0000000000000001E-5</v>
      </c>
      <c r="DZ160" s="134">
        <f>DY160*H160</f>
        <v>7.1999999999999998E-3</v>
      </c>
      <c r="EA160" s="134">
        <v>0</v>
      </c>
      <c r="EB160" s="135">
        <f>EA160*H160</f>
        <v>0</v>
      </c>
      <c r="EZ160" s="136" t="s">
        <v>95</v>
      </c>
      <c r="FB160" s="136" t="s">
        <v>284</v>
      </c>
      <c r="FC160" s="136" t="s">
        <v>83</v>
      </c>
      <c r="FG160" s="16" t="s">
        <v>282</v>
      </c>
      <c r="FM160" s="137">
        <f>IF(DV160="základní",J160,0)</f>
        <v>17029.82</v>
      </c>
      <c r="FN160" s="137">
        <f>IF(DV160="snížená",J160,0)</f>
        <v>0</v>
      </c>
      <c r="FO160" s="137">
        <f>IF(DV160="zákl. přenesená",J160,0)</f>
        <v>0</v>
      </c>
      <c r="FP160" s="137">
        <f>IF(DV160="sníž. přenesená",J160,0)</f>
        <v>0</v>
      </c>
      <c r="FQ160" s="137">
        <f>IF(DV160="nulová",J160,0)</f>
        <v>0</v>
      </c>
      <c r="FR160" s="16" t="s">
        <v>81</v>
      </c>
      <c r="FS160" s="137">
        <f>ROUND(I160*H160,2)</f>
        <v>17029.82</v>
      </c>
      <c r="FT160" s="16" t="s">
        <v>95</v>
      </c>
      <c r="FU160" s="136" t="s">
        <v>332</v>
      </c>
    </row>
    <row r="161" spans="2:177" s="1" customFormat="1" ht="19.5" x14ac:dyDescent="0.2">
      <c r="B161" s="31"/>
      <c r="D161" s="138" t="s">
        <v>289</v>
      </c>
      <c r="F161" s="139" t="s">
        <v>333</v>
      </c>
      <c r="I161" s="140"/>
      <c r="L161" s="31"/>
      <c r="N161" s="213"/>
      <c r="O161" s="214"/>
      <c r="Q161" s="229"/>
      <c r="DU161" s="141"/>
      <c r="EB161" s="50"/>
      <c r="FB161" s="16" t="s">
        <v>289</v>
      </c>
      <c r="FC161" s="16" t="s">
        <v>83</v>
      </c>
    </row>
    <row r="162" spans="2:177" s="12" customFormat="1" x14ac:dyDescent="0.2">
      <c r="B162" s="149"/>
      <c r="D162" s="138" t="s">
        <v>301</v>
      </c>
      <c r="E162" s="150" t="s">
        <v>1</v>
      </c>
      <c r="F162" s="151" t="s">
        <v>738</v>
      </c>
      <c r="H162" s="152">
        <v>240</v>
      </c>
      <c r="I162" s="153"/>
      <c r="L162" s="149"/>
      <c r="N162" s="217"/>
      <c r="O162" s="218"/>
      <c r="Q162" s="231"/>
      <c r="DU162" s="154"/>
      <c r="EB162" s="155"/>
      <c r="FB162" s="150" t="s">
        <v>301</v>
      </c>
      <c r="FC162" s="150" t="s">
        <v>83</v>
      </c>
      <c r="FD162" s="12" t="s">
        <v>83</v>
      </c>
      <c r="FE162" s="12" t="s">
        <v>32</v>
      </c>
      <c r="FF162" s="12" t="s">
        <v>81</v>
      </c>
      <c r="FG162" s="150" t="s">
        <v>282</v>
      </c>
    </row>
    <row r="163" spans="2:177" s="1" customFormat="1" ht="24.2" customHeight="1" x14ac:dyDescent="0.2">
      <c r="B163" s="124"/>
      <c r="C163" s="125" t="s">
        <v>335</v>
      </c>
      <c r="D163" s="125" t="s">
        <v>284</v>
      </c>
      <c r="E163" s="126" t="s">
        <v>336</v>
      </c>
      <c r="F163" s="127" t="s">
        <v>337</v>
      </c>
      <c r="G163" s="128" t="s">
        <v>338</v>
      </c>
      <c r="H163" s="129">
        <v>30</v>
      </c>
      <c r="I163" s="130">
        <v>41.621835247115101</v>
      </c>
      <c r="J163" s="131">
        <f>ROUND(I163*H163,2)</f>
        <v>1248.6600000000001</v>
      </c>
      <c r="K163" s="127" t="s">
        <v>293</v>
      </c>
      <c r="L163" s="268">
        <f>S163</f>
        <v>0</v>
      </c>
      <c r="M163" s="272">
        <f>ROUND(L163*I163,2)</f>
        <v>0</v>
      </c>
      <c r="N163" s="243"/>
      <c r="O163" s="294">
        <f>ROUND(N163*I163,2)</f>
        <v>0</v>
      </c>
      <c r="P163" s="273">
        <f>H163-L163-N163</f>
        <v>30</v>
      </c>
      <c r="Q163" s="287">
        <f>ROUND(P163*I163,2)</f>
        <v>1248.6600000000001</v>
      </c>
      <c r="R163" s="137"/>
      <c r="S163" s="269">
        <f>W163+Y163+AA163+AC163+AE163+AG163+AI163+AK163+AM163+AO163</f>
        <v>0</v>
      </c>
      <c r="T163" s="269">
        <f>ROUND(S163*I163,2)</f>
        <v>0</v>
      </c>
      <c r="U163" s="269">
        <f>H163-S163</f>
        <v>30</v>
      </c>
      <c r="V163" s="269">
        <f>ROUND(U163*I163,2)</f>
        <v>1248.6600000000001</v>
      </c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DU163" s="132" t="s">
        <v>1</v>
      </c>
      <c r="DV163" s="133" t="s">
        <v>40</v>
      </c>
      <c r="DX163" s="134">
        <f>DW163*H163</f>
        <v>0</v>
      </c>
      <c r="DY163" s="134">
        <v>0</v>
      </c>
      <c r="DZ163" s="134">
        <f>DY163*H163</f>
        <v>0</v>
      </c>
      <c r="EA163" s="134">
        <v>0</v>
      </c>
      <c r="EB163" s="135">
        <f>EA163*H163</f>
        <v>0</v>
      </c>
      <c r="EZ163" s="136" t="s">
        <v>95</v>
      </c>
      <c r="FB163" s="136" t="s">
        <v>284</v>
      </c>
      <c r="FC163" s="136" t="s">
        <v>83</v>
      </c>
      <c r="FG163" s="16" t="s">
        <v>282</v>
      </c>
      <c r="FM163" s="137">
        <f>IF(DV163="základní",J163,0)</f>
        <v>1248.6600000000001</v>
      </c>
      <c r="FN163" s="137">
        <f>IF(DV163="snížená",J163,0)</f>
        <v>0</v>
      </c>
      <c r="FO163" s="137">
        <f>IF(DV163="zákl. přenesená",J163,0)</f>
        <v>0</v>
      </c>
      <c r="FP163" s="137">
        <f>IF(DV163="sníž. přenesená",J163,0)</f>
        <v>0</v>
      </c>
      <c r="FQ163" s="137">
        <f>IF(DV163="nulová",J163,0)</f>
        <v>0</v>
      </c>
      <c r="FR163" s="16" t="s">
        <v>81</v>
      </c>
      <c r="FS163" s="137">
        <f>ROUND(I163*H163,2)</f>
        <v>1248.6600000000001</v>
      </c>
      <c r="FT163" s="16" t="s">
        <v>95</v>
      </c>
      <c r="FU163" s="136" t="s">
        <v>339</v>
      </c>
    </row>
    <row r="164" spans="2:177" s="1" customFormat="1" ht="19.5" x14ac:dyDescent="0.2">
      <c r="B164" s="31"/>
      <c r="D164" s="138" t="s">
        <v>289</v>
      </c>
      <c r="F164" s="139" t="s">
        <v>340</v>
      </c>
      <c r="I164" s="140"/>
      <c r="L164" s="31"/>
      <c r="N164" s="213"/>
      <c r="O164" s="214"/>
      <c r="Q164" s="229"/>
      <c r="DU164" s="141"/>
      <c r="EB164" s="50"/>
      <c r="FB164" s="16" t="s">
        <v>289</v>
      </c>
      <c r="FC164" s="16" t="s">
        <v>83</v>
      </c>
    </row>
    <row r="165" spans="2:177" s="1" customFormat="1" ht="14.45" customHeight="1" x14ac:dyDescent="0.2">
      <c r="B165" s="124"/>
      <c r="C165" s="125" t="s">
        <v>341</v>
      </c>
      <c r="D165" s="125" t="s">
        <v>284</v>
      </c>
      <c r="E165" s="126" t="s">
        <v>342</v>
      </c>
      <c r="F165" s="127" t="s">
        <v>343</v>
      </c>
      <c r="G165" s="128" t="s">
        <v>344</v>
      </c>
      <c r="H165" s="129">
        <v>0.9</v>
      </c>
      <c r="I165" s="130">
        <v>235.02024596209694</v>
      </c>
      <c r="J165" s="131">
        <f>ROUND(I165*H165,2)</f>
        <v>211.52</v>
      </c>
      <c r="K165" s="127" t="s">
        <v>293</v>
      </c>
      <c r="L165" s="268">
        <f>S165</f>
        <v>0</v>
      </c>
      <c r="M165" s="272">
        <f>ROUND(L165*I165,2)</f>
        <v>0</v>
      </c>
      <c r="N165" s="243"/>
      <c r="O165" s="294">
        <f>ROUND(N165*I165,2)</f>
        <v>0</v>
      </c>
      <c r="P165" s="273">
        <f>H165-L165-N165</f>
        <v>0.9</v>
      </c>
      <c r="Q165" s="287">
        <f>ROUND(P165*I165,2)</f>
        <v>211.52</v>
      </c>
      <c r="R165" s="137"/>
      <c r="S165" s="269">
        <f>W165+Y165+AA165+AC165+AE165+AG165+AI165+AK165+AM165+AO165</f>
        <v>0</v>
      </c>
      <c r="T165" s="269">
        <f>ROUND(S165*I165,2)</f>
        <v>0</v>
      </c>
      <c r="U165" s="269">
        <f>H165-S165</f>
        <v>0.9</v>
      </c>
      <c r="V165" s="269">
        <f>ROUND(U165*I165,2)</f>
        <v>211.52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DU165" s="132" t="s">
        <v>1</v>
      </c>
      <c r="DV165" s="133" t="s">
        <v>40</v>
      </c>
      <c r="DX165" s="134">
        <f>DW165*H165</f>
        <v>0</v>
      </c>
      <c r="DY165" s="134">
        <v>3.6900000000000002E-2</v>
      </c>
      <c r="DZ165" s="134">
        <f>DY165*H165</f>
        <v>3.3210000000000003E-2</v>
      </c>
      <c r="EA165" s="134">
        <v>0</v>
      </c>
      <c r="EB165" s="135">
        <f>EA165*H165</f>
        <v>0</v>
      </c>
      <c r="EZ165" s="136" t="s">
        <v>95</v>
      </c>
      <c r="FB165" s="136" t="s">
        <v>284</v>
      </c>
      <c r="FC165" s="136" t="s">
        <v>83</v>
      </c>
      <c r="FG165" s="16" t="s">
        <v>282</v>
      </c>
      <c r="FM165" s="137">
        <f>IF(DV165="základní",J165,0)</f>
        <v>211.52</v>
      </c>
      <c r="FN165" s="137">
        <f>IF(DV165="snížená",J165,0)</f>
        <v>0</v>
      </c>
      <c r="FO165" s="137">
        <f>IF(DV165="zákl. přenesená",J165,0)</f>
        <v>0</v>
      </c>
      <c r="FP165" s="137">
        <f>IF(DV165="sníž. přenesená",J165,0)</f>
        <v>0</v>
      </c>
      <c r="FQ165" s="137">
        <f>IF(DV165="nulová",J165,0)</f>
        <v>0</v>
      </c>
      <c r="FR165" s="16" t="s">
        <v>81</v>
      </c>
      <c r="FS165" s="137">
        <f>ROUND(I165*H165,2)</f>
        <v>211.52</v>
      </c>
      <c r="FT165" s="16" t="s">
        <v>95</v>
      </c>
      <c r="FU165" s="136" t="s">
        <v>2292</v>
      </c>
    </row>
    <row r="166" spans="2:177" s="1" customFormat="1" ht="58.5" x14ac:dyDescent="0.2">
      <c r="B166" s="31"/>
      <c r="D166" s="138" t="s">
        <v>289</v>
      </c>
      <c r="F166" s="139" t="s">
        <v>346</v>
      </c>
      <c r="I166" s="140"/>
      <c r="L166" s="31"/>
      <c r="N166" s="213"/>
      <c r="O166" s="214"/>
      <c r="Q166" s="229"/>
      <c r="DU166" s="141"/>
      <c r="EB166" s="50"/>
      <c r="FB166" s="16" t="s">
        <v>289</v>
      </c>
      <c r="FC166" s="16" t="s">
        <v>83</v>
      </c>
    </row>
    <row r="167" spans="2:177" s="1" customFormat="1" ht="29.25" x14ac:dyDescent="0.2">
      <c r="B167" s="31"/>
      <c r="D167" s="138" t="s">
        <v>299</v>
      </c>
      <c r="F167" s="142" t="s">
        <v>2649</v>
      </c>
      <c r="I167" s="140"/>
      <c r="L167" s="31"/>
      <c r="N167" s="213"/>
      <c r="O167" s="214"/>
      <c r="Q167" s="229"/>
      <c r="DU167" s="141"/>
      <c r="EB167" s="50"/>
      <c r="FB167" s="16" t="s">
        <v>299</v>
      </c>
      <c r="FC167" s="16" t="s">
        <v>83</v>
      </c>
    </row>
    <row r="168" spans="2:177" s="12" customFormat="1" x14ac:dyDescent="0.2">
      <c r="B168" s="149"/>
      <c r="D168" s="138" t="s">
        <v>301</v>
      </c>
      <c r="E168" s="150" t="s">
        <v>1</v>
      </c>
      <c r="F168" s="151" t="s">
        <v>2656</v>
      </c>
      <c r="H168" s="152">
        <v>0.9</v>
      </c>
      <c r="I168" s="153"/>
      <c r="L168" s="149"/>
      <c r="N168" s="217"/>
      <c r="O168" s="218"/>
      <c r="Q168" s="231"/>
      <c r="DU168" s="154"/>
      <c r="EB168" s="155"/>
      <c r="FB168" s="150" t="s">
        <v>301</v>
      </c>
      <c r="FC168" s="150" t="s">
        <v>83</v>
      </c>
      <c r="FD168" s="12" t="s">
        <v>83</v>
      </c>
      <c r="FE168" s="12" t="s">
        <v>32</v>
      </c>
      <c r="FF168" s="12" t="s">
        <v>81</v>
      </c>
      <c r="FG168" s="150" t="s">
        <v>282</v>
      </c>
    </row>
    <row r="169" spans="2:177" s="1" customFormat="1" ht="24.2" customHeight="1" x14ac:dyDescent="0.2">
      <c r="B169" s="124"/>
      <c r="C169" s="125" t="s">
        <v>348</v>
      </c>
      <c r="D169" s="125" t="s">
        <v>284</v>
      </c>
      <c r="E169" s="126" t="s">
        <v>349</v>
      </c>
      <c r="F169" s="127" t="s">
        <v>350</v>
      </c>
      <c r="G169" s="128" t="s">
        <v>344</v>
      </c>
      <c r="H169" s="129">
        <v>0.9</v>
      </c>
      <c r="I169" s="130">
        <v>225.71950862012659</v>
      </c>
      <c r="J169" s="131">
        <f>ROUND(I169*H169,2)</f>
        <v>203.15</v>
      </c>
      <c r="K169" s="127" t="s">
        <v>293</v>
      </c>
      <c r="L169" s="268">
        <f>S169</f>
        <v>0</v>
      </c>
      <c r="M169" s="272">
        <f>ROUND(L169*I169,2)</f>
        <v>0</v>
      </c>
      <c r="N169" s="243"/>
      <c r="O169" s="294">
        <f>ROUND(N169*I169,2)</f>
        <v>0</v>
      </c>
      <c r="P169" s="273">
        <f>H169-L169-N169</f>
        <v>0.9</v>
      </c>
      <c r="Q169" s="287">
        <f>ROUND(P169*I169,2)</f>
        <v>203.15</v>
      </c>
      <c r="R169" s="137"/>
      <c r="S169" s="269">
        <f>W169+Y169+AA169+AC169+AE169+AG169+AI169+AK169+AM169+AO169</f>
        <v>0</v>
      </c>
      <c r="T169" s="269">
        <f>ROUND(S169*I169,2)</f>
        <v>0</v>
      </c>
      <c r="U169" s="269">
        <f>H169-S169</f>
        <v>0.9</v>
      </c>
      <c r="V169" s="269">
        <f>ROUND(U169*I169,2)</f>
        <v>203.15</v>
      </c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DU169" s="132" t="s">
        <v>1</v>
      </c>
      <c r="DV169" s="133" t="s">
        <v>40</v>
      </c>
      <c r="DX169" s="134">
        <f>DW169*H169</f>
        <v>0</v>
      </c>
      <c r="DY169" s="134">
        <v>3.6900000000000002E-2</v>
      </c>
      <c r="DZ169" s="134">
        <f>DY169*H169</f>
        <v>3.3210000000000003E-2</v>
      </c>
      <c r="EA169" s="134">
        <v>0</v>
      </c>
      <c r="EB169" s="135">
        <f>EA169*H169</f>
        <v>0</v>
      </c>
      <c r="EZ169" s="136" t="s">
        <v>95</v>
      </c>
      <c r="FB169" s="136" t="s">
        <v>284</v>
      </c>
      <c r="FC169" s="136" t="s">
        <v>83</v>
      </c>
      <c r="FG169" s="16" t="s">
        <v>282</v>
      </c>
      <c r="FM169" s="137">
        <f>IF(DV169="základní",J169,0)</f>
        <v>203.15</v>
      </c>
      <c r="FN169" s="137">
        <f>IF(DV169="snížená",J169,0)</f>
        <v>0</v>
      </c>
      <c r="FO169" s="137">
        <f>IF(DV169="zákl. přenesená",J169,0)</f>
        <v>0</v>
      </c>
      <c r="FP169" s="137">
        <f>IF(DV169="sníž. přenesená",J169,0)</f>
        <v>0</v>
      </c>
      <c r="FQ169" s="137">
        <f>IF(DV169="nulová",J169,0)</f>
        <v>0</v>
      </c>
      <c r="FR169" s="16" t="s">
        <v>81</v>
      </c>
      <c r="FS169" s="137">
        <f>ROUND(I169*H169,2)</f>
        <v>203.15</v>
      </c>
      <c r="FT169" s="16" t="s">
        <v>95</v>
      </c>
      <c r="FU169" s="136" t="s">
        <v>2294</v>
      </c>
    </row>
    <row r="170" spans="2:177" s="1" customFormat="1" ht="58.5" x14ac:dyDescent="0.2">
      <c r="B170" s="31"/>
      <c r="D170" s="138" t="s">
        <v>289</v>
      </c>
      <c r="F170" s="139" t="s">
        <v>352</v>
      </c>
      <c r="I170" s="140"/>
      <c r="L170" s="31"/>
      <c r="N170" s="213"/>
      <c r="O170" s="214"/>
      <c r="Q170" s="229"/>
      <c r="DU170" s="141"/>
      <c r="EB170" s="50"/>
      <c r="FB170" s="16" t="s">
        <v>289</v>
      </c>
      <c r="FC170" s="16" t="s">
        <v>83</v>
      </c>
    </row>
    <row r="171" spans="2:177" s="1" customFormat="1" ht="29.25" x14ac:dyDescent="0.2">
      <c r="B171" s="31"/>
      <c r="D171" s="138" t="s">
        <v>299</v>
      </c>
      <c r="F171" s="142" t="s">
        <v>2649</v>
      </c>
      <c r="I171" s="140"/>
      <c r="L171" s="31"/>
      <c r="N171" s="213"/>
      <c r="O171" s="214"/>
      <c r="Q171" s="229"/>
      <c r="DU171" s="141"/>
      <c r="EB171" s="50"/>
      <c r="FB171" s="16" t="s">
        <v>299</v>
      </c>
      <c r="FC171" s="16" t="s">
        <v>83</v>
      </c>
    </row>
    <row r="172" spans="2:177" s="12" customFormat="1" x14ac:dyDescent="0.2">
      <c r="B172" s="149"/>
      <c r="D172" s="138" t="s">
        <v>301</v>
      </c>
      <c r="E172" s="150" t="s">
        <v>1</v>
      </c>
      <c r="F172" s="151" t="s">
        <v>2656</v>
      </c>
      <c r="H172" s="152">
        <v>0.9</v>
      </c>
      <c r="I172" s="153"/>
      <c r="L172" s="149"/>
      <c r="N172" s="217"/>
      <c r="O172" s="218"/>
      <c r="Q172" s="231"/>
      <c r="DU172" s="154"/>
      <c r="EB172" s="155"/>
      <c r="FB172" s="150" t="s">
        <v>301</v>
      </c>
      <c r="FC172" s="150" t="s">
        <v>83</v>
      </c>
      <c r="FD172" s="12" t="s">
        <v>83</v>
      </c>
      <c r="FE172" s="12" t="s">
        <v>32</v>
      </c>
      <c r="FF172" s="12" t="s">
        <v>81</v>
      </c>
      <c r="FG172" s="150" t="s">
        <v>282</v>
      </c>
    </row>
    <row r="173" spans="2:177" s="1" customFormat="1" ht="24.2" customHeight="1" x14ac:dyDescent="0.2">
      <c r="B173" s="124"/>
      <c r="C173" s="125" t="s">
        <v>327</v>
      </c>
      <c r="D173" s="125" t="s">
        <v>284</v>
      </c>
      <c r="E173" s="126" t="s">
        <v>364</v>
      </c>
      <c r="F173" s="127" t="s">
        <v>365</v>
      </c>
      <c r="G173" s="128" t="s">
        <v>366</v>
      </c>
      <c r="H173" s="129">
        <v>58.451000000000001</v>
      </c>
      <c r="I173" s="130">
        <v>285.201942457955</v>
      </c>
      <c r="J173" s="131">
        <f>ROUND(I173*H173,2)</f>
        <v>16670.34</v>
      </c>
      <c r="K173" s="127" t="s">
        <v>293</v>
      </c>
      <c r="L173" s="268">
        <f>S173</f>
        <v>0</v>
      </c>
      <c r="M173" s="272">
        <f>ROUND(L173*I173,2)</f>
        <v>0</v>
      </c>
      <c r="N173" s="243">
        <f>N181</f>
        <v>1.3317250000000058</v>
      </c>
      <c r="O173" s="294">
        <f>ROUND(N173*I173,2)</f>
        <v>379.81</v>
      </c>
      <c r="P173" s="273">
        <f>H173-L173-N173</f>
        <v>57.119274999999995</v>
      </c>
      <c r="Q173" s="287">
        <f>ROUND(P173*I173,2)</f>
        <v>16290.53</v>
      </c>
      <c r="R173" s="137"/>
      <c r="S173" s="269">
        <f>W173+Y173+AA173+AC173+AE173+AG173+AI173+AK173+AM173+AO173</f>
        <v>0</v>
      </c>
      <c r="T173" s="269">
        <f>ROUND(S173*I173,2)</f>
        <v>0</v>
      </c>
      <c r="U173" s="269">
        <f>H173-S173</f>
        <v>58.451000000000001</v>
      </c>
      <c r="V173" s="269">
        <f>ROUND(U173*I173,2)</f>
        <v>16670.34</v>
      </c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DU173" s="132" t="s">
        <v>1</v>
      </c>
      <c r="DV173" s="133" t="s">
        <v>40</v>
      </c>
      <c r="DX173" s="134">
        <f>DW173*H173</f>
        <v>0</v>
      </c>
      <c r="DY173" s="134">
        <v>0</v>
      </c>
      <c r="DZ173" s="134">
        <f>DY173*H173</f>
        <v>0</v>
      </c>
      <c r="EA173" s="134">
        <v>0</v>
      </c>
      <c r="EB173" s="135">
        <f>EA173*H173</f>
        <v>0</v>
      </c>
      <c r="EZ173" s="136" t="s">
        <v>95</v>
      </c>
      <c r="FB173" s="136" t="s">
        <v>284</v>
      </c>
      <c r="FC173" s="136" t="s">
        <v>83</v>
      </c>
      <c r="FG173" s="16" t="s">
        <v>282</v>
      </c>
      <c r="FM173" s="137">
        <f>IF(DV173="základní",J173,0)</f>
        <v>16670.34</v>
      </c>
      <c r="FN173" s="137">
        <f>IF(DV173="snížená",J173,0)</f>
        <v>0</v>
      </c>
      <c r="FO173" s="137">
        <f>IF(DV173="zákl. přenesená",J173,0)</f>
        <v>0</v>
      </c>
      <c r="FP173" s="137">
        <f>IF(DV173="sníž. přenesená",J173,0)</f>
        <v>0</v>
      </c>
      <c r="FQ173" s="137">
        <f>IF(DV173="nulová",J173,0)</f>
        <v>0</v>
      </c>
      <c r="FR173" s="16" t="s">
        <v>81</v>
      </c>
      <c r="FS173" s="137">
        <f>ROUND(I173*H173,2)</f>
        <v>16670.34</v>
      </c>
      <c r="FT173" s="16" t="s">
        <v>95</v>
      </c>
      <c r="FU173" s="136" t="s">
        <v>367</v>
      </c>
    </row>
    <row r="174" spans="2:177" s="1" customFormat="1" ht="39" x14ac:dyDescent="0.2">
      <c r="B174" s="31"/>
      <c r="D174" s="138" t="s">
        <v>289</v>
      </c>
      <c r="F174" s="139" t="s">
        <v>368</v>
      </c>
      <c r="I174" s="140"/>
      <c r="L174" s="31"/>
      <c r="N174" s="213"/>
      <c r="O174" s="214"/>
      <c r="Q174" s="229"/>
      <c r="DU174" s="141"/>
      <c r="EB174" s="50"/>
      <c r="FB174" s="16" t="s">
        <v>289</v>
      </c>
      <c r="FC174" s="16" t="s">
        <v>83</v>
      </c>
    </row>
    <row r="175" spans="2:177" s="1" customFormat="1" ht="39" x14ac:dyDescent="0.2">
      <c r="B175" s="31"/>
      <c r="D175" s="138" t="s">
        <v>299</v>
      </c>
      <c r="F175" s="142" t="s">
        <v>2657</v>
      </c>
      <c r="I175" s="140"/>
      <c r="L175" s="31"/>
      <c r="N175" s="213"/>
      <c r="O175" s="214"/>
      <c r="Q175" s="229"/>
      <c r="DU175" s="141"/>
      <c r="EB175" s="50"/>
      <c r="FB175" s="16" t="s">
        <v>299</v>
      </c>
      <c r="FC175" s="16" t="s">
        <v>83</v>
      </c>
    </row>
    <row r="176" spans="2:177" s="11" customFormat="1" ht="22.5" x14ac:dyDescent="0.2">
      <c r="B176" s="143"/>
      <c r="D176" s="138" t="s">
        <v>301</v>
      </c>
      <c r="E176" s="144" t="s">
        <v>1</v>
      </c>
      <c r="F176" s="145" t="s">
        <v>370</v>
      </c>
      <c r="H176" s="144" t="s">
        <v>1</v>
      </c>
      <c r="I176" s="146"/>
      <c r="L176" s="143"/>
      <c r="N176" s="215"/>
      <c r="O176" s="216"/>
      <c r="Q176" s="230"/>
      <c r="DU176" s="147"/>
      <c r="EB176" s="148"/>
      <c r="FB176" s="144" t="s">
        <v>301</v>
      </c>
      <c r="FC176" s="144" t="s">
        <v>83</v>
      </c>
      <c r="FD176" s="11" t="s">
        <v>81</v>
      </c>
      <c r="FE176" s="11" t="s">
        <v>32</v>
      </c>
      <c r="FF176" s="11" t="s">
        <v>74</v>
      </c>
      <c r="FG176" s="144" t="s">
        <v>282</v>
      </c>
    </row>
    <row r="177" spans="2:177" s="12" customFormat="1" x14ac:dyDescent="0.2">
      <c r="B177" s="149"/>
      <c r="D177" s="138" t="s">
        <v>301</v>
      </c>
      <c r="E177" s="150" t="s">
        <v>1</v>
      </c>
      <c r="F177" s="151" t="s">
        <v>2658</v>
      </c>
      <c r="H177" s="152">
        <v>43.664000000000001</v>
      </c>
      <c r="I177" s="153"/>
      <c r="L177" s="149"/>
      <c r="N177" s="217">
        <f>30.33*0.9*(2-0.45)</f>
        <v>42.31035</v>
      </c>
      <c r="O177" s="218" t="s">
        <v>3617</v>
      </c>
      <c r="Q177" s="231"/>
      <c r="DU177" s="154"/>
      <c r="EB177" s="155"/>
      <c r="FB177" s="150" t="s">
        <v>301</v>
      </c>
      <c r="FC177" s="150" t="s">
        <v>83</v>
      </c>
      <c r="FD177" s="12" t="s">
        <v>83</v>
      </c>
      <c r="FE177" s="12" t="s">
        <v>32</v>
      </c>
      <c r="FF177" s="12" t="s">
        <v>74</v>
      </c>
      <c r="FG177" s="150" t="s">
        <v>282</v>
      </c>
    </row>
    <row r="178" spans="2:177" s="12" customFormat="1" x14ac:dyDescent="0.2">
      <c r="B178" s="149"/>
      <c r="D178" s="138" t="s">
        <v>301</v>
      </c>
      <c r="E178" s="150" t="s">
        <v>1</v>
      </c>
      <c r="F178" s="151" t="s">
        <v>2659</v>
      </c>
      <c r="H178" s="152">
        <v>73.238</v>
      </c>
      <c r="I178" s="153"/>
      <c r="L178" s="149"/>
      <c r="N178" s="217">
        <f>55.38*0.9*(2-0.45)</f>
        <v>77.255100000000013</v>
      </c>
      <c r="O178" s="218" t="s">
        <v>3616</v>
      </c>
      <c r="Q178" s="231"/>
      <c r="DU178" s="154"/>
      <c r="EB178" s="155"/>
      <c r="FB178" s="150" t="s">
        <v>301</v>
      </c>
      <c r="FC178" s="150" t="s">
        <v>83</v>
      </c>
      <c r="FD178" s="12" t="s">
        <v>83</v>
      </c>
      <c r="FE178" s="12" t="s">
        <v>32</v>
      </c>
      <c r="FF178" s="12" t="s">
        <v>74</v>
      </c>
      <c r="FG178" s="150" t="s">
        <v>282</v>
      </c>
    </row>
    <row r="179" spans="2:177" s="14" customFormat="1" x14ac:dyDescent="0.2">
      <c r="B179" s="163"/>
      <c r="D179" s="138" t="s">
        <v>301</v>
      </c>
      <c r="E179" s="164" t="s">
        <v>1</v>
      </c>
      <c r="F179" s="165" t="s">
        <v>373</v>
      </c>
      <c r="H179" s="166">
        <v>116.902</v>
      </c>
      <c r="I179" s="167"/>
      <c r="L179" s="163"/>
      <c r="N179" s="221">
        <f>N177+N178</f>
        <v>119.56545000000001</v>
      </c>
      <c r="O179" s="222"/>
      <c r="Q179" s="233"/>
      <c r="DU179" s="168"/>
      <c r="EB179" s="169"/>
      <c r="FB179" s="164" t="s">
        <v>301</v>
      </c>
      <c r="FC179" s="164" t="s">
        <v>83</v>
      </c>
      <c r="FD179" s="14" t="s">
        <v>90</v>
      </c>
      <c r="FE179" s="14" t="s">
        <v>32</v>
      </c>
      <c r="FF179" s="14" t="s">
        <v>74</v>
      </c>
      <c r="FG179" s="164" t="s">
        <v>282</v>
      </c>
    </row>
    <row r="180" spans="2:177" s="12" customFormat="1" x14ac:dyDescent="0.2">
      <c r="B180" s="149"/>
      <c r="D180" s="138" t="s">
        <v>301</v>
      </c>
      <c r="E180" s="150" t="s">
        <v>1</v>
      </c>
      <c r="F180" s="151" t="s">
        <v>2660</v>
      </c>
      <c r="H180" s="152">
        <v>58.451000000000001</v>
      </c>
      <c r="I180" s="153"/>
      <c r="L180" s="149"/>
      <c r="N180" s="217">
        <f>N179*0.5</f>
        <v>59.782725000000006</v>
      </c>
      <c r="O180" s="218"/>
      <c r="Q180" s="231"/>
      <c r="DU180" s="154"/>
      <c r="EB180" s="155"/>
      <c r="FB180" s="150" t="s">
        <v>301</v>
      </c>
      <c r="FC180" s="150" t="s">
        <v>83</v>
      </c>
      <c r="FD180" s="12" t="s">
        <v>83</v>
      </c>
      <c r="FE180" s="12" t="s">
        <v>32</v>
      </c>
      <c r="FF180" s="12" t="s">
        <v>81</v>
      </c>
      <c r="FG180" s="150" t="s">
        <v>282</v>
      </c>
    </row>
    <row r="181" spans="2:177" s="12" customFormat="1" x14ac:dyDescent="0.2">
      <c r="B181" s="149"/>
      <c r="D181" s="138"/>
      <c r="E181" s="150"/>
      <c r="F181" s="151"/>
      <c r="H181" s="152"/>
      <c r="I181" s="153"/>
      <c r="L181" s="149"/>
      <c r="N181" s="310">
        <f>N180-H180</f>
        <v>1.3317250000000058</v>
      </c>
      <c r="O181" s="218"/>
      <c r="Q181" s="231"/>
      <c r="DU181" s="154"/>
      <c r="EB181" s="155"/>
      <c r="FB181" s="150"/>
      <c r="FC181" s="150"/>
      <c r="FG181" s="150"/>
    </row>
    <row r="182" spans="2:177" s="1" customFormat="1" ht="24.2" customHeight="1" x14ac:dyDescent="0.2">
      <c r="B182" s="124"/>
      <c r="C182" s="125" t="s">
        <v>359</v>
      </c>
      <c r="D182" s="125" t="s">
        <v>284</v>
      </c>
      <c r="E182" s="126" t="s">
        <v>375</v>
      </c>
      <c r="F182" s="127" t="s">
        <v>376</v>
      </c>
      <c r="G182" s="128" t="s">
        <v>366</v>
      </c>
      <c r="H182" s="129">
        <v>58.451000000000001</v>
      </c>
      <c r="I182" s="130">
        <v>390.55963566140201</v>
      </c>
      <c r="J182" s="131">
        <f>ROUND(I182*H182,2)</f>
        <v>22828.6</v>
      </c>
      <c r="K182" s="127" t="s">
        <v>293</v>
      </c>
      <c r="L182" s="268">
        <f>S182</f>
        <v>0</v>
      </c>
      <c r="M182" s="272">
        <f>ROUND(L182*I182,2)</f>
        <v>0</v>
      </c>
      <c r="N182" s="243">
        <f>N173</f>
        <v>1.3317250000000058</v>
      </c>
      <c r="O182" s="294">
        <f>ROUND(N182*I182,2)</f>
        <v>520.12</v>
      </c>
      <c r="P182" s="273">
        <f>H182-L182-N182</f>
        <v>57.119274999999995</v>
      </c>
      <c r="Q182" s="287">
        <f>ROUND(P182*I182,2)</f>
        <v>22308.48</v>
      </c>
      <c r="R182" s="137"/>
      <c r="S182" s="269">
        <f>W182+Y182+AA182+AC182+AE182+AG182+AI182+AK182+AM182+AO182</f>
        <v>0</v>
      </c>
      <c r="T182" s="269">
        <f>ROUND(S182*I182,2)</f>
        <v>0</v>
      </c>
      <c r="U182" s="269">
        <f>H182-S182</f>
        <v>58.451000000000001</v>
      </c>
      <c r="V182" s="269">
        <f>ROUND(U182*I182,2)</f>
        <v>22828.6</v>
      </c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DU182" s="132" t="s">
        <v>1</v>
      </c>
      <c r="DV182" s="133" t="s">
        <v>40</v>
      </c>
      <c r="DX182" s="134">
        <f>DW182*H182</f>
        <v>0</v>
      </c>
      <c r="DY182" s="134">
        <v>0</v>
      </c>
      <c r="DZ182" s="134">
        <f>DY182*H182</f>
        <v>0</v>
      </c>
      <c r="EA182" s="134">
        <v>0</v>
      </c>
      <c r="EB182" s="135">
        <f>EA182*H182</f>
        <v>0</v>
      </c>
      <c r="EZ182" s="136" t="s">
        <v>95</v>
      </c>
      <c r="FB182" s="136" t="s">
        <v>284</v>
      </c>
      <c r="FC182" s="136" t="s">
        <v>83</v>
      </c>
      <c r="FG182" s="16" t="s">
        <v>282</v>
      </c>
      <c r="FM182" s="137">
        <f>IF(DV182="základní",J182,0)</f>
        <v>22828.6</v>
      </c>
      <c r="FN182" s="137">
        <f>IF(DV182="snížená",J182,0)</f>
        <v>0</v>
      </c>
      <c r="FO182" s="137">
        <f>IF(DV182="zákl. přenesená",J182,0)</f>
        <v>0</v>
      </c>
      <c r="FP182" s="137">
        <f>IF(DV182="sníž. přenesená",J182,0)</f>
        <v>0</v>
      </c>
      <c r="FQ182" s="137">
        <f>IF(DV182="nulová",J182,0)</f>
        <v>0</v>
      </c>
      <c r="FR182" s="16" t="s">
        <v>81</v>
      </c>
      <c r="FS182" s="137">
        <f>ROUND(I182*H182,2)</f>
        <v>22828.6</v>
      </c>
      <c r="FT182" s="16" t="s">
        <v>95</v>
      </c>
      <c r="FU182" s="136" t="s">
        <v>377</v>
      </c>
    </row>
    <row r="183" spans="2:177" s="1" customFormat="1" ht="39" x14ac:dyDescent="0.2">
      <c r="B183" s="31"/>
      <c r="D183" s="138" t="s">
        <v>289</v>
      </c>
      <c r="F183" s="139" t="s">
        <v>378</v>
      </c>
      <c r="I183" s="140"/>
      <c r="L183" s="31"/>
      <c r="N183" s="213"/>
      <c r="O183" s="214"/>
      <c r="Q183" s="229"/>
      <c r="DU183" s="141"/>
      <c r="EB183" s="50"/>
      <c r="FB183" s="16" t="s">
        <v>289</v>
      </c>
      <c r="FC183" s="16" t="s">
        <v>83</v>
      </c>
    </row>
    <row r="184" spans="2:177" s="1" customFormat="1" ht="39" x14ac:dyDescent="0.2">
      <c r="B184" s="31"/>
      <c r="D184" s="138" t="s">
        <v>299</v>
      </c>
      <c r="F184" s="142" t="s">
        <v>2657</v>
      </c>
      <c r="I184" s="140"/>
      <c r="L184" s="31"/>
      <c r="N184" s="213"/>
      <c r="O184" s="214"/>
      <c r="Q184" s="229"/>
      <c r="DU184" s="141"/>
      <c r="EB184" s="50"/>
      <c r="FB184" s="16" t="s">
        <v>299</v>
      </c>
      <c r="FC184" s="16" t="s">
        <v>83</v>
      </c>
    </row>
    <row r="185" spans="2:177" s="1" customFormat="1" ht="24.2" customHeight="1" x14ac:dyDescent="0.2">
      <c r="B185" s="124"/>
      <c r="C185" s="125" t="s">
        <v>363</v>
      </c>
      <c r="D185" s="125" t="s">
        <v>284</v>
      </c>
      <c r="E185" s="126" t="s">
        <v>380</v>
      </c>
      <c r="F185" s="127" t="s">
        <v>381</v>
      </c>
      <c r="G185" s="128" t="s">
        <v>366</v>
      </c>
      <c r="H185" s="129">
        <v>23.38</v>
      </c>
      <c r="I185" s="130">
        <v>650.27058629099099</v>
      </c>
      <c r="J185" s="131">
        <f>ROUND(I185*H185,2)</f>
        <v>15203.33</v>
      </c>
      <c r="K185" s="127" t="s">
        <v>293</v>
      </c>
      <c r="L185" s="268">
        <f>S185</f>
        <v>0</v>
      </c>
      <c r="M185" s="272">
        <f>ROUND(L185*I185,2)</f>
        <v>0</v>
      </c>
      <c r="N185" s="243">
        <f>N189</f>
        <v>0.53280000000000172</v>
      </c>
      <c r="O185" s="294">
        <f>ROUND(N185*I185,2)</f>
        <v>346.46</v>
      </c>
      <c r="P185" s="273">
        <f>H185-L185-N185</f>
        <v>22.847199999999997</v>
      </c>
      <c r="Q185" s="287">
        <f>ROUND(P185*I185,2)</f>
        <v>14856.86</v>
      </c>
      <c r="R185" s="137"/>
      <c r="S185" s="269">
        <f>W185+Y185+AA185+AC185+AE185+AG185+AI185+AK185+AM185+AO185</f>
        <v>0</v>
      </c>
      <c r="T185" s="269">
        <f>ROUND(S185*I185,2)</f>
        <v>0</v>
      </c>
      <c r="U185" s="269">
        <f>H185-S185</f>
        <v>23.38</v>
      </c>
      <c r="V185" s="269">
        <f>ROUND(U185*I185,2)</f>
        <v>15203.33</v>
      </c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DU185" s="132" t="s">
        <v>1</v>
      </c>
      <c r="DV185" s="133" t="s">
        <v>40</v>
      </c>
      <c r="DX185" s="134">
        <f>DW185*H185</f>
        <v>0</v>
      </c>
      <c r="DY185" s="134">
        <v>0</v>
      </c>
      <c r="DZ185" s="134">
        <f>DY185*H185</f>
        <v>0</v>
      </c>
      <c r="EA185" s="134">
        <v>0</v>
      </c>
      <c r="EB185" s="135">
        <f>EA185*H185</f>
        <v>0</v>
      </c>
      <c r="EZ185" s="136" t="s">
        <v>95</v>
      </c>
      <c r="FB185" s="136" t="s">
        <v>284</v>
      </c>
      <c r="FC185" s="136" t="s">
        <v>83</v>
      </c>
      <c r="FG185" s="16" t="s">
        <v>282</v>
      </c>
      <c r="FM185" s="137">
        <f>IF(DV185="základní",J185,0)</f>
        <v>15203.33</v>
      </c>
      <c r="FN185" s="137">
        <f>IF(DV185="snížená",J185,0)</f>
        <v>0</v>
      </c>
      <c r="FO185" s="137">
        <f>IF(DV185="zákl. přenesená",J185,0)</f>
        <v>0</v>
      </c>
      <c r="FP185" s="137">
        <f>IF(DV185="sníž. přenesená",J185,0)</f>
        <v>0</v>
      </c>
      <c r="FQ185" s="137">
        <f>IF(DV185="nulová",J185,0)</f>
        <v>0</v>
      </c>
      <c r="FR185" s="16" t="s">
        <v>81</v>
      </c>
      <c r="FS185" s="137">
        <f>ROUND(I185*H185,2)</f>
        <v>15203.33</v>
      </c>
      <c r="FT185" s="16" t="s">
        <v>95</v>
      </c>
      <c r="FU185" s="136" t="s">
        <v>382</v>
      </c>
    </row>
    <row r="186" spans="2:177" s="1" customFormat="1" ht="29.25" x14ac:dyDescent="0.2">
      <c r="B186" s="31"/>
      <c r="D186" s="138" t="s">
        <v>289</v>
      </c>
      <c r="F186" s="139" t="s">
        <v>383</v>
      </c>
      <c r="I186" s="140"/>
      <c r="L186" s="31"/>
      <c r="N186" s="213"/>
      <c r="O186" s="214"/>
      <c r="Q186" s="229"/>
      <c r="DU186" s="141"/>
      <c r="EB186" s="50"/>
      <c r="FB186" s="16" t="s">
        <v>289</v>
      </c>
      <c r="FC186" s="16" t="s">
        <v>83</v>
      </c>
    </row>
    <row r="187" spans="2:177" s="11" customFormat="1" x14ac:dyDescent="0.2">
      <c r="B187" s="143"/>
      <c r="D187" s="138" t="s">
        <v>301</v>
      </c>
      <c r="E187" s="144" t="s">
        <v>1</v>
      </c>
      <c r="F187" s="145" t="s">
        <v>384</v>
      </c>
      <c r="H187" s="144" t="s">
        <v>1</v>
      </c>
      <c r="I187" s="146"/>
      <c r="L187" s="143"/>
      <c r="N187" s="215"/>
      <c r="O187" s="216"/>
      <c r="Q187" s="230"/>
      <c r="DU187" s="147"/>
      <c r="EB187" s="148"/>
      <c r="FB187" s="144" t="s">
        <v>301</v>
      </c>
      <c r="FC187" s="144" t="s">
        <v>83</v>
      </c>
      <c r="FD187" s="11" t="s">
        <v>81</v>
      </c>
      <c r="FE187" s="11" t="s">
        <v>32</v>
      </c>
      <c r="FF187" s="11" t="s">
        <v>74</v>
      </c>
      <c r="FG187" s="144" t="s">
        <v>282</v>
      </c>
    </row>
    <row r="188" spans="2:177" s="12" customFormat="1" x14ac:dyDescent="0.2">
      <c r="B188" s="149"/>
      <c r="D188" s="138" t="s">
        <v>301</v>
      </c>
      <c r="E188" s="150" t="s">
        <v>1</v>
      </c>
      <c r="F188" s="151" t="s">
        <v>2661</v>
      </c>
      <c r="H188" s="152">
        <v>23.38</v>
      </c>
      <c r="I188" s="153"/>
      <c r="L188" s="149"/>
      <c r="N188" s="217">
        <f>(59.782+59.782)*0.2</f>
        <v>23.912800000000001</v>
      </c>
      <c r="O188" s="218" t="s">
        <v>3618</v>
      </c>
      <c r="Q188" s="231"/>
      <c r="DU188" s="154"/>
      <c r="EB188" s="155"/>
      <c r="FB188" s="150" t="s">
        <v>301</v>
      </c>
      <c r="FC188" s="150" t="s">
        <v>83</v>
      </c>
      <c r="FD188" s="12" t="s">
        <v>83</v>
      </c>
      <c r="FE188" s="12" t="s">
        <v>32</v>
      </c>
      <c r="FF188" s="12" t="s">
        <v>81</v>
      </c>
      <c r="FG188" s="150" t="s">
        <v>282</v>
      </c>
    </row>
    <row r="189" spans="2:177" s="12" customFormat="1" x14ac:dyDescent="0.2">
      <c r="B189" s="149"/>
      <c r="D189" s="138"/>
      <c r="E189" s="150"/>
      <c r="F189" s="151"/>
      <c r="H189" s="152"/>
      <c r="I189" s="153"/>
      <c r="L189" s="149"/>
      <c r="N189" s="310">
        <f>N188-H188</f>
        <v>0.53280000000000172</v>
      </c>
      <c r="O189" s="218"/>
      <c r="Q189" s="231"/>
      <c r="DU189" s="154"/>
      <c r="EB189" s="155"/>
      <c r="FB189" s="150"/>
      <c r="FC189" s="150"/>
      <c r="FG189" s="150"/>
    </row>
    <row r="190" spans="2:177" s="1" customFormat="1" ht="14.45" customHeight="1" x14ac:dyDescent="0.2">
      <c r="B190" s="124"/>
      <c r="C190" s="125" t="s">
        <v>8</v>
      </c>
      <c r="D190" s="125" t="s">
        <v>284</v>
      </c>
      <c r="E190" s="126" t="s">
        <v>387</v>
      </c>
      <c r="F190" s="127" t="s">
        <v>388</v>
      </c>
      <c r="G190" s="128" t="s">
        <v>287</v>
      </c>
      <c r="H190" s="129">
        <v>335.2</v>
      </c>
      <c r="I190" s="130">
        <v>156.6895922457376</v>
      </c>
      <c r="J190" s="131">
        <f>ROUND(I190*H190,2)</f>
        <v>52522.35</v>
      </c>
      <c r="K190" s="127" t="s">
        <v>293</v>
      </c>
      <c r="L190" s="268">
        <f>S190</f>
        <v>0</v>
      </c>
      <c r="M190" s="272">
        <f>ROUND(L190*I190,2)</f>
        <v>0</v>
      </c>
      <c r="N190" s="243">
        <f>N194</f>
        <v>7.6399999999999864</v>
      </c>
      <c r="O190" s="294">
        <f>ROUND(N190*I190,2)</f>
        <v>1197.1099999999999</v>
      </c>
      <c r="P190" s="273">
        <f>H190-L190-N190</f>
        <v>327.56</v>
      </c>
      <c r="Q190" s="287">
        <f>ROUND(P190*I190,2)</f>
        <v>51325.24</v>
      </c>
      <c r="R190" s="137"/>
      <c r="S190" s="269">
        <f>W190+Y190+AA190+AC190+AE190+AG190+AI190+AK190+AM190+AO190</f>
        <v>0</v>
      </c>
      <c r="T190" s="269">
        <f>ROUND(S190*I190,2)</f>
        <v>0</v>
      </c>
      <c r="U190" s="269">
        <f>H190-S190</f>
        <v>335.2</v>
      </c>
      <c r="V190" s="269">
        <f>ROUND(U190*I190,2)</f>
        <v>52522.35</v>
      </c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DU190" s="132" t="s">
        <v>1</v>
      </c>
      <c r="DV190" s="133" t="s">
        <v>40</v>
      </c>
      <c r="DX190" s="134">
        <f>DW190*H190</f>
        <v>0</v>
      </c>
      <c r="DY190" s="134">
        <v>5.9000000000000003E-4</v>
      </c>
      <c r="DZ190" s="134">
        <f>DY190*H190</f>
        <v>0.197768</v>
      </c>
      <c r="EA190" s="134">
        <v>0</v>
      </c>
      <c r="EB190" s="135">
        <f>EA190*H190</f>
        <v>0</v>
      </c>
      <c r="EZ190" s="136" t="s">
        <v>95</v>
      </c>
      <c r="FB190" s="136" t="s">
        <v>284</v>
      </c>
      <c r="FC190" s="136" t="s">
        <v>83</v>
      </c>
      <c r="FG190" s="16" t="s">
        <v>282</v>
      </c>
      <c r="FM190" s="137">
        <f>IF(DV190="základní",J190,0)</f>
        <v>52522.35</v>
      </c>
      <c r="FN190" s="137">
        <f>IF(DV190="snížená",J190,0)</f>
        <v>0</v>
      </c>
      <c r="FO190" s="137">
        <f>IF(DV190="zákl. přenesená",J190,0)</f>
        <v>0</v>
      </c>
      <c r="FP190" s="137">
        <f>IF(DV190="sníž. přenesená",J190,0)</f>
        <v>0</v>
      </c>
      <c r="FQ190" s="137">
        <f>IF(DV190="nulová",J190,0)</f>
        <v>0</v>
      </c>
      <c r="FR190" s="16" t="s">
        <v>81</v>
      </c>
      <c r="FS190" s="137">
        <f>ROUND(I190*H190,2)</f>
        <v>52522.35</v>
      </c>
      <c r="FT190" s="16" t="s">
        <v>95</v>
      </c>
      <c r="FU190" s="136" t="s">
        <v>389</v>
      </c>
    </row>
    <row r="191" spans="2:177" s="1" customFormat="1" ht="19.5" x14ac:dyDescent="0.2">
      <c r="B191" s="31"/>
      <c r="D191" s="138" t="s">
        <v>289</v>
      </c>
      <c r="F191" s="139" t="s">
        <v>390</v>
      </c>
      <c r="I191" s="140"/>
      <c r="L191" s="31"/>
      <c r="N191" s="213"/>
      <c r="O191" s="214"/>
      <c r="Q191" s="229"/>
      <c r="DU191" s="141"/>
      <c r="EB191" s="50"/>
      <c r="FB191" s="16" t="s">
        <v>289</v>
      </c>
      <c r="FC191" s="16" t="s">
        <v>83</v>
      </c>
    </row>
    <row r="192" spans="2:177" s="1" customFormat="1" ht="29.25" x14ac:dyDescent="0.2">
      <c r="B192" s="31"/>
      <c r="D192" s="138" t="s">
        <v>299</v>
      </c>
      <c r="F192" s="142" t="s">
        <v>2649</v>
      </c>
      <c r="I192" s="140"/>
      <c r="L192" s="31"/>
      <c r="N192" s="213"/>
      <c r="O192" s="214"/>
      <c r="Q192" s="229"/>
      <c r="DU192" s="141"/>
      <c r="EB192" s="50"/>
      <c r="FB192" s="16" t="s">
        <v>299</v>
      </c>
      <c r="FC192" s="16" t="s">
        <v>83</v>
      </c>
    </row>
    <row r="193" spans="2:177" s="12" customFormat="1" x14ac:dyDescent="0.2">
      <c r="B193" s="149"/>
      <c r="D193" s="138" t="s">
        <v>301</v>
      </c>
      <c r="E193" s="150" t="s">
        <v>1</v>
      </c>
      <c r="F193" s="151" t="s">
        <v>2662</v>
      </c>
      <c r="H193" s="152">
        <v>335.2</v>
      </c>
      <c r="I193" s="153"/>
      <c r="L193" s="149"/>
      <c r="N193" s="217">
        <f>85.71*2*2</f>
        <v>342.84</v>
      </c>
      <c r="O193" s="218" t="s">
        <v>3619</v>
      </c>
      <c r="Q193" s="231"/>
      <c r="DU193" s="154"/>
      <c r="EB193" s="155"/>
      <c r="FB193" s="150" t="s">
        <v>301</v>
      </c>
      <c r="FC193" s="150" t="s">
        <v>83</v>
      </c>
      <c r="FD193" s="12" t="s">
        <v>83</v>
      </c>
      <c r="FE193" s="12" t="s">
        <v>32</v>
      </c>
      <c r="FF193" s="12" t="s">
        <v>81</v>
      </c>
      <c r="FG193" s="150" t="s">
        <v>282</v>
      </c>
    </row>
    <row r="194" spans="2:177" s="12" customFormat="1" x14ac:dyDescent="0.2">
      <c r="B194" s="149"/>
      <c r="D194" s="138"/>
      <c r="E194" s="150"/>
      <c r="F194" s="151"/>
      <c r="H194" s="152"/>
      <c r="I194" s="153"/>
      <c r="L194" s="149"/>
      <c r="N194" s="310">
        <f>N193-H193</f>
        <v>7.6399999999999864</v>
      </c>
      <c r="O194" s="218"/>
      <c r="Q194" s="231"/>
      <c r="DU194" s="154"/>
      <c r="EB194" s="155"/>
      <c r="FB194" s="150"/>
      <c r="FC194" s="150"/>
      <c r="FG194" s="150"/>
    </row>
    <row r="195" spans="2:177" s="1" customFormat="1" ht="14.45" customHeight="1" x14ac:dyDescent="0.2">
      <c r="B195" s="124"/>
      <c r="C195" s="125" t="s">
        <v>379</v>
      </c>
      <c r="D195" s="125" t="s">
        <v>284</v>
      </c>
      <c r="E195" s="126" t="s">
        <v>393</v>
      </c>
      <c r="F195" s="127" t="s">
        <v>394</v>
      </c>
      <c r="G195" s="128" t="s">
        <v>287</v>
      </c>
      <c r="H195" s="129">
        <v>335.2</v>
      </c>
      <c r="I195" s="130">
        <v>103.33666316345877</v>
      </c>
      <c r="J195" s="131">
        <f>ROUND(I195*H195,2)</f>
        <v>34638.449999999997</v>
      </c>
      <c r="K195" s="127" t="s">
        <v>293</v>
      </c>
      <c r="L195" s="268">
        <f>S195</f>
        <v>0</v>
      </c>
      <c r="M195" s="272">
        <f>ROUND(L195*I195,2)</f>
        <v>0</v>
      </c>
      <c r="N195" s="243">
        <f>N190</f>
        <v>7.6399999999999864</v>
      </c>
      <c r="O195" s="294">
        <f>ROUND(N195*I195,2)</f>
        <v>789.49</v>
      </c>
      <c r="P195" s="273">
        <f>H195-L195-N195</f>
        <v>327.56</v>
      </c>
      <c r="Q195" s="287">
        <f>ROUND(P195*I195,2)</f>
        <v>33848.959999999999</v>
      </c>
      <c r="R195" s="137"/>
      <c r="S195" s="269">
        <f>W195+Y195+AA195+AC195+AE195+AG195+AI195+AK195+AM195+AO195</f>
        <v>0</v>
      </c>
      <c r="T195" s="269">
        <f>ROUND(S195*I195,2)</f>
        <v>0</v>
      </c>
      <c r="U195" s="269">
        <f>H195-S195</f>
        <v>335.2</v>
      </c>
      <c r="V195" s="269">
        <f>ROUND(U195*I195,2)</f>
        <v>34638.449999999997</v>
      </c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DU195" s="132" t="s">
        <v>1</v>
      </c>
      <c r="DV195" s="133" t="s">
        <v>40</v>
      </c>
      <c r="DX195" s="134">
        <f>DW195*H195</f>
        <v>0</v>
      </c>
      <c r="DY195" s="134">
        <v>0</v>
      </c>
      <c r="DZ195" s="134">
        <f>DY195*H195</f>
        <v>0</v>
      </c>
      <c r="EA195" s="134">
        <v>0</v>
      </c>
      <c r="EB195" s="135">
        <f>EA195*H195</f>
        <v>0</v>
      </c>
      <c r="EZ195" s="136" t="s">
        <v>95</v>
      </c>
      <c r="FB195" s="136" t="s">
        <v>284</v>
      </c>
      <c r="FC195" s="136" t="s">
        <v>83</v>
      </c>
      <c r="FG195" s="16" t="s">
        <v>282</v>
      </c>
      <c r="FM195" s="137">
        <f>IF(DV195="základní",J195,0)</f>
        <v>34638.449999999997</v>
      </c>
      <c r="FN195" s="137">
        <f>IF(DV195="snížená",J195,0)</f>
        <v>0</v>
      </c>
      <c r="FO195" s="137">
        <f>IF(DV195="zákl. přenesená",J195,0)</f>
        <v>0</v>
      </c>
      <c r="FP195" s="137">
        <f>IF(DV195="sníž. přenesená",J195,0)</f>
        <v>0</v>
      </c>
      <c r="FQ195" s="137">
        <f>IF(DV195="nulová",J195,0)</f>
        <v>0</v>
      </c>
      <c r="FR195" s="16" t="s">
        <v>81</v>
      </c>
      <c r="FS195" s="137">
        <f>ROUND(I195*H195,2)</f>
        <v>34638.449999999997</v>
      </c>
      <c r="FT195" s="16" t="s">
        <v>95</v>
      </c>
      <c r="FU195" s="136" t="s">
        <v>395</v>
      </c>
    </row>
    <row r="196" spans="2:177" s="1" customFormat="1" ht="19.5" x14ac:dyDescent="0.2">
      <c r="B196" s="31"/>
      <c r="D196" s="138" t="s">
        <v>289</v>
      </c>
      <c r="F196" s="139" t="s">
        <v>396</v>
      </c>
      <c r="I196" s="140"/>
      <c r="L196" s="31"/>
      <c r="N196" s="213"/>
      <c r="O196" s="214"/>
      <c r="Q196" s="229"/>
      <c r="DU196" s="141"/>
      <c r="EB196" s="50"/>
      <c r="FB196" s="16" t="s">
        <v>289</v>
      </c>
      <c r="FC196" s="16" t="s">
        <v>83</v>
      </c>
    </row>
    <row r="197" spans="2:177" s="1" customFormat="1" ht="37.9" customHeight="1" x14ac:dyDescent="0.2">
      <c r="B197" s="124"/>
      <c r="C197" s="125" t="s">
        <v>386</v>
      </c>
      <c r="D197" s="125" t="s">
        <v>284</v>
      </c>
      <c r="E197" s="126" t="s">
        <v>398</v>
      </c>
      <c r="F197" s="127" t="s">
        <v>399</v>
      </c>
      <c r="G197" s="128" t="s">
        <v>366</v>
      </c>
      <c r="H197" s="129">
        <v>116.902</v>
      </c>
      <c r="I197" s="130">
        <v>282.06861194786097</v>
      </c>
      <c r="J197" s="131">
        <f>ROUND(I197*H197,2)</f>
        <v>32974.379999999997</v>
      </c>
      <c r="K197" s="127" t="s">
        <v>293</v>
      </c>
      <c r="L197" s="268">
        <f>S197</f>
        <v>0</v>
      </c>
      <c r="M197" s="272">
        <f>ROUND(L197*I197,2)</f>
        <v>0</v>
      </c>
      <c r="N197" s="243">
        <f>N201</f>
        <v>2.6619999999999919</v>
      </c>
      <c r="O197" s="294">
        <f>ROUND(N197*I197,2)</f>
        <v>750.87</v>
      </c>
      <c r="P197" s="273">
        <f>H197-L197-N197</f>
        <v>114.24000000000001</v>
      </c>
      <c r="Q197" s="287">
        <f>ROUND(P197*I197,2)</f>
        <v>32223.52</v>
      </c>
      <c r="R197" s="137"/>
      <c r="S197" s="269">
        <f>W197+Y197+AA197+AC197+AE197+AG197+AI197+AK197+AM197+AO197</f>
        <v>0</v>
      </c>
      <c r="T197" s="269">
        <f>ROUND(S197*I197,2)</f>
        <v>0</v>
      </c>
      <c r="U197" s="269">
        <f>H197-S197</f>
        <v>116.902</v>
      </c>
      <c r="V197" s="269">
        <f>ROUND(U197*I197,2)</f>
        <v>32974.379999999997</v>
      </c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DU197" s="132" t="s">
        <v>1</v>
      </c>
      <c r="DV197" s="133" t="s">
        <v>40</v>
      </c>
      <c r="DX197" s="134">
        <f>DW197*H197</f>
        <v>0</v>
      </c>
      <c r="DY197" s="134">
        <v>0</v>
      </c>
      <c r="DZ197" s="134">
        <f>DY197*H197</f>
        <v>0</v>
      </c>
      <c r="EA197" s="134">
        <v>0</v>
      </c>
      <c r="EB197" s="135">
        <f>EA197*H197</f>
        <v>0</v>
      </c>
      <c r="EZ197" s="136" t="s">
        <v>95</v>
      </c>
      <c r="FB197" s="136" t="s">
        <v>284</v>
      </c>
      <c r="FC197" s="136" t="s">
        <v>83</v>
      </c>
      <c r="FG197" s="16" t="s">
        <v>282</v>
      </c>
      <c r="FM197" s="137">
        <f>IF(DV197="základní",J197,0)</f>
        <v>32974.379999999997</v>
      </c>
      <c r="FN197" s="137">
        <f>IF(DV197="snížená",J197,0)</f>
        <v>0</v>
      </c>
      <c r="FO197" s="137">
        <f>IF(DV197="zákl. přenesená",J197,0)</f>
        <v>0</v>
      </c>
      <c r="FP197" s="137">
        <f>IF(DV197="sníž. přenesená",J197,0)</f>
        <v>0</v>
      </c>
      <c r="FQ197" s="137">
        <f>IF(DV197="nulová",J197,0)</f>
        <v>0</v>
      </c>
      <c r="FR197" s="16" t="s">
        <v>81</v>
      </c>
      <c r="FS197" s="137">
        <f>ROUND(I197*H197,2)</f>
        <v>32974.379999999997</v>
      </c>
      <c r="FT197" s="16" t="s">
        <v>95</v>
      </c>
      <c r="FU197" s="136" t="s">
        <v>400</v>
      </c>
    </row>
    <row r="198" spans="2:177" s="1" customFormat="1" ht="39" x14ac:dyDescent="0.2">
      <c r="B198" s="31"/>
      <c r="D198" s="138" t="s">
        <v>289</v>
      </c>
      <c r="F198" s="139" t="s">
        <v>401</v>
      </c>
      <c r="I198" s="140"/>
      <c r="L198" s="31"/>
      <c r="N198" s="213"/>
      <c r="O198" s="214"/>
      <c r="Q198" s="229"/>
      <c r="DU198" s="141"/>
      <c r="EB198" s="50"/>
      <c r="FB198" s="16" t="s">
        <v>289</v>
      </c>
      <c r="FC198" s="16" t="s">
        <v>83</v>
      </c>
    </row>
    <row r="199" spans="2:177" s="11" customFormat="1" x14ac:dyDescent="0.2">
      <c r="B199" s="143"/>
      <c r="D199" s="138" t="s">
        <v>301</v>
      </c>
      <c r="E199" s="144" t="s">
        <v>1</v>
      </c>
      <c r="F199" s="145" t="s">
        <v>1458</v>
      </c>
      <c r="H199" s="144" t="s">
        <v>1</v>
      </c>
      <c r="I199" s="146"/>
      <c r="L199" s="143"/>
      <c r="N199" s="215"/>
      <c r="O199" s="216"/>
      <c r="Q199" s="230"/>
      <c r="DU199" s="147"/>
      <c r="EB199" s="148"/>
      <c r="FB199" s="144" t="s">
        <v>301</v>
      </c>
      <c r="FC199" s="144" t="s">
        <v>83</v>
      </c>
      <c r="FD199" s="11" t="s">
        <v>81</v>
      </c>
      <c r="FE199" s="11" t="s">
        <v>32</v>
      </c>
      <c r="FF199" s="11" t="s">
        <v>74</v>
      </c>
      <c r="FG199" s="144" t="s">
        <v>282</v>
      </c>
    </row>
    <row r="200" spans="2:177" s="12" customFormat="1" x14ac:dyDescent="0.2">
      <c r="B200" s="149"/>
      <c r="D200" s="138" t="s">
        <v>301</v>
      </c>
      <c r="E200" s="150" t="s">
        <v>1</v>
      </c>
      <c r="F200" s="151" t="s">
        <v>2663</v>
      </c>
      <c r="H200" s="152">
        <v>116.902</v>
      </c>
      <c r="I200" s="153"/>
      <c r="L200" s="149"/>
      <c r="N200" s="217">
        <f>59.782+59.782</f>
        <v>119.56399999999999</v>
      </c>
      <c r="O200" s="218" t="s">
        <v>3620</v>
      </c>
      <c r="Q200" s="231"/>
      <c r="DU200" s="154"/>
      <c r="EB200" s="155"/>
      <c r="FB200" s="150" t="s">
        <v>301</v>
      </c>
      <c r="FC200" s="150" t="s">
        <v>83</v>
      </c>
      <c r="FD200" s="12" t="s">
        <v>83</v>
      </c>
      <c r="FE200" s="12" t="s">
        <v>32</v>
      </c>
      <c r="FF200" s="12" t="s">
        <v>81</v>
      </c>
      <c r="FG200" s="150" t="s">
        <v>282</v>
      </c>
    </row>
    <row r="201" spans="2:177" s="12" customFormat="1" x14ac:dyDescent="0.2">
      <c r="B201" s="149"/>
      <c r="D201" s="138"/>
      <c r="E201" s="150"/>
      <c r="F201" s="151"/>
      <c r="H201" s="152"/>
      <c r="I201" s="153"/>
      <c r="L201" s="149"/>
      <c r="N201" s="310">
        <f>N200-H200</f>
        <v>2.6619999999999919</v>
      </c>
      <c r="O201" s="218"/>
      <c r="Q201" s="231"/>
      <c r="DU201" s="154"/>
      <c r="EB201" s="155"/>
      <c r="FB201" s="150"/>
      <c r="FC201" s="150"/>
      <c r="FG201" s="150"/>
    </row>
    <row r="202" spans="2:177" s="1" customFormat="1" ht="37.9" customHeight="1" x14ac:dyDescent="0.2">
      <c r="B202" s="124"/>
      <c r="C202" s="125" t="s">
        <v>392</v>
      </c>
      <c r="D202" s="125" t="s">
        <v>284</v>
      </c>
      <c r="E202" s="126" t="s">
        <v>405</v>
      </c>
      <c r="F202" s="127" t="s">
        <v>406</v>
      </c>
      <c r="G202" s="128" t="s">
        <v>366</v>
      </c>
      <c r="H202" s="129">
        <v>584.51</v>
      </c>
      <c r="I202" s="130">
        <v>3.4208109177592001</v>
      </c>
      <c r="J202" s="131">
        <f>ROUND(I202*H202,2)</f>
        <v>1999.5</v>
      </c>
      <c r="K202" s="127" t="s">
        <v>293</v>
      </c>
      <c r="L202" s="268">
        <f>S202</f>
        <v>0</v>
      </c>
      <c r="M202" s="272">
        <f>ROUND(L202*I202,2)</f>
        <v>0</v>
      </c>
      <c r="N202" s="243">
        <f>N205</f>
        <v>13.309999999999945</v>
      </c>
      <c r="O202" s="294">
        <f>ROUND(N202*I202,2)</f>
        <v>45.53</v>
      </c>
      <c r="P202" s="273">
        <f>H202-L202-N202</f>
        <v>571.20000000000005</v>
      </c>
      <c r="Q202" s="287">
        <f>ROUND(P202*I202,2)</f>
        <v>1953.97</v>
      </c>
      <c r="R202" s="137"/>
      <c r="S202" s="269">
        <f>W202+Y202+AA202+AC202+AE202+AG202+AI202+AK202+AM202+AO202</f>
        <v>0</v>
      </c>
      <c r="T202" s="269">
        <f>ROUND(S202*I202,2)</f>
        <v>0</v>
      </c>
      <c r="U202" s="269">
        <f>H202-S202</f>
        <v>584.51</v>
      </c>
      <c r="V202" s="269">
        <f>ROUND(U202*I202,2)</f>
        <v>1999.5</v>
      </c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DU202" s="132" t="s">
        <v>1</v>
      </c>
      <c r="DV202" s="133" t="s">
        <v>40</v>
      </c>
      <c r="DX202" s="134">
        <f>DW202*H202</f>
        <v>0</v>
      </c>
      <c r="DY202" s="134">
        <v>0</v>
      </c>
      <c r="DZ202" s="134">
        <f>DY202*H202</f>
        <v>0</v>
      </c>
      <c r="EA202" s="134">
        <v>0</v>
      </c>
      <c r="EB202" s="135">
        <f>EA202*H202</f>
        <v>0</v>
      </c>
      <c r="EZ202" s="136" t="s">
        <v>95</v>
      </c>
      <c r="FB202" s="136" t="s">
        <v>284</v>
      </c>
      <c r="FC202" s="136" t="s">
        <v>83</v>
      </c>
      <c r="FG202" s="16" t="s">
        <v>282</v>
      </c>
      <c r="FM202" s="137">
        <f>IF(DV202="základní",J202,0)</f>
        <v>1999.5</v>
      </c>
      <c r="FN202" s="137">
        <f>IF(DV202="snížená",J202,0)</f>
        <v>0</v>
      </c>
      <c r="FO202" s="137">
        <f>IF(DV202="zákl. přenesená",J202,0)</f>
        <v>0</v>
      </c>
      <c r="FP202" s="137">
        <f>IF(DV202="sníž. přenesená",J202,0)</f>
        <v>0</v>
      </c>
      <c r="FQ202" s="137">
        <f>IF(DV202="nulová",J202,0)</f>
        <v>0</v>
      </c>
      <c r="FR202" s="16" t="s">
        <v>81</v>
      </c>
      <c r="FS202" s="137">
        <f>ROUND(I202*H202,2)</f>
        <v>1999.5</v>
      </c>
      <c r="FT202" s="16" t="s">
        <v>95</v>
      </c>
      <c r="FU202" s="136" t="s">
        <v>407</v>
      </c>
    </row>
    <row r="203" spans="2:177" s="1" customFormat="1" ht="48.75" x14ac:dyDescent="0.2">
      <c r="B203" s="31"/>
      <c r="D203" s="138" t="s">
        <v>289</v>
      </c>
      <c r="F203" s="139" t="s">
        <v>408</v>
      </c>
      <c r="I203" s="140"/>
      <c r="L203" s="31"/>
      <c r="N203" s="213"/>
      <c r="O203" s="214"/>
      <c r="Q203" s="229"/>
      <c r="DU203" s="141"/>
      <c r="EB203" s="50"/>
      <c r="FB203" s="16" t="s">
        <v>289</v>
      </c>
      <c r="FC203" s="16" t="s">
        <v>83</v>
      </c>
    </row>
    <row r="204" spans="2:177" s="12" customFormat="1" x14ac:dyDescent="0.2">
      <c r="B204" s="149"/>
      <c r="D204" s="138" t="s">
        <v>301</v>
      </c>
      <c r="F204" s="151" t="s">
        <v>2664</v>
      </c>
      <c r="H204" s="152">
        <v>584.51</v>
      </c>
      <c r="I204" s="153"/>
      <c r="L204" s="149"/>
      <c r="N204" s="217">
        <f>119.564*5</f>
        <v>597.81999999999994</v>
      </c>
      <c r="O204" s="218" t="s">
        <v>3621</v>
      </c>
      <c r="Q204" s="231"/>
      <c r="DU204" s="154"/>
      <c r="EB204" s="155"/>
      <c r="FB204" s="150" t="s">
        <v>301</v>
      </c>
      <c r="FC204" s="150" t="s">
        <v>83</v>
      </c>
      <c r="FD204" s="12" t="s">
        <v>83</v>
      </c>
      <c r="FE204" s="12" t="s">
        <v>3</v>
      </c>
      <c r="FF204" s="12" t="s">
        <v>81</v>
      </c>
      <c r="FG204" s="150" t="s">
        <v>282</v>
      </c>
    </row>
    <row r="205" spans="2:177" s="12" customFormat="1" x14ac:dyDescent="0.2">
      <c r="B205" s="149"/>
      <c r="D205" s="138"/>
      <c r="F205" s="151"/>
      <c r="H205" s="152"/>
      <c r="I205" s="153"/>
      <c r="L205" s="149"/>
      <c r="N205" s="310">
        <f>N204-H204</f>
        <v>13.309999999999945</v>
      </c>
      <c r="O205" s="218"/>
      <c r="Q205" s="231"/>
      <c r="DU205" s="154"/>
      <c r="EB205" s="155"/>
      <c r="FB205" s="150"/>
      <c r="FC205" s="150"/>
      <c r="FG205" s="150"/>
    </row>
    <row r="206" spans="2:177" s="1" customFormat="1" ht="24.2" customHeight="1" x14ac:dyDescent="0.2">
      <c r="B206" s="124"/>
      <c r="C206" s="125" t="s">
        <v>397</v>
      </c>
      <c r="D206" s="125" t="s">
        <v>284</v>
      </c>
      <c r="E206" s="126" t="s">
        <v>410</v>
      </c>
      <c r="F206" s="127" t="s">
        <v>411</v>
      </c>
      <c r="G206" s="128" t="s">
        <v>287</v>
      </c>
      <c r="H206" s="129">
        <v>75.42</v>
      </c>
      <c r="I206" s="130">
        <v>6.3644601414457247</v>
      </c>
      <c r="J206" s="131">
        <f>ROUND(I206*H206,2)</f>
        <v>480.01</v>
      </c>
      <c r="K206" s="127" t="s">
        <v>293</v>
      </c>
      <c r="L206" s="268">
        <f>S206</f>
        <v>0</v>
      </c>
      <c r="M206" s="272">
        <f>ROUND(L206*I206,2)</f>
        <v>0</v>
      </c>
      <c r="N206" s="243">
        <f>N210</f>
        <v>1.7189999999999941</v>
      </c>
      <c r="O206" s="294">
        <f>ROUND(N206*I206,2)</f>
        <v>10.94</v>
      </c>
      <c r="P206" s="273">
        <f>H206-L206-N206</f>
        <v>73.701000000000008</v>
      </c>
      <c r="Q206" s="287">
        <f>ROUND(P206*I206,2)</f>
        <v>469.07</v>
      </c>
      <c r="R206" s="137"/>
      <c r="S206" s="269">
        <f>W206+Y206+AA206+AC206+AE206+AG206+AI206+AK206+AM206+AO206</f>
        <v>0</v>
      </c>
      <c r="T206" s="269">
        <f>ROUND(S206*I206,2)</f>
        <v>0</v>
      </c>
      <c r="U206" s="269">
        <f>H206-S206</f>
        <v>75.42</v>
      </c>
      <c r="V206" s="269">
        <f>ROUND(U206*I206,2)</f>
        <v>480.01</v>
      </c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DU206" s="132" t="s">
        <v>1</v>
      </c>
      <c r="DV206" s="133" t="s">
        <v>40</v>
      </c>
      <c r="DX206" s="134">
        <f>DW206*H206</f>
        <v>0</v>
      </c>
      <c r="DY206" s="134">
        <v>0</v>
      </c>
      <c r="DZ206" s="134">
        <f>DY206*H206</f>
        <v>0</v>
      </c>
      <c r="EA206" s="134">
        <v>0</v>
      </c>
      <c r="EB206" s="135">
        <f>EA206*H206</f>
        <v>0</v>
      </c>
      <c r="EZ206" s="136" t="s">
        <v>95</v>
      </c>
      <c r="FB206" s="136" t="s">
        <v>284</v>
      </c>
      <c r="FC206" s="136" t="s">
        <v>83</v>
      </c>
      <c r="FG206" s="16" t="s">
        <v>282</v>
      </c>
      <c r="FM206" s="137">
        <f>IF(DV206="základní",J206,0)</f>
        <v>480.01</v>
      </c>
      <c r="FN206" s="137">
        <f>IF(DV206="snížená",J206,0)</f>
        <v>0</v>
      </c>
      <c r="FO206" s="137">
        <f>IF(DV206="zákl. přenesená",J206,0)</f>
        <v>0</v>
      </c>
      <c r="FP206" s="137">
        <f>IF(DV206="sníž. přenesená",J206,0)</f>
        <v>0</v>
      </c>
      <c r="FQ206" s="137">
        <f>IF(DV206="nulová",J206,0)</f>
        <v>0</v>
      </c>
      <c r="FR206" s="16" t="s">
        <v>81</v>
      </c>
      <c r="FS206" s="137">
        <f>ROUND(I206*H206,2)</f>
        <v>480.01</v>
      </c>
      <c r="FT206" s="16" t="s">
        <v>95</v>
      </c>
      <c r="FU206" s="136" t="s">
        <v>412</v>
      </c>
    </row>
    <row r="207" spans="2:177" s="1" customFormat="1" ht="19.5" x14ac:dyDescent="0.2">
      <c r="B207" s="31"/>
      <c r="D207" s="138" t="s">
        <v>289</v>
      </c>
      <c r="F207" s="139" t="s">
        <v>413</v>
      </c>
      <c r="I207" s="140"/>
      <c r="L207" s="31"/>
      <c r="N207" s="213"/>
      <c r="O207" s="214"/>
      <c r="Q207" s="229"/>
      <c r="DU207" s="141"/>
      <c r="EB207" s="50"/>
      <c r="FB207" s="16" t="s">
        <v>289</v>
      </c>
      <c r="FC207" s="16" t="s">
        <v>83</v>
      </c>
    </row>
    <row r="208" spans="2:177" s="1" customFormat="1" ht="29.25" x14ac:dyDescent="0.2">
      <c r="B208" s="31"/>
      <c r="D208" s="138" t="s">
        <v>299</v>
      </c>
      <c r="F208" s="142" t="s">
        <v>2649</v>
      </c>
      <c r="I208" s="140"/>
      <c r="L208" s="31"/>
      <c r="N208" s="213"/>
      <c r="O208" s="214"/>
      <c r="Q208" s="229"/>
      <c r="DU208" s="141"/>
      <c r="EB208" s="50"/>
      <c r="FB208" s="16" t="s">
        <v>299</v>
      </c>
      <c r="FC208" s="16" t="s">
        <v>83</v>
      </c>
    </row>
    <row r="209" spans="2:177" s="12" customFormat="1" x14ac:dyDescent="0.2">
      <c r="B209" s="149"/>
      <c r="D209" s="138" t="s">
        <v>301</v>
      </c>
      <c r="E209" s="150" t="s">
        <v>1</v>
      </c>
      <c r="F209" s="151" t="s">
        <v>2650</v>
      </c>
      <c r="H209" s="152">
        <v>75.42</v>
      </c>
      <c r="I209" s="153"/>
      <c r="L209" s="149"/>
      <c r="N209" s="217">
        <f>85.71*0.9</f>
        <v>77.138999999999996</v>
      </c>
      <c r="O209" s="218" t="s">
        <v>3613</v>
      </c>
      <c r="Q209" s="231"/>
      <c r="DU209" s="154"/>
      <c r="EB209" s="155"/>
      <c r="FB209" s="150" t="s">
        <v>301</v>
      </c>
      <c r="FC209" s="150" t="s">
        <v>83</v>
      </c>
      <c r="FD209" s="12" t="s">
        <v>83</v>
      </c>
      <c r="FE209" s="12" t="s">
        <v>32</v>
      </c>
      <c r="FF209" s="12" t="s">
        <v>81</v>
      </c>
      <c r="FG209" s="150" t="s">
        <v>282</v>
      </c>
    </row>
    <row r="210" spans="2:177" s="12" customFormat="1" x14ac:dyDescent="0.2">
      <c r="B210" s="149"/>
      <c r="D210" s="138"/>
      <c r="E210" s="150"/>
      <c r="F210" s="151"/>
      <c r="H210" s="152"/>
      <c r="I210" s="153"/>
      <c r="L210" s="149"/>
      <c r="N210" s="310">
        <f>N209-H209</f>
        <v>1.7189999999999941</v>
      </c>
      <c r="O210" s="218"/>
      <c r="Q210" s="231"/>
      <c r="DU210" s="154"/>
      <c r="EB210" s="155"/>
      <c r="FB210" s="150"/>
      <c r="FC210" s="150"/>
      <c r="FG210" s="150"/>
    </row>
    <row r="211" spans="2:177" s="1" customFormat="1" ht="24.2" customHeight="1" x14ac:dyDescent="0.2">
      <c r="B211" s="124"/>
      <c r="C211" s="125" t="s">
        <v>404</v>
      </c>
      <c r="D211" s="125" t="s">
        <v>284</v>
      </c>
      <c r="E211" s="126" t="s">
        <v>416</v>
      </c>
      <c r="F211" s="127" t="s">
        <v>417</v>
      </c>
      <c r="G211" s="128" t="s">
        <v>418</v>
      </c>
      <c r="H211" s="129">
        <v>210.42400000000001</v>
      </c>
      <c r="I211" s="130">
        <v>110.6455721</v>
      </c>
      <c r="J211" s="131">
        <f>ROUND(I211*H211,2)</f>
        <v>23282.48</v>
      </c>
      <c r="K211" s="127" t="s">
        <v>293</v>
      </c>
      <c r="L211" s="268">
        <f>S211</f>
        <v>0</v>
      </c>
      <c r="M211" s="272">
        <f>ROUND(L211*I211,2)</f>
        <v>0</v>
      </c>
      <c r="N211" s="243">
        <f>N214</f>
        <v>4.791199999999975</v>
      </c>
      <c r="O211" s="294">
        <f>ROUND(N211*I211,2)</f>
        <v>530.13</v>
      </c>
      <c r="P211" s="273">
        <f>H211-L211-N211</f>
        <v>205.63280000000003</v>
      </c>
      <c r="Q211" s="287">
        <f>ROUND(P211*I211,2)</f>
        <v>22752.36</v>
      </c>
      <c r="R211" s="137"/>
      <c r="S211" s="269">
        <f>W211+Y211+AA211+AC211+AE211+AG211+AI211+AK211+AM211+AO211</f>
        <v>0</v>
      </c>
      <c r="T211" s="269">
        <f>ROUND(S211*I211,2)</f>
        <v>0</v>
      </c>
      <c r="U211" s="269">
        <f>H211-S211</f>
        <v>210.42400000000001</v>
      </c>
      <c r="V211" s="269">
        <f>ROUND(U211*I211,2)</f>
        <v>23282.48</v>
      </c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DU211" s="132" t="s">
        <v>1</v>
      </c>
      <c r="DV211" s="133" t="s">
        <v>40</v>
      </c>
      <c r="DX211" s="134">
        <f>DW211*H211</f>
        <v>0</v>
      </c>
      <c r="DY211" s="134">
        <v>0</v>
      </c>
      <c r="DZ211" s="134">
        <f>DY211*H211</f>
        <v>0</v>
      </c>
      <c r="EA211" s="134">
        <v>0</v>
      </c>
      <c r="EB211" s="135">
        <f>EA211*H211</f>
        <v>0</v>
      </c>
      <c r="EZ211" s="136" t="s">
        <v>95</v>
      </c>
      <c r="FB211" s="136" t="s">
        <v>284</v>
      </c>
      <c r="FC211" s="136" t="s">
        <v>83</v>
      </c>
      <c r="FG211" s="16" t="s">
        <v>282</v>
      </c>
      <c r="FM211" s="137">
        <f>IF(DV211="základní",J211,0)</f>
        <v>23282.48</v>
      </c>
      <c r="FN211" s="137">
        <f>IF(DV211="snížená",J211,0)</f>
        <v>0</v>
      </c>
      <c r="FO211" s="137">
        <f>IF(DV211="zákl. přenesená",J211,0)</f>
        <v>0</v>
      </c>
      <c r="FP211" s="137">
        <f>IF(DV211="sníž. přenesená",J211,0)</f>
        <v>0</v>
      </c>
      <c r="FQ211" s="137">
        <f>IF(DV211="nulová",J211,0)</f>
        <v>0</v>
      </c>
      <c r="FR211" s="16" t="s">
        <v>81</v>
      </c>
      <c r="FS211" s="137">
        <f>ROUND(I211*H211,2)</f>
        <v>23282.48</v>
      </c>
      <c r="FT211" s="16" t="s">
        <v>95</v>
      </c>
      <c r="FU211" s="136" t="s">
        <v>419</v>
      </c>
    </row>
    <row r="212" spans="2:177" s="1" customFormat="1" ht="29.25" x14ac:dyDescent="0.2">
      <c r="B212" s="31"/>
      <c r="D212" s="138" t="s">
        <v>289</v>
      </c>
      <c r="F212" s="139" t="s">
        <v>420</v>
      </c>
      <c r="I212" s="140"/>
      <c r="L212" s="31"/>
      <c r="N212" s="213"/>
      <c r="O212" s="214"/>
      <c r="Q212" s="229"/>
      <c r="DU212" s="141"/>
      <c r="EB212" s="50"/>
      <c r="FB212" s="16" t="s">
        <v>289</v>
      </c>
      <c r="FC212" s="16" t="s">
        <v>83</v>
      </c>
    </row>
    <row r="213" spans="2:177" s="12" customFormat="1" x14ac:dyDescent="0.2">
      <c r="B213" s="149"/>
      <c r="D213" s="138" t="s">
        <v>301</v>
      </c>
      <c r="F213" s="151" t="s">
        <v>2665</v>
      </c>
      <c r="H213" s="152">
        <v>210.42400000000001</v>
      </c>
      <c r="I213" s="153"/>
      <c r="L213" s="149"/>
      <c r="N213" s="217">
        <f>119.564*1.8</f>
        <v>215.21519999999998</v>
      </c>
      <c r="O213" s="218" t="s">
        <v>3622</v>
      </c>
      <c r="Q213" s="231"/>
      <c r="DU213" s="154"/>
      <c r="EB213" s="155"/>
      <c r="FB213" s="150" t="s">
        <v>301</v>
      </c>
      <c r="FC213" s="150" t="s">
        <v>83</v>
      </c>
      <c r="FD213" s="12" t="s">
        <v>83</v>
      </c>
      <c r="FE213" s="12" t="s">
        <v>3</v>
      </c>
      <c r="FF213" s="12" t="s">
        <v>81</v>
      </c>
      <c r="FG213" s="150" t="s">
        <v>282</v>
      </c>
    </row>
    <row r="214" spans="2:177" s="12" customFormat="1" x14ac:dyDescent="0.2">
      <c r="B214" s="149"/>
      <c r="D214" s="138"/>
      <c r="F214" s="151"/>
      <c r="H214" s="152"/>
      <c r="I214" s="153"/>
      <c r="L214" s="149"/>
      <c r="N214" s="310">
        <f>N213-H213</f>
        <v>4.791199999999975</v>
      </c>
      <c r="O214" s="218"/>
      <c r="Q214" s="231"/>
      <c r="DU214" s="154"/>
      <c r="EB214" s="155"/>
      <c r="FB214" s="150"/>
      <c r="FC214" s="150"/>
      <c r="FG214" s="150"/>
    </row>
    <row r="215" spans="2:177" s="1" customFormat="1" ht="24.2" customHeight="1" x14ac:dyDescent="0.2">
      <c r="B215" s="124"/>
      <c r="C215" s="125" t="s">
        <v>7</v>
      </c>
      <c r="D215" s="125" t="s">
        <v>284</v>
      </c>
      <c r="E215" s="126" t="s">
        <v>423</v>
      </c>
      <c r="F215" s="127" t="s">
        <v>424</v>
      </c>
      <c r="G215" s="128" t="s">
        <v>366</v>
      </c>
      <c r="H215" s="129">
        <v>108.10599999999999</v>
      </c>
      <c r="I215" s="130">
        <v>140.64048227116101</v>
      </c>
      <c r="J215" s="131">
        <f>ROUND(I215*H215,2)</f>
        <v>15204.08</v>
      </c>
      <c r="K215" s="127" t="s">
        <v>293</v>
      </c>
      <c r="L215" s="268">
        <f>S215</f>
        <v>0</v>
      </c>
      <c r="M215" s="272">
        <f>ROUND(L215*I215,2)</f>
        <v>0</v>
      </c>
      <c r="N215" s="243">
        <f>N228</f>
        <v>2.4727100000000064</v>
      </c>
      <c r="O215" s="294">
        <f>ROUND(N215*I215,2)</f>
        <v>347.76</v>
      </c>
      <c r="P215" s="273">
        <f>H215-L215-N215</f>
        <v>105.63328999999999</v>
      </c>
      <c r="Q215" s="287">
        <f>ROUND(P215*I215,2)</f>
        <v>14856.32</v>
      </c>
      <c r="R215" s="137"/>
      <c r="S215" s="269">
        <f>W215+Y215+AA215+AC215+AE215+AG215+AI215+AK215+AM215+AO215</f>
        <v>0</v>
      </c>
      <c r="T215" s="269">
        <f>ROUND(S215*I215,2)</f>
        <v>0</v>
      </c>
      <c r="U215" s="269">
        <f>H215-S215</f>
        <v>108.10599999999999</v>
      </c>
      <c r="V215" s="269">
        <f>ROUND(U215*I215,2)</f>
        <v>15204.08</v>
      </c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DU215" s="132" t="s">
        <v>1</v>
      </c>
      <c r="DV215" s="133" t="s">
        <v>40</v>
      </c>
      <c r="DX215" s="134">
        <f>DW215*H215</f>
        <v>0</v>
      </c>
      <c r="DY215" s="134">
        <v>0</v>
      </c>
      <c r="DZ215" s="134">
        <f>DY215*H215</f>
        <v>0</v>
      </c>
      <c r="EA215" s="134">
        <v>0</v>
      </c>
      <c r="EB215" s="135">
        <f>EA215*H215</f>
        <v>0</v>
      </c>
      <c r="EZ215" s="136" t="s">
        <v>95</v>
      </c>
      <c r="FB215" s="136" t="s">
        <v>284</v>
      </c>
      <c r="FC215" s="136" t="s">
        <v>83</v>
      </c>
      <c r="FG215" s="16" t="s">
        <v>282</v>
      </c>
      <c r="FM215" s="137">
        <f>IF(DV215="základní",J215,0)</f>
        <v>15204.08</v>
      </c>
      <c r="FN215" s="137">
        <f>IF(DV215="snížená",J215,0)</f>
        <v>0</v>
      </c>
      <c r="FO215" s="137">
        <f>IF(DV215="zákl. přenesená",J215,0)</f>
        <v>0</v>
      </c>
      <c r="FP215" s="137">
        <f>IF(DV215="sníž. přenesená",J215,0)</f>
        <v>0</v>
      </c>
      <c r="FQ215" s="137">
        <f>IF(DV215="nulová",J215,0)</f>
        <v>0</v>
      </c>
      <c r="FR215" s="16" t="s">
        <v>81</v>
      </c>
      <c r="FS215" s="137">
        <f>ROUND(I215*H215,2)</f>
        <v>15204.08</v>
      </c>
      <c r="FT215" s="16" t="s">
        <v>95</v>
      </c>
      <c r="FU215" s="136" t="s">
        <v>425</v>
      </c>
    </row>
    <row r="216" spans="2:177" s="1" customFormat="1" ht="29.25" x14ac:dyDescent="0.2">
      <c r="B216" s="31"/>
      <c r="D216" s="138" t="s">
        <v>289</v>
      </c>
      <c r="F216" s="139" t="s">
        <v>426</v>
      </c>
      <c r="I216" s="140"/>
      <c r="L216" s="31"/>
      <c r="N216" s="213"/>
      <c r="O216" s="214"/>
      <c r="Q216" s="229"/>
      <c r="DU216" s="141"/>
      <c r="EB216" s="50"/>
      <c r="FB216" s="16" t="s">
        <v>289</v>
      </c>
      <c r="FC216" s="16" t="s">
        <v>83</v>
      </c>
    </row>
    <row r="217" spans="2:177" s="11" customFormat="1" x14ac:dyDescent="0.2">
      <c r="B217" s="143"/>
      <c r="D217" s="138" t="s">
        <v>301</v>
      </c>
      <c r="E217" s="144" t="s">
        <v>1</v>
      </c>
      <c r="F217" s="145" t="s">
        <v>1458</v>
      </c>
      <c r="H217" s="144" t="s">
        <v>1</v>
      </c>
      <c r="I217" s="146"/>
      <c r="L217" s="143"/>
      <c r="N217" s="215"/>
      <c r="O217" s="216"/>
      <c r="Q217" s="230"/>
      <c r="DU217" s="147"/>
      <c r="EB217" s="148"/>
      <c r="FB217" s="144" t="s">
        <v>301</v>
      </c>
      <c r="FC217" s="144" t="s">
        <v>83</v>
      </c>
      <c r="FD217" s="11" t="s">
        <v>81</v>
      </c>
      <c r="FE217" s="11" t="s">
        <v>32</v>
      </c>
      <c r="FF217" s="11" t="s">
        <v>74</v>
      </c>
      <c r="FG217" s="144" t="s">
        <v>282</v>
      </c>
    </row>
    <row r="218" spans="2:177" s="12" customFormat="1" x14ac:dyDescent="0.2">
      <c r="B218" s="149"/>
      <c r="D218" s="138" t="s">
        <v>301</v>
      </c>
      <c r="E218" s="150" t="s">
        <v>1</v>
      </c>
      <c r="F218" s="151" t="s">
        <v>2663</v>
      </c>
      <c r="H218" s="152">
        <v>116.902</v>
      </c>
      <c r="I218" s="153"/>
      <c r="L218" s="149"/>
      <c r="N218" s="217">
        <f>59.782+59.782</f>
        <v>119.56399999999999</v>
      </c>
      <c r="O218" s="218" t="s">
        <v>3620</v>
      </c>
      <c r="Q218" s="231"/>
      <c r="DU218" s="154"/>
      <c r="EB218" s="155"/>
      <c r="FB218" s="150" t="s">
        <v>301</v>
      </c>
      <c r="FC218" s="150" t="s">
        <v>83</v>
      </c>
      <c r="FD218" s="12" t="s">
        <v>83</v>
      </c>
      <c r="FE218" s="12" t="s">
        <v>32</v>
      </c>
      <c r="FF218" s="12" t="s">
        <v>74</v>
      </c>
      <c r="FG218" s="150" t="s">
        <v>282</v>
      </c>
    </row>
    <row r="219" spans="2:177" s="11" customFormat="1" x14ac:dyDescent="0.2">
      <c r="B219" s="143"/>
      <c r="D219" s="138" t="s">
        <v>301</v>
      </c>
      <c r="E219" s="144" t="s">
        <v>1</v>
      </c>
      <c r="F219" s="145" t="s">
        <v>428</v>
      </c>
      <c r="H219" s="144" t="s">
        <v>1</v>
      </c>
      <c r="I219" s="146"/>
      <c r="L219" s="143"/>
      <c r="N219" s="215"/>
      <c r="O219" s="216"/>
      <c r="Q219" s="230"/>
      <c r="DU219" s="147"/>
      <c r="EB219" s="148"/>
      <c r="FB219" s="144" t="s">
        <v>301</v>
      </c>
      <c r="FC219" s="144" t="s">
        <v>83</v>
      </c>
      <c r="FD219" s="11" t="s">
        <v>81</v>
      </c>
      <c r="FE219" s="11" t="s">
        <v>32</v>
      </c>
      <c r="FF219" s="11" t="s">
        <v>74</v>
      </c>
      <c r="FG219" s="144" t="s">
        <v>282</v>
      </c>
    </row>
    <row r="220" spans="2:177" s="12" customFormat="1" x14ac:dyDescent="0.2">
      <c r="B220" s="149"/>
      <c r="D220" s="138" t="s">
        <v>301</v>
      </c>
      <c r="E220" s="150" t="s">
        <v>1</v>
      </c>
      <c r="F220" s="151" t="s">
        <v>2666</v>
      </c>
      <c r="H220" s="152">
        <v>-30.922000000000001</v>
      </c>
      <c r="I220" s="153"/>
      <c r="L220" s="149"/>
      <c r="N220" s="217">
        <f>-N236</f>
        <v>-31.626989999999996</v>
      </c>
      <c r="O220" s="218"/>
      <c r="Q220" s="231"/>
      <c r="DU220" s="154"/>
      <c r="EB220" s="155"/>
      <c r="FB220" s="150" t="s">
        <v>301</v>
      </c>
      <c r="FC220" s="150" t="s">
        <v>83</v>
      </c>
      <c r="FD220" s="12" t="s">
        <v>83</v>
      </c>
      <c r="FE220" s="12" t="s">
        <v>32</v>
      </c>
      <c r="FF220" s="12" t="s">
        <v>74</v>
      </c>
      <c r="FG220" s="150" t="s">
        <v>282</v>
      </c>
    </row>
    <row r="221" spans="2:177" s="11" customFormat="1" x14ac:dyDescent="0.2">
      <c r="B221" s="143"/>
      <c r="D221" s="138" t="s">
        <v>301</v>
      </c>
      <c r="E221" s="144" t="s">
        <v>1</v>
      </c>
      <c r="F221" s="145" t="s">
        <v>430</v>
      </c>
      <c r="H221" s="144" t="s">
        <v>1</v>
      </c>
      <c r="I221" s="146"/>
      <c r="L221" s="143"/>
      <c r="N221" s="215"/>
      <c r="O221" s="216"/>
      <c r="Q221" s="230"/>
      <c r="DU221" s="147"/>
      <c r="EB221" s="148"/>
      <c r="FB221" s="144" t="s">
        <v>301</v>
      </c>
      <c r="FC221" s="144" t="s">
        <v>83</v>
      </c>
      <c r="FD221" s="11" t="s">
        <v>81</v>
      </c>
      <c r="FE221" s="11" t="s">
        <v>32</v>
      </c>
      <c r="FF221" s="11" t="s">
        <v>74</v>
      </c>
      <c r="FG221" s="144" t="s">
        <v>282</v>
      </c>
    </row>
    <row r="222" spans="2:177" s="12" customFormat="1" x14ac:dyDescent="0.2">
      <c r="B222" s="149"/>
      <c r="D222" s="138" t="s">
        <v>301</v>
      </c>
      <c r="E222" s="150" t="s">
        <v>1</v>
      </c>
      <c r="F222" s="151" t="s">
        <v>2667</v>
      </c>
      <c r="H222" s="152">
        <v>-7.5419999999999998</v>
      </c>
      <c r="I222" s="153"/>
      <c r="L222" s="149"/>
      <c r="N222" s="217">
        <f>-N253</f>
        <v>-7.7138999999999998</v>
      </c>
      <c r="O222" s="218"/>
      <c r="Q222" s="231"/>
      <c r="DU222" s="154"/>
      <c r="EB222" s="155"/>
      <c r="FB222" s="150" t="s">
        <v>301</v>
      </c>
      <c r="FC222" s="150" t="s">
        <v>83</v>
      </c>
      <c r="FD222" s="12" t="s">
        <v>83</v>
      </c>
      <c r="FE222" s="12" t="s">
        <v>32</v>
      </c>
      <c r="FF222" s="12" t="s">
        <v>74</v>
      </c>
      <c r="FG222" s="150" t="s">
        <v>282</v>
      </c>
    </row>
    <row r="223" spans="2:177" s="11" customFormat="1" x14ac:dyDescent="0.2">
      <c r="B223" s="143"/>
      <c r="D223" s="138" t="s">
        <v>301</v>
      </c>
      <c r="E223" s="144" t="s">
        <v>1</v>
      </c>
      <c r="F223" s="145" t="s">
        <v>2307</v>
      </c>
      <c r="H223" s="144" t="s">
        <v>1</v>
      </c>
      <c r="I223" s="146"/>
      <c r="L223" s="143"/>
      <c r="N223" s="215"/>
      <c r="O223" s="216"/>
      <c r="Q223" s="230"/>
      <c r="DU223" s="147"/>
      <c r="EB223" s="148"/>
      <c r="FB223" s="144" t="s">
        <v>301</v>
      </c>
      <c r="FC223" s="144" t="s">
        <v>83</v>
      </c>
      <c r="FD223" s="11" t="s">
        <v>81</v>
      </c>
      <c r="FE223" s="11" t="s">
        <v>32</v>
      </c>
      <c r="FF223" s="11" t="s">
        <v>74</v>
      </c>
      <c r="FG223" s="144" t="s">
        <v>282</v>
      </c>
    </row>
    <row r="224" spans="2:177" s="12" customFormat="1" x14ac:dyDescent="0.2">
      <c r="B224" s="149"/>
      <c r="D224" s="138" t="s">
        <v>301</v>
      </c>
      <c r="E224" s="150" t="s">
        <v>1</v>
      </c>
      <c r="F224" s="151" t="s">
        <v>1725</v>
      </c>
      <c r="H224" s="152">
        <v>-0.5</v>
      </c>
      <c r="I224" s="153"/>
      <c r="L224" s="149"/>
      <c r="N224" s="310">
        <f>H224</f>
        <v>-0.5</v>
      </c>
      <c r="O224" s="218"/>
      <c r="Q224" s="231"/>
      <c r="DU224" s="154"/>
      <c r="EB224" s="155"/>
      <c r="FB224" s="150" t="s">
        <v>301</v>
      </c>
      <c r="FC224" s="150" t="s">
        <v>83</v>
      </c>
      <c r="FD224" s="12" t="s">
        <v>83</v>
      </c>
      <c r="FE224" s="12" t="s">
        <v>32</v>
      </c>
      <c r="FF224" s="12" t="s">
        <v>74</v>
      </c>
      <c r="FG224" s="150" t="s">
        <v>282</v>
      </c>
    </row>
    <row r="225" spans="2:177" s="11" customFormat="1" x14ac:dyDescent="0.2">
      <c r="B225" s="143"/>
      <c r="D225" s="138" t="s">
        <v>301</v>
      </c>
      <c r="E225" s="144" t="s">
        <v>1</v>
      </c>
      <c r="F225" s="145" t="s">
        <v>436</v>
      </c>
      <c r="H225" s="144" t="s">
        <v>1</v>
      </c>
      <c r="I225" s="146"/>
      <c r="L225" s="143"/>
      <c r="N225" s="215"/>
      <c r="O225" s="216"/>
      <c r="Q225" s="230"/>
      <c r="DU225" s="147"/>
      <c r="EB225" s="148"/>
      <c r="FB225" s="144" t="s">
        <v>301</v>
      </c>
      <c r="FC225" s="144" t="s">
        <v>83</v>
      </c>
      <c r="FD225" s="11" t="s">
        <v>81</v>
      </c>
      <c r="FE225" s="11" t="s">
        <v>32</v>
      </c>
      <c r="FF225" s="11" t="s">
        <v>74</v>
      </c>
      <c r="FG225" s="144" t="s">
        <v>282</v>
      </c>
    </row>
    <row r="226" spans="2:177" s="12" customFormat="1" x14ac:dyDescent="0.2">
      <c r="B226" s="149"/>
      <c r="D226" s="138" t="s">
        <v>301</v>
      </c>
      <c r="E226" s="150" t="s">
        <v>1</v>
      </c>
      <c r="F226" s="151" t="s">
        <v>2668</v>
      </c>
      <c r="H226" s="152">
        <v>30.167999999999999</v>
      </c>
      <c r="I226" s="153"/>
      <c r="L226" s="149"/>
      <c r="N226" s="217">
        <f>85.71*0.9*(0.45-0.05)</f>
        <v>30.855599999999999</v>
      </c>
      <c r="O226" s="218" t="s">
        <v>3627</v>
      </c>
      <c r="Q226" s="231"/>
      <c r="DU226" s="154"/>
      <c r="EB226" s="155"/>
      <c r="FB226" s="150" t="s">
        <v>301</v>
      </c>
      <c r="FC226" s="150" t="s">
        <v>83</v>
      </c>
      <c r="FD226" s="12" t="s">
        <v>83</v>
      </c>
      <c r="FE226" s="12" t="s">
        <v>32</v>
      </c>
      <c r="FF226" s="12" t="s">
        <v>74</v>
      </c>
      <c r="FG226" s="150" t="s">
        <v>282</v>
      </c>
    </row>
    <row r="227" spans="2:177" s="13" customFormat="1" x14ac:dyDescent="0.2">
      <c r="B227" s="156"/>
      <c r="D227" s="138" t="s">
        <v>301</v>
      </c>
      <c r="E227" s="157" t="s">
        <v>1</v>
      </c>
      <c r="F227" s="158" t="s">
        <v>305</v>
      </c>
      <c r="H227" s="159">
        <v>108.10599999999999</v>
      </c>
      <c r="I227" s="160"/>
      <c r="L227" s="156"/>
      <c r="N227" s="311">
        <f>N218+N220+N222+N224+N226</f>
        <v>110.57871</v>
      </c>
      <c r="O227" s="220"/>
      <c r="Q227" s="232"/>
      <c r="DU227" s="161"/>
      <c r="EB227" s="162"/>
      <c r="FB227" s="157" t="s">
        <v>301</v>
      </c>
      <c r="FC227" s="157" t="s">
        <v>83</v>
      </c>
      <c r="FD227" s="13" t="s">
        <v>95</v>
      </c>
      <c r="FE227" s="13" t="s">
        <v>32</v>
      </c>
      <c r="FF227" s="13" t="s">
        <v>81</v>
      </c>
      <c r="FG227" s="157" t="s">
        <v>282</v>
      </c>
    </row>
    <row r="228" spans="2:177" s="13" customFormat="1" x14ac:dyDescent="0.2">
      <c r="B228" s="156"/>
      <c r="D228" s="138"/>
      <c r="E228" s="157"/>
      <c r="F228" s="158"/>
      <c r="H228" s="159"/>
      <c r="I228" s="160"/>
      <c r="L228" s="156"/>
      <c r="N228" s="311">
        <f>N227-H227</f>
        <v>2.4727100000000064</v>
      </c>
      <c r="O228" s="220"/>
      <c r="Q228" s="232"/>
      <c r="DU228" s="161"/>
      <c r="EB228" s="162"/>
      <c r="FB228" s="157"/>
      <c r="FC228" s="157"/>
      <c r="FG228" s="157"/>
    </row>
    <row r="229" spans="2:177" s="1" customFormat="1" ht="14.45" customHeight="1" x14ac:dyDescent="0.2">
      <c r="B229" s="124"/>
      <c r="C229" s="170" t="s">
        <v>415</v>
      </c>
      <c r="D229" s="170" t="s">
        <v>439</v>
      </c>
      <c r="E229" s="171" t="s">
        <v>440</v>
      </c>
      <c r="F229" s="172" t="s">
        <v>441</v>
      </c>
      <c r="G229" s="173" t="s">
        <v>418</v>
      </c>
      <c r="H229" s="174">
        <v>216.21199999999999</v>
      </c>
      <c r="I229" s="175">
        <v>390.0974172</v>
      </c>
      <c r="J229" s="176">
        <f>ROUND(I229*H229,2)</f>
        <v>84343.74</v>
      </c>
      <c r="K229" s="172" t="s">
        <v>293</v>
      </c>
      <c r="L229" s="268">
        <f>S229</f>
        <v>0</v>
      </c>
      <c r="M229" s="272">
        <f>ROUND(L229*I229,2)</f>
        <v>0</v>
      </c>
      <c r="N229" s="243">
        <f>N232</f>
        <v>4.9459999999999997</v>
      </c>
      <c r="O229" s="294">
        <f>ROUND(N229*I229,2)</f>
        <v>1929.42</v>
      </c>
      <c r="P229" s="273">
        <f>H229-L229-N229</f>
        <v>211.26599999999999</v>
      </c>
      <c r="Q229" s="287">
        <f>ROUND(P229*I229,2)</f>
        <v>82414.320000000007</v>
      </c>
      <c r="R229" s="137"/>
      <c r="S229" s="269">
        <f>W229+Y229+AA229+AC229+AE229+AG229+AI229+AK229+AM229+AO229</f>
        <v>0</v>
      </c>
      <c r="T229" s="269">
        <f>ROUND(S229*I229,2)</f>
        <v>0</v>
      </c>
      <c r="U229" s="269">
        <f>H229-S229</f>
        <v>216.21199999999999</v>
      </c>
      <c r="V229" s="269">
        <f>ROUND(U229*I229,2)</f>
        <v>84343.74</v>
      </c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  <c r="AL229" s="290"/>
      <c r="AM229" s="290"/>
      <c r="AN229" s="290"/>
      <c r="AO229" s="290"/>
      <c r="AP229" s="290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77" t="s">
        <v>1</v>
      </c>
      <c r="DV229" s="178" t="s">
        <v>40</v>
      </c>
      <c r="DX229" s="134">
        <f>DW229*H229</f>
        <v>0</v>
      </c>
      <c r="DY229" s="134">
        <v>1</v>
      </c>
      <c r="DZ229" s="134">
        <f>DY229*H229</f>
        <v>216.21199999999999</v>
      </c>
      <c r="EA229" s="134">
        <v>0</v>
      </c>
      <c r="EB229" s="135">
        <f>EA229*H229</f>
        <v>0</v>
      </c>
      <c r="EZ229" s="136" t="s">
        <v>328</v>
      </c>
      <c r="FB229" s="136" t="s">
        <v>439</v>
      </c>
      <c r="FC229" s="136" t="s">
        <v>83</v>
      </c>
      <c r="FG229" s="16" t="s">
        <v>282</v>
      </c>
      <c r="FM229" s="137">
        <f>IF(DV229="základní",J229,0)</f>
        <v>84343.74</v>
      </c>
      <c r="FN229" s="137">
        <f>IF(DV229="snížená",J229,0)</f>
        <v>0</v>
      </c>
      <c r="FO229" s="137">
        <f>IF(DV229="zákl. přenesená",J229,0)</f>
        <v>0</v>
      </c>
      <c r="FP229" s="137">
        <f>IF(DV229="sníž. přenesená",J229,0)</f>
        <v>0</v>
      </c>
      <c r="FQ229" s="137">
        <f>IF(DV229="nulová",J229,0)</f>
        <v>0</v>
      </c>
      <c r="FR229" s="16" t="s">
        <v>81</v>
      </c>
      <c r="FS229" s="137">
        <f>ROUND(I229*H229,2)</f>
        <v>84343.74</v>
      </c>
      <c r="FT229" s="16" t="s">
        <v>95</v>
      </c>
      <c r="FU229" s="136" t="s">
        <v>442</v>
      </c>
    </row>
    <row r="230" spans="2:177" s="1" customFormat="1" x14ac:dyDescent="0.2">
      <c r="B230" s="31"/>
      <c r="D230" s="138" t="s">
        <v>289</v>
      </c>
      <c r="F230" s="139" t="s">
        <v>441</v>
      </c>
      <c r="I230" s="140"/>
      <c r="L230" s="31"/>
      <c r="N230" s="213"/>
      <c r="O230" s="214"/>
      <c r="Q230" s="229"/>
      <c r="DU230" s="141"/>
      <c r="EB230" s="50"/>
      <c r="FB230" s="16" t="s">
        <v>289</v>
      </c>
      <c r="FC230" s="16" t="s">
        <v>83</v>
      </c>
    </row>
    <row r="231" spans="2:177" s="1" customFormat="1" ht="19.5" x14ac:dyDescent="0.2">
      <c r="B231" s="31"/>
      <c r="D231" s="138" t="s">
        <v>299</v>
      </c>
      <c r="F231" s="142" t="s">
        <v>443</v>
      </c>
      <c r="I231" s="140"/>
      <c r="L231" s="31"/>
      <c r="N231" s="213"/>
      <c r="O231" s="214"/>
      <c r="Q231" s="229"/>
      <c r="DU231" s="141"/>
      <c r="EB231" s="50"/>
      <c r="FB231" s="16" t="s">
        <v>299</v>
      </c>
      <c r="FC231" s="16" t="s">
        <v>83</v>
      </c>
    </row>
    <row r="232" spans="2:177" s="12" customFormat="1" x14ac:dyDescent="0.2">
      <c r="B232" s="149"/>
      <c r="D232" s="138" t="s">
        <v>301</v>
      </c>
      <c r="F232" s="151" t="s">
        <v>2669</v>
      </c>
      <c r="H232" s="152">
        <v>216.21199999999999</v>
      </c>
      <c r="I232" s="153"/>
      <c r="L232" s="149"/>
      <c r="N232" s="217">
        <f>2.473*2</f>
        <v>4.9459999999999997</v>
      </c>
      <c r="O232" s="218" t="s">
        <v>3628</v>
      </c>
      <c r="Q232" s="231"/>
      <c r="DU232" s="154"/>
      <c r="EB232" s="155"/>
      <c r="FB232" s="150" t="s">
        <v>301</v>
      </c>
      <c r="FC232" s="150" t="s">
        <v>83</v>
      </c>
      <c r="FD232" s="12" t="s">
        <v>83</v>
      </c>
      <c r="FE232" s="12" t="s">
        <v>3</v>
      </c>
      <c r="FF232" s="12" t="s">
        <v>81</v>
      </c>
      <c r="FG232" s="150" t="s">
        <v>282</v>
      </c>
    </row>
    <row r="233" spans="2:177" s="1" customFormat="1" ht="24.2" customHeight="1" x14ac:dyDescent="0.2">
      <c r="B233" s="124"/>
      <c r="C233" s="125" t="s">
        <v>422</v>
      </c>
      <c r="D233" s="125" t="s">
        <v>284</v>
      </c>
      <c r="E233" s="126" t="s">
        <v>446</v>
      </c>
      <c r="F233" s="127" t="s">
        <v>447</v>
      </c>
      <c r="G233" s="128" t="s">
        <v>366</v>
      </c>
      <c r="H233" s="129">
        <v>30.922000000000001</v>
      </c>
      <c r="I233" s="130">
        <v>510.38291484661499</v>
      </c>
      <c r="J233" s="131">
        <f>ROUND(I233*H233,2)</f>
        <v>15782.06</v>
      </c>
      <c r="K233" s="127" t="s">
        <v>293</v>
      </c>
      <c r="L233" s="268">
        <f>S233</f>
        <v>0</v>
      </c>
      <c r="M233" s="272">
        <f>ROUND(L233*I233,2)</f>
        <v>0</v>
      </c>
      <c r="N233" s="243">
        <f>N237</f>
        <v>0.70498999999999512</v>
      </c>
      <c r="O233" s="294">
        <f>ROUND(N233*I233,2)</f>
        <v>359.81</v>
      </c>
      <c r="P233" s="273">
        <f>H233-L233-N233</f>
        <v>30.217010000000005</v>
      </c>
      <c r="Q233" s="287">
        <f>ROUND(P233*I233,2)</f>
        <v>15422.25</v>
      </c>
      <c r="R233" s="137"/>
      <c r="S233" s="269">
        <f>W233+Y233+AA233+AC233+AE233+AG233+AI233+AK233+AM233+AO233</f>
        <v>0</v>
      </c>
      <c r="T233" s="269">
        <f>ROUND(S233*I233,2)</f>
        <v>0</v>
      </c>
      <c r="U233" s="269">
        <f>H233-S233</f>
        <v>30.922000000000001</v>
      </c>
      <c r="V233" s="269">
        <f>ROUND(U233*I233,2)</f>
        <v>15782.06</v>
      </c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DU233" s="132" t="s">
        <v>1</v>
      </c>
      <c r="DV233" s="133" t="s">
        <v>40</v>
      </c>
      <c r="DX233" s="134">
        <f>DW233*H233</f>
        <v>0</v>
      </c>
      <c r="DY233" s="134">
        <v>0</v>
      </c>
      <c r="DZ233" s="134">
        <f>DY233*H233</f>
        <v>0</v>
      </c>
      <c r="EA233" s="134">
        <v>0</v>
      </c>
      <c r="EB233" s="135">
        <f>EA233*H233</f>
        <v>0</v>
      </c>
      <c r="EZ233" s="136" t="s">
        <v>95</v>
      </c>
      <c r="FB233" s="136" t="s">
        <v>284</v>
      </c>
      <c r="FC233" s="136" t="s">
        <v>83</v>
      </c>
      <c r="FG233" s="16" t="s">
        <v>282</v>
      </c>
      <c r="FM233" s="137">
        <f>IF(DV233="základní",J233,0)</f>
        <v>15782.06</v>
      </c>
      <c r="FN233" s="137">
        <f>IF(DV233="snížená",J233,0)</f>
        <v>0</v>
      </c>
      <c r="FO233" s="137">
        <f>IF(DV233="zákl. přenesená",J233,0)</f>
        <v>0</v>
      </c>
      <c r="FP233" s="137">
        <f>IF(DV233="sníž. přenesená",J233,0)</f>
        <v>0</v>
      </c>
      <c r="FQ233" s="137">
        <f>IF(DV233="nulová",J233,0)</f>
        <v>0</v>
      </c>
      <c r="FR233" s="16" t="s">
        <v>81</v>
      </c>
      <c r="FS233" s="137">
        <f>ROUND(I233*H233,2)</f>
        <v>15782.06</v>
      </c>
      <c r="FT233" s="16" t="s">
        <v>95</v>
      </c>
      <c r="FU233" s="136" t="s">
        <v>448</v>
      </c>
    </row>
    <row r="234" spans="2:177" s="1" customFormat="1" ht="39" x14ac:dyDescent="0.2">
      <c r="B234" s="31"/>
      <c r="D234" s="138" t="s">
        <v>289</v>
      </c>
      <c r="F234" s="139" t="s">
        <v>449</v>
      </c>
      <c r="I234" s="140"/>
      <c r="L234" s="31"/>
      <c r="N234" s="213"/>
      <c r="O234" s="214"/>
      <c r="Q234" s="229"/>
      <c r="DU234" s="141"/>
      <c r="EB234" s="50"/>
      <c r="FB234" s="16" t="s">
        <v>289</v>
      </c>
      <c r="FC234" s="16" t="s">
        <v>83</v>
      </c>
    </row>
    <row r="235" spans="2:177" s="1" customFormat="1" ht="29.25" x14ac:dyDescent="0.2">
      <c r="B235" s="31"/>
      <c r="D235" s="138" t="s">
        <v>299</v>
      </c>
      <c r="F235" s="142" t="s">
        <v>2649</v>
      </c>
      <c r="I235" s="140"/>
      <c r="L235" s="31"/>
      <c r="N235" s="213"/>
      <c r="O235" s="214"/>
      <c r="Q235" s="229"/>
      <c r="DU235" s="141"/>
      <c r="EB235" s="50"/>
      <c r="FB235" s="16" t="s">
        <v>299</v>
      </c>
      <c r="FC235" s="16" t="s">
        <v>83</v>
      </c>
    </row>
    <row r="236" spans="2:177" s="12" customFormat="1" x14ac:dyDescent="0.2">
      <c r="B236" s="149"/>
      <c r="D236" s="138" t="s">
        <v>301</v>
      </c>
      <c r="E236" s="150" t="s">
        <v>1</v>
      </c>
      <c r="F236" s="151" t="s">
        <v>2670</v>
      </c>
      <c r="H236" s="152">
        <v>30.922000000000001</v>
      </c>
      <c r="I236" s="153"/>
      <c r="L236" s="149"/>
      <c r="N236" s="217">
        <f>85.71*0.9*0.41</f>
        <v>31.626989999999996</v>
      </c>
      <c r="O236" s="218" t="s">
        <v>3623</v>
      </c>
      <c r="Q236" s="231"/>
      <c r="DU236" s="154"/>
      <c r="EB236" s="155"/>
      <c r="FB236" s="150" t="s">
        <v>301</v>
      </c>
      <c r="FC236" s="150" t="s">
        <v>83</v>
      </c>
      <c r="FD236" s="12" t="s">
        <v>83</v>
      </c>
      <c r="FE236" s="12" t="s">
        <v>32</v>
      </c>
      <c r="FF236" s="12" t="s">
        <v>81</v>
      </c>
      <c r="FG236" s="150" t="s">
        <v>282</v>
      </c>
    </row>
    <row r="237" spans="2:177" s="12" customFormat="1" x14ac:dyDescent="0.2">
      <c r="B237" s="149"/>
      <c r="D237" s="138"/>
      <c r="E237" s="150"/>
      <c r="F237" s="151"/>
      <c r="H237" s="152"/>
      <c r="I237" s="153"/>
      <c r="L237" s="149"/>
      <c r="N237" s="310">
        <f>N236-H236</f>
        <v>0.70498999999999512</v>
      </c>
      <c r="O237" s="218"/>
      <c r="Q237" s="231"/>
      <c r="DU237" s="154"/>
      <c r="EB237" s="155"/>
      <c r="FB237" s="150"/>
      <c r="FC237" s="150"/>
      <c r="FG237" s="150"/>
    </row>
    <row r="238" spans="2:177" s="1" customFormat="1" ht="14.45" customHeight="1" x14ac:dyDescent="0.2">
      <c r="B238" s="124"/>
      <c r="C238" s="170" t="s">
        <v>438</v>
      </c>
      <c r="D238" s="170" t="s">
        <v>439</v>
      </c>
      <c r="E238" s="171" t="s">
        <v>452</v>
      </c>
      <c r="F238" s="172" t="s">
        <v>453</v>
      </c>
      <c r="G238" s="173" t="s">
        <v>418</v>
      </c>
      <c r="H238" s="174">
        <v>61.844000000000001</v>
      </c>
      <c r="I238" s="175">
        <v>380.62816190000001</v>
      </c>
      <c r="J238" s="176">
        <f>ROUND(I238*H238,2)</f>
        <v>23539.57</v>
      </c>
      <c r="K238" s="172" t="s">
        <v>293</v>
      </c>
      <c r="L238" s="268">
        <f>S238</f>
        <v>0</v>
      </c>
      <c r="M238" s="272">
        <f>ROUND(L238*I238,2)</f>
        <v>0</v>
      </c>
      <c r="N238" s="243">
        <f>N240</f>
        <v>1.41</v>
      </c>
      <c r="O238" s="294">
        <f>ROUND(N238*I238,2)</f>
        <v>536.69000000000005</v>
      </c>
      <c r="P238" s="273">
        <f>H238-L238-N238</f>
        <v>60.434000000000005</v>
      </c>
      <c r="Q238" s="287">
        <f>ROUND(P238*I238,2)</f>
        <v>23002.880000000001</v>
      </c>
      <c r="R238" s="137"/>
      <c r="S238" s="269">
        <f>W238+Y238+AA238+AC238+AE238+AG238+AI238+AK238+AM238+AO238</f>
        <v>0</v>
      </c>
      <c r="T238" s="269">
        <f>ROUND(S238*I238,2)</f>
        <v>0</v>
      </c>
      <c r="U238" s="269">
        <f>H238-S238</f>
        <v>61.844000000000001</v>
      </c>
      <c r="V238" s="269">
        <f>ROUND(U238*I238,2)</f>
        <v>23539.57</v>
      </c>
      <c r="W238" s="290"/>
      <c r="X238" s="290"/>
      <c r="Y238" s="290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90"/>
      <c r="AK238" s="290"/>
      <c r="AL238" s="290"/>
      <c r="AM238" s="290"/>
      <c r="AN238" s="290"/>
      <c r="AO238" s="290"/>
      <c r="AP238" s="290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77" t="s">
        <v>1</v>
      </c>
      <c r="DV238" s="178" t="s">
        <v>40</v>
      </c>
      <c r="DX238" s="134">
        <f>DW238*H238</f>
        <v>0</v>
      </c>
      <c r="DY238" s="134">
        <v>1</v>
      </c>
      <c r="DZ238" s="134">
        <f>DY238*H238</f>
        <v>61.844000000000001</v>
      </c>
      <c r="EA238" s="134">
        <v>0</v>
      </c>
      <c r="EB238" s="135">
        <f>EA238*H238</f>
        <v>0</v>
      </c>
      <c r="EZ238" s="136" t="s">
        <v>328</v>
      </c>
      <c r="FB238" s="136" t="s">
        <v>439</v>
      </c>
      <c r="FC238" s="136" t="s">
        <v>83</v>
      </c>
      <c r="FG238" s="16" t="s">
        <v>282</v>
      </c>
      <c r="FM238" s="137">
        <f>IF(DV238="základní",J238,0)</f>
        <v>23539.57</v>
      </c>
      <c r="FN238" s="137">
        <f>IF(DV238="snížená",J238,0)</f>
        <v>0</v>
      </c>
      <c r="FO238" s="137">
        <f>IF(DV238="zákl. přenesená",J238,0)</f>
        <v>0</v>
      </c>
      <c r="FP238" s="137">
        <f>IF(DV238="sníž. přenesená",J238,0)</f>
        <v>0</v>
      </c>
      <c r="FQ238" s="137">
        <f>IF(DV238="nulová",J238,0)</f>
        <v>0</v>
      </c>
      <c r="FR238" s="16" t="s">
        <v>81</v>
      </c>
      <c r="FS238" s="137">
        <f>ROUND(I238*H238,2)</f>
        <v>23539.57</v>
      </c>
      <c r="FT238" s="16" t="s">
        <v>95</v>
      </c>
      <c r="FU238" s="136" t="s">
        <v>454</v>
      </c>
    </row>
    <row r="239" spans="2:177" s="1" customFormat="1" x14ac:dyDescent="0.2">
      <c r="B239" s="31"/>
      <c r="D239" s="138" t="s">
        <v>289</v>
      </c>
      <c r="F239" s="139" t="s">
        <v>453</v>
      </c>
      <c r="I239" s="140"/>
      <c r="L239" s="31"/>
      <c r="N239" s="213"/>
      <c r="O239" s="214"/>
      <c r="Q239" s="229"/>
      <c r="DU239" s="141"/>
      <c r="EB239" s="50"/>
      <c r="FB239" s="16" t="s">
        <v>289</v>
      </c>
      <c r="FC239" s="16" t="s">
        <v>83</v>
      </c>
    </row>
    <row r="240" spans="2:177" s="12" customFormat="1" x14ac:dyDescent="0.2">
      <c r="B240" s="149"/>
      <c r="D240" s="138" t="s">
        <v>301</v>
      </c>
      <c r="F240" s="151" t="s">
        <v>2671</v>
      </c>
      <c r="H240" s="152">
        <v>61.844000000000001</v>
      </c>
      <c r="I240" s="153"/>
      <c r="L240" s="149"/>
      <c r="N240" s="217">
        <f>0.705*2</f>
        <v>1.41</v>
      </c>
      <c r="O240" s="218" t="s">
        <v>3624</v>
      </c>
      <c r="Q240" s="231"/>
      <c r="DU240" s="154"/>
      <c r="EB240" s="155"/>
      <c r="FB240" s="150" t="s">
        <v>301</v>
      </c>
      <c r="FC240" s="150" t="s">
        <v>83</v>
      </c>
      <c r="FD240" s="12" t="s">
        <v>83</v>
      </c>
      <c r="FE240" s="12" t="s">
        <v>3</v>
      </c>
      <c r="FF240" s="12" t="s">
        <v>81</v>
      </c>
      <c r="FG240" s="150" t="s">
        <v>282</v>
      </c>
    </row>
    <row r="241" spans="2:177" s="1" customFormat="1" ht="24.2" customHeight="1" x14ac:dyDescent="0.2">
      <c r="B241" s="124"/>
      <c r="C241" s="125" t="s">
        <v>445</v>
      </c>
      <c r="D241" s="125" t="s">
        <v>284</v>
      </c>
      <c r="E241" s="126" t="s">
        <v>457</v>
      </c>
      <c r="F241" s="127" t="s">
        <v>458</v>
      </c>
      <c r="G241" s="128" t="s">
        <v>418</v>
      </c>
      <c r="H241" s="129">
        <v>278.05599999999998</v>
      </c>
      <c r="I241" s="130">
        <v>61.737071122597108</v>
      </c>
      <c r="J241" s="131">
        <f>ROUND(I241*H241,2)</f>
        <v>17166.36</v>
      </c>
      <c r="K241" s="127" t="s">
        <v>293</v>
      </c>
      <c r="L241" s="268">
        <f>S241</f>
        <v>0</v>
      </c>
      <c r="M241" s="272">
        <f>ROUND(L241*I241,2)</f>
        <v>0</v>
      </c>
      <c r="N241" s="243">
        <f>N243</f>
        <v>6.3559999999999999</v>
      </c>
      <c r="O241" s="294">
        <f>ROUND(N241*I241,2)</f>
        <v>392.4</v>
      </c>
      <c r="P241" s="273">
        <f>H241-L241-N241</f>
        <v>271.7</v>
      </c>
      <c r="Q241" s="287">
        <f>ROUND(P241*I241,2)</f>
        <v>16773.96</v>
      </c>
      <c r="R241" s="137"/>
      <c r="S241" s="269">
        <f>W241+Y241+AA241+AC241+AE241+AG241+AI241+AK241+AM241+AO241</f>
        <v>0</v>
      </c>
      <c r="T241" s="269">
        <f>ROUND(S241*I241,2)</f>
        <v>0</v>
      </c>
      <c r="U241" s="269">
        <f>H241-S241</f>
        <v>278.05599999999998</v>
      </c>
      <c r="V241" s="269">
        <f>ROUND(U241*I241,2)</f>
        <v>17166.36</v>
      </c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DU241" s="132" t="s">
        <v>1</v>
      </c>
      <c r="DV241" s="133" t="s">
        <v>40</v>
      </c>
      <c r="DX241" s="134">
        <f>DW241*H241</f>
        <v>0</v>
      </c>
      <c r="DY241" s="134">
        <v>0</v>
      </c>
      <c r="DZ241" s="134">
        <f>DY241*H241</f>
        <v>0</v>
      </c>
      <c r="EA241" s="134">
        <v>0</v>
      </c>
      <c r="EB241" s="135">
        <f>EA241*H241</f>
        <v>0</v>
      </c>
      <c r="EZ241" s="136" t="s">
        <v>95</v>
      </c>
      <c r="FB241" s="136" t="s">
        <v>284</v>
      </c>
      <c r="FC241" s="136" t="s">
        <v>83</v>
      </c>
      <c r="FG241" s="16" t="s">
        <v>282</v>
      </c>
      <c r="FM241" s="137">
        <f>IF(DV241="základní",J241,0)</f>
        <v>17166.36</v>
      </c>
      <c r="FN241" s="137">
        <f>IF(DV241="snížená",J241,0)</f>
        <v>0</v>
      </c>
      <c r="FO241" s="137">
        <f>IF(DV241="zákl. přenesená",J241,0)</f>
        <v>0</v>
      </c>
      <c r="FP241" s="137">
        <f>IF(DV241="sníž. přenesená",J241,0)</f>
        <v>0</v>
      </c>
      <c r="FQ241" s="137">
        <f>IF(DV241="nulová",J241,0)</f>
        <v>0</v>
      </c>
      <c r="FR241" s="16" t="s">
        <v>81</v>
      </c>
      <c r="FS241" s="137">
        <f>ROUND(I241*H241,2)</f>
        <v>17166.36</v>
      </c>
      <c r="FT241" s="16" t="s">
        <v>95</v>
      </c>
      <c r="FU241" s="136" t="s">
        <v>459</v>
      </c>
    </row>
    <row r="242" spans="2:177" s="1" customFormat="1" ht="29.25" x14ac:dyDescent="0.2">
      <c r="B242" s="31"/>
      <c r="D242" s="138" t="s">
        <v>289</v>
      </c>
      <c r="F242" s="139" t="s">
        <v>460</v>
      </c>
      <c r="I242" s="140"/>
      <c r="L242" s="31"/>
      <c r="N242" s="213"/>
      <c r="O242" s="214"/>
      <c r="Q242" s="229"/>
      <c r="DU242" s="141"/>
      <c r="EB242" s="50"/>
      <c r="FB242" s="16" t="s">
        <v>289</v>
      </c>
      <c r="FC242" s="16" t="s">
        <v>83</v>
      </c>
    </row>
    <row r="243" spans="2:177" s="12" customFormat="1" x14ac:dyDescent="0.2">
      <c r="B243" s="149"/>
      <c r="D243" s="138" t="s">
        <v>301</v>
      </c>
      <c r="E243" s="150" t="s">
        <v>1</v>
      </c>
      <c r="F243" s="151" t="s">
        <v>2672</v>
      </c>
      <c r="H243" s="152">
        <v>278.05599999999998</v>
      </c>
      <c r="I243" s="153"/>
      <c r="L243" s="149"/>
      <c r="N243" s="217">
        <f>4.946+1.41</f>
        <v>6.3559999999999999</v>
      </c>
      <c r="O243" s="218" t="s">
        <v>3629</v>
      </c>
      <c r="Q243" s="231"/>
      <c r="DU243" s="154"/>
      <c r="EB243" s="155"/>
      <c r="FB243" s="150" t="s">
        <v>301</v>
      </c>
      <c r="FC243" s="150" t="s">
        <v>83</v>
      </c>
      <c r="FD243" s="12" t="s">
        <v>83</v>
      </c>
      <c r="FE243" s="12" t="s">
        <v>32</v>
      </c>
      <c r="FF243" s="12" t="s">
        <v>81</v>
      </c>
      <c r="FG243" s="150" t="s">
        <v>282</v>
      </c>
    </row>
    <row r="244" spans="2:177" s="10" customFormat="1" ht="22.9" customHeight="1" x14ac:dyDescent="0.2">
      <c r="B244" s="112"/>
      <c r="D244" s="113" t="s">
        <v>73</v>
      </c>
      <c r="E244" s="122" t="s">
        <v>83</v>
      </c>
      <c r="F244" s="122" t="s">
        <v>462</v>
      </c>
      <c r="I244" s="115"/>
      <c r="J244" s="123">
        <f>FS244</f>
        <v>22128.92</v>
      </c>
      <c r="L244" s="112"/>
      <c r="M244" s="270">
        <f>M245</f>
        <v>0</v>
      </c>
      <c r="N244" s="301"/>
      <c r="O244" s="302">
        <f t="shared" ref="O244:V244" si="3">O245</f>
        <v>504.37</v>
      </c>
      <c r="P244" s="270"/>
      <c r="Q244" s="288">
        <f t="shared" si="3"/>
        <v>21624.55</v>
      </c>
      <c r="R244" s="270"/>
      <c r="S244" s="270"/>
      <c r="T244" s="270">
        <f t="shared" si="3"/>
        <v>0</v>
      </c>
      <c r="U244" s="270"/>
      <c r="V244" s="270">
        <f t="shared" si="3"/>
        <v>22128.92</v>
      </c>
      <c r="DU244" s="117"/>
      <c r="DX244" s="118">
        <f>SUM(DX245:DX248)</f>
        <v>0</v>
      </c>
      <c r="DZ244" s="118">
        <f>SUM(DZ245:DZ248)</f>
        <v>17.153022</v>
      </c>
      <c r="EB244" s="119">
        <f>SUM(EB245:EB248)</f>
        <v>0</v>
      </c>
      <c r="EZ244" s="113" t="s">
        <v>81</v>
      </c>
      <c r="FB244" s="120" t="s">
        <v>73</v>
      </c>
      <c r="FC244" s="120" t="s">
        <v>81</v>
      </c>
      <c r="FG244" s="113" t="s">
        <v>282</v>
      </c>
      <c r="FS244" s="121">
        <f>SUM(FS245:FS248)</f>
        <v>22128.92</v>
      </c>
    </row>
    <row r="245" spans="2:177" s="1" customFormat="1" ht="37.9" customHeight="1" x14ac:dyDescent="0.2">
      <c r="B245" s="124"/>
      <c r="C245" s="125" t="s">
        <v>451</v>
      </c>
      <c r="D245" s="125" t="s">
        <v>284</v>
      </c>
      <c r="E245" s="126" t="s">
        <v>464</v>
      </c>
      <c r="F245" s="127" t="s">
        <v>465</v>
      </c>
      <c r="G245" s="128" t="s">
        <v>344</v>
      </c>
      <c r="H245" s="129">
        <v>83.8</v>
      </c>
      <c r="I245" s="130">
        <v>264.06831423630393</v>
      </c>
      <c r="J245" s="131">
        <f>ROUND(I245*H245,2)</f>
        <v>22128.92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N248</f>
        <v>1.9099999999999966</v>
      </c>
      <c r="O245" s="294">
        <f>ROUND(N245*I245,2)</f>
        <v>504.37</v>
      </c>
      <c r="P245" s="273">
        <f>H245-L245-N245</f>
        <v>81.89</v>
      </c>
      <c r="Q245" s="287">
        <f>ROUND(P245*I245,2)</f>
        <v>21624.55</v>
      </c>
      <c r="R245" s="137"/>
      <c r="S245" s="269">
        <f>W245+Y245+AA245+AC245+AE245+AG245+AI245+AK245+AM245+AO245</f>
        <v>0</v>
      </c>
      <c r="T245" s="269">
        <f>ROUND(S245*I245,2)</f>
        <v>0</v>
      </c>
      <c r="U245" s="269">
        <f>H245-S245</f>
        <v>83.8</v>
      </c>
      <c r="V245" s="269">
        <f>ROUND(U245*I245,2)</f>
        <v>22128.92</v>
      </c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DU245" s="132" t="s">
        <v>1</v>
      </c>
      <c r="DV245" s="133" t="s">
        <v>40</v>
      </c>
      <c r="DX245" s="134">
        <f>DW245*H245</f>
        <v>0</v>
      </c>
      <c r="DY245" s="134">
        <v>0.20469000000000001</v>
      </c>
      <c r="DZ245" s="134">
        <f>DY245*H245</f>
        <v>17.153022</v>
      </c>
      <c r="EA245" s="134">
        <v>0</v>
      </c>
      <c r="EB245" s="135">
        <f>EA245*H245</f>
        <v>0</v>
      </c>
      <c r="EZ245" s="136" t="s">
        <v>95</v>
      </c>
      <c r="FB245" s="136" t="s">
        <v>284</v>
      </c>
      <c r="FC245" s="136" t="s">
        <v>83</v>
      </c>
      <c r="FG245" s="16" t="s">
        <v>282</v>
      </c>
      <c r="FM245" s="137">
        <f>IF(DV245="základní",J245,0)</f>
        <v>22128.92</v>
      </c>
      <c r="FN245" s="137">
        <f>IF(DV245="snížená",J245,0)</f>
        <v>0</v>
      </c>
      <c r="FO245" s="137">
        <f>IF(DV245="zákl. přenesená",J245,0)</f>
        <v>0</v>
      </c>
      <c r="FP245" s="137">
        <f>IF(DV245="sníž. přenesená",J245,0)</f>
        <v>0</v>
      </c>
      <c r="FQ245" s="137">
        <f>IF(DV245="nulová",J245,0)</f>
        <v>0</v>
      </c>
      <c r="FR245" s="16" t="s">
        <v>81</v>
      </c>
      <c r="FS245" s="137">
        <f>ROUND(I245*H245,2)</f>
        <v>22128.92</v>
      </c>
      <c r="FT245" s="16" t="s">
        <v>95</v>
      </c>
      <c r="FU245" s="136" t="s">
        <v>466</v>
      </c>
    </row>
    <row r="246" spans="2:177" s="1" customFormat="1" ht="39" x14ac:dyDescent="0.2">
      <c r="B246" s="31"/>
      <c r="D246" s="138" t="s">
        <v>289</v>
      </c>
      <c r="F246" s="139" t="s">
        <v>467</v>
      </c>
      <c r="I246" s="140"/>
      <c r="L246" s="31"/>
      <c r="N246" s="213"/>
      <c r="O246" s="214"/>
      <c r="Q246" s="229"/>
      <c r="DU246" s="141"/>
      <c r="EB246" s="50"/>
      <c r="FB246" s="16" t="s">
        <v>289</v>
      </c>
      <c r="FC246" s="16" t="s">
        <v>83</v>
      </c>
    </row>
    <row r="247" spans="2:177" s="1" customFormat="1" ht="29.25" x14ac:dyDescent="0.2">
      <c r="B247" s="31"/>
      <c r="D247" s="138" t="s">
        <v>299</v>
      </c>
      <c r="F247" s="142" t="s">
        <v>2649</v>
      </c>
      <c r="I247" s="140"/>
      <c r="L247" s="31"/>
      <c r="N247" s="213"/>
      <c r="O247" s="214"/>
      <c r="Q247" s="229"/>
      <c r="DU247" s="141"/>
      <c r="EB247" s="50"/>
      <c r="FB247" s="16" t="s">
        <v>299</v>
      </c>
      <c r="FC247" s="16" t="s">
        <v>83</v>
      </c>
    </row>
    <row r="248" spans="2:177" s="12" customFormat="1" x14ac:dyDescent="0.2">
      <c r="B248" s="149"/>
      <c r="D248" s="138" t="s">
        <v>301</v>
      </c>
      <c r="E248" s="150" t="s">
        <v>1</v>
      </c>
      <c r="F248" s="151" t="s">
        <v>2673</v>
      </c>
      <c r="H248" s="152">
        <v>83.8</v>
      </c>
      <c r="I248" s="153"/>
      <c r="L248" s="149"/>
      <c r="N248" s="217">
        <f>85.71-83.8</f>
        <v>1.9099999999999966</v>
      </c>
      <c r="O248" s="218" t="s">
        <v>3625</v>
      </c>
      <c r="Q248" s="231"/>
      <c r="DU248" s="154"/>
      <c r="EB248" s="155"/>
      <c r="FB248" s="150" t="s">
        <v>301</v>
      </c>
      <c r="FC248" s="150" t="s">
        <v>83</v>
      </c>
      <c r="FD248" s="12" t="s">
        <v>83</v>
      </c>
      <c r="FE248" s="12" t="s">
        <v>32</v>
      </c>
      <c r="FF248" s="12" t="s">
        <v>81</v>
      </c>
      <c r="FG248" s="150" t="s">
        <v>282</v>
      </c>
    </row>
    <row r="249" spans="2:177" s="10" customFormat="1" ht="22.9" customHeight="1" x14ac:dyDescent="0.2">
      <c r="B249" s="112"/>
      <c r="D249" s="113" t="s">
        <v>73</v>
      </c>
      <c r="E249" s="122" t="s">
        <v>95</v>
      </c>
      <c r="F249" s="122" t="s">
        <v>469</v>
      </c>
      <c r="I249" s="115"/>
      <c r="J249" s="123">
        <f>FS249</f>
        <v>10388.61</v>
      </c>
      <c r="L249" s="112"/>
      <c r="M249" s="270">
        <f>M250+M255</f>
        <v>0</v>
      </c>
      <c r="N249" s="301"/>
      <c r="O249" s="302">
        <f t="shared" ref="O249:V249" si="4">O250+O255</f>
        <v>206.31</v>
      </c>
      <c r="P249" s="270"/>
      <c r="Q249" s="288">
        <f t="shared" si="4"/>
        <v>10182.299999999999</v>
      </c>
      <c r="R249" s="270"/>
      <c r="S249" s="270"/>
      <c r="T249" s="270">
        <f t="shared" si="4"/>
        <v>0</v>
      </c>
      <c r="U249" s="270"/>
      <c r="V249" s="270">
        <f t="shared" si="4"/>
        <v>10388.61</v>
      </c>
      <c r="DU249" s="117"/>
      <c r="DX249" s="118">
        <f>SUM(DX250:DX258)</f>
        <v>0</v>
      </c>
      <c r="DZ249" s="118">
        <f>SUM(DZ250:DZ258)</f>
        <v>0</v>
      </c>
      <c r="EB249" s="119">
        <f>SUM(EB250:EB258)</f>
        <v>0</v>
      </c>
      <c r="EZ249" s="113" t="s">
        <v>81</v>
      </c>
      <c r="FB249" s="120" t="s">
        <v>73</v>
      </c>
      <c r="FC249" s="120" t="s">
        <v>81</v>
      </c>
      <c r="FG249" s="113" t="s">
        <v>282</v>
      </c>
      <c r="FS249" s="121">
        <f>SUM(FS250:FS258)</f>
        <v>10388.61</v>
      </c>
    </row>
    <row r="250" spans="2:177" s="1" customFormat="1" ht="14.45" customHeight="1" x14ac:dyDescent="0.2">
      <c r="B250" s="124"/>
      <c r="C250" s="125" t="s">
        <v>456</v>
      </c>
      <c r="D250" s="125" t="s">
        <v>284</v>
      </c>
      <c r="E250" s="126" t="s">
        <v>471</v>
      </c>
      <c r="F250" s="127" t="s">
        <v>472</v>
      </c>
      <c r="G250" s="128" t="s">
        <v>366</v>
      </c>
      <c r="H250" s="129">
        <v>7.5419999999999998</v>
      </c>
      <c r="I250" s="130">
        <v>1200.17173250368</v>
      </c>
      <c r="J250" s="131">
        <f>ROUND(I250*H250,2)</f>
        <v>9051.7000000000007</v>
      </c>
      <c r="K250" s="127" t="s">
        <v>293</v>
      </c>
      <c r="L250" s="268">
        <f>S250</f>
        <v>0</v>
      </c>
      <c r="M250" s="272">
        <f>ROUND(L250*I250,2)</f>
        <v>0</v>
      </c>
      <c r="N250" s="243">
        <f>N254</f>
        <v>0.17189999999999994</v>
      </c>
      <c r="O250" s="294">
        <f>ROUND(N250*I250,2)</f>
        <v>206.31</v>
      </c>
      <c r="P250" s="273">
        <f>H250-L250-N250</f>
        <v>7.3700999999999999</v>
      </c>
      <c r="Q250" s="287">
        <f>ROUND(P250*I250,2)</f>
        <v>8845.39</v>
      </c>
      <c r="R250" s="137"/>
      <c r="S250" s="269">
        <f>W250+Y250+AA250+AC250+AE250+AG250+AI250+AK250+AM250+AO250</f>
        <v>0</v>
      </c>
      <c r="T250" s="269">
        <f>ROUND(S250*I250,2)</f>
        <v>0</v>
      </c>
      <c r="U250" s="269">
        <f>H250-S250</f>
        <v>7.5419999999999998</v>
      </c>
      <c r="V250" s="269">
        <f>ROUND(U250*I250,2)</f>
        <v>9051.7000000000007</v>
      </c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DU250" s="132" t="s">
        <v>1</v>
      </c>
      <c r="DV250" s="133" t="s">
        <v>40</v>
      </c>
      <c r="DX250" s="134">
        <f>DW250*H250</f>
        <v>0</v>
      </c>
      <c r="DY250" s="134">
        <v>0</v>
      </c>
      <c r="DZ250" s="134">
        <f>DY250*H250</f>
        <v>0</v>
      </c>
      <c r="EA250" s="134">
        <v>0</v>
      </c>
      <c r="EB250" s="135">
        <f>EA250*H250</f>
        <v>0</v>
      </c>
      <c r="EZ250" s="136" t="s">
        <v>95</v>
      </c>
      <c r="FB250" s="136" t="s">
        <v>284</v>
      </c>
      <c r="FC250" s="136" t="s">
        <v>83</v>
      </c>
      <c r="FG250" s="16" t="s">
        <v>282</v>
      </c>
      <c r="FM250" s="137">
        <f>IF(DV250="základní",J250,0)</f>
        <v>9051.7000000000007</v>
      </c>
      <c r="FN250" s="137">
        <f>IF(DV250="snížená",J250,0)</f>
        <v>0</v>
      </c>
      <c r="FO250" s="137">
        <f>IF(DV250="zákl. přenesená",J250,0)</f>
        <v>0</v>
      </c>
      <c r="FP250" s="137">
        <f>IF(DV250="sníž. přenesená",J250,0)</f>
        <v>0</v>
      </c>
      <c r="FQ250" s="137">
        <f>IF(DV250="nulová",J250,0)</f>
        <v>0</v>
      </c>
      <c r="FR250" s="16" t="s">
        <v>81</v>
      </c>
      <c r="FS250" s="137">
        <f>ROUND(I250*H250,2)</f>
        <v>9051.7000000000007</v>
      </c>
      <c r="FT250" s="16" t="s">
        <v>95</v>
      </c>
      <c r="FU250" s="136" t="s">
        <v>473</v>
      </c>
    </row>
    <row r="251" spans="2:177" s="1" customFormat="1" ht="19.5" x14ac:dyDescent="0.2">
      <c r="B251" s="31"/>
      <c r="D251" s="138" t="s">
        <v>289</v>
      </c>
      <c r="F251" s="139" t="s">
        <v>474</v>
      </c>
      <c r="I251" s="140"/>
      <c r="L251" s="31"/>
      <c r="N251" s="213"/>
      <c r="O251" s="214"/>
      <c r="Q251" s="229"/>
      <c r="DU251" s="141"/>
      <c r="EB251" s="50"/>
      <c r="FB251" s="16" t="s">
        <v>289</v>
      </c>
      <c r="FC251" s="16" t="s">
        <v>83</v>
      </c>
    </row>
    <row r="252" spans="2:177" s="1" customFormat="1" ht="29.25" x14ac:dyDescent="0.2">
      <c r="B252" s="31"/>
      <c r="D252" s="138" t="s">
        <v>299</v>
      </c>
      <c r="F252" s="142" t="s">
        <v>2649</v>
      </c>
      <c r="I252" s="140"/>
      <c r="L252" s="31"/>
      <c r="N252" s="213"/>
      <c r="O252" s="214"/>
      <c r="Q252" s="229"/>
      <c r="DU252" s="141"/>
      <c r="EB252" s="50"/>
      <c r="FB252" s="16" t="s">
        <v>299</v>
      </c>
      <c r="FC252" s="16" t="s">
        <v>83</v>
      </c>
    </row>
    <row r="253" spans="2:177" s="12" customFormat="1" x14ac:dyDescent="0.2">
      <c r="B253" s="149"/>
      <c r="D253" s="138" t="s">
        <v>301</v>
      </c>
      <c r="E253" s="150" t="s">
        <v>1</v>
      </c>
      <c r="F253" s="151" t="s">
        <v>2674</v>
      </c>
      <c r="H253" s="152">
        <v>7.5419999999999998</v>
      </c>
      <c r="I253" s="153"/>
      <c r="L253" s="149"/>
      <c r="N253" s="217">
        <f>85.71*0.9*0.1</f>
        <v>7.7138999999999998</v>
      </c>
      <c r="O253" s="218" t="s">
        <v>3626</v>
      </c>
      <c r="Q253" s="231"/>
      <c r="DU253" s="154"/>
      <c r="EB253" s="155"/>
      <c r="FB253" s="150" t="s">
        <v>301</v>
      </c>
      <c r="FC253" s="150" t="s">
        <v>83</v>
      </c>
      <c r="FD253" s="12" t="s">
        <v>83</v>
      </c>
      <c r="FE253" s="12" t="s">
        <v>32</v>
      </c>
      <c r="FF253" s="12" t="s">
        <v>81</v>
      </c>
      <c r="FG253" s="150" t="s">
        <v>282</v>
      </c>
    </row>
    <row r="254" spans="2:177" s="12" customFormat="1" x14ac:dyDescent="0.2">
      <c r="B254" s="149"/>
      <c r="D254" s="138"/>
      <c r="E254" s="150"/>
      <c r="F254" s="151"/>
      <c r="H254" s="152"/>
      <c r="I254" s="153"/>
      <c r="L254" s="149"/>
      <c r="N254" s="310">
        <f>N253-H253</f>
        <v>0.17189999999999994</v>
      </c>
      <c r="O254" s="218"/>
      <c r="Q254" s="231"/>
      <c r="DU254" s="154"/>
      <c r="EB254" s="155"/>
      <c r="FB254" s="150"/>
      <c r="FC254" s="150"/>
      <c r="FG254" s="150"/>
    </row>
    <row r="255" spans="2:177" s="1" customFormat="1" ht="24.2" customHeight="1" x14ac:dyDescent="0.2">
      <c r="B255" s="124"/>
      <c r="C255" s="125" t="s">
        <v>463</v>
      </c>
      <c r="D255" s="125" t="s">
        <v>284</v>
      </c>
      <c r="E255" s="126" t="s">
        <v>2316</v>
      </c>
      <c r="F255" s="127" t="s">
        <v>2317</v>
      </c>
      <c r="G255" s="128" t="s">
        <v>366</v>
      </c>
      <c r="H255" s="129">
        <v>0.5</v>
      </c>
      <c r="I255" s="130">
        <v>2673.8237591203297</v>
      </c>
      <c r="J255" s="131">
        <f>ROUND(I255*H255,2)</f>
        <v>1336.91</v>
      </c>
      <c r="K255" s="127" t="s">
        <v>293</v>
      </c>
      <c r="L255" s="268">
        <f>S255</f>
        <v>0</v>
      </c>
      <c r="M255" s="272">
        <f>ROUND(L255*I255,2)</f>
        <v>0</v>
      </c>
      <c r="N255" s="243"/>
      <c r="O255" s="294">
        <f>ROUND(N255*I255,2)</f>
        <v>0</v>
      </c>
      <c r="P255" s="273">
        <f>H255-L255-N255</f>
        <v>0.5</v>
      </c>
      <c r="Q255" s="287">
        <f>ROUND(P255*I255,2)</f>
        <v>1336.91</v>
      </c>
      <c r="R255" s="137"/>
      <c r="S255" s="269">
        <f>W255+Y255+AA255+AC255+AE255+AG255+AI255+AK255+AM255+AO255</f>
        <v>0</v>
      </c>
      <c r="T255" s="269">
        <f>ROUND(S255*I255,2)</f>
        <v>0</v>
      </c>
      <c r="U255" s="269">
        <f>H255-S255</f>
        <v>0.5</v>
      </c>
      <c r="V255" s="269">
        <f>ROUND(U255*I255,2)</f>
        <v>1336.91</v>
      </c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DU255" s="132" t="s">
        <v>1</v>
      </c>
      <c r="DV255" s="133" t="s">
        <v>40</v>
      </c>
      <c r="DX255" s="134">
        <f>DW255*H255</f>
        <v>0</v>
      </c>
      <c r="DY255" s="134">
        <v>0</v>
      </c>
      <c r="DZ255" s="134">
        <f>DY255*H255</f>
        <v>0</v>
      </c>
      <c r="EA255" s="134">
        <v>0</v>
      </c>
      <c r="EB255" s="135">
        <f>EA255*H255</f>
        <v>0</v>
      </c>
      <c r="EZ255" s="136" t="s">
        <v>95</v>
      </c>
      <c r="FB255" s="136" t="s">
        <v>284</v>
      </c>
      <c r="FC255" s="136" t="s">
        <v>83</v>
      </c>
      <c r="FG255" s="16" t="s">
        <v>282</v>
      </c>
      <c r="FM255" s="137">
        <f>IF(DV255="základní",J255,0)</f>
        <v>1336.91</v>
      </c>
      <c r="FN255" s="137">
        <f>IF(DV255="snížená",J255,0)</f>
        <v>0</v>
      </c>
      <c r="FO255" s="137">
        <f>IF(DV255="zákl. přenesená",J255,0)</f>
        <v>0</v>
      </c>
      <c r="FP255" s="137">
        <f>IF(DV255="sníž. přenesená",J255,0)</f>
        <v>0</v>
      </c>
      <c r="FQ255" s="137">
        <f>IF(DV255="nulová",J255,0)</f>
        <v>0</v>
      </c>
      <c r="FR255" s="16" t="s">
        <v>81</v>
      </c>
      <c r="FS255" s="137">
        <f>ROUND(I255*H255,2)</f>
        <v>1336.91</v>
      </c>
      <c r="FT255" s="16" t="s">
        <v>95</v>
      </c>
      <c r="FU255" s="136" t="s">
        <v>2318</v>
      </c>
    </row>
    <row r="256" spans="2:177" s="1" customFormat="1" ht="19.5" x14ac:dyDescent="0.2">
      <c r="B256" s="31"/>
      <c r="D256" s="138" t="s">
        <v>289</v>
      </c>
      <c r="F256" s="139" t="s">
        <v>2319</v>
      </c>
      <c r="I256" s="140"/>
      <c r="L256" s="31"/>
      <c r="N256" s="213"/>
      <c r="O256" s="214"/>
      <c r="Q256" s="229"/>
      <c r="DU256" s="141"/>
      <c r="EB256" s="50"/>
      <c r="FB256" s="16" t="s">
        <v>289</v>
      </c>
      <c r="FC256" s="16" t="s">
        <v>83</v>
      </c>
    </row>
    <row r="257" spans="2:177" s="1" customFormat="1" ht="29.25" x14ac:dyDescent="0.2">
      <c r="B257" s="31"/>
      <c r="D257" s="138" t="s">
        <v>299</v>
      </c>
      <c r="F257" s="142" t="s">
        <v>2649</v>
      </c>
      <c r="I257" s="140"/>
      <c r="L257" s="31"/>
      <c r="N257" s="213"/>
      <c r="O257" s="214"/>
      <c r="Q257" s="229"/>
      <c r="DU257" s="141"/>
      <c r="EB257" s="50"/>
      <c r="FB257" s="16" t="s">
        <v>299</v>
      </c>
      <c r="FC257" s="16" t="s">
        <v>83</v>
      </c>
    </row>
    <row r="258" spans="2:177" s="12" customFormat="1" x14ac:dyDescent="0.2">
      <c r="B258" s="149"/>
      <c r="D258" s="138" t="s">
        <v>301</v>
      </c>
      <c r="E258" s="150" t="s">
        <v>1</v>
      </c>
      <c r="F258" s="151" t="s">
        <v>1916</v>
      </c>
      <c r="H258" s="152">
        <v>0.5</v>
      </c>
      <c r="I258" s="153"/>
      <c r="L258" s="149"/>
      <c r="N258" s="217"/>
      <c r="O258" s="218"/>
      <c r="Q258" s="231"/>
      <c r="DU258" s="154"/>
      <c r="EB258" s="155"/>
      <c r="FB258" s="150" t="s">
        <v>301</v>
      </c>
      <c r="FC258" s="150" t="s">
        <v>83</v>
      </c>
      <c r="FD258" s="12" t="s">
        <v>83</v>
      </c>
      <c r="FE258" s="12" t="s">
        <v>32</v>
      </c>
      <c r="FF258" s="12" t="s">
        <v>81</v>
      </c>
      <c r="FG258" s="150" t="s">
        <v>282</v>
      </c>
    </row>
    <row r="259" spans="2:177" s="10" customFormat="1" ht="22.9" customHeight="1" x14ac:dyDescent="0.2">
      <c r="B259" s="112"/>
      <c r="D259" s="113" t="s">
        <v>73</v>
      </c>
      <c r="E259" s="122" t="s">
        <v>312</v>
      </c>
      <c r="F259" s="122" t="s">
        <v>520</v>
      </c>
      <c r="I259" s="115"/>
      <c r="J259" s="123">
        <f>FS259</f>
        <v>84578.59</v>
      </c>
      <c r="L259" s="112"/>
      <c r="M259" s="270">
        <f>SUM(M260:M273)</f>
        <v>0</v>
      </c>
      <c r="N259" s="301"/>
      <c r="O259" s="302">
        <f t="shared" ref="O259:V259" si="5">SUM(O260:O273)</f>
        <v>-965.43</v>
      </c>
      <c r="P259" s="270"/>
      <c r="Q259" s="288">
        <f t="shared" si="5"/>
        <v>85544.01</v>
      </c>
      <c r="R259" s="270"/>
      <c r="S259" s="270"/>
      <c r="T259" s="270">
        <f t="shared" si="5"/>
        <v>0</v>
      </c>
      <c r="U259" s="270"/>
      <c r="V259" s="270">
        <f t="shared" si="5"/>
        <v>84578.59</v>
      </c>
      <c r="DU259" s="117"/>
      <c r="DX259" s="118">
        <f>SUM(DX260:DX277)</f>
        <v>0</v>
      </c>
      <c r="DZ259" s="118">
        <f>SUM(DZ260:DZ277)</f>
        <v>0</v>
      </c>
      <c r="EB259" s="119">
        <f>SUM(EB260:EB277)</f>
        <v>0</v>
      </c>
      <c r="EZ259" s="113" t="s">
        <v>81</v>
      </c>
      <c r="FB259" s="120" t="s">
        <v>73</v>
      </c>
      <c r="FC259" s="120" t="s">
        <v>81</v>
      </c>
      <c r="FG259" s="113" t="s">
        <v>282</v>
      </c>
      <c r="FS259" s="121">
        <f>SUM(FS260:FS277)</f>
        <v>84578.59</v>
      </c>
    </row>
    <row r="260" spans="2:177" s="1" customFormat="1" ht="24.2" customHeight="1" x14ac:dyDescent="0.2">
      <c r="B260" s="124"/>
      <c r="C260" s="125" t="s">
        <v>470</v>
      </c>
      <c r="D260" s="125" t="s">
        <v>284</v>
      </c>
      <c r="E260" s="126" t="s">
        <v>522</v>
      </c>
      <c r="F260" s="127" t="s">
        <v>523</v>
      </c>
      <c r="G260" s="128" t="s">
        <v>287</v>
      </c>
      <c r="H260" s="129">
        <v>54.42</v>
      </c>
      <c r="I260" s="130">
        <v>130.95617506780872</v>
      </c>
      <c r="J260" s="131">
        <f>ROUND(I260*H260,2)</f>
        <v>7126.64</v>
      </c>
      <c r="K260" s="127" t="s">
        <v>293</v>
      </c>
      <c r="L260" s="268">
        <f>S260</f>
        <v>0</v>
      </c>
      <c r="M260" s="272">
        <f>ROUND(L260*I260,2)</f>
        <v>0</v>
      </c>
      <c r="N260" s="243">
        <f>N135</f>
        <v>0.56700000000000017</v>
      </c>
      <c r="O260" s="294">
        <f>ROUND(N260*I260,2)</f>
        <v>74.25</v>
      </c>
      <c r="P260" s="273">
        <f>H260-L260-N260</f>
        <v>53.853000000000002</v>
      </c>
      <c r="Q260" s="287">
        <f>ROUND(P260*I260,2)</f>
        <v>7052.38</v>
      </c>
      <c r="R260" s="137"/>
      <c r="S260" s="269">
        <f>W260+Y260+AA260+AC260+AE260+AG260+AI260+AK260+AM260+AO260</f>
        <v>0</v>
      </c>
      <c r="T260" s="269">
        <f>ROUND(S260*I260,2)</f>
        <v>0</v>
      </c>
      <c r="U260" s="269">
        <f>H260-S260</f>
        <v>54.42</v>
      </c>
      <c r="V260" s="269">
        <f>ROUND(U260*I260,2)</f>
        <v>7126.64</v>
      </c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DU260" s="132" t="s">
        <v>1</v>
      </c>
      <c r="DV260" s="133" t="s">
        <v>40</v>
      </c>
      <c r="DX260" s="134">
        <f>DW260*H260</f>
        <v>0</v>
      </c>
      <c r="DY260" s="134">
        <v>0</v>
      </c>
      <c r="DZ260" s="134">
        <f>DY260*H260</f>
        <v>0</v>
      </c>
      <c r="EA260" s="134">
        <v>0</v>
      </c>
      <c r="EB260" s="135">
        <f>EA260*H260</f>
        <v>0</v>
      </c>
      <c r="EZ260" s="136" t="s">
        <v>95</v>
      </c>
      <c r="FB260" s="136" t="s">
        <v>284</v>
      </c>
      <c r="FC260" s="136" t="s">
        <v>83</v>
      </c>
      <c r="FG260" s="16" t="s">
        <v>282</v>
      </c>
      <c r="FM260" s="137">
        <f>IF(DV260="základní",J260,0)</f>
        <v>7126.64</v>
      </c>
      <c r="FN260" s="137">
        <f>IF(DV260="snížená",J260,0)</f>
        <v>0</v>
      </c>
      <c r="FO260" s="137">
        <f>IF(DV260="zákl. přenesená",J260,0)</f>
        <v>0</v>
      </c>
      <c r="FP260" s="137">
        <f>IF(DV260="sníž. přenesená",J260,0)</f>
        <v>0</v>
      </c>
      <c r="FQ260" s="137">
        <f>IF(DV260="nulová",J260,0)</f>
        <v>0</v>
      </c>
      <c r="FR260" s="16" t="s">
        <v>81</v>
      </c>
      <c r="FS260" s="137">
        <f>ROUND(I260*H260,2)</f>
        <v>7126.64</v>
      </c>
      <c r="FT260" s="16" t="s">
        <v>95</v>
      </c>
      <c r="FU260" s="136" t="s">
        <v>2675</v>
      </c>
    </row>
    <row r="261" spans="2:177" s="1" customFormat="1" ht="19.5" x14ac:dyDescent="0.2">
      <c r="B261" s="31"/>
      <c r="D261" s="138" t="s">
        <v>289</v>
      </c>
      <c r="F261" s="139" t="s">
        <v>525</v>
      </c>
      <c r="I261" s="140"/>
      <c r="L261" s="31"/>
      <c r="N261" s="213"/>
      <c r="O261" s="214"/>
      <c r="Q261" s="229"/>
      <c r="DU261" s="141"/>
      <c r="EB261" s="50"/>
      <c r="FB261" s="16" t="s">
        <v>289</v>
      </c>
      <c r="FC261" s="16" t="s">
        <v>83</v>
      </c>
    </row>
    <row r="262" spans="2:177" s="1" customFormat="1" ht="14.45" customHeight="1" x14ac:dyDescent="0.2">
      <c r="B262" s="124"/>
      <c r="C262" s="125" t="s">
        <v>476</v>
      </c>
      <c r="D262" s="125" t="s">
        <v>284</v>
      </c>
      <c r="E262" s="126" t="s">
        <v>527</v>
      </c>
      <c r="F262" s="127" t="s">
        <v>528</v>
      </c>
      <c r="G262" s="128" t="s">
        <v>287</v>
      </c>
      <c r="H262" s="129">
        <v>54.42</v>
      </c>
      <c r="I262" s="130">
        <v>200.20823792465458</v>
      </c>
      <c r="J262" s="131">
        <f>ROUND(I262*H262,2)</f>
        <v>10895.33</v>
      </c>
      <c r="K262" s="127" t="s">
        <v>293</v>
      </c>
      <c r="L262" s="268">
        <f>S262</f>
        <v>0</v>
      </c>
      <c r="M262" s="272">
        <f>ROUND(L262*I262,2)</f>
        <v>0</v>
      </c>
      <c r="N262" s="243">
        <f>N260</f>
        <v>0.56700000000000017</v>
      </c>
      <c r="O262" s="294">
        <f>ROUND(N262*I262,2)</f>
        <v>113.52</v>
      </c>
      <c r="P262" s="273">
        <f>H262-L262-N262</f>
        <v>53.853000000000002</v>
      </c>
      <c r="Q262" s="287">
        <f>ROUND(P262*I262,2)</f>
        <v>10781.81</v>
      </c>
      <c r="R262" s="137"/>
      <c r="S262" s="269">
        <f>W262+Y262+AA262+AC262+AE262+AG262+AI262+AK262+AM262+AO262</f>
        <v>0</v>
      </c>
      <c r="T262" s="269">
        <f>ROUND(S262*I262,2)</f>
        <v>0</v>
      </c>
      <c r="U262" s="269">
        <f>H262-S262</f>
        <v>54.42</v>
      </c>
      <c r="V262" s="269">
        <f>ROUND(U262*I262,2)</f>
        <v>10895.33</v>
      </c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DU262" s="132" t="s">
        <v>1</v>
      </c>
      <c r="DV262" s="133" t="s">
        <v>40</v>
      </c>
      <c r="DX262" s="134">
        <f>DW262*H262</f>
        <v>0</v>
      </c>
      <c r="DY262" s="134">
        <v>0</v>
      </c>
      <c r="DZ262" s="134">
        <f>DY262*H262</f>
        <v>0</v>
      </c>
      <c r="EA262" s="134">
        <v>0</v>
      </c>
      <c r="EB262" s="135">
        <f>EA262*H262</f>
        <v>0</v>
      </c>
      <c r="EZ262" s="136" t="s">
        <v>95</v>
      </c>
      <c r="FB262" s="136" t="s">
        <v>284</v>
      </c>
      <c r="FC262" s="136" t="s">
        <v>83</v>
      </c>
      <c r="FG262" s="16" t="s">
        <v>282</v>
      </c>
      <c r="FM262" s="137">
        <f>IF(DV262="základní",J262,0)</f>
        <v>10895.33</v>
      </c>
      <c r="FN262" s="137">
        <f>IF(DV262="snížená",J262,0)</f>
        <v>0</v>
      </c>
      <c r="FO262" s="137">
        <f>IF(DV262="zákl. přenesená",J262,0)</f>
        <v>0</v>
      </c>
      <c r="FP262" s="137">
        <f>IF(DV262="sníž. přenesená",J262,0)</f>
        <v>0</v>
      </c>
      <c r="FQ262" s="137">
        <f>IF(DV262="nulová",J262,0)</f>
        <v>0</v>
      </c>
      <c r="FR262" s="16" t="s">
        <v>81</v>
      </c>
      <c r="FS262" s="137">
        <f>ROUND(I262*H262,2)</f>
        <v>10895.33</v>
      </c>
      <c r="FT262" s="16" t="s">
        <v>95</v>
      </c>
      <c r="FU262" s="136" t="s">
        <v>2676</v>
      </c>
    </row>
    <row r="263" spans="2:177" s="1" customFormat="1" ht="19.5" x14ac:dyDescent="0.2">
      <c r="B263" s="31"/>
      <c r="D263" s="138" t="s">
        <v>289</v>
      </c>
      <c r="F263" s="139" t="s">
        <v>530</v>
      </c>
      <c r="I263" s="140"/>
      <c r="L263" s="31"/>
      <c r="N263" s="213"/>
      <c r="O263" s="214"/>
      <c r="Q263" s="229"/>
      <c r="DU263" s="141"/>
      <c r="EB263" s="50"/>
      <c r="FB263" s="16" t="s">
        <v>289</v>
      </c>
      <c r="FC263" s="16" t="s">
        <v>83</v>
      </c>
    </row>
    <row r="264" spans="2:177" s="1" customFormat="1" ht="24.2" customHeight="1" x14ac:dyDescent="0.2">
      <c r="B264" s="124"/>
      <c r="C264" s="125" t="s">
        <v>482</v>
      </c>
      <c r="D264" s="125" t="s">
        <v>284</v>
      </c>
      <c r="E264" s="126" t="s">
        <v>532</v>
      </c>
      <c r="F264" s="127" t="s">
        <v>533</v>
      </c>
      <c r="G264" s="128" t="s">
        <v>287</v>
      </c>
      <c r="H264" s="129">
        <v>54.42</v>
      </c>
      <c r="I264" s="130">
        <v>40.878739778868102</v>
      </c>
      <c r="J264" s="131">
        <f>ROUND(I264*H264,2)</f>
        <v>2224.62</v>
      </c>
      <c r="K264" s="127" t="s">
        <v>293</v>
      </c>
      <c r="L264" s="268">
        <f>S264</f>
        <v>0</v>
      </c>
      <c r="M264" s="272">
        <f>ROUND(L264*I264,2)</f>
        <v>0</v>
      </c>
      <c r="N264" s="243">
        <f>N260</f>
        <v>0.56700000000000017</v>
      </c>
      <c r="O264" s="294">
        <f>ROUND(N264*I264,2)</f>
        <v>23.18</v>
      </c>
      <c r="P264" s="273">
        <f>H264-L264-N264</f>
        <v>53.853000000000002</v>
      </c>
      <c r="Q264" s="287">
        <f>ROUND(P264*I264,2)</f>
        <v>2201.44</v>
      </c>
      <c r="R264" s="137"/>
      <c r="S264" s="269">
        <f>W264+Y264+AA264+AC264+AE264+AG264+AI264+AK264+AM264+AO264</f>
        <v>0</v>
      </c>
      <c r="T264" s="269">
        <f>ROUND(S264*I264,2)</f>
        <v>0</v>
      </c>
      <c r="U264" s="269">
        <f>H264-S264</f>
        <v>54.42</v>
      </c>
      <c r="V264" s="269">
        <f>ROUND(U264*I264,2)</f>
        <v>2224.62</v>
      </c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AO264" s="269"/>
      <c r="AP264" s="269"/>
      <c r="DU264" s="132" t="s">
        <v>1</v>
      </c>
      <c r="DV264" s="133" t="s">
        <v>40</v>
      </c>
      <c r="DX264" s="134">
        <f>DW264*H264</f>
        <v>0</v>
      </c>
      <c r="DY264" s="134">
        <v>0</v>
      </c>
      <c r="DZ264" s="134">
        <f>DY264*H264</f>
        <v>0</v>
      </c>
      <c r="EA264" s="134">
        <v>0</v>
      </c>
      <c r="EB264" s="135">
        <f>EA264*H264</f>
        <v>0</v>
      </c>
      <c r="EZ264" s="136" t="s">
        <v>95</v>
      </c>
      <c r="FB264" s="136" t="s">
        <v>284</v>
      </c>
      <c r="FC264" s="136" t="s">
        <v>83</v>
      </c>
      <c r="FG264" s="16" t="s">
        <v>282</v>
      </c>
      <c r="FM264" s="137">
        <f>IF(DV264="základní",J264,0)</f>
        <v>2224.62</v>
      </c>
      <c r="FN264" s="137">
        <f>IF(DV264="snížená",J264,0)</f>
        <v>0</v>
      </c>
      <c r="FO264" s="137">
        <f>IF(DV264="zákl. přenesená",J264,0)</f>
        <v>0</v>
      </c>
      <c r="FP264" s="137">
        <f>IF(DV264="sníž. přenesená",J264,0)</f>
        <v>0</v>
      </c>
      <c r="FQ264" s="137">
        <f>IF(DV264="nulová",J264,0)</f>
        <v>0</v>
      </c>
      <c r="FR264" s="16" t="s">
        <v>81</v>
      </c>
      <c r="FS264" s="137">
        <f>ROUND(I264*H264,2)</f>
        <v>2224.62</v>
      </c>
      <c r="FT264" s="16" t="s">
        <v>95</v>
      </c>
      <c r="FU264" s="136" t="s">
        <v>2677</v>
      </c>
    </row>
    <row r="265" spans="2:177" s="1" customFormat="1" ht="19.5" x14ac:dyDescent="0.2">
      <c r="B265" s="31"/>
      <c r="D265" s="138" t="s">
        <v>289</v>
      </c>
      <c r="F265" s="139" t="s">
        <v>535</v>
      </c>
      <c r="I265" s="140"/>
      <c r="L265" s="31"/>
      <c r="N265" s="213"/>
      <c r="O265" s="214"/>
      <c r="Q265" s="229"/>
      <c r="DU265" s="141"/>
      <c r="EB265" s="50"/>
      <c r="FB265" s="16" t="s">
        <v>289</v>
      </c>
      <c r="FC265" s="16" t="s">
        <v>83</v>
      </c>
    </row>
    <row r="266" spans="2:177" s="1" customFormat="1" ht="24.2" customHeight="1" x14ac:dyDescent="0.2">
      <c r="B266" s="124"/>
      <c r="C266" s="125" t="s">
        <v>489</v>
      </c>
      <c r="D266" s="125" t="s">
        <v>284</v>
      </c>
      <c r="E266" s="126" t="s">
        <v>537</v>
      </c>
      <c r="F266" s="127" t="s">
        <v>538</v>
      </c>
      <c r="G266" s="128" t="s">
        <v>287</v>
      </c>
      <c r="H266" s="129">
        <v>54.42</v>
      </c>
      <c r="I266" s="130">
        <v>362.67856108310502</v>
      </c>
      <c r="J266" s="131">
        <f>ROUND(I266*H266,2)</f>
        <v>19736.97</v>
      </c>
      <c r="K266" s="127" t="s">
        <v>293</v>
      </c>
      <c r="L266" s="268">
        <f>S266</f>
        <v>0</v>
      </c>
      <c r="M266" s="272">
        <f>ROUND(L266*I266,2)</f>
        <v>0</v>
      </c>
      <c r="N266" s="243">
        <f>N260</f>
        <v>0.56700000000000017</v>
      </c>
      <c r="O266" s="294">
        <f>ROUND(N266*I266,2)</f>
        <v>205.64</v>
      </c>
      <c r="P266" s="273">
        <f>H266-L266-N266</f>
        <v>53.853000000000002</v>
      </c>
      <c r="Q266" s="287">
        <f>ROUND(P266*I266,2)</f>
        <v>19531.330000000002</v>
      </c>
      <c r="R266" s="137"/>
      <c r="S266" s="269">
        <f>W266+Y266+AA266+AC266+AE266+AG266+AI266+AK266+AM266+AO266</f>
        <v>0</v>
      </c>
      <c r="T266" s="269">
        <f>ROUND(S266*I266,2)</f>
        <v>0</v>
      </c>
      <c r="U266" s="269">
        <f>H266-S266</f>
        <v>54.42</v>
      </c>
      <c r="V266" s="269">
        <f>ROUND(U266*I266,2)</f>
        <v>19736.97</v>
      </c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AO266" s="269"/>
      <c r="AP266" s="269"/>
      <c r="DU266" s="132" t="s">
        <v>1</v>
      </c>
      <c r="DV266" s="133" t="s">
        <v>40</v>
      </c>
      <c r="DX266" s="134">
        <f>DW266*H266</f>
        <v>0</v>
      </c>
      <c r="DY266" s="134">
        <v>0</v>
      </c>
      <c r="DZ266" s="134">
        <f>DY266*H266</f>
        <v>0</v>
      </c>
      <c r="EA266" s="134">
        <v>0</v>
      </c>
      <c r="EB266" s="135">
        <f>EA266*H266</f>
        <v>0</v>
      </c>
      <c r="EZ266" s="136" t="s">
        <v>95</v>
      </c>
      <c r="FB266" s="136" t="s">
        <v>284</v>
      </c>
      <c r="FC266" s="136" t="s">
        <v>83</v>
      </c>
      <c r="FG266" s="16" t="s">
        <v>282</v>
      </c>
      <c r="FM266" s="137">
        <f>IF(DV266="základní",J266,0)</f>
        <v>19736.97</v>
      </c>
      <c r="FN266" s="137">
        <f>IF(DV266="snížená",J266,0)</f>
        <v>0</v>
      </c>
      <c r="FO266" s="137">
        <f>IF(DV266="zákl. přenesená",J266,0)</f>
        <v>0</v>
      </c>
      <c r="FP266" s="137">
        <f>IF(DV266="sníž. přenesená",J266,0)</f>
        <v>0</v>
      </c>
      <c r="FQ266" s="137">
        <f>IF(DV266="nulová",J266,0)</f>
        <v>0</v>
      </c>
      <c r="FR266" s="16" t="s">
        <v>81</v>
      </c>
      <c r="FS266" s="137">
        <f>ROUND(I266*H266,2)</f>
        <v>19736.97</v>
      </c>
      <c r="FT266" s="16" t="s">
        <v>95</v>
      </c>
      <c r="FU266" s="136" t="s">
        <v>2678</v>
      </c>
    </row>
    <row r="267" spans="2:177" s="1" customFormat="1" ht="29.25" x14ac:dyDescent="0.2">
      <c r="B267" s="31"/>
      <c r="D267" s="138" t="s">
        <v>289</v>
      </c>
      <c r="F267" s="139" t="s">
        <v>540</v>
      </c>
      <c r="I267" s="140"/>
      <c r="L267" s="31"/>
      <c r="N267" s="213"/>
      <c r="O267" s="214"/>
      <c r="Q267" s="229"/>
      <c r="DU267" s="141"/>
      <c r="EB267" s="50"/>
      <c r="FB267" s="16" t="s">
        <v>289</v>
      </c>
      <c r="FC267" s="16" t="s">
        <v>83</v>
      </c>
    </row>
    <row r="268" spans="2:177" s="1" customFormat="1" ht="29.25" x14ac:dyDescent="0.2">
      <c r="B268" s="31"/>
      <c r="D268" s="138" t="s">
        <v>299</v>
      </c>
      <c r="F268" s="142" t="s">
        <v>2649</v>
      </c>
      <c r="I268" s="140"/>
      <c r="L268" s="31"/>
      <c r="N268" s="213"/>
      <c r="O268" s="214"/>
      <c r="Q268" s="229"/>
      <c r="DU268" s="141"/>
      <c r="EB268" s="50"/>
      <c r="FB268" s="16" t="s">
        <v>299</v>
      </c>
      <c r="FC268" s="16" t="s">
        <v>83</v>
      </c>
    </row>
    <row r="269" spans="2:177" s="11" customFormat="1" x14ac:dyDescent="0.2">
      <c r="B269" s="143"/>
      <c r="D269" s="138" t="s">
        <v>301</v>
      </c>
      <c r="E269" s="144" t="s">
        <v>1</v>
      </c>
      <c r="F269" s="145" t="s">
        <v>541</v>
      </c>
      <c r="H269" s="144" t="s">
        <v>1</v>
      </c>
      <c r="I269" s="146"/>
      <c r="L269" s="143"/>
      <c r="N269" s="215"/>
      <c r="O269" s="216"/>
      <c r="Q269" s="230"/>
      <c r="DU269" s="147"/>
      <c r="EB269" s="148"/>
      <c r="FB269" s="144" t="s">
        <v>301</v>
      </c>
      <c r="FC269" s="144" t="s">
        <v>83</v>
      </c>
      <c r="FD269" s="11" t="s">
        <v>81</v>
      </c>
      <c r="FE269" s="11" t="s">
        <v>32</v>
      </c>
      <c r="FF269" s="11" t="s">
        <v>74</v>
      </c>
      <c r="FG269" s="144" t="s">
        <v>282</v>
      </c>
    </row>
    <row r="270" spans="2:177" s="12" customFormat="1" x14ac:dyDescent="0.2">
      <c r="B270" s="149"/>
      <c r="D270" s="138" t="s">
        <v>301</v>
      </c>
      <c r="E270" s="150" t="s">
        <v>1</v>
      </c>
      <c r="F270" s="151" t="s">
        <v>2679</v>
      </c>
      <c r="H270" s="152">
        <v>54.42</v>
      </c>
      <c r="I270" s="153"/>
      <c r="L270" s="149"/>
      <c r="N270" s="217"/>
      <c r="O270" s="218"/>
      <c r="Q270" s="231"/>
      <c r="DU270" s="154"/>
      <c r="EB270" s="155"/>
      <c r="FB270" s="150" t="s">
        <v>301</v>
      </c>
      <c r="FC270" s="150" t="s">
        <v>83</v>
      </c>
      <c r="FD270" s="12" t="s">
        <v>83</v>
      </c>
      <c r="FE270" s="12" t="s">
        <v>32</v>
      </c>
      <c r="FF270" s="12" t="s">
        <v>81</v>
      </c>
      <c r="FG270" s="150" t="s">
        <v>282</v>
      </c>
    </row>
    <row r="271" spans="2:177" s="1" customFormat="1" ht="14.45" customHeight="1" x14ac:dyDescent="0.2">
      <c r="B271" s="124"/>
      <c r="C271" s="125" t="s">
        <v>493</v>
      </c>
      <c r="D271" s="125" t="s">
        <v>284</v>
      </c>
      <c r="E271" s="126" t="s">
        <v>544</v>
      </c>
      <c r="F271" s="127" t="s">
        <v>545</v>
      </c>
      <c r="G271" s="128" t="s">
        <v>287</v>
      </c>
      <c r="H271" s="129">
        <v>109.55</v>
      </c>
      <c r="I271" s="130">
        <v>18.105699236185</v>
      </c>
      <c r="J271" s="131">
        <f>ROUND(I271*H271,2)</f>
        <v>1983.48</v>
      </c>
      <c r="K271" s="127" t="s">
        <v>293</v>
      </c>
      <c r="L271" s="268">
        <f>S271</f>
        <v>0</v>
      </c>
      <c r="M271" s="272">
        <f>ROUND(L271*I271,2)</f>
        <v>0</v>
      </c>
      <c r="N271" s="243">
        <f>N145</f>
        <v>-3.394999999999996</v>
      </c>
      <c r="O271" s="294">
        <f>ROUND(N271*I271,2)</f>
        <v>-61.47</v>
      </c>
      <c r="P271" s="273">
        <f>H271-L271-N271</f>
        <v>112.94499999999999</v>
      </c>
      <c r="Q271" s="287">
        <f>ROUND(P271*I271,2)</f>
        <v>2044.95</v>
      </c>
      <c r="R271" s="137"/>
      <c r="S271" s="269">
        <f>W271+Y271+AA271+AC271+AE271+AG271+AI271+AK271+AM271+AO271</f>
        <v>0</v>
      </c>
      <c r="T271" s="269">
        <f>ROUND(S271*I271,2)</f>
        <v>0</v>
      </c>
      <c r="U271" s="269">
        <f>H271-S271</f>
        <v>109.55</v>
      </c>
      <c r="V271" s="269">
        <f>ROUND(U271*I271,2)</f>
        <v>1983.48</v>
      </c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AM271" s="269"/>
      <c r="AN271" s="269"/>
      <c r="AO271" s="269"/>
      <c r="AP271" s="269"/>
      <c r="DU271" s="132" t="s">
        <v>1</v>
      </c>
      <c r="DV271" s="133" t="s">
        <v>40</v>
      </c>
      <c r="DX271" s="134">
        <f>DW271*H271</f>
        <v>0</v>
      </c>
      <c r="DY271" s="134">
        <v>0</v>
      </c>
      <c r="DZ271" s="134">
        <f>DY271*H271</f>
        <v>0</v>
      </c>
      <c r="EA271" s="134">
        <v>0</v>
      </c>
      <c r="EB271" s="135">
        <f>EA271*H271</f>
        <v>0</v>
      </c>
      <c r="EZ271" s="136" t="s">
        <v>95</v>
      </c>
      <c r="FB271" s="136" t="s">
        <v>284</v>
      </c>
      <c r="FC271" s="136" t="s">
        <v>83</v>
      </c>
      <c r="FG271" s="16" t="s">
        <v>282</v>
      </c>
      <c r="FM271" s="137">
        <f>IF(DV271="základní",J271,0)</f>
        <v>1983.48</v>
      </c>
      <c r="FN271" s="137">
        <f>IF(DV271="snížená",J271,0)</f>
        <v>0</v>
      </c>
      <c r="FO271" s="137">
        <f>IF(DV271="zákl. přenesená",J271,0)</f>
        <v>0</v>
      </c>
      <c r="FP271" s="137">
        <f>IF(DV271="sníž. přenesená",J271,0)</f>
        <v>0</v>
      </c>
      <c r="FQ271" s="137">
        <f>IF(DV271="nulová",J271,0)</f>
        <v>0</v>
      </c>
      <c r="FR271" s="16" t="s">
        <v>81</v>
      </c>
      <c r="FS271" s="137">
        <f>ROUND(I271*H271,2)</f>
        <v>1983.48</v>
      </c>
      <c r="FT271" s="16" t="s">
        <v>95</v>
      </c>
      <c r="FU271" s="136" t="s">
        <v>2680</v>
      </c>
    </row>
    <row r="272" spans="2:177" s="1" customFormat="1" ht="19.5" x14ac:dyDescent="0.2">
      <c r="B272" s="31"/>
      <c r="D272" s="138" t="s">
        <v>289</v>
      </c>
      <c r="F272" s="139" t="s">
        <v>547</v>
      </c>
      <c r="I272" s="140"/>
      <c r="L272" s="31"/>
      <c r="N272" s="213"/>
      <c r="O272" s="214"/>
      <c r="Q272" s="229"/>
      <c r="DU272" s="141"/>
      <c r="EB272" s="50"/>
      <c r="FB272" s="16" t="s">
        <v>289</v>
      </c>
      <c r="FC272" s="16" t="s">
        <v>83</v>
      </c>
    </row>
    <row r="273" spans="2:177" s="1" customFormat="1" ht="24.2" customHeight="1" x14ac:dyDescent="0.2">
      <c r="B273" s="124"/>
      <c r="C273" s="125" t="s">
        <v>497</v>
      </c>
      <c r="D273" s="125" t="s">
        <v>284</v>
      </c>
      <c r="E273" s="126" t="s">
        <v>549</v>
      </c>
      <c r="F273" s="127" t="s">
        <v>550</v>
      </c>
      <c r="G273" s="128" t="s">
        <v>287</v>
      </c>
      <c r="H273" s="129">
        <v>109.55</v>
      </c>
      <c r="I273" s="130">
        <v>388.96896513366403</v>
      </c>
      <c r="J273" s="131">
        <f>ROUND(I273*H273,2)</f>
        <v>42611.55</v>
      </c>
      <c r="K273" s="127" t="s">
        <v>293</v>
      </c>
      <c r="L273" s="268">
        <f>S273</f>
        <v>0</v>
      </c>
      <c r="M273" s="272">
        <f>ROUND(L273*I273,2)</f>
        <v>0</v>
      </c>
      <c r="N273" s="243">
        <f>N271</f>
        <v>-3.394999999999996</v>
      </c>
      <c r="O273" s="294">
        <f>ROUND(N273*I273,2)</f>
        <v>-1320.55</v>
      </c>
      <c r="P273" s="273">
        <f>H273-L273-N273</f>
        <v>112.94499999999999</v>
      </c>
      <c r="Q273" s="287">
        <f>ROUND(P273*I273,2)</f>
        <v>43932.1</v>
      </c>
      <c r="R273" s="137"/>
      <c r="S273" s="269">
        <f>W273+Y273+AA273+AC273+AE273+AG273+AI273+AK273+AM273+AO273</f>
        <v>0</v>
      </c>
      <c r="T273" s="269">
        <f>ROUND(S273*I273,2)</f>
        <v>0</v>
      </c>
      <c r="U273" s="269">
        <f>H273-S273</f>
        <v>109.55</v>
      </c>
      <c r="V273" s="269">
        <f>ROUND(U273*I273,2)</f>
        <v>42611.55</v>
      </c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DU273" s="132" t="s">
        <v>1</v>
      </c>
      <c r="DV273" s="133" t="s">
        <v>40</v>
      </c>
      <c r="DX273" s="134">
        <f>DW273*H273</f>
        <v>0</v>
      </c>
      <c r="DY273" s="134">
        <v>0</v>
      </c>
      <c r="DZ273" s="134">
        <f>DY273*H273</f>
        <v>0</v>
      </c>
      <c r="EA273" s="134">
        <v>0</v>
      </c>
      <c r="EB273" s="135">
        <f>EA273*H273</f>
        <v>0</v>
      </c>
      <c r="EZ273" s="136" t="s">
        <v>95</v>
      </c>
      <c r="FB273" s="136" t="s">
        <v>284</v>
      </c>
      <c r="FC273" s="136" t="s">
        <v>83</v>
      </c>
      <c r="FG273" s="16" t="s">
        <v>282</v>
      </c>
      <c r="FM273" s="137">
        <f>IF(DV273="základní",J273,0)</f>
        <v>42611.55</v>
      </c>
      <c r="FN273" s="137">
        <f>IF(DV273="snížená",J273,0)</f>
        <v>0</v>
      </c>
      <c r="FO273" s="137">
        <f>IF(DV273="zákl. přenesená",J273,0)</f>
        <v>0</v>
      </c>
      <c r="FP273" s="137">
        <f>IF(DV273="sníž. přenesená",J273,0)</f>
        <v>0</v>
      </c>
      <c r="FQ273" s="137">
        <f>IF(DV273="nulová",J273,0)</f>
        <v>0</v>
      </c>
      <c r="FR273" s="16" t="s">
        <v>81</v>
      </c>
      <c r="FS273" s="137">
        <f>ROUND(I273*H273,2)</f>
        <v>42611.55</v>
      </c>
      <c r="FT273" s="16" t="s">
        <v>95</v>
      </c>
      <c r="FU273" s="136" t="s">
        <v>2681</v>
      </c>
    </row>
    <row r="274" spans="2:177" s="1" customFormat="1" ht="29.25" x14ac:dyDescent="0.2">
      <c r="B274" s="31"/>
      <c r="D274" s="138" t="s">
        <v>289</v>
      </c>
      <c r="F274" s="139" t="s">
        <v>552</v>
      </c>
      <c r="I274" s="140"/>
      <c r="L274" s="31"/>
      <c r="N274" s="213"/>
      <c r="O274" s="214"/>
      <c r="Q274" s="229"/>
      <c r="DU274" s="141"/>
      <c r="EB274" s="50"/>
      <c r="FB274" s="16" t="s">
        <v>289</v>
      </c>
      <c r="FC274" s="16" t="s">
        <v>83</v>
      </c>
    </row>
    <row r="275" spans="2:177" s="1" customFormat="1" ht="29.25" x14ac:dyDescent="0.2">
      <c r="B275" s="31"/>
      <c r="D275" s="138" t="s">
        <v>299</v>
      </c>
      <c r="F275" s="142" t="s">
        <v>2649</v>
      </c>
      <c r="I275" s="140"/>
      <c r="L275" s="31"/>
      <c r="N275" s="213"/>
      <c r="O275" s="214"/>
      <c r="Q275" s="229"/>
      <c r="DU275" s="141"/>
      <c r="EB275" s="50"/>
      <c r="FB275" s="16" t="s">
        <v>299</v>
      </c>
      <c r="FC275" s="16" t="s">
        <v>83</v>
      </c>
    </row>
    <row r="276" spans="2:177" s="11" customFormat="1" x14ac:dyDescent="0.2">
      <c r="B276" s="143"/>
      <c r="D276" s="138" t="s">
        <v>301</v>
      </c>
      <c r="E276" s="144" t="s">
        <v>1</v>
      </c>
      <c r="F276" s="145" t="s">
        <v>553</v>
      </c>
      <c r="H276" s="144" t="s">
        <v>1</v>
      </c>
      <c r="I276" s="146"/>
      <c r="L276" s="143"/>
      <c r="N276" s="215"/>
      <c r="O276" s="216"/>
      <c r="Q276" s="230"/>
      <c r="DU276" s="147"/>
      <c r="EB276" s="148"/>
      <c r="FB276" s="144" t="s">
        <v>301</v>
      </c>
      <c r="FC276" s="144" t="s">
        <v>83</v>
      </c>
      <c r="FD276" s="11" t="s">
        <v>81</v>
      </c>
      <c r="FE276" s="11" t="s">
        <v>32</v>
      </c>
      <c r="FF276" s="11" t="s">
        <v>74</v>
      </c>
      <c r="FG276" s="144" t="s">
        <v>282</v>
      </c>
    </row>
    <row r="277" spans="2:177" s="12" customFormat="1" x14ac:dyDescent="0.2">
      <c r="B277" s="149"/>
      <c r="D277" s="138" t="s">
        <v>301</v>
      </c>
      <c r="E277" s="150" t="s">
        <v>1</v>
      </c>
      <c r="F277" s="151" t="s">
        <v>2682</v>
      </c>
      <c r="H277" s="152">
        <v>109.55</v>
      </c>
      <c r="I277" s="153"/>
      <c r="L277" s="149"/>
      <c r="N277" s="217"/>
      <c r="O277" s="218"/>
      <c r="Q277" s="231"/>
      <c r="DU277" s="154"/>
      <c r="EB277" s="155"/>
      <c r="FB277" s="150" t="s">
        <v>301</v>
      </c>
      <c r="FC277" s="150" t="s">
        <v>83</v>
      </c>
      <c r="FD277" s="12" t="s">
        <v>83</v>
      </c>
      <c r="FE277" s="12" t="s">
        <v>32</v>
      </c>
      <c r="FF277" s="12" t="s">
        <v>81</v>
      </c>
      <c r="FG277" s="150" t="s">
        <v>282</v>
      </c>
    </row>
    <row r="278" spans="2:177" s="10" customFormat="1" ht="22.9" customHeight="1" x14ac:dyDescent="0.2">
      <c r="B278" s="112"/>
      <c r="D278" s="113" t="s">
        <v>73</v>
      </c>
      <c r="E278" s="122" t="s">
        <v>328</v>
      </c>
      <c r="F278" s="122" t="s">
        <v>555</v>
      </c>
      <c r="I278" s="115"/>
      <c r="J278" s="123">
        <f>FS278</f>
        <v>67944.990000000005</v>
      </c>
      <c r="L278" s="112"/>
      <c r="M278" s="270">
        <f>SUM(M279:M322)</f>
        <v>0</v>
      </c>
      <c r="N278" s="301"/>
      <c r="O278" s="302">
        <f t="shared" ref="O278:V278" si="6">SUM(O279:O322)</f>
        <v>797.94999999999993</v>
      </c>
      <c r="P278" s="270"/>
      <c r="Q278" s="288">
        <f t="shared" si="6"/>
        <v>67147.040000000008</v>
      </c>
      <c r="R278" s="270"/>
      <c r="S278" s="270"/>
      <c r="T278" s="270">
        <f t="shared" si="6"/>
        <v>0</v>
      </c>
      <c r="U278" s="270"/>
      <c r="V278" s="270">
        <f t="shared" si="6"/>
        <v>67944.990000000005</v>
      </c>
      <c r="DU278" s="117"/>
      <c r="DX278" s="118">
        <f>SUM(DX279:DX325)</f>
        <v>0</v>
      </c>
      <c r="DZ278" s="118">
        <f>SUM(DZ279:DZ325)</f>
        <v>0.32311820000000008</v>
      </c>
      <c r="EB278" s="119">
        <f>SUM(EB279:EB325)</f>
        <v>0</v>
      </c>
      <c r="EZ278" s="113" t="s">
        <v>81</v>
      </c>
      <c r="FB278" s="120" t="s">
        <v>73</v>
      </c>
      <c r="FC278" s="120" t="s">
        <v>81</v>
      </c>
      <c r="FG278" s="113" t="s">
        <v>282</v>
      </c>
      <c r="FS278" s="121">
        <f>SUM(FS279:FS325)</f>
        <v>67944.990000000005</v>
      </c>
    </row>
    <row r="279" spans="2:177" s="1" customFormat="1" ht="37.9" customHeight="1" x14ac:dyDescent="0.2">
      <c r="B279" s="124"/>
      <c r="C279" s="125" t="s">
        <v>501</v>
      </c>
      <c r="D279" s="125" t="s">
        <v>284</v>
      </c>
      <c r="E279" s="126" t="s">
        <v>2329</v>
      </c>
      <c r="F279" s="127" t="s">
        <v>2330</v>
      </c>
      <c r="G279" s="128" t="s">
        <v>344</v>
      </c>
      <c r="H279" s="129">
        <v>83.8</v>
      </c>
      <c r="I279" s="130">
        <v>126.22001222256996</v>
      </c>
      <c r="J279" s="131">
        <f>ROUND(I279*H279,2)</f>
        <v>10577.24</v>
      </c>
      <c r="K279" s="127" t="s">
        <v>293</v>
      </c>
      <c r="L279" s="268">
        <f>S279</f>
        <v>0</v>
      </c>
      <c r="M279" s="272">
        <f>ROUND(L279*I279,2)</f>
        <v>0</v>
      </c>
      <c r="N279" s="243">
        <f>N281</f>
        <v>1.9099999999999966</v>
      </c>
      <c r="O279" s="294">
        <f>ROUND(N279*I279,2)</f>
        <v>241.08</v>
      </c>
      <c r="P279" s="273">
        <f>H279-L279-N279</f>
        <v>81.89</v>
      </c>
      <c r="Q279" s="287">
        <f>ROUND(P279*I279,2)</f>
        <v>10336.16</v>
      </c>
      <c r="R279" s="137"/>
      <c r="S279" s="269">
        <f>W279+Y279+AA279+AC279+AE279+AG279+AI279+AK279+AM279+AO279</f>
        <v>0</v>
      </c>
      <c r="T279" s="269">
        <f>ROUND(S279*I279,2)</f>
        <v>0</v>
      </c>
      <c r="U279" s="269">
        <f>H279-S279</f>
        <v>83.8</v>
      </c>
      <c r="V279" s="269">
        <f>ROUND(U279*I279,2)</f>
        <v>10577.24</v>
      </c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DU279" s="132" t="s">
        <v>1</v>
      </c>
      <c r="DV279" s="133" t="s">
        <v>40</v>
      </c>
      <c r="DX279" s="134">
        <f>DW279*H279</f>
        <v>0</v>
      </c>
      <c r="DY279" s="134">
        <v>0</v>
      </c>
      <c r="DZ279" s="134">
        <f>DY279*H279</f>
        <v>0</v>
      </c>
      <c r="EA279" s="134">
        <v>0</v>
      </c>
      <c r="EB279" s="135">
        <f>EA279*H279</f>
        <v>0</v>
      </c>
      <c r="EZ279" s="136" t="s">
        <v>95</v>
      </c>
      <c r="FB279" s="136" t="s">
        <v>284</v>
      </c>
      <c r="FC279" s="136" t="s">
        <v>83</v>
      </c>
      <c r="FG279" s="16" t="s">
        <v>282</v>
      </c>
      <c r="FM279" s="137">
        <f>IF(DV279="základní",J279,0)</f>
        <v>10577.24</v>
      </c>
      <c r="FN279" s="137">
        <f>IF(DV279="snížená",J279,0)</f>
        <v>0</v>
      </c>
      <c r="FO279" s="137">
        <f>IF(DV279="zákl. přenesená",J279,0)</f>
        <v>0</v>
      </c>
      <c r="FP279" s="137">
        <f>IF(DV279="sníž. přenesená",J279,0)</f>
        <v>0</v>
      </c>
      <c r="FQ279" s="137">
        <f>IF(DV279="nulová",J279,0)</f>
        <v>0</v>
      </c>
      <c r="FR279" s="16" t="s">
        <v>81</v>
      </c>
      <c r="FS279" s="137">
        <f>ROUND(I279*H279,2)</f>
        <v>10577.24</v>
      </c>
      <c r="FT279" s="16" t="s">
        <v>95</v>
      </c>
      <c r="FU279" s="136" t="s">
        <v>2331</v>
      </c>
    </row>
    <row r="280" spans="2:177" s="1" customFormat="1" ht="29.25" x14ac:dyDescent="0.2">
      <c r="B280" s="31"/>
      <c r="D280" s="138" t="s">
        <v>289</v>
      </c>
      <c r="F280" s="139" t="s">
        <v>2332</v>
      </c>
      <c r="I280" s="140"/>
      <c r="L280" s="31"/>
      <c r="N280" s="213"/>
      <c r="O280" s="214"/>
      <c r="Q280" s="229"/>
      <c r="DU280" s="141"/>
      <c r="EB280" s="50"/>
      <c r="FB280" s="16" t="s">
        <v>289</v>
      </c>
      <c r="FC280" s="16" t="s">
        <v>83</v>
      </c>
    </row>
    <row r="281" spans="2:177" s="1" customFormat="1" ht="29.25" x14ac:dyDescent="0.2">
      <c r="B281" s="31"/>
      <c r="D281" s="138" t="s">
        <v>299</v>
      </c>
      <c r="F281" s="142" t="s">
        <v>2649</v>
      </c>
      <c r="I281" s="140"/>
      <c r="L281" s="31"/>
      <c r="N281" s="213">
        <f>85.71-83.8</f>
        <v>1.9099999999999966</v>
      </c>
      <c r="O281" s="214" t="s">
        <v>3625</v>
      </c>
      <c r="Q281" s="229"/>
      <c r="DU281" s="141"/>
      <c r="EB281" s="50"/>
      <c r="FB281" s="16" t="s">
        <v>299</v>
      </c>
      <c r="FC281" s="16" t="s">
        <v>83</v>
      </c>
    </row>
    <row r="282" spans="2:177" s="12" customFormat="1" x14ac:dyDescent="0.2">
      <c r="B282" s="149"/>
      <c r="D282" s="138" t="s">
        <v>301</v>
      </c>
      <c r="E282" s="150" t="s">
        <v>1</v>
      </c>
      <c r="F282" s="151" t="s">
        <v>2673</v>
      </c>
      <c r="H282" s="152">
        <v>83.8</v>
      </c>
      <c r="I282" s="153"/>
      <c r="L282" s="149"/>
      <c r="N282" s="217"/>
      <c r="O282" s="218"/>
      <c r="Q282" s="231"/>
      <c r="DU282" s="154"/>
      <c r="EB282" s="155"/>
      <c r="FB282" s="150" t="s">
        <v>301</v>
      </c>
      <c r="FC282" s="150" t="s">
        <v>83</v>
      </c>
      <c r="FD282" s="12" t="s">
        <v>83</v>
      </c>
      <c r="FE282" s="12" t="s">
        <v>32</v>
      </c>
      <c r="FF282" s="12" t="s">
        <v>81</v>
      </c>
      <c r="FG282" s="150" t="s">
        <v>282</v>
      </c>
    </row>
    <row r="283" spans="2:177" s="1" customFormat="1" ht="24.2" customHeight="1" x14ac:dyDescent="0.2">
      <c r="B283" s="124"/>
      <c r="C283" s="170" t="s">
        <v>505</v>
      </c>
      <c r="D283" s="170" t="s">
        <v>439</v>
      </c>
      <c r="E283" s="171" t="s">
        <v>2333</v>
      </c>
      <c r="F283" s="172" t="s">
        <v>2334</v>
      </c>
      <c r="G283" s="173" t="s">
        <v>344</v>
      </c>
      <c r="H283" s="174">
        <v>87.99</v>
      </c>
      <c r="I283" s="175">
        <v>347.62816190000001</v>
      </c>
      <c r="J283" s="176">
        <f>ROUND(I283*H283,2)</f>
        <v>30587.8</v>
      </c>
      <c r="K283" s="172" t="s">
        <v>293</v>
      </c>
      <c r="L283" s="268">
        <f>S283</f>
        <v>0</v>
      </c>
      <c r="M283" s="272">
        <f>ROUND(L283*I283,2)</f>
        <v>0</v>
      </c>
      <c r="N283" s="243">
        <f>N286</f>
        <v>1.4385000000000048</v>
      </c>
      <c r="O283" s="294">
        <f>ROUND(N283*I283,2)</f>
        <v>500.06</v>
      </c>
      <c r="P283" s="273">
        <f>H283-L283-N283</f>
        <v>86.55149999999999</v>
      </c>
      <c r="Q283" s="287">
        <f>ROUND(P283*I283,2)</f>
        <v>30087.74</v>
      </c>
      <c r="R283" s="137"/>
      <c r="S283" s="269">
        <f>W283+Y283+AA283+AC283+AE283+AG283+AI283+AK283+AM283+AO283</f>
        <v>0</v>
      </c>
      <c r="T283" s="269">
        <f>ROUND(S283*I283,2)</f>
        <v>0</v>
      </c>
      <c r="U283" s="269">
        <f>H283-S283</f>
        <v>87.99</v>
      </c>
      <c r="V283" s="269">
        <f>ROUND(U283*I283,2)</f>
        <v>30587.8</v>
      </c>
      <c r="W283" s="290"/>
      <c r="X283" s="290"/>
      <c r="Y283" s="290"/>
      <c r="Z283" s="290"/>
      <c r="AA283" s="290"/>
      <c r="AB283" s="290"/>
      <c r="AC283" s="290"/>
      <c r="AD283" s="290"/>
      <c r="AE283" s="290"/>
      <c r="AF283" s="290"/>
      <c r="AG283" s="290"/>
      <c r="AH283" s="290"/>
      <c r="AI283" s="290"/>
      <c r="AJ283" s="290"/>
      <c r="AK283" s="290"/>
      <c r="AL283" s="290"/>
      <c r="AM283" s="290"/>
      <c r="AN283" s="290"/>
      <c r="AO283" s="290"/>
      <c r="AP283" s="290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77" t="s">
        <v>1</v>
      </c>
      <c r="DV283" s="178" t="s">
        <v>40</v>
      </c>
      <c r="DX283" s="134">
        <f>DW283*H283</f>
        <v>0</v>
      </c>
      <c r="DY283" s="134">
        <v>3.1800000000000001E-3</v>
      </c>
      <c r="DZ283" s="134">
        <f>DY283*H283</f>
        <v>0.27980820000000001</v>
      </c>
      <c r="EA283" s="134">
        <v>0</v>
      </c>
      <c r="EB283" s="135">
        <f>EA283*H283</f>
        <v>0</v>
      </c>
      <c r="EZ283" s="136" t="s">
        <v>328</v>
      </c>
      <c r="FB283" s="136" t="s">
        <v>439</v>
      </c>
      <c r="FC283" s="136" t="s">
        <v>83</v>
      </c>
      <c r="FG283" s="16" t="s">
        <v>282</v>
      </c>
      <c r="FM283" s="137">
        <f>IF(DV283="základní",J283,0)</f>
        <v>30587.8</v>
      </c>
      <c r="FN283" s="137">
        <f>IF(DV283="snížená",J283,0)</f>
        <v>0</v>
      </c>
      <c r="FO283" s="137">
        <f>IF(DV283="zákl. přenesená",J283,0)</f>
        <v>0</v>
      </c>
      <c r="FP283" s="137">
        <f>IF(DV283="sníž. přenesená",J283,0)</f>
        <v>0</v>
      </c>
      <c r="FQ283" s="137">
        <f>IF(DV283="nulová",J283,0)</f>
        <v>0</v>
      </c>
      <c r="FR283" s="16" t="s">
        <v>81</v>
      </c>
      <c r="FS283" s="137">
        <f>ROUND(I283*H283,2)</f>
        <v>30587.8</v>
      </c>
      <c r="FT283" s="16" t="s">
        <v>95</v>
      </c>
      <c r="FU283" s="136" t="s">
        <v>2335</v>
      </c>
    </row>
    <row r="284" spans="2:177" s="1" customFormat="1" ht="19.5" x14ac:dyDescent="0.2">
      <c r="B284" s="31"/>
      <c r="D284" s="138" t="s">
        <v>289</v>
      </c>
      <c r="F284" s="139" t="s">
        <v>2334</v>
      </c>
      <c r="I284" s="140"/>
      <c r="L284" s="31"/>
      <c r="N284" s="213"/>
      <c r="O284" s="214"/>
      <c r="Q284" s="229"/>
      <c r="DU284" s="141"/>
      <c r="EB284" s="50"/>
      <c r="FB284" s="16" t="s">
        <v>289</v>
      </c>
      <c r="FC284" s="16" t="s">
        <v>83</v>
      </c>
    </row>
    <row r="285" spans="2:177" s="12" customFormat="1" x14ac:dyDescent="0.2">
      <c r="B285" s="149"/>
      <c r="D285" s="138" t="s">
        <v>301</v>
      </c>
      <c r="F285" s="151" t="s">
        <v>2683</v>
      </c>
      <c r="H285" s="152">
        <v>87.99</v>
      </c>
      <c r="I285" s="153"/>
      <c r="L285" s="149"/>
      <c r="N285" s="217">
        <f>85.17*1.05</f>
        <v>89.4285</v>
      </c>
      <c r="O285" s="218" t="s">
        <v>3630</v>
      </c>
      <c r="Q285" s="231"/>
      <c r="DU285" s="154"/>
      <c r="EB285" s="155"/>
      <c r="FB285" s="150" t="s">
        <v>301</v>
      </c>
      <c r="FC285" s="150" t="s">
        <v>83</v>
      </c>
      <c r="FD285" s="12" t="s">
        <v>83</v>
      </c>
      <c r="FE285" s="12" t="s">
        <v>3</v>
      </c>
      <c r="FF285" s="12" t="s">
        <v>81</v>
      </c>
      <c r="FG285" s="150" t="s">
        <v>282</v>
      </c>
    </row>
    <row r="286" spans="2:177" s="12" customFormat="1" x14ac:dyDescent="0.2">
      <c r="B286" s="149"/>
      <c r="D286" s="138"/>
      <c r="F286" s="151"/>
      <c r="H286" s="152"/>
      <c r="I286" s="153"/>
      <c r="L286" s="149"/>
      <c r="N286" s="310">
        <f>N285-H285</f>
        <v>1.4385000000000048</v>
      </c>
      <c r="O286" s="218"/>
      <c r="Q286" s="231"/>
      <c r="DU286" s="154"/>
      <c r="EB286" s="155"/>
      <c r="FB286" s="150"/>
      <c r="FC286" s="150"/>
      <c r="FG286" s="150"/>
    </row>
    <row r="287" spans="2:177" s="1" customFormat="1" ht="24.2" customHeight="1" x14ac:dyDescent="0.2">
      <c r="B287" s="124"/>
      <c r="C287" s="125" t="s">
        <v>510</v>
      </c>
      <c r="D287" s="125" t="s">
        <v>284</v>
      </c>
      <c r="E287" s="126" t="s">
        <v>2337</v>
      </c>
      <c r="F287" s="127" t="s">
        <v>2338</v>
      </c>
      <c r="G287" s="128" t="s">
        <v>485</v>
      </c>
      <c r="H287" s="129">
        <v>14</v>
      </c>
      <c r="I287" s="130">
        <v>283.67270856236348</v>
      </c>
      <c r="J287" s="131">
        <f>ROUND(I287*H287,2)</f>
        <v>3971.42</v>
      </c>
      <c r="K287" s="127" t="s">
        <v>293</v>
      </c>
      <c r="L287" s="268">
        <f>S287</f>
        <v>0</v>
      </c>
      <c r="M287" s="272">
        <f>ROUND(L287*I287,2)</f>
        <v>0</v>
      </c>
      <c r="N287" s="243"/>
      <c r="O287" s="294">
        <f>ROUND(N287*I287,2)</f>
        <v>0</v>
      </c>
      <c r="P287" s="273">
        <f>H287-L287-N287</f>
        <v>14</v>
      </c>
      <c r="Q287" s="287">
        <f>ROUND(P287*I287,2)</f>
        <v>3971.42</v>
      </c>
      <c r="R287" s="137"/>
      <c r="S287" s="269">
        <f>W287+Y287+AA287+AC287+AE287+AG287+AI287+AK287+AM287+AO287</f>
        <v>0</v>
      </c>
      <c r="T287" s="269">
        <f>ROUND(S287*I287,2)</f>
        <v>0</v>
      </c>
      <c r="U287" s="269">
        <f>H287-S287</f>
        <v>14</v>
      </c>
      <c r="V287" s="269">
        <f>ROUND(U287*I287,2)</f>
        <v>3971.42</v>
      </c>
      <c r="W287" s="269"/>
      <c r="X287" s="269"/>
      <c r="Y287" s="269"/>
      <c r="Z287" s="269"/>
      <c r="AA287" s="269"/>
      <c r="AB287" s="269"/>
      <c r="AC287" s="269"/>
      <c r="AD287" s="269"/>
      <c r="AE287" s="269"/>
      <c r="AF287" s="269"/>
      <c r="AG287" s="269"/>
      <c r="AH287" s="269"/>
      <c r="AI287" s="269"/>
      <c r="AJ287" s="269"/>
      <c r="AK287" s="269"/>
      <c r="AL287" s="269"/>
      <c r="AM287" s="269"/>
      <c r="AN287" s="269"/>
      <c r="AO287" s="269"/>
      <c r="AP287" s="269"/>
      <c r="DU287" s="132" t="s">
        <v>1</v>
      </c>
      <c r="DV287" s="133" t="s">
        <v>40</v>
      </c>
      <c r="DX287" s="134">
        <f>DW287*H287</f>
        <v>0</v>
      </c>
      <c r="DY287" s="134">
        <v>0</v>
      </c>
      <c r="DZ287" s="134">
        <f>DY287*H287</f>
        <v>0</v>
      </c>
      <c r="EA287" s="134">
        <v>0</v>
      </c>
      <c r="EB287" s="135">
        <f>EA287*H287</f>
        <v>0</v>
      </c>
      <c r="EZ287" s="136" t="s">
        <v>95</v>
      </c>
      <c r="FB287" s="136" t="s">
        <v>284</v>
      </c>
      <c r="FC287" s="136" t="s">
        <v>83</v>
      </c>
      <c r="FG287" s="16" t="s">
        <v>282</v>
      </c>
      <c r="FM287" s="137">
        <f>IF(DV287="základní",J287,0)</f>
        <v>3971.42</v>
      </c>
      <c r="FN287" s="137">
        <f>IF(DV287="snížená",J287,0)</f>
        <v>0</v>
      </c>
      <c r="FO287" s="137">
        <f>IF(DV287="zákl. přenesená",J287,0)</f>
        <v>0</v>
      </c>
      <c r="FP287" s="137">
        <f>IF(DV287="sníž. přenesená",J287,0)</f>
        <v>0</v>
      </c>
      <c r="FQ287" s="137">
        <f>IF(DV287="nulová",J287,0)</f>
        <v>0</v>
      </c>
      <c r="FR287" s="16" t="s">
        <v>81</v>
      </c>
      <c r="FS287" s="137">
        <f>ROUND(I287*H287,2)</f>
        <v>3971.42</v>
      </c>
      <c r="FT287" s="16" t="s">
        <v>95</v>
      </c>
      <c r="FU287" s="136" t="s">
        <v>2339</v>
      </c>
    </row>
    <row r="288" spans="2:177" s="1" customFormat="1" ht="19.5" x14ac:dyDescent="0.2">
      <c r="B288" s="31"/>
      <c r="D288" s="138" t="s">
        <v>289</v>
      </c>
      <c r="F288" s="139" t="s">
        <v>2340</v>
      </c>
      <c r="I288" s="140"/>
      <c r="L288" s="31"/>
      <c r="N288" s="213"/>
      <c r="O288" s="214"/>
      <c r="Q288" s="229"/>
      <c r="DU288" s="141"/>
      <c r="EB288" s="50"/>
      <c r="FB288" s="16" t="s">
        <v>289</v>
      </c>
      <c r="FC288" s="16" t="s">
        <v>83</v>
      </c>
    </row>
    <row r="289" spans="2:177" s="1" customFormat="1" ht="29.25" x14ac:dyDescent="0.2">
      <c r="B289" s="31"/>
      <c r="D289" s="138" t="s">
        <v>299</v>
      </c>
      <c r="F289" s="142" t="s">
        <v>2649</v>
      </c>
      <c r="I289" s="140"/>
      <c r="L289" s="31"/>
      <c r="N289" s="213"/>
      <c r="O289" s="214"/>
      <c r="Q289" s="229"/>
      <c r="DU289" s="141"/>
      <c r="EB289" s="50"/>
      <c r="FB289" s="16" t="s">
        <v>299</v>
      </c>
      <c r="FC289" s="16" t="s">
        <v>83</v>
      </c>
    </row>
    <row r="290" spans="2:177" s="12" customFormat="1" x14ac:dyDescent="0.2">
      <c r="B290" s="149"/>
      <c r="D290" s="138" t="s">
        <v>301</v>
      </c>
      <c r="E290" s="150" t="s">
        <v>1</v>
      </c>
      <c r="F290" s="151" t="s">
        <v>2684</v>
      </c>
      <c r="H290" s="152">
        <v>14</v>
      </c>
      <c r="I290" s="153"/>
      <c r="L290" s="149"/>
      <c r="N290" s="217"/>
      <c r="O290" s="218"/>
      <c r="Q290" s="231"/>
      <c r="DU290" s="154"/>
      <c r="EB290" s="155"/>
      <c r="FB290" s="150" t="s">
        <v>301</v>
      </c>
      <c r="FC290" s="150" t="s">
        <v>83</v>
      </c>
      <c r="FD290" s="12" t="s">
        <v>83</v>
      </c>
      <c r="FE290" s="12" t="s">
        <v>32</v>
      </c>
      <c r="FF290" s="12" t="s">
        <v>81</v>
      </c>
      <c r="FG290" s="150" t="s">
        <v>282</v>
      </c>
    </row>
    <row r="291" spans="2:177" s="1" customFormat="1" ht="14.45" customHeight="1" x14ac:dyDescent="0.2">
      <c r="B291" s="124"/>
      <c r="C291" s="170" t="s">
        <v>514</v>
      </c>
      <c r="D291" s="170" t="s">
        <v>439</v>
      </c>
      <c r="E291" s="171" t="s">
        <v>2342</v>
      </c>
      <c r="F291" s="172" t="s">
        <v>2343</v>
      </c>
      <c r="G291" s="173" t="s">
        <v>485</v>
      </c>
      <c r="H291" s="174">
        <v>9</v>
      </c>
      <c r="I291" s="175">
        <v>368.4669073</v>
      </c>
      <c r="J291" s="176">
        <f>ROUND(I291*H291,2)</f>
        <v>3316.2</v>
      </c>
      <c r="K291" s="172" t="s">
        <v>293</v>
      </c>
      <c r="L291" s="268">
        <f>S291</f>
        <v>0</v>
      </c>
      <c r="M291" s="272">
        <f>ROUND(L291*I291,2)</f>
        <v>0</v>
      </c>
      <c r="N291" s="243"/>
      <c r="O291" s="294">
        <f>ROUND(N291*I291,2)</f>
        <v>0</v>
      </c>
      <c r="P291" s="273">
        <f>H291-L291-N291</f>
        <v>9</v>
      </c>
      <c r="Q291" s="287">
        <f>ROUND(P291*I291,2)</f>
        <v>3316.2</v>
      </c>
      <c r="R291" s="137"/>
      <c r="S291" s="269">
        <f>W291+Y291+AA291+AC291+AE291+AG291+AI291+AK291+AM291+AO291</f>
        <v>0</v>
      </c>
      <c r="T291" s="269">
        <f>ROUND(S291*I291,2)</f>
        <v>0</v>
      </c>
      <c r="U291" s="269">
        <f>H291-S291</f>
        <v>9</v>
      </c>
      <c r="V291" s="269">
        <f>ROUND(U291*I291,2)</f>
        <v>3316.2</v>
      </c>
      <c r="W291" s="290"/>
      <c r="X291" s="290"/>
      <c r="Y291" s="290"/>
      <c r="Z291" s="290"/>
      <c r="AA291" s="290"/>
      <c r="AB291" s="290"/>
      <c r="AC291" s="290"/>
      <c r="AD291" s="290"/>
      <c r="AE291" s="290"/>
      <c r="AF291" s="290"/>
      <c r="AG291" s="290"/>
      <c r="AH291" s="290"/>
      <c r="AI291" s="290"/>
      <c r="AJ291" s="290"/>
      <c r="AK291" s="290"/>
      <c r="AL291" s="290"/>
      <c r="AM291" s="290"/>
      <c r="AN291" s="290"/>
      <c r="AO291" s="290"/>
      <c r="AP291" s="290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77" t="s">
        <v>1</v>
      </c>
      <c r="DV291" s="178" t="s">
        <v>40</v>
      </c>
      <c r="DX291" s="134">
        <f>DW291*H291</f>
        <v>0</v>
      </c>
      <c r="DY291" s="134">
        <v>7.2000000000000005E-4</v>
      </c>
      <c r="DZ291" s="134">
        <f>DY291*H291</f>
        <v>6.4800000000000005E-3</v>
      </c>
      <c r="EA291" s="134">
        <v>0</v>
      </c>
      <c r="EB291" s="135">
        <f>EA291*H291</f>
        <v>0</v>
      </c>
      <c r="EZ291" s="136" t="s">
        <v>328</v>
      </c>
      <c r="FB291" s="136" t="s">
        <v>439</v>
      </c>
      <c r="FC291" s="136" t="s">
        <v>83</v>
      </c>
      <c r="FG291" s="16" t="s">
        <v>282</v>
      </c>
      <c r="FM291" s="137">
        <f>IF(DV291="základní",J291,0)</f>
        <v>3316.2</v>
      </c>
      <c r="FN291" s="137">
        <f>IF(DV291="snížená",J291,0)</f>
        <v>0</v>
      </c>
      <c r="FO291" s="137">
        <f>IF(DV291="zákl. přenesená",J291,0)</f>
        <v>0</v>
      </c>
      <c r="FP291" s="137">
        <f>IF(DV291="sníž. přenesená",J291,0)</f>
        <v>0</v>
      </c>
      <c r="FQ291" s="137">
        <f>IF(DV291="nulová",J291,0)</f>
        <v>0</v>
      </c>
      <c r="FR291" s="16" t="s">
        <v>81</v>
      </c>
      <c r="FS291" s="137">
        <f>ROUND(I291*H291,2)</f>
        <v>3316.2</v>
      </c>
      <c r="FT291" s="16" t="s">
        <v>95</v>
      </c>
      <c r="FU291" s="136" t="s">
        <v>2344</v>
      </c>
    </row>
    <row r="292" spans="2:177" s="1" customFormat="1" x14ac:dyDescent="0.2">
      <c r="B292" s="31"/>
      <c r="D292" s="138" t="s">
        <v>289</v>
      </c>
      <c r="F292" s="139" t="s">
        <v>2343</v>
      </c>
      <c r="I292" s="140"/>
      <c r="L292" s="31"/>
      <c r="N292" s="213"/>
      <c r="O292" s="214"/>
      <c r="Q292" s="229"/>
      <c r="DU292" s="141"/>
      <c r="EB292" s="50"/>
      <c r="FB292" s="16" t="s">
        <v>289</v>
      </c>
      <c r="FC292" s="16" t="s">
        <v>83</v>
      </c>
    </row>
    <row r="293" spans="2:177" s="1" customFormat="1" ht="14.45" customHeight="1" x14ac:dyDescent="0.2">
      <c r="B293" s="124"/>
      <c r="C293" s="170" t="s">
        <v>521</v>
      </c>
      <c r="D293" s="170" t="s">
        <v>439</v>
      </c>
      <c r="E293" s="171" t="s">
        <v>2345</v>
      </c>
      <c r="F293" s="172" t="s">
        <v>2346</v>
      </c>
      <c r="G293" s="173" t="s">
        <v>485</v>
      </c>
      <c r="H293" s="174">
        <v>1</v>
      </c>
      <c r="I293" s="175">
        <v>1373.462765</v>
      </c>
      <c r="J293" s="176">
        <f>ROUND(I293*H293,2)</f>
        <v>1373.46</v>
      </c>
      <c r="K293" s="172" t="s">
        <v>1</v>
      </c>
      <c r="L293" s="268">
        <f>S293</f>
        <v>0</v>
      </c>
      <c r="M293" s="272">
        <f>ROUND(L293*I293,2)</f>
        <v>0</v>
      </c>
      <c r="N293" s="243"/>
      <c r="O293" s="294">
        <f>ROUND(N293*I293,2)</f>
        <v>0</v>
      </c>
      <c r="P293" s="273">
        <f>H293-L293-N293</f>
        <v>1</v>
      </c>
      <c r="Q293" s="287">
        <f>ROUND(P293*I293,2)</f>
        <v>1373.46</v>
      </c>
      <c r="R293" s="137"/>
      <c r="S293" s="269">
        <f>W293+Y293+AA293+AC293+AE293+AG293+AI293+AK293+AM293+AO293</f>
        <v>0</v>
      </c>
      <c r="T293" s="269">
        <f>ROUND(S293*I293,2)</f>
        <v>0</v>
      </c>
      <c r="U293" s="269">
        <f>H293-S293</f>
        <v>1</v>
      </c>
      <c r="V293" s="269">
        <f>ROUND(U293*I293,2)</f>
        <v>1373.46</v>
      </c>
      <c r="W293" s="290"/>
      <c r="X293" s="290"/>
      <c r="Y293" s="290"/>
      <c r="Z293" s="290"/>
      <c r="AA293" s="290"/>
      <c r="AB293" s="290"/>
      <c r="AC293" s="290"/>
      <c r="AD293" s="290"/>
      <c r="AE293" s="290"/>
      <c r="AF293" s="290"/>
      <c r="AG293" s="290"/>
      <c r="AH293" s="290"/>
      <c r="AI293" s="290"/>
      <c r="AJ293" s="290"/>
      <c r="AK293" s="290"/>
      <c r="AL293" s="290"/>
      <c r="AM293" s="290"/>
      <c r="AN293" s="290"/>
      <c r="AO293" s="290"/>
      <c r="AP293" s="290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77" t="s">
        <v>1</v>
      </c>
      <c r="DV293" s="178" t="s">
        <v>40</v>
      </c>
      <c r="DX293" s="134">
        <f>DW293*H293</f>
        <v>0</v>
      </c>
      <c r="DY293" s="134">
        <v>1.4E-3</v>
      </c>
      <c r="DZ293" s="134">
        <f>DY293*H293</f>
        <v>1.4E-3</v>
      </c>
      <c r="EA293" s="134">
        <v>0</v>
      </c>
      <c r="EB293" s="135">
        <f>EA293*H293</f>
        <v>0</v>
      </c>
      <c r="EZ293" s="136" t="s">
        <v>328</v>
      </c>
      <c r="FB293" s="136" t="s">
        <v>439</v>
      </c>
      <c r="FC293" s="136" t="s">
        <v>83</v>
      </c>
      <c r="FG293" s="16" t="s">
        <v>282</v>
      </c>
      <c r="FM293" s="137">
        <f>IF(DV293="základní",J293,0)</f>
        <v>1373.46</v>
      </c>
      <c r="FN293" s="137">
        <f>IF(DV293="snížená",J293,0)</f>
        <v>0</v>
      </c>
      <c r="FO293" s="137">
        <f>IF(DV293="zákl. přenesená",J293,0)</f>
        <v>0</v>
      </c>
      <c r="FP293" s="137">
        <f>IF(DV293="sníž. přenesená",J293,0)</f>
        <v>0</v>
      </c>
      <c r="FQ293" s="137">
        <f>IF(DV293="nulová",J293,0)</f>
        <v>0</v>
      </c>
      <c r="FR293" s="16" t="s">
        <v>81</v>
      </c>
      <c r="FS293" s="137">
        <f>ROUND(I293*H293,2)</f>
        <v>1373.46</v>
      </c>
      <c r="FT293" s="16" t="s">
        <v>95</v>
      </c>
      <c r="FU293" s="136" t="s">
        <v>2347</v>
      </c>
    </row>
    <row r="294" spans="2:177" s="1" customFormat="1" x14ac:dyDescent="0.2">
      <c r="B294" s="31"/>
      <c r="D294" s="138" t="s">
        <v>289</v>
      </c>
      <c r="F294" s="139" t="s">
        <v>2346</v>
      </c>
      <c r="I294" s="140"/>
      <c r="L294" s="31"/>
      <c r="N294" s="213"/>
      <c r="O294" s="214"/>
      <c r="Q294" s="229"/>
      <c r="DU294" s="141"/>
      <c r="EB294" s="50"/>
      <c r="FB294" s="16" t="s">
        <v>289</v>
      </c>
      <c r="FC294" s="16" t="s">
        <v>83</v>
      </c>
    </row>
    <row r="295" spans="2:177" s="1" customFormat="1" ht="14.45" customHeight="1" x14ac:dyDescent="0.2">
      <c r="B295" s="124"/>
      <c r="C295" s="170" t="s">
        <v>526</v>
      </c>
      <c r="D295" s="170" t="s">
        <v>439</v>
      </c>
      <c r="E295" s="171" t="s">
        <v>2586</v>
      </c>
      <c r="F295" s="172" t="s">
        <v>2587</v>
      </c>
      <c r="G295" s="173" t="s">
        <v>485</v>
      </c>
      <c r="H295" s="174">
        <v>1</v>
      </c>
      <c r="I295" s="175">
        <v>1515.54512</v>
      </c>
      <c r="J295" s="176">
        <f>ROUND(I295*H295,2)</f>
        <v>1515.55</v>
      </c>
      <c r="K295" s="172" t="s">
        <v>1</v>
      </c>
      <c r="L295" s="268">
        <f>S295</f>
        <v>0</v>
      </c>
      <c r="M295" s="272">
        <f>ROUND(L295*I295,2)</f>
        <v>0</v>
      </c>
      <c r="N295" s="243"/>
      <c r="O295" s="294">
        <f>ROUND(N295*I295,2)</f>
        <v>0</v>
      </c>
      <c r="P295" s="273">
        <f>H295-L295-N295</f>
        <v>1</v>
      </c>
      <c r="Q295" s="287">
        <f>ROUND(P295*I295,2)</f>
        <v>1515.55</v>
      </c>
      <c r="R295" s="137"/>
      <c r="S295" s="269">
        <f>W295+Y295+AA295+AC295+AE295+AG295+AI295+AK295+AM295+AO295</f>
        <v>0</v>
      </c>
      <c r="T295" s="269">
        <f>ROUND(S295*I295,2)</f>
        <v>0</v>
      </c>
      <c r="U295" s="269">
        <f>H295-S295</f>
        <v>1</v>
      </c>
      <c r="V295" s="269">
        <f>ROUND(U295*I295,2)</f>
        <v>1515.55</v>
      </c>
      <c r="W295" s="290"/>
      <c r="X295" s="290"/>
      <c r="Y295" s="290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90"/>
      <c r="AK295" s="290"/>
      <c r="AL295" s="290"/>
      <c r="AM295" s="290"/>
      <c r="AN295" s="290"/>
      <c r="AO295" s="290"/>
      <c r="AP295" s="290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77" t="s">
        <v>1</v>
      </c>
      <c r="DV295" s="178" t="s">
        <v>40</v>
      </c>
      <c r="DX295" s="134">
        <f>DW295*H295</f>
        <v>0</v>
      </c>
      <c r="DY295" s="134">
        <v>1.4E-3</v>
      </c>
      <c r="DZ295" s="134">
        <f>DY295*H295</f>
        <v>1.4E-3</v>
      </c>
      <c r="EA295" s="134">
        <v>0</v>
      </c>
      <c r="EB295" s="135">
        <f>EA295*H295</f>
        <v>0</v>
      </c>
      <c r="EZ295" s="136" t="s">
        <v>328</v>
      </c>
      <c r="FB295" s="136" t="s">
        <v>439</v>
      </c>
      <c r="FC295" s="136" t="s">
        <v>83</v>
      </c>
      <c r="FG295" s="16" t="s">
        <v>282</v>
      </c>
      <c r="FM295" s="137">
        <f>IF(DV295="základní",J295,0)</f>
        <v>1515.55</v>
      </c>
      <c r="FN295" s="137">
        <f>IF(DV295="snížená",J295,0)</f>
        <v>0</v>
      </c>
      <c r="FO295" s="137">
        <f>IF(DV295="zákl. přenesená",J295,0)</f>
        <v>0</v>
      </c>
      <c r="FP295" s="137">
        <f>IF(DV295="sníž. přenesená",J295,0)</f>
        <v>0</v>
      </c>
      <c r="FQ295" s="137">
        <f>IF(DV295="nulová",J295,0)</f>
        <v>0</v>
      </c>
      <c r="FR295" s="16" t="s">
        <v>81</v>
      </c>
      <c r="FS295" s="137">
        <f>ROUND(I295*H295,2)</f>
        <v>1515.55</v>
      </c>
      <c r="FT295" s="16" t="s">
        <v>95</v>
      </c>
      <c r="FU295" s="136" t="s">
        <v>2685</v>
      </c>
    </row>
    <row r="296" spans="2:177" s="1" customFormat="1" x14ac:dyDescent="0.2">
      <c r="B296" s="31"/>
      <c r="D296" s="138" t="s">
        <v>289</v>
      </c>
      <c r="F296" s="139" t="s">
        <v>2587</v>
      </c>
      <c r="I296" s="140"/>
      <c r="L296" s="31"/>
      <c r="N296" s="213"/>
      <c r="O296" s="214"/>
      <c r="Q296" s="229"/>
      <c r="DU296" s="141"/>
      <c r="EB296" s="50"/>
      <c r="FB296" s="16" t="s">
        <v>289</v>
      </c>
      <c r="FC296" s="16" t="s">
        <v>83</v>
      </c>
    </row>
    <row r="297" spans="2:177" s="1" customFormat="1" ht="14.45" customHeight="1" x14ac:dyDescent="0.2">
      <c r="B297" s="124"/>
      <c r="C297" s="170" t="s">
        <v>531</v>
      </c>
      <c r="D297" s="170" t="s">
        <v>439</v>
      </c>
      <c r="E297" s="171" t="s">
        <v>2421</v>
      </c>
      <c r="F297" s="172" t="s">
        <v>2422</v>
      </c>
      <c r="G297" s="173" t="s">
        <v>485</v>
      </c>
      <c r="H297" s="174">
        <v>2</v>
      </c>
      <c r="I297" s="175">
        <v>1136.6588400000001</v>
      </c>
      <c r="J297" s="176">
        <f>ROUND(I297*H297,2)</f>
        <v>2273.3200000000002</v>
      </c>
      <c r="K297" s="172" t="s">
        <v>1</v>
      </c>
      <c r="L297" s="268">
        <f>S297</f>
        <v>0</v>
      </c>
      <c r="M297" s="272">
        <f>ROUND(L297*I297,2)</f>
        <v>0</v>
      </c>
      <c r="N297" s="243"/>
      <c r="O297" s="294">
        <f>ROUND(N297*I297,2)</f>
        <v>0</v>
      </c>
      <c r="P297" s="273">
        <f>H297-L297-N297</f>
        <v>2</v>
      </c>
      <c r="Q297" s="287">
        <f>ROUND(P297*I297,2)</f>
        <v>2273.3200000000002</v>
      </c>
      <c r="R297" s="137"/>
      <c r="S297" s="269">
        <f>W297+Y297+AA297+AC297+AE297+AG297+AI297+AK297+AM297+AO297</f>
        <v>0</v>
      </c>
      <c r="T297" s="269">
        <f>ROUND(S297*I297,2)</f>
        <v>0</v>
      </c>
      <c r="U297" s="269">
        <f>H297-S297</f>
        <v>2</v>
      </c>
      <c r="V297" s="269">
        <f>ROUND(U297*I297,2)</f>
        <v>2273.3200000000002</v>
      </c>
      <c r="W297" s="290"/>
      <c r="X297" s="290"/>
      <c r="Y297" s="290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90"/>
      <c r="AK297" s="290"/>
      <c r="AL297" s="290"/>
      <c r="AM297" s="290"/>
      <c r="AN297" s="290"/>
      <c r="AO297" s="290"/>
      <c r="AP297" s="290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77" t="s">
        <v>1</v>
      </c>
      <c r="DV297" s="178" t="s">
        <v>40</v>
      </c>
      <c r="DX297" s="134">
        <f>DW297*H297</f>
        <v>0</v>
      </c>
      <c r="DY297" s="134">
        <v>1.4E-3</v>
      </c>
      <c r="DZ297" s="134">
        <f>DY297*H297</f>
        <v>2.8E-3</v>
      </c>
      <c r="EA297" s="134">
        <v>0</v>
      </c>
      <c r="EB297" s="135">
        <f>EA297*H297</f>
        <v>0</v>
      </c>
      <c r="EZ297" s="136" t="s">
        <v>328</v>
      </c>
      <c r="FB297" s="136" t="s">
        <v>439</v>
      </c>
      <c r="FC297" s="136" t="s">
        <v>83</v>
      </c>
      <c r="FG297" s="16" t="s">
        <v>282</v>
      </c>
      <c r="FM297" s="137">
        <f>IF(DV297="základní",J297,0)</f>
        <v>2273.3200000000002</v>
      </c>
      <c r="FN297" s="137">
        <f>IF(DV297="snížená",J297,0)</f>
        <v>0</v>
      </c>
      <c r="FO297" s="137">
        <f>IF(DV297="zákl. přenesená",J297,0)</f>
        <v>0</v>
      </c>
      <c r="FP297" s="137">
        <f>IF(DV297="sníž. přenesená",J297,0)</f>
        <v>0</v>
      </c>
      <c r="FQ297" s="137">
        <f>IF(DV297="nulová",J297,0)</f>
        <v>0</v>
      </c>
      <c r="FR297" s="16" t="s">
        <v>81</v>
      </c>
      <c r="FS297" s="137">
        <f>ROUND(I297*H297,2)</f>
        <v>2273.3200000000002</v>
      </c>
      <c r="FT297" s="16" t="s">
        <v>95</v>
      </c>
      <c r="FU297" s="136" t="s">
        <v>2686</v>
      </c>
    </row>
    <row r="298" spans="2:177" s="1" customFormat="1" x14ac:dyDescent="0.2">
      <c r="B298" s="31"/>
      <c r="D298" s="138" t="s">
        <v>289</v>
      </c>
      <c r="F298" s="139" t="s">
        <v>2422</v>
      </c>
      <c r="I298" s="140"/>
      <c r="L298" s="31"/>
      <c r="N298" s="213"/>
      <c r="O298" s="214"/>
      <c r="Q298" s="229"/>
      <c r="DU298" s="141"/>
      <c r="EB298" s="50"/>
      <c r="FB298" s="16" t="s">
        <v>289</v>
      </c>
      <c r="FC298" s="16" t="s">
        <v>83</v>
      </c>
    </row>
    <row r="299" spans="2:177" s="1" customFormat="1" ht="14.45" customHeight="1" x14ac:dyDescent="0.2">
      <c r="B299" s="124"/>
      <c r="C299" s="170" t="s">
        <v>536</v>
      </c>
      <c r="D299" s="170" t="s">
        <v>439</v>
      </c>
      <c r="E299" s="171" t="s">
        <v>2351</v>
      </c>
      <c r="F299" s="172" t="s">
        <v>2352</v>
      </c>
      <c r="G299" s="173" t="s">
        <v>485</v>
      </c>
      <c r="H299" s="174">
        <v>1</v>
      </c>
      <c r="I299" s="175">
        <v>318.26447519999999</v>
      </c>
      <c r="J299" s="176">
        <f>ROUND(I299*H299,2)</f>
        <v>318.26</v>
      </c>
      <c r="K299" s="172" t="s">
        <v>293</v>
      </c>
      <c r="L299" s="268">
        <f>S299</f>
        <v>0</v>
      </c>
      <c r="M299" s="272">
        <f>ROUND(L299*I299,2)</f>
        <v>0</v>
      </c>
      <c r="N299" s="243"/>
      <c r="O299" s="294">
        <f>ROUND(N299*I299,2)</f>
        <v>0</v>
      </c>
      <c r="P299" s="273">
        <f>H299-L299-N299</f>
        <v>1</v>
      </c>
      <c r="Q299" s="287">
        <f>ROUND(P299*I299,2)</f>
        <v>318.26</v>
      </c>
      <c r="R299" s="137"/>
      <c r="S299" s="269">
        <f>W299+Y299+AA299+AC299+AE299+AG299+AI299+AK299+AM299+AO299</f>
        <v>0</v>
      </c>
      <c r="T299" s="269">
        <f>ROUND(S299*I299,2)</f>
        <v>0</v>
      </c>
      <c r="U299" s="269">
        <f>H299-S299</f>
        <v>1</v>
      </c>
      <c r="V299" s="269">
        <f>ROUND(U299*I299,2)</f>
        <v>318.26</v>
      </c>
      <c r="W299" s="290"/>
      <c r="X299" s="290"/>
      <c r="Y299" s="290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90"/>
      <c r="AK299" s="290"/>
      <c r="AL299" s="290"/>
      <c r="AM299" s="290"/>
      <c r="AN299" s="290"/>
      <c r="AO299" s="290"/>
      <c r="AP299" s="290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77" t="s">
        <v>1</v>
      </c>
      <c r="DV299" s="178" t="s">
        <v>40</v>
      </c>
      <c r="DX299" s="134">
        <f>DW299*H299</f>
        <v>0</v>
      </c>
      <c r="DY299" s="134">
        <v>7.2000000000000005E-4</v>
      </c>
      <c r="DZ299" s="134">
        <f>DY299*H299</f>
        <v>7.2000000000000005E-4</v>
      </c>
      <c r="EA299" s="134">
        <v>0</v>
      </c>
      <c r="EB299" s="135">
        <f>EA299*H299</f>
        <v>0</v>
      </c>
      <c r="EZ299" s="136" t="s">
        <v>328</v>
      </c>
      <c r="FB299" s="136" t="s">
        <v>439</v>
      </c>
      <c r="FC299" s="136" t="s">
        <v>83</v>
      </c>
      <c r="FG299" s="16" t="s">
        <v>282</v>
      </c>
      <c r="FM299" s="137">
        <f>IF(DV299="základní",J299,0)</f>
        <v>318.26</v>
      </c>
      <c r="FN299" s="137">
        <f>IF(DV299="snížená",J299,0)</f>
        <v>0</v>
      </c>
      <c r="FO299" s="137">
        <f>IF(DV299="zákl. přenesená",J299,0)</f>
        <v>0</v>
      </c>
      <c r="FP299" s="137">
        <f>IF(DV299="sníž. přenesená",J299,0)</f>
        <v>0</v>
      </c>
      <c r="FQ299" s="137">
        <f>IF(DV299="nulová",J299,0)</f>
        <v>0</v>
      </c>
      <c r="FR299" s="16" t="s">
        <v>81</v>
      </c>
      <c r="FS299" s="137">
        <f>ROUND(I299*H299,2)</f>
        <v>318.26</v>
      </c>
      <c r="FT299" s="16" t="s">
        <v>95</v>
      </c>
      <c r="FU299" s="136" t="s">
        <v>2353</v>
      </c>
    </row>
    <row r="300" spans="2:177" s="1" customFormat="1" x14ac:dyDescent="0.2">
      <c r="B300" s="31"/>
      <c r="D300" s="138" t="s">
        <v>289</v>
      </c>
      <c r="F300" s="139" t="s">
        <v>2352</v>
      </c>
      <c r="I300" s="140"/>
      <c r="L300" s="31"/>
      <c r="N300" s="213"/>
      <c r="O300" s="214"/>
      <c r="Q300" s="229"/>
      <c r="DU300" s="141"/>
      <c r="EB300" s="50"/>
      <c r="FB300" s="16" t="s">
        <v>289</v>
      </c>
      <c r="FC300" s="16" t="s">
        <v>83</v>
      </c>
    </row>
    <row r="301" spans="2:177" s="1" customFormat="1" ht="24.2" customHeight="1" x14ac:dyDescent="0.2">
      <c r="B301" s="124"/>
      <c r="C301" s="170" t="s">
        <v>543</v>
      </c>
      <c r="D301" s="170" t="s">
        <v>439</v>
      </c>
      <c r="E301" s="171" t="s">
        <v>2354</v>
      </c>
      <c r="F301" s="172" t="s">
        <v>2355</v>
      </c>
      <c r="G301" s="173" t="s">
        <v>485</v>
      </c>
      <c r="H301" s="174">
        <v>1</v>
      </c>
      <c r="I301" s="175">
        <v>654.52604870000005</v>
      </c>
      <c r="J301" s="176">
        <f>ROUND(I301*H301,2)</f>
        <v>654.53</v>
      </c>
      <c r="K301" s="172" t="s">
        <v>293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1</v>
      </c>
      <c r="Q301" s="287">
        <f>ROUND(P301*I301,2)</f>
        <v>654.53</v>
      </c>
      <c r="R301" s="137"/>
      <c r="S301" s="269">
        <f>W301+Y301+AA301+AC301+AE301+AG301+AI301+AK301+AM301+AO301</f>
        <v>0</v>
      </c>
      <c r="T301" s="269">
        <f>ROUND(S301*I301,2)</f>
        <v>0</v>
      </c>
      <c r="U301" s="269">
        <f>H301-S301</f>
        <v>1</v>
      </c>
      <c r="V301" s="269">
        <f>ROUND(U301*I301,2)</f>
        <v>654.53</v>
      </c>
      <c r="W301" s="290"/>
      <c r="X301" s="290"/>
      <c r="Y301" s="290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290"/>
      <c r="AK301" s="290"/>
      <c r="AL301" s="290"/>
      <c r="AM301" s="290"/>
      <c r="AN301" s="290"/>
      <c r="AO301" s="290"/>
      <c r="AP301" s="290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77" t="s">
        <v>1</v>
      </c>
      <c r="DV301" s="178" t="s">
        <v>40</v>
      </c>
      <c r="DX301" s="134">
        <f>DW301*H301</f>
        <v>0</v>
      </c>
      <c r="DY301" s="134">
        <v>4.0000000000000001E-3</v>
      </c>
      <c r="DZ301" s="134">
        <f>DY301*H301</f>
        <v>4.0000000000000001E-3</v>
      </c>
      <c r="EA301" s="134">
        <v>0</v>
      </c>
      <c r="EB301" s="135">
        <f>EA301*H301</f>
        <v>0</v>
      </c>
      <c r="EZ301" s="136" t="s">
        <v>328</v>
      </c>
      <c r="FB301" s="136" t="s">
        <v>439</v>
      </c>
      <c r="FC301" s="136" t="s">
        <v>83</v>
      </c>
      <c r="FG301" s="16" t="s">
        <v>282</v>
      </c>
      <c r="FM301" s="137">
        <f>IF(DV301="základní",J301,0)</f>
        <v>654.53</v>
      </c>
      <c r="FN301" s="137">
        <f>IF(DV301="snížená",J301,0)</f>
        <v>0</v>
      </c>
      <c r="FO301" s="137">
        <f>IF(DV301="zákl. přenesená",J301,0)</f>
        <v>0</v>
      </c>
      <c r="FP301" s="137">
        <f>IF(DV301="sníž. přenesená",J301,0)</f>
        <v>0</v>
      </c>
      <c r="FQ301" s="137">
        <f>IF(DV301="nulová",J301,0)</f>
        <v>0</v>
      </c>
      <c r="FR301" s="16" t="s">
        <v>81</v>
      </c>
      <c r="FS301" s="137">
        <f>ROUND(I301*H301,2)</f>
        <v>654.53</v>
      </c>
      <c r="FT301" s="16" t="s">
        <v>95</v>
      </c>
      <c r="FU301" s="136" t="s">
        <v>2356</v>
      </c>
    </row>
    <row r="302" spans="2:177" s="1" customFormat="1" x14ac:dyDescent="0.2">
      <c r="B302" s="31"/>
      <c r="D302" s="138" t="s">
        <v>289</v>
      </c>
      <c r="F302" s="139" t="s">
        <v>2357</v>
      </c>
      <c r="I302" s="140"/>
      <c r="L302" s="31"/>
      <c r="N302" s="213"/>
      <c r="O302" s="214"/>
      <c r="Q302" s="229"/>
      <c r="DU302" s="141"/>
      <c r="EB302" s="50"/>
      <c r="FB302" s="16" t="s">
        <v>289</v>
      </c>
      <c r="FC302" s="16" t="s">
        <v>83</v>
      </c>
    </row>
    <row r="303" spans="2:177" s="1" customFormat="1" ht="24.2" customHeight="1" x14ac:dyDescent="0.2">
      <c r="B303" s="124"/>
      <c r="C303" s="125" t="s">
        <v>548</v>
      </c>
      <c r="D303" s="125" t="s">
        <v>284</v>
      </c>
      <c r="E303" s="126" t="s">
        <v>2358</v>
      </c>
      <c r="F303" s="127" t="s">
        <v>2359</v>
      </c>
      <c r="G303" s="128" t="s">
        <v>485</v>
      </c>
      <c r="H303" s="129">
        <v>1</v>
      </c>
      <c r="I303" s="130">
        <v>321.31669478087099</v>
      </c>
      <c r="J303" s="131">
        <f>ROUND(I303*H303,2)</f>
        <v>321.32</v>
      </c>
      <c r="K303" s="127" t="s">
        <v>293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1</v>
      </c>
      <c r="Q303" s="287">
        <f>ROUND(P303*I303,2)</f>
        <v>321.32</v>
      </c>
      <c r="R303" s="137"/>
      <c r="S303" s="269">
        <f>W303+Y303+AA303+AC303+AE303+AG303+AI303+AK303+AM303+AO303</f>
        <v>0</v>
      </c>
      <c r="T303" s="269">
        <f>ROUND(S303*I303,2)</f>
        <v>0</v>
      </c>
      <c r="U303" s="269">
        <f>H303-S303</f>
        <v>1</v>
      </c>
      <c r="V303" s="269">
        <f>ROUND(U303*I303,2)</f>
        <v>321.32</v>
      </c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  <c r="AL303" s="269"/>
      <c r="AM303" s="269"/>
      <c r="AN303" s="269"/>
      <c r="AO303" s="269"/>
      <c r="AP303" s="269"/>
      <c r="DU303" s="132" t="s">
        <v>1</v>
      </c>
      <c r="DV303" s="133" t="s">
        <v>40</v>
      </c>
      <c r="DX303" s="134">
        <f>DW303*H303</f>
        <v>0</v>
      </c>
      <c r="DY303" s="134">
        <v>0</v>
      </c>
      <c r="DZ303" s="134">
        <f>DY303*H303</f>
        <v>0</v>
      </c>
      <c r="EA303" s="134">
        <v>0</v>
      </c>
      <c r="EB303" s="135">
        <f>EA303*H303</f>
        <v>0</v>
      </c>
      <c r="EZ303" s="136" t="s">
        <v>95</v>
      </c>
      <c r="FB303" s="136" t="s">
        <v>284</v>
      </c>
      <c r="FC303" s="136" t="s">
        <v>83</v>
      </c>
      <c r="FG303" s="16" t="s">
        <v>282</v>
      </c>
      <c r="FM303" s="137">
        <f>IF(DV303="základní",J303,0)</f>
        <v>321.32</v>
      </c>
      <c r="FN303" s="137">
        <f>IF(DV303="snížená",J303,0)</f>
        <v>0</v>
      </c>
      <c r="FO303" s="137">
        <f>IF(DV303="zákl. přenesená",J303,0)</f>
        <v>0</v>
      </c>
      <c r="FP303" s="137">
        <f>IF(DV303="sníž. přenesená",J303,0)</f>
        <v>0</v>
      </c>
      <c r="FQ303" s="137">
        <f>IF(DV303="nulová",J303,0)</f>
        <v>0</v>
      </c>
      <c r="FR303" s="16" t="s">
        <v>81</v>
      </c>
      <c r="FS303" s="137">
        <f>ROUND(I303*H303,2)</f>
        <v>321.32</v>
      </c>
      <c r="FT303" s="16" t="s">
        <v>95</v>
      </c>
      <c r="FU303" s="136" t="s">
        <v>2360</v>
      </c>
    </row>
    <row r="304" spans="2:177" s="1" customFormat="1" ht="19.5" x14ac:dyDescent="0.2">
      <c r="B304" s="31"/>
      <c r="D304" s="138" t="s">
        <v>289</v>
      </c>
      <c r="F304" s="139" t="s">
        <v>2361</v>
      </c>
      <c r="I304" s="140"/>
      <c r="L304" s="31"/>
      <c r="N304" s="213"/>
      <c r="O304" s="214"/>
      <c r="Q304" s="229"/>
      <c r="DU304" s="141"/>
      <c r="EB304" s="50"/>
      <c r="FB304" s="16" t="s">
        <v>289</v>
      </c>
      <c r="FC304" s="16" t="s">
        <v>83</v>
      </c>
    </row>
    <row r="305" spans="2:177" s="1" customFormat="1" ht="29.25" x14ac:dyDescent="0.2">
      <c r="B305" s="31"/>
      <c r="D305" s="138" t="s">
        <v>299</v>
      </c>
      <c r="F305" s="142" t="s">
        <v>2649</v>
      </c>
      <c r="I305" s="140"/>
      <c r="L305" s="31"/>
      <c r="N305" s="213"/>
      <c r="O305" s="214"/>
      <c r="Q305" s="229"/>
      <c r="DU305" s="141"/>
      <c r="EB305" s="50"/>
      <c r="FB305" s="16" t="s">
        <v>299</v>
      </c>
      <c r="FC305" s="16" t="s">
        <v>83</v>
      </c>
    </row>
    <row r="306" spans="2:177" s="12" customFormat="1" x14ac:dyDescent="0.2">
      <c r="B306" s="149"/>
      <c r="D306" s="138" t="s">
        <v>301</v>
      </c>
      <c r="E306" s="150" t="s">
        <v>1</v>
      </c>
      <c r="F306" s="151" t="s">
        <v>81</v>
      </c>
      <c r="H306" s="152">
        <v>1</v>
      </c>
      <c r="I306" s="153"/>
      <c r="L306" s="149"/>
      <c r="N306" s="217"/>
      <c r="O306" s="218"/>
      <c r="Q306" s="231"/>
      <c r="DU306" s="154"/>
      <c r="EB306" s="155"/>
      <c r="FB306" s="150" t="s">
        <v>301</v>
      </c>
      <c r="FC306" s="150" t="s">
        <v>83</v>
      </c>
      <c r="FD306" s="12" t="s">
        <v>83</v>
      </c>
      <c r="FE306" s="12" t="s">
        <v>32</v>
      </c>
      <c r="FF306" s="12" t="s">
        <v>81</v>
      </c>
      <c r="FG306" s="150" t="s">
        <v>282</v>
      </c>
    </row>
    <row r="307" spans="2:177" s="1" customFormat="1" ht="24.2" customHeight="1" x14ac:dyDescent="0.2">
      <c r="B307" s="124"/>
      <c r="C307" s="170" t="s">
        <v>556</v>
      </c>
      <c r="D307" s="170" t="s">
        <v>439</v>
      </c>
      <c r="E307" s="171" t="s">
        <v>2362</v>
      </c>
      <c r="F307" s="172" t="s">
        <v>2363</v>
      </c>
      <c r="G307" s="173" t="s">
        <v>485</v>
      </c>
      <c r="H307" s="174">
        <v>1</v>
      </c>
      <c r="I307" s="175">
        <v>1297.6855089999999</v>
      </c>
      <c r="J307" s="176">
        <f>ROUND(I307*H307,2)</f>
        <v>1297.69</v>
      </c>
      <c r="K307" s="172" t="s">
        <v>293</v>
      </c>
      <c r="L307" s="268">
        <f>S307</f>
        <v>0</v>
      </c>
      <c r="M307" s="272">
        <f>ROUND(L307*I307,2)</f>
        <v>0</v>
      </c>
      <c r="N307" s="243"/>
      <c r="O307" s="294">
        <f>ROUND(N307*I307,2)</f>
        <v>0</v>
      </c>
      <c r="P307" s="273">
        <f>H307-L307-N307</f>
        <v>1</v>
      </c>
      <c r="Q307" s="287">
        <f>ROUND(P307*I307,2)</f>
        <v>1297.69</v>
      </c>
      <c r="R307" s="137"/>
      <c r="S307" s="269">
        <f>W307+Y307+AA307+AC307+AE307+AG307+AI307+AK307+AM307+AO307</f>
        <v>0</v>
      </c>
      <c r="T307" s="269">
        <f>ROUND(S307*I307,2)</f>
        <v>0</v>
      </c>
      <c r="U307" s="269">
        <f>H307-S307</f>
        <v>1</v>
      </c>
      <c r="V307" s="269">
        <f>ROUND(U307*I307,2)</f>
        <v>1297.69</v>
      </c>
      <c r="W307" s="290"/>
      <c r="X307" s="290"/>
      <c r="Y307" s="290"/>
      <c r="Z307" s="290"/>
      <c r="AA307" s="290"/>
      <c r="AB307" s="290"/>
      <c r="AC307" s="290"/>
      <c r="AD307" s="290"/>
      <c r="AE307" s="290"/>
      <c r="AF307" s="290"/>
      <c r="AG307" s="290"/>
      <c r="AH307" s="290"/>
      <c r="AI307" s="290"/>
      <c r="AJ307" s="290"/>
      <c r="AK307" s="290"/>
      <c r="AL307" s="290"/>
      <c r="AM307" s="290"/>
      <c r="AN307" s="290"/>
      <c r="AO307" s="290"/>
      <c r="AP307" s="290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77" t="s">
        <v>1</v>
      </c>
      <c r="DV307" s="178" t="s">
        <v>40</v>
      </c>
      <c r="DX307" s="134">
        <f>DW307*H307</f>
        <v>0</v>
      </c>
      <c r="DY307" s="134">
        <v>2.2300000000000002E-3</v>
      </c>
      <c r="DZ307" s="134">
        <f>DY307*H307</f>
        <v>2.2300000000000002E-3</v>
      </c>
      <c r="EA307" s="134">
        <v>0</v>
      </c>
      <c r="EB307" s="135">
        <f>EA307*H307</f>
        <v>0</v>
      </c>
      <c r="EZ307" s="136" t="s">
        <v>328</v>
      </c>
      <c r="FB307" s="136" t="s">
        <v>439</v>
      </c>
      <c r="FC307" s="136" t="s">
        <v>83</v>
      </c>
      <c r="FG307" s="16" t="s">
        <v>282</v>
      </c>
      <c r="FM307" s="137">
        <f>IF(DV307="základní",J307,0)</f>
        <v>1297.69</v>
      </c>
      <c r="FN307" s="137">
        <f>IF(DV307="snížená",J307,0)</f>
        <v>0</v>
      </c>
      <c r="FO307" s="137">
        <f>IF(DV307="zákl. přenesená",J307,0)</f>
        <v>0</v>
      </c>
      <c r="FP307" s="137">
        <f>IF(DV307="sníž. přenesená",J307,0)</f>
        <v>0</v>
      </c>
      <c r="FQ307" s="137">
        <f>IF(DV307="nulová",J307,0)</f>
        <v>0</v>
      </c>
      <c r="FR307" s="16" t="s">
        <v>81</v>
      </c>
      <c r="FS307" s="137">
        <f>ROUND(I307*H307,2)</f>
        <v>1297.69</v>
      </c>
      <c r="FT307" s="16" t="s">
        <v>95</v>
      </c>
      <c r="FU307" s="136" t="s">
        <v>2364</v>
      </c>
    </row>
    <row r="308" spans="2:177" s="1" customFormat="1" x14ac:dyDescent="0.2">
      <c r="B308" s="31"/>
      <c r="D308" s="138" t="s">
        <v>289</v>
      </c>
      <c r="F308" s="139" t="s">
        <v>2363</v>
      </c>
      <c r="I308" s="140"/>
      <c r="L308" s="31"/>
      <c r="N308" s="213"/>
      <c r="O308" s="214"/>
      <c r="Q308" s="229"/>
      <c r="DU308" s="141"/>
      <c r="EB308" s="50"/>
      <c r="FB308" s="16" t="s">
        <v>289</v>
      </c>
      <c r="FC308" s="16" t="s">
        <v>83</v>
      </c>
    </row>
    <row r="309" spans="2:177" s="1" customFormat="1" ht="14.45" customHeight="1" x14ac:dyDescent="0.2">
      <c r="B309" s="124"/>
      <c r="C309" s="125" t="s">
        <v>562</v>
      </c>
      <c r="D309" s="125" t="s">
        <v>284</v>
      </c>
      <c r="E309" s="126" t="s">
        <v>2365</v>
      </c>
      <c r="F309" s="127" t="s">
        <v>2366</v>
      </c>
      <c r="G309" s="128" t="s">
        <v>344</v>
      </c>
      <c r="H309" s="129">
        <v>83.8</v>
      </c>
      <c r="I309" s="130">
        <v>16.910732975755494</v>
      </c>
      <c r="J309" s="131">
        <f>ROUND(I309*H309,2)</f>
        <v>1417.12</v>
      </c>
      <c r="K309" s="127" t="s">
        <v>293</v>
      </c>
      <c r="L309" s="268">
        <f>S309</f>
        <v>0</v>
      </c>
      <c r="M309" s="272">
        <f>ROUND(L309*I309,2)</f>
        <v>0</v>
      </c>
      <c r="N309" s="243">
        <f>N311</f>
        <v>1.9099999999999966</v>
      </c>
      <c r="O309" s="294">
        <f>ROUND(N309*I309,2)</f>
        <v>32.299999999999997</v>
      </c>
      <c r="P309" s="273">
        <f>H309-L309-N309</f>
        <v>81.89</v>
      </c>
      <c r="Q309" s="287">
        <f>ROUND(P309*I309,2)</f>
        <v>1384.82</v>
      </c>
      <c r="R309" s="137"/>
      <c r="S309" s="269">
        <f>W309+Y309+AA309+AC309+AE309+AG309+AI309+AK309+AM309+AO309</f>
        <v>0</v>
      </c>
      <c r="T309" s="269">
        <f>ROUND(S309*I309,2)</f>
        <v>0</v>
      </c>
      <c r="U309" s="269">
        <f>H309-S309</f>
        <v>83.8</v>
      </c>
      <c r="V309" s="269">
        <f>ROUND(U309*I309,2)</f>
        <v>1417.12</v>
      </c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AO309" s="269"/>
      <c r="AP309" s="269"/>
      <c r="DU309" s="132" t="s">
        <v>1</v>
      </c>
      <c r="DV309" s="133" t="s">
        <v>40</v>
      </c>
      <c r="DX309" s="134">
        <f>DW309*H309</f>
        <v>0</v>
      </c>
      <c r="DY309" s="134">
        <v>0</v>
      </c>
      <c r="DZ309" s="134">
        <f>DY309*H309</f>
        <v>0</v>
      </c>
      <c r="EA309" s="134">
        <v>0</v>
      </c>
      <c r="EB309" s="135">
        <f>EA309*H309</f>
        <v>0</v>
      </c>
      <c r="EZ309" s="136" t="s">
        <v>95</v>
      </c>
      <c r="FB309" s="136" t="s">
        <v>284</v>
      </c>
      <c r="FC309" s="136" t="s">
        <v>83</v>
      </c>
      <c r="FG309" s="16" t="s">
        <v>282</v>
      </c>
      <c r="FM309" s="137">
        <f>IF(DV309="základní",J309,0)</f>
        <v>1417.12</v>
      </c>
      <c r="FN309" s="137">
        <f>IF(DV309="snížená",J309,0)</f>
        <v>0</v>
      </c>
      <c r="FO309" s="137">
        <f>IF(DV309="zákl. přenesená",J309,0)</f>
        <v>0</v>
      </c>
      <c r="FP309" s="137">
        <f>IF(DV309="sníž. přenesená",J309,0)</f>
        <v>0</v>
      </c>
      <c r="FQ309" s="137">
        <f>IF(DV309="nulová",J309,0)</f>
        <v>0</v>
      </c>
      <c r="FR309" s="16" t="s">
        <v>81</v>
      </c>
      <c r="FS309" s="137">
        <f>ROUND(I309*H309,2)</f>
        <v>1417.12</v>
      </c>
      <c r="FT309" s="16" t="s">
        <v>95</v>
      </c>
      <c r="FU309" s="136" t="s">
        <v>2367</v>
      </c>
    </row>
    <row r="310" spans="2:177" s="1" customFormat="1" x14ac:dyDescent="0.2">
      <c r="B310" s="31"/>
      <c r="D310" s="138" t="s">
        <v>289</v>
      </c>
      <c r="F310" s="139" t="s">
        <v>2368</v>
      </c>
      <c r="I310" s="140"/>
      <c r="L310" s="31"/>
      <c r="N310" s="213"/>
      <c r="O310" s="214"/>
      <c r="Q310" s="229"/>
      <c r="DU310" s="141"/>
      <c r="EB310" s="50"/>
      <c r="FB310" s="16" t="s">
        <v>289</v>
      </c>
      <c r="FC310" s="16" t="s">
        <v>83</v>
      </c>
    </row>
    <row r="311" spans="2:177" s="1" customFormat="1" ht="19.5" x14ac:dyDescent="0.2">
      <c r="B311" s="31"/>
      <c r="D311" s="138" t="s">
        <v>299</v>
      </c>
      <c r="F311" s="142" t="s">
        <v>587</v>
      </c>
      <c r="I311" s="140"/>
      <c r="L311" s="31"/>
      <c r="N311" s="213">
        <f>85.71-83.8</f>
        <v>1.9099999999999966</v>
      </c>
      <c r="O311" s="214" t="s">
        <v>3625</v>
      </c>
      <c r="Q311" s="229"/>
      <c r="DU311" s="141"/>
      <c r="EB311" s="50"/>
      <c r="FB311" s="16" t="s">
        <v>299</v>
      </c>
      <c r="FC311" s="16" t="s">
        <v>83</v>
      </c>
    </row>
    <row r="312" spans="2:177" s="1" customFormat="1" ht="14.45" customHeight="1" x14ac:dyDescent="0.2">
      <c r="B312" s="124"/>
      <c r="C312" s="125" t="s">
        <v>568</v>
      </c>
      <c r="D312" s="125" t="s">
        <v>284</v>
      </c>
      <c r="E312" s="126" t="s">
        <v>2369</v>
      </c>
      <c r="F312" s="127" t="s">
        <v>2370</v>
      </c>
      <c r="G312" s="128" t="s">
        <v>315</v>
      </c>
      <c r="H312" s="129">
        <v>1</v>
      </c>
      <c r="I312" s="130">
        <v>1420.8235500000001</v>
      </c>
      <c r="J312" s="131">
        <f>ROUND(I312*H312,2)</f>
        <v>1420.82</v>
      </c>
      <c r="K312" s="127" t="s">
        <v>1</v>
      </c>
      <c r="L312" s="268">
        <f>S312</f>
        <v>0</v>
      </c>
      <c r="M312" s="272">
        <f>ROUND(L312*I312,2)</f>
        <v>0</v>
      </c>
      <c r="N312" s="243"/>
      <c r="O312" s="294">
        <f>ROUND(N312*I312,2)</f>
        <v>0</v>
      </c>
      <c r="P312" s="273">
        <f>H312-L312-N312</f>
        <v>1</v>
      </c>
      <c r="Q312" s="287">
        <f>ROUND(P312*I312,2)</f>
        <v>1420.82</v>
      </c>
      <c r="R312" s="137"/>
      <c r="S312" s="269">
        <f>W312+Y312+AA312+AC312+AE312+AG312+AI312+AK312+AM312+AO312</f>
        <v>0</v>
      </c>
      <c r="T312" s="269">
        <f>ROUND(S312*I312,2)</f>
        <v>0</v>
      </c>
      <c r="U312" s="269">
        <f>H312-S312</f>
        <v>1</v>
      </c>
      <c r="V312" s="269">
        <f>ROUND(U312*I312,2)</f>
        <v>1420.82</v>
      </c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  <c r="AL312" s="269"/>
      <c r="AM312" s="269"/>
      <c r="AN312" s="269"/>
      <c r="AO312" s="269"/>
      <c r="AP312" s="269"/>
      <c r="DU312" s="132" t="s">
        <v>1</v>
      </c>
      <c r="DV312" s="133" t="s">
        <v>40</v>
      </c>
      <c r="DX312" s="134">
        <f>DW312*H312</f>
        <v>0</v>
      </c>
      <c r="DY312" s="134">
        <v>0</v>
      </c>
      <c r="DZ312" s="134">
        <f>DY312*H312</f>
        <v>0</v>
      </c>
      <c r="EA312" s="134">
        <v>0</v>
      </c>
      <c r="EB312" s="135">
        <f>EA312*H312</f>
        <v>0</v>
      </c>
      <c r="EZ312" s="136" t="s">
        <v>95</v>
      </c>
      <c r="FB312" s="136" t="s">
        <v>284</v>
      </c>
      <c r="FC312" s="136" t="s">
        <v>83</v>
      </c>
      <c r="FG312" s="16" t="s">
        <v>282</v>
      </c>
      <c r="FM312" s="137">
        <f>IF(DV312="základní",J312,0)</f>
        <v>1420.82</v>
      </c>
      <c r="FN312" s="137">
        <f>IF(DV312="snížená",J312,0)</f>
        <v>0</v>
      </c>
      <c r="FO312" s="137">
        <f>IF(DV312="zákl. přenesená",J312,0)</f>
        <v>0</v>
      </c>
      <c r="FP312" s="137">
        <f>IF(DV312="sníž. přenesená",J312,0)</f>
        <v>0</v>
      </c>
      <c r="FQ312" s="137">
        <f>IF(DV312="nulová",J312,0)</f>
        <v>0</v>
      </c>
      <c r="FR312" s="16" t="s">
        <v>81</v>
      </c>
      <c r="FS312" s="137">
        <f>ROUND(I312*H312,2)</f>
        <v>1420.82</v>
      </c>
      <c r="FT312" s="16" t="s">
        <v>95</v>
      </c>
      <c r="FU312" s="136" t="s">
        <v>2371</v>
      </c>
    </row>
    <row r="313" spans="2:177" s="1" customFormat="1" x14ac:dyDescent="0.2">
      <c r="B313" s="31"/>
      <c r="D313" s="138" t="s">
        <v>289</v>
      </c>
      <c r="F313" s="139" t="s">
        <v>2370</v>
      </c>
      <c r="I313" s="140"/>
      <c r="L313" s="31"/>
      <c r="N313" s="213"/>
      <c r="O313" s="214"/>
      <c r="Q313" s="229"/>
      <c r="DU313" s="141"/>
      <c r="EB313" s="50"/>
      <c r="FB313" s="16" t="s">
        <v>289</v>
      </c>
      <c r="FC313" s="16" t="s">
        <v>83</v>
      </c>
    </row>
    <row r="314" spans="2:177" s="1" customFormat="1" ht="37.9" customHeight="1" x14ac:dyDescent="0.2">
      <c r="B314" s="124"/>
      <c r="C314" s="125" t="s">
        <v>572</v>
      </c>
      <c r="D314" s="125" t="s">
        <v>284</v>
      </c>
      <c r="E314" s="126" t="s">
        <v>2372</v>
      </c>
      <c r="F314" s="127" t="s">
        <v>2373</v>
      </c>
      <c r="G314" s="128" t="s">
        <v>315</v>
      </c>
      <c r="H314" s="129">
        <v>1</v>
      </c>
      <c r="I314" s="130">
        <v>4262.4706500000002</v>
      </c>
      <c r="J314" s="131">
        <f>ROUND(I314*H314,2)</f>
        <v>4262.47</v>
      </c>
      <c r="K314" s="127" t="s">
        <v>1</v>
      </c>
      <c r="L314" s="268">
        <f>S314</f>
        <v>0</v>
      </c>
      <c r="M314" s="272">
        <f>ROUND(L314*I314,2)</f>
        <v>0</v>
      </c>
      <c r="N314" s="243"/>
      <c r="O314" s="294">
        <f>ROUND(N314*I314,2)</f>
        <v>0</v>
      </c>
      <c r="P314" s="273">
        <f>H314-L314-N314</f>
        <v>1</v>
      </c>
      <c r="Q314" s="287">
        <f>ROUND(P314*I314,2)</f>
        <v>4262.47</v>
      </c>
      <c r="R314" s="137"/>
      <c r="S314" s="269">
        <f>W314+Y314+AA314+AC314+AE314+AG314+AI314+AK314+AM314+AO314</f>
        <v>0</v>
      </c>
      <c r="T314" s="269">
        <f>ROUND(S314*I314,2)</f>
        <v>0</v>
      </c>
      <c r="U314" s="269">
        <f>H314-S314</f>
        <v>1</v>
      </c>
      <c r="V314" s="269">
        <f>ROUND(U314*I314,2)</f>
        <v>4262.47</v>
      </c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DU314" s="132" t="s">
        <v>1</v>
      </c>
      <c r="DV314" s="133" t="s">
        <v>40</v>
      </c>
      <c r="DX314" s="134">
        <f>DW314*H314</f>
        <v>0</v>
      </c>
      <c r="DY314" s="134">
        <v>0</v>
      </c>
      <c r="DZ314" s="134">
        <f>DY314*H314</f>
        <v>0</v>
      </c>
      <c r="EA314" s="134">
        <v>0</v>
      </c>
      <c r="EB314" s="135">
        <f>EA314*H314</f>
        <v>0</v>
      </c>
      <c r="EZ314" s="136" t="s">
        <v>95</v>
      </c>
      <c r="FB314" s="136" t="s">
        <v>284</v>
      </c>
      <c r="FC314" s="136" t="s">
        <v>83</v>
      </c>
      <c r="FG314" s="16" t="s">
        <v>282</v>
      </c>
      <c r="FM314" s="137">
        <f>IF(DV314="základní",J314,0)</f>
        <v>4262.47</v>
      </c>
      <c r="FN314" s="137">
        <f>IF(DV314="snížená",J314,0)</f>
        <v>0</v>
      </c>
      <c r="FO314" s="137">
        <f>IF(DV314="zákl. přenesená",J314,0)</f>
        <v>0</v>
      </c>
      <c r="FP314" s="137">
        <f>IF(DV314="sníž. přenesená",J314,0)</f>
        <v>0</v>
      </c>
      <c r="FQ314" s="137">
        <f>IF(DV314="nulová",J314,0)</f>
        <v>0</v>
      </c>
      <c r="FR314" s="16" t="s">
        <v>81</v>
      </c>
      <c r="FS314" s="137">
        <f>ROUND(I314*H314,2)</f>
        <v>4262.47</v>
      </c>
      <c r="FT314" s="16" t="s">
        <v>95</v>
      </c>
      <c r="FU314" s="136" t="s">
        <v>2374</v>
      </c>
    </row>
    <row r="315" spans="2:177" s="1" customFormat="1" ht="29.25" x14ac:dyDescent="0.2">
      <c r="B315" s="31"/>
      <c r="D315" s="138" t="s">
        <v>289</v>
      </c>
      <c r="F315" s="139" t="s">
        <v>2373</v>
      </c>
      <c r="I315" s="140"/>
      <c r="L315" s="31"/>
      <c r="N315" s="213"/>
      <c r="O315" s="214"/>
      <c r="Q315" s="229"/>
      <c r="DU315" s="141"/>
      <c r="EB315" s="50"/>
      <c r="FB315" s="16" t="s">
        <v>289</v>
      </c>
      <c r="FC315" s="16" t="s">
        <v>83</v>
      </c>
    </row>
    <row r="316" spans="2:177" s="1" customFormat="1" ht="29.25" x14ac:dyDescent="0.2">
      <c r="B316" s="31"/>
      <c r="D316" s="138" t="s">
        <v>299</v>
      </c>
      <c r="F316" s="142" t="s">
        <v>2649</v>
      </c>
      <c r="I316" s="140"/>
      <c r="L316" s="31"/>
      <c r="N316" s="213"/>
      <c r="O316" s="214"/>
      <c r="Q316" s="229"/>
      <c r="DU316" s="141"/>
      <c r="EB316" s="50"/>
      <c r="FB316" s="16" t="s">
        <v>299</v>
      </c>
      <c r="FC316" s="16" t="s">
        <v>83</v>
      </c>
    </row>
    <row r="317" spans="2:177" s="12" customFormat="1" x14ac:dyDescent="0.2">
      <c r="B317" s="149"/>
      <c r="D317" s="138" t="s">
        <v>301</v>
      </c>
      <c r="E317" s="150" t="s">
        <v>1</v>
      </c>
      <c r="F317" s="151" t="s">
        <v>2687</v>
      </c>
      <c r="H317" s="152">
        <v>1</v>
      </c>
      <c r="I317" s="153"/>
      <c r="L317" s="149"/>
      <c r="N317" s="217"/>
      <c r="O317" s="218"/>
      <c r="Q317" s="231"/>
      <c r="DU317" s="154"/>
      <c r="EB317" s="155"/>
      <c r="FB317" s="150" t="s">
        <v>301</v>
      </c>
      <c r="FC317" s="150" t="s">
        <v>83</v>
      </c>
      <c r="FD317" s="12" t="s">
        <v>83</v>
      </c>
      <c r="FE317" s="12" t="s">
        <v>32</v>
      </c>
      <c r="FF317" s="12" t="s">
        <v>81</v>
      </c>
      <c r="FG317" s="150" t="s">
        <v>282</v>
      </c>
    </row>
    <row r="318" spans="2:177" s="1" customFormat="1" ht="24.2" customHeight="1" x14ac:dyDescent="0.2">
      <c r="B318" s="124"/>
      <c r="C318" s="125" t="s">
        <v>576</v>
      </c>
      <c r="D318" s="125" t="s">
        <v>284</v>
      </c>
      <c r="E318" s="126" t="s">
        <v>2376</v>
      </c>
      <c r="F318" s="127" t="s">
        <v>2377</v>
      </c>
      <c r="G318" s="128" t="s">
        <v>344</v>
      </c>
      <c r="H318" s="129">
        <v>88</v>
      </c>
      <c r="I318" s="130">
        <v>41.004583386686377</v>
      </c>
      <c r="J318" s="131">
        <f>ROUND(I318*H318,2)</f>
        <v>3608.4</v>
      </c>
      <c r="K318" s="127" t="s">
        <v>293</v>
      </c>
      <c r="L318" s="268">
        <f>S318</f>
        <v>0</v>
      </c>
      <c r="M318" s="272">
        <f>ROUND(L318*I318,2)</f>
        <v>0</v>
      </c>
      <c r="N318" s="243"/>
      <c r="O318" s="294">
        <f>ROUND(N318*I318,2)</f>
        <v>0</v>
      </c>
      <c r="P318" s="273">
        <f>H318-L318-N318</f>
        <v>88</v>
      </c>
      <c r="Q318" s="287">
        <f>ROUND(P318*I318,2)</f>
        <v>3608.4</v>
      </c>
      <c r="R318" s="137"/>
      <c r="S318" s="269">
        <f>W318+Y318+AA318+AC318+AE318+AG318+AI318+AK318+AM318+AO318</f>
        <v>0</v>
      </c>
      <c r="T318" s="269">
        <f>ROUND(S318*I318,2)</f>
        <v>0</v>
      </c>
      <c r="U318" s="269">
        <f>H318-S318</f>
        <v>88</v>
      </c>
      <c r="V318" s="269">
        <f>ROUND(U318*I318,2)</f>
        <v>3608.4</v>
      </c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AK318" s="269"/>
      <c r="AL318" s="269"/>
      <c r="AM318" s="269"/>
      <c r="AN318" s="269"/>
      <c r="AO318" s="269"/>
      <c r="AP318" s="269"/>
      <c r="DU318" s="132" t="s">
        <v>1</v>
      </c>
      <c r="DV318" s="133" t="s">
        <v>40</v>
      </c>
      <c r="DX318" s="134">
        <f>DW318*H318</f>
        <v>0</v>
      </c>
      <c r="DY318" s="134">
        <v>1.9000000000000001E-4</v>
      </c>
      <c r="DZ318" s="134">
        <f>DY318*H318</f>
        <v>1.6720000000000002E-2</v>
      </c>
      <c r="EA318" s="134">
        <v>0</v>
      </c>
      <c r="EB318" s="135">
        <f>EA318*H318</f>
        <v>0</v>
      </c>
      <c r="EZ318" s="136" t="s">
        <v>95</v>
      </c>
      <c r="FB318" s="136" t="s">
        <v>284</v>
      </c>
      <c r="FC318" s="136" t="s">
        <v>83</v>
      </c>
      <c r="FG318" s="16" t="s">
        <v>282</v>
      </c>
      <c r="FM318" s="137">
        <f>IF(DV318="základní",J318,0)</f>
        <v>3608.4</v>
      </c>
      <c r="FN318" s="137">
        <f>IF(DV318="snížená",J318,0)</f>
        <v>0</v>
      </c>
      <c r="FO318" s="137">
        <f>IF(DV318="zákl. přenesená",J318,0)</f>
        <v>0</v>
      </c>
      <c r="FP318" s="137">
        <f>IF(DV318="sníž. přenesená",J318,0)</f>
        <v>0</v>
      </c>
      <c r="FQ318" s="137">
        <f>IF(DV318="nulová",J318,0)</f>
        <v>0</v>
      </c>
      <c r="FR318" s="16" t="s">
        <v>81</v>
      </c>
      <c r="FS318" s="137">
        <f>ROUND(I318*H318,2)</f>
        <v>3608.4</v>
      </c>
      <c r="FT318" s="16" t="s">
        <v>95</v>
      </c>
      <c r="FU318" s="136" t="s">
        <v>2378</v>
      </c>
    </row>
    <row r="319" spans="2:177" s="1" customFormat="1" x14ac:dyDescent="0.2">
      <c r="B319" s="31"/>
      <c r="D319" s="138" t="s">
        <v>289</v>
      </c>
      <c r="F319" s="139" t="s">
        <v>2379</v>
      </c>
      <c r="I319" s="140"/>
      <c r="L319" s="31"/>
      <c r="N319" s="213"/>
      <c r="O319" s="214"/>
      <c r="Q319" s="229"/>
      <c r="DU319" s="141"/>
      <c r="EB319" s="50"/>
      <c r="FB319" s="16" t="s">
        <v>289</v>
      </c>
      <c r="FC319" s="16" t="s">
        <v>83</v>
      </c>
    </row>
    <row r="320" spans="2:177" s="1" customFormat="1" ht="29.25" x14ac:dyDescent="0.2">
      <c r="B320" s="31"/>
      <c r="D320" s="138" t="s">
        <v>299</v>
      </c>
      <c r="F320" s="142" t="s">
        <v>2649</v>
      </c>
      <c r="I320" s="140"/>
      <c r="L320" s="31"/>
      <c r="N320" s="213"/>
      <c r="O320" s="214"/>
      <c r="Q320" s="229"/>
      <c r="DU320" s="141"/>
      <c r="EB320" s="50"/>
      <c r="FB320" s="16" t="s">
        <v>299</v>
      </c>
      <c r="FC320" s="16" t="s">
        <v>83</v>
      </c>
    </row>
    <row r="321" spans="2:177" s="12" customFormat="1" x14ac:dyDescent="0.2">
      <c r="B321" s="149"/>
      <c r="D321" s="138" t="s">
        <v>301</v>
      </c>
      <c r="E321" s="150" t="s">
        <v>1</v>
      </c>
      <c r="F321" s="151" t="s">
        <v>1563</v>
      </c>
      <c r="H321" s="152">
        <v>88</v>
      </c>
      <c r="I321" s="153"/>
      <c r="L321" s="149"/>
      <c r="N321" s="217"/>
      <c r="O321" s="218"/>
      <c r="Q321" s="231"/>
      <c r="DU321" s="154"/>
      <c r="EB321" s="155"/>
      <c r="FB321" s="150" t="s">
        <v>301</v>
      </c>
      <c r="FC321" s="150" t="s">
        <v>83</v>
      </c>
      <c r="FD321" s="12" t="s">
        <v>83</v>
      </c>
      <c r="FE321" s="12" t="s">
        <v>32</v>
      </c>
      <c r="FF321" s="12" t="s">
        <v>81</v>
      </c>
      <c r="FG321" s="150" t="s">
        <v>282</v>
      </c>
    </row>
    <row r="322" spans="2:177" s="1" customFormat="1" ht="14.45" customHeight="1" x14ac:dyDescent="0.2">
      <c r="B322" s="124"/>
      <c r="C322" s="125" t="s">
        <v>581</v>
      </c>
      <c r="D322" s="125" t="s">
        <v>284</v>
      </c>
      <c r="E322" s="126" t="s">
        <v>2381</v>
      </c>
      <c r="F322" s="127" t="s">
        <v>2382</v>
      </c>
      <c r="G322" s="128" t="s">
        <v>344</v>
      </c>
      <c r="H322" s="129">
        <v>84</v>
      </c>
      <c r="I322" s="130">
        <v>12.254588887781324</v>
      </c>
      <c r="J322" s="131">
        <f>ROUND(I322*H322,2)</f>
        <v>1029.3900000000001</v>
      </c>
      <c r="K322" s="127" t="s">
        <v>293</v>
      </c>
      <c r="L322" s="268">
        <f>S322</f>
        <v>0</v>
      </c>
      <c r="M322" s="272">
        <f>ROUND(L322*I322,2)</f>
        <v>0</v>
      </c>
      <c r="N322" s="243">
        <f>N325</f>
        <v>2</v>
      </c>
      <c r="O322" s="294">
        <f>ROUND(N322*I322,2)</f>
        <v>24.51</v>
      </c>
      <c r="P322" s="273">
        <f>H322-L322-N322</f>
        <v>82</v>
      </c>
      <c r="Q322" s="287">
        <f>ROUND(P322*I322,2)</f>
        <v>1004.88</v>
      </c>
      <c r="R322" s="137"/>
      <c r="S322" s="269">
        <f>W322+Y322+AA322+AC322+AE322+AG322+AI322+AK322+AM322+AO322</f>
        <v>0</v>
      </c>
      <c r="T322" s="269">
        <f>ROUND(S322*I322,2)</f>
        <v>0</v>
      </c>
      <c r="U322" s="269">
        <f>H322-S322</f>
        <v>84</v>
      </c>
      <c r="V322" s="269">
        <f>ROUND(U322*I322,2)</f>
        <v>1029.3900000000001</v>
      </c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  <c r="AL322" s="269"/>
      <c r="AM322" s="269"/>
      <c r="AN322" s="269"/>
      <c r="AO322" s="269"/>
      <c r="AP322" s="269"/>
      <c r="DU322" s="132" t="s">
        <v>1</v>
      </c>
      <c r="DV322" s="133" t="s">
        <v>40</v>
      </c>
      <c r="DX322" s="134">
        <f>DW322*H322</f>
        <v>0</v>
      </c>
      <c r="DY322" s="134">
        <v>9.0000000000000006E-5</v>
      </c>
      <c r="DZ322" s="134">
        <f>DY322*H322</f>
        <v>7.5600000000000007E-3</v>
      </c>
      <c r="EA322" s="134">
        <v>0</v>
      </c>
      <c r="EB322" s="135">
        <f>EA322*H322</f>
        <v>0</v>
      </c>
      <c r="EZ322" s="136" t="s">
        <v>95</v>
      </c>
      <c r="FB322" s="136" t="s">
        <v>284</v>
      </c>
      <c r="FC322" s="136" t="s">
        <v>83</v>
      </c>
      <c r="FG322" s="16" t="s">
        <v>282</v>
      </c>
      <c r="FM322" s="137">
        <f>IF(DV322="základní",J322,0)</f>
        <v>1029.3900000000001</v>
      </c>
      <c r="FN322" s="137">
        <f>IF(DV322="snížená",J322,0)</f>
        <v>0</v>
      </c>
      <c r="FO322" s="137">
        <f>IF(DV322="zákl. přenesená",J322,0)</f>
        <v>0</v>
      </c>
      <c r="FP322" s="137">
        <f>IF(DV322="sníž. přenesená",J322,0)</f>
        <v>0</v>
      </c>
      <c r="FQ322" s="137">
        <f>IF(DV322="nulová",J322,0)</f>
        <v>0</v>
      </c>
      <c r="FR322" s="16" t="s">
        <v>81</v>
      </c>
      <c r="FS322" s="137">
        <f>ROUND(I322*H322,2)</f>
        <v>1029.3900000000001</v>
      </c>
      <c r="FT322" s="16" t="s">
        <v>95</v>
      </c>
      <c r="FU322" s="136" t="s">
        <v>2383</v>
      </c>
    </row>
    <row r="323" spans="2:177" s="1" customFormat="1" x14ac:dyDescent="0.2">
      <c r="B323" s="31"/>
      <c r="D323" s="138" t="s">
        <v>289</v>
      </c>
      <c r="F323" s="139" t="s">
        <v>2384</v>
      </c>
      <c r="I323" s="140"/>
      <c r="L323" s="31"/>
      <c r="N323" s="213"/>
      <c r="O323" s="214"/>
      <c r="Q323" s="229"/>
      <c r="DU323" s="141"/>
      <c r="EB323" s="50"/>
      <c r="FB323" s="16" t="s">
        <v>289</v>
      </c>
      <c r="FC323" s="16" t="s">
        <v>83</v>
      </c>
    </row>
    <row r="324" spans="2:177" s="1" customFormat="1" ht="29.25" x14ac:dyDescent="0.2">
      <c r="B324" s="31"/>
      <c r="D324" s="138" t="s">
        <v>299</v>
      </c>
      <c r="F324" s="142" t="s">
        <v>2649</v>
      </c>
      <c r="I324" s="140"/>
      <c r="L324" s="31"/>
      <c r="N324" s="213"/>
      <c r="O324" s="214"/>
      <c r="Q324" s="229"/>
      <c r="DU324" s="141"/>
      <c r="EB324" s="50"/>
      <c r="FB324" s="16" t="s">
        <v>299</v>
      </c>
      <c r="FC324" s="16" t="s">
        <v>83</v>
      </c>
    </row>
    <row r="325" spans="2:177" s="12" customFormat="1" x14ac:dyDescent="0.2">
      <c r="B325" s="149"/>
      <c r="D325" s="138" t="s">
        <v>301</v>
      </c>
      <c r="E325" s="150" t="s">
        <v>1</v>
      </c>
      <c r="F325" s="151" t="s">
        <v>1559</v>
      </c>
      <c r="H325" s="152">
        <v>84</v>
      </c>
      <c r="I325" s="153"/>
      <c r="L325" s="149"/>
      <c r="N325" s="217">
        <f>86-84</f>
        <v>2</v>
      </c>
      <c r="O325" s="218" t="s">
        <v>3631</v>
      </c>
      <c r="Q325" s="231"/>
      <c r="DU325" s="154"/>
      <c r="EB325" s="155"/>
      <c r="FB325" s="150" t="s">
        <v>301</v>
      </c>
      <c r="FC325" s="150" t="s">
        <v>83</v>
      </c>
      <c r="FD325" s="12" t="s">
        <v>83</v>
      </c>
      <c r="FE325" s="12" t="s">
        <v>32</v>
      </c>
      <c r="FF325" s="12" t="s">
        <v>81</v>
      </c>
      <c r="FG325" s="150" t="s">
        <v>282</v>
      </c>
    </row>
    <row r="326" spans="2:177" s="10" customFormat="1" ht="22.9" customHeight="1" x14ac:dyDescent="0.2">
      <c r="B326" s="112"/>
      <c r="D326" s="113" t="s">
        <v>73</v>
      </c>
      <c r="E326" s="122" t="s">
        <v>335</v>
      </c>
      <c r="F326" s="122" t="s">
        <v>674</v>
      </c>
      <c r="I326" s="115"/>
      <c r="J326" s="123">
        <f>FS326</f>
        <v>5114.96</v>
      </c>
      <c r="L326" s="112"/>
      <c r="M326" s="270">
        <f>M327</f>
        <v>0</v>
      </c>
      <c r="N326" s="301"/>
      <c r="O326" s="302">
        <f t="shared" ref="O326:V326" si="7">O327</f>
        <v>0</v>
      </c>
      <c r="P326" s="270"/>
      <c r="Q326" s="288">
        <f t="shared" si="7"/>
        <v>5114.96</v>
      </c>
      <c r="R326" s="270"/>
      <c r="S326" s="270"/>
      <c r="T326" s="270">
        <f t="shared" si="7"/>
        <v>0</v>
      </c>
      <c r="U326" s="270"/>
      <c r="V326" s="270">
        <f t="shared" si="7"/>
        <v>5114.96</v>
      </c>
      <c r="DU326" s="117"/>
      <c r="DX326" s="118">
        <f>SUM(DX327:DX331)</f>
        <v>0</v>
      </c>
      <c r="DZ326" s="118">
        <f>SUM(DZ327:DZ331)</f>
        <v>0</v>
      </c>
      <c r="EB326" s="119">
        <f>SUM(EB327:EB331)</f>
        <v>0</v>
      </c>
      <c r="EZ326" s="113" t="s">
        <v>81</v>
      </c>
      <c r="FB326" s="120" t="s">
        <v>73</v>
      </c>
      <c r="FC326" s="120" t="s">
        <v>81</v>
      </c>
      <c r="FG326" s="113" t="s">
        <v>282</v>
      </c>
      <c r="FS326" s="121">
        <f>SUM(FS327:FS331)</f>
        <v>5114.96</v>
      </c>
    </row>
    <row r="327" spans="2:177" s="1" customFormat="1" ht="14.45" customHeight="1" x14ac:dyDescent="0.2">
      <c r="B327" s="124"/>
      <c r="C327" s="125" t="s">
        <v>589</v>
      </c>
      <c r="D327" s="125" t="s">
        <v>284</v>
      </c>
      <c r="E327" s="126" t="s">
        <v>689</v>
      </c>
      <c r="F327" s="127" t="s">
        <v>690</v>
      </c>
      <c r="G327" s="128" t="s">
        <v>315</v>
      </c>
      <c r="H327" s="129">
        <v>3</v>
      </c>
      <c r="I327" s="130">
        <v>1704.9882600000001</v>
      </c>
      <c r="J327" s="131">
        <f>ROUND(I327*H327,2)</f>
        <v>5114.96</v>
      </c>
      <c r="K327" s="127" t="s">
        <v>1</v>
      </c>
      <c r="L327" s="268">
        <f>S327</f>
        <v>0</v>
      </c>
      <c r="M327" s="272">
        <f>ROUND(L327*I327,2)</f>
        <v>0</v>
      </c>
      <c r="N327" s="243"/>
      <c r="O327" s="294">
        <f>ROUND(N327*I327,2)</f>
        <v>0</v>
      </c>
      <c r="P327" s="273">
        <f>H327-L327-N327</f>
        <v>3</v>
      </c>
      <c r="Q327" s="287">
        <f>ROUND(P327*I327,2)</f>
        <v>5114.96</v>
      </c>
      <c r="R327" s="137"/>
      <c r="S327" s="269">
        <f>W327+Y327+AA327+AC327+AE327+AG327+AI327+AK327+AM327+AO327</f>
        <v>0</v>
      </c>
      <c r="T327" s="269">
        <f>ROUND(S327*I327,2)</f>
        <v>0</v>
      </c>
      <c r="U327" s="269">
        <f>H327-S327</f>
        <v>3</v>
      </c>
      <c r="V327" s="269">
        <f>ROUND(U327*I327,2)</f>
        <v>5114.96</v>
      </c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  <c r="AL327" s="269"/>
      <c r="AM327" s="269"/>
      <c r="AN327" s="269"/>
      <c r="AO327" s="269"/>
      <c r="AP327" s="269"/>
      <c r="DU327" s="132" t="s">
        <v>1</v>
      </c>
      <c r="DV327" s="133" t="s">
        <v>40</v>
      </c>
      <c r="DX327" s="134">
        <f>DW327*H327</f>
        <v>0</v>
      </c>
      <c r="DY327" s="134">
        <v>0</v>
      </c>
      <c r="DZ327" s="134">
        <f>DY327*H327</f>
        <v>0</v>
      </c>
      <c r="EA327" s="134">
        <v>0</v>
      </c>
      <c r="EB327" s="135">
        <f>EA327*H327</f>
        <v>0</v>
      </c>
      <c r="EZ327" s="136" t="s">
        <v>95</v>
      </c>
      <c r="FB327" s="136" t="s">
        <v>284</v>
      </c>
      <c r="FC327" s="136" t="s">
        <v>83</v>
      </c>
      <c r="FG327" s="16" t="s">
        <v>282</v>
      </c>
      <c r="FM327" s="137">
        <f>IF(DV327="základní",J327,0)</f>
        <v>5114.96</v>
      </c>
      <c r="FN327" s="137">
        <f>IF(DV327="snížená",J327,0)</f>
        <v>0</v>
      </c>
      <c r="FO327" s="137">
        <f>IF(DV327="zákl. přenesená",J327,0)</f>
        <v>0</v>
      </c>
      <c r="FP327" s="137">
        <f>IF(DV327="sníž. přenesená",J327,0)</f>
        <v>0</v>
      </c>
      <c r="FQ327" s="137">
        <f>IF(DV327="nulová",J327,0)</f>
        <v>0</v>
      </c>
      <c r="FR327" s="16" t="s">
        <v>81</v>
      </c>
      <c r="FS327" s="137">
        <f>ROUND(I327*H327,2)</f>
        <v>5114.96</v>
      </c>
      <c r="FT327" s="16" t="s">
        <v>95</v>
      </c>
      <c r="FU327" s="136" t="s">
        <v>691</v>
      </c>
    </row>
    <row r="328" spans="2:177" s="1" customFormat="1" ht="48.75" x14ac:dyDescent="0.2">
      <c r="B328" s="31"/>
      <c r="D328" s="138" t="s">
        <v>289</v>
      </c>
      <c r="F328" s="139" t="s">
        <v>692</v>
      </c>
      <c r="I328" s="140"/>
      <c r="L328" s="31"/>
      <c r="N328" s="213"/>
      <c r="O328" s="214"/>
      <c r="Q328" s="229"/>
      <c r="DU328" s="141"/>
      <c r="EB328" s="50"/>
      <c r="FB328" s="16" t="s">
        <v>289</v>
      </c>
      <c r="FC328" s="16" t="s">
        <v>83</v>
      </c>
    </row>
    <row r="329" spans="2:177" s="1" customFormat="1" ht="19.5" x14ac:dyDescent="0.2">
      <c r="B329" s="31"/>
      <c r="D329" s="138" t="s">
        <v>299</v>
      </c>
      <c r="F329" s="142" t="s">
        <v>2386</v>
      </c>
      <c r="I329" s="140"/>
      <c r="L329" s="31"/>
      <c r="N329" s="213"/>
      <c r="O329" s="214"/>
      <c r="Q329" s="229"/>
      <c r="DU329" s="141"/>
      <c r="EB329" s="50"/>
      <c r="FB329" s="16" t="s">
        <v>299</v>
      </c>
      <c r="FC329" s="16" t="s">
        <v>83</v>
      </c>
    </row>
    <row r="330" spans="2:177" s="11" customFormat="1" x14ac:dyDescent="0.2">
      <c r="B330" s="143"/>
      <c r="D330" s="138" t="s">
        <v>301</v>
      </c>
      <c r="E330" s="144" t="s">
        <v>1</v>
      </c>
      <c r="F330" s="145" t="s">
        <v>694</v>
      </c>
      <c r="H330" s="144" t="s">
        <v>1</v>
      </c>
      <c r="I330" s="146"/>
      <c r="L330" s="143"/>
      <c r="N330" s="215"/>
      <c r="O330" s="216"/>
      <c r="Q330" s="230"/>
      <c r="DU330" s="147"/>
      <c r="EB330" s="148"/>
      <c r="FB330" s="144" t="s">
        <v>301</v>
      </c>
      <c r="FC330" s="144" t="s">
        <v>83</v>
      </c>
      <c r="FD330" s="11" t="s">
        <v>81</v>
      </c>
      <c r="FE330" s="11" t="s">
        <v>32</v>
      </c>
      <c r="FF330" s="11" t="s">
        <v>74</v>
      </c>
      <c r="FG330" s="144" t="s">
        <v>282</v>
      </c>
    </row>
    <row r="331" spans="2:177" s="12" customFormat="1" x14ac:dyDescent="0.2">
      <c r="B331" s="149"/>
      <c r="D331" s="138" t="s">
        <v>301</v>
      </c>
      <c r="E331" s="150" t="s">
        <v>1</v>
      </c>
      <c r="F331" s="151" t="s">
        <v>90</v>
      </c>
      <c r="H331" s="152">
        <v>3</v>
      </c>
      <c r="I331" s="153"/>
      <c r="L331" s="149"/>
      <c r="N331" s="217"/>
      <c r="O331" s="218"/>
      <c r="Q331" s="231"/>
      <c r="DU331" s="154"/>
      <c r="EB331" s="155"/>
      <c r="FB331" s="150" t="s">
        <v>301</v>
      </c>
      <c r="FC331" s="150" t="s">
        <v>83</v>
      </c>
      <c r="FD331" s="12" t="s">
        <v>83</v>
      </c>
      <c r="FE331" s="12" t="s">
        <v>32</v>
      </c>
      <c r="FF331" s="12" t="s">
        <v>81</v>
      </c>
      <c r="FG331" s="150" t="s">
        <v>282</v>
      </c>
    </row>
    <row r="332" spans="2:177" s="10" customFormat="1" ht="22.9" customHeight="1" x14ac:dyDescent="0.2">
      <c r="B332" s="112"/>
      <c r="D332" s="113" t="s">
        <v>73</v>
      </c>
      <c r="E332" s="122" t="s">
        <v>695</v>
      </c>
      <c r="F332" s="122" t="s">
        <v>696</v>
      </c>
      <c r="I332" s="115"/>
      <c r="J332" s="123">
        <f>FS332</f>
        <v>39483.339999999997</v>
      </c>
      <c r="L332" s="112"/>
      <c r="M332" s="270">
        <f>SUM(M333:M349)</f>
        <v>0</v>
      </c>
      <c r="N332" s="301"/>
      <c r="O332" s="302">
        <f t="shared" ref="O332:V332" si="8">SUM(O333:O349)</f>
        <v>908.11</v>
      </c>
      <c r="P332" s="270"/>
      <c r="Q332" s="288">
        <f t="shared" si="8"/>
        <v>38575.209999999992</v>
      </c>
      <c r="R332" s="270"/>
      <c r="S332" s="270"/>
      <c r="T332" s="270">
        <f t="shared" si="8"/>
        <v>0</v>
      </c>
      <c r="U332" s="270"/>
      <c r="V332" s="270">
        <f t="shared" si="8"/>
        <v>39483.339999999997</v>
      </c>
      <c r="DU332" s="117"/>
      <c r="DX332" s="118">
        <f>SUM(DX333:DX351)</f>
        <v>0</v>
      </c>
      <c r="DZ332" s="118">
        <f>SUM(DZ333:DZ351)</f>
        <v>0</v>
      </c>
      <c r="EB332" s="119">
        <f>SUM(EB333:EB351)</f>
        <v>0</v>
      </c>
      <c r="EZ332" s="113" t="s">
        <v>81</v>
      </c>
      <c r="FB332" s="120" t="s">
        <v>73</v>
      </c>
      <c r="FC332" s="120" t="s">
        <v>81</v>
      </c>
      <c r="FG332" s="113" t="s">
        <v>282</v>
      </c>
      <c r="FS332" s="121">
        <f>SUM(FS333:FS351)</f>
        <v>39483.339999999997</v>
      </c>
    </row>
    <row r="333" spans="2:177" s="1" customFormat="1" ht="14.45" customHeight="1" x14ac:dyDescent="0.2">
      <c r="B333" s="124"/>
      <c r="C333" s="125" t="s">
        <v>594</v>
      </c>
      <c r="D333" s="125" t="s">
        <v>284</v>
      </c>
      <c r="E333" s="126" t="s">
        <v>698</v>
      </c>
      <c r="F333" s="127" t="s">
        <v>699</v>
      </c>
      <c r="G333" s="128" t="s">
        <v>418</v>
      </c>
      <c r="H333" s="129">
        <v>105.419</v>
      </c>
      <c r="I333" s="130">
        <v>40.477390926043419</v>
      </c>
      <c r="J333" s="131">
        <f>ROUND(I333*H333,2)</f>
        <v>4267.09</v>
      </c>
      <c r="K333" s="127" t="s">
        <v>293</v>
      </c>
      <c r="L333" s="268">
        <f>S333</f>
        <v>0</v>
      </c>
      <c r="M333" s="272">
        <f>ROUND(L333*I333,2)</f>
        <v>0</v>
      </c>
      <c r="N333" s="243">
        <f>N335</f>
        <v>2.4246369999999899</v>
      </c>
      <c r="O333" s="294">
        <f>ROUND(N333*I333,2)</f>
        <v>98.14</v>
      </c>
      <c r="P333" s="273">
        <f>H333-L333-N333</f>
        <v>102.99436300000001</v>
      </c>
      <c r="Q333" s="287">
        <f>ROUND(P333*I333,2)</f>
        <v>4168.9399999999996</v>
      </c>
      <c r="R333" s="137"/>
      <c r="S333" s="269">
        <f>W333+Y333+AA333+AC333+AE333+AG333+AI333+AK333+AM333+AO333</f>
        <v>0</v>
      </c>
      <c r="T333" s="269">
        <f>ROUND(S333*I333,2)</f>
        <v>0</v>
      </c>
      <c r="U333" s="269">
        <f>H333-S333</f>
        <v>105.419</v>
      </c>
      <c r="V333" s="269">
        <f>ROUND(U333*I333,2)</f>
        <v>4267.09</v>
      </c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  <c r="AL333" s="269"/>
      <c r="AM333" s="269"/>
      <c r="AN333" s="269"/>
      <c r="AO333" s="269"/>
      <c r="AP333" s="269"/>
      <c r="DU333" s="132" t="s">
        <v>1</v>
      </c>
      <c r="DV333" s="133" t="s">
        <v>40</v>
      </c>
      <c r="DX333" s="134">
        <f>DW333*H333</f>
        <v>0</v>
      </c>
      <c r="DY333" s="134">
        <v>0</v>
      </c>
      <c r="DZ333" s="134">
        <f>DY333*H333</f>
        <v>0</v>
      </c>
      <c r="EA333" s="134">
        <v>0</v>
      </c>
      <c r="EB333" s="135">
        <f>EA333*H333</f>
        <v>0</v>
      </c>
      <c r="EZ333" s="136" t="s">
        <v>95</v>
      </c>
      <c r="FB333" s="136" t="s">
        <v>284</v>
      </c>
      <c r="FC333" s="136" t="s">
        <v>83</v>
      </c>
      <c r="FG333" s="16" t="s">
        <v>282</v>
      </c>
      <c r="FM333" s="137">
        <f>IF(DV333="základní",J333,0)</f>
        <v>4267.09</v>
      </c>
      <c r="FN333" s="137">
        <f>IF(DV333="snížená",J333,0)</f>
        <v>0</v>
      </c>
      <c r="FO333" s="137">
        <f>IF(DV333="zákl. přenesená",J333,0)</f>
        <v>0</v>
      </c>
      <c r="FP333" s="137">
        <f>IF(DV333="sníž. přenesená",J333,0)</f>
        <v>0</v>
      </c>
      <c r="FQ333" s="137">
        <f>IF(DV333="nulová",J333,0)</f>
        <v>0</v>
      </c>
      <c r="FR333" s="16" t="s">
        <v>81</v>
      </c>
      <c r="FS333" s="137">
        <f>ROUND(I333*H333,2)</f>
        <v>4267.09</v>
      </c>
      <c r="FT333" s="16" t="s">
        <v>95</v>
      </c>
      <c r="FU333" s="136" t="s">
        <v>700</v>
      </c>
    </row>
    <row r="334" spans="2:177" s="1" customFormat="1" ht="19.5" x14ac:dyDescent="0.2">
      <c r="B334" s="31"/>
      <c r="D334" s="138" t="s">
        <v>289</v>
      </c>
      <c r="F334" s="139" t="s">
        <v>701</v>
      </c>
      <c r="I334" s="140"/>
      <c r="L334" s="31"/>
      <c r="N334" s="213">
        <f>1.023*105.419</f>
        <v>107.84363699999999</v>
      </c>
      <c r="O334" s="214" t="s">
        <v>3963</v>
      </c>
      <c r="Q334" s="229"/>
      <c r="DU334" s="141"/>
      <c r="EB334" s="50"/>
      <c r="FB334" s="16" t="s">
        <v>289</v>
      </c>
      <c r="FC334" s="16" t="s">
        <v>83</v>
      </c>
    </row>
    <row r="335" spans="2:177" s="12" customFormat="1" x14ac:dyDescent="0.2">
      <c r="B335" s="149"/>
      <c r="D335" s="138" t="s">
        <v>301</v>
      </c>
      <c r="E335" s="150" t="s">
        <v>1</v>
      </c>
      <c r="F335" s="151" t="s">
        <v>2688</v>
      </c>
      <c r="H335" s="152">
        <v>87.488</v>
      </c>
      <c r="I335" s="153"/>
      <c r="L335" s="149"/>
      <c r="N335" s="310">
        <f>N334-H337</f>
        <v>2.4246369999999899</v>
      </c>
      <c r="O335" s="218"/>
      <c r="Q335" s="231"/>
      <c r="DU335" s="154"/>
      <c r="EB335" s="155"/>
      <c r="FB335" s="150" t="s">
        <v>301</v>
      </c>
      <c r="FC335" s="150" t="s">
        <v>83</v>
      </c>
      <c r="FD335" s="12" t="s">
        <v>83</v>
      </c>
      <c r="FE335" s="12" t="s">
        <v>32</v>
      </c>
      <c r="FF335" s="12" t="s">
        <v>74</v>
      </c>
      <c r="FG335" s="150" t="s">
        <v>282</v>
      </c>
    </row>
    <row r="336" spans="2:177" s="12" customFormat="1" x14ac:dyDescent="0.2">
      <c r="B336" s="149"/>
      <c r="D336" s="138" t="s">
        <v>301</v>
      </c>
      <c r="E336" s="150" t="s">
        <v>1</v>
      </c>
      <c r="F336" s="151" t="s">
        <v>2689</v>
      </c>
      <c r="H336" s="152">
        <v>17.931000000000001</v>
      </c>
      <c r="I336" s="153"/>
      <c r="L336" s="149"/>
      <c r="N336" s="217"/>
      <c r="O336" s="218"/>
      <c r="Q336" s="231"/>
      <c r="DU336" s="154"/>
      <c r="EB336" s="155"/>
      <c r="FB336" s="150" t="s">
        <v>301</v>
      </c>
      <c r="FC336" s="150" t="s">
        <v>83</v>
      </c>
      <c r="FD336" s="12" t="s">
        <v>83</v>
      </c>
      <c r="FE336" s="12" t="s">
        <v>32</v>
      </c>
      <c r="FF336" s="12" t="s">
        <v>74</v>
      </c>
      <c r="FG336" s="150" t="s">
        <v>282</v>
      </c>
    </row>
    <row r="337" spans="2:177" s="13" customFormat="1" x14ac:dyDescent="0.2">
      <c r="B337" s="156"/>
      <c r="D337" s="138" t="s">
        <v>301</v>
      </c>
      <c r="E337" s="157" t="s">
        <v>1</v>
      </c>
      <c r="F337" s="158" t="s">
        <v>305</v>
      </c>
      <c r="H337" s="159">
        <v>105.419</v>
      </c>
      <c r="I337" s="160"/>
      <c r="L337" s="156"/>
      <c r="N337" s="219"/>
      <c r="O337" s="220"/>
      <c r="Q337" s="232"/>
      <c r="DU337" s="161"/>
      <c r="EB337" s="162"/>
      <c r="FB337" s="157" t="s">
        <v>301</v>
      </c>
      <c r="FC337" s="157" t="s">
        <v>83</v>
      </c>
      <c r="FD337" s="13" t="s">
        <v>95</v>
      </c>
      <c r="FE337" s="13" t="s">
        <v>32</v>
      </c>
      <c r="FF337" s="13" t="s">
        <v>81</v>
      </c>
      <c r="FG337" s="157" t="s">
        <v>282</v>
      </c>
    </row>
    <row r="338" spans="2:177" s="1" customFormat="1" ht="24.2" customHeight="1" x14ac:dyDescent="0.2">
      <c r="B338" s="124"/>
      <c r="C338" s="125" t="s">
        <v>599</v>
      </c>
      <c r="D338" s="125" t="s">
        <v>284</v>
      </c>
      <c r="E338" s="126" t="s">
        <v>705</v>
      </c>
      <c r="F338" s="127" t="s">
        <v>706</v>
      </c>
      <c r="G338" s="128" t="s">
        <v>418</v>
      </c>
      <c r="H338" s="129">
        <v>1475.866</v>
      </c>
      <c r="I338" s="130">
        <v>3.1192340975392101</v>
      </c>
      <c r="J338" s="131">
        <f>ROUND(I338*H338,2)</f>
        <v>4603.57</v>
      </c>
      <c r="K338" s="127" t="s">
        <v>293</v>
      </c>
      <c r="L338" s="268">
        <f>S338</f>
        <v>0</v>
      </c>
      <c r="M338" s="272">
        <f>ROUND(L338*I338,2)</f>
        <v>0</v>
      </c>
      <c r="N338" s="243">
        <f>N340</f>
        <v>33.944917999999916</v>
      </c>
      <c r="O338" s="294">
        <f>ROUND(N338*I338,2)</f>
        <v>105.88</v>
      </c>
      <c r="P338" s="273">
        <f>H338-L338-N338</f>
        <v>1441.9210820000001</v>
      </c>
      <c r="Q338" s="287">
        <f>ROUND(P338*I338,2)</f>
        <v>4497.6899999999996</v>
      </c>
      <c r="R338" s="137"/>
      <c r="S338" s="269">
        <f>W338+Y338+AA338+AC338+AE338+AG338+AI338+AK338+AM338+AO338</f>
        <v>0</v>
      </c>
      <c r="T338" s="269">
        <f>ROUND(S338*I338,2)</f>
        <v>0</v>
      </c>
      <c r="U338" s="269">
        <f>H338-S338</f>
        <v>1475.866</v>
      </c>
      <c r="V338" s="269">
        <f>ROUND(U338*I338,2)</f>
        <v>4603.57</v>
      </c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AG338" s="269"/>
      <c r="AH338" s="269"/>
      <c r="AI338" s="269"/>
      <c r="AJ338" s="269"/>
      <c r="AK338" s="269"/>
      <c r="AL338" s="269"/>
      <c r="AM338" s="269"/>
      <c r="AN338" s="269"/>
      <c r="AO338" s="269"/>
      <c r="AP338" s="269"/>
      <c r="DU338" s="132" t="s">
        <v>1</v>
      </c>
      <c r="DV338" s="133" t="s">
        <v>40</v>
      </c>
      <c r="DX338" s="134">
        <f>DW338*H338</f>
        <v>0</v>
      </c>
      <c r="DY338" s="134">
        <v>0</v>
      </c>
      <c r="DZ338" s="134">
        <f>DY338*H338</f>
        <v>0</v>
      </c>
      <c r="EA338" s="134">
        <v>0</v>
      </c>
      <c r="EB338" s="135">
        <f>EA338*H338</f>
        <v>0</v>
      </c>
      <c r="EZ338" s="136" t="s">
        <v>95</v>
      </c>
      <c r="FB338" s="136" t="s">
        <v>284</v>
      </c>
      <c r="FC338" s="136" t="s">
        <v>83</v>
      </c>
      <c r="FG338" s="16" t="s">
        <v>282</v>
      </c>
      <c r="FM338" s="137">
        <f>IF(DV338="základní",J338,0)</f>
        <v>4603.57</v>
      </c>
      <c r="FN338" s="137">
        <f>IF(DV338="snížená",J338,0)</f>
        <v>0</v>
      </c>
      <c r="FO338" s="137">
        <f>IF(DV338="zákl. přenesená",J338,0)</f>
        <v>0</v>
      </c>
      <c r="FP338" s="137">
        <f>IF(DV338="sníž. přenesená",J338,0)</f>
        <v>0</v>
      </c>
      <c r="FQ338" s="137">
        <f>IF(DV338="nulová",J338,0)</f>
        <v>0</v>
      </c>
      <c r="FR338" s="16" t="s">
        <v>81</v>
      </c>
      <c r="FS338" s="137">
        <f>ROUND(I338*H338,2)</f>
        <v>4603.57</v>
      </c>
      <c r="FT338" s="16" t="s">
        <v>95</v>
      </c>
      <c r="FU338" s="136" t="s">
        <v>707</v>
      </c>
    </row>
    <row r="339" spans="2:177" s="1" customFormat="1" ht="29.25" x14ac:dyDescent="0.2">
      <c r="B339" s="31"/>
      <c r="D339" s="138" t="s">
        <v>289</v>
      </c>
      <c r="F339" s="139" t="s">
        <v>708</v>
      </c>
      <c r="I339" s="140"/>
      <c r="L339" s="31"/>
      <c r="N339" s="213">
        <f>1.023*1475.866</f>
        <v>1509.8109179999999</v>
      </c>
      <c r="O339" s="214" t="s">
        <v>3964</v>
      </c>
      <c r="Q339" s="229"/>
      <c r="DU339" s="141"/>
      <c r="EB339" s="50"/>
      <c r="FB339" s="16" t="s">
        <v>289</v>
      </c>
      <c r="FC339" s="16" t="s">
        <v>83</v>
      </c>
    </row>
    <row r="340" spans="2:177" s="12" customFormat="1" x14ac:dyDescent="0.2">
      <c r="B340" s="149"/>
      <c r="D340" s="138" t="s">
        <v>301</v>
      </c>
      <c r="E340" s="150" t="s">
        <v>1</v>
      </c>
      <c r="F340" s="151" t="s">
        <v>2688</v>
      </c>
      <c r="H340" s="152">
        <v>87.488</v>
      </c>
      <c r="I340" s="153"/>
      <c r="L340" s="149"/>
      <c r="N340" s="310">
        <f>N339-H343</f>
        <v>33.944917999999916</v>
      </c>
      <c r="O340" s="218"/>
      <c r="Q340" s="231"/>
      <c r="DU340" s="154"/>
      <c r="EB340" s="155"/>
      <c r="FB340" s="150" t="s">
        <v>301</v>
      </c>
      <c r="FC340" s="150" t="s">
        <v>83</v>
      </c>
      <c r="FD340" s="12" t="s">
        <v>83</v>
      </c>
      <c r="FE340" s="12" t="s">
        <v>32</v>
      </c>
      <c r="FF340" s="12" t="s">
        <v>74</v>
      </c>
      <c r="FG340" s="150" t="s">
        <v>282</v>
      </c>
    </row>
    <row r="341" spans="2:177" s="12" customFormat="1" x14ac:dyDescent="0.2">
      <c r="B341" s="149"/>
      <c r="D341" s="138" t="s">
        <v>301</v>
      </c>
      <c r="E341" s="150" t="s">
        <v>1</v>
      </c>
      <c r="F341" s="151" t="s">
        <v>2689</v>
      </c>
      <c r="H341" s="152">
        <v>17.931000000000001</v>
      </c>
      <c r="I341" s="153"/>
      <c r="L341" s="149"/>
      <c r="N341" s="217"/>
      <c r="O341" s="218"/>
      <c r="Q341" s="231"/>
      <c r="DU341" s="154"/>
      <c r="EB341" s="155"/>
      <c r="FB341" s="150" t="s">
        <v>301</v>
      </c>
      <c r="FC341" s="150" t="s">
        <v>83</v>
      </c>
      <c r="FD341" s="12" t="s">
        <v>83</v>
      </c>
      <c r="FE341" s="12" t="s">
        <v>32</v>
      </c>
      <c r="FF341" s="12" t="s">
        <v>74</v>
      </c>
      <c r="FG341" s="150" t="s">
        <v>282</v>
      </c>
    </row>
    <row r="342" spans="2:177" s="13" customFormat="1" x14ac:dyDescent="0.2">
      <c r="B342" s="156"/>
      <c r="D342" s="138" t="s">
        <v>301</v>
      </c>
      <c r="E342" s="157" t="s">
        <v>1</v>
      </c>
      <c r="F342" s="158" t="s">
        <v>305</v>
      </c>
      <c r="H342" s="159">
        <v>105.419</v>
      </c>
      <c r="I342" s="160"/>
      <c r="L342" s="156"/>
      <c r="N342" s="219"/>
      <c r="O342" s="220"/>
      <c r="Q342" s="232"/>
      <c r="DU342" s="161"/>
      <c r="EB342" s="162"/>
      <c r="FB342" s="157" t="s">
        <v>301</v>
      </c>
      <c r="FC342" s="157" t="s">
        <v>83</v>
      </c>
      <c r="FD342" s="13" t="s">
        <v>95</v>
      </c>
      <c r="FE342" s="13" t="s">
        <v>32</v>
      </c>
      <c r="FF342" s="13" t="s">
        <v>81</v>
      </c>
      <c r="FG342" s="157" t="s">
        <v>282</v>
      </c>
    </row>
    <row r="343" spans="2:177" s="12" customFormat="1" x14ac:dyDescent="0.2">
      <c r="B343" s="149"/>
      <c r="D343" s="138" t="s">
        <v>301</v>
      </c>
      <c r="F343" s="151" t="s">
        <v>2690</v>
      </c>
      <c r="H343" s="152">
        <v>1475.866</v>
      </c>
      <c r="I343" s="153"/>
      <c r="L343" s="149"/>
      <c r="N343" s="217"/>
      <c r="O343" s="218"/>
      <c r="Q343" s="231"/>
      <c r="DU343" s="154"/>
      <c r="EB343" s="155"/>
      <c r="FB343" s="150" t="s">
        <v>301</v>
      </c>
      <c r="FC343" s="150" t="s">
        <v>83</v>
      </c>
      <c r="FD343" s="12" t="s">
        <v>83</v>
      </c>
      <c r="FE343" s="12" t="s">
        <v>3</v>
      </c>
      <c r="FF343" s="12" t="s">
        <v>81</v>
      </c>
      <c r="FG343" s="150" t="s">
        <v>282</v>
      </c>
    </row>
    <row r="344" spans="2:177" s="1" customFormat="1" ht="24.2" customHeight="1" x14ac:dyDescent="0.2">
      <c r="B344" s="124"/>
      <c r="C344" s="125" t="s">
        <v>604</v>
      </c>
      <c r="D344" s="125" t="s">
        <v>284</v>
      </c>
      <c r="E344" s="126" t="s">
        <v>711</v>
      </c>
      <c r="F344" s="127" t="s">
        <v>712</v>
      </c>
      <c r="G344" s="128" t="s">
        <v>418</v>
      </c>
      <c r="H344" s="129">
        <v>105.419</v>
      </c>
      <c r="I344" s="130">
        <v>155.98322812074767</v>
      </c>
      <c r="J344" s="131">
        <f>ROUND(I344*H344,2)</f>
        <v>16443.599999999999</v>
      </c>
      <c r="K344" s="127" t="s">
        <v>293</v>
      </c>
      <c r="L344" s="268">
        <f>S344</f>
        <v>0</v>
      </c>
      <c r="M344" s="272">
        <f>ROUND(L344*I344,2)</f>
        <v>0</v>
      </c>
      <c r="N344" s="243">
        <f>N333</f>
        <v>2.4246369999999899</v>
      </c>
      <c r="O344" s="294">
        <f>ROUND(N344*I344,2)</f>
        <v>378.2</v>
      </c>
      <c r="P344" s="273">
        <f>H344-L344-N344</f>
        <v>102.99436300000001</v>
      </c>
      <c r="Q344" s="287">
        <f>ROUND(P344*I344,2)</f>
        <v>16065.39</v>
      </c>
      <c r="R344" s="137"/>
      <c r="S344" s="269">
        <f>W344+Y344+AA344+AC344+AE344+AG344+AI344+AK344+AM344+AO344</f>
        <v>0</v>
      </c>
      <c r="T344" s="269">
        <f>ROUND(S344*I344,2)</f>
        <v>0</v>
      </c>
      <c r="U344" s="269">
        <f>H344-S344</f>
        <v>105.419</v>
      </c>
      <c r="V344" s="269">
        <f>ROUND(U344*I344,2)</f>
        <v>16443.599999999999</v>
      </c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  <c r="AL344" s="269"/>
      <c r="AM344" s="269"/>
      <c r="AN344" s="269"/>
      <c r="AO344" s="269"/>
      <c r="AP344" s="269"/>
      <c r="DU344" s="132" t="s">
        <v>1</v>
      </c>
      <c r="DV344" s="133" t="s">
        <v>40</v>
      </c>
      <c r="DX344" s="134">
        <f>DW344*H344</f>
        <v>0</v>
      </c>
      <c r="DY344" s="134">
        <v>0</v>
      </c>
      <c r="DZ344" s="134">
        <f>DY344*H344</f>
        <v>0</v>
      </c>
      <c r="EA344" s="134">
        <v>0</v>
      </c>
      <c r="EB344" s="135">
        <f>EA344*H344</f>
        <v>0</v>
      </c>
      <c r="EZ344" s="136" t="s">
        <v>95</v>
      </c>
      <c r="FB344" s="136" t="s">
        <v>284</v>
      </c>
      <c r="FC344" s="136" t="s">
        <v>83</v>
      </c>
      <c r="FG344" s="16" t="s">
        <v>282</v>
      </c>
      <c r="FM344" s="137">
        <f>IF(DV344="základní",J344,0)</f>
        <v>16443.599999999999</v>
      </c>
      <c r="FN344" s="137">
        <f>IF(DV344="snížená",J344,0)</f>
        <v>0</v>
      </c>
      <c r="FO344" s="137">
        <f>IF(DV344="zákl. přenesená",J344,0)</f>
        <v>0</v>
      </c>
      <c r="FP344" s="137">
        <f>IF(DV344="sníž. přenesená",J344,0)</f>
        <v>0</v>
      </c>
      <c r="FQ344" s="137">
        <f>IF(DV344="nulová",J344,0)</f>
        <v>0</v>
      </c>
      <c r="FR344" s="16" t="s">
        <v>81</v>
      </c>
      <c r="FS344" s="137">
        <f>ROUND(I344*H344,2)</f>
        <v>16443.599999999999</v>
      </c>
      <c r="FT344" s="16" t="s">
        <v>95</v>
      </c>
      <c r="FU344" s="136" t="s">
        <v>713</v>
      </c>
    </row>
    <row r="345" spans="2:177" s="1" customFormat="1" x14ac:dyDescent="0.2">
      <c r="B345" s="31"/>
      <c r="D345" s="138" t="s">
        <v>289</v>
      </c>
      <c r="F345" s="139" t="s">
        <v>714</v>
      </c>
      <c r="I345" s="140"/>
      <c r="L345" s="31"/>
      <c r="N345" s="213"/>
      <c r="O345" s="214"/>
      <c r="Q345" s="229"/>
      <c r="DU345" s="141"/>
      <c r="EB345" s="50"/>
      <c r="FB345" s="16" t="s">
        <v>289</v>
      </c>
      <c r="FC345" s="16" t="s">
        <v>83</v>
      </c>
    </row>
    <row r="346" spans="2:177" s="1" customFormat="1" ht="37.9" customHeight="1" x14ac:dyDescent="0.2">
      <c r="B346" s="124"/>
      <c r="C346" s="125" t="s">
        <v>609</v>
      </c>
      <c r="D346" s="125" t="s">
        <v>284</v>
      </c>
      <c r="E346" s="126" t="s">
        <v>716</v>
      </c>
      <c r="F346" s="127" t="s">
        <v>420</v>
      </c>
      <c r="G346" s="128" t="s">
        <v>418</v>
      </c>
      <c r="H346" s="129">
        <v>87.488</v>
      </c>
      <c r="I346" s="130">
        <v>110.6455721</v>
      </c>
      <c r="J346" s="131">
        <f>ROUND(I346*H346,2)</f>
        <v>9680.16</v>
      </c>
      <c r="K346" s="127" t="s">
        <v>293</v>
      </c>
      <c r="L346" s="268">
        <f>S346</f>
        <v>0</v>
      </c>
      <c r="M346" s="272">
        <f>ROUND(L346*I346,2)</f>
        <v>0</v>
      </c>
      <c r="N346" s="243">
        <f>N348</f>
        <v>2.0122239999999891</v>
      </c>
      <c r="O346" s="294">
        <f>ROUND(N346*I346,2)</f>
        <v>222.64</v>
      </c>
      <c r="P346" s="273">
        <f>H346-L346-N346</f>
        <v>85.47577600000001</v>
      </c>
      <c r="Q346" s="287">
        <f>ROUND(P346*I346,2)</f>
        <v>9457.52</v>
      </c>
      <c r="R346" s="137"/>
      <c r="S346" s="269">
        <f>W346+Y346+AA346+AC346+AE346+AG346+AI346+AK346+AM346+AO346</f>
        <v>0</v>
      </c>
      <c r="T346" s="269">
        <f>ROUND(S346*I346,2)</f>
        <v>0</v>
      </c>
      <c r="U346" s="269">
        <f>H346-S346</f>
        <v>87.488</v>
      </c>
      <c r="V346" s="269">
        <f>ROUND(U346*I346,2)</f>
        <v>9680.16</v>
      </c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AO346" s="269"/>
      <c r="AP346" s="269"/>
      <c r="DU346" s="132" t="s">
        <v>1</v>
      </c>
      <c r="DV346" s="133" t="s">
        <v>40</v>
      </c>
      <c r="DX346" s="134">
        <f>DW346*H346</f>
        <v>0</v>
      </c>
      <c r="DY346" s="134">
        <v>0</v>
      </c>
      <c r="DZ346" s="134">
        <f>DY346*H346</f>
        <v>0</v>
      </c>
      <c r="EA346" s="134">
        <v>0</v>
      </c>
      <c r="EB346" s="135">
        <f>EA346*H346</f>
        <v>0</v>
      </c>
      <c r="EZ346" s="136" t="s">
        <v>95</v>
      </c>
      <c r="FB346" s="136" t="s">
        <v>284</v>
      </c>
      <c r="FC346" s="136" t="s">
        <v>83</v>
      </c>
      <c r="FG346" s="16" t="s">
        <v>282</v>
      </c>
      <c r="FM346" s="137">
        <f>IF(DV346="základní",J346,0)</f>
        <v>9680.16</v>
      </c>
      <c r="FN346" s="137">
        <f>IF(DV346="snížená",J346,0)</f>
        <v>0</v>
      </c>
      <c r="FO346" s="137">
        <f>IF(DV346="zákl. přenesená",J346,0)</f>
        <v>0</v>
      </c>
      <c r="FP346" s="137">
        <f>IF(DV346="sníž. přenesená",J346,0)</f>
        <v>0</v>
      </c>
      <c r="FQ346" s="137">
        <f>IF(DV346="nulová",J346,0)</f>
        <v>0</v>
      </c>
      <c r="FR346" s="16" t="s">
        <v>81</v>
      </c>
      <c r="FS346" s="137">
        <f>ROUND(I346*H346,2)</f>
        <v>9680.16</v>
      </c>
      <c r="FT346" s="16" t="s">
        <v>95</v>
      </c>
      <c r="FU346" s="136" t="s">
        <v>717</v>
      </c>
    </row>
    <row r="347" spans="2:177" s="1" customFormat="1" ht="29.25" x14ac:dyDescent="0.2">
      <c r="B347" s="31"/>
      <c r="D347" s="138" t="s">
        <v>289</v>
      </c>
      <c r="F347" s="139" t="s">
        <v>420</v>
      </c>
      <c r="I347" s="140"/>
      <c r="L347" s="31"/>
      <c r="N347" s="213">
        <f>1.023*87.488</f>
        <v>89.500223999999989</v>
      </c>
      <c r="O347" s="214" t="s">
        <v>3965</v>
      </c>
      <c r="Q347" s="229"/>
      <c r="DU347" s="141"/>
      <c r="EB347" s="50"/>
      <c r="FB347" s="16" t="s">
        <v>289</v>
      </c>
      <c r="FC347" s="16" t="s">
        <v>83</v>
      </c>
    </row>
    <row r="348" spans="2:177" s="12" customFormat="1" x14ac:dyDescent="0.2">
      <c r="B348" s="149"/>
      <c r="D348" s="138" t="s">
        <v>301</v>
      </c>
      <c r="E348" s="150" t="s">
        <v>1</v>
      </c>
      <c r="F348" s="151" t="s">
        <v>2688</v>
      </c>
      <c r="H348" s="152">
        <v>87.488</v>
      </c>
      <c r="I348" s="153"/>
      <c r="L348" s="149"/>
      <c r="N348" s="310">
        <f>N347-H348</f>
        <v>2.0122239999999891</v>
      </c>
      <c r="O348" s="218"/>
      <c r="Q348" s="231"/>
      <c r="DU348" s="154"/>
      <c r="EB348" s="155"/>
      <c r="FB348" s="150" t="s">
        <v>301</v>
      </c>
      <c r="FC348" s="150" t="s">
        <v>83</v>
      </c>
      <c r="FD348" s="12" t="s">
        <v>83</v>
      </c>
      <c r="FE348" s="12" t="s">
        <v>32</v>
      </c>
      <c r="FF348" s="12" t="s">
        <v>81</v>
      </c>
      <c r="FG348" s="150" t="s">
        <v>282</v>
      </c>
    </row>
    <row r="349" spans="2:177" s="1" customFormat="1" ht="37.9" customHeight="1" x14ac:dyDescent="0.2">
      <c r="B349" s="124"/>
      <c r="C349" s="125" t="s">
        <v>614</v>
      </c>
      <c r="D349" s="125" t="s">
        <v>284</v>
      </c>
      <c r="E349" s="126" t="s">
        <v>719</v>
      </c>
      <c r="F349" s="127" t="s">
        <v>720</v>
      </c>
      <c r="G349" s="128" t="s">
        <v>418</v>
      </c>
      <c r="H349" s="129">
        <v>17.931000000000001</v>
      </c>
      <c r="I349" s="130">
        <v>250.3439285</v>
      </c>
      <c r="J349" s="131">
        <f>ROUND(I349*H349,2)</f>
        <v>4488.92</v>
      </c>
      <c r="K349" s="127" t="s">
        <v>293</v>
      </c>
      <c r="L349" s="268">
        <f>S349</f>
        <v>0</v>
      </c>
      <c r="M349" s="272">
        <f>ROUND(L349*I349,2)</f>
        <v>0</v>
      </c>
      <c r="N349" s="243">
        <f>N351</f>
        <v>0.41241299999999725</v>
      </c>
      <c r="O349" s="294">
        <f>ROUND(N349*I349,2)</f>
        <v>103.25</v>
      </c>
      <c r="P349" s="273">
        <f>H349-L349-N349</f>
        <v>17.518587000000004</v>
      </c>
      <c r="Q349" s="287">
        <f>ROUND(P349*I349,2)</f>
        <v>4385.67</v>
      </c>
      <c r="R349" s="137"/>
      <c r="S349" s="269">
        <f>W349+Y349+AA349+AC349+AE349+AG349+AI349+AK349+AM349+AO349</f>
        <v>0</v>
      </c>
      <c r="T349" s="269">
        <f>ROUND(S349*I349,2)</f>
        <v>0</v>
      </c>
      <c r="U349" s="269">
        <f>H349-S349</f>
        <v>17.931000000000001</v>
      </c>
      <c r="V349" s="269">
        <f>ROUND(U349*I349,2)</f>
        <v>4488.92</v>
      </c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I349" s="269"/>
      <c r="AJ349" s="269"/>
      <c r="AK349" s="269"/>
      <c r="AL349" s="269"/>
      <c r="AM349" s="269"/>
      <c r="AN349" s="269"/>
      <c r="AO349" s="269"/>
      <c r="AP349" s="269"/>
      <c r="DU349" s="132" t="s">
        <v>1</v>
      </c>
      <c r="DV349" s="133" t="s">
        <v>40</v>
      </c>
      <c r="DX349" s="134">
        <f>DW349*H349</f>
        <v>0</v>
      </c>
      <c r="DY349" s="134">
        <v>0</v>
      </c>
      <c r="DZ349" s="134">
        <f>DY349*H349</f>
        <v>0</v>
      </c>
      <c r="EA349" s="134">
        <v>0</v>
      </c>
      <c r="EB349" s="135">
        <f>EA349*H349</f>
        <v>0</v>
      </c>
      <c r="EZ349" s="136" t="s">
        <v>95</v>
      </c>
      <c r="FB349" s="136" t="s">
        <v>284</v>
      </c>
      <c r="FC349" s="136" t="s">
        <v>83</v>
      </c>
      <c r="FG349" s="16" t="s">
        <v>282</v>
      </c>
      <c r="FM349" s="137">
        <f>IF(DV349="základní",J349,0)</f>
        <v>4488.92</v>
      </c>
      <c r="FN349" s="137">
        <f>IF(DV349="snížená",J349,0)</f>
        <v>0</v>
      </c>
      <c r="FO349" s="137">
        <f>IF(DV349="zákl. přenesená",J349,0)</f>
        <v>0</v>
      </c>
      <c r="FP349" s="137">
        <f>IF(DV349="sníž. přenesená",J349,0)</f>
        <v>0</v>
      </c>
      <c r="FQ349" s="137">
        <f>IF(DV349="nulová",J349,0)</f>
        <v>0</v>
      </c>
      <c r="FR349" s="16" t="s">
        <v>81</v>
      </c>
      <c r="FS349" s="137">
        <f>ROUND(I349*H349,2)</f>
        <v>4488.92</v>
      </c>
      <c r="FT349" s="16" t="s">
        <v>95</v>
      </c>
      <c r="FU349" s="136" t="s">
        <v>721</v>
      </c>
    </row>
    <row r="350" spans="2:177" s="1" customFormat="1" ht="29.25" x14ac:dyDescent="0.2">
      <c r="B350" s="31"/>
      <c r="D350" s="138" t="s">
        <v>289</v>
      </c>
      <c r="F350" s="139" t="s">
        <v>720</v>
      </c>
      <c r="I350" s="140"/>
      <c r="L350" s="31"/>
      <c r="N350" s="213">
        <f>1.023*17.931</f>
        <v>18.343412999999998</v>
      </c>
      <c r="O350" s="214" t="s">
        <v>3966</v>
      </c>
      <c r="Q350" s="229"/>
      <c r="DU350" s="141"/>
      <c r="EB350" s="50"/>
      <c r="FB350" s="16" t="s">
        <v>289</v>
      </c>
      <c r="FC350" s="16" t="s">
        <v>83</v>
      </c>
    </row>
    <row r="351" spans="2:177" s="12" customFormat="1" x14ac:dyDescent="0.2">
      <c r="B351" s="149"/>
      <c r="D351" s="138" t="s">
        <v>301</v>
      </c>
      <c r="E351" s="150" t="s">
        <v>1</v>
      </c>
      <c r="F351" s="151" t="s">
        <v>2689</v>
      </c>
      <c r="H351" s="152">
        <v>17.931000000000001</v>
      </c>
      <c r="I351" s="153"/>
      <c r="L351" s="149"/>
      <c r="N351" s="310">
        <f>N350-H351</f>
        <v>0.41241299999999725</v>
      </c>
      <c r="O351" s="218"/>
      <c r="Q351" s="231"/>
      <c r="DU351" s="154"/>
      <c r="EB351" s="155"/>
      <c r="FB351" s="150" t="s">
        <v>301</v>
      </c>
      <c r="FC351" s="150" t="s">
        <v>83</v>
      </c>
      <c r="FD351" s="12" t="s">
        <v>83</v>
      </c>
      <c r="FE351" s="12" t="s">
        <v>32</v>
      </c>
      <c r="FF351" s="12" t="s">
        <v>81</v>
      </c>
      <c r="FG351" s="150" t="s">
        <v>282</v>
      </c>
    </row>
    <row r="352" spans="2:177" s="10" customFormat="1" ht="22.9" customHeight="1" x14ac:dyDescent="0.2">
      <c r="B352" s="112"/>
      <c r="D352" s="113" t="s">
        <v>73</v>
      </c>
      <c r="E352" s="122" t="s">
        <v>722</v>
      </c>
      <c r="F352" s="122" t="s">
        <v>723</v>
      </c>
      <c r="I352" s="115"/>
      <c r="J352" s="123">
        <f>FS352</f>
        <v>16065.29</v>
      </c>
      <c r="L352" s="112"/>
      <c r="M352" s="270">
        <f>M353</f>
        <v>0</v>
      </c>
      <c r="N352" s="301"/>
      <c r="O352" s="302">
        <f t="shared" ref="O352:V352" si="9">O353</f>
        <v>369.5</v>
      </c>
      <c r="P352" s="270"/>
      <c r="Q352" s="288">
        <f t="shared" si="9"/>
        <v>15695.79</v>
      </c>
      <c r="R352" s="270"/>
      <c r="S352" s="270"/>
      <c r="T352" s="270">
        <f t="shared" si="9"/>
        <v>0</v>
      </c>
      <c r="U352" s="270"/>
      <c r="V352" s="270">
        <f t="shared" si="9"/>
        <v>16065.29</v>
      </c>
      <c r="DU352" s="117"/>
      <c r="DX352" s="118">
        <f>SUM(DX353:DX356)</f>
        <v>0</v>
      </c>
      <c r="DZ352" s="118">
        <f>SUM(DZ353:DZ356)</f>
        <v>0</v>
      </c>
      <c r="EB352" s="119">
        <f>SUM(EB353:EB356)</f>
        <v>0</v>
      </c>
      <c r="EZ352" s="113" t="s">
        <v>81</v>
      </c>
      <c r="FB352" s="120" t="s">
        <v>73</v>
      </c>
      <c r="FC352" s="120" t="s">
        <v>81</v>
      </c>
      <c r="FG352" s="113" t="s">
        <v>282</v>
      </c>
      <c r="FS352" s="121">
        <f>SUM(FS353:FS356)</f>
        <v>16065.29</v>
      </c>
    </row>
    <row r="353" spans="2:177" s="1" customFormat="1" ht="24.2" customHeight="1" x14ac:dyDescent="0.2">
      <c r="B353" s="124"/>
      <c r="C353" s="125" t="s">
        <v>618</v>
      </c>
      <c r="D353" s="125" t="s">
        <v>284</v>
      </c>
      <c r="E353" s="126" t="s">
        <v>725</v>
      </c>
      <c r="F353" s="127" t="s">
        <v>726</v>
      </c>
      <c r="G353" s="128" t="s">
        <v>418</v>
      </c>
      <c r="H353" s="129">
        <v>17.756</v>
      </c>
      <c r="I353" s="130">
        <v>904.78117744148574</v>
      </c>
      <c r="J353" s="131">
        <f>ROUND(I353*H353,2)</f>
        <v>16065.29</v>
      </c>
      <c r="K353" s="127" t="s">
        <v>293</v>
      </c>
      <c r="L353" s="268">
        <f>S353</f>
        <v>0</v>
      </c>
      <c r="M353" s="272">
        <f>ROUND(L353*I353,2)</f>
        <v>0</v>
      </c>
      <c r="N353" s="243">
        <f>N355</f>
        <v>0.40838799999999864</v>
      </c>
      <c r="O353" s="294">
        <f>ROUND(N353*I353,2)</f>
        <v>369.5</v>
      </c>
      <c r="P353" s="273">
        <f>H353-L353-N353</f>
        <v>17.347612000000002</v>
      </c>
      <c r="Q353" s="287">
        <f>ROUND(P353*I353,2)</f>
        <v>15695.79</v>
      </c>
      <c r="R353" s="137"/>
      <c r="S353" s="269">
        <f>W353+Y353+AA353+AC353+AE353+AG353+AI353+AK353+AM353+AO353</f>
        <v>0</v>
      </c>
      <c r="T353" s="269">
        <f>ROUND(S353*I353,2)</f>
        <v>0</v>
      </c>
      <c r="U353" s="269">
        <f>H353-S353</f>
        <v>17.756</v>
      </c>
      <c r="V353" s="269">
        <f>ROUND(U353*I353,2)</f>
        <v>16065.29</v>
      </c>
      <c r="W353" s="269"/>
      <c r="X353" s="269"/>
      <c r="Y353" s="269"/>
      <c r="Z353" s="269"/>
      <c r="AA353" s="269"/>
      <c r="AB353" s="269"/>
      <c r="AC353" s="269"/>
      <c r="AD353" s="269"/>
      <c r="AE353" s="269"/>
      <c r="AF353" s="269"/>
      <c r="AG353" s="269"/>
      <c r="AH353" s="269"/>
      <c r="AI353" s="269"/>
      <c r="AJ353" s="269"/>
      <c r="AK353" s="269"/>
      <c r="AL353" s="269"/>
      <c r="AM353" s="269"/>
      <c r="AN353" s="269"/>
      <c r="AO353" s="269"/>
      <c r="AP353" s="269"/>
      <c r="DU353" s="132" t="s">
        <v>1</v>
      </c>
      <c r="DV353" s="133" t="s">
        <v>40</v>
      </c>
      <c r="DX353" s="134">
        <f>DW353*H353</f>
        <v>0</v>
      </c>
      <c r="DY353" s="134">
        <v>0</v>
      </c>
      <c r="DZ353" s="134">
        <f>DY353*H353</f>
        <v>0</v>
      </c>
      <c r="EA353" s="134">
        <v>0</v>
      </c>
      <c r="EB353" s="135">
        <f>EA353*H353</f>
        <v>0</v>
      </c>
      <c r="EZ353" s="136" t="s">
        <v>95</v>
      </c>
      <c r="FB353" s="136" t="s">
        <v>284</v>
      </c>
      <c r="FC353" s="136" t="s">
        <v>83</v>
      </c>
      <c r="FG353" s="16" t="s">
        <v>282</v>
      </c>
      <c r="FM353" s="137">
        <f>IF(DV353="základní",J353,0)</f>
        <v>16065.29</v>
      </c>
      <c r="FN353" s="137">
        <f>IF(DV353="snížená",J353,0)</f>
        <v>0</v>
      </c>
      <c r="FO353" s="137">
        <f>IF(DV353="zákl. přenesená",J353,0)</f>
        <v>0</v>
      </c>
      <c r="FP353" s="137">
        <f>IF(DV353="sníž. přenesená",J353,0)</f>
        <v>0</v>
      </c>
      <c r="FQ353" s="137">
        <f>IF(DV353="nulová",J353,0)</f>
        <v>0</v>
      </c>
      <c r="FR353" s="16" t="s">
        <v>81</v>
      </c>
      <c r="FS353" s="137">
        <f>ROUND(I353*H353,2)</f>
        <v>16065.29</v>
      </c>
      <c r="FT353" s="16" t="s">
        <v>95</v>
      </c>
      <c r="FU353" s="136" t="s">
        <v>727</v>
      </c>
    </row>
    <row r="354" spans="2:177" s="1" customFormat="1" ht="29.25" x14ac:dyDescent="0.2">
      <c r="B354" s="31"/>
      <c r="D354" s="138" t="s">
        <v>289</v>
      </c>
      <c r="F354" s="139" t="s">
        <v>728</v>
      </c>
      <c r="I354" s="140"/>
      <c r="L354" s="31"/>
      <c r="N354" s="213">
        <f>1.023*17.756</f>
        <v>18.164387999999999</v>
      </c>
      <c r="O354" s="214" t="s">
        <v>3967</v>
      </c>
      <c r="Q354" s="229"/>
      <c r="DU354" s="141"/>
      <c r="EB354" s="50"/>
      <c r="FB354" s="16" t="s">
        <v>289</v>
      </c>
      <c r="FC354" s="16" t="s">
        <v>83</v>
      </c>
    </row>
    <row r="355" spans="2:177" s="11" customFormat="1" x14ac:dyDescent="0.2">
      <c r="B355" s="143"/>
      <c r="D355" s="138" t="s">
        <v>301</v>
      </c>
      <c r="E355" s="144" t="s">
        <v>1</v>
      </c>
      <c r="F355" s="145" t="s">
        <v>729</v>
      </c>
      <c r="H355" s="144" t="s">
        <v>1</v>
      </c>
      <c r="I355" s="146"/>
      <c r="L355" s="143"/>
      <c r="N355" s="319">
        <f>N354-H356</f>
        <v>0.40838799999999864</v>
      </c>
      <c r="O355" s="216"/>
      <c r="Q355" s="230"/>
      <c r="DU355" s="147"/>
      <c r="EB355" s="148"/>
      <c r="FB355" s="144" t="s">
        <v>301</v>
      </c>
      <c r="FC355" s="144" t="s">
        <v>83</v>
      </c>
      <c r="FD355" s="11" t="s">
        <v>81</v>
      </c>
      <c r="FE355" s="11" t="s">
        <v>32</v>
      </c>
      <c r="FF355" s="11" t="s">
        <v>74</v>
      </c>
      <c r="FG355" s="144" t="s">
        <v>282</v>
      </c>
    </row>
    <row r="356" spans="2:177" s="12" customFormat="1" x14ac:dyDescent="0.2">
      <c r="B356" s="149"/>
      <c r="D356" s="138" t="s">
        <v>301</v>
      </c>
      <c r="E356" s="150" t="s">
        <v>1</v>
      </c>
      <c r="F356" s="151" t="s">
        <v>2691</v>
      </c>
      <c r="H356" s="152">
        <v>17.756</v>
      </c>
      <c r="I356" s="153"/>
      <c r="L356" s="149"/>
      <c r="N356" s="217"/>
      <c r="O356" s="218"/>
      <c r="Q356" s="231"/>
      <c r="DU356" s="179"/>
      <c r="DV356" s="180"/>
      <c r="DW356" s="180"/>
      <c r="DX356" s="180"/>
      <c r="DY356" s="180"/>
      <c r="DZ356" s="180"/>
      <c r="EA356" s="180"/>
      <c r="EB356" s="181"/>
      <c r="FB356" s="150" t="s">
        <v>301</v>
      </c>
      <c r="FC356" s="150" t="s">
        <v>83</v>
      </c>
      <c r="FD356" s="12" t="s">
        <v>83</v>
      </c>
      <c r="FE356" s="12" t="s">
        <v>32</v>
      </c>
      <c r="FF356" s="12" t="s">
        <v>81</v>
      </c>
      <c r="FG356" s="150" t="s">
        <v>282</v>
      </c>
    </row>
    <row r="357" spans="2:177" s="1" customFormat="1" ht="6.95" customHeight="1" thickBot="1" x14ac:dyDescent="0.25">
      <c r="B357" s="43"/>
      <c r="C357" s="44"/>
      <c r="D357" s="44"/>
      <c r="E357" s="44"/>
      <c r="F357" s="44"/>
      <c r="G357" s="44"/>
      <c r="H357" s="44"/>
      <c r="I357" s="44"/>
      <c r="J357" s="44"/>
      <c r="K357" s="44"/>
      <c r="L357" s="268"/>
      <c r="M357" s="272"/>
      <c r="N357" s="304"/>
      <c r="O357" s="305"/>
      <c r="P357" s="273"/>
      <c r="Q357" s="287"/>
      <c r="R357" s="137"/>
      <c r="S357" s="269"/>
      <c r="T357" s="269"/>
      <c r="U357" s="269"/>
      <c r="V357" s="269"/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  <c r="AL357" s="269"/>
      <c r="AM357" s="269"/>
      <c r="AN357" s="269"/>
      <c r="AO357" s="269"/>
      <c r="AP357" s="269"/>
    </row>
  </sheetData>
  <autoFilter ref="C120:K356"/>
  <mergeCells count="29">
    <mergeCell ref="H119:K119"/>
    <mergeCell ref="E117:H117"/>
    <mergeCell ref="L2:ED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  <mergeCell ref="U121:V121"/>
    <mergeCell ref="L120:Q120"/>
    <mergeCell ref="L121:M121"/>
    <mergeCell ref="N121:O121"/>
    <mergeCell ref="P121:Q121"/>
    <mergeCell ref="S121:T121"/>
    <mergeCell ref="W121:X121"/>
    <mergeCell ref="Y121:Z121"/>
    <mergeCell ref="AA121:AB121"/>
    <mergeCell ref="AC121:AD121"/>
    <mergeCell ref="AE121:AF121"/>
    <mergeCell ref="AG121:AH121"/>
    <mergeCell ref="AI121:AJ121"/>
    <mergeCell ref="AK121:AL121"/>
    <mergeCell ref="AM121:AN121"/>
    <mergeCell ref="AO121:AP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T408"/>
  <sheetViews>
    <sheetView windowProtection="1" showGridLines="0" topLeftCell="A384" zoomScale="90" zoomScaleNormal="90" workbookViewId="0">
      <selection activeCell="P384" sqref="P1:Q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3.1640625" customWidth="1"/>
    <col min="13" max="13" width="16.5" customWidth="1"/>
    <col min="14" max="14" width="13.1640625" customWidth="1"/>
    <col min="15" max="15" width="18.6640625" customWidth="1"/>
    <col min="16" max="16" width="13.33203125" hidden="1" customWidth="1"/>
    <col min="17" max="17" width="15" hidden="1" customWidth="1"/>
    <col min="18" max="96" width="13.1640625" customWidth="1"/>
    <col min="97" max="97" width="12.1640625" customWidth="1"/>
    <col min="98" max="98" width="10.83203125" customWidth="1"/>
    <col min="100" max="105" width="14.1640625" customWidth="1"/>
    <col min="106" max="106" width="16.33203125" customWidth="1"/>
    <col min="107" max="107" width="12.33203125" customWidth="1"/>
    <col min="108" max="108" width="16.33203125" customWidth="1"/>
    <col min="109" max="109" width="12.33203125" customWidth="1"/>
    <col min="110" max="110" width="15" customWidth="1"/>
    <col min="111" max="111" width="11" customWidth="1"/>
    <col min="112" max="112" width="15" customWidth="1"/>
    <col min="113" max="113" width="16.33203125" customWidth="1"/>
    <col min="114" max="114" width="11" customWidth="1"/>
    <col min="115" max="115" width="15" customWidth="1"/>
    <col min="116" max="116" width="16.33203125" customWidth="1"/>
    <col min="129" max="150" width="9.33203125" hidden="1"/>
  </cols>
  <sheetData>
    <row r="1" spans="2:131" hidden="1" x14ac:dyDescent="0.2"/>
    <row r="2" spans="2:131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9"/>
      <c r="CU2" s="399"/>
      <c r="CV2" s="399"/>
      <c r="CW2" s="399"/>
      <c r="CX2" s="399"/>
      <c r="CY2" s="399"/>
      <c r="CZ2" s="399"/>
      <c r="DA2" s="399"/>
      <c r="DB2" s="399"/>
      <c r="DC2" s="399"/>
      <c r="EA2" s="16" t="s">
        <v>204</v>
      </c>
    </row>
    <row r="3" spans="2:131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EA3" s="16" t="s">
        <v>83</v>
      </c>
    </row>
    <row r="4" spans="2:131" ht="24.95" hidden="1" customHeight="1" x14ac:dyDescent="0.2">
      <c r="B4" s="19"/>
      <c r="D4" s="20" t="s">
        <v>243</v>
      </c>
      <c r="L4" s="19"/>
      <c r="CT4" s="79" t="s">
        <v>10</v>
      </c>
      <c r="EA4" s="16" t="s">
        <v>3</v>
      </c>
    </row>
    <row r="5" spans="2:131" ht="6.95" hidden="1" customHeight="1" x14ac:dyDescent="0.2">
      <c r="B5" s="19"/>
      <c r="L5" s="19"/>
    </row>
    <row r="6" spans="2:131" ht="12" hidden="1" customHeight="1" x14ac:dyDescent="0.2">
      <c r="B6" s="19"/>
      <c r="D6" s="26" t="s">
        <v>16</v>
      </c>
      <c r="L6" s="19"/>
    </row>
    <row r="7" spans="2:131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31" ht="12.75" hidden="1" x14ac:dyDescent="0.2">
      <c r="B8" s="19"/>
      <c r="D8" s="26" t="s">
        <v>244</v>
      </c>
      <c r="L8" s="19"/>
    </row>
    <row r="9" spans="2:131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31" ht="12" hidden="1" customHeight="1" x14ac:dyDescent="0.2">
      <c r="B10" s="19"/>
      <c r="D10" s="26" t="s">
        <v>246</v>
      </c>
      <c r="L10" s="19"/>
    </row>
    <row r="11" spans="2:131" s="1" customFormat="1" ht="16.5" hidden="1" customHeight="1" x14ac:dyDescent="0.2">
      <c r="B11" s="31"/>
      <c r="E11" s="401" t="s">
        <v>2692</v>
      </c>
      <c r="F11" s="433"/>
      <c r="G11" s="433"/>
      <c r="H11" s="433"/>
      <c r="L11" s="31"/>
    </row>
    <row r="12" spans="2:131" s="1" customFormat="1" ht="12" hidden="1" customHeight="1" x14ac:dyDescent="0.2">
      <c r="B12" s="31"/>
      <c r="D12" s="26" t="s">
        <v>1790</v>
      </c>
      <c r="L12" s="31"/>
    </row>
    <row r="13" spans="2:131" s="1" customFormat="1" ht="16.5" hidden="1" customHeight="1" x14ac:dyDescent="0.2">
      <c r="B13" s="31"/>
      <c r="E13" s="432" t="s">
        <v>2693</v>
      </c>
      <c r="F13" s="433"/>
      <c r="G13" s="433"/>
      <c r="H13" s="433"/>
      <c r="L13" s="31"/>
    </row>
    <row r="14" spans="2:131" s="1" customFormat="1" hidden="1" x14ac:dyDescent="0.2">
      <c r="B14" s="31"/>
      <c r="L14" s="31"/>
    </row>
    <row r="15" spans="2:131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131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hidden="1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hidden="1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ROUND(J122, 2)</f>
        <v>816173.19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ROUND((SUM(EL122:EL407)),  2)</f>
        <v>816173.19</v>
      </c>
      <c r="I37" s="84">
        <v>0.21</v>
      </c>
      <c r="J37" s="71">
        <f>ROUND(((SUM(EL122:EL407))*I37),  2)</f>
        <v>171396.37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ROUND((SUM(EM122:EM407)),  2)</f>
        <v>0</v>
      </c>
      <c r="I38" s="84">
        <v>0.15</v>
      </c>
      <c r="J38" s="71">
        <f>ROUND(((SUM(EM122:EM407))*I38),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ROUND((SUM(EN122:EN407)),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ROUND((SUM(EO122:EO407)),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ROUND((SUM(EP122:EP407)),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987569.55999999994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2692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DSO 12.1 Čerpací stanice DČS - stavební část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132" s="1" customFormat="1" ht="10.35" hidden="1" customHeight="1" x14ac:dyDescent="0.2">
      <c r="B97" s="31"/>
      <c r="L97" s="31"/>
    </row>
    <row r="98" spans="2:132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132" s="1" customFormat="1" ht="10.35" hidden="1" customHeight="1" x14ac:dyDescent="0.2">
      <c r="B99" s="31"/>
      <c r="L99" s="31"/>
    </row>
    <row r="100" spans="2:132" s="1" customFormat="1" ht="22.9" hidden="1" customHeight="1" x14ac:dyDescent="0.2">
      <c r="B100" s="31"/>
      <c r="C100" s="95" t="s">
        <v>256</v>
      </c>
      <c r="J100" s="58">
        <f>J122</f>
        <v>816173.19000000006</v>
      </c>
      <c r="L100" s="31"/>
      <c r="EB100" s="16" t="s">
        <v>257</v>
      </c>
    </row>
    <row r="101" spans="2:132" s="7" customFormat="1" ht="24.95" hidden="1" customHeight="1" x14ac:dyDescent="0.2">
      <c r="B101" s="96"/>
      <c r="D101" s="97" t="s">
        <v>258</v>
      </c>
      <c r="E101" s="98"/>
      <c r="F101" s="98"/>
      <c r="G101" s="98"/>
      <c r="H101" s="98"/>
      <c r="I101" s="98"/>
      <c r="J101" s="99">
        <f>J123</f>
        <v>816173.19000000006</v>
      </c>
      <c r="L101" s="96"/>
    </row>
    <row r="102" spans="2:132" s="8" customFormat="1" ht="19.899999999999999" hidden="1" customHeight="1" x14ac:dyDescent="0.2">
      <c r="B102" s="100"/>
      <c r="D102" s="101" t="s">
        <v>259</v>
      </c>
      <c r="E102" s="102"/>
      <c r="F102" s="102"/>
      <c r="G102" s="102"/>
      <c r="H102" s="102"/>
      <c r="I102" s="102"/>
      <c r="J102" s="103">
        <f>J125</f>
        <v>575645.66999999993</v>
      </c>
      <c r="L102" s="100"/>
    </row>
    <row r="103" spans="2:132" s="8" customFormat="1" ht="19.899999999999999" hidden="1" customHeight="1" x14ac:dyDescent="0.2">
      <c r="B103" s="100"/>
      <c r="D103" s="101" t="s">
        <v>260</v>
      </c>
      <c r="E103" s="102"/>
      <c r="F103" s="102"/>
      <c r="G103" s="102"/>
      <c r="H103" s="102"/>
      <c r="I103" s="102"/>
      <c r="J103" s="103">
        <f>J297</f>
        <v>4380.42</v>
      </c>
      <c r="L103" s="100"/>
    </row>
    <row r="104" spans="2:132" s="8" customFormat="1" ht="19.899999999999999" hidden="1" customHeight="1" x14ac:dyDescent="0.2">
      <c r="B104" s="100"/>
      <c r="D104" s="101" t="s">
        <v>261</v>
      </c>
      <c r="E104" s="102"/>
      <c r="F104" s="102"/>
      <c r="G104" s="102"/>
      <c r="H104" s="102"/>
      <c r="I104" s="102"/>
      <c r="J104" s="103">
        <f>J322</f>
        <v>14096.02</v>
      </c>
      <c r="L104" s="100"/>
    </row>
    <row r="105" spans="2:132" s="8" customFormat="1" ht="19.899999999999999" hidden="1" customHeight="1" x14ac:dyDescent="0.2">
      <c r="B105" s="100"/>
      <c r="D105" s="101" t="s">
        <v>262</v>
      </c>
      <c r="E105" s="102"/>
      <c r="F105" s="102"/>
      <c r="G105" s="102"/>
      <c r="H105" s="102"/>
      <c r="I105" s="102"/>
      <c r="J105" s="103">
        <f>J328</f>
        <v>47125.05</v>
      </c>
      <c r="L105" s="100"/>
    </row>
    <row r="106" spans="2:132" s="8" customFormat="1" ht="19.899999999999999" hidden="1" customHeight="1" x14ac:dyDescent="0.2">
      <c r="B106" s="100"/>
      <c r="D106" s="101" t="s">
        <v>263</v>
      </c>
      <c r="E106" s="102"/>
      <c r="F106" s="102"/>
      <c r="G106" s="102"/>
      <c r="H106" s="102"/>
      <c r="I106" s="102"/>
      <c r="J106" s="103">
        <f>J341</f>
        <v>28480.310000000005</v>
      </c>
      <c r="L106" s="100"/>
    </row>
    <row r="107" spans="2:132" s="8" customFormat="1" ht="19.899999999999999" hidden="1" customHeight="1" x14ac:dyDescent="0.2">
      <c r="B107" s="100"/>
      <c r="D107" s="101" t="s">
        <v>264</v>
      </c>
      <c r="E107" s="102"/>
      <c r="F107" s="102"/>
      <c r="G107" s="102"/>
      <c r="H107" s="102"/>
      <c r="I107" s="102"/>
      <c r="J107" s="103">
        <f>J373</f>
        <v>95890.39</v>
      </c>
      <c r="L107" s="100"/>
    </row>
    <row r="108" spans="2:132" s="8" customFormat="1" ht="19.899999999999999" hidden="1" customHeight="1" x14ac:dyDescent="0.2">
      <c r="B108" s="100"/>
      <c r="D108" s="101" t="s">
        <v>265</v>
      </c>
      <c r="E108" s="102"/>
      <c r="F108" s="102"/>
      <c r="G108" s="102"/>
      <c r="H108" s="102"/>
      <c r="I108" s="102"/>
      <c r="J108" s="103">
        <f>J383</f>
        <v>47427.5</v>
      </c>
      <c r="L108" s="100"/>
    </row>
    <row r="109" spans="2:132" s="8" customFormat="1" ht="19.899999999999999" hidden="1" customHeight="1" x14ac:dyDescent="0.2">
      <c r="B109" s="100"/>
      <c r="D109" s="101" t="s">
        <v>266</v>
      </c>
      <c r="E109" s="102"/>
      <c r="F109" s="102"/>
      <c r="G109" s="102"/>
      <c r="H109" s="102"/>
      <c r="I109" s="102"/>
      <c r="J109" s="103">
        <f>J403</f>
        <v>3127.83</v>
      </c>
      <c r="L109" s="100"/>
    </row>
    <row r="110" spans="2:132" s="1" customFormat="1" ht="21.75" hidden="1" customHeight="1" x14ac:dyDescent="0.2">
      <c r="B110" s="31"/>
      <c r="L110" s="31"/>
    </row>
    <row r="111" spans="2:132" s="1" customFormat="1" ht="6.95" hidden="1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2" spans="2:132" hidden="1" x14ac:dyDescent="0.2"/>
    <row r="113" spans="2:150" hidden="1" x14ac:dyDescent="0.2"/>
    <row r="115" spans="2:150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150" s="1" customFormat="1" ht="24.95" customHeight="1" x14ac:dyDescent="0.2">
      <c r="B116" s="31"/>
      <c r="C116" s="20" t="s">
        <v>3307</v>
      </c>
      <c r="L116" s="31"/>
    </row>
    <row r="117" spans="2:150" s="1" customFormat="1" ht="16.5" customHeight="1" x14ac:dyDescent="0.2">
      <c r="B117" s="31"/>
      <c r="E117" s="432" t="str">
        <f>E13</f>
        <v>0001 - DSO 12.1 Čerpací stanice DČS - stavební část</v>
      </c>
      <c r="F117" s="433"/>
      <c r="G117" s="433"/>
      <c r="H117" s="433"/>
      <c r="L117" s="31"/>
    </row>
    <row r="118" spans="2:150" s="1" customFormat="1" ht="6.95" customHeight="1" x14ac:dyDescent="0.2">
      <c r="B118" s="31"/>
      <c r="L118" s="31"/>
    </row>
    <row r="119" spans="2:150" s="1" customFormat="1" ht="22.5" customHeight="1" x14ac:dyDescent="0.2">
      <c r="B119" s="31"/>
      <c r="C119" s="26"/>
      <c r="F119" s="24"/>
      <c r="I119" s="26"/>
      <c r="J119" s="29" t="str">
        <f>E28</f>
        <v xml:space="preserve"> </v>
      </c>
      <c r="L119" s="31"/>
    </row>
    <row r="120" spans="2:150" s="1" customFormat="1" ht="26.25" customHeight="1" x14ac:dyDescent="0.2">
      <c r="B120" s="31"/>
      <c r="G120" s="430" t="s">
        <v>3305</v>
      </c>
      <c r="H120" s="430"/>
      <c r="I120" s="430"/>
      <c r="J120" s="430"/>
      <c r="K120" s="431"/>
      <c r="L120" s="31"/>
    </row>
    <row r="121" spans="2:150" s="9" customFormat="1" ht="29.25" customHeight="1" thickBot="1" x14ac:dyDescent="0.25">
      <c r="B121" s="104"/>
      <c r="C121" s="105" t="s">
        <v>268</v>
      </c>
      <c r="D121" s="106" t="s">
        <v>59</v>
      </c>
      <c r="E121" s="106" t="s">
        <v>55</v>
      </c>
      <c r="F121" s="106" t="s">
        <v>56</v>
      </c>
      <c r="G121" s="106" t="s">
        <v>269</v>
      </c>
      <c r="H121" s="106" t="s">
        <v>270</v>
      </c>
      <c r="I121" s="106" t="s">
        <v>271</v>
      </c>
      <c r="J121" s="106" t="s">
        <v>255</v>
      </c>
      <c r="K121" s="107" t="s">
        <v>272</v>
      </c>
      <c r="L121" s="437" t="s">
        <v>3307</v>
      </c>
      <c r="M121" s="438"/>
      <c r="N121" s="438"/>
      <c r="O121" s="438"/>
      <c r="P121" s="438"/>
      <c r="Q121" s="439"/>
      <c r="CT121" s="52" t="s">
        <v>1</v>
      </c>
      <c r="CU121" s="53" t="s">
        <v>39</v>
      </c>
      <c r="CV121" s="53" t="s">
        <v>273</v>
      </c>
      <c r="CW121" s="53" t="s">
        <v>274</v>
      </c>
      <c r="CX121" s="53" t="s">
        <v>275</v>
      </c>
      <c r="CY121" s="53" t="s">
        <v>276</v>
      </c>
      <c r="CZ121" s="53" t="s">
        <v>277</v>
      </c>
      <c r="DA121" s="54" t="s">
        <v>278</v>
      </c>
    </row>
    <row r="122" spans="2:150" s="1" customFormat="1" ht="22.9" customHeight="1" x14ac:dyDescent="0.25">
      <c r="B122" s="31"/>
      <c r="C122" s="57" t="s">
        <v>279</v>
      </c>
      <c r="G122" s="1" t="s">
        <v>3306</v>
      </c>
      <c r="J122" s="108">
        <f>ER122</f>
        <v>816173.19000000006</v>
      </c>
      <c r="L122" s="440" t="s">
        <v>3308</v>
      </c>
      <c r="M122" s="441"/>
      <c r="N122" s="440" t="s">
        <v>3377</v>
      </c>
      <c r="O122" s="441"/>
      <c r="P122" s="440" t="s">
        <v>3309</v>
      </c>
      <c r="Q122" s="441"/>
      <c r="S122" s="442" t="s">
        <v>3312</v>
      </c>
      <c r="T122" s="443"/>
      <c r="U122" s="443" t="s">
        <v>3313</v>
      </c>
      <c r="V122" s="443"/>
      <c r="W122" s="444" t="s">
        <v>3323</v>
      </c>
      <c r="X122" s="444"/>
      <c r="Y122" s="444" t="s">
        <v>3324</v>
      </c>
      <c r="Z122" s="444"/>
      <c r="AA122" s="444" t="s">
        <v>3325</v>
      </c>
      <c r="AB122" s="444"/>
      <c r="AC122" s="444" t="s">
        <v>3326</v>
      </c>
      <c r="AD122" s="444"/>
      <c r="AE122" s="444" t="s">
        <v>3327</v>
      </c>
      <c r="AF122" s="445"/>
      <c r="CT122" s="55"/>
      <c r="CU122" s="49"/>
      <c r="CV122" s="49"/>
      <c r="CW122" s="109">
        <f>CW123</f>
        <v>0</v>
      </c>
      <c r="CX122" s="49"/>
      <c r="CY122" s="109">
        <f>CY123</f>
        <v>337.76709682000001</v>
      </c>
      <c r="CZ122" s="49"/>
      <c r="DA122" s="110">
        <f>DA123</f>
        <v>117.88932</v>
      </c>
      <c r="EA122" s="16" t="s">
        <v>73</v>
      </c>
      <c r="EB122" s="16" t="s">
        <v>257</v>
      </c>
      <c r="ER122" s="111">
        <f>ER123</f>
        <v>816173.19000000006</v>
      </c>
    </row>
    <row r="123" spans="2:150" s="10" customFormat="1" ht="25.9" customHeight="1" thickBot="1" x14ac:dyDescent="0.25">
      <c r="B123" s="112"/>
      <c r="D123" s="113" t="s">
        <v>73</v>
      </c>
      <c r="E123" s="114" t="s">
        <v>280</v>
      </c>
      <c r="F123" s="114" t="s">
        <v>281</v>
      </c>
      <c r="G123" s="10" t="s">
        <v>3306</v>
      </c>
      <c r="I123" s="115"/>
      <c r="J123" s="116">
        <f>ER123</f>
        <v>816173.19000000006</v>
      </c>
      <c r="L123" s="190" t="s">
        <v>270</v>
      </c>
      <c r="M123" s="190" t="s">
        <v>3310</v>
      </c>
      <c r="N123" s="190" t="s">
        <v>270</v>
      </c>
      <c r="O123" s="190" t="s">
        <v>3310</v>
      </c>
      <c r="P123" s="190" t="s">
        <v>3311</v>
      </c>
      <c r="Q123" s="190" t="s">
        <v>3310</v>
      </c>
      <c r="S123" s="193" t="s">
        <v>270</v>
      </c>
      <c r="T123" s="194" t="s">
        <v>3310</v>
      </c>
      <c r="U123" s="194" t="s">
        <v>270</v>
      </c>
      <c r="V123" s="194" t="s">
        <v>3310</v>
      </c>
      <c r="W123" s="194" t="s">
        <v>270</v>
      </c>
      <c r="X123" s="194" t="s">
        <v>3328</v>
      </c>
      <c r="Y123" s="194" t="s">
        <v>270</v>
      </c>
      <c r="Z123" s="194" t="s">
        <v>3328</v>
      </c>
      <c r="AA123" s="194" t="s">
        <v>270</v>
      </c>
      <c r="AB123" s="194" t="s">
        <v>3328</v>
      </c>
      <c r="AC123" s="194" t="s">
        <v>270</v>
      </c>
      <c r="AD123" s="194" t="s">
        <v>3328</v>
      </c>
      <c r="AE123" s="194" t="s">
        <v>270</v>
      </c>
      <c r="AF123" s="195" t="s">
        <v>3328</v>
      </c>
      <c r="CT123" s="117"/>
      <c r="CW123" s="118">
        <f>CW125+CW297+CW322+CW328+CW341+CW373+CW383+CW403</f>
        <v>0</v>
      </c>
      <c r="CY123" s="118">
        <f>CY125+CY297+CY322+CY328+CY341+CY373+CY383+CY403</f>
        <v>337.76709682000001</v>
      </c>
      <c r="DA123" s="119">
        <f>DA125+DA297+DA322+DA328+DA341+DA373+DA383+DA403</f>
        <v>117.88932</v>
      </c>
      <c r="DY123" s="113" t="s">
        <v>81</v>
      </c>
      <c r="EA123" s="120" t="s">
        <v>73</v>
      </c>
      <c r="EB123" s="120" t="s">
        <v>74</v>
      </c>
      <c r="EF123" s="113" t="s">
        <v>282</v>
      </c>
      <c r="ER123" s="121">
        <f>ER125+ER297+ER322+ER328+ER341+ER373+ER383+ER403</f>
        <v>816173.19000000006</v>
      </c>
    </row>
    <row r="124" spans="2:150" s="10" customFormat="1" ht="25.9" customHeight="1" thickBot="1" x14ac:dyDescent="0.25">
      <c r="B124" s="112"/>
      <c r="D124" s="113"/>
      <c r="E124" s="114"/>
      <c r="F124" s="114"/>
      <c r="G124" s="10" t="s">
        <v>3306</v>
      </c>
      <c r="I124" s="115"/>
      <c r="J124" s="116" t="s">
        <v>3306</v>
      </c>
      <c r="L124" s="191"/>
      <c r="M124" s="192">
        <f>M125+M297+M322+M328+M341+M373+M383+M403</f>
        <v>0</v>
      </c>
      <c r="N124" s="192"/>
      <c r="O124" s="192">
        <f t="shared" ref="O124:Q124" si="0">O125+O297+O322+O328+O341+O373+O383+O403</f>
        <v>-102348.27</v>
      </c>
      <c r="P124" s="192"/>
      <c r="Q124" s="192">
        <f t="shared" si="0"/>
        <v>918521.4800000001</v>
      </c>
      <c r="S124" s="196"/>
      <c r="T124" s="197">
        <f>T125+T243+T249+T258+T279+T329+T335+T355</f>
        <v>0</v>
      </c>
      <c r="U124" s="197"/>
      <c r="V124" s="197">
        <f t="shared" ref="V124:AF124" si="1">V125+V243+V249+V258+V279+V329+V335+V355</f>
        <v>609498.82999999996</v>
      </c>
      <c r="W124" s="197"/>
      <c r="X124" s="197">
        <f t="shared" si="1"/>
        <v>0</v>
      </c>
      <c r="Y124" s="197"/>
      <c r="Z124" s="197">
        <f t="shared" si="1"/>
        <v>0</v>
      </c>
      <c r="AA124" s="197"/>
      <c r="AB124" s="197">
        <f t="shared" si="1"/>
        <v>0</v>
      </c>
      <c r="AC124" s="197"/>
      <c r="AD124" s="197">
        <f t="shared" si="1"/>
        <v>0</v>
      </c>
      <c r="AE124" s="197"/>
      <c r="AF124" s="242">
        <f t="shared" si="1"/>
        <v>0</v>
      </c>
      <c r="CT124" s="117"/>
      <c r="CW124" s="118"/>
      <c r="CY124" s="118"/>
      <c r="DA124" s="119"/>
      <c r="DY124" s="113"/>
      <c r="EA124" s="120"/>
      <c r="EB124" s="120"/>
      <c r="EF124" s="113"/>
      <c r="ER124" s="121"/>
    </row>
    <row r="125" spans="2:150" s="10" customFormat="1" ht="22.9" customHeight="1" thickBot="1" x14ac:dyDescent="0.25">
      <c r="B125" s="112"/>
      <c r="D125" s="113" t="s">
        <v>73</v>
      </c>
      <c r="E125" s="122" t="s">
        <v>81</v>
      </c>
      <c r="F125" s="122" t="s">
        <v>283</v>
      </c>
      <c r="G125" s="10" t="s">
        <v>3306</v>
      </c>
      <c r="I125" s="115"/>
      <c r="J125" s="123">
        <f>ER125</f>
        <v>575645.66999999993</v>
      </c>
      <c r="L125" s="112"/>
      <c r="M125" s="270">
        <f>SUM(M126:M294)</f>
        <v>0</v>
      </c>
      <c r="N125" s="270"/>
      <c r="O125" s="270">
        <f t="shared" ref="O125:V125" si="2">SUM(O126:O294)</f>
        <v>-88091.01</v>
      </c>
      <c r="P125" s="270"/>
      <c r="Q125" s="270">
        <f t="shared" si="2"/>
        <v>663736.67999999993</v>
      </c>
      <c r="R125" s="270"/>
      <c r="S125" s="270"/>
      <c r="T125" s="270">
        <f t="shared" si="2"/>
        <v>0</v>
      </c>
      <c r="U125" s="270"/>
      <c r="V125" s="270">
        <f t="shared" si="2"/>
        <v>575645.66999999993</v>
      </c>
      <c r="CT125" s="117"/>
      <c r="CW125" s="118">
        <f>SUM(CW126:CW296)</f>
        <v>0</v>
      </c>
      <c r="CY125" s="118">
        <f>SUM(CY126:CY296)</f>
        <v>334.59679399999999</v>
      </c>
      <c r="DA125" s="119">
        <f>SUM(DA126:DA296)</f>
        <v>117.88932</v>
      </c>
      <c r="DY125" s="113" t="s">
        <v>81</v>
      </c>
      <c r="EA125" s="120" t="s">
        <v>73</v>
      </c>
      <c r="EB125" s="120" t="s">
        <v>81</v>
      </c>
      <c r="EF125" s="113" t="s">
        <v>282</v>
      </c>
      <c r="ER125" s="121">
        <f>SUM(ER126:ER296)</f>
        <v>575645.66999999993</v>
      </c>
    </row>
    <row r="126" spans="2:150" s="1" customFormat="1" ht="24.2" customHeight="1" x14ac:dyDescent="0.2">
      <c r="B126" s="124"/>
      <c r="C126" s="125" t="s">
        <v>81</v>
      </c>
      <c r="D126" s="125" t="s">
        <v>284</v>
      </c>
      <c r="E126" s="126" t="s">
        <v>2279</v>
      </c>
      <c r="F126" s="127" t="s">
        <v>2280</v>
      </c>
      <c r="G126" s="128" t="s">
        <v>287</v>
      </c>
      <c r="H126" s="129">
        <v>96.21</v>
      </c>
      <c r="I126" s="130">
        <v>68.767172335543137</v>
      </c>
      <c r="J126" s="131">
        <f>ROUND(I126*H126,2)</f>
        <v>6616.09</v>
      </c>
      <c r="K126" s="127" t="s">
        <v>1</v>
      </c>
      <c r="L126" s="268">
        <f>S126</f>
        <v>0</v>
      </c>
      <c r="M126" s="272">
        <f>ROUND(L126*I126,2)</f>
        <v>0</v>
      </c>
      <c r="N126" s="354">
        <f>N130</f>
        <v>-7.775999999999982</v>
      </c>
      <c r="O126" s="355">
        <f>ROUND(N126*I126,2)</f>
        <v>-534.73</v>
      </c>
      <c r="P126" s="273">
        <f>H126-L126-N126</f>
        <v>103.98599999999998</v>
      </c>
      <c r="Q126" s="268">
        <f>ROUND(P126*I126,2)</f>
        <v>7150.82</v>
      </c>
      <c r="R126" s="137"/>
      <c r="S126" s="269">
        <f>W126+Y126+AA126+AC126+AE126</f>
        <v>0</v>
      </c>
      <c r="T126" s="269">
        <f>ROUND(S126*I126,2)</f>
        <v>0</v>
      </c>
      <c r="U126" s="269">
        <f>H126-S126</f>
        <v>96.21</v>
      </c>
      <c r="V126" s="269">
        <f>ROUND(U126*I126,2)</f>
        <v>6616.09</v>
      </c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CT126" s="132" t="s">
        <v>1</v>
      </c>
      <c r="CU126" s="133" t="s">
        <v>40</v>
      </c>
      <c r="CW126" s="134">
        <f>CV126*H126</f>
        <v>0</v>
      </c>
      <c r="CX126" s="134">
        <v>0</v>
      </c>
      <c r="CY126" s="134">
        <f>CX126*H126</f>
        <v>0</v>
      </c>
      <c r="CZ126" s="134">
        <v>0.57999999999999996</v>
      </c>
      <c r="DA126" s="135">
        <f>CZ126*H126</f>
        <v>55.801799999999993</v>
      </c>
      <c r="DY126" s="136" t="s">
        <v>95</v>
      </c>
      <c r="EA126" s="136" t="s">
        <v>284</v>
      </c>
      <c r="EB126" s="136" t="s">
        <v>83</v>
      </c>
      <c r="EF126" s="16" t="s">
        <v>282</v>
      </c>
      <c r="EL126" s="137">
        <f>IF(CU126="základní",J126,0)</f>
        <v>6616.09</v>
      </c>
      <c r="EM126" s="137">
        <f>IF(CU126="snížená",J126,0)</f>
        <v>0</v>
      </c>
      <c r="EN126" s="137">
        <f>IF(CU126="zákl. přenesená",J126,0)</f>
        <v>0</v>
      </c>
      <c r="EO126" s="137">
        <f>IF(CU126="sníž. přenesená",J126,0)</f>
        <v>0</v>
      </c>
      <c r="EP126" s="137">
        <f>IF(CU126="nulová",J126,0)</f>
        <v>0</v>
      </c>
      <c r="EQ126" s="16" t="s">
        <v>81</v>
      </c>
      <c r="ER126" s="137">
        <f>ROUND(I126*H126,2)</f>
        <v>6616.09</v>
      </c>
      <c r="ES126" s="16" t="s">
        <v>95</v>
      </c>
      <c r="ET126" s="136" t="s">
        <v>2694</v>
      </c>
    </row>
    <row r="127" spans="2:150" s="1" customFormat="1" ht="39" x14ac:dyDescent="0.2">
      <c r="B127" s="31"/>
      <c r="D127" s="138" t="s">
        <v>289</v>
      </c>
      <c r="F127" s="139" t="s">
        <v>290</v>
      </c>
      <c r="I127" s="140"/>
      <c r="L127" s="31"/>
      <c r="N127" s="213"/>
      <c r="O127" s="214"/>
      <c r="Q127" s="330"/>
      <c r="CT127" s="141"/>
      <c r="DA127" s="50"/>
      <c r="EA127" s="16" t="s">
        <v>289</v>
      </c>
      <c r="EB127" s="16" t="s">
        <v>83</v>
      </c>
    </row>
    <row r="128" spans="2:150" s="1" customFormat="1" ht="29.25" x14ac:dyDescent="0.2">
      <c r="B128" s="31"/>
      <c r="D128" s="138" t="s">
        <v>299</v>
      </c>
      <c r="F128" s="142" t="s">
        <v>2695</v>
      </c>
      <c r="I128" s="140"/>
      <c r="L128" s="31"/>
      <c r="N128" s="213"/>
      <c r="O128" s="214"/>
      <c r="Q128" s="330"/>
      <c r="CT128" s="141"/>
      <c r="DA128" s="50"/>
      <c r="EA128" s="16" t="s">
        <v>299</v>
      </c>
      <c r="EB128" s="16" t="s">
        <v>83</v>
      </c>
    </row>
    <row r="129" spans="2:150" s="12" customFormat="1" x14ac:dyDescent="0.2">
      <c r="B129" s="149"/>
      <c r="D129" s="138" t="s">
        <v>301</v>
      </c>
      <c r="E129" s="150" t="s">
        <v>1</v>
      </c>
      <c r="F129" s="151" t="s">
        <v>2696</v>
      </c>
      <c r="H129" s="152">
        <v>96.21</v>
      </c>
      <c r="I129" s="153"/>
      <c r="L129" s="149"/>
      <c r="N129" s="217">
        <f>98.26*0.9</f>
        <v>88.434000000000012</v>
      </c>
      <c r="O129" s="218" t="s">
        <v>3828</v>
      </c>
      <c r="Q129" s="332"/>
      <c r="CT129" s="154"/>
      <c r="DA129" s="155"/>
      <c r="EA129" s="150" t="s">
        <v>301</v>
      </c>
      <c r="EB129" s="150" t="s">
        <v>83</v>
      </c>
      <c r="EC129" s="12" t="s">
        <v>83</v>
      </c>
      <c r="ED129" s="12" t="s">
        <v>32</v>
      </c>
      <c r="EE129" s="12" t="s">
        <v>81</v>
      </c>
      <c r="EF129" s="150" t="s">
        <v>282</v>
      </c>
    </row>
    <row r="130" spans="2:150" s="12" customFormat="1" x14ac:dyDescent="0.2">
      <c r="B130" s="149"/>
      <c r="D130" s="138"/>
      <c r="E130" s="150"/>
      <c r="F130" s="151"/>
      <c r="H130" s="152"/>
      <c r="I130" s="153"/>
      <c r="L130" s="149"/>
      <c r="N130" s="310">
        <f>N129-H129</f>
        <v>-7.775999999999982</v>
      </c>
      <c r="O130" s="218"/>
      <c r="Q130" s="332"/>
      <c r="CT130" s="154"/>
      <c r="DA130" s="155"/>
      <c r="EA130" s="150"/>
      <c r="EB130" s="150"/>
      <c r="EF130" s="150"/>
    </row>
    <row r="131" spans="2:150" s="1" customFormat="1" ht="37.9" customHeight="1" x14ac:dyDescent="0.2">
      <c r="B131" s="124"/>
      <c r="C131" s="125" t="s">
        <v>83</v>
      </c>
      <c r="D131" s="125" t="s">
        <v>284</v>
      </c>
      <c r="E131" s="126" t="s">
        <v>285</v>
      </c>
      <c r="F131" s="127" t="s">
        <v>2697</v>
      </c>
      <c r="G131" s="128" t="s">
        <v>287</v>
      </c>
      <c r="H131" s="129">
        <v>32.07</v>
      </c>
      <c r="I131" s="130">
        <v>68.767172335543137</v>
      </c>
      <c r="J131" s="131">
        <f>ROUND(I131*H131,2)</f>
        <v>2205.36</v>
      </c>
      <c r="K131" s="127" t="s">
        <v>1</v>
      </c>
      <c r="L131" s="268">
        <f>S131</f>
        <v>0</v>
      </c>
      <c r="M131" s="272">
        <f>ROUND(L131*I131,2)</f>
        <v>0</v>
      </c>
      <c r="N131" s="243">
        <f>N135</f>
        <v>-2.5919999999999952</v>
      </c>
      <c r="O131" s="294">
        <f>ROUND(N131*I131,2)</f>
        <v>-178.24</v>
      </c>
      <c r="P131" s="273">
        <f>H131-L131-N131</f>
        <v>34.661999999999992</v>
      </c>
      <c r="Q131" s="268">
        <f>ROUND(P131*I131,2)</f>
        <v>2383.61</v>
      </c>
      <c r="R131" s="137"/>
      <c r="S131" s="269">
        <f>W131+Y131+AA131+AC131+AE131</f>
        <v>0</v>
      </c>
      <c r="T131" s="269">
        <f>ROUND(S131*I131,2)</f>
        <v>0</v>
      </c>
      <c r="U131" s="269">
        <f>H131-S131</f>
        <v>32.07</v>
      </c>
      <c r="V131" s="269">
        <f>ROUND(U131*I131,2)</f>
        <v>2205.36</v>
      </c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CT131" s="132" t="s">
        <v>1</v>
      </c>
      <c r="CU131" s="133" t="s">
        <v>40</v>
      </c>
      <c r="CW131" s="134">
        <f>CV131*H131</f>
        <v>0</v>
      </c>
      <c r="CX131" s="134">
        <v>0</v>
      </c>
      <c r="CY131" s="134">
        <f>CX131*H131</f>
        <v>0</v>
      </c>
      <c r="CZ131" s="134">
        <v>0.57999999999999996</v>
      </c>
      <c r="DA131" s="135">
        <f>CZ131*H131</f>
        <v>18.6006</v>
      </c>
      <c r="DY131" s="136" t="s">
        <v>95</v>
      </c>
      <c r="EA131" s="136" t="s">
        <v>284</v>
      </c>
      <c r="EB131" s="136" t="s">
        <v>83</v>
      </c>
      <c r="EF131" s="16" t="s">
        <v>282</v>
      </c>
      <c r="EL131" s="137">
        <f>IF(CU131="základní",J131,0)</f>
        <v>2205.36</v>
      </c>
      <c r="EM131" s="137">
        <f>IF(CU131="snížená",J131,0)</f>
        <v>0</v>
      </c>
      <c r="EN131" s="137">
        <f>IF(CU131="zákl. přenesená",J131,0)</f>
        <v>0</v>
      </c>
      <c r="EO131" s="137">
        <f>IF(CU131="sníž. přenesená",J131,0)</f>
        <v>0</v>
      </c>
      <c r="EP131" s="137">
        <f>IF(CU131="nulová",J131,0)</f>
        <v>0</v>
      </c>
      <c r="EQ131" s="16" t="s">
        <v>81</v>
      </c>
      <c r="ER131" s="137">
        <f>ROUND(I131*H131,2)</f>
        <v>2205.36</v>
      </c>
      <c r="ES131" s="16" t="s">
        <v>95</v>
      </c>
      <c r="ET131" s="136" t="s">
        <v>2698</v>
      </c>
    </row>
    <row r="132" spans="2:150" s="1" customFormat="1" ht="39" x14ac:dyDescent="0.2">
      <c r="B132" s="31"/>
      <c r="D132" s="138" t="s">
        <v>289</v>
      </c>
      <c r="F132" s="139" t="s">
        <v>290</v>
      </c>
      <c r="I132" s="140"/>
      <c r="L132" s="31"/>
      <c r="N132" s="213"/>
      <c r="O132" s="214"/>
      <c r="Q132" s="330"/>
      <c r="CT132" s="141"/>
      <c r="DA132" s="50"/>
      <c r="EA132" s="16" t="s">
        <v>289</v>
      </c>
      <c r="EB132" s="16" t="s">
        <v>83</v>
      </c>
    </row>
    <row r="133" spans="2:150" s="1" customFormat="1" ht="29.25" x14ac:dyDescent="0.2">
      <c r="B133" s="31"/>
      <c r="D133" s="138" t="s">
        <v>299</v>
      </c>
      <c r="F133" s="142" t="s">
        <v>2695</v>
      </c>
      <c r="I133" s="140"/>
      <c r="L133" s="31"/>
      <c r="N133" s="213"/>
      <c r="O133" s="214"/>
      <c r="Q133" s="330"/>
      <c r="CT133" s="141"/>
      <c r="DA133" s="50"/>
      <c r="EA133" s="16" t="s">
        <v>299</v>
      </c>
      <c r="EB133" s="16" t="s">
        <v>83</v>
      </c>
    </row>
    <row r="134" spans="2:150" s="12" customFormat="1" x14ac:dyDescent="0.2">
      <c r="B134" s="149"/>
      <c r="D134" s="138" t="s">
        <v>301</v>
      </c>
      <c r="E134" s="150" t="s">
        <v>1</v>
      </c>
      <c r="F134" s="151" t="s">
        <v>2699</v>
      </c>
      <c r="H134" s="152">
        <v>32.07</v>
      </c>
      <c r="I134" s="153"/>
      <c r="L134" s="149"/>
      <c r="N134" s="217">
        <f>98.26*(0.9-0.6)</f>
        <v>29.478000000000005</v>
      </c>
      <c r="O134" s="218" t="s">
        <v>3829</v>
      </c>
      <c r="Q134" s="332"/>
      <c r="CT134" s="154"/>
      <c r="DA134" s="155"/>
      <c r="EA134" s="150" t="s">
        <v>301</v>
      </c>
      <c r="EB134" s="150" t="s">
        <v>83</v>
      </c>
      <c r="EC134" s="12" t="s">
        <v>83</v>
      </c>
      <c r="ED134" s="12" t="s">
        <v>32</v>
      </c>
      <c r="EE134" s="12" t="s">
        <v>81</v>
      </c>
      <c r="EF134" s="150" t="s">
        <v>282</v>
      </c>
    </row>
    <row r="135" spans="2:150" s="12" customFormat="1" x14ac:dyDescent="0.2">
      <c r="B135" s="149"/>
      <c r="D135" s="138"/>
      <c r="E135" s="150"/>
      <c r="F135" s="151"/>
      <c r="H135" s="152"/>
      <c r="I135" s="153"/>
      <c r="L135" s="149"/>
      <c r="N135" s="310">
        <f>N134-H134</f>
        <v>-2.5919999999999952</v>
      </c>
      <c r="O135" s="218"/>
      <c r="Q135" s="332"/>
      <c r="CT135" s="154"/>
      <c r="DA135" s="155"/>
      <c r="EA135" s="150"/>
      <c r="EB135" s="150"/>
      <c r="EF135" s="150"/>
    </row>
    <row r="136" spans="2:150" s="1" customFormat="1" ht="24.2" customHeight="1" x14ac:dyDescent="0.2">
      <c r="B136" s="124"/>
      <c r="C136" s="125" t="s">
        <v>90</v>
      </c>
      <c r="D136" s="125" t="s">
        <v>284</v>
      </c>
      <c r="E136" s="126" t="s">
        <v>291</v>
      </c>
      <c r="F136" s="127" t="s">
        <v>292</v>
      </c>
      <c r="G136" s="128" t="s">
        <v>287</v>
      </c>
      <c r="H136" s="129">
        <v>64.14</v>
      </c>
      <c r="I136" s="130">
        <v>68.767172335543137</v>
      </c>
      <c r="J136" s="131">
        <f>ROUND(I136*H136,2)</f>
        <v>4410.7299999999996</v>
      </c>
      <c r="K136" s="127" t="s">
        <v>293</v>
      </c>
      <c r="L136" s="268">
        <f>S136</f>
        <v>0</v>
      </c>
      <c r="M136" s="272">
        <f>ROUND(L136*I136,2)</f>
        <v>0</v>
      </c>
      <c r="N136" s="243">
        <f>N138</f>
        <v>-5.1839999999999975</v>
      </c>
      <c r="O136" s="294">
        <f>ROUND(N136*I136,2)</f>
        <v>-356.49</v>
      </c>
      <c r="P136" s="273">
        <f>H136-L136-N136</f>
        <v>69.323999999999998</v>
      </c>
      <c r="Q136" s="268">
        <f>ROUND(P136*I136,2)</f>
        <v>4767.22</v>
      </c>
      <c r="R136" s="137"/>
      <c r="S136" s="269">
        <f>W136+Y136+AA136+AC136+AE136</f>
        <v>0</v>
      </c>
      <c r="T136" s="269">
        <f>ROUND(S136*I136,2)</f>
        <v>0</v>
      </c>
      <c r="U136" s="269">
        <f>H136-S136</f>
        <v>64.14</v>
      </c>
      <c r="V136" s="269">
        <f>ROUND(U136*I136,2)</f>
        <v>4410.7299999999996</v>
      </c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CT136" s="132" t="s">
        <v>1</v>
      </c>
      <c r="CU136" s="133" t="s">
        <v>40</v>
      </c>
      <c r="CW136" s="134">
        <f>CV136*H136</f>
        <v>0</v>
      </c>
      <c r="CX136" s="134">
        <v>0</v>
      </c>
      <c r="CY136" s="134">
        <f>CX136*H136</f>
        <v>0</v>
      </c>
      <c r="CZ136" s="134">
        <v>0.57999999999999996</v>
      </c>
      <c r="DA136" s="135">
        <f>CZ136*H136</f>
        <v>37.2012</v>
      </c>
      <c r="DY136" s="136" t="s">
        <v>95</v>
      </c>
      <c r="EA136" s="136" t="s">
        <v>284</v>
      </c>
      <c r="EB136" s="136" t="s">
        <v>83</v>
      </c>
      <c r="EF136" s="16" t="s">
        <v>282</v>
      </c>
      <c r="EL136" s="137">
        <f>IF(CU136="základní",J136,0)</f>
        <v>4410.7299999999996</v>
      </c>
      <c r="EM136" s="137">
        <f>IF(CU136="snížená",J136,0)</f>
        <v>0</v>
      </c>
      <c r="EN136" s="137">
        <f>IF(CU136="zákl. přenesená",J136,0)</f>
        <v>0</v>
      </c>
      <c r="EO136" s="137">
        <f>IF(CU136="sníž. přenesená",J136,0)</f>
        <v>0</v>
      </c>
      <c r="EP136" s="137">
        <f>IF(CU136="nulová",J136,0)</f>
        <v>0</v>
      </c>
      <c r="EQ136" s="16" t="s">
        <v>81</v>
      </c>
      <c r="ER136" s="137">
        <f>ROUND(I136*H136,2)</f>
        <v>4410.7299999999996</v>
      </c>
      <c r="ES136" s="16" t="s">
        <v>95</v>
      </c>
      <c r="ET136" s="136" t="s">
        <v>2700</v>
      </c>
    </row>
    <row r="137" spans="2:150" s="1" customFormat="1" ht="39" x14ac:dyDescent="0.2">
      <c r="B137" s="31"/>
      <c r="D137" s="138" t="s">
        <v>289</v>
      </c>
      <c r="F137" s="139" t="s">
        <v>290</v>
      </c>
      <c r="I137" s="140"/>
      <c r="L137" s="31"/>
      <c r="N137" s="213"/>
      <c r="O137" s="214"/>
      <c r="Q137" s="330"/>
      <c r="CT137" s="141"/>
      <c r="DA137" s="50"/>
      <c r="EA137" s="16" t="s">
        <v>289</v>
      </c>
      <c r="EB137" s="16" t="s">
        <v>83</v>
      </c>
    </row>
    <row r="138" spans="2:150" s="1" customFormat="1" ht="24.2" customHeight="1" x14ac:dyDescent="0.2">
      <c r="B138" s="124"/>
      <c r="C138" s="125" t="s">
        <v>95</v>
      </c>
      <c r="D138" s="125" t="s">
        <v>284</v>
      </c>
      <c r="E138" s="126" t="s">
        <v>295</v>
      </c>
      <c r="F138" s="127" t="s">
        <v>732</v>
      </c>
      <c r="G138" s="128" t="s">
        <v>287</v>
      </c>
      <c r="H138" s="129">
        <v>64.14</v>
      </c>
      <c r="I138" s="130">
        <v>27.886826761540966</v>
      </c>
      <c r="J138" s="131">
        <f>ROUND(I138*H138,2)</f>
        <v>1788.66</v>
      </c>
      <c r="K138" s="127" t="s">
        <v>293</v>
      </c>
      <c r="L138" s="268">
        <f>S138</f>
        <v>0</v>
      </c>
      <c r="M138" s="272">
        <f>ROUND(L138*I138,2)</f>
        <v>0</v>
      </c>
      <c r="N138" s="243">
        <f>N143</f>
        <v>-5.1839999999999975</v>
      </c>
      <c r="O138" s="294">
        <f>ROUND(N138*I138,2)</f>
        <v>-144.57</v>
      </c>
      <c r="P138" s="273">
        <f>H138-L138-N138</f>
        <v>69.323999999999998</v>
      </c>
      <c r="Q138" s="268">
        <f>ROUND(P138*I138,2)</f>
        <v>1933.23</v>
      </c>
      <c r="R138" s="137"/>
      <c r="S138" s="269">
        <f>W138+Y138+AA138+AC138+AE138</f>
        <v>0</v>
      </c>
      <c r="T138" s="269">
        <f>ROUND(S138*I138,2)</f>
        <v>0</v>
      </c>
      <c r="U138" s="269">
        <f>H138-S138</f>
        <v>64.14</v>
      </c>
      <c r="V138" s="269">
        <f>ROUND(U138*I138,2)</f>
        <v>1788.66</v>
      </c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CT138" s="132" t="s">
        <v>1</v>
      </c>
      <c r="CU138" s="133" t="s">
        <v>40</v>
      </c>
      <c r="CW138" s="134">
        <f>CV138*H138</f>
        <v>0</v>
      </c>
      <c r="CX138" s="134">
        <v>0</v>
      </c>
      <c r="CY138" s="134">
        <f>CX138*H138</f>
        <v>0</v>
      </c>
      <c r="CZ138" s="134">
        <v>9.8000000000000004E-2</v>
      </c>
      <c r="DA138" s="135">
        <f>CZ138*H138</f>
        <v>6.2857200000000004</v>
      </c>
      <c r="DY138" s="136" t="s">
        <v>95</v>
      </c>
      <c r="EA138" s="136" t="s">
        <v>284</v>
      </c>
      <c r="EB138" s="136" t="s">
        <v>83</v>
      </c>
      <c r="EF138" s="16" t="s">
        <v>282</v>
      </c>
      <c r="EL138" s="137">
        <f>IF(CU138="základní",J138,0)</f>
        <v>1788.66</v>
      </c>
      <c r="EM138" s="137">
        <f>IF(CU138="snížená",J138,0)</f>
        <v>0</v>
      </c>
      <c r="EN138" s="137">
        <f>IF(CU138="zákl. přenesená",J138,0)</f>
        <v>0</v>
      </c>
      <c r="EO138" s="137">
        <f>IF(CU138="sníž. přenesená",J138,0)</f>
        <v>0</v>
      </c>
      <c r="EP138" s="137">
        <f>IF(CU138="nulová",J138,0)</f>
        <v>0</v>
      </c>
      <c r="EQ138" s="16" t="s">
        <v>81</v>
      </c>
      <c r="ER138" s="137">
        <f>ROUND(I138*H138,2)</f>
        <v>1788.66</v>
      </c>
      <c r="ES138" s="16" t="s">
        <v>95</v>
      </c>
      <c r="ET138" s="136" t="s">
        <v>2701</v>
      </c>
    </row>
    <row r="139" spans="2:150" s="1" customFormat="1" ht="29.25" x14ac:dyDescent="0.2">
      <c r="B139" s="31"/>
      <c r="D139" s="138" t="s">
        <v>289</v>
      </c>
      <c r="F139" s="139" t="s">
        <v>298</v>
      </c>
      <c r="I139" s="140"/>
      <c r="L139" s="31"/>
      <c r="N139" s="213"/>
      <c r="O139" s="214"/>
      <c r="Q139" s="330"/>
      <c r="CT139" s="141"/>
      <c r="DA139" s="50"/>
      <c r="EA139" s="16" t="s">
        <v>289</v>
      </c>
      <c r="EB139" s="16" t="s">
        <v>83</v>
      </c>
    </row>
    <row r="140" spans="2:150" s="1" customFormat="1" ht="29.25" x14ac:dyDescent="0.2">
      <c r="B140" s="31"/>
      <c r="D140" s="138" t="s">
        <v>299</v>
      </c>
      <c r="F140" s="142" t="s">
        <v>2695</v>
      </c>
      <c r="I140" s="140"/>
      <c r="L140" s="31"/>
      <c r="N140" s="213"/>
      <c r="O140" s="214"/>
      <c r="Q140" s="330"/>
      <c r="CT140" s="141"/>
      <c r="DA140" s="50"/>
      <c r="EA140" s="16" t="s">
        <v>299</v>
      </c>
      <c r="EB140" s="16" t="s">
        <v>83</v>
      </c>
    </row>
    <row r="141" spans="2:150" s="11" customFormat="1" x14ac:dyDescent="0.2">
      <c r="B141" s="143"/>
      <c r="D141" s="138" t="s">
        <v>301</v>
      </c>
      <c r="E141" s="144" t="s">
        <v>1</v>
      </c>
      <c r="F141" s="145" t="s">
        <v>302</v>
      </c>
      <c r="H141" s="144" t="s">
        <v>1</v>
      </c>
      <c r="I141" s="146"/>
      <c r="L141" s="143"/>
      <c r="N141" s="215"/>
      <c r="O141" s="216"/>
      <c r="Q141" s="331"/>
      <c r="CT141" s="147"/>
      <c r="DA141" s="148"/>
      <c r="EA141" s="144" t="s">
        <v>301</v>
      </c>
      <c r="EB141" s="144" t="s">
        <v>83</v>
      </c>
      <c r="EC141" s="11" t="s">
        <v>81</v>
      </c>
      <c r="ED141" s="11" t="s">
        <v>32</v>
      </c>
      <c r="EE141" s="11" t="s">
        <v>74</v>
      </c>
      <c r="EF141" s="144" t="s">
        <v>282</v>
      </c>
    </row>
    <row r="142" spans="2:150" s="12" customFormat="1" x14ac:dyDescent="0.2">
      <c r="B142" s="149"/>
      <c r="D142" s="138" t="s">
        <v>301</v>
      </c>
      <c r="E142" s="150" t="s">
        <v>1</v>
      </c>
      <c r="F142" s="151" t="s">
        <v>2702</v>
      </c>
      <c r="H142" s="152">
        <v>64.14</v>
      </c>
      <c r="I142" s="153"/>
      <c r="L142" s="149"/>
      <c r="N142" s="217">
        <f>98.26*0.6</f>
        <v>58.956000000000003</v>
      </c>
      <c r="O142" s="218" t="s">
        <v>3830</v>
      </c>
      <c r="Q142" s="332"/>
      <c r="CT142" s="154"/>
      <c r="DA142" s="155"/>
      <c r="EA142" s="150" t="s">
        <v>301</v>
      </c>
      <c r="EB142" s="150" t="s">
        <v>83</v>
      </c>
      <c r="EC142" s="12" t="s">
        <v>83</v>
      </c>
      <c r="ED142" s="12" t="s">
        <v>32</v>
      </c>
      <c r="EE142" s="12" t="s">
        <v>81</v>
      </c>
      <c r="EF142" s="150" t="s">
        <v>282</v>
      </c>
    </row>
    <row r="143" spans="2:150" s="11" customFormat="1" x14ac:dyDescent="0.2">
      <c r="B143" s="143"/>
      <c r="D143" s="138" t="s">
        <v>301</v>
      </c>
      <c r="E143" s="144" t="s">
        <v>1</v>
      </c>
      <c r="F143" s="145" t="s">
        <v>2703</v>
      </c>
      <c r="H143" s="144" t="s">
        <v>1</v>
      </c>
      <c r="I143" s="146"/>
      <c r="L143" s="143"/>
      <c r="N143" s="319">
        <f>N142-H142</f>
        <v>-5.1839999999999975</v>
      </c>
      <c r="O143" s="216"/>
      <c r="Q143" s="331"/>
      <c r="CT143" s="147"/>
      <c r="DA143" s="148"/>
      <c r="EA143" s="144" t="s">
        <v>301</v>
      </c>
      <c r="EB143" s="144" t="s">
        <v>83</v>
      </c>
      <c r="EC143" s="11" t="s">
        <v>81</v>
      </c>
      <c r="ED143" s="11" t="s">
        <v>32</v>
      </c>
      <c r="EE143" s="11" t="s">
        <v>74</v>
      </c>
      <c r="EF143" s="144" t="s">
        <v>282</v>
      </c>
    </row>
    <row r="144" spans="2:150" s="1" customFormat="1" ht="24.2" customHeight="1" x14ac:dyDescent="0.2">
      <c r="B144" s="124"/>
      <c r="C144" s="125" t="s">
        <v>312</v>
      </c>
      <c r="D144" s="125" t="s">
        <v>284</v>
      </c>
      <c r="E144" s="126" t="s">
        <v>313</v>
      </c>
      <c r="F144" s="127" t="s">
        <v>314</v>
      </c>
      <c r="G144" s="128" t="s">
        <v>315</v>
      </c>
      <c r="H144" s="129">
        <v>1</v>
      </c>
      <c r="I144" s="130">
        <v>3788.8627999999999</v>
      </c>
      <c r="J144" s="131">
        <f>ROUND(I144*H144,2)</f>
        <v>3788.86</v>
      </c>
      <c r="K144" s="127" t="s">
        <v>1</v>
      </c>
      <c r="L144" s="268">
        <f>S144</f>
        <v>0</v>
      </c>
      <c r="M144" s="272">
        <f>ROUND(L144*I144,2)</f>
        <v>0</v>
      </c>
      <c r="N144" s="243"/>
      <c r="O144" s="294">
        <f>ROUND(N144*I144,2)</f>
        <v>0</v>
      </c>
      <c r="P144" s="273">
        <f>H144-L144-N144</f>
        <v>1</v>
      </c>
      <c r="Q144" s="268">
        <f>ROUND(P144*I144,2)</f>
        <v>3788.86</v>
      </c>
      <c r="R144" s="137"/>
      <c r="S144" s="269">
        <f>W144+Y144+AA144+AC144+AE144</f>
        <v>0</v>
      </c>
      <c r="T144" s="269">
        <f>ROUND(S144*I144,2)</f>
        <v>0</v>
      </c>
      <c r="U144" s="269">
        <f>H144-S144</f>
        <v>1</v>
      </c>
      <c r="V144" s="269">
        <f>ROUND(U144*I144,2)</f>
        <v>3788.86</v>
      </c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CT144" s="132" t="s">
        <v>1</v>
      </c>
      <c r="CU144" s="133" t="s">
        <v>40</v>
      </c>
      <c r="CW144" s="134">
        <f>CV144*H144</f>
        <v>0</v>
      </c>
      <c r="CX144" s="134">
        <v>0</v>
      </c>
      <c r="CY144" s="134">
        <f>CX144*H144</f>
        <v>0</v>
      </c>
      <c r="CZ144" s="134">
        <v>0</v>
      </c>
      <c r="DA144" s="135">
        <f>CZ144*H144</f>
        <v>0</v>
      </c>
      <c r="DY144" s="136" t="s">
        <v>95</v>
      </c>
      <c r="EA144" s="136" t="s">
        <v>284</v>
      </c>
      <c r="EB144" s="136" t="s">
        <v>83</v>
      </c>
      <c r="EF144" s="16" t="s">
        <v>282</v>
      </c>
      <c r="EL144" s="137">
        <f>IF(CU144="základní",J144,0)</f>
        <v>3788.86</v>
      </c>
      <c r="EM144" s="137">
        <f>IF(CU144="snížená",J144,0)</f>
        <v>0</v>
      </c>
      <c r="EN144" s="137">
        <f>IF(CU144="zákl. přenesená",J144,0)</f>
        <v>0</v>
      </c>
      <c r="EO144" s="137">
        <f>IF(CU144="sníž. přenesená",J144,0)</f>
        <v>0</v>
      </c>
      <c r="EP144" s="137">
        <f>IF(CU144="nulová",J144,0)</f>
        <v>0</v>
      </c>
      <c r="EQ144" s="16" t="s">
        <v>81</v>
      </c>
      <c r="ER144" s="137">
        <f>ROUND(I144*H144,2)</f>
        <v>3788.86</v>
      </c>
      <c r="ES144" s="16" t="s">
        <v>95</v>
      </c>
      <c r="ET144" s="136" t="s">
        <v>2704</v>
      </c>
    </row>
    <row r="145" spans="2:150" s="1" customFormat="1" ht="19.5" x14ac:dyDescent="0.2">
      <c r="B145" s="31"/>
      <c r="D145" s="138" t="s">
        <v>289</v>
      </c>
      <c r="F145" s="139" t="s">
        <v>314</v>
      </c>
      <c r="I145" s="140"/>
      <c r="L145" s="31"/>
      <c r="N145" s="213"/>
      <c r="O145" s="214"/>
      <c r="Q145" s="330"/>
      <c r="CT145" s="141"/>
      <c r="DA145" s="50"/>
      <c r="EA145" s="16" t="s">
        <v>289</v>
      </c>
      <c r="EB145" s="16" t="s">
        <v>83</v>
      </c>
    </row>
    <row r="146" spans="2:150" s="1" customFormat="1" ht="29.25" x14ac:dyDescent="0.2">
      <c r="B146" s="31"/>
      <c r="D146" s="138" t="s">
        <v>299</v>
      </c>
      <c r="F146" s="142" t="s">
        <v>2695</v>
      </c>
      <c r="I146" s="140"/>
      <c r="L146" s="31"/>
      <c r="N146" s="213"/>
      <c r="O146" s="214"/>
      <c r="Q146" s="330"/>
      <c r="CT146" s="141"/>
      <c r="DA146" s="50"/>
      <c r="EA146" s="16" t="s">
        <v>299</v>
      </c>
      <c r="EB146" s="16" t="s">
        <v>83</v>
      </c>
    </row>
    <row r="147" spans="2:150" s="12" customFormat="1" x14ac:dyDescent="0.2">
      <c r="B147" s="149"/>
      <c r="D147" s="138" t="s">
        <v>301</v>
      </c>
      <c r="E147" s="150" t="s">
        <v>1</v>
      </c>
      <c r="F147" s="151" t="s">
        <v>81</v>
      </c>
      <c r="H147" s="152">
        <v>1</v>
      </c>
      <c r="I147" s="153"/>
      <c r="L147" s="149"/>
      <c r="N147" s="217"/>
      <c r="O147" s="218"/>
      <c r="Q147" s="332"/>
      <c r="CT147" s="154"/>
      <c r="DA147" s="155"/>
      <c r="EA147" s="150" t="s">
        <v>301</v>
      </c>
      <c r="EB147" s="150" t="s">
        <v>83</v>
      </c>
      <c r="EC147" s="12" t="s">
        <v>83</v>
      </c>
      <c r="ED147" s="12" t="s">
        <v>32</v>
      </c>
      <c r="EE147" s="12" t="s">
        <v>81</v>
      </c>
      <c r="EF147" s="150" t="s">
        <v>282</v>
      </c>
    </row>
    <row r="148" spans="2:150" s="1" customFormat="1" ht="24.2" customHeight="1" x14ac:dyDescent="0.2">
      <c r="B148" s="124"/>
      <c r="C148" s="125" t="s">
        <v>318</v>
      </c>
      <c r="D148" s="125" t="s">
        <v>284</v>
      </c>
      <c r="E148" s="126" t="s">
        <v>329</v>
      </c>
      <c r="F148" s="127" t="s">
        <v>330</v>
      </c>
      <c r="G148" s="128" t="s">
        <v>331</v>
      </c>
      <c r="H148" s="129">
        <v>240</v>
      </c>
      <c r="I148" s="130">
        <v>70.957591385341729</v>
      </c>
      <c r="J148" s="131">
        <f>ROUND(I148*H148,2)</f>
        <v>17029.82</v>
      </c>
      <c r="K148" s="127" t="s">
        <v>293</v>
      </c>
      <c r="L148" s="268">
        <f>S148</f>
        <v>0</v>
      </c>
      <c r="M148" s="272">
        <f>ROUND(L148*I148,2)</f>
        <v>0</v>
      </c>
      <c r="N148" s="243"/>
      <c r="O148" s="294">
        <f>ROUND(N148*I148,2)</f>
        <v>0</v>
      </c>
      <c r="P148" s="273">
        <f>H148-L148-N148</f>
        <v>240</v>
      </c>
      <c r="Q148" s="268">
        <f>ROUND(P148*I148,2)</f>
        <v>17029.82</v>
      </c>
      <c r="R148" s="137"/>
      <c r="S148" s="269">
        <f>W148+Y148+AA148+AC148+AE148</f>
        <v>0</v>
      </c>
      <c r="T148" s="269">
        <f>ROUND(S148*I148,2)</f>
        <v>0</v>
      </c>
      <c r="U148" s="269">
        <f>H148-S148</f>
        <v>240</v>
      </c>
      <c r="V148" s="269">
        <f>ROUND(U148*I148,2)</f>
        <v>17029.82</v>
      </c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CT148" s="132" t="s">
        <v>1</v>
      </c>
      <c r="CU148" s="133" t="s">
        <v>40</v>
      </c>
      <c r="CW148" s="134">
        <f>CV148*H148</f>
        <v>0</v>
      </c>
      <c r="CX148" s="134">
        <v>3.0000000000000001E-5</v>
      </c>
      <c r="CY148" s="134">
        <f>CX148*H148</f>
        <v>7.1999999999999998E-3</v>
      </c>
      <c r="CZ148" s="134">
        <v>0</v>
      </c>
      <c r="DA148" s="135">
        <f>CZ148*H148</f>
        <v>0</v>
      </c>
      <c r="DY148" s="136" t="s">
        <v>95</v>
      </c>
      <c r="EA148" s="136" t="s">
        <v>284</v>
      </c>
      <c r="EB148" s="136" t="s">
        <v>83</v>
      </c>
      <c r="EF148" s="16" t="s">
        <v>282</v>
      </c>
      <c r="EL148" s="137">
        <f>IF(CU148="základní",J148,0)</f>
        <v>17029.82</v>
      </c>
      <c r="EM148" s="137">
        <f>IF(CU148="snížená",J148,0)</f>
        <v>0</v>
      </c>
      <c r="EN148" s="137">
        <f>IF(CU148="zákl. přenesená",J148,0)</f>
        <v>0</v>
      </c>
      <c r="EO148" s="137">
        <f>IF(CU148="sníž. přenesená",J148,0)</f>
        <v>0</v>
      </c>
      <c r="EP148" s="137">
        <f>IF(CU148="nulová",J148,0)</f>
        <v>0</v>
      </c>
      <c r="EQ148" s="16" t="s">
        <v>81</v>
      </c>
      <c r="ER148" s="137">
        <f>ROUND(I148*H148,2)</f>
        <v>17029.82</v>
      </c>
      <c r="ES148" s="16" t="s">
        <v>95</v>
      </c>
      <c r="ET148" s="136" t="s">
        <v>2705</v>
      </c>
    </row>
    <row r="149" spans="2:150" s="1" customFormat="1" ht="19.5" x14ac:dyDescent="0.2">
      <c r="B149" s="31"/>
      <c r="D149" s="138" t="s">
        <v>289</v>
      </c>
      <c r="F149" s="139" t="s">
        <v>333</v>
      </c>
      <c r="I149" s="140"/>
      <c r="L149" s="31"/>
      <c r="N149" s="213"/>
      <c r="O149" s="214"/>
      <c r="Q149" s="330"/>
      <c r="CT149" s="141"/>
      <c r="DA149" s="50"/>
      <c r="EA149" s="16" t="s">
        <v>289</v>
      </c>
      <c r="EB149" s="16" t="s">
        <v>83</v>
      </c>
    </row>
    <row r="150" spans="2:150" s="12" customFormat="1" x14ac:dyDescent="0.2">
      <c r="B150" s="149"/>
      <c r="D150" s="138" t="s">
        <v>301</v>
      </c>
      <c r="E150" s="150" t="s">
        <v>1</v>
      </c>
      <c r="F150" s="151" t="s">
        <v>738</v>
      </c>
      <c r="H150" s="152">
        <v>240</v>
      </c>
      <c r="I150" s="153"/>
      <c r="L150" s="149"/>
      <c r="N150" s="217"/>
      <c r="O150" s="218"/>
      <c r="Q150" s="332"/>
      <c r="CT150" s="154"/>
      <c r="DA150" s="155"/>
      <c r="EA150" s="150" t="s">
        <v>301</v>
      </c>
      <c r="EB150" s="150" t="s">
        <v>83</v>
      </c>
      <c r="EC150" s="12" t="s">
        <v>83</v>
      </c>
      <c r="ED150" s="12" t="s">
        <v>32</v>
      </c>
      <c r="EE150" s="12" t="s">
        <v>81</v>
      </c>
      <c r="EF150" s="150" t="s">
        <v>282</v>
      </c>
    </row>
    <row r="151" spans="2:150" s="1" customFormat="1" ht="24.2" customHeight="1" x14ac:dyDescent="0.2">
      <c r="B151" s="124"/>
      <c r="C151" s="125" t="s">
        <v>323</v>
      </c>
      <c r="D151" s="125" t="s">
        <v>284</v>
      </c>
      <c r="E151" s="126" t="s">
        <v>336</v>
      </c>
      <c r="F151" s="127" t="s">
        <v>337</v>
      </c>
      <c r="G151" s="128" t="s">
        <v>338</v>
      </c>
      <c r="H151" s="129">
        <v>30</v>
      </c>
      <c r="I151" s="130">
        <v>41.621835247115101</v>
      </c>
      <c r="J151" s="131">
        <f>ROUND(I151*H151,2)</f>
        <v>1248.6600000000001</v>
      </c>
      <c r="K151" s="127" t="s">
        <v>293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30</v>
      </c>
      <c r="Q151" s="268">
        <f>ROUND(P151*I151,2)</f>
        <v>1248.6600000000001</v>
      </c>
      <c r="R151" s="137"/>
      <c r="S151" s="269">
        <f>W151+Y151+AA151+AC151+AE151</f>
        <v>0</v>
      </c>
      <c r="T151" s="269">
        <f>ROUND(S151*I151,2)</f>
        <v>0</v>
      </c>
      <c r="U151" s="269">
        <f>H151-S151</f>
        <v>30</v>
      </c>
      <c r="V151" s="269">
        <f>ROUND(U151*I151,2)</f>
        <v>1248.6600000000001</v>
      </c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CT151" s="132" t="s">
        <v>1</v>
      </c>
      <c r="CU151" s="133" t="s">
        <v>40</v>
      </c>
      <c r="CW151" s="134">
        <f>CV151*H151</f>
        <v>0</v>
      </c>
      <c r="CX151" s="134">
        <v>0</v>
      </c>
      <c r="CY151" s="134">
        <f>CX151*H151</f>
        <v>0</v>
      </c>
      <c r="CZ151" s="134">
        <v>0</v>
      </c>
      <c r="DA151" s="135">
        <f>CZ151*H151</f>
        <v>0</v>
      </c>
      <c r="DY151" s="136" t="s">
        <v>95</v>
      </c>
      <c r="EA151" s="136" t="s">
        <v>284</v>
      </c>
      <c r="EB151" s="136" t="s">
        <v>83</v>
      </c>
      <c r="EF151" s="16" t="s">
        <v>282</v>
      </c>
      <c r="EL151" s="137">
        <f>IF(CU151="základní",J151,0)</f>
        <v>1248.6600000000001</v>
      </c>
      <c r="EM151" s="137">
        <f>IF(CU151="snížená",J151,0)</f>
        <v>0</v>
      </c>
      <c r="EN151" s="137">
        <f>IF(CU151="zákl. přenesená",J151,0)</f>
        <v>0</v>
      </c>
      <c r="EO151" s="137">
        <f>IF(CU151="sníž. přenesená",J151,0)</f>
        <v>0</v>
      </c>
      <c r="EP151" s="137">
        <f>IF(CU151="nulová",J151,0)</f>
        <v>0</v>
      </c>
      <c r="EQ151" s="16" t="s">
        <v>81</v>
      </c>
      <c r="ER151" s="137">
        <f>ROUND(I151*H151,2)</f>
        <v>1248.6600000000001</v>
      </c>
      <c r="ES151" s="16" t="s">
        <v>95</v>
      </c>
      <c r="ET151" s="136" t="s">
        <v>2706</v>
      </c>
    </row>
    <row r="152" spans="2:150" s="1" customFormat="1" ht="19.5" x14ac:dyDescent="0.2">
      <c r="B152" s="31"/>
      <c r="D152" s="138" t="s">
        <v>289</v>
      </c>
      <c r="F152" s="139" t="s">
        <v>340</v>
      </c>
      <c r="I152" s="140"/>
      <c r="L152" s="31"/>
      <c r="N152" s="213"/>
      <c r="O152" s="214"/>
      <c r="Q152" s="330"/>
      <c r="CT152" s="141"/>
      <c r="DA152" s="50"/>
      <c r="EA152" s="16" t="s">
        <v>289</v>
      </c>
      <c r="EB152" s="16" t="s">
        <v>83</v>
      </c>
    </row>
    <row r="153" spans="2:150" s="1" customFormat="1" ht="24.2" customHeight="1" x14ac:dyDescent="0.2">
      <c r="B153" s="124"/>
      <c r="C153" s="125" t="s">
        <v>328</v>
      </c>
      <c r="D153" s="125" t="s">
        <v>284</v>
      </c>
      <c r="E153" s="126" t="s">
        <v>349</v>
      </c>
      <c r="F153" s="127" t="s">
        <v>350</v>
      </c>
      <c r="G153" s="128" t="s">
        <v>344</v>
      </c>
      <c r="H153" s="129">
        <v>0.9</v>
      </c>
      <c r="I153" s="130">
        <v>225.71950862012659</v>
      </c>
      <c r="J153" s="131">
        <f>ROUND(I153*H153,2)</f>
        <v>203.15</v>
      </c>
      <c r="K153" s="127" t="s">
        <v>293</v>
      </c>
      <c r="L153" s="268">
        <f>S153</f>
        <v>0</v>
      </c>
      <c r="M153" s="272">
        <f>ROUND(L153*I153,2)</f>
        <v>0</v>
      </c>
      <c r="N153" s="243"/>
      <c r="O153" s="294">
        <f>ROUND(N153*I153,2)</f>
        <v>0</v>
      </c>
      <c r="P153" s="273">
        <f>H153-L153-N153</f>
        <v>0.9</v>
      </c>
      <c r="Q153" s="268">
        <f>ROUND(P153*I153,2)</f>
        <v>203.15</v>
      </c>
      <c r="R153" s="137"/>
      <c r="S153" s="269">
        <f>W153+Y153+AA153+AC153+AE153</f>
        <v>0</v>
      </c>
      <c r="T153" s="269">
        <f>ROUND(S153*I153,2)</f>
        <v>0</v>
      </c>
      <c r="U153" s="269">
        <f>H153-S153</f>
        <v>0.9</v>
      </c>
      <c r="V153" s="269">
        <f>ROUND(U153*I153,2)</f>
        <v>203.15</v>
      </c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CT153" s="132" t="s">
        <v>1</v>
      </c>
      <c r="CU153" s="133" t="s">
        <v>40</v>
      </c>
      <c r="CW153" s="134">
        <f>CV153*H153</f>
        <v>0</v>
      </c>
      <c r="CX153" s="134">
        <v>3.6900000000000002E-2</v>
      </c>
      <c r="CY153" s="134">
        <f>CX153*H153</f>
        <v>3.3210000000000003E-2</v>
      </c>
      <c r="CZ153" s="134">
        <v>0</v>
      </c>
      <c r="DA153" s="135">
        <f>CZ153*H153</f>
        <v>0</v>
      </c>
      <c r="DY153" s="136" t="s">
        <v>95</v>
      </c>
      <c r="EA153" s="136" t="s">
        <v>284</v>
      </c>
      <c r="EB153" s="136" t="s">
        <v>83</v>
      </c>
      <c r="EF153" s="16" t="s">
        <v>282</v>
      </c>
      <c r="EL153" s="137">
        <f>IF(CU153="základní",J153,0)</f>
        <v>203.15</v>
      </c>
      <c r="EM153" s="137">
        <f>IF(CU153="snížená",J153,0)</f>
        <v>0</v>
      </c>
      <c r="EN153" s="137">
        <f>IF(CU153="zákl. přenesená",J153,0)</f>
        <v>0</v>
      </c>
      <c r="EO153" s="137">
        <f>IF(CU153="sníž. přenesená",J153,0)</f>
        <v>0</v>
      </c>
      <c r="EP153" s="137">
        <f>IF(CU153="nulová",J153,0)</f>
        <v>0</v>
      </c>
      <c r="EQ153" s="16" t="s">
        <v>81</v>
      </c>
      <c r="ER153" s="137">
        <f>ROUND(I153*H153,2)</f>
        <v>203.15</v>
      </c>
      <c r="ES153" s="16" t="s">
        <v>95</v>
      </c>
      <c r="ET153" s="136" t="s">
        <v>2707</v>
      </c>
    </row>
    <row r="154" spans="2:150" s="1" customFormat="1" ht="58.5" x14ac:dyDescent="0.2">
      <c r="B154" s="31"/>
      <c r="D154" s="138" t="s">
        <v>289</v>
      </c>
      <c r="F154" s="139" t="s">
        <v>352</v>
      </c>
      <c r="I154" s="140"/>
      <c r="L154" s="31"/>
      <c r="N154" s="213"/>
      <c r="O154" s="214"/>
      <c r="Q154" s="330"/>
      <c r="CT154" s="141"/>
      <c r="DA154" s="50"/>
      <c r="EA154" s="16" t="s">
        <v>289</v>
      </c>
      <c r="EB154" s="16" t="s">
        <v>83</v>
      </c>
    </row>
    <row r="155" spans="2:150" s="1" customFormat="1" ht="29.25" x14ac:dyDescent="0.2">
      <c r="B155" s="31"/>
      <c r="D155" s="138" t="s">
        <v>299</v>
      </c>
      <c r="F155" s="142" t="s">
        <v>2695</v>
      </c>
      <c r="I155" s="140"/>
      <c r="L155" s="31"/>
      <c r="N155" s="213"/>
      <c r="O155" s="214"/>
      <c r="Q155" s="330"/>
      <c r="CT155" s="141"/>
      <c r="DA155" s="50"/>
      <c r="EA155" s="16" t="s">
        <v>299</v>
      </c>
      <c r="EB155" s="16" t="s">
        <v>83</v>
      </c>
    </row>
    <row r="156" spans="2:150" s="12" customFormat="1" x14ac:dyDescent="0.2">
      <c r="B156" s="149"/>
      <c r="D156" s="138" t="s">
        <v>301</v>
      </c>
      <c r="E156" s="150" t="s">
        <v>1</v>
      </c>
      <c r="F156" s="151" t="s">
        <v>2656</v>
      </c>
      <c r="H156" s="152">
        <v>0.9</v>
      </c>
      <c r="I156" s="153"/>
      <c r="L156" s="149"/>
      <c r="N156" s="217"/>
      <c r="O156" s="218"/>
      <c r="Q156" s="332"/>
      <c r="CT156" s="154"/>
      <c r="DA156" s="155"/>
      <c r="EA156" s="150" t="s">
        <v>301</v>
      </c>
      <c r="EB156" s="150" t="s">
        <v>83</v>
      </c>
      <c r="EC156" s="12" t="s">
        <v>83</v>
      </c>
      <c r="ED156" s="12" t="s">
        <v>32</v>
      </c>
      <c r="EE156" s="12" t="s">
        <v>81</v>
      </c>
      <c r="EF156" s="150" t="s">
        <v>282</v>
      </c>
    </row>
    <row r="157" spans="2:150" s="1" customFormat="1" ht="24.2" customHeight="1" x14ac:dyDescent="0.2">
      <c r="B157" s="124"/>
      <c r="C157" s="125" t="s">
        <v>335</v>
      </c>
      <c r="D157" s="125" t="s">
        <v>284</v>
      </c>
      <c r="E157" s="126" t="s">
        <v>958</v>
      </c>
      <c r="F157" s="127" t="s">
        <v>959</v>
      </c>
      <c r="G157" s="128" t="s">
        <v>287</v>
      </c>
      <c r="H157" s="129">
        <v>86.8</v>
      </c>
      <c r="I157" s="130">
        <v>23.091823190584471</v>
      </c>
      <c r="J157" s="131">
        <f>ROUND(I157*H157,2)</f>
        <v>2004.37</v>
      </c>
      <c r="K157" s="127" t="s">
        <v>293</v>
      </c>
      <c r="L157" s="268">
        <f>S157</f>
        <v>0</v>
      </c>
      <c r="M157" s="272">
        <f>ROUND(L157*I157,2)</f>
        <v>0</v>
      </c>
      <c r="N157" s="243">
        <f>N164</f>
        <v>-39.869999999999997</v>
      </c>
      <c r="O157" s="294">
        <f>ROUND(N157*I157,2)</f>
        <v>-920.67</v>
      </c>
      <c r="P157" s="273">
        <f>H157-L157-N157</f>
        <v>126.66999999999999</v>
      </c>
      <c r="Q157" s="268">
        <f>ROUND(P157*I157,2)</f>
        <v>2925.04</v>
      </c>
      <c r="R157" s="137"/>
      <c r="S157" s="269">
        <f>W157+Y157+AA157+AC157+AE157</f>
        <v>0</v>
      </c>
      <c r="T157" s="269">
        <f>ROUND(S157*I157,2)</f>
        <v>0</v>
      </c>
      <c r="U157" s="269">
        <f>H157-S157</f>
        <v>86.8</v>
      </c>
      <c r="V157" s="269">
        <f>ROUND(U157*I157,2)</f>
        <v>2004.37</v>
      </c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CT157" s="132" t="s">
        <v>1</v>
      </c>
      <c r="CU157" s="133" t="s">
        <v>40</v>
      </c>
      <c r="CW157" s="134">
        <f>CV157*H157</f>
        <v>0</v>
      </c>
      <c r="CX157" s="134">
        <v>0</v>
      </c>
      <c r="CY157" s="134">
        <f>CX157*H157</f>
        <v>0</v>
      </c>
      <c r="CZ157" s="134">
        <v>0</v>
      </c>
      <c r="DA157" s="135">
        <f>CZ157*H157</f>
        <v>0</v>
      </c>
      <c r="DY157" s="136" t="s">
        <v>95</v>
      </c>
      <c r="EA157" s="136" t="s">
        <v>284</v>
      </c>
      <c r="EB157" s="136" t="s">
        <v>83</v>
      </c>
      <c r="EF157" s="16" t="s">
        <v>282</v>
      </c>
      <c r="EL157" s="137">
        <f>IF(CU157="základní",J157,0)</f>
        <v>2004.37</v>
      </c>
      <c r="EM157" s="137">
        <f>IF(CU157="snížená",J157,0)</f>
        <v>0</v>
      </c>
      <c r="EN157" s="137">
        <f>IF(CU157="zákl. přenesená",J157,0)</f>
        <v>0</v>
      </c>
      <c r="EO157" s="137">
        <f>IF(CU157="sníž. přenesená",J157,0)</f>
        <v>0</v>
      </c>
      <c r="EP157" s="137">
        <f>IF(CU157="nulová",J157,0)</f>
        <v>0</v>
      </c>
      <c r="EQ157" s="16" t="s">
        <v>81</v>
      </c>
      <c r="ER157" s="137">
        <f>ROUND(I157*H157,2)</f>
        <v>2004.37</v>
      </c>
      <c r="ES157" s="16" t="s">
        <v>95</v>
      </c>
      <c r="ET157" s="136" t="s">
        <v>2708</v>
      </c>
    </row>
    <row r="158" spans="2:150" s="1" customFormat="1" ht="19.5" x14ac:dyDescent="0.2">
      <c r="B158" s="31"/>
      <c r="D158" s="138" t="s">
        <v>289</v>
      </c>
      <c r="F158" s="139" t="s">
        <v>961</v>
      </c>
      <c r="I158" s="140"/>
      <c r="L158" s="31"/>
      <c r="N158" s="213"/>
      <c r="O158" s="214"/>
      <c r="Q158" s="330"/>
      <c r="CT158" s="141"/>
      <c r="DA158" s="50"/>
      <c r="EA158" s="16" t="s">
        <v>289</v>
      </c>
      <c r="EB158" s="16" t="s">
        <v>83</v>
      </c>
    </row>
    <row r="159" spans="2:150" s="1" customFormat="1" ht="29.25" x14ac:dyDescent="0.2">
      <c r="B159" s="31"/>
      <c r="D159" s="138" t="s">
        <v>299</v>
      </c>
      <c r="F159" s="142" t="s">
        <v>2695</v>
      </c>
      <c r="I159" s="140"/>
      <c r="L159" s="31"/>
      <c r="N159" s="213"/>
      <c r="O159" s="214"/>
      <c r="Q159" s="330"/>
      <c r="CT159" s="141"/>
      <c r="DA159" s="50"/>
      <c r="EA159" s="16" t="s">
        <v>299</v>
      </c>
      <c r="EB159" s="16" t="s">
        <v>83</v>
      </c>
    </row>
    <row r="160" spans="2:150" s="11" customFormat="1" x14ac:dyDescent="0.2">
      <c r="B160" s="143"/>
      <c r="D160" s="138" t="s">
        <v>301</v>
      </c>
      <c r="E160" s="144" t="s">
        <v>1</v>
      </c>
      <c r="F160" s="145" t="s">
        <v>962</v>
      </c>
      <c r="H160" s="144" t="s">
        <v>1</v>
      </c>
      <c r="I160" s="146"/>
      <c r="L160" s="143"/>
      <c r="N160" s="215"/>
      <c r="O160" s="216"/>
      <c r="Q160" s="331"/>
      <c r="CT160" s="147"/>
      <c r="DA160" s="148"/>
      <c r="EA160" s="144" t="s">
        <v>301</v>
      </c>
      <c r="EB160" s="144" t="s">
        <v>83</v>
      </c>
      <c r="EC160" s="11" t="s">
        <v>81</v>
      </c>
      <c r="ED160" s="11" t="s">
        <v>32</v>
      </c>
      <c r="EE160" s="11" t="s">
        <v>74</v>
      </c>
      <c r="EF160" s="144" t="s">
        <v>282</v>
      </c>
    </row>
    <row r="161" spans="2:150" s="12" customFormat="1" x14ac:dyDescent="0.2">
      <c r="B161" s="149"/>
      <c r="D161" s="138" t="s">
        <v>301</v>
      </c>
      <c r="E161" s="150" t="s">
        <v>1</v>
      </c>
      <c r="F161" s="151" t="s">
        <v>2709</v>
      </c>
      <c r="H161" s="152">
        <v>70.8</v>
      </c>
      <c r="I161" s="153"/>
      <c r="L161" s="149"/>
      <c r="N161" s="217">
        <f>10.31*3</f>
        <v>30.93</v>
      </c>
      <c r="O161" s="218" t="s">
        <v>3837</v>
      </c>
      <c r="Q161" s="332"/>
      <c r="CT161" s="154"/>
      <c r="DA161" s="155"/>
      <c r="EA161" s="150" t="s">
        <v>301</v>
      </c>
      <c r="EB161" s="150" t="s">
        <v>83</v>
      </c>
      <c r="EC161" s="12" t="s">
        <v>83</v>
      </c>
      <c r="ED161" s="12" t="s">
        <v>32</v>
      </c>
      <c r="EE161" s="12" t="s">
        <v>74</v>
      </c>
      <c r="EF161" s="150" t="s">
        <v>282</v>
      </c>
    </row>
    <row r="162" spans="2:150" s="12" customFormat="1" x14ac:dyDescent="0.2">
      <c r="B162" s="149"/>
      <c r="D162" s="138" t="s">
        <v>301</v>
      </c>
      <c r="E162" s="150" t="s">
        <v>1</v>
      </c>
      <c r="F162" s="151" t="s">
        <v>2710</v>
      </c>
      <c r="H162" s="152">
        <v>16</v>
      </c>
      <c r="I162" s="153"/>
      <c r="L162" s="149"/>
      <c r="N162" s="217">
        <v>16</v>
      </c>
      <c r="O162" s="218"/>
      <c r="Q162" s="332"/>
      <c r="CT162" s="154"/>
      <c r="DA162" s="155"/>
      <c r="EA162" s="150" t="s">
        <v>301</v>
      </c>
      <c r="EB162" s="150" t="s">
        <v>83</v>
      </c>
      <c r="EC162" s="12" t="s">
        <v>83</v>
      </c>
      <c r="ED162" s="12" t="s">
        <v>32</v>
      </c>
      <c r="EE162" s="12" t="s">
        <v>74</v>
      </c>
      <c r="EF162" s="150" t="s">
        <v>282</v>
      </c>
    </row>
    <row r="163" spans="2:150" s="13" customFormat="1" x14ac:dyDescent="0.2">
      <c r="B163" s="156"/>
      <c r="D163" s="138" t="s">
        <v>301</v>
      </c>
      <c r="E163" s="157" t="s">
        <v>1</v>
      </c>
      <c r="F163" s="158" t="s">
        <v>305</v>
      </c>
      <c r="H163" s="159">
        <v>86.8</v>
      </c>
      <c r="I163" s="160"/>
      <c r="L163" s="156"/>
      <c r="N163" s="219">
        <f>N161+N162</f>
        <v>46.93</v>
      </c>
      <c r="O163" s="220"/>
      <c r="Q163" s="334"/>
      <c r="CT163" s="161"/>
      <c r="DA163" s="162"/>
      <c r="EA163" s="157" t="s">
        <v>301</v>
      </c>
      <c r="EB163" s="157" t="s">
        <v>83</v>
      </c>
      <c r="EC163" s="13" t="s">
        <v>95</v>
      </c>
      <c r="ED163" s="13" t="s">
        <v>32</v>
      </c>
      <c r="EE163" s="13" t="s">
        <v>81</v>
      </c>
      <c r="EF163" s="157" t="s">
        <v>282</v>
      </c>
    </row>
    <row r="164" spans="2:150" s="13" customFormat="1" x14ac:dyDescent="0.2">
      <c r="B164" s="156"/>
      <c r="D164" s="138"/>
      <c r="E164" s="157"/>
      <c r="F164" s="158"/>
      <c r="H164" s="159"/>
      <c r="I164" s="160"/>
      <c r="L164" s="156"/>
      <c r="N164" s="311">
        <f>N163-H163</f>
        <v>-39.869999999999997</v>
      </c>
      <c r="O164" s="220"/>
      <c r="Q164" s="334"/>
      <c r="CT164" s="161"/>
      <c r="DA164" s="162"/>
      <c r="EA164" s="157"/>
      <c r="EB164" s="157"/>
      <c r="EF164" s="157"/>
    </row>
    <row r="165" spans="2:150" s="1" customFormat="1" ht="24.2" customHeight="1" x14ac:dyDescent="0.2">
      <c r="B165" s="124"/>
      <c r="C165" s="125" t="s">
        <v>341</v>
      </c>
      <c r="D165" s="125" t="s">
        <v>284</v>
      </c>
      <c r="E165" s="126" t="s">
        <v>2711</v>
      </c>
      <c r="F165" s="127" t="s">
        <v>2712</v>
      </c>
      <c r="G165" s="128" t="s">
        <v>366</v>
      </c>
      <c r="H165" s="129">
        <v>6.5629999999999997</v>
      </c>
      <c r="I165" s="130">
        <v>884.62711609355597</v>
      </c>
      <c r="J165" s="131">
        <f>ROUND(I165*H165,2)</f>
        <v>5805.81</v>
      </c>
      <c r="K165" s="127" t="s">
        <v>293</v>
      </c>
      <c r="L165" s="268">
        <f>S165</f>
        <v>0</v>
      </c>
      <c r="M165" s="272">
        <f>ROUND(L165*I165,2)</f>
        <v>0</v>
      </c>
      <c r="N165" s="243"/>
      <c r="O165" s="294">
        <f>ROUND(N165*I165,2)</f>
        <v>0</v>
      </c>
      <c r="P165" s="273">
        <f>H165-L165-N165</f>
        <v>6.5629999999999997</v>
      </c>
      <c r="Q165" s="268">
        <f>ROUND(P165*I165,2)</f>
        <v>5805.81</v>
      </c>
      <c r="R165" s="137"/>
      <c r="S165" s="269">
        <f>W165+Y165+AA165+AC165+AE165</f>
        <v>0</v>
      </c>
      <c r="T165" s="269">
        <f>ROUND(S165*I165,2)</f>
        <v>0</v>
      </c>
      <c r="U165" s="269">
        <f>H165-S165</f>
        <v>6.5629999999999997</v>
      </c>
      <c r="V165" s="269">
        <f>ROUND(U165*I165,2)</f>
        <v>5805.81</v>
      </c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CT165" s="132" t="s">
        <v>1</v>
      </c>
      <c r="CU165" s="133" t="s">
        <v>40</v>
      </c>
      <c r="CW165" s="134">
        <f>CV165*H165</f>
        <v>0</v>
      </c>
      <c r="CX165" s="134">
        <v>0</v>
      </c>
      <c r="CY165" s="134">
        <f>CX165*H165</f>
        <v>0</v>
      </c>
      <c r="CZ165" s="134">
        <v>0</v>
      </c>
      <c r="DA165" s="135">
        <f>CZ165*H165</f>
        <v>0</v>
      </c>
      <c r="DY165" s="136" t="s">
        <v>95</v>
      </c>
      <c r="EA165" s="136" t="s">
        <v>284</v>
      </c>
      <c r="EB165" s="136" t="s">
        <v>83</v>
      </c>
      <c r="EF165" s="16" t="s">
        <v>282</v>
      </c>
      <c r="EL165" s="137">
        <f>IF(CU165="základní",J165,0)</f>
        <v>5805.81</v>
      </c>
      <c r="EM165" s="137">
        <f>IF(CU165="snížená",J165,0)</f>
        <v>0</v>
      </c>
      <c r="EN165" s="137">
        <f>IF(CU165="zákl. přenesená",J165,0)</f>
        <v>0</v>
      </c>
      <c r="EO165" s="137">
        <f>IF(CU165="sníž. přenesená",J165,0)</f>
        <v>0</v>
      </c>
      <c r="EP165" s="137">
        <f>IF(CU165="nulová",J165,0)</f>
        <v>0</v>
      </c>
      <c r="EQ165" s="16" t="s">
        <v>81</v>
      </c>
      <c r="ER165" s="137">
        <f>ROUND(I165*H165,2)</f>
        <v>5805.81</v>
      </c>
      <c r="ES165" s="16" t="s">
        <v>95</v>
      </c>
      <c r="ET165" s="136" t="s">
        <v>2713</v>
      </c>
    </row>
    <row r="166" spans="2:150" s="1" customFormat="1" ht="29.25" x14ac:dyDescent="0.2">
      <c r="B166" s="31"/>
      <c r="D166" s="138" t="s">
        <v>289</v>
      </c>
      <c r="F166" s="139" t="s">
        <v>2714</v>
      </c>
      <c r="I166" s="140"/>
      <c r="L166" s="31"/>
      <c r="N166" s="213"/>
      <c r="O166" s="214"/>
      <c r="Q166" s="330"/>
      <c r="CT166" s="141"/>
      <c r="DA166" s="50"/>
      <c r="EA166" s="16" t="s">
        <v>289</v>
      </c>
      <c r="EB166" s="16" t="s">
        <v>83</v>
      </c>
    </row>
    <row r="167" spans="2:150" s="1" customFormat="1" ht="39" x14ac:dyDescent="0.2">
      <c r="B167" s="31"/>
      <c r="D167" s="138" t="s">
        <v>299</v>
      </c>
      <c r="F167" s="142" t="s">
        <v>2715</v>
      </c>
      <c r="I167" s="140"/>
      <c r="L167" s="31"/>
      <c r="N167" s="213"/>
      <c r="O167" s="214"/>
      <c r="Q167" s="330"/>
      <c r="CT167" s="141"/>
      <c r="DA167" s="50"/>
      <c r="EA167" s="16" t="s">
        <v>299</v>
      </c>
      <c r="EB167" s="16" t="s">
        <v>83</v>
      </c>
    </row>
    <row r="168" spans="2:150" s="11" customFormat="1" x14ac:dyDescent="0.2">
      <c r="B168" s="143"/>
      <c r="D168" s="138" t="s">
        <v>301</v>
      </c>
      <c r="E168" s="144" t="s">
        <v>1</v>
      </c>
      <c r="F168" s="145" t="s">
        <v>2716</v>
      </c>
      <c r="H168" s="144" t="s">
        <v>1</v>
      </c>
      <c r="I168" s="146"/>
      <c r="L168" s="143"/>
      <c r="N168" s="215"/>
      <c r="O168" s="216"/>
      <c r="Q168" s="331"/>
      <c r="CT168" s="147"/>
      <c r="DA168" s="148"/>
      <c r="EA168" s="144" t="s">
        <v>301</v>
      </c>
      <c r="EB168" s="144" t="s">
        <v>83</v>
      </c>
      <c r="EC168" s="11" t="s">
        <v>81</v>
      </c>
      <c r="ED168" s="11" t="s">
        <v>32</v>
      </c>
      <c r="EE168" s="11" t="s">
        <v>74</v>
      </c>
      <c r="EF168" s="144" t="s">
        <v>282</v>
      </c>
    </row>
    <row r="169" spans="2:150" s="12" customFormat="1" x14ac:dyDescent="0.2">
      <c r="B169" s="149"/>
      <c r="D169" s="138" t="s">
        <v>301</v>
      </c>
      <c r="E169" s="150" t="s">
        <v>1</v>
      </c>
      <c r="F169" s="151" t="s">
        <v>2717</v>
      </c>
      <c r="H169" s="152">
        <v>13.125</v>
      </c>
      <c r="I169" s="153"/>
      <c r="L169" s="149"/>
      <c r="N169" s="217"/>
      <c r="O169" s="218"/>
      <c r="Q169" s="332"/>
      <c r="CT169" s="154"/>
      <c r="DA169" s="155"/>
      <c r="EA169" s="150" t="s">
        <v>301</v>
      </c>
      <c r="EB169" s="150" t="s">
        <v>83</v>
      </c>
      <c r="EC169" s="12" t="s">
        <v>83</v>
      </c>
      <c r="ED169" s="12" t="s">
        <v>32</v>
      </c>
      <c r="EE169" s="12" t="s">
        <v>74</v>
      </c>
      <c r="EF169" s="150" t="s">
        <v>282</v>
      </c>
    </row>
    <row r="170" spans="2:150" s="14" customFormat="1" x14ac:dyDescent="0.2">
      <c r="B170" s="163"/>
      <c r="D170" s="138" t="s">
        <v>301</v>
      </c>
      <c r="E170" s="164" t="s">
        <v>1</v>
      </c>
      <c r="F170" s="165" t="s">
        <v>373</v>
      </c>
      <c r="H170" s="166">
        <v>13.125</v>
      </c>
      <c r="I170" s="167"/>
      <c r="L170" s="163"/>
      <c r="N170" s="221"/>
      <c r="O170" s="222"/>
      <c r="Q170" s="333"/>
      <c r="CT170" s="168"/>
      <c r="DA170" s="169"/>
      <c r="EA170" s="164" t="s">
        <v>301</v>
      </c>
      <c r="EB170" s="164" t="s">
        <v>83</v>
      </c>
      <c r="EC170" s="14" t="s">
        <v>90</v>
      </c>
      <c r="ED170" s="14" t="s">
        <v>32</v>
      </c>
      <c r="EE170" s="14" t="s">
        <v>74</v>
      </c>
      <c r="EF170" s="164" t="s">
        <v>282</v>
      </c>
    </row>
    <row r="171" spans="2:150" s="12" customFormat="1" x14ac:dyDescent="0.2">
      <c r="B171" s="149"/>
      <c r="D171" s="138" t="s">
        <v>301</v>
      </c>
      <c r="E171" s="150" t="s">
        <v>1</v>
      </c>
      <c r="F171" s="151" t="s">
        <v>2718</v>
      </c>
      <c r="H171" s="152">
        <v>6.5629999999999997</v>
      </c>
      <c r="I171" s="153"/>
      <c r="L171" s="149"/>
      <c r="N171" s="217"/>
      <c r="O171" s="218"/>
      <c r="Q171" s="332"/>
      <c r="CT171" s="154"/>
      <c r="DA171" s="155"/>
      <c r="EA171" s="150" t="s">
        <v>301</v>
      </c>
      <c r="EB171" s="150" t="s">
        <v>83</v>
      </c>
      <c r="EC171" s="12" t="s">
        <v>83</v>
      </c>
      <c r="ED171" s="12" t="s">
        <v>32</v>
      </c>
      <c r="EE171" s="12" t="s">
        <v>81</v>
      </c>
      <c r="EF171" s="150" t="s">
        <v>282</v>
      </c>
    </row>
    <row r="172" spans="2:150" s="1" customFormat="1" ht="24.2" customHeight="1" x14ac:dyDescent="0.2">
      <c r="B172" s="124"/>
      <c r="C172" s="125" t="s">
        <v>348</v>
      </c>
      <c r="D172" s="125" t="s">
        <v>284</v>
      </c>
      <c r="E172" s="126" t="s">
        <v>2719</v>
      </c>
      <c r="F172" s="127" t="s">
        <v>2720</v>
      </c>
      <c r="G172" s="128" t="s">
        <v>366</v>
      </c>
      <c r="H172" s="129">
        <v>6.5629999999999997</v>
      </c>
      <c r="I172" s="130">
        <v>1145.8784390512001</v>
      </c>
      <c r="J172" s="131">
        <f>ROUND(I172*H172,2)</f>
        <v>7520.4</v>
      </c>
      <c r="K172" s="127" t="s">
        <v>293</v>
      </c>
      <c r="L172" s="268">
        <f>S172</f>
        <v>0</v>
      </c>
      <c r="M172" s="272">
        <f>ROUND(L172*I172,2)</f>
        <v>0</v>
      </c>
      <c r="N172" s="243"/>
      <c r="O172" s="294">
        <f>ROUND(N172*I172,2)</f>
        <v>0</v>
      </c>
      <c r="P172" s="273">
        <f>H172-L172-N172</f>
        <v>6.5629999999999997</v>
      </c>
      <c r="Q172" s="268">
        <f>ROUND(P172*I172,2)</f>
        <v>7520.4</v>
      </c>
      <c r="R172" s="137"/>
      <c r="S172" s="269">
        <f>W172+Y172+AA172+AC172+AE172</f>
        <v>0</v>
      </c>
      <c r="T172" s="269">
        <f>ROUND(S172*I172,2)</f>
        <v>0</v>
      </c>
      <c r="U172" s="269">
        <f>H172-S172</f>
        <v>6.5629999999999997</v>
      </c>
      <c r="V172" s="269">
        <f>ROUND(U172*I172,2)</f>
        <v>7520.4</v>
      </c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CT172" s="132" t="s">
        <v>1</v>
      </c>
      <c r="CU172" s="133" t="s">
        <v>40</v>
      </c>
      <c r="CW172" s="134">
        <f>CV172*H172</f>
        <v>0</v>
      </c>
      <c r="CX172" s="134">
        <v>0</v>
      </c>
      <c r="CY172" s="134">
        <f>CX172*H172</f>
        <v>0</v>
      </c>
      <c r="CZ172" s="134">
        <v>0</v>
      </c>
      <c r="DA172" s="135">
        <f>CZ172*H172</f>
        <v>0</v>
      </c>
      <c r="DY172" s="136" t="s">
        <v>95</v>
      </c>
      <c r="EA172" s="136" t="s">
        <v>284</v>
      </c>
      <c r="EB172" s="136" t="s">
        <v>83</v>
      </c>
      <c r="EF172" s="16" t="s">
        <v>282</v>
      </c>
      <c r="EL172" s="137">
        <f>IF(CU172="základní",J172,0)</f>
        <v>7520.4</v>
      </c>
      <c r="EM172" s="137">
        <f>IF(CU172="snížená",J172,0)</f>
        <v>0</v>
      </c>
      <c r="EN172" s="137">
        <f>IF(CU172="zákl. přenesená",J172,0)</f>
        <v>0</v>
      </c>
      <c r="EO172" s="137">
        <f>IF(CU172="sníž. přenesená",J172,0)</f>
        <v>0</v>
      </c>
      <c r="EP172" s="137">
        <f>IF(CU172="nulová",J172,0)</f>
        <v>0</v>
      </c>
      <c r="EQ172" s="16" t="s">
        <v>81</v>
      </c>
      <c r="ER172" s="137">
        <f>ROUND(I172*H172,2)</f>
        <v>7520.4</v>
      </c>
      <c r="ES172" s="16" t="s">
        <v>95</v>
      </c>
      <c r="ET172" s="136" t="s">
        <v>2721</v>
      </c>
    </row>
    <row r="173" spans="2:150" s="1" customFormat="1" ht="29.25" x14ac:dyDescent="0.2">
      <c r="B173" s="31"/>
      <c r="D173" s="138" t="s">
        <v>289</v>
      </c>
      <c r="F173" s="139" t="s">
        <v>2722</v>
      </c>
      <c r="I173" s="140"/>
      <c r="L173" s="31"/>
      <c r="N173" s="213"/>
      <c r="O173" s="214"/>
      <c r="Q173" s="330"/>
      <c r="CT173" s="141"/>
      <c r="DA173" s="50"/>
      <c r="EA173" s="16" t="s">
        <v>289</v>
      </c>
      <c r="EB173" s="16" t="s">
        <v>83</v>
      </c>
    </row>
    <row r="174" spans="2:150" s="1" customFormat="1" ht="39" x14ac:dyDescent="0.2">
      <c r="B174" s="31"/>
      <c r="D174" s="138" t="s">
        <v>299</v>
      </c>
      <c r="F174" s="142" t="s">
        <v>2715</v>
      </c>
      <c r="I174" s="140"/>
      <c r="L174" s="31"/>
      <c r="N174" s="213"/>
      <c r="O174" s="214"/>
      <c r="Q174" s="330"/>
      <c r="CT174" s="141"/>
      <c r="DA174" s="50"/>
      <c r="EA174" s="16" t="s">
        <v>299</v>
      </c>
      <c r="EB174" s="16" t="s">
        <v>83</v>
      </c>
    </row>
    <row r="175" spans="2:150" s="1" customFormat="1" ht="24.2" customHeight="1" x14ac:dyDescent="0.2">
      <c r="B175" s="124"/>
      <c r="C175" s="125" t="s">
        <v>327</v>
      </c>
      <c r="D175" s="125" t="s">
        <v>284</v>
      </c>
      <c r="E175" s="126" t="s">
        <v>364</v>
      </c>
      <c r="F175" s="127" t="s">
        <v>365</v>
      </c>
      <c r="G175" s="128" t="s">
        <v>366</v>
      </c>
      <c r="H175" s="129">
        <v>71.251000000000005</v>
      </c>
      <c r="I175" s="130">
        <v>725.20194245795506</v>
      </c>
      <c r="J175" s="131">
        <f>ROUND(I175*H175,2)</f>
        <v>51671.360000000001</v>
      </c>
      <c r="K175" s="127" t="s">
        <v>293</v>
      </c>
      <c r="L175" s="268">
        <f>S175</f>
        <v>0</v>
      </c>
      <c r="M175" s="272">
        <f>ROUND(L175*I175,2)</f>
        <v>0</v>
      </c>
      <c r="N175" s="243">
        <f>N184</f>
        <v>-13.442199999999993</v>
      </c>
      <c r="O175" s="294">
        <f>ROUND(N175*I175,2)</f>
        <v>-9748.31</v>
      </c>
      <c r="P175" s="273">
        <f>H175-L175-N175</f>
        <v>84.69319999999999</v>
      </c>
      <c r="Q175" s="268">
        <f>ROUND(P175*I175,2)</f>
        <v>61419.67</v>
      </c>
      <c r="R175" s="137"/>
      <c r="S175" s="269">
        <f>W175+Y175+AA175+AC175+AE175</f>
        <v>0</v>
      </c>
      <c r="T175" s="269">
        <f>ROUND(S175*I175,2)</f>
        <v>0</v>
      </c>
      <c r="U175" s="269">
        <f>H175-S175</f>
        <v>71.251000000000005</v>
      </c>
      <c r="V175" s="269">
        <f>ROUND(U175*I175,2)</f>
        <v>51671.360000000001</v>
      </c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CT175" s="132" t="s">
        <v>1</v>
      </c>
      <c r="CU175" s="133" t="s">
        <v>40</v>
      </c>
      <c r="CW175" s="134">
        <f>CV175*H175</f>
        <v>0</v>
      </c>
      <c r="CX175" s="134">
        <v>0</v>
      </c>
      <c r="CY175" s="134">
        <f>CX175*H175</f>
        <v>0</v>
      </c>
      <c r="CZ175" s="134">
        <v>0</v>
      </c>
      <c r="DA175" s="135">
        <f>CZ175*H175</f>
        <v>0</v>
      </c>
      <c r="DY175" s="136" t="s">
        <v>95</v>
      </c>
      <c r="EA175" s="136" t="s">
        <v>284</v>
      </c>
      <c r="EB175" s="136" t="s">
        <v>83</v>
      </c>
      <c r="EF175" s="16" t="s">
        <v>282</v>
      </c>
      <c r="EL175" s="137">
        <f>IF(CU175="základní",J175,0)</f>
        <v>51671.360000000001</v>
      </c>
      <c r="EM175" s="137">
        <f>IF(CU175="snížená",J175,0)</f>
        <v>0</v>
      </c>
      <c r="EN175" s="137">
        <f>IF(CU175="zákl. přenesená",J175,0)</f>
        <v>0</v>
      </c>
      <c r="EO175" s="137">
        <f>IF(CU175="sníž. přenesená",J175,0)</f>
        <v>0</v>
      </c>
      <c r="EP175" s="137">
        <f>IF(CU175="nulová",J175,0)</f>
        <v>0</v>
      </c>
      <c r="EQ175" s="16" t="s">
        <v>81</v>
      </c>
      <c r="ER175" s="137">
        <f>ROUND(I175*H175,2)</f>
        <v>51671.360000000001</v>
      </c>
      <c r="ES175" s="16" t="s">
        <v>95</v>
      </c>
      <c r="ET175" s="136" t="s">
        <v>2723</v>
      </c>
    </row>
    <row r="176" spans="2:150" s="1" customFormat="1" ht="39" x14ac:dyDescent="0.2">
      <c r="B176" s="31"/>
      <c r="D176" s="138" t="s">
        <v>289</v>
      </c>
      <c r="F176" s="139" t="s">
        <v>368</v>
      </c>
      <c r="I176" s="140"/>
      <c r="L176" s="31"/>
      <c r="N176" s="213"/>
      <c r="O176" s="214"/>
      <c r="Q176" s="330"/>
      <c r="CT176" s="141"/>
      <c r="DA176" s="50"/>
      <c r="EA176" s="16" t="s">
        <v>289</v>
      </c>
      <c r="EB176" s="16" t="s">
        <v>83</v>
      </c>
    </row>
    <row r="177" spans="2:150" s="1" customFormat="1" ht="39" x14ac:dyDescent="0.2">
      <c r="B177" s="31"/>
      <c r="D177" s="138" t="s">
        <v>299</v>
      </c>
      <c r="F177" s="142" t="s">
        <v>2715</v>
      </c>
      <c r="I177" s="140"/>
      <c r="L177" s="31"/>
      <c r="N177" s="213"/>
      <c r="O177" s="214"/>
      <c r="Q177" s="330"/>
      <c r="CT177" s="141"/>
      <c r="DA177" s="50"/>
      <c r="EA177" s="16" t="s">
        <v>299</v>
      </c>
      <c r="EB177" s="16" t="s">
        <v>83</v>
      </c>
    </row>
    <row r="178" spans="2:150" s="11" customFormat="1" ht="22.5" x14ac:dyDescent="0.2">
      <c r="B178" s="143"/>
      <c r="D178" s="138" t="s">
        <v>301</v>
      </c>
      <c r="E178" s="144" t="s">
        <v>1</v>
      </c>
      <c r="F178" s="145" t="s">
        <v>370</v>
      </c>
      <c r="H178" s="144" t="s">
        <v>1</v>
      </c>
      <c r="I178" s="146"/>
      <c r="L178" s="143"/>
      <c r="N178" s="215"/>
      <c r="O178" s="216"/>
      <c r="Q178" s="331"/>
      <c r="CT178" s="147"/>
      <c r="DA178" s="148"/>
      <c r="EA178" s="144" t="s">
        <v>301</v>
      </c>
      <c r="EB178" s="144" t="s">
        <v>83</v>
      </c>
      <c r="EC178" s="11" t="s">
        <v>81</v>
      </c>
      <c r="ED178" s="11" t="s">
        <v>32</v>
      </c>
      <c r="EE178" s="11" t="s">
        <v>74</v>
      </c>
      <c r="EF178" s="144" t="s">
        <v>282</v>
      </c>
    </row>
    <row r="179" spans="2:150" s="12" customFormat="1" x14ac:dyDescent="0.2">
      <c r="B179" s="149"/>
      <c r="D179" s="138" t="s">
        <v>301</v>
      </c>
      <c r="E179" s="150" t="s">
        <v>1</v>
      </c>
      <c r="F179" s="151" t="s">
        <v>2724</v>
      </c>
      <c r="H179" s="152">
        <v>110.642</v>
      </c>
      <c r="I179" s="153"/>
      <c r="L179" s="149"/>
      <c r="N179" s="217">
        <f>98.26*0.9*(1.6-0.45)</f>
        <v>101.69910000000003</v>
      </c>
      <c r="O179" s="218" t="s">
        <v>3831</v>
      </c>
      <c r="Q179" s="332"/>
      <c r="CT179" s="154"/>
      <c r="DA179" s="155"/>
      <c r="EA179" s="150" t="s">
        <v>301</v>
      </c>
      <c r="EB179" s="150" t="s">
        <v>83</v>
      </c>
      <c r="EC179" s="12" t="s">
        <v>83</v>
      </c>
      <c r="ED179" s="12" t="s">
        <v>32</v>
      </c>
      <c r="EE179" s="12" t="s">
        <v>74</v>
      </c>
      <c r="EF179" s="150" t="s">
        <v>282</v>
      </c>
    </row>
    <row r="180" spans="2:150" s="11" customFormat="1" x14ac:dyDescent="0.2">
      <c r="B180" s="143"/>
      <c r="D180" s="138" t="s">
        <v>301</v>
      </c>
      <c r="E180" s="144" t="s">
        <v>1</v>
      </c>
      <c r="F180" s="145" t="s">
        <v>2725</v>
      </c>
      <c r="H180" s="144" t="s">
        <v>1</v>
      </c>
      <c r="I180" s="146"/>
      <c r="L180" s="143"/>
      <c r="N180" s="215"/>
      <c r="O180" s="216"/>
      <c r="Q180" s="331"/>
      <c r="CT180" s="147"/>
      <c r="DA180" s="148"/>
      <c r="EA180" s="144" t="s">
        <v>301</v>
      </c>
      <c r="EB180" s="144" t="s">
        <v>83</v>
      </c>
      <c r="EC180" s="11" t="s">
        <v>81</v>
      </c>
      <c r="ED180" s="11" t="s">
        <v>32</v>
      </c>
      <c r="EE180" s="11" t="s">
        <v>74</v>
      </c>
      <c r="EF180" s="144" t="s">
        <v>282</v>
      </c>
    </row>
    <row r="181" spans="2:150" s="12" customFormat="1" x14ac:dyDescent="0.2">
      <c r="B181" s="149"/>
      <c r="D181" s="138" t="s">
        <v>301</v>
      </c>
      <c r="E181" s="150" t="s">
        <v>1</v>
      </c>
      <c r="F181" s="151" t="s">
        <v>2726</v>
      </c>
      <c r="H181" s="152">
        <v>31.86</v>
      </c>
      <c r="I181" s="153"/>
      <c r="L181" s="149"/>
      <c r="N181" s="217">
        <f>10.31*0.9*(1.6-0.1)</f>
        <v>13.9185</v>
      </c>
      <c r="O181" s="218" t="s">
        <v>3832</v>
      </c>
      <c r="Q181" s="332"/>
      <c r="CT181" s="154"/>
      <c r="DA181" s="155"/>
      <c r="EA181" s="150" t="s">
        <v>301</v>
      </c>
      <c r="EB181" s="150" t="s">
        <v>83</v>
      </c>
      <c r="EC181" s="12" t="s">
        <v>83</v>
      </c>
      <c r="ED181" s="12" t="s">
        <v>32</v>
      </c>
      <c r="EE181" s="12" t="s">
        <v>74</v>
      </c>
      <c r="EF181" s="150" t="s">
        <v>282</v>
      </c>
    </row>
    <row r="182" spans="2:150" s="14" customFormat="1" x14ac:dyDescent="0.2">
      <c r="B182" s="163"/>
      <c r="D182" s="138" t="s">
        <v>301</v>
      </c>
      <c r="E182" s="164" t="s">
        <v>1</v>
      </c>
      <c r="F182" s="165" t="s">
        <v>373</v>
      </c>
      <c r="H182" s="166">
        <v>142.50200000000001</v>
      </c>
      <c r="I182" s="167"/>
      <c r="L182" s="163"/>
      <c r="N182" s="221">
        <f>N179+N181</f>
        <v>115.61760000000002</v>
      </c>
      <c r="O182" s="222"/>
      <c r="Q182" s="333"/>
      <c r="CT182" s="168"/>
      <c r="DA182" s="169"/>
      <c r="EA182" s="164" t="s">
        <v>301</v>
      </c>
      <c r="EB182" s="164" t="s">
        <v>83</v>
      </c>
      <c r="EC182" s="14" t="s">
        <v>90</v>
      </c>
      <c r="ED182" s="14" t="s">
        <v>32</v>
      </c>
      <c r="EE182" s="14" t="s">
        <v>74</v>
      </c>
      <c r="EF182" s="164" t="s">
        <v>282</v>
      </c>
    </row>
    <row r="183" spans="2:150" s="12" customFormat="1" x14ac:dyDescent="0.2">
      <c r="B183" s="149"/>
      <c r="D183" s="138" t="s">
        <v>301</v>
      </c>
      <c r="E183" s="150" t="s">
        <v>1</v>
      </c>
      <c r="F183" s="151" t="s">
        <v>2727</v>
      </c>
      <c r="H183" s="152">
        <v>71.251000000000005</v>
      </c>
      <c r="I183" s="153"/>
      <c r="L183" s="149"/>
      <c r="N183" s="217">
        <f>N182*0.5</f>
        <v>57.808800000000012</v>
      </c>
      <c r="O183" s="218"/>
      <c r="Q183" s="332"/>
      <c r="CT183" s="154"/>
      <c r="DA183" s="155"/>
      <c r="EA183" s="150" t="s">
        <v>301</v>
      </c>
      <c r="EB183" s="150" t="s">
        <v>83</v>
      </c>
      <c r="EC183" s="12" t="s">
        <v>83</v>
      </c>
      <c r="ED183" s="12" t="s">
        <v>32</v>
      </c>
      <c r="EE183" s="12" t="s">
        <v>81</v>
      </c>
      <c r="EF183" s="150" t="s">
        <v>282</v>
      </c>
    </row>
    <row r="184" spans="2:150" s="12" customFormat="1" x14ac:dyDescent="0.2">
      <c r="B184" s="149"/>
      <c r="D184" s="138"/>
      <c r="E184" s="150"/>
      <c r="F184" s="151"/>
      <c r="H184" s="152"/>
      <c r="I184" s="153"/>
      <c r="L184" s="149"/>
      <c r="N184" s="310">
        <f>N183-H183</f>
        <v>-13.442199999999993</v>
      </c>
      <c r="O184" s="218"/>
      <c r="Q184" s="332"/>
      <c r="CT184" s="154"/>
      <c r="DA184" s="155"/>
      <c r="EA184" s="150"/>
      <c r="EB184" s="150"/>
      <c r="EF184" s="150"/>
    </row>
    <row r="185" spans="2:150" s="1" customFormat="1" ht="24.2" customHeight="1" x14ac:dyDescent="0.2">
      <c r="B185" s="124"/>
      <c r="C185" s="125" t="s">
        <v>359</v>
      </c>
      <c r="D185" s="125" t="s">
        <v>284</v>
      </c>
      <c r="E185" s="126" t="s">
        <v>375</v>
      </c>
      <c r="F185" s="127" t="s">
        <v>376</v>
      </c>
      <c r="G185" s="128" t="s">
        <v>366</v>
      </c>
      <c r="H185" s="129">
        <v>71.251000000000005</v>
      </c>
      <c r="I185" s="130">
        <v>826.55963566140201</v>
      </c>
      <c r="J185" s="131">
        <f>ROUND(I185*H185,2)</f>
        <v>58893.2</v>
      </c>
      <c r="K185" s="127" t="s">
        <v>293</v>
      </c>
      <c r="L185" s="268">
        <f>S185</f>
        <v>0</v>
      </c>
      <c r="M185" s="272">
        <f>ROUND(L185*I185,2)</f>
        <v>0</v>
      </c>
      <c r="N185" s="243">
        <f>N175</f>
        <v>-13.442199999999993</v>
      </c>
      <c r="O185" s="294">
        <f>ROUND(N185*I185,2)</f>
        <v>-11110.78</v>
      </c>
      <c r="P185" s="273">
        <f>H185-L185-N185</f>
        <v>84.69319999999999</v>
      </c>
      <c r="Q185" s="268">
        <f>ROUND(P185*I185,2)</f>
        <v>70003.98</v>
      </c>
      <c r="R185" s="137"/>
      <c r="S185" s="269">
        <f>W185+Y185+AA185+AC185+AE185</f>
        <v>0</v>
      </c>
      <c r="T185" s="269">
        <f>ROUND(S185*I185,2)</f>
        <v>0</v>
      </c>
      <c r="U185" s="269">
        <f>H185-S185</f>
        <v>71.251000000000005</v>
      </c>
      <c r="V185" s="269">
        <f>ROUND(U185*I185,2)</f>
        <v>58893.2</v>
      </c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CT185" s="132" t="s">
        <v>1</v>
      </c>
      <c r="CU185" s="133" t="s">
        <v>40</v>
      </c>
      <c r="CW185" s="134">
        <f>CV185*H185</f>
        <v>0</v>
      </c>
      <c r="CX185" s="134">
        <v>0</v>
      </c>
      <c r="CY185" s="134">
        <f>CX185*H185</f>
        <v>0</v>
      </c>
      <c r="CZ185" s="134">
        <v>0</v>
      </c>
      <c r="DA185" s="135">
        <f>CZ185*H185</f>
        <v>0</v>
      </c>
      <c r="DY185" s="136" t="s">
        <v>95</v>
      </c>
      <c r="EA185" s="136" t="s">
        <v>284</v>
      </c>
      <c r="EB185" s="136" t="s">
        <v>83</v>
      </c>
      <c r="EF185" s="16" t="s">
        <v>282</v>
      </c>
      <c r="EL185" s="137">
        <f>IF(CU185="základní",J185,0)</f>
        <v>58893.2</v>
      </c>
      <c r="EM185" s="137">
        <f>IF(CU185="snížená",J185,0)</f>
        <v>0</v>
      </c>
      <c r="EN185" s="137">
        <f>IF(CU185="zákl. přenesená",J185,0)</f>
        <v>0</v>
      </c>
      <c r="EO185" s="137">
        <f>IF(CU185="sníž. přenesená",J185,0)</f>
        <v>0</v>
      </c>
      <c r="EP185" s="137">
        <f>IF(CU185="nulová",J185,0)</f>
        <v>0</v>
      </c>
      <c r="EQ185" s="16" t="s">
        <v>81</v>
      </c>
      <c r="ER185" s="137">
        <f>ROUND(I185*H185,2)</f>
        <v>58893.2</v>
      </c>
      <c r="ES185" s="16" t="s">
        <v>95</v>
      </c>
      <c r="ET185" s="136" t="s">
        <v>2728</v>
      </c>
    </row>
    <row r="186" spans="2:150" s="1" customFormat="1" ht="39" x14ac:dyDescent="0.2">
      <c r="B186" s="31"/>
      <c r="D186" s="138" t="s">
        <v>289</v>
      </c>
      <c r="F186" s="139" t="s">
        <v>378</v>
      </c>
      <c r="I186" s="140"/>
      <c r="L186" s="31"/>
      <c r="N186" s="213"/>
      <c r="O186" s="214"/>
      <c r="Q186" s="330"/>
      <c r="CT186" s="141"/>
      <c r="DA186" s="50"/>
      <c r="EA186" s="16" t="s">
        <v>289</v>
      </c>
      <c r="EB186" s="16" t="s">
        <v>83</v>
      </c>
    </row>
    <row r="187" spans="2:150" s="1" customFormat="1" ht="39" x14ac:dyDescent="0.2">
      <c r="B187" s="31"/>
      <c r="D187" s="138" t="s">
        <v>299</v>
      </c>
      <c r="F187" s="142" t="s">
        <v>2715</v>
      </c>
      <c r="I187" s="140"/>
      <c r="L187" s="31"/>
      <c r="N187" s="213"/>
      <c r="O187" s="214"/>
      <c r="Q187" s="330"/>
      <c r="CT187" s="141"/>
      <c r="DA187" s="50"/>
      <c r="EA187" s="16" t="s">
        <v>299</v>
      </c>
      <c r="EB187" s="16" t="s">
        <v>83</v>
      </c>
    </row>
    <row r="188" spans="2:150" s="1" customFormat="1" ht="24.2" customHeight="1" x14ac:dyDescent="0.2">
      <c r="B188" s="124"/>
      <c r="C188" s="125" t="s">
        <v>363</v>
      </c>
      <c r="D188" s="125" t="s">
        <v>284</v>
      </c>
      <c r="E188" s="126" t="s">
        <v>380</v>
      </c>
      <c r="F188" s="127" t="s">
        <v>381</v>
      </c>
      <c r="G188" s="128" t="s">
        <v>366</v>
      </c>
      <c r="H188" s="129">
        <v>28.5</v>
      </c>
      <c r="I188" s="130">
        <v>650.27058629099099</v>
      </c>
      <c r="J188" s="131">
        <f>ROUND(I188*H188,2)</f>
        <v>18532.71</v>
      </c>
      <c r="K188" s="127" t="s">
        <v>293</v>
      </c>
      <c r="L188" s="268">
        <f>S188</f>
        <v>0</v>
      </c>
      <c r="M188" s="272">
        <f>ROUND(L188*I188,2)</f>
        <v>0</v>
      </c>
      <c r="N188" s="243">
        <f>N192</f>
        <v>-5.3764000000000003</v>
      </c>
      <c r="O188" s="294">
        <f>ROUND(N188*I188,2)</f>
        <v>-3496.11</v>
      </c>
      <c r="P188" s="273">
        <f>H188-L188-N188</f>
        <v>33.876400000000004</v>
      </c>
      <c r="Q188" s="268">
        <f>ROUND(P188*I188,2)</f>
        <v>22028.83</v>
      </c>
      <c r="R188" s="137"/>
      <c r="S188" s="269">
        <f>W188+Y188+AA188+AC188+AE188</f>
        <v>0</v>
      </c>
      <c r="T188" s="269">
        <f>ROUND(S188*I188,2)</f>
        <v>0</v>
      </c>
      <c r="U188" s="269">
        <f>H188-S188</f>
        <v>28.5</v>
      </c>
      <c r="V188" s="269">
        <f>ROUND(U188*I188,2)</f>
        <v>18532.71</v>
      </c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CT188" s="132" t="s">
        <v>1</v>
      </c>
      <c r="CU188" s="133" t="s">
        <v>40</v>
      </c>
      <c r="CW188" s="134">
        <f>CV188*H188</f>
        <v>0</v>
      </c>
      <c r="CX188" s="134">
        <v>0</v>
      </c>
      <c r="CY188" s="134">
        <f>CX188*H188</f>
        <v>0</v>
      </c>
      <c r="CZ188" s="134">
        <v>0</v>
      </c>
      <c r="DA188" s="135">
        <f>CZ188*H188</f>
        <v>0</v>
      </c>
      <c r="DY188" s="136" t="s">
        <v>95</v>
      </c>
      <c r="EA188" s="136" t="s">
        <v>284</v>
      </c>
      <c r="EB188" s="136" t="s">
        <v>83</v>
      </c>
      <c r="EF188" s="16" t="s">
        <v>282</v>
      </c>
      <c r="EL188" s="137">
        <f>IF(CU188="základní",J188,0)</f>
        <v>18532.71</v>
      </c>
      <c r="EM188" s="137">
        <f>IF(CU188="snížená",J188,0)</f>
        <v>0</v>
      </c>
      <c r="EN188" s="137">
        <f>IF(CU188="zákl. přenesená",J188,0)</f>
        <v>0</v>
      </c>
      <c r="EO188" s="137">
        <f>IF(CU188="sníž. přenesená",J188,0)</f>
        <v>0</v>
      </c>
      <c r="EP188" s="137">
        <f>IF(CU188="nulová",J188,0)</f>
        <v>0</v>
      </c>
      <c r="EQ188" s="16" t="s">
        <v>81</v>
      </c>
      <c r="ER188" s="137">
        <f>ROUND(I188*H188,2)</f>
        <v>18532.71</v>
      </c>
      <c r="ES188" s="16" t="s">
        <v>95</v>
      </c>
      <c r="ET188" s="136" t="s">
        <v>2729</v>
      </c>
    </row>
    <row r="189" spans="2:150" s="1" customFormat="1" ht="29.25" x14ac:dyDescent="0.2">
      <c r="B189" s="31"/>
      <c r="D189" s="138" t="s">
        <v>289</v>
      </c>
      <c r="F189" s="139" t="s">
        <v>383</v>
      </c>
      <c r="I189" s="140"/>
      <c r="L189" s="31"/>
      <c r="N189" s="213"/>
      <c r="O189" s="214"/>
      <c r="Q189" s="330"/>
      <c r="CT189" s="141"/>
      <c r="DA189" s="50"/>
      <c r="EA189" s="16" t="s">
        <v>289</v>
      </c>
      <c r="EB189" s="16" t="s">
        <v>83</v>
      </c>
    </row>
    <row r="190" spans="2:150" s="11" customFormat="1" x14ac:dyDescent="0.2">
      <c r="B190" s="143"/>
      <c r="D190" s="138" t="s">
        <v>301</v>
      </c>
      <c r="E190" s="144" t="s">
        <v>1</v>
      </c>
      <c r="F190" s="145" t="s">
        <v>384</v>
      </c>
      <c r="H190" s="144" t="s">
        <v>1</v>
      </c>
      <c r="I190" s="146"/>
      <c r="L190" s="143"/>
      <c r="N190" s="215"/>
      <c r="O190" s="216"/>
      <c r="Q190" s="331"/>
      <c r="CT190" s="147"/>
      <c r="DA190" s="148"/>
      <c r="EA190" s="144" t="s">
        <v>301</v>
      </c>
      <c r="EB190" s="144" t="s">
        <v>83</v>
      </c>
      <c r="EC190" s="11" t="s">
        <v>81</v>
      </c>
      <c r="ED190" s="11" t="s">
        <v>32</v>
      </c>
      <c r="EE190" s="11" t="s">
        <v>74</v>
      </c>
      <c r="EF190" s="144" t="s">
        <v>282</v>
      </c>
    </row>
    <row r="191" spans="2:150" s="12" customFormat="1" x14ac:dyDescent="0.2">
      <c r="B191" s="149"/>
      <c r="D191" s="138" t="s">
        <v>301</v>
      </c>
      <c r="E191" s="150" t="s">
        <v>1</v>
      </c>
      <c r="F191" s="151" t="s">
        <v>2730</v>
      </c>
      <c r="H191" s="152">
        <v>28.5</v>
      </c>
      <c r="I191" s="153"/>
      <c r="L191" s="149"/>
      <c r="N191" s="217">
        <f>(57.809+57.809)*0.2</f>
        <v>23.1236</v>
      </c>
      <c r="O191" s="218" t="s">
        <v>3833</v>
      </c>
      <c r="Q191" s="332"/>
      <c r="CT191" s="154"/>
      <c r="DA191" s="155"/>
      <c r="EA191" s="150" t="s">
        <v>301</v>
      </c>
      <c r="EB191" s="150" t="s">
        <v>83</v>
      </c>
      <c r="EC191" s="12" t="s">
        <v>83</v>
      </c>
      <c r="ED191" s="12" t="s">
        <v>32</v>
      </c>
      <c r="EE191" s="12" t="s">
        <v>81</v>
      </c>
      <c r="EF191" s="150" t="s">
        <v>282</v>
      </c>
    </row>
    <row r="192" spans="2:150" s="12" customFormat="1" x14ac:dyDescent="0.2">
      <c r="B192" s="149"/>
      <c r="D192" s="138"/>
      <c r="E192" s="150"/>
      <c r="F192" s="151"/>
      <c r="H192" s="152"/>
      <c r="I192" s="153"/>
      <c r="L192" s="149"/>
      <c r="N192" s="310">
        <f>N191-H191</f>
        <v>-5.3764000000000003</v>
      </c>
      <c r="O192" s="218"/>
      <c r="Q192" s="332"/>
      <c r="CT192" s="154"/>
      <c r="DA192" s="155"/>
      <c r="EA192" s="150"/>
      <c r="EB192" s="150"/>
      <c r="EF192" s="150"/>
    </row>
    <row r="193" spans="2:150" s="1" customFormat="1" ht="14.45" customHeight="1" x14ac:dyDescent="0.2">
      <c r="B193" s="124"/>
      <c r="C193" s="125" t="s">
        <v>8</v>
      </c>
      <c r="D193" s="125" t="s">
        <v>284</v>
      </c>
      <c r="E193" s="126" t="s">
        <v>387</v>
      </c>
      <c r="F193" s="127" t="s">
        <v>388</v>
      </c>
      <c r="G193" s="128" t="s">
        <v>287</v>
      </c>
      <c r="H193" s="129">
        <v>417.6</v>
      </c>
      <c r="I193" s="130">
        <v>156.6895922457376</v>
      </c>
      <c r="J193" s="131">
        <f>ROUND(I193*H193,2)</f>
        <v>65433.57</v>
      </c>
      <c r="K193" s="127" t="s">
        <v>293</v>
      </c>
      <c r="L193" s="268">
        <f>S193</f>
        <v>0</v>
      </c>
      <c r="M193" s="272">
        <f>ROUND(L193*I193,2)</f>
        <v>0</v>
      </c>
      <c r="N193" s="243">
        <f>N197</f>
        <v>-70.176000000000045</v>
      </c>
      <c r="O193" s="294">
        <f>ROUND(N193*I193,2)</f>
        <v>-10995.85</v>
      </c>
      <c r="P193" s="273">
        <f>H193-L193-N193</f>
        <v>487.77600000000007</v>
      </c>
      <c r="Q193" s="268">
        <f>ROUND(P193*I193,2)</f>
        <v>76429.42</v>
      </c>
      <c r="R193" s="137"/>
      <c r="S193" s="269">
        <f>W193+Y193+AA193+AC193+AE193</f>
        <v>0</v>
      </c>
      <c r="T193" s="269">
        <f>ROUND(S193*I193,2)</f>
        <v>0</v>
      </c>
      <c r="U193" s="269">
        <f>H193-S193</f>
        <v>417.6</v>
      </c>
      <c r="V193" s="269">
        <f>ROUND(U193*I193,2)</f>
        <v>65433.57</v>
      </c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CT193" s="132" t="s">
        <v>1</v>
      </c>
      <c r="CU193" s="133" t="s">
        <v>40</v>
      </c>
      <c r="CW193" s="134">
        <f>CV193*H193</f>
        <v>0</v>
      </c>
      <c r="CX193" s="134">
        <v>5.9000000000000003E-4</v>
      </c>
      <c r="CY193" s="134">
        <f>CX193*H193</f>
        <v>0.24638400000000002</v>
      </c>
      <c r="CZ193" s="134">
        <v>0</v>
      </c>
      <c r="DA193" s="135">
        <f>CZ193*H193</f>
        <v>0</v>
      </c>
      <c r="DY193" s="136" t="s">
        <v>95</v>
      </c>
      <c r="EA193" s="136" t="s">
        <v>284</v>
      </c>
      <c r="EB193" s="136" t="s">
        <v>83</v>
      </c>
      <c r="EF193" s="16" t="s">
        <v>282</v>
      </c>
      <c r="EL193" s="137">
        <f>IF(CU193="základní",J193,0)</f>
        <v>65433.57</v>
      </c>
      <c r="EM193" s="137">
        <f>IF(CU193="snížená",J193,0)</f>
        <v>0</v>
      </c>
      <c r="EN193" s="137">
        <f>IF(CU193="zákl. přenesená",J193,0)</f>
        <v>0</v>
      </c>
      <c r="EO193" s="137">
        <f>IF(CU193="sníž. přenesená",J193,0)</f>
        <v>0</v>
      </c>
      <c r="EP193" s="137">
        <f>IF(CU193="nulová",J193,0)</f>
        <v>0</v>
      </c>
      <c r="EQ193" s="16" t="s">
        <v>81</v>
      </c>
      <c r="ER193" s="137">
        <f>ROUND(I193*H193,2)</f>
        <v>65433.57</v>
      </c>
      <c r="ES193" s="16" t="s">
        <v>95</v>
      </c>
      <c r="ET193" s="136" t="s">
        <v>2731</v>
      </c>
    </row>
    <row r="194" spans="2:150" s="1" customFormat="1" ht="19.5" x14ac:dyDescent="0.2">
      <c r="B194" s="31"/>
      <c r="D194" s="138" t="s">
        <v>289</v>
      </c>
      <c r="F194" s="139" t="s">
        <v>390</v>
      </c>
      <c r="I194" s="140"/>
      <c r="L194" s="31"/>
      <c r="N194" s="213"/>
      <c r="O194" s="214"/>
      <c r="Q194" s="330"/>
      <c r="CT194" s="141"/>
      <c r="DA194" s="50"/>
      <c r="EA194" s="16" t="s">
        <v>289</v>
      </c>
      <c r="EB194" s="16" t="s">
        <v>83</v>
      </c>
    </row>
    <row r="195" spans="2:150" s="1" customFormat="1" ht="29.25" x14ac:dyDescent="0.2">
      <c r="B195" s="31"/>
      <c r="D195" s="138" t="s">
        <v>299</v>
      </c>
      <c r="F195" s="142" t="s">
        <v>2695</v>
      </c>
      <c r="I195" s="140"/>
      <c r="L195" s="31"/>
      <c r="N195" s="213"/>
      <c r="O195" s="214"/>
      <c r="Q195" s="330"/>
      <c r="CT195" s="141"/>
      <c r="DA195" s="50"/>
      <c r="EA195" s="16" t="s">
        <v>299</v>
      </c>
      <c r="EB195" s="16" t="s">
        <v>83</v>
      </c>
    </row>
    <row r="196" spans="2:150" s="12" customFormat="1" x14ac:dyDescent="0.2">
      <c r="B196" s="149"/>
      <c r="D196" s="138" t="s">
        <v>301</v>
      </c>
      <c r="E196" s="150" t="s">
        <v>1</v>
      </c>
      <c r="F196" s="151" t="s">
        <v>2732</v>
      </c>
      <c r="H196" s="152">
        <v>417.6</v>
      </c>
      <c r="I196" s="153"/>
      <c r="L196" s="149"/>
      <c r="N196" s="217">
        <f>108.57*1.6*2</f>
        <v>347.42399999999998</v>
      </c>
      <c r="O196" s="218" t="s">
        <v>3834</v>
      </c>
      <c r="Q196" s="332"/>
      <c r="CT196" s="154"/>
      <c r="DA196" s="155"/>
      <c r="EA196" s="150" t="s">
        <v>301</v>
      </c>
      <c r="EB196" s="150" t="s">
        <v>83</v>
      </c>
      <c r="EC196" s="12" t="s">
        <v>83</v>
      </c>
      <c r="ED196" s="12" t="s">
        <v>32</v>
      </c>
      <c r="EE196" s="12" t="s">
        <v>81</v>
      </c>
      <c r="EF196" s="150" t="s">
        <v>282</v>
      </c>
    </row>
    <row r="197" spans="2:150" s="12" customFormat="1" x14ac:dyDescent="0.2">
      <c r="B197" s="149"/>
      <c r="D197" s="138"/>
      <c r="E197" s="150"/>
      <c r="F197" s="151"/>
      <c r="H197" s="152"/>
      <c r="I197" s="153"/>
      <c r="L197" s="149"/>
      <c r="N197" s="310">
        <f>N196-H196</f>
        <v>-70.176000000000045</v>
      </c>
      <c r="O197" s="218"/>
      <c r="Q197" s="332"/>
      <c r="CT197" s="154"/>
      <c r="DA197" s="155"/>
      <c r="EA197" s="150"/>
      <c r="EB197" s="150"/>
      <c r="EF197" s="150"/>
    </row>
    <row r="198" spans="2:150" s="1" customFormat="1" ht="14.45" customHeight="1" x14ac:dyDescent="0.2">
      <c r="B198" s="124"/>
      <c r="C198" s="125" t="s">
        <v>379</v>
      </c>
      <c r="D198" s="125" t="s">
        <v>284</v>
      </c>
      <c r="E198" s="126" t="s">
        <v>393</v>
      </c>
      <c r="F198" s="127" t="s">
        <v>394</v>
      </c>
      <c r="G198" s="128" t="s">
        <v>287</v>
      </c>
      <c r="H198" s="129">
        <v>417.6</v>
      </c>
      <c r="I198" s="130">
        <v>103.33666316345877</v>
      </c>
      <c r="J198" s="131">
        <f>ROUND(I198*H198,2)</f>
        <v>43153.39</v>
      </c>
      <c r="K198" s="127" t="s">
        <v>293</v>
      </c>
      <c r="L198" s="268">
        <f>S198</f>
        <v>0</v>
      </c>
      <c r="M198" s="272">
        <f>ROUND(L198*I198,2)</f>
        <v>0</v>
      </c>
      <c r="N198" s="243">
        <f>N193</f>
        <v>-70.176000000000045</v>
      </c>
      <c r="O198" s="294">
        <f>ROUND(N198*I198,2)</f>
        <v>-7251.75</v>
      </c>
      <c r="P198" s="273">
        <f>H198-L198-N198</f>
        <v>487.77600000000007</v>
      </c>
      <c r="Q198" s="268">
        <f>ROUND(P198*I198,2)</f>
        <v>50405.14</v>
      </c>
      <c r="R198" s="137"/>
      <c r="S198" s="269">
        <f>W198+Y198+AA198+AC198+AE198</f>
        <v>0</v>
      </c>
      <c r="T198" s="269">
        <f>ROUND(S198*I198,2)</f>
        <v>0</v>
      </c>
      <c r="U198" s="269">
        <f>H198-S198</f>
        <v>417.6</v>
      </c>
      <c r="V198" s="269">
        <f>ROUND(U198*I198,2)</f>
        <v>43153.39</v>
      </c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CT198" s="132" t="s">
        <v>1</v>
      </c>
      <c r="CU198" s="133" t="s">
        <v>40</v>
      </c>
      <c r="CW198" s="134">
        <f>CV198*H198</f>
        <v>0</v>
      </c>
      <c r="CX198" s="134">
        <v>0</v>
      </c>
      <c r="CY198" s="134">
        <f>CX198*H198</f>
        <v>0</v>
      </c>
      <c r="CZ198" s="134">
        <v>0</v>
      </c>
      <c r="DA198" s="135">
        <f>CZ198*H198</f>
        <v>0</v>
      </c>
      <c r="DY198" s="136" t="s">
        <v>95</v>
      </c>
      <c r="EA198" s="136" t="s">
        <v>284</v>
      </c>
      <c r="EB198" s="136" t="s">
        <v>83</v>
      </c>
      <c r="EF198" s="16" t="s">
        <v>282</v>
      </c>
      <c r="EL198" s="137">
        <f>IF(CU198="základní",J198,0)</f>
        <v>43153.39</v>
      </c>
      <c r="EM198" s="137">
        <f>IF(CU198="snížená",J198,0)</f>
        <v>0</v>
      </c>
      <c r="EN198" s="137">
        <f>IF(CU198="zákl. přenesená",J198,0)</f>
        <v>0</v>
      </c>
      <c r="EO198" s="137">
        <f>IF(CU198="sníž. přenesená",J198,0)</f>
        <v>0</v>
      </c>
      <c r="EP198" s="137">
        <f>IF(CU198="nulová",J198,0)</f>
        <v>0</v>
      </c>
      <c r="EQ198" s="16" t="s">
        <v>81</v>
      </c>
      <c r="ER198" s="137">
        <f>ROUND(I198*H198,2)</f>
        <v>43153.39</v>
      </c>
      <c r="ES198" s="16" t="s">
        <v>95</v>
      </c>
      <c r="ET198" s="136" t="s">
        <v>2733</v>
      </c>
    </row>
    <row r="199" spans="2:150" s="1" customFormat="1" ht="19.5" x14ac:dyDescent="0.2">
      <c r="B199" s="31"/>
      <c r="D199" s="138" t="s">
        <v>289</v>
      </c>
      <c r="F199" s="139" t="s">
        <v>396</v>
      </c>
      <c r="I199" s="140"/>
      <c r="L199" s="31"/>
      <c r="N199" s="213"/>
      <c r="O199" s="214"/>
      <c r="Q199" s="330"/>
      <c r="CT199" s="141"/>
      <c r="DA199" s="50"/>
      <c r="EA199" s="16" t="s">
        <v>289</v>
      </c>
      <c r="EB199" s="16" t="s">
        <v>83</v>
      </c>
    </row>
    <row r="200" spans="2:150" s="1" customFormat="1" ht="37.9" customHeight="1" x14ac:dyDescent="0.2">
      <c r="B200" s="124"/>
      <c r="C200" s="125" t="s">
        <v>386</v>
      </c>
      <c r="D200" s="125" t="s">
        <v>284</v>
      </c>
      <c r="E200" s="126" t="s">
        <v>398</v>
      </c>
      <c r="F200" s="127" t="s">
        <v>399</v>
      </c>
      <c r="G200" s="128" t="s">
        <v>366</v>
      </c>
      <c r="H200" s="129">
        <v>164.30799999999999</v>
      </c>
      <c r="I200" s="130">
        <v>262.06861194786097</v>
      </c>
      <c r="J200" s="131">
        <f>ROUND(I200*H200,2)</f>
        <v>43059.97</v>
      </c>
      <c r="K200" s="127" t="s">
        <v>293</v>
      </c>
      <c r="L200" s="268">
        <f>S200</f>
        <v>0</v>
      </c>
      <c r="M200" s="272">
        <f>ROUND(L200*I200,2)</f>
        <v>0</v>
      </c>
      <c r="N200" s="243">
        <f>N209</f>
        <v>-26.884000000000015</v>
      </c>
      <c r="O200" s="294">
        <f>ROUND(N200*I200,2)</f>
        <v>-7045.45</v>
      </c>
      <c r="P200" s="273">
        <f>H200-L200-N200</f>
        <v>191.19200000000001</v>
      </c>
      <c r="Q200" s="268">
        <f>ROUND(P200*I200,2)</f>
        <v>50105.42</v>
      </c>
      <c r="R200" s="137"/>
      <c r="S200" s="269">
        <f>W200+Y200+AA200+AC200+AE200</f>
        <v>0</v>
      </c>
      <c r="T200" s="269">
        <f>ROUND(S200*I200,2)</f>
        <v>0</v>
      </c>
      <c r="U200" s="269">
        <f>H200-S200</f>
        <v>164.30799999999999</v>
      </c>
      <c r="V200" s="269">
        <f>ROUND(U200*I200,2)</f>
        <v>43059.97</v>
      </c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CT200" s="132" t="s">
        <v>1</v>
      </c>
      <c r="CU200" s="133" t="s">
        <v>40</v>
      </c>
      <c r="CW200" s="134">
        <f>CV200*H200</f>
        <v>0</v>
      </c>
      <c r="CX200" s="134">
        <v>0</v>
      </c>
      <c r="CY200" s="134">
        <f>CX200*H200</f>
        <v>0</v>
      </c>
      <c r="CZ200" s="134">
        <v>0</v>
      </c>
      <c r="DA200" s="135">
        <f>CZ200*H200</f>
        <v>0</v>
      </c>
      <c r="DY200" s="136" t="s">
        <v>95</v>
      </c>
      <c r="EA200" s="136" t="s">
        <v>284</v>
      </c>
      <c r="EB200" s="136" t="s">
        <v>83</v>
      </c>
      <c r="EF200" s="16" t="s">
        <v>282</v>
      </c>
      <c r="EL200" s="137">
        <f>IF(CU200="základní",J200,0)</f>
        <v>43059.97</v>
      </c>
      <c r="EM200" s="137">
        <f>IF(CU200="snížená",J200,0)</f>
        <v>0</v>
      </c>
      <c r="EN200" s="137">
        <f>IF(CU200="zákl. přenesená",J200,0)</f>
        <v>0</v>
      </c>
      <c r="EO200" s="137">
        <f>IF(CU200="sníž. přenesená",J200,0)</f>
        <v>0</v>
      </c>
      <c r="EP200" s="137">
        <f>IF(CU200="nulová",J200,0)</f>
        <v>0</v>
      </c>
      <c r="EQ200" s="16" t="s">
        <v>81</v>
      </c>
      <c r="ER200" s="137">
        <f>ROUND(I200*H200,2)</f>
        <v>43059.97</v>
      </c>
      <c r="ES200" s="16" t="s">
        <v>95</v>
      </c>
      <c r="ET200" s="136" t="s">
        <v>2734</v>
      </c>
    </row>
    <row r="201" spans="2:150" s="1" customFormat="1" ht="39" x14ac:dyDescent="0.2">
      <c r="B201" s="31"/>
      <c r="D201" s="138" t="s">
        <v>289</v>
      </c>
      <c r="F201" s="139" t="s">
        <v>401</v>
      </c>
      <c r="I201" s="140"/>
      <c r="L201" s="31"/>
      <c r="N201" s="213"/>
      <c r="O201" s="214"/>
      <c r="Q201" s="330"/>
      <c r="CT201" s="141"/>
      <c r="DA201" s="50"/>
      <c r="EA201" s="16" t="s">
        <v>289</v>
      </c>
      <c r="EB201" s="16" t="s">
        <v>83</v>
      </c>
    </row>
    <row r="202" spans="2:150" s="11" customFormat="1" x14ac:dyDescent="0.2">
      <c r="B202" s="143"/>
      <c r="D202" s="138" t="s">
        <v>301</v>
      </c>
      <c r="E202" s="144" t="s">
        <v>1</v>
      </c>
      <c r="F202" s="145" t="s">
        <v>1458</v>
      </c>
      <c r="H202" s="144" t="s">
        <v>1</v>
      </c>
      <c r="I202" s="146"/>
      <c r="L202" s="143"/>
      <c r="N202" s="215"/>
      <c r="O202" s="216"/>
      <c r="Q202" s="331"/>
      <c r="CT202" s="147"/>
      <c r="DA202" s="148"/>
      <c r="EA202" s="144" t="s">
        <v>301</v>
      </c>
      <c r="EB202" s="144" t="s">
        <v>83</v>
      </c>
      <c r="EC202" s="11" t="s">
        <v>81</v>
      </c>
      <c r="ED202" s="11" t="s">
        <v>32</v>
      </c>
      <c r="EE202" s="11" t="s">
        <v>74</v>
      </c>
      <c r="EF202" s="144" t="s">
        <v>282</v>
      </c>
    </row>
    <row r="203" spans="2:150" s="12" customFormat="1" x14ac:dyDescent="0.2">
      <c r="B203" s="149"/>
      <c r="D203" s="138" t="s">
        <v>301</v>
      </c>
      <c r="E203" s="150" t="s">
        <v>1</v>
      </c>
      <c r="F203" s="151" t="s">
        <v>2735</v>
      </c>
      <c r="H203" s="152">
        <v>142.50200000000001</v>
      </c>
      <c r="I203" s="153"/>
      <c r="L203" s="149"/>
      <c r="N203" s="217">
        <f>57.809+57.809</f>
        <v>115.61799999999999</v>
      </c>
      <c r="O203" s="218" t="s">
        <v>3835</v>
      </c>
      <c r="Q203" s="332"/>
      <c r="CT203" s="154"/>
      <c r="DA203" s="155"/>
      <c r="EA203" s="150" t="s">
        <v>301</v>
      </c>
      <c r="EB203" s="150" t="s">
        <v>83</v>
      </c>
      <c r="EC203" s="12" t="s">
        <v>83</v>
      </c>
      <c r="ED203" s="12" t="s">
        <v>32</v>
      </c>
      <c r="EE203" s="12" t="s">
        <v>74</v>
      </c>
      <c r="EF203" s="150" t="s">
        <v>282</v>
      </c>
    </row>
    <row r="204" spans="2:150" s="11" customFormat="1" x14ac:dyDescent="0.2">
      <c r="B204" s="143"/>
      <c r="D204" s="138" t="s">
        <v>301</v>
      </c>
      <c r="E204" s="144" t="s">
        <v>1</v>
      </c>
      <c r="F204" s="145" t="s">
        <v>1858</v>
      </c>
      <c r="H204" s="144" t="s">
        <v>1</v>
      </c>
      <c r="I204" s="146"/>
      <c r="L204" s="143"/>
      <c r="N204" s="215"/>
      <c r="O204" s="216"/>
      <c r="Q204" s="331"/>
      <c r="CT204" s="147"/>
      <c r="DA204" s="148"/>
      <c r="EA204" s="144" t="s">
        <v>301</v>
      </c>
      <c r="EB204" s="144" t="s">
        <v>83</v>
      </c>
      <c r="EC204" s="11" t="s">
        <v>81</v>
      </c>
      <c r="ED204" s="11" t="s">
        <v>32</v>
      </c>
      <c r="EE204" s="11" t="s">
        <v>74</v>
      </c>
      <c r="EF204" s="144" t="s">
        <v>282</v>
      </c>
    </row>
    <row r="205" spans="2:150" s="12" customFormat="1" x14ac:dyDescent="0.2">
      <c r="B205" s="149"/>
      <c r="D205" s="138" t="s">
        <v>301</v>
      </c>
      <c r="E205" s="150" t="s">
        <v>1</v>
      </c>
      <c r="F205" s="151" t="s">
        <v>2736</v>
      </c>
      <c r="H205" s="152">
        <v>13.125999999999999</v>
      </c>
      <c r="I205" s="153"/>
      <c r="L205" s="149"/>
      <c r="N205" s="217">
        <f>6.563+6.563</f>
        <v>13.125999999999999</v>
      </c>
      <c r="O205" s="218" t="s">
        <v>2736</v>
      </c>
      <c r="Q205" s="332"/>
      <c r="CT205" s="154"/>
      <c r="DA205" s="155"/>
      <c r="EA205" s="150" t="s">
        <v>301</v>
      </c>
      <c r="EB205" s="150" t="s">
        <v>83</v>
      </c>
      <c r="EC205" s="12" t="s">
        <v>83</v>
      </c>
      <c r="ED205" s="12" t="s">
        <v>32</v>
      </c>
      <c r="EE205" s="12" t="s">
        <v>74</v>
      </c>
      <c r="EF205" s="150" t="s">
        <v>282</v>
      </c>
    </row>
    <row r="206" spans="2:150" s="11" customFormat="1" x14ac:dyDescent="0.2">
      <c r="B206" s="143"/>
      <c r="D206" s="138" t="s">
        <v>301</v>
      </c>
      <c r="E206" s="144" t="s">
        <v>1</v>
      </c>
      <c r="F206" s="145" t="s">
        <v>976</v>
      </c>
      <c r="H206" s="144" t="s">
        <v>1</v>
      </c>
      <c r="I206" s="146"/>
      <c r="L206" s="143"/>
      <c r="N206" s="215"/>
      <c r="O206" s="216"/>
      <c r="Q206" s="331"/>
      <c r="CT206" s="147"/>
      <c r="DA206" s="148"/>
      <c r="EA206" s="144" t="s">
        <v>301</v>
      </c>
      <c r="EB206" s="144" t="s">
        <v>83</v>
      </c>
      <c r="EC206" s="11" t="s">
        <v>81</v>
      </c>
      <c r="ED206" s="11" t="s">
        <v>32</v>
      </c>
      <c r="EE206" s="11" t="s">
        <v>74</v>
      </c>
      <c r="EF206" s="144" t="s">
        <v>282</v>
      </c>
    </row>
    <row r="207" spans="2:150" s="12" customFormat="1" x14ac:dyDescent="0.2">
      <c r="B207" s="149"/>
      <c r="D207" s="138" t="s">
        <v>301</v>
      </c>
      <c r="E207" s="150" t="s">
        <v>1</v>
      </c>
      <c r="F207" s="151" t="s">
        <v>2737</v>
      </c>
      <c r="H207" s="152">
        <v>8.68</v>
      </c>
      <c r="I207" s="153"/>
      <c r="L207" s="149"/>
      <c r="N207" s="217">
        <f>86.8*0.1</f>
        <v>8.68</v>
      </c>
      <c r="O207" s="218" t="s">
        <v>2737</v>
      </c>
      <c r="Q207" s="332"/>
      <c r="CT207" s="154"/>
      <c r="DA207" s="155"/>
      <c r="EA207" s="150" t="s">
        <v>301</v>
      </c>
      <c r="EB207" s="150" t="s">
        <v>83</v>
      </c>
      <c r="EC207" s="12" t="s">
        <v>83</v>
      </c>
      <c r="ED207" s="12" t="s">
        <v>32</v>
      </c>
      <c r="EE207" s="12" t="s">
        <v>74</v>
      </c>
      <c r="EF207" s="150" t="s">
        <v>282</v>
      </c>
    </row>
    <row r="208" spans="2:150" s="13" customFormat="1" x14ac:dyDescent="0.2">
      <c r="B208" s="156"/>
      <c r="D208" s="138" t="s">
        <v>301</v>
      </c>
      <c r="E208" s="157" t="s">
        <v>1</v>
      </c>
      <c r="F208" s="158" t="s">
        <v>305</v>
      </c>
      <c r="H208" s="159">
        <v>164.30800000000002</v>
      </c>
      <c r="I208" s="160"/>
      <c r="L208" s="156"/>
      <c r="N208" s="219">
        <f>N203+N205+N207</f>
        <v>137.42400000000001</v>
      </c>
      <c r="O208" s="220"/>
      <c r="Q208" s="334"/>
      <c r="CT208" s="161"/>
      <c r="DA208" s="162"/>
      <c r="EA208" s="157" t="s">
        <v>301</v>
      </c>
      <c r="EB208" s="157" t="s">
        <v>83</v>
      </c>
      <c r="EC208" s="13" t="s">
        <v>95</v>
      </c>
      <c r="ED208" s="13" t="s">
        <v>32</v>
      </c>
      <c r="EE208" s="13" t="s">
        <v>81</v>
      </c>
      <c r="EF208" s="157" t="s">
        <v>282</v>
      </c>
    </row>
    <row r="209" spans="2:150" s="13" customFormat="1" x14ac:dyDescent="0.2">
      <c r="B209" s="156"/>
      <c r="D209" s="138"/>
      <c r="E209" s="157"/>
      <c r="F209" s="158"/>
      <c r="H209" s="159"/>
      <c r="I209" s="160"/>
      <c r="L209" s="156"/>
      <c r="N209" s="311">
        <f>N208-H208</f>
        <v>-26.884000000000015</v>
      </c>
      <c r="O209" s="220"/>
      <c r="Q209" s="334"/>
      <c r="CT209" s="161"/>
      <c r="DA209" s="162"/>
      <c r="EA209" s="157"/>
      <c r="EB209" s="157"/>
      <c r="EF209" s="157"/>
    </row>
    <row r="210" spans="2:150" s="1" customFormat="1" ht="37.9" customHeight="1" x14ac:dyDescent="0.2">
      <c r="B210" s="124"/>
      <c r="C210" s="125" t="s">
        <v>392</v>
      </c>
      <c r="D210" s="125" t="s">
        <v>284</v>
      </c>
      <c r="E210" s="126" t="s">
        <v>978</v>
      </c>
      <c r="F210" s="127" t="s">
        <v>979</v>
      </c>
      <c r="G210" s="128" t="s">
        <v>366</v>
      </c>
      <c r="H210" s="129">
        <v>31.193999999999999</v>
      </c>
      <c r="I210" s="130">
        <v>282.06861194786097</v>
      </c>
      <c r="J210" s="131">
        <f>ROUND(I210*H210,2)</f>
        <v>8798.85</v>
      </c>
      <c r="K210" s="127" t="s">
        <v>1</v>
      </c>
      <c r="L210" s="268">
        <f>S210</f>
        <v>0</v>
      </c>
      <c r="M210" s="272">
        <f>ROUND(L210*I210,2)</f>
        <v>0</v>
      </c>
      <c r="N210" s="243"/>
      <c r="O210" s="294">
        <f>ROUND(N210*I210,2)</f>
        <v>0</v>
      </c>
      <c r="P210" s="273">
        <f>H210-L210-N210</f>
        <v>31.193999999999999</v>
      </c>
      <c r="Q210" s="268">
        <f>ROUND(P210*I210,2)</f>
        <v>8798.85</v>
      </c>
      <c r="R210" s="137"/>
      <c r="S210" s="269">
        <f>W210+Y210+AA210+AC210+AE210</f>
        <v>0</v>
      </c>
      <c r="T210" s="269">
        <f>ROUND(S210*I210,2)</f>
        <v>0</v>
      </c>
      <c r="U210" s="269">
        <f>H210-S210</f>
        <v>31.193999999999999</v>
      </c>
      <c r="V210" s="269">
        <f>ROUND(U210*I210,2)</f>
        <v>8798.85</v>
      </c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CT210" s="132" t="s">
        <v>1</v>
      </c>
      <c r="CU210" s="133" t="s">
        <v>40</v>
      </c>
      <c r="CW210" s="134">
        <f>CV210*H210</f>
        <v>0</v>
      </c>
      <c r="CX210" s="134">
        <v>0</v>
      </c>
      <c r="CY210" s="134">
        <f>CX210*H210</f>
        <v>0</v>
      </c>
      <c r="CZ210" s="134">
        <v>0</v>
      </c>
      <c r="DA210" s="135">
        <f>CZ210*H210</f>
        <v>0</v>
      </c>
      <c r="DY210" s="136" t="s">
        <v>95</v>
      </c>
      <c r="EA210" s="136" t="s">
        <v>284</v>
      </c>
      <c r="EB210" s="136" t="s">
        <v>83</v>
      </c>
      <c r="EF210" s="16" t="s">
        <v>282</v>
      </c>
      <c r="EL210" s="137">
        <f>IF(CU210="základní",J210,0)</f>
        <v>8798.85</v>
      </c>
      <c r="EM210" s="137">
        <f>IF(CU210="snížená",J210,0)</f>
        <v>0</v>
      </c>
      <c r="EN210" s="137">
        <f>IF(CU210="zákl. přenesená",J210,0)</f>
        <v>0</v>
      </c>
      <c r="EO210" s="137">
        <f>IF(CU210="sníž. přenesená",J210,0)</f>
        <v>0</v>
      </c>
      <c r="EP210" s="137">
        <f>IF(CU210="nulová",J210,0)</f>
        <v>0</v>
      </c>
      <c r="EQ210" s="16" t="s">
        <v>81</v>
      </c>
      <c r="ER210" s="137">
        <f>ROUND(I210*H210,2)</f>
        <v>8798.85</v>
      </c>
      <c r="ES210" s="16" t="s">
        <v>95</v>
      </c>
      <c r="ET210" s="136" t="s">
        <v>2738</v>
      </c>
    </row>
    <row r="211" spans="2:150" s="1" customFormat="1" ht="39" x14ac:dyDescent="0.2">
      <c r="B211" s="31"/>
      <c r="D211" s="138" t="s">
        <v>289</v>
      </c>
      <c r="F211" s="139" t="s">
        <v>401</v>
      </c>
      <c r="I211" s="140"/>
      <c r="L211" s="31"/>
      <c r="N211" s="213"/>
      <c r="O211" s="214"/>
      <c r="Q211" s="330"/>
      <c r="CT211" s="141"/>
      <c r="DA211" s="50"/>
      <c r="EA211" s="16" t="s">
        <v>289</v>
      </c>
      <c r="EB211" s="16" t="s">
        <v>83</v>
      </c>
    </row>
    <row r="212" spans="2:150" s="1" customFormat="1" ht="37.9" customHeight="1" x14ac:dyDescent="0.2">
      <c r="B212" s="124"/>
      <c r="C212" s="125" t="s">
        <v>397</v>
      </c>
      <c r="D212" s="125" t="s">
        <v>284</v>
      </c>
      <c r="E212" s="126" t="s">
        <v>405</v>
      </c>
      <c r="F212" s="127" t="s">
        <v>406</v>
      </c>
      <c r="G212" s="128" t="s">
        <v>366</v>
      </c>
      <c r="H212" s="129">
        <v>821.54</v>
      </c>
      <c r="I212" s="130">
        <v>3.4208109177592001</v>
      </c>
      <c r="J212" s="131">
        <f>ROUND(I212*H212,2)</f>
        <v>2810.33</v>
      </c>
      <c r="K212" s="127" t="s">
        <v>293</v>
      </c>
      <c r="L212" s="268">
        <f>S212</f>
        <v>0</v>
      </c>
      <c r="M212" s="272">
        <f>ROUND(L212*I212,2)</f>
        <v>0</v>
      </c>
      <c r="N212" s="243">
        <f>N215</f>
        <v>-134.41999999999996</v>
      </c>
      <c r="O212" s="294">
        <f>ROUND(N212*I212,2)</f>
        <v>-459.83</v>
      </c>
      <c r="P212" s="273">
        <f>H212-L212-N212</f>
        <v>955.95999999999992</v>
      </c>
      <c r="Q212" s="268">
        <f>ROUND(P212*I212,2)</f>
        <v>3270.16</v>
      </c>
      <c r="R212" s="137"/>
      <c r="S212" s="269">
        <f>W212+Y212+AA212+AC212+AE212</f>
        <v>0</v>
      </c>
      <c r="T212" s="269">
        <f>ROUND(S212*I212,2)</f>
        <v>0</v>
      </c>
      <c r="U212" s="269">
        <f>H212-S212</f>
        <v>821.54</v>
      </c>
      <c r="V212" s="269">
        <f>ROUND(U212*I212,2)</f>
        <v>2810.33</v>
      </c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CT212" s="132" t="s">
        <v>1</v>
      </c>
      <c r="CU212" s="133" t="s">
        <v>40</v>
      </c>
      <c r="CW212" s="134">
        <f>CV212*H212</f>
        <v>0</v>
      </c>
      <c r="CX212" s="134">
        <v>0</v>
      </c>
      <c r="CY212" s="134">
        <f>CX212*H212</f>
        <v>0</v>
      </c>
      <c r="CZ212" s="134">
        <v>0</v>
      </c>
      <c r="DA212" s="135">
        <f>CZ212*H212</f>
        <v>0</v>
      </c>
      <c r="DY212" s="136" t="s">
        <v>95</v>
      </c>
      <c r="EA212" s="136" t="s">
        <v>284</v>
      </c>
      <c r="EB212" s="136" t="s">
        <v>83</v>
      </c>
      <c r="EF212" s="16" t="s">
        <v>282</v>
      </c>
      <c r="EL212" s="137">
        <f>IF(CU212="základní",J212,0)</f>
        <v>2810.33</v>
      </c>
      <c r="EM212" s="137">
        <f>IF(CU212="snížená",J212,0)</f>
        <v>0</v>
      </c>
      <c r="EN212" s="137">
        <f>IF(CU212="zákl. přenesená",J212,0)</f>
        <v>0</v>
      </c>
      <c r="EO212" s="137">
        <f>IF(CU212="sníž. přenesená",J212,0)</f>
        <v>0</v>
      </c>
      <c r="EP212" s="137">
        <f>IF(CU212="nulová",J212,0)</f>
        <v>0</v>
      </c>
      <c r="EQ212" s="16" t="s">
        <v>81</v>
      </c>
      <c r="ER212" s="137">
        <f>ROUND(I212*H212,2)</f>
        <v>2810.33</v>
      </c>
      <c r="ES212" s="16" t="s">
        <v>95</v>
      </c>
      <c r="ET212" s="136" t="s">
        <v>2739</v>
      </c>
    </row>
    <row r="213" spans="2:150" s="1" customFormat="1" ht="48.75" x14ac:dyDescent="0.2">
      <c r="B213" s="31"/>
      <c r="D213" s="138" t="s">
        <v>289</v>
      </c>
      <c r="F213" s="139" t="s">
        <v>408</v>
      </c>
      <c r="I213" s="140"/>
      <c r="L213" s="31"/>
      <c r="N213" s="213"/>
      <c r="O213" s="214"/>
      <c r="Q213" s="330"/>
      <c r="CT213" s="141"/>
      <c r="DA213" s="50"/>
      <c r="EA213" s="16" t="s">
        <v>289</v>
      </c>
      <c r="EB213" s="16" t="s">
        <v>83</v>
      </c>
    </row>
    <row r="214" spans="2:150" s="12" customFormat="1" x14ac:dyDescent="0.2">
      <c r="B214" s="149"/>
      <c r="D214" s="138" t="s">
        <v>301</v>
      </c>
      <c r="F214" s="151" t="s">
        <v>2740</v>
      </c>
      <c r="H214" s="152">
        <v>821.54</v>
      </c>
      <c r="I214" s="153"/>
      <c r="L214" s="149"/>
      <c r="N214" s="217">
        <f>137.424*5</f>
        <v>687.12</v>
      </c>
      <c r="O214" s="218" t="s">
        <v>3836</v>
      </c>
      <c r="Q214" s="332"/>
      <c r="CT214" s="154"/>
      <c r="DA214" s="155"/>
      <c r="EA214" s="150" t="s">
        <v>301</v>
      </c>
      <c r="EB214" s="150" t="s">
        <v>83</v>
      </c>
      <c r="EC214" s="12" t="s">
        <v>83</v>
      </c>
      <c r="ED214" s="12" t="s">
        <v>3</v>
      </c>
      <c r="EE214" s="12" t="s">
        <v>81</v>
      </c>
      <c r="EF214" s="150" t="s">
        <v>282</v>
      </c>
    </row>
    <row r="215" spans="2:150" s="12" customFormat="1" x14ac:dyDescent="0.2">
      <c r="B215" s="149"/>
      <c r="D215" s="138"/>
      <c r="F215" s="151"/>
      <c r="H215" s="152"/>
      <c r="I215" s="153"/>
      <c r="L215" s="149"/>
      <c r="N215" s="310">
        <f>N214-H214</f>
        <v>-134.41999999999996</v>
      </c>
      <c r="O215" s="218"/>
      <c r="Q215" s="332"/>
      <c r="CT215" s="154"/>
      <c r="DA215" s="155"/>
      <c r="EA215" s="150"/>
      <c r="EB215" s="150"/>
      <c r="EF215" s="150"/>
    </row>
    <row r="216" spans="2:150" s="1" customFormat="1" ht="37.9" customHeight="1" x14ac:dyDescent="0.2">
      <c r="B216" s="124"/>
      <c r="C216" s="125" t="s">
        <v>404</v>
      </c>
      <c r="D216" s="125" t="s">
        <v>284</v>
      </c>
      <c r="E216" s="126" t="s">
        <v>982</v>
      </c>
      <c r="F216" s="127" t="s">
        <v>983</v>
      </c>
      <c r="G216" s="128" t="s">
        <v>366</v>
      </c>
      <c r="H216" s="129">
        <v>155.97</v>
      </c>
      <c r="I216" s="130">
        <v>3.4208109177592001</v>
      </c>
      <c r="J216" s="131">
        <f>ROUND(I216*H216,2)</f>
        <v>533.54</v>
      </c>
      <c r="K216" s="127" t="s">
        <v>1</v>
      </c>
      <c r="L216" s="268">
        <f>S216</f>
        <v>0</v>
      </c>
      <c r="M216" s="272">
        <f>ROUND(L216*I216,2)</f>
        <v>0</v>
      </c>
      <c r="N216" s="243"/>
      <c r="O216" s="294">
        <f>ROUND(N216*I216,2)</f>
        <v>0</v>
      </c>
      <c r="P216" s="273">
        <f>H216-L216-N216</f>
        <v>155.97</v>
      </c>
      <c r="Q216" s="268">
        <f>ROUND(P216*I216,2)</f>
        <v>533.54</v>
      </c>
      <c r="R216" s="137"/>
      <c r="S216" s="269">
        <f>W216+Y216+AA216+AC216+AE216</f>
        <v>0</v>
      </c>
      <c r="T216" s="269">
        <f>ROUND(S216*I216,2)</f>
        <v>0</v>
      </c>
      <c r="U216" s="269">
        <f>H216-S216</f>
        <v>155.97</v>
      </c>
      <c r="V216" s="269">
        <f>ROUND(U216*I216,2)</f>
        <v>533.54</v>
      </c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CT216" s="132" t="s">
        <v>1</v>
      </c>
      <c r="CU216" s="133" t="s">
        <v>40</v>
      </c>
      <c r="CW216" s="134">
        <f>CV216*H216</f>
        <v>0</v>
      </c>
      <c r="CX216" s="134">
        <v>0</v>
      </c>
      <c r="CY216" s="134">
        <f>CX216*H216</f>
        <v>0</v>
      </c>
      <c r="CZ216" s="134">
        <v>0</v>
      </c>
      <c r="DA216" s="135">
        <f>CZ216*H216</f>
        <v>0</v>
      </c>
      <c r="DY216" s="136" t="s">
        <v>95</v>
      </c>
      <c r="EA216" s="136" t="s">
        <v>284</v>
      </c>
      <c r="EB216" s="136" t="s">
        <v>83</v>
      </c>
      <c r="EF216" s="16" t="s">
        <v>282</v>
      </c>
      <c r="EL216" s="137">
        <f>IF(CU216="základní",J216,0)</f>
        <v>533.54</v>
      </c>
      <c r="EM216" s="137">
        <f>IF(CU216="snížená",J216,0)</f>
        <v>0</v>
      </c>
      <c r="EN216" s="137">
        <f>IF(CU216="zákl. přenesená",J216,0)</f>
        <v>0</v>
      </c>
      <c r="EO216" s="137">
        <f>IF(CU216="sníž. přenesená",J216,0)</f>
        <v>0</v>
      </c>
      <c r="EP216" s="137">
        <f>IF(CU216="nulová",J216,0)</f>
        <v>0</v>
      </c>
      <c r="EQ216" s="16" t="s">
        <v>81</v>
      </c>
      <c r="ER216" s="137">
        <f>ROUND(I216*H216,2)</f>
        <v>533.54</v>
      </c>
      <c r="ES216" s="16" t="s">
        <v>95</v>
      </c>
      <c r="ET216" s="136" t="s">
        <v>2741</v>
      </c>
    </row>
    <row r="217" spans="2:150" s="1" customFormat="1" ht="48.75" x14ac:dyDescent="0.2">
      <c r="B217" s="31"/>
      <c r="D217" s="138" t="s">
        <v>289</v>
      </c>
      <c r="F217" s="139" t="s">
        <v>408</v>
      </c>
      <c r="I217" s="140"/>
      <c r="L217" s="31"/>
      <c r="N217" s="213"/>
      <c r="O217" s="214"/>
      <c r="Q217" s="330"/>
      <c r="CT217" s="141"/>
      <c r="DA217" s="50"/>
      <c r="EA217" s="16" t="s">
        <v>289</v>
      </c>
      <c r="EB217" s="16" t="s">
        <v>83</v>
      </c>
    </row>
    <row r="218" spans="2:150" s="12" customFormat="1" x14ac:dyDescent="0.2">
      <c r="B218" s="149"/>
      <c r="D218" s="138" t="s">
        <v>301</v>
      </c>
      <c r="F218" s="151" t="s">
        <v>2742</v>
      </c>
      <c r="H218" s="152">
        <v>155.97</v>
      </c>
      <c r="I218" s="153"/>
      <c r="L218" s="149"/>
      <c r="N218" s="217"/>
      <c r="O218" s="218"/>
      <c r="Q218" s="332"/>
      <c r="CT218" s="154"/>
      <c r="DA218" s="155"/>
      <c r="EA218" s="150" t="s">
        <v>301</v>
      </c>
      <c r="EB218" s="150" t="s">
        <v>83</v>
      </c>
      <c r="EC218" s="12" t="s">
        <v>83</v>
      </c>
      <c r="ED218" s="12" t="s">
        <v>3</v>
      </c>
      <c r="EE218" s="12" t="s">
        <v>81</v>
      </c>
      <c r="EF218" s="150" t="s">
        <v>282</v>
      </c>
    </row>
    <row r="219" spans="2:150" s="1" customFormat="1" ht="24.2" customHeight="1" x14ac:dyDescent="0.2">
      <c r="B219" s="124"/>
      <c r="C219" s="125" t="s">
        <v>7</v>
      </c>
      <c r="D219" s="125" t="s">
        <v>284</v>
      </c>
      <c r="E219" s="126" t="s">
        <v>986</v>
      </c>
      <c r="F219" s="127" t="s">
        <v>987</v>
      </c>
      <c r="G219" s="128" t="s">
        <v>366</v>
      </c>
      <c r="H219" s="129">
        <v>31.193999999999999</v>
      </c>
      <c r="I219" s="130">
        <v>43.080493951075745</v>
      </c>
      <c r="J219" s="131">
        <f>ROUND(I219*H219,2)</f>
        <v>1343.85</v>
      </c>
      <c r="K219" s="127" t="s">
        <v>293</v>
      </c>
      <c r="L219" s="268">
        <f>S219</f>
        <v>0</v>
      </c>
      <c r="M219" s="272">
        <f>ROUND(L219*I219,2)</f>
        <v>0</v>
      </c>
      <c r="N219" s="243">
        <f>N228</f>
        <v>-16.66526</v>
      </c>
      <c r="O219" s="294">
        <f>ROUND(N219*I219,2)</f>
        <v>-717.95</v>
      </c>
      <c r="P219" s="273">
        <f>H219-L219-N219</f>
        <v>47.859259999999999</v>
      </c>
      <c r="Q219" s="268">
        <f>ROUND(P219*I219,2)</f>
        <v>2061.8000000000002</v>
      </c>
      <c r="R219" s="137"/>
      <c r="S219" s="269">
        <f>W219+Y219+AA219+AC219+AE219</f>
        <v>0</v>
      </c>
      <c r="T219" s="269">
        <f>ROUND(S219*I219,2)</f>
        <v>0</v>
      </c>
      <c r="U219" s="269">
        <f>H219-S219</f>
        <v>31.193999999999999</v>
      </c>
      <c r="V219" s="269">
        <f>ROUND(U219*I219,2)</f>
        <v>1343.85</v>
      </c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CT219" s="132" t="s">
        <v>1</v>
      </c>
      <c r="CU219" s="133" t="s">
        <v>40</v>
      </c>
      <c r="CW219" s="134">
        <f>CV219*H219</f>
        <v>0</v>
      </c>
      <c r="CX219" s="134">
        <v>0</v>
      </c>
      <c r="CY219" s="134">
        <f>CX219*H219</f>
        <v>0</v>
      </c>
      <c r="CZ219" s="134">
        <v>0</v>
      </c>
      <c r="DA219" s="135">
        <f>CZ219*H219</f>
        <v>0</v>
      </c>
      <c r="DY219" s="136" t="s">
        <v>95</v>
      </c>
      <c r="EA219" s="136" t="s">
        <v>284</v>
      </c>
      <c r="EB219" s="136" t="s">
        <v>83</v>
      </c>
      <c r="EF219" s="16" t="s">
        <v>282</v>
      </c>
      <c r="EL219" s="137">
        <f>IF(CU219="základní",J219,0)</f>
        <v>1343.85</v>
      </c>
      <c r="EM219" s="137">
        <f>IF(CU219="snížená",J219,0)</f>
        <v>0</v>
      </c>
      <c r="EN219" s="137">
        <f>IF(CU219="zákl. přenesená",J219,0)</f>
        <v>0</v>
      </c>
      <c r="EO219" s="137">
        <f>IF(CU219="sníž. přenesená",J219,0)</f>
        <v>0</v>
      </c>
      <c r="EP219" s="137">
        <f>IF(CU219="nulová",J219,0)</f>
        <v>0</v>
      </c>
      <c r="EQ219" s="16" t="s">
        <v>81</v>
      </c>
      <c r="ER219" s="137">
        <f>ROUND(I219*H219,2)</f>
        <v>1343.85</v>
      </c>
      <c r="ES219" s="16" t="s">
        <v>95</v>
      </c>
      <c r="ET219" s="136" t="s">
        <v>2743</v>
      </c>
    </row>
    <row r="220" spans="2:150" s="1" customFormat="1" ht="29.25" x14ac:dyDescent="0.2">
      <c r="B220" s="31"/>
      <c r="D220" s="138" t="s">
        <v>289</v>
      </c>
      <c r="F220" s="139" t="s">
        <v>989</v>
      </c>
      <c r="I220" s="140"/>
      <c r="L220" s="31"/>
      <c r="N220" s="213"/>
      <c r="O220" s="214"/>
      <c r="Q220" s="330"/>
      <c r="CT220" s="141"/>
      <c r="DA220" s="50"/>
      <c r="EA220" s="16" t="s">
        <v>289</v>
      </c>
      <c r="EB220" s="16" t="s">
        <v>83</v>
      </c>
    </row>
    <row r="221" spans="2:150" s="11" customFormat="1" x14ac:dyDescent="0.2">
      <c r="B221" s="143"/>
      <c r="D221" s="138" t="s">
        <v>301</v>
      </c>
      <c r="E221" s="144" t="s">
        <v>1</v>
      </c>
      <c r="F221" s="145" t="s">
        <v>976</v>
      </c>
      <c r="H221" s="144" t="s">
        <v>1</v>
      </c>
      <c r="I221" s="146"/>
      <c r="L221" s="143"/>
      <c r="N221" s="215"/>
      <c r="O221" s="216"/>
      <c r="Q221" s="331"/>
      <c r="CT221" s="147"/>
      <c r="DA221" s="148"/>
      <c r="EA221" s="144" t="s">
        <v>301</v>
      </c>
      <c r="EB221" s="144" t="s">
        <v>83</v>
      </c>
      <c r="EC221" s="11" t="s">
        <v>81</v>
      </c>
      <c r="ED221" s="11" t="s">
        <v>32</v>
      </c>
      <c r="EE221" s="11" t="s">
        <v>74</v>
      </c>
      <c r="EF221" s="144" t="s">
        <v>282</v>
      </c>
    </row>
    <row r="222" spans="2:150" s="12" customFormat="1" x14ac:dyDescent="0.2">
      <c r="B222" s="149"/>
      <c r="D222" s="138" t="s">
        <v>301</v>
      </c>
      <c r="E222" s="150" t="s">
        <v>1</v>
      </c>
      <c r="F222" s="151" t="s">
        <v>2737</v>
      </c>
      <c r="H222" s="152">
        <v>8.68</v>
      </c>
      <c r="I222" s="153"/>
      <c r="L222" s="149"/>
      <c r="N222" s="217">
        <f>46.93*0.1</f>
        <v>4.6930000000000005</v>
      </c>
      <c r="O222" s="218" t="s">
        <v>3838</v>
      </c>
      <c r="Q222" s="332"/>
      <c r="CT222" s="154"/>
      <c r="DA222" s="155"/>
      <c r="EA222" s="150" t="s">
        <v>301</v>
      </c>
      <c r="EB222" s="150" t="s">
        <v>83</v>
      </c>
      <c r="EC222" s="12" t="s">
        <v>83</v>
      </c>
      <c r="ED222" s="12" t="s">
        <v>32</v>
      </c>
      <c r="EE222" s="12" t="s">
        <v>74</v>
      </c>
      <c r="EF222" s="150" t="s">
        <v>282</v>
      </c>
    </row>
    <row r="223" spans="2:150" s="14" customFormat="1" x14ac:dyDescent="0.2">
      <c r="B223" s="163"/>
      <c r="D223" s="138" t="s">
        <v>301</v>
      </c>
      <c r="E223" s="164" t="s">
        <v>1</v>
      </c>
      <c r="F223" s="165" t="s">
        <v>373</v>
      </c>
      <c r="H223" s="166">
        <v>8.68</v>
      </c>
      <c r="I223" s="167"/>
      <c r="L223" s="163"/>
      <c r="N223" s="221">
        <f>N222</f>
        <v>4.6930000000000005</v>
      </c>
      <c r="O223" s="222"/>
      <c r="Q223" s="333"/>
      <c r="CT223" s="168"/>
      <c r="DA223" s="169"/>
      <c r="EA223" s="164" t="s">
        <v>301</v>
      </c>
      <c r="EB223" s="164" t="s">
        <v>83</v>
      </c>
      <c r="EC223" s="14" t="s">
        <v>90</v>
      </c>
      <c r="ED223" s="14" t="s">
        <v>32</v>
      </c>
      <c r="EE223" s="14" t="s">
        <v>74</v>
      </c>
      <c r="EF223" s="164" t="s">
        <v>282</v>
      </c>
    </row>
    <row r="224" spans="2:150" s="11" customFormat="1" x14ac:dyDescent="0.2">
      <c r="B224" s="143"/>
      <c r="D224" s="138" t="s">
        <v>301</v>
      </c>
      <c r="E224" s="144" t="s">
        <v>1</v>
      </c>
      <c r="F224" s="145" t="s">
        <v>1102</v>
      </c>
      <c r="H224" s="144" t="s">
        <v>1</v>
      </c>
      <c r="I224" s="146"/>
      <c r="L224" s="143"/>
      <c r="N224" s="215"/>
      <c r="O224" s="216"/>
      <c r="Q224" s="331"/>
      <c r="CT224" s="147"/>
      <c r="DA224" s="148"/>
      <c r="EA224" s="144" t="s">
        <v>301</v>
      </c>
      <c r="EB224" s="144" t="s">
        <v>83</v>
      </c>
      <c r="EC224" s="11" t="s">
        <v>81</v>
      </c>
      <c r="ED224" s="11" t="s">
        <v>32</v>
      </c>
      <c r="EE224" s="11" t="s">
        <v>74</v>
      </c>
      <c r="EF224" s="144" t="s">
        <v>282</v>
      </c>
    </row>
    <row r="225" spans="2:150" s="12" customFormat="1" x14ac:dyDescent="0.2">
      <c r="B225" s="149"/>
      <c r="D225" s="138" t="s">
        <v>301</v>
      </c>
      <c r="E225" s="150" t="s">
        <v>1</v>
      </c>
      <c r="F225" s="151" t="s">
        <v>2744</v>
      </c>
      <c r="H225" s="152">
        <v>22.513999999999999</v>
      </c>
      <c r="I225" s="153"/>
      <c r="L225" s="149"/>
      <c r="N225" s="217">
        <f>10.31*0.9*(1.6-0.1-0.34-0.1)</f>
        <v>9.8357399999999977</v>
      </c>
      <c r="O225" s="218" t="s">
        <v>3839</v>
      </c>
      <c r="Q225" s="332"/>
      <c r="CT225" s="154"/>
      <c r="DA225" s="155"/>
      <c r="EA225" s="150" t="s">
        <v>301</v>
      </c>
      <c r="EB225" s="150" t="s">
        <v>83</v>
      </c>
      <c r="EC225" s="12" t="s">
        <v>83</v>
      </c>
      <c r="ED225" s="12" t="s">
        <v>32</v>
      </c>
      <c r="EE225" s="12" t="s">
        <v>74</v>
      </c>
      <c r="EF225" s="150" t="s">
        <v>282</v>
      </c>
    </row>
    <row r="226" spans="2:150" s="14" customFormat="1" x14ac:dyDescent="0.2">
      <c r="B226" s="163"/>
      <c r="D226" s="138" t="s">
        <v>301</v>
      </c>
      <c r="E226" s="164" t="s">
        <v>1</v>
      </c>
      <c r="F226" s="165" t="s">
        <v>373</v>
      </c>
      <c r="H226" s="166">
        <v>22.513999999999999</v>
      </c>
      <c r="I226" s="167"/>
      <c r="L226" s="163"/>
      <c r="N226" s="221">
        <f>N225</f>
        <v>9.8357399999999977</v>
      </c>
      <c r="O226" s="222"/>
      <c r="Q226" s="333"/>
      <c r="CT226" s="168"/>
      <c r="DA226" s="169"/>
      <c r="EA226" s="164" t="s">
        <v>301</v>
      </c>
      <c r="EB226" s="164" t="s">
        <v>83</v>
      </c>
      <c r="EC226" s="14" t="s">
        <v>90</v>
      </c>
      <c r="ED226" s="14" t="s">
        <v>32</v>
      </c>
      <c r="EE226" s="14" t="s">
        <v>74</v>
      </c>
      <c r="EF226" s="164" t="s">
        <v>282</v>
      </c>
    </row>
    <row r="227" spans="2:150" s="13" customFormat="1" x14ac:dyDescent="0.2">
      <c r="B227" s="156"/>
      <c r="D227" s="138" t="s">
        <v>301</v>
      </c>
      <c r="E227" s="157" t="s">
        <v>1</v>
      </c>
      <c r="F227" s="158" t="s">
        <v>305</v>
      </c>
      <c r="H227" s="159">
        <v>31.193999999999999</v>
      </c>
      <c r="I227" s="160"/>
      <c r="L227" s="156"/>
      <c r="N227" s="219">
        <f>N223+N226</f>
        <v>14.528739999999999</v>
      </c>
      <c r="O227" s="220"/>
      <c r="Q227" s="334"/>
      <c r="CT227" s="161"/>
      <c r="DA227" s="162"/>
      <c r="EA227" s="157" t="s">
        <v>301</v>
      </c>
      <c r="EB227" s="157" t="s">
        <v>83</v>
      </c>
      <c r="EC227" s="13" t="s">
        <v>95</v>
      </c>
      <c r="ED227" s="13" t="s">
        <v>32</v>
      </c>
      <c r="EE227" s="13" t="s">
        <v>81</v>
      </c>
      <c r="EF227" s="157" t="s">
        <v>282</v>
      </c>
    </row>
    <row r="228" spans="2:150" s="13" customFormat="1" x14ac:dyDescent="0.2">
      <c r="B228" s="156"/>
      <c r="D228" s="138"/>
      <c r="E228" s="157"/>
      <c r="F228" s="158"/>
      <c r="H228" s="159"/>
      <c r="I228" s="160"/>
      <c r="L228" s="156"/>
      <c r="N228" s="311">
        <f>N227-H227</f>
        <v>-16.66526</v>
      </c>
      <c r="O228" s="220"/>
      <c r="Q228" s="334"/>
      <c r="CT228" s="161"/>
      <c r="DA228" s="162"/>
      <c r="EA228" s="157"/>
      <c r="EB228" s="157"/>
      <c r="EF228" s="157"/>
    </row>
    <row r="229" spans="2:150" s="1" customFormat="1" ht="24.2" customHeight="1" x14ac:dyDescent="0.2">
      <c r="B229" s="124"/>
      <c r="C229" s="125" t="s">
        <v>415</v>
      </c>
      <c r="D229" s="125" t="s">
        <v>284</v>
      </c>
      <c r="E229" s="126" t="s">
        <v>410</v>
      </c>
      <c r="F229" s="127" t="s">
        <v>411</v>
      </c>
      <c r="G229" s="128" t="s">
        <v>287</v>
      </c>
      <c r="H229" s="129">
        <v>119.7</v>
      </c>
      <c r="I229" s="130">
        <v>6.3644601414457247</v>
      </c>
      <c r="J229" s="131">
        <f>ROUND(I229*H229,2)</f>
        <v>761.83</v>
      </c>
      <c r="K229" s="127" t="s">
        <v>293</v>
      </c>
      <c r="L229" s="268">
        <f>S229</f>
        <v>0</v>
      </c>
      <c r="M229" s="272">
        <f>ROUND(L229*I229,2)</f>
        <v>0</v>
      </c>
      <c r="N229" s="243">
        <f>N235</f>
        <v>-19.737000000000009</v>
      </c>
      <c r="O229" s="294">
        <f>ROUND(N229*I229,2)</f>
        <v>-125.62</v>
      </c>
      <c r="P229" s="273">
        <f>H229-L229-N229</f>
        <v>139.43700000000001</v>
      </c>
      <c r="Q229" s="268">
        <f>ROUND(P229*I229,2)</f>
        <v>887.44</v>
      </c>
      <c r="R229" s="137"/>
      <c r="S229" s="269">
        <f>W229+Y229+AA229+AC229+AE229</f>
        <v>0</v>
      </c>
      <c r="T229" s="269">
        <f>ROUND(S229*I229,2)</f>
        <v>0</v>
      </c>
      <c r="U229" s="269">
        <f>H229-S229</f>
        <v>119.7</v>
      </c>
      <c r="V229" s="269">
        <f>ROUND(U229*I229,2)</f>
        <v>761.83</v>
      </c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CT229" s="132" t="s">
        <v>1</v>
      </c>
      <c r="CU229" s="133" t="s">
        <v>40</v>
      </c>
      <c r="CW229" s="134">
        <f>CV229*H229</f>
        <v>0</v>
      </c>
      <c r="CX229" s="134">
        <v>0</v>
      </c>
      <c r="CY229" s="134">
        <f>CX229*H229</f>
        <v>0</v>
      </c>
      <c r="CZ229" s="134">
        <v>0</v>
      </c>
      <c r="DA229" s="135">
        <f>CZ229*H229</f>
        <v>0</v>
      </c>
      <c r="DY229" s="136" t="s">
        <v>95</v>
      </c>
      <c r="EA229" s="136" t="s">
        <v>284</v>
      </c>
      <c r="EB229" s="136" t="s">
        <v>83</v>
      </c>
      <c r="EF229" s="16" t="s">
        <v>282</v>
      </c>
      <c r="EL229" s="137">
        <f>IF(CU229="základní",J229,0)</f>
        <v>761.83</v>
      </c>
      <c r="EM229" s="137">
        <f>IF(CU229="snížená",J229,0)</f>
        <v>0</v>
      </c>
      <c r="EN229" s="137">
        <f>IF(CU229="zákl. přenesená",J229,0)</f>
        <v>0</v>
      </c>
      <c r="EO229" s="137">
        <f>IF(CU229="sníž. přenesená",J229,0)</f>
        <v>0</v>
      </c>
      <c r="EP229" s="137">
        <f>IF(CU229="nulová",J229,0)</f>
        <v>0</v>
      </c>
      <c r="EQ229" s="16" t="s">
        <v>81</v>
      </c>
      <c r="ER229" s="137">
        <f>ROUND(I229*H229,2)</f>
        <v>761.83</v>
      </c>
      <c r="ES229" s="16" t="s">
        <v>95</v>
      </c>
      <c r="ET229" s="136" t="s">
        <v>2745</v>
      </c>
    </row>
    <row r="230" spans="2:150" s="1" customFormat="1" ht="19.5" x14ac:dyDescent="0.2">
      <c r="B230" s="31"/>
      <c r="D230" s="138" t="s">
        <v>289</v>
      </c>
      <c r="F230" s="139" t="s">
        <v>413</v>
      </c>
      <c r="I230" s="140"/>
      <c r="L230" s="31"/>
      <c r="N230" s="213"/>
      <c r="O230" s="214"/>
      <c r="Q230" s="330"/>
      <c r="CT230" s="141"/>
      <c r="DA230" s="50"/>
      <c r="EA230" s="16" t="s">
        <v>289</v>
      </c>
      <c r="EB230" s="16" t="s">
        <v>83</v>
      </c>
    </row>
    <row r="231" spans="2:150" s="1" customFormat="1" ht="29.25" x14ac:dyDescent="0.2">
      <c r="B231" s="31"/>
      <c r="D231" s="138" t="s">
        <v>299</v>
      </c>
      <c r="F231" s="142" t="s">
        <v>2431</v>
      </c>
      <c r="I231" s="140"/>
      <c r="L231" s="31"/>
      <c r="N231" s="213"/>
      <c r="O231" s="214"/>
      <c r="Q231" s="330"/>
      <c r="CT231" s="141"/>
      <c r="DA231" s="50"/>
      <c r="EA231" s="16" t="s">
        <v>299</v>
      </c>
      <c r="EB231" s="16" t="s">
        <v>83</v>
      </c>
    </row>
    <row r="232" spans="2:150" s="12" customFormat="1" x14ac:dyDescent="0.2">
      <c r="B232" s="149"/>
      <c r="D232" s="138" t="s">
        <v>301</v>
      </c>
      <c r="E232" s="150" t="s">
        <v>1</v>
      </c>
      <c r="F232" s="151" t="s">
        <v>2746</v>
      </c>
      <c r="H232" s="152">
        <v>117.45</v>
      </c>
      <c r="I232" s="153"/>
      <c r="L232" s="149"/>
      <c r="N232" s="217">
        <f>108.57*0.9</f>
        <v>97.712999999999994</v>
      </c>
      <c r="O232" s="218" t="s">
        <v>3827</v>
      </c>
      <c r="Q232" s="332"/>
      <c r="CT232" s="154"/>
      <c r="DA232" s="155"/>
      <c r="EA232" s="150" t="s">
        <v>301</v>
      </c>
      <c r="EB232" s="150" t="s">
        <v>83</v>
      </c>
      <c r="EC232" s="12" t="s">
        <v>83</v>
      </c>
      <c r="ED232" s="12" t="s">
        <v>32</v>
      </c>
      <c r="EE232" s="12" t="s">
        <v>74</v>
      </c>
      <c r="EF232" s="150" t="s">
        <v>282</v>
      </c>
    </row>
    <row r="233" spans="2:150" s="12" customFormat="1" x14ac:dyDescent="0.2">
      <c r="B233" s="149"/>
      <c r="D233" s="138" t="s">
        <v>301</v>
      </c>
      <c r="E233" s="150" t="s">
        <v>1</v>
      </c>
      <c r="F233" s="151" t="s">
        <v>2747</v>
      </c>
      <c r="H233" s="152">
        <v>2.25</v>
      </c>
      <c r="I233" s="153"/>
      <c r="L233" s="149"/>
      <c r="N233" s="217">
        <v>2.25</v>
      </c>
      <c r="O233" s="218"/>
      <c r="Q233" s="332"/>
      <c r="CT233" s="154"/>
      <c r="DA233" s="155"/>
      <c r="EA233" s="150" t="s">
        <v>301</v>
      </c>
      <c r="EB233" s="150" t="s">
        <v>83</v>
      </c>
      <c r="EC233" s="12" t="s">
        <v>83</v>
      </c>
      <c r="ED233" s="12" t="s">
        <v>32</v>
      </c>
      <c r="EE233" s="12" t="s">
        <v>74</v>
      </c>
      <c r="EF233" s="150" t="s">
        <v>282</v>
      </c>
    </row>
    <row r="234" spans="2:150" s="13" customFormat="1" x14ac:dyDescent="0.2">
      <c r="B234" s="156"/>
      <c r="D234" s="138" t="s">
        <v>301</v>
      </c>
      <c r="E234" s="157" t="s">
        <v>1</v>
      </c>
      <c r="F234" s="158" t="s">
        <v>305</v>
      </c>
      <c r="H234" s="159">
        <v>119.7</v>
      </c>
      <c r="I234" s="160"/>
      <c r="L234" s="156"/>
      <c r="N234" s="219">
        <f>N232+N233</f>
        <v>99.962999999999994</v>
      </c>
      <c r="O234" s="220"/>
      <c r="Q234" s="334"/>
      <c r="CT234" s="161"/>
      <c r="DA234" s="162"/>
      <c r="EA234" s="157" t="s">
        <v>301</v>
      </c>
      <c r="EB234" s="157" t="s">
        <v>83</v>
      </c>
      <c r="EC234" s="13" t="s">
        <v>95</v>
      </c>
      <c r="ED234" s="13" t="s">
        <v>32</v>
      </c>
      <c r="EE234" s="13" t="s">
        <v>81</v>
      </c>
      <c r="EF234" s="157" t="s">
        <v>282</v>
      </c>
    </row>
    <row r="235" spans="2:150" s="13" customFormat="1" x14ac:dyDescent="0.2">
      <c r="B235" s="156"/>
      <c r="D235" s="138"/>
      <c r="E235" s="157"/>
      <c r="F235" s="158"/>
      <c r="H235" s="159"/>
      <c r="I235" s="160"/>
      <c r="L235" s="156"/>
      <c r="N235" s="311">
        <f>N234-H234</f>
        <v>-19.737000000000009</v>
      </c>
      <c r="O235" s="220"/>
      <c r="Q235" s="334"/>
      <c r="CT235" s="161"/>
      <c r="DA235" s="162"/>
      <c r="EA235" s="157"/>
      <c r="EB235" s="157"/>
      <c r="EF235" s="157"/>
    </row>
    <row r="236" spans="2:150" s="1" customFormat="1" ht="24.2" customHeight="1" x14ac:dyDescent="0.2">
      <c r="B236" s="124"/>
      <c r="C236" s="125" t="s">
        <v>422</v>
      </c>
      <c r="D236" s="125" t="s">
        <v>284</v>
      </c>
      <c r="E236" s="126" t="s">
        <v>416</v>
      </c>
      <c r="F236" s="127" t="s">
        <v>417</v>
      </c>
      <c r="G236" s="128" t="s">
        <v>418</v>
      </c>
      <c r="H236" s="129">
        <v>239.60499999999999</v>
      </c>
      <c r="I236" s="130">
        <v>110.6455721</v>
      </c>
      <c r="J236" s="131">
        <f>ROUND(I236*H236,2)</f>
        <v>26511.23</v>
      </c>
      <c r="K236" s="127" t="s">
        <v>293</v>
      </c>
      <c r="L236" s="268">
        <f>S236</f>
        <v>0</v>
      </c>
      <c r="M236" s="272">
        <f>ROUND(L236*I236,2)</f>
        <v>0</v>
      </c>
      <c r="N236" s="243">
        <f>N244</f>
        <v>-48.390999999999991</v>
      </c>
      <c r="O236" s="294">
        <f>ROUND(N236*I236,2)</f>
        <v>-5354.25</v>
      </c>
      <c r="P236" s="273">
        <f>H236-L236-N236</f>
        <v>287.99599999999998</v>
      </c>
      <c r="Q236" s="268">
        <f>ROUND(P236*I236,2)</f>
        <v>31865.48</v>
      </c>
      <c r="R236" s="137"/>
      <c r="S236" s="269">
        <f>W236+Y236+AA236+AC236+AE236</f>
        <v>0</v>
      </c>
      <c r="T236" s="269">
        <f>ROUND(S236*I236,2)</f>
        <v>0</v>
      </c>
      <c r="U236" s="269">
        <f>H236-S236</f>
        <v>239.60499999999999</v>
      </c>
      <c r="V236" s="269">
        <f>ROUND(U236*I236,2)</f>
        <v>26511.23</v>
      </c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CT236" s="132" t="s">
        <v>1</v>
      </c>
      <c r="CU236" s="133" t="s">
        <v>40</v>
      </c>
      <c r="CW236" s="134">
        <f>CV236*H236</f>
        <v>0</v>
      </c>
      <c r="CX236" s="134">
        <v>0</v>
      </c>
      <c r="CY236" s="134">
        <f>CX236*H236</f>
        <v>0</v>
      </c>
      <c r="CZ236" s="134">
        <v>0</v>
      </c>
      <c r="DA236" s="135">
        <f>CZ236*H236</f>
        <v>0</v>
      </c>
      <c r="DY236" s="136" t="s">
        <v>95</v>
      </c>
      <c r="EA236" s="136" t="s">
        <v>284</v>
      </c>
      <c r="EB236" s="136" t="s">
        <v>83</v>
      </c>
      <c r="EF236" s="16" t="s">
        <v>282</v>
      </c>
      <c r="EL236" s="137">
        <f>IF(CU236="základní",J236,0)</f>
        <v>26511.23</v>
      </c>
      <c r="EM236" s="137">
        <f>IF(CU236="snížená",J236,0)</f>
        <v>0</v>
      </c>
      <c r="EN236" s="137">
        <f>IF(CU236="zákl. přenesená",J236,0)</f>
        <v>0</v>
      </c>
      <c r="EO236" s="137">
        <f>IF(CU236="sníž. přenesená",J236,0)</f>
        <v>0</v>
      </c>
      <c r="EP236" s="137">
        <f>IF(CU236="nulová",J236,0)</f>
        <v>0</v>
      </c>
      <c r="EQ236" s="16" t="s">
        <v>81</v>
      </c>
      <c r="ER236" s="137">
        <f>ROUND(I236*H236,2)</f>
        <v>26511.23</v>
      </c>
      <c r="ES236" s="16" t="s">
        <v>95</v>
      </c>
      <c r="ET236" s="136" t="s">
        <v>2748</v>
      </c>
    </row>
    <row r="237" spans="2:150" s="1" customFormat="1" ht="29.25" x14ac:dyDescent="0.2">
      <c r="B237" s="31"/>
      <c r="D237" s="138" t="s">
        <v>289</v>
      </c>
      <c r="F237" s="139" t="s">
        <v>420</v>
      </c>
      <c r="I237" s="140"/>
      <c r="L237" s="31"/>
      <c r="N237" s="213"/>
      <c r="O237" s="214"/>
      <c r="Q237" s="330"/>
      <c r="CT237" s="141"/>
      <c r="DA237" s="50"/>
      <c r="EA237" s="16" t="s">
        <v>289</v>
      </c>
      <c r="EB237" s="16" t="s">
        <v>83</v>
      </c>
    </row>
    <row r="238" spans="2:150" s="11" customFormat="1" x14ac:dyDescent="0.2">
      <c r="B238" s="143"/>
      <c r="D238" s="138" t="s">
        <v>301</v>
      </c>
      <c r="E238" s="144" t="s">
        <v>1</v>
      </c>
      <c r="F238" s="145" t="s">
        <v>996</v>
      </c>
      <c r="H238" s="144" t="s">
        <v>1</v>
      </c>
      <c r="I238" s="146"/>
      <c r="L238" s="143"/>
      <c r="N238" s="215"/>
      <c r="O238" s="216"/>
      <c r="Q238" s="331"/>
      <c r="CT238" s="147"/>
      <c r="DA238" s="148"/>
      <c r="EA238" s="144" t="s">
        <v>301</v>
      </c>
      <c r="EB238" s="144" t="s">
        <v>83</v>
      </c>
      <c r="EC238" s="11" t="s">
        <v>81</v>
      </c>
      <c r="ED238" s="11" t="s">
        <v>32</v>
      </c>
      <c r="EE238" s="11" t="s">
        <v>74</v>
      </c>
      <c r="EF238" s="144" t="s">
        <v>282</v>
      </c>
    </row>
    <row r="239" spans="2:150" s="12" customFormat="1" x14ac:dyDescent="0.2">
      <c r="B239" s="149"/>
      <c r="D239" s="138" t="s">
        <v>301</v>
      </c>
      <c r="E239" s="150" t="s">
        <v>1</v>
      </c>
      <c r="F239" s="151" t="s">
        <v>2749</v>
      </c>
      <c r="H239" s="152">
        <v>164.30799999999999</v>
      </c>
      <c r="I239" s="153"/>
      <c r="L239" s="149"/>
      <c r="N239" s="217">
        <v>137.42400000000001</v>
      </c>
      <c r="O239" s="218"/>
      <c r="Q239" s="332"/>
      <c r="CT239" s="154"/>
      <c r="DA239" s="155"/>
      <c r="EA239" s="150" t="s">
        <v>301</v>
      </c>
      <c r="EB239" s="150" t="s">
        <v>83</v>
      </c>
      <c r="EC239" s="12" t="s">
        <v>83</v>
      </c>
      <c r="ED239" s="12" t="s">
        <v>32</v>
      </c>
      <c r="EE239" s="12" t="s">
        <v>74</v>
      </c>
      <c r="EF239" s="150" t="s">
        <v>282</v>
      </c>
    </row>
    <row r="240" spans="2:150" s="11" customFormat="1" x14ac:dyDescent="0.2">
      <c r="B240" s="143"/>
      <c r="D240" s="138" t="s">
        <v>301</v>
      </c>
      <c r="E240" s="144" t="s">
        <v>1</v>
      </c>
      <c r="F240" s="145" t="s">
        <v>998</v>
      </c>
      <c r="H240" s="144" t="s">
        <v>1</v>
      </c>
      <c r="I240" s="146"/>
      <c r="L240" s="143"/>
      <c r="N240" s="215"/>
      <c r="O240" s="216"/>
      <c r="Q240" s="331"/>
      <c r="CT240" s="147"/>
      <c r="DA240" s="148"/>
      <c r="EA240" s="144" t="s">
        <v>301</v>
      </c>
      <c r="EB240" s="144" t="s">
        <v>83</v>
      </c>
      <c r="EC240" s="11" t="s">
        <v>81</v>
      </c>
      <c r="ED240" s="11" t="s">
        <v>32</v>
      </c>
      <c r="EE240" s="11" t="s">
        <v>74</v>
      </c>
      <c r="EF240" s="144" t="s">
        <v>282</v>
      </c>
    </row>
    <row r="241" spans="2:150" s="12" customFormat="1" x14ac:dyDescent="0.2">
      <c r="B241" s="149"/>
      <c r="D241" s="138" t="s">
        <v>301</v>
      </c>
      <c r="E241" s="150" t="s">
        <v>1</v>
      </c>
      <c r="F241" s="151" t="s">
        <v>2750</v>
      </c>
      <c r="H241" s="152">
        <v>-31.193999999999999</v>
      </c>
      <c r="I241" s="153"/>
      <c r="L241" s="149"/>
      <c r="N241" s="310">
        <f>H241</f>
        <v>-31.193999999999999</v>
      </c>
      <c r="O241" s="218"/>
      <c r="Q241" s="332"/>
      <c r="CT241" s="154"/>
      <c r="DA241" s="155"/>
      <c r="EA241" s="150" t="s">
        <v>301</v>
      </c>
      <c r="EB241" s="150" t="s">
        <v>83</v>
      </c>
      <c r="EC241" s="12" t="s">
        <v>83</v>
      </c>
      <c r="ED241" s="12" t="s">
        <v>32</v>
      </c>
      <c r="EE241" s="12" t="s">
        <v>74</v>
      </c>
      <c r="EF241" s="150" t="s">
        <v>282</v>
      </c>
    </row>
    <row r="242" spans="2:150" s="13" customFormat="1" x14ac:dyDescent="0.2">
      <c r="B242" s="156"/>
      <c r="D242" s="138" t="s">
        <v>301</v>
      </c>
      <c r="E242" s="157" t="s">
        <v>1</v>
      </c>
      <c r="F242" s="158" t="s">
        <v>305</v>
      </c>
      <c r="H242" s="159">
        <v>133.114</v>
      </c>
      <c r="I242" s="160"/>
      <c r="L242" s="156"/>
      <c r="N242" s="311">
        <f>N239+N241</f>
        <v>106.23</v>
      </c>
      <c r="O242" s="220"/>
      <c r="Q242" s="334"/>
      <c r="CT242" s="161"/>
      <c r="DA242" s="162"/>
      <c r="EA242" s="157" t="s">
        <v>301</v>
      </c>
      <c r="EB242" s="157" t="s">
        <v>83</v>
      </c>
      <c r="EC242" s="13" t="s">
        <v>95</v>
      </c>
      <c r="ED242" s="13" t="s">
        <v>32</v>
      </c>
      <c r="EE242" s="13" t="s">
        <v>81</v>
      </c>
      <c r="EF242" s="157" t="s">
        <v>282</v>
      </c>
    </row>
    <row r="243" spans="2:150" s="12" customFormat="1" x14ac:dyDescent="0.2">
      <c r="B243" s="149"/>
      <c r="D243" s="138" t="s">
        <v>301</v>
      </c>
      <c r="F243" s="151" t="s">
        <v>2751</v>
      </c>
      <c r="H243" s="152">
        <v>239.60499999999999</v>
      </c>
      <c r="I243" s="153"/>
      <c r="L243" s="149"/>
      <c r="N243" s="217">
        <f>N242*1.8</f>
        <v>191.214</v>
      </c>
      <c r="O243" s="218"/>
      <c r="Q243" s="332"/>
      <c r="CT243" s="154"/>
      <c r="DA243" s="155"/>
      <c r="EA243" s="150" t="s">
        <v>301</v>
      </c>
      <c r="EB243" s="150" t="s">
        <v>83</v>
      </c>
      <c r="EC243" s="12" t="s">
        <v>83</v>
      </c>
      <c r="ED243" s="12" t="s">
        <v>3</v>
      </c>
      <c r="EE243" s="12" t="s">
        <v>81</v>
      </c>
      <c r="EF243" s="150" t="s">
        <v>282</v>
      </c>
    </row>
    <row r="244" spans="2:150" s="12" customFormat="1" x14ac:dyDescent="0.2">
      <c r="B244" s="149"/>
      <c r="D244" s="138"/>
      <c r="F244" s="151"/>
      <c r="H244" s="152"/>
      <c r="I244" s="153"/>
      <c r="L244" s="149"/>
      <c r="N244" s="310">
        <f>N243-H243</f>
        <v>-48.390999999999991</v>
      </c>
      <c r="O244" s="218"/>
      <c r="Q244" s="332"/>
      <c r="CT244" s="154"/>
      <c r="DA244" s="155"/>
      <c r="EA244" s="150"/>
      <c r="EB244" s="150"/>
      <c r="EF244" s="150"/>
    </row>
    <row r="245" spans="2:150" s="1" customFormat="1" ht="24.2" customHeight="1" x14ac:dyDescent="0.2">
      <c r="B245" s="124"/>
      <c r="C245" s="125" t="s">
        <v>438</v>
      </c>
      <c r="D245" s="125" t="s">
        <v>284</v>
      </c>
      <c r="E245" s="126" t="s">
        <v>423</v>
      </c>
      <c r="F245" s="127" t="s">
        <v>424</v>
      </c>
      <c r="G245" s="128" t="s">
        <v>366</v>
      </c>
      <c r="H245" s="129">
        <v>149.73599999999999</v>
      </c>
      <c r="I245" s="130">
        <v>140.64048227116101</v>
      </c>
      <c r="J245" s="131">
        <f>ROUND(I245*H245,2)</f>
        <v>21058.94</v>
      </c>
      <c r="K245" s="127" t="s">
        <v>293</v>
      </c>
      <c r="L245" s="268">
        <f>S245</f>
        <v>0</v>
      </c>
      <c r="M245" s="272">
        <f>ROUND(L245*I245,2)</f>
        <v>0</v>
      </c>
      <c r="N245" s="243">
        <f>N263</f>
        <v>-26.094520000000017</v>
      </c>
      <c r="O245" s="294">
        <f>ROUND(N245*I245,2)</f>
        <v>-3669.95</v>
      </c>
      <c r="P245" s="273">
        <f>H245-L245-N245</f>
        <v>175.83052000000001</v>
      </c>
      <c r="Q245" s="268">
        <f>ROUND(P245*I245,2)</f>
        <v>24728.89</v>
      </c>
      <c r="R245" s="137"/>
      <c r="S245" s="269">
        <f>W245+Y245+AA245+AC245+AE245</f>
        <v>0</v>
      </c>
      <c r="T245" s="269">
        <f>ROUND(S245*I245,2)</f>
        <v>0</v>
      </c>
      <c r="U245" s="269">
        <f>H245-S245</f>
        <v>149.73599999999999</v>
      </c>
      <c r="V245" s="269">
        <f>ROUND(U245*I245,2)</f>
        <v>21058.94</v>
      </c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CT245" s="132" t="s">
        <v>1</v>
      </c>
      <c r="CU245" s="133" t="s">
        <v>40</v>
      </c>
      <c r="CW245" s="134">
        <f>CV245*H245</f>
        <v>0</v>
      </c>
      <c r="CX245" s="134">
        <v>0</v>
      </c>
      <c r="CY245" s="134">
        <f>CX245*H245</f>
        <v>0</v>
      </c>
      <c r="CZ245" s="134">
        <v>0</v>
      </c>
      <c r="DA245" s="135">
        <f>CZ245*H245</f>
        <v>0</v>
      </c>
      <c r="DY245" s="136" t="s">
        <v>95</v>
      </c>
      <c r="EA245" s="136" t="s">
        <v>284</v>
      </c>
      <c r="EB245" s="136" t="s">
        <v>83</v>
      </c>
      <c r="EF245" s="16" t="s">
        <v>282</v>
      </c>
      <c r="EL245" s="137">
        <f>IF(CU245="základní",J245,0)</f>
        <v>21058.94</v>
      </c>
      <c r="EM245" s="137">
        <f>IF(CU245="snížená",J245,0)</f>
        <v>0</v>
      </c>
      <c r="EN245" s="137">
        <f>IF(CU245="zákl. přenesená",J245,0)</f>
        <v>0</v>
      </c>
      <c r="EO245" s="137">
        <f>IF(CU245="sníž. přenesená",J245,0)</f>
        <v>0</v>
      </c>
      <c r="EP245" s="137">
        <f>IF(CU245="nulová",J245,0)</f>
        <v>0</v>
      </c>
      <c r="EQ245" s="16" t="s">
        <v>81</v>
      </c>
      <c r="ER245" s="137">
        <f>ROUND(I245*H245,2)</f>
        <v>21058.94</v>
      </c>
      <c r="ES245" s="16" t="s">
        <v>95</v>
      </c>
      <c r="ET245" s="136" t="s">
        <v>2752</v>
      </c>
    </row>
    <row r="246" spans="2:150" s="1" customFormat="1" ht="29.25" x14ac:dyDescent="0.2">
      <c r="B246" s="31"/>
      <c r="D246" s="138" t="s">
        <v>289</v>
      </c>
      <c r="F246" s="139" t="s">
        <v>426</v>
      </c>
      <c r="I246" s="140"/>
      <c r="L246" s="31"/>
      <c r="N246" s="213"/>
      <c r="O246" s="214"/>
      <c r="Q246" s="330"/>
      <c r="CT246" s="141"/>
      <c r="DA246" s="50"/>
      <c r="EA246" s="16" t="s">
        <v>289</v>
      </c>
      <c r="EB246" s="16" t="s">
        <v>83</v>
      </c>
    </row>
    <row r="247" spans="2:150" s="11" customFormat="1" x14ac:dyDescent="0.2">
      <c r="B247" s="143"/>
      <c r="D247" s="138" t="s">
        <v>301</v>
      </c>
      <c r="E247" s="144" t="s">
        <v>1</v>
      </c>
      <c r="F247" s="145" t="s">
        <v>1458</v>
      </c>
      <c r="H247" s="144" t="s">
        <v>1</v>
      </c>
      <c r="I247" s="146"/>
      <c r="L247" s="143"/>
      <c r="N247" s="215"/>
      <c r="O247" s="216"/>
      <c r="Q247" s="331"/>
      <c r="CT247" s="147"/>
      <c r="DA247" s="148"/>
      <c r="EA247" s="144" t="s">
        <v>301</v>
      </c>
      <c r="EB247" s="144" t="s">
        <v>83</v>
      </c>
      <c r="EC247" s="11" t="s">
        <v>81</v>
      </c>
      <c r="ED247" s="11" t="s">
        <v>32</v>
      </c>
      <c r="EE247" s="11" t="s">
        <v>74</v>
      </c>
      <c r="EF247" s="144" t="s">
        <v>282</v>
      </c>
    </row>
    <row r="248" spans="2:150" s="12" customFormat="1" x14ac:dyDescent="0.2">
      <c r="B248" s="149"/>
      <c r="D248" s="138" t="s">
        <v>301</v>
      </c>
      <c r="E248" s="150" t="s">
        <v>1</v>
      </c>
      <c r="F248" s="151" t="s">
        <v>2735</v>
      </c>
      <c r="H248" s="152">
        <v>142.50200000000001</v>
      </c>
      <c r="I248" s="153"/>
      <c r="L248" s="149"/>
      <c r="N248" s="217">
        <f>57.809+57.809</f>
        <v>115.61799999999999</v>
      </c>
      <c r="O248" s="218" t="s">
        <v>3835</v>
      </c>
      <c r="Q248" s="332"/>
      <c r="CT248" s="154"/>
      <c r="DA248" s="155"/>
      <c r="EA248" s="150" t="s">
        <v>301</v>
      </c>
      <c r="EB248" s="150" t="s">
        <v>83</v>
      </c>
      <c r="EC248" s="12" t="s">
        <v>83</v>
      </c>
      <c r="ED248" s="12" t="s">
        <v>32</v>
      </c>
      <c r="EE248" s="12" t="s">
        <v>74</v>
      </c>
      <c r="EF248" s="150" t="s">
        <v>282</v>
      </c>
    </row>
    <row r="249" spans="2:150" s="11" customFormat="1" x14ac:dyDescent="0.2">
      <c r="B249" s="143"/>
      <c r="D249" s="138" t="s">
        <v>301</v>
      </c>
      <c r="E249" s="144" t="s">
        <v>1</v>
      </c>
      <c r="F249" s="145" t="s">
        <v>1858</v>
      </c>
      <c r="H249" s="144" t="s">
        <v>1</v>
      </c>
      <c r="I249" s="146"/>
      <c r="L249" s="143"/>
      <c r="N249" s="215"/>
      <c r="O249" s="216"/>
      <c r="Q249" s="331"/>
      <c r="CT249" s="147"/>
      <c r="DA249" s="148"/>
      <c r="EA249" s="144" t="s">
        <v>301</v>
      </c>
      <c r="EB249" s="144" t="s">
        <v>83</v>
      </c>
      <c r="EC249" s="11" t="s">
        <v>81</v>
      </c>
      <c r="ED249" s="11" t="s">
        <v>32</v>
      </c>
      <c r="EE249" s="11" t="s">
        <v>74</v>
      </c>
      <c r="EF249" s="144" t="s">
        <v>282</v>
      </c>
    </row>
    <row r="250" spans="2:150" s="12" customFormat="1" x14ac:dyDescent="0.2">
      <c r="B250" s="149"/>
      <c r="D250" s="138" t="s">
        <v>301</v>
      </c>
      <c r="E250" s="150" t="s">
        <v>1</v>
      </c>
      <c r="F250" s="151" t="s">
        <v>2736</v>
      </c>
      <c r="H250" s="152">
        <v>13.125999999999999</v>
      </c>
      <c r="I250" s="153"/>
      <c r="L250" s="149"/>
      <c r="N250" s="310">
        <f>H250</f>
        <v>13.125999999999999</v>
      </c>
      <c r="O250" s="218"/>
      <c r="Q250" s="332"/>
      <c r="CT250" s="154"/>
      <c r="DA250" s="155"/>
      <c r="EA250" s="150" t="s">
        <v>301</v>
      </c>
      <c r="EB250" s="150" t="s">
        <v>83</v>
      </c>
      <c r="EC250" s="12" t="s">
        <v>83</v>
      </c>
      <c r="ED250" s="12" t="s">
        <v>32</v>
      </c>
      <c r="EE250" s="12" t="s">
        <v>74</v>
      </c>
      <c r="EF250" s="150" t="s">
        <v>282</v>
      </c>
    </row>
    <row r="251" spans="2:150" s="11" customFormat="1" x14ac:dyDescent="0.2">
      <c r="B251" s="143"/>
      <c r="D251" s="138" t="s">
        <v>301</v>
      </c>
      <c r="E251" s="144" t="s">
        <v>1</v>
      </c>
      <c r="F251" s="145" t="s">
        <v>428</v>
      </c>
      <c r="H251" s="144" t="s">
        <v>1</v>
      </c>
      <c r="I251" s="146"/>
      <c r="L251" s="143"/>
      <c r="N251" s="215"/>
      <c r="O251" s="216"/>
      <c r="Q251" s="331"/>
      <c r="CT251" s="147"/>
      <c r="DA251" s="148"/>
      <c r="EA251" s="144" t="s">
        <v>301</v>
      </c>
      <c r="EB251" s="144" t="s">
        <v>83</v>
      </c>
      <c r="EC251" s="11" t="s">
        <v>81</v>
      </c>
      <c r="ED251" s="11" t="s">
        <v>32</v>
      </c>
      <c r="EE251" s="11" t="s">
        <v>74</v>
      </c>
      <c r="EF251" s="144" t="s">
        <v>282</v>
      </c>
    </row>
    <row r="252" spans="2:150" s="12" customFormat="1" x14ac:dyDescent="0.2">
      <c r="B252" s="149"/>
      <c r="D252" s="138" t="s">
        <v>301</v>
      </c>
      <c r="E252" s="150" t="s">
        <v>1</v>
      </c>
      <c r="F252" s="151" t="s">
        <v>2753</v>
      </c>
      <c r="H252" s="152">
        <v>-39.933</v>
      </c>
      <c r="I252" s="153"/>
      <c r="L252" s="149"/>
      <c r="N252" s="217">
        <f>-N279</f>
        <v>-33.22242</v>
      </c>
      <c r="O252" s="218"/>
      <c r="Q252" s="332"/>
      <c r="CT252" s="154"/>
      <c r="DA252" s="155"/>
      <c r="EA252" s="150" t="s">
        <v>301</v>
      </c>
      <c r="EB252" s="150" t="s">
        <v>83</v>
      </c>
      <c r="EC252" s="12" t="s">
        <v>83</v>
      </c>
      <c r="ED252" s="12" t="s">
        <v>32</v>
      </c>
      <c r="EE252" s="12" t="s">
        <v>74</v>
      </c>
      <c r="EF252" s="150" t="s">
        <v>282</v>
      </c>
    </row>
    <row r="253" spans="2:150" s="11" customFormat="1" x14ac:dyDescent="0.2">
      <c r="B253" s="143"/>
      <c r="D253" s="138" t="s">
        <v>301</v>
      </c>
      <c r="E253" s="144" t="s">
        <v>1</v>
      </c>
      <c r="F253" s="145" t="s">
        <v>430</v>
      </c>
      <c r="H253" s="144" t="s">
        <v>1</v>
      </c>
      <c r="I253" s="146"/>
      <c r="L253" s="143"/>
      <c r="N253" s="215"/>
      <c r="O253" s="216"/>
      <c r="Q253" s="331"/>
      <c r="CT253" s="147"/>
      <c r="DA253" s="148"/>
      <c r="EA253" s="144" t="s">
        <v>301</v>
      </c>
      <c r="EB253" s="144" t="s">
        <v>83</v>
      </c>
      <c r="EC253" s="11" t="s">
        <v>81</v>
      </c>
      <c r="ED253" s="11" t="s">
        <v>32</v>
      </c>
      <c r="EE253" s="11" t="s">
        <v>74</v>
      </c>
      <c r="EF253" s="144" t="s">
        <v>282</v>
      </c>
    </row>
    <row r="254" spans="2:150" s="12" customFormat="1" x14ac:dyDescent="0.2">
      <c r="B254" s="149"/>
      <c r="D254" s="138" t="s">
        <v>301</v>
      </c>
      <c r="E254" s="150" t="s">
        <v>1</v>
      </c>
      <c r="F254" s="151" t="s">
        <v>2754</v>
      </c>
      <c r="H254" s="152">
        <v>-11.744999999999999</v>
      </c>
      <c r="I254" s="153"/>
      <c r="L254" s="149"/>
      <c r="N254" s="217">
        <f>-N326</f>
        <v>-9.7713000000000001</v>
      </c>
      <c r="O254" s="218"/>
      <c r="Q254" s="332"/>
      <c r="CT254" s="154"/>
      <c r="DA254" s="155"/>
      <c r="EA254" s="150" t="s">
        <v>301</v>
      </c>
      <c r="EB254" s="150" t="s">
        <v>83</v>
      </c>
      <c r="EC254" s="12" t="s">
        <v>83</v>
      </c>
      <c r="ED254" s="12" t="s">
        <v>32</v>
      </c>
      <c r="EE254" s="12" t="s">
        <v>74</v>
      </c>
      <c r="EF254" s="150" t="s">
        <v>282</v>
      </c>
    </row>
    <row r="255" spans="2:150" s="11" customFormat="1" x14ac:dyDescent="0.2">
      <c r="B255" s="143"/>
      <c r="D255" s="138" t="s">
        <v>301</v>
      </c>
      <c r="E255" s="144" t="s">
        <v>1</v>
      </c>
      <c r="F255" s="145" t="s">
        <v>2755</v>
      </c>
      <c r="H255" s="144" t="s">
        <v>1</v>
      </c>
      <c r="I255" s="146"/>
      <c r="L255" s="143"/>
      <c r="N255" s="215"/>
      <c r="O255" s="216"/>
      <c r="Q255" s="331"/>
      <c r="CT255" s="147"/>
      <c r="DA255" s="148"/>
      <c r="EA255" s="144" t="s">
        <v>301</v>
      </c>
      <c r="EB255" s="144" t="s">
        <v>83</v>
      </c>
      <c r="EC255" s="11" t="s">
        <v>81</v>
      </c>
      <c r="ED255" s="11" t="s">
        <v>32</v>
      </c>
      <c r="EE255" s="11" t="s">
        <v>74</v>
      </c>
      <c r="EF255" s="144" t="s">
        <v>282</v>
      </c>
    </row>
    <row r="256" spans="2:150" s="12" customFormat="1" x14ac:dyDescent="0.2">
      <c r="B256" s="149"/>
      <c r="D256" s="138" t="s">
        <v>301</v>
      </c>
      <c r="E256" s="150" t="s">
        <v>1</v>
      </c>
      <c r="F256" s="151" t="s">
        <v>2756</v>
      </c>
      <c r="H256" s="152">
        <v>-0.2</v>
      </c>
      <c r="I256" s="153"/>
      <c r="L256" s="149"/>
      <c r="N256" s="310">
        <f>-H302</f>
        <v>-0.2</v>
      </c>
      <c r="O256" s="218"/>
      <c r="Q256" s="332"/>
      <c r="CT256" s="154"/>
      <c r="DA256" s="155"/>
      <c r="EA256" s="150" t="s">
        <v>301</v>
      </c>
      <c r="EB256" s="150" t="s">
        <v>83</v>
      </c>
      <c r="EC256" s="12" t="s">
        <v>83</v>
      </c>
      <c r="ED256" s="12" t="s">
        <v>32</v>
      </c>
      <c r="EE256" s="12" t="s">
        <v>74</v>
      </c>
      <c r="EF256" s="150" t="s">
        <v>282</v>
      </c>
    </row>
    <row r="257" spans="2:150" s="11" customFormat="1" x14ac:dyDescent="0.2">
      <c r="B257" s="143"/>
      <c r="D257" s="138" t="s">
        <v>301</v>
      </c>
      <c r="E257" s="144" t="s">
        <v>1</v>
      </c>
      <c r="F257" s="145" t="s">
        <v>1867</v>
      </c>
      <c r="H257" s="144" t="s">
        <v>1</v>
      </c>
      <c r="I257" s="146"/>
      <c r="L257" s="143"/>
      <c r="N257" s="215"/>
      <c r="O257" s="216"/>
      <c r="Q257" s="331"/>
      <c r="CT257" s="147"/>
      <c r="DA257" s="148"/>
      <c r="EA257" s="144" t="s">
        <v>301</v>
      </c>
      <c r="EB257" s="144" t="s">
        <v>83</v>
      </c>
      <c r="EC257" s="11" t="s">
        <v>81</v>
      </c>
      <c r="ED257" s="11" t="s">
        <v>32</v>
      </c>
      <c r="EE257" s="11" t="s">
        <v>74</v>
      </c>
      <c r="EF257" s="144" t="s">
        <v>282</v>
      </c>
    </row>
    <row r="258" spans="2:150" s="12" customFormat="1" x14ac:dyDescent="0.2">
      <c r="B258" s="149"/>
      <c r="D258" s="138" t="s">
        <v>301</v>
      </c>
      <c r="E258" s="150" t="s">
        <v>1</v>
      </c>
      <c r="F258" s="151" t="s">
        <v>2757</v>
      </c>
      <c r="H258" s="152">
        <v>-0.22500000000000001</v>
      </c>
      <c r="I258" s="153"/>
      <c r="L258" s="149"/>
      <c r="N258" s="374" t="str">
        <f>F258</f>
        <v>-0,225</v>
      </c>
      <c r="O258" s="218"/>
      <c r="Q258" s="332"/>
      <c r="CT258" s="154"/>
      <c r="DA258" s="155"/>
      <c r="EA258" s="150" t="s">
        <v>301</v>
      </c>
      <c r="EB258" s="150" t="s">
        <v>83</v>
      </c>
      <c r="EC258" s="12" t="s">
        <v>83</v>
      </c>
      <c r="ED258" s="12" t="s">
        <v>32</v>
      </c>
      <c r="EE258" s="12" t="s">
        <v>74</v>
      </c>
      <c r="EF258" s="150" t="s">
        <v>282</v>
      </c>
    </row>
    <row r="259" spans="2:150" s="12" customFormat="1" x14ac:dyDescent="0.2">
      <c r="B259" s="149"/>
      <c r="D259" s="138" t="s">
        <v>301</v>
      </c>
      <c r="E259" s="150" t="s">
        <v>1</v>
      </c>
      <c r="F259" s="151" t="s">
        <v>2758</v>
      </c>
      <c r="H259" s="152">
        <v>-0.76900000000000002</v>
      </c>
      <c r="I259" s="153"/>
      <c r="L259" s="149"/>
      <c r="N259" s="310">
        <f>H259</f>
        <v>-0.76900000000000002</v>
      </c>
      <c r="O259" s="218"/>
      <c r="Q259" s="332"/>
      <c r="CT259" s="154"/>
      <c r="DA259" s="155"/>
      <c r="EA259" s="150" t="s">
        <v>301</v>
      </c>
      <c r="EB259" s="150" t="s">
        <v>83</v>
      </c>
      <c r="EC259" s="12" t="s">
        <v>83</v>
      </c>
      <c r="ED259" s="12" t="s">
        <v>32</v>
      </c>
      <c r="EE259" s="12" t="s">
        <v>74</v>
      </c>
      <c r="EF259" s="150" t="s">
        <v>282</v>
      </c>
    </row>
    <row r="260" spans="2:150" s="11" customFormat="1" x14ac:dyDescent="0.2">
      <c r="B260" s="143"/>
      <c r="D260" s="138" t="s">
        <v>301</v>
      </c>
      <c r="E260" s="144" t="s">
        <v>1</v>
      </c>
      <c r="F260" s="145" t="s">
        <v>436</v>
      </c>
      <c r="H260" s="144" t="s">
        <v>1</v>
      </c>
      <c r="I260" s="146"/>
      <c r="L260" s="143"/>
      <c r="N260" s="215"/>
      <c r="O260" s="216"/>
      <c r="Q260" s="331"/>
      <c r="CT260" s="147"/>
      <c r="DA260" s="148"/>
      <c r="EA260" s="144" t="s">
        <v>301</v>
      </c>
      <c r="EB260" s="144" t="s">
        <v>83</v>
      </c>
      <c r="EC260" s="11" t="s">
        <v>81</v>
      </c>
      <c r="ED260" s="11" t="s">
        <v>32</v>
      </c>
      <c r="EE260" s="11" t="s">
        <v>74</v>
      </c>
      <c r="EF260" s="144" t="s">
        <v>282</v>
      </c>
    </row>
    <row r="261" spans="2:150" s="12" customFormat="1" x14ac:dyDescent="0.2">
      <c r="B261" s="149"/>
      <c r="D261" s="138" t="s">
        <v>301</v>
      </c>
      <c r="E261" s="150" t="s">
        <v>1</v>
      </c>
      <c r="F261" s="151" t="s">
        <v>2759</v>
      </c>
      <c r="H261" s="152">
        <v>46.98</v>
      </c>
      <c r="I261" s="153"/>
      <c r="L261" s="149"/>
      <c r="N261" s="215">
        <f>108.57*0.9*(0.45-0.05)</f>
        <v>39.0852</v>
      </c>
      <c r="O261" s="216" t="s">
        <v>3843</v>
      </c>
      <c r="Q261" s="332"/>
      <c r="CT261" s="154"/>
      <c r="DA261" s="155"/>
      <c r="EA261" s="150" t="s">
        <v>301</v>
      </c>
      <c r="EB261" s="150" t="s">
        <v>83</v>
      </c>
      <c r="EC261" s="12" t="s">
        <v>83</v>
      </c>
      <c r="ED261" s="12" t="s">
        <v>32</v>
      </c>
      <c r="EE261" s="12" t="s">
        <v>74</v>
      </c>
      <c r="EF261" s="150" t="s">
        <v>282</v>
      </c>
    </row>
    <row r="262" spans="2:150" s="13" customFormat="1" x14ac:dyDescent="0.2">
      <c r="B262" s="156"/>
      <c r="D262" s="138" t="s">
        <v>301</v>
      </c>
      <c r="E262" s="157" t="s">
        <v>1</v>
      </c>
      <c r="F262" s="158" t="s">
        <v>305</v>
      </c>
      <c r="H262" s="159">
        <v>149.73600000000002</v>
      </c>
      <c r="I262" s="160"/>
      <c r="L262" s="156"/>
      <c r="N262" s="311">
        <f>N248+N250+N252+N254+N256+N258+N259+N261</f>
        <v>123.64148</v>
      </c>
      <c r="O262" s="220"/>
      <c r="Q262" s="334"/>
      <c r="CT262" s="161"/>
      <c r="DA262" s="162"/>
      <c r="EA262" s="157" t="s">
        <v>301</v>
      </c>
      <c r="EB262" s="157" t="s">
        <v>83</v>
      </c>
      <c r="EC262" s="13" t="s">
        <v>95</v>
      </c>
      <c r="ED262" s="13" t="s">
        <v>32</v>
      </c>
      <c r="EE262" s="13" t="s">
        <v>81</v>
      </c>
      <c r="EF262" s="157" t="s">
        <v>282</v>
      </c>
    </row>
    <row r="263" spans="2:150" s="13" customFormat="1" x14ac:dyDescent="0.2">
      <c r="B263" s="156"/>
      <c r="D263" s="138"/>
      <c r="E263" s="157"/>
      <c r="F263" s="158"/>
      <c r="H263" s="159"/>
      <c r="I263" s="160"/>
      <c r="L263" s="156"/>
      <c r="N263" s="311">
        <f>N262-H262</f>
        <v>-26.094520000000017</v>
      </c>
      <c r="O263" s="220"/>
      <c r="Q263" s="334"/>
      <c r="CT263" s="161"/>
      <c r="DA263" s="162"/>
      <c r="EA263" s="157"/>
      <c r="EB263" s="157"/>
      <c r="EF263" s="157"/>
    </row>
    <row r="264" spans="2:150" s="1" customFormat="1" ht="14.45" customHeight="1" x14ac:dyDescent="0.2">
      <c r="B264" s="124"/>
      <c r="C264" s="170" t="s">
        <v>445</v>
      </c>
      <c r="D264" s="170" t="s">
        <v>439</v>
      </c>
      <c r="E264" s="171" t="s">
        <v>440</v>
      </c>
      <c r="F264" s="172" t="s">
        <v>441</v>
      </c>
      <c r="G264" s="173" t="s">
        <v>418</v>
      </c>
      <c r="H264" s="174">
        <v>254.44399999999999</v>
      </c>
      <c r="I264" s="175">
        <v>390.0974172</v>
      </c>
      <c r="J264" s="176">
        <f>ROUND(I264*H264,2)</f>
        <v>99257.95</v>
      </c>
      <c r="K264" s="172" t="s">
        <v>293</v>
      </c>
      <c r="L264" s="268">
        <f>S264</f>
        <v>0</v>
      </c>
      <c r="M264" s="272">
        <f>ROUND(L264*I264,2)</f>
        <v>0</v>
      </c>
      <c r="N264" s="243">
        <f>N275</f>
        <v>-26.83347999999998</v>
      </c>
      <c r="O264" s="294">
        <f>ROUND(N264*I264,2)</f>
        <v>-10467.67</v>
      </c>
      <c r="P264" s="273">
        <f>H264-L264-N264</f>
        <v>281.27747999999997</v>
      </c>
      <c r="Q264" s="268">
        <f>ROUND(P264*I264,2)</f>
        <v>109725.62</v>
      </c>
      <c r="R264" s="137"/>
      <c r="S264" s="269">
        <f>W264+Y264+AA264+AC264+AE264</f>
        <v>0</v>
      </c>
      <c r="T264" s="269">
        <f>ROUND(S264*I264,2)</f>
        <v>0</v>
      </c>
      <c r="U264" s="269">
        <f>H264-S264</f>
        <v>254.44399999999999</v>
      </c>
      <c r="V264" s="269">
        <f>ROUND(U264*I264,2)</f>
        <v>99257.95</v>
      </c>
      <c r="W264" s="290"/>
      <c r="X264" s="290"/>
      <c r="Y264" s="290"/>
      <c r="Z264" s="290"/>
      <c r="AA264" s="290"/>
      <c r="AB264" s="290"/>
      <c r="AC264" s="290"/>
      <c r="AD264" s="290"/>
      <c r="AE264" s="290"/>
      <c r="AF264" s="290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77" t="s">
        <v>1</v>
      </c>
      <c r="CU264" s="178" t="s">
        <v>40</v>
      </c>
      <c r="CW264" s="134">
        <f>CV264*H264</f>
        <v>0</v>
      </c>
      <c r="CX264" s="134">
        <v>1</v>
      </c>
      <c r="CY264" s="134">
        <f>CX264*H264</f>
        <v>254.44399999999999</v>
      </c>
      <c r="CZ264" s="134">
        <v>0</v>
      </c>
      <c r="DA264" s="135">
        <f>CZ264*H264</f>
        <v>0</v>
      </c>
      <c r="DY264" s="136" t="s">
        <v>328</v>
      </c>
      <c r="EA264" s="136" t="s">
        <v>439</v>
      </c>
      <c r="EB264" s="136" t="s">
        <v>83</v>
      </c>
      <c r="EF264" s="16" t="s">
        <v>282</v>
      </c>
      <c r="EL264" s="137">
        <f>IF(CU264="základní",J264,0)</f>
        <v>99257.95</v>
      </c>
      <c r="EM264" s="137">
        <f>IF(CU264="snížená",J264,0)</f>
        <v>0</v>
      </c>
      <c r="EN264" s="137">
        <f>IF(CU264="zákl. přenesená",J264,0)</f>
        <v>0</v>
      </c>
      <c r="EO264" s="137">
        <f>IF(CU264="sníž. přenesená",J264,0)</f>
        <v>0</v>
      </c>
      <c r="EP264" s="137">
        <f>IF(CU264="nulová",J264,0)</f>
        <v>0</v>
      </c>
      <c r="EQ264" s="16" t="s">
        <v>81</v>
      </c>
      <c r="ER264" s="137">
        <f>ROUND(I264*H264,2)</f>
        <v>99257.95</v>
      </c>
      <c r="ES264" s="16" t="s">
        <v>95</v>
      </c>
      <c r="ET264" s="136" t="s">
        <v>2760</v>
      </c>
    </row>
    <row r="265" spans="2:150" s="1" customFormat="1" x14ac:dyDescent="0.2">
      <c r="B265" s="31"/>
      <c r="D265" s="138" t="s">
        <v>289</v>
      </c>
      <c r="F265" s="139" t="s">
        <v>441</v>
      </c>
      <c r="I265" s="140"/>
      <c r="L265" s="31"/>
      <c r="N265" s="213"/>
      <c r="O265" s="214"/>
      <c r="Q265" s="330"/>
      <c r="CT265" s="141"/>
      <c r="DA265" s="50"/>
      <c r="EA265" s="16" t="s">
        <v>289</v>
      </c>
      <c r="EB265" s="16" t="s">
        <v>83</v>
      </c>
    </row>
    <row r="266" spans="2:150" s="1" customFormat="1" ht="19.5" x14ac:dyDescent="0.2">
      <c r="B266" s="31"/>
      <c r="D266" s="138" t="s">
        <v>299</v>
      </c>
      <c r="F266" s="142" t="s">
        <v>443</v>
      </c>
      <c r="I266" s="140"/>
      <c r="L266" s="31"/>
      <c r="N266" s="213"/>
      <c r="O266" s="214"/>
      <c r="Q266" s="330"/>
      <c r="CT266" s="141"/>
      <c r="DA266" s="50"/>
      <c r="EA266" s="16" t="s">
        <v>299</v>
      </c>
      <c r="EB266" s="16" t="s">
        <v>83</v>
      </c>
    </row>
    <row r="267" spans="2:150" s="11" customFormat="1" x14ac:dyDescent="0.2">
      <c r="B267" s="143"/>
      <c r="D267" s="138" t="s">
        <v>301</v>
      </c>
      <c r="E267" s="144" t="s">
        <v>1</v>
      </c>
      <c r="F267" s="145" t="s">
        <v>1006</v>
      </c>
      <c r="H267" s="144" t="s">
        <v>1</v>
      </c>
      <c r="I267" s="146"/>
      <c r="L267" s="143"/>
      <c r="N267" s="215"/>
      <c r="O267" s="216"/>
      <c r="Q267" s="331"/>
      <c r="CT267" s="147"/>
      <c r="DA267" s="148"/>
      <c r="EA267" s="144" t="s">
        <v>301</v>
      </c>
      <c r="EB267" s="144" t="s">
        <v>83</v>
      </c>
      <c r="EC267" s="11" t="s">
        <v>81</v>
      </c>
      <c r="ED267" s="11" t="s">
        <v>32</v>
      </c>
      <c r="EE267" s="11" t="s">
        <v>74</v>
      </c>
      <c r="EF267" s="144" t="s">
        <v>282</v>
      </c>
    </row>
    <row r="268" spans="2:150" s="12" customFormat="1" x14ac:dyDescent="0.2">
      <c r="B268" s="149"/>
      <c r="D268" s="138" t="s">
        <v>301</v>
      </c>
      <c r="E268" s="150" t="s">
        <v>1</v>
      </c>
      <c r="F268" s="151" t="s">
        <v>2761</v>
      </c>
      <c r="H268" s="152">
        <v>149.73599999999999</v>
      </c>
      <c r="I268" s="153"/>
      <c r="L268" s="149"/>
      <c r="N268" s="217">
        <v>123.64100000000001</v>
      </c>
      <c r="O268" s="218"/>
      <c r="Q268" s="332"/>
      <c r="CT268" s="154"/>
      <c r="DA268" s="155"/>
      <c r="EA268" s="150" t="s">
        <v>301</v>
      </c>
      <c r="EB268" s="150" t="s">
        <v>83</v>
      </c>
      <c r="EC268" s="12" t="s">
        <v>83</v>
      </c>
      <c r="ED268" s="12" t="s">
        <v>32</v>
      </c>
      <c r="EE268" s="12" t="s">
        <v>74</v>
      </c>
      <c r="EF268" s="150" t="s">
        <v>282</v>
      </c>
    </row>
    <row r="269" spans="2:150" s="14" customFormat="1" x14ac:dyDescent="0.2">
      <c r="B269" s="163"/>
      <c r="D269" s="138" t="s">
        <v>301</v>
      </c>
      <c r="E269" s="164" t="s">
        <v>1</v>
      </c>
      <c r="F269" s="165" t="s">
        <v>373</v>
      </c>
      <c r="H269" s="166">
        <v>149.73599999999999</v>
      </c>
      <c r="I269" s="167"/>
      <c r="L269" s="163"/>
      <c r="N269" s="221">
        <f>N268</f>
        <v>123.64100000000001</v>
      </c>
      <c r="O269" s="222"/>
      <c r="Q269" s="333"/>
      <c r="CT269" s="168"/>
      <c r="DA269" s="169"/>
      <c r="EA269" s="164" t="s">
        <v>301</v>
      </c>
      <c r="EB269" s="164" t="s">
        <v>83</v>
      </c>
      <c r="EC269" s="14" t="s">
        <v>90</v>
      </c>
      <c r="ED269" s="14" t="s">
        <v>32</v>
      </c>
      <c r="EE269" s="14" t="s">
        <v>74</v>
      </c>
      <c r="EF269" s="164" t="s">
        <v>282</v>
      </c>
    </row>
    <row r="270" spans="2:150" s="11" customFormat="1" x14ac:dyDescent="0.2">
      <c r="B270" s="143"/>
      <c r="D270" s="138" t="s">
        <v>301</v>
      </c>
      <c r="E270" s="144" t="s">
        <v>1</v>
      </c>
      <c r="F270" s="145" t="s">
        <v>1102</v>
      </c>
      <c r="H270" s="144" t="s">
        <v>1</v>
      </c>
      <c r="I270" s="146"/>
      <c r="L270" s="143"/>
      <c r="N270" s="215"/>
      <c r="O270" s="216"/>
      <c r="Q270" s="331"/>
      <c r="CT270" s="147"/>
      <c r="DA270" s="148"/>
      <c r="EA270" s="144" t="s">
        <v>301</v>
      </c>
      <c r="EB270" s="144" t="s">
        <v>83</v>
      </c>
      <c r="EC270" s="11" t="s">
        <v>81</v>
      </c>
      <c r="ED270" s="11" t="s">
        <v>32</v>
      </c>
      <c r="EE270" s="11" t="s">
        <v>74</v>
      </c>
      <c r="EF270" s="144" t="s">
        <v>282</v>
      </c>
    </row>
    <row r="271" spans="2:150" s="12" customFormat="1" x14ac:dyDescent="0.2">
      <c r="B271" s="149"/>
      <c r="D271" s="138" t="s">
        <v>301</v>
      </c>
      <c r="E271" s="150" t="s">
        <v>1</v>
      </c>
      <c r="F271" s="151" t="s">
        <v>2744</v>
      </c>
      <c r="H271" s="152">
        <v>22.513999999999999</v>
      </c>
      <c r="I271" s="153"/>
      <c r="L271" s="149"/>
      <c r="N271" s="217">
        <f>10.31*0.9*(1.6-0.1-0.34-0.1)</f>
        <v>9.8357399999999977</v>
      </c>
      <c r="O271" s="218" t="s">
        <v>3839</v>
      </c>
      <c r="Q271" s="332"/>
      <c r="CT271" s="154"/>
      <c r="DA271" s="155"/>
      <c r="EA271" s="150" t="s">
        <v>301</v>
      </c>
      <c r="EB271" s="150" t="s">
        <v>83</v>
      </c>
      <c r="EC271" s="12" t="s">
        <v>83</v>
      </c>
      <c r="ED271" s="12" t="s">
        <v>32</v>
      </c>
      <c r="EE271" s="12" t="s">
        <v>74</v>
      </c>
      <c r="EF271" s="150" t="s">
        <v>282</v>
      </c>
    </row>
    <row r="272" spans="2:150" s="14" customFormat="1" x14ac:dyDescent="0.2">
      <c r="B272" s="163"/>
      <c r="D272" s="138" t="s">
        <v>301</v>
      </c>
      <c r="E272" s="164" t="s">
        <v>1</v>
      </c>
      <c r="F272" s="165" t="s">
        <v>373</v>
      </c>
      <c r="H272" s="166">
        <v>22.513999999999999</v>
      </c>
      <c r="I272" s="167"/>
      <c r="L272" s="163"/>
      <c r="N272" s="221">
        <f>N271</f>
        <v>9.8357399999999977</v>
      </c>
      <c r="O272" s="222"/>
      <c r="Q272" s="333"/>
      <c r="CT272" s="168"/>
      <c r="DA272" s="169"/>
      <c r="EA272" s="164" t="s">
        <v>301</v>
      </c>
      <c r="EB272" s="164" t="s">
        <v>83</v>
      </c>
      <c r="EC272" s="14" t="s">
        <v>90</v>
      </c>
      <c r="ED272" s="14" t="s">
        <v>32</v>
      </c>
      <c r="EE272" s="14" t="s">
        <v>74</v>
      </c>
      <c r="EF272" s="164" t="s">
        <v>282</v>
      </c>
    </row>
    <row r="273" spans="2:150" s="12" customFormat="1" x14ac:dyDescent="0.2">
      <c r="B273" s="149"/>
      <c r="D273" s="138" t="s">
        <v>301</v>
      </c>
      <c r="E273" s="150" t="s">
        <v>1</v>
      </c>
      <c r="F273" s="151" t="s">
        <v>2762</v>
      </c>
      <c r="H273" s="152">
        <v>127.22199999999999</v>
      </c>
      <c r="I273" s="153"/>
      <c r="L273" s="149"/>
      <c r="N273" s="217">
        <f>N269-N272</f>
        <v>113.80526</v>
      </c>
      <c r="O273" s="218"/>
      <c r="Q273" s="332"/>
      <c r="CT273" s="154"/>
      <c r="DA273" s="155"/>
      <c r="EA273" s="150" t="s">
        <v>301</v>
      </c>
      <c r="EB273" s="150" t="s">
        <v>83</v>
      </c>
      <c r="EC273" s="12" t="s">
        <v>83</v>
      </c>
      <c r="ED273" s="12" t="s">
        <v>32</v>
      </c>
      <c r="EE273" s="12" t="s">
        <v>81</v>
      </c>
      <c r="EF273" s="150" t="s">
        <v>282</v>
      </c>
    </row>
    <row r="274" spans="2:150" s="12" customFormat="1" x14ac:dyDescent="0.2">
      <c r="B274" s="149"/>
      <c r="D274" s="138" t="s">
        <v>301</v>
      </c>
      <c r="F274" s="151" t="s">
        <v>2763</v>
      </c>
      <c r="H274" s="152">
        <v>254.44399999999999</v>
      </c>
      <c r="I274" s="153"/>
      <c r="L274" s="149"/>
      <c r="N274" s="217">
        <f>N273*2</f>
        <v>227.61052000000001</v>
      </c>
      <c r="O274" s="218"/>
      <c r="Q274" s="332"/>
      <c r="CT274" s="154"/>
      <c r="DA274" s="155"/>
      <c r="EA274" s="150" t="s">
        <v>301</v>
      </c>
      <c r="EB274" s="150" t="s">
        <v>83</v>
      </c>
      <c r="EC274" s="12" t="s">
        <v>83</v>
      </c>
      <c r="ED274" s="12" t="s">
        <v>3</v>
      </c>
      <c r="EE274" s="12" t="s">
        <v>81</v>
      </c>
      <c r="EF274" s="150" t="s">
        <v>282</v>
      </c>
    </row>
    <row r="275" spans="2:150" s="12" customFormat="1" x14ac:dyDescent="0.2">
      <c r="B275" s="149"/>
      <c r="D275" s="138"/>
      <c r="F275" s="151"/>
      <c r="H275" s="152"/>
      <c r="I275" s="153"/>
      <c r="L275" s="149"/>
      <c r="N275" s="310">
        <f>N274-H274</f>
        <v>-26.83347999999998</v>
      </c>
      <c r="O275" s="218"/>
      <c r="Q275" s="332"/>
      <c r="CT275" s="154"/>
      <c r="DA275" s="155"/>
      <c r="EA275" s="150"/>
      <c r="EB275" s="150"/>
      <c r="EF275" s="150"/>
    </row>
    <row r="276" spans="2:150" s="1" customFormat="1" ht="24.2" customHeight="1" x14ac:dyDescent="0.2">
      <c r="B276" s="124"/>
      <c r="C276" s="125" t="s">
        <v>451</v>
      </c>
      <c r="D276" s="125" t="s">
        <v>284</v>
      </c>
      <c r="E276" s="126" t="s">
        <v>446</v>
      </c>
      <c r="F276" s="127" t="s">
        <v>447</v>
      </c>
      <c r="G276" s="128" t="s">
        <v>366</v>
      </c>
      <c r="H276" s="129">
        <v>39.933</v>
      </c>
      <c r="I276" s="130">
        <v>510.38291484661499</v>
      </c>
      <c r="J276" s="131">
        <f>ROUND(I276*H276,2)</f>
        <v>20381.12</v>
      </c>
      <c r="K276" s="127" t="s">
        <v>293</v>
      </c>
      <c r="L276" s="268">
        <f>S276</f>
        <v>0</v>
      </c>
      <c r="M276" s="272">
        <f>ROUND(L276*I276,2)</f>
        <v>0</v>
      </c>
      <c r="N276" s="243">
        <f>N280</f>
        <v>-6.7105800000000002</v>
      </c>
      <c r="O276" s="294">
        <f>ROUND(N276*I276,2)</f>
        <v>-3424.97</v>
      </c>
      <c r="P276" s="273">
        <f>H276-L276-N276</f>
        <v>46.64358</v>
      </c>
      <c r="Q276" s="268">
        <f>ROUND(P276*I276,2)</f>
        <v>23806.09</v>
      </c>
      <c r="R276" s="137"/>
      <c r="S276" s="269">
        <f>W276+Y276+AA276+AC276+AE276</f>
        <v>0</v>
      </c>
      <c r="T276" s="269">
        <f>ROUND(S276*I276,2)</f>
        <v>0</v>
      </c>
      <c r="U276" s="269">
        <f>H276-S276</f>
        <v>39.933</v>
      </c>
      <c r="V276" s="269">
        <f>ROUND(U276*I276,2)</f>
        <v>20381.12</v>
      </c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CT276" s="132" t="s">
        <v>1</v>
      </c>
      <c r="CU276" s="133" t="s">
        <v>40</v>
      </c>
      <c r="CW276" s="134">
        <f>CV276*H276</f>
        <v>0</v>
      </c>
      <c r="CX276" s="134">
        <v>0</v>
      </c>
      <c r="CY276" s="134">
        <f>CX276*H276</f>
        <v>0</v>
      </c>
      <c r="CZ276" s="134">
        <v>0</v>
      </c>
      <c r="DA276" s="135">
        <f>CZ276*H276</f>
        <v>0</v>
      </c>
      <c r="DY276" s="136" t="s">
        <v>95</v>
      </c>
      <c r="EA276" s="136" t="s">
        <v>284</v>
      </c>
      <c r="EB276" s="136" t="s">
        <v>83</v>
      </c>
      <c r="EF276" s="16" t="s">
        <v>282</v>
      </c>
      <c r="EL276" s="137">
        <f>IF(CU276="základní",J276,0)</f>
        <v>20381.12</v>
      </c>
      <c r="EM276" s="137">
        <f>IF(CU276="snížená",J276,0)</f>
        <v>0</v>
      </c>
      <c r="EN276" s="137">
        <f>IF(CU276="zákl. přenesená",J276,0)</f>
        <v>0</v>
      </c>
      <c r="EO276" s="137">
        <f>IF(CU276="sníž. přenesená",J276,0)</f>
        <v>0</v>
      </c>
      <c r="EP276" s="137">
        <f>IF(CU276="nulová",J276,0)</f>
        <v>0</v>
      </c>
      <c r="EQ276" s="16" t="s">
        <v>81</v>
      </c>
      <c r="ER276" s="137">
        <f>ROUND(I276*H276,2)</f>
        <v>20381.12</v>
      </c>
      <c r="ES276" s="16" t="s">
        <v>95</v>
      </c>
      <c r="ET276" s="136" t="s">
        <v>2764</v>
      </c>
    </row>
    <row r="277" spans="2:150" s="1" customFormat="1" ht="39" x14ac:dyDescent="0.2">
      <c r="B277" s="31"/>
      <c r="D277" s="138" t="s">
        <v>289</v>
      </c>
      <c r="F277" s="139" t="s">
        <v>449</v>
      </c>
      <c r="I277" s="140"/>
      <c r="L277" s="31"/>
      <c r="N277" s="213"/>
      <c r="O277" s="214"/>
      <c r="Q277" s="330"/>
      <c r="CT277" s="141"/>
      <c r="DA277" s="50"/>
      <c r="EA277" s="16" t="s">
        <v>289</v>
      </c>
      <c r="EB277" s="16" t="s">
        <v>83</v>
      </c>
    </row>
    <row r="278" spans="2:150" s="1" customFormat="1" ht="29.25" x14ac:dyDescent="0.2">
      <c r="B278" s="31"/>
      <c r="D278" s="138" t="s">
        <v>299</v>
      </c>
      <c r="F278" s="142" t="s">
        <v>2695</v>
      </c>
      <c r="I278" s="140"/>
      <c r="L278" s="31"/>
      <c r="N278" s="213"/>
      <c r="O278" s="214"/>
      <c r="Q278" s="330"/>
      <c r="CT278" s="141"/>
      <c r="DA278" s="50"/>
      <c r="EA278" s="16" t="s">
        <v>299</v>
      </c>
      <c r="EB278" s="16" t="s">
        <v>83</v>
      </c>
    </row>
    <row r="279" spans="2:150" s="12" customFormat="1" x14ac:dyDescent="0.2">
      <c r="B279" s="149"/>
      <c r="D279" s="138" t="s">
        <v>301</v>
      </c>
      <c r="E279" s="150" t="s">
        <v>1</v>
      </c>
      <c r="F279" s="151" t="s">
        <v>2765</v>
      </c>
      <c r="H279" s="152">
        <v>39.933</v>
      </c>
      <c r="I279" s="153"/>
      <c r="L279" s="149"/>
      <c r="N279" s="217">
        <f>108.57*0.9*0.34</f>
        <v>33.22242</v>
      </c>
      <c r="O279" s="218" t="s">
        <v>3840</v>
      </c>
      <c r="Q279" s="332"/>
      <c r="CT279" s="154"/>
      <c r="DA279" s="155"/>
      <c r="EA279" s="150" t="s">
        <v>301</v>
      </c>
      <c r="EB279" s="150" t="s">
        <v>83</v>
      </c>
      <c r="EC279" s="12" t="s">
        <v>83</v>
      </c>
      <c r="ED279" s="12" t="s">
        <v>32</v>
      </c>
      <c r="EE279" s="12" t="s">
        <v>81</v>
      </c>
      <c r="EF279" s="150" t="s">
        <v>282</v>
      </c>
    </row>
    <row r="280" spans="2:150" s="12" customFormat="1" x14ac:dyDescent="0.2">
      <c r="B280" s="149"/>
      <c r="D280" s="138"/>
      <c r="E280" s="150"/>
      <c r="F280" s="151"/>
      <c r="H280" s="152"/>
      <c r="I280" s="153"/>
      <c r="L280" s="149"/>
      <c r="N280" s="310">
        <f>N279-H279</f>
        <v>-6.7105800000000002</v>
      </c>
      <c r="O280" s="218"/>
      <c r="Q280" s="332"/>
      <c r="CT280" s="154"/>
      <c r="DA280" s="155"/>
      <c r="EA280" s="150"/>
      <c r="EB280" s="150"/>
      <c r="EF280" s="150"/>
    </row>
    <row r="281" spans="2:150" s="1" customFormat="1" ht="14.45" customHeight="1" x14ac:dyDescent="0.2">
      <c r="B281" s="124"/>
      <c r="C281" s="170" t="s">
        <v>456</v>
      </c>
      <c r="D281" s="170" t="s">
        <v>439</v>
      </c>
      <c r="E281" s="171" t="s">
        <v>452</v>
      </c>
      <c r="F281" s="172" t="s">
        <v>453</v>
      </c>
      <c r="G281" s="173" t="s">
        <v>418</v>
      </c>
      <c r="H281" s="174">
        <v>79.866</v>
      </c>
      <c r="I281" s="175">
        <v>380.62816190000001</v>
      </c>
      <c r="J281" s="176">
        <f>ROUND(I281*H281,2)</f>
        <v>30399.25</v>
      </c>
      <c r="K281" s="172" t="s">
        <v>293</v>
      </c>
      <c r="L281" s="268">
        <f>S281</f>
        <v>0</v>
      </c>
      <c r="M281" s="272">
        <f>ROUND(L281*I281,2)</f>
        <v>0</v>
      </c>
      <c r="N281" s="243">
        <f>N283</f>
        <v>-13.422000000000001</v>
      </c>
      <c r="O281" s="294">
        <f>ROUND(N281*I281,2)</f>
        <v>-5108.79</v>
      </c>
      <c r="P281" s="273">
        <f>H281-L281-N281</f>
        <v>93.287999999999997</v>
      </c>
      <c r="Q281" s="268">
        <f>ROUND(P281*I281,2)</f>
        <v>35508.04</v>
      </c>
      <c r="R281" s="137"/>
      <c r="S281" s="269">
        <f>W281+Y281+AA281+AC281+AE281</f>
        <v>0</v>
      </c>
      <c r="T281" s="269">
        <f>ROUND(S281*I281,2)</f>
        <v>0</v>
      </c>
      <c r="U281" s="269">
        <f>H281-S281</f>
        <v>79.866</v>
      </c>
      <c r="V281" s="269">
        <f>ROUND(U281*I281,2)</f>
        <v>30399.25</v>
      </c>
      <c r="W281" s="290"/>
      <c r="X281" s="290"/>
      <c r="Y281" s="290"/>
      <c r="Z281" s="290"/>
      <c r="AA281" s="290"/>
      <c r="AB281" s="290"/>
      <c r="AC281" s="290"/>
      <c r="AD281" s="290"/>
      <c r="AE281" s="290"/>
      <c r="AF281" s="290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77" t="s">
        <v>1</v>
      </c>
      <c r="CU281" s="178" t="s">
        <v>40</v>
      </c>
      <c r="CW281" s="134">
        <f>CV281*H281</f>
        <v>0</v>
      </c>
      <c r="CX281" s="134">
        <v>1</v>
      </c>
      <c r="CY281" s="134">
        <f>CX281*H281</f>
        <v>79.866</v>
      </c>
      <c r="CZ281" s="134">
        <v>0</v>
      </c>
      <c r="DA281" s="135">
        <f>CZ281*H281</f>
        <v>0</v>
      </c>
      <c r="DY281" s="136" t="s">
        <v>328</v>
      </c>
      <c r="EA281" s="136" t="s">
        <v>439</v>
      </c>
      <c r="EB281" s="136" t="s">
        <v>83</v>
      </c>
      <c r="EF281" s="16" t="s">
        <v>282</v>
      </c>
      <c r="EL281" s="137">
        <f>IF(CU281="základní",J281,0)</f>
        <v>30399.25</v>
      </c>
      <c r="EM281" s="137">
        <f>IF(CU281="snížená",J281,0)</f>
        <v>0</v>
      </c>
      <c r="EN281" s="137">
        <f>IF(CU281="zákl. přenesená",J281,0)</f>
        <v>0</v>
      </c>
      <c r="EO281" s="137">
        <f>IF(CU281="sníž. přenesená",J281,0)</f>
        <v>0</v>
      </c>
      <c r="EP281" s="137">
        <f>IF(CU281="nulová",J281,0)</f>
        <v>0</v>
      </c>
      <c r="EQ281" s="16" t="s">
        <v>81</v>
      </c>
      <c r="ER281" s="137">
        <f>ROUND(I281*H281,2)</f>
        <v>30399.25</v>
      </c>
      <c r="ES281" s="16" t="s">
        <v>95</v>
      </c>
      <c r="ET281" s="136" t="s">
        <v>2766</v>
      </c>
    </row>
    <row r="282" spans="2:150" s="1" customFormat="1" x14ac:dyDescent="0.2">
      <c r="B282" s="31"/>
      <c r="D282" s="138" t="s">
        <v>289</v>
      </c>
      <c r="F282" s="139" t="s">
        <v>453</v>
      </c>
      <c r="I282" s="140"/>
      <c r="L282" s="31"/>
      <c r="N282" s="213"/>
      <c r="O282" s="214"/>
      <c r="Q282" s="330"/>
      <c r="CT282" s="141"/>
      <c r="DA282" s="50"/>
      <c r="EA282" s="16" t="s">
        <v>289</v>
      </c>
      <c r="EB282" s="16" t="s">
        <v>83</v>
      </c>
    </row>
    <row r="283" spans="2:150" s="12" customFormat="1" x14ac:dyDescent="0.2">
      <c r="B283" s="149"/>
      <c r="D283" s="138" t="s">
        <v>301</v>
      </c>
      <c r="F283" s="151" t="s">
        <v>2767</v>
      </c>
      <c r="H283" s="152">
        <v>79.866</v>
      </c>
      <c r="I283" s="153"/>
      <c r="L283" s="149"/>
      <c r="N283" s="217">
        <f>-6.711*2</f>
        <v>-13.422000000000001</v>
      </c>
      <c r="O283" s="218" t="s">
        <v>3841</v>
      </c>
      <c r="Q283" s="332"/>
      <c r="CT283" s="154"/>
      <c r="DA283" s="155"/>
      <c r="EA283" s="150" t="s">
        <v>301</v>
      </c>
      <c r="EB283" s="150" t="s">
        <v>83</v>
      </c>
      <c r="EC283" s="12" t="s">
        <v>83</v>
      </c>
      <c r="ED283" s="12" t="s">
        <v>3</v>
      </c>
      <c r="EE283" s="12" t="s">
        <v>81</v>
      </c>
      <c r="EF283" s="150" t="s">
        <v>282</v>
      </c>
    </row>
    <row r="284" spans="2:150" s="1" customFormat="1" ht="24.2" customHeight="1" x14ac:dyDescent="0.2">
      <c r="B284" s="124"/>
      <c r="C284" s="125" t="s">
        <v>463</v>
      </c>
      <c r="D284" s="125" t="s">
        <v>284</v>
      </c>
      <c r="E284" s="126" t="s">
        <v>1012</v>
      </c>
      <c r="F284" s="127" t="s">
        <v>1013</v>
      </c>
      <c r="G284" s="128" t="s">
        <v>287</v>
      </c>
      <c r="H284" s="129">
        <v>86.8</v>
      </c>
      <c r="I284" s="130">
        <v>64.410667599999996</v>
      </c>
      <c r="J284" s="131">
        <f>ROUND(I284*H284,2)</f>
        <v>5590.85</v>
      </c>
      <c r="K284" s="127" t="s">
        <v>1</v>
      </c>
      <c r="L284" s="268">
        <f>S284</f>
        <v>0</v>
      </c>
      <c r="M284" s="272">
        <f>ROUND(L284*I284,2)</f>
        <v>0</v>
      </c>
      <c r="N284" s="243">
        <f>N286</f>
        <v>-39.869999999999997</v>
      </c>
      <c r="O284" s="294">
        <f>ROUND(N284*I284,2)</f>
        <v>-2568.0500000000002</v>
      </c>
      <c r="P284" s="273">
        <f>H284-L284-N284</f>
        <v>126.66999999999999</v>
      </c>
      <c r="Q284" s="268">
        <f>ROUND(P284*I284,2)</f>
        <v>8158.9</v>
      </c>
      <c r="R284" s="137"/>
      <c r="S284" s="269">
        <f>W284+Y284+AA284+AC284+AE284</f>
        <v>0</v>
      </c>
      <c r="T284" s="269">
        <f>ROUND(S284*I284,2)</f>
        <v>0</v>
      </c>
      <c r="U284" s="269">
        <f>H284-S284</f>
        <v>86.8</v>
      </c>
      <c r="V284" s="269">
        <f>ROUND(U284*I284,2)</f>
        <v>5590.85</v>
      </c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CT284" s="132" t="s">
        <v>1</v>
      </c>
      <c r="CU284" s="133" t="s">
        <v>40</v>
      </c>
      <c r="CW284" s="134">
        <f>CV284*H284</f>
        <v>0</v>
      </c>
      <c r="CX284" s="134">
        <v>0</v>
      </c>
      <c r="CY284" s="134">
        <f>CX284*H284</f>
        <v>0</v>
      </c>
      <c r="CZ284" s="134">
        <v>0</v>
      </c>
      <c r="DA284" s="135">
        <f>CZ284*H284</f>
        <v>0</v>
      </c>
      <c r="DY284" s="136" t="s">
        <v>95</v>
      </c>
      <c r="EA284" s="136" t="s">
        <v>284</v>
      </c>
      <c r="EB284" s="136" t="s">
        <v>83</v>
      </c>
      <c r="EF284" s="16" t="s">
        <v>282</v>
      </c>
      <c r="EL284" s="137">
        <f>IF(CU284="základní",J284,0)</f>
        <v>5590.85</v>
      </c>
      <c r="EM284" s="137">
        <f>IF(CU284="snížená",J284,0)</f>
        <v>0</v>
      </c>
      <c r="EN284" s="137">
        <f>IF(CU284="zákl. přenesená",J284,0)</f>
        <v>0</v>
      </c>
      <c r="EO284" s="137">
        <f>IF(CU284="sníž. přenesená",J284,0)</f>
        <v>0</v>
      </c>
      <c r="EP284" s="137">
        <f>IF(CU284="nulová",J284,0)</f>
        <v>0</v>
      </c>
      <c r="EQ284" s="16" t="s">
        <v>81</v>
      </c>
      <c r="ER284" s="137">
        <f>ROUND(I284*H284,2)</f>
        <v>5590.85</v>
      </c>
      <c r="ES284" s="16" t="s">
        <v>95</v>
      </c>
      <c r="ET284" s="136" t="s">
        <v>2768</v>
      </c>
    </row>
    <row r="285" spans="2:150" s="1" customFormat="1" x14ac:dyDescent="0.2">
      <c r="B285" s="31"/>
      <c r="D285" s="138" t="s">
        <v>289</v>
      </c>
      <c r="F285" s="139" t="s">
        <v>1013</v>
      </c>
      <c r="I285" s="140"/>
      <c r="L285" s="31"/>
      <c r="N285" s="213"/>
      <c r="O285" s="214"/>
      <c r="Q285" s="330"/>
      <c r="CT285" s="141"/>
      <c r="DA285" s="50"/>
      <c r="EA285" s="16" t="s">
        <v>289</v>
      </c>
      <c r="EB285" s="16" t="s">
        <v>83</v>
      </c>
    </row>
    <row r="286" spans="2:150" s="1" customFormat="1" ht="24.2" customHeight="1" x14ac:dyDescent="0.2">
      <c r="B286" s="124"/>
      <c r="C286" s="125" t="s">
        <v>470</v>
      </c>
      <c r="D286" s="125" t="s">
        <v>284</v>
      </c>
      <c r="E286" s="126" t="s">
        <v>1015</v>
      </c>
      <c r="F286" s="127" t="s">
        <v>1016</v>
      </c>
      <c r="G286" s="128" t="s">
        <v>287</v>
      </c>
      <c r="H286" s="129">
        <v>86.8</v>
      </c>
      <c r="I286" s="130">
        <v>48.300657632010001</v>
      </c>
      <c r="J286" s="131">
        <f>ROUND(I286*H286,2)</f>
        <v>4192.5</v>
      </c>
      <c r="K286" s="127" t="s">
        <v>293</v>
      </c>
      <c r="L286" s="268">
        <f>S286</f>
        <v>0</v>
      </c>
      <c r="M286" s="272">
        <f>ROUND(L286*I286,2)</f>
        <v>0</v>
      </c>
      <c r="N286" s="243">
        <f>N293</f>
        <v>-39.869999999999997</v>
      </c>
      <c r="O286" s="294">
        <f>ROUND(N286*I286,2)</f>
        <v>-1925.75</v>
      </c>
      <c r="P286" s="273">
        <f>H286-L286-N286</f>
        <v>126.66999999999999</v>
      </c>
      <c r="Q286" s="268">
        <f>ROUND(P286*I286,2)</f>
        <v>6118.24</v>
      </c>
      <c r="R286" s="137"/>
      <c r="S286" s="269">
        <f>W286+Y286+AA286+AC286+AE286</f>
        <v>0</v>
      </c>
      <c r="T286" s="269">
        <f>ROUND(S286*I286,2)</f>
        <v>0</v>
      </c>
      <c r="U286" s="269">
        <f>H286-S286</f>
        <v>86.8</v>
      </c>
      <c r="V286" s="269">
        <f>ROUND(U286*I286,2)</f>
        <v>4192.5</v>
      </c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CT286" s="132" t="s">
        <v>1</v>
      </c>
      <c r="CU286" s="133" t="s">
        <v>40</v>
      </c>
      <c r="CW286" s="134">
        <f>CV286*H286</f>
        <v>0</v>
      </c>
      <c r="CX286" s="134">
        <v>0</v>
      </c>
      <c r="CY286" s="134">
        <f>CX286*H286</f>
        <v>0</v>
      </c>
      <c r="CZ286" s="134">
        <v>0</v>
      </c>
      <c r="DA286" s="135">
        <f>CZ286*H286</f>
        <v>0</v>
      </c>
      <c r="DY286" s="136" t="s">
        <v>95</v>
      </c>
      <c r="EA286" s="136" t="s">
        <v>284</v>
      </c>
      <c r="EB286" s="136" t="s">
        <v>83</v>
      </c>
      <c r="EF286" s="16" t="s">
        <v>282</v>
      </c>
      <c r="EL286" s="137">
        <f>IF(CU286="základní",J286,0)</f>
        <v>4192.5</v>
      </c>
      <c r="EM286" s="137">
        <f>IF(CU286="snížená",J286,0)</f>
        <v>0</v>
      </c>
      <c r="EN286" s="137">
        <f>IF(CU286="zákl. přenesená",J286,0)</f>
        <v>0</v>
      </c>
      <c r="EO286" s="137">
        <f>IF(CU286="sníž. přenesená",J286,0)</f>
        <v>0</v>
      </c>
      <c r="EP286" s="137">
        <f>IF(CU286="nulová",J286,0)</f>
        <v>0</v>
      </c>
      <c r="EQ286" s="16" t="s">
        <v>81</v>
      </c>
      <c r="ER286" s="137">
        <f>ROUND(I286*H286,2)</f>
        <v>4192.5</v>
      </c>
      <c r="ES286" s="16" t="s">
        <v>95</v>
      </c>
      <c r="ET286" s="136" t="s">
        <v>2769</v>
      </c>
    </row>
    <row r="287" spans="2:150" s="1" customFormat="1" ht="29.25" x14ac:dyDescent="0.2">
      <c r="B287" s="31"/>
      <c r="D287" s="138" t="s">
        <v>289</v>
      </c>
      <c r="F287" s="139" t="s">
        <v>1018</v>
      </c>
      <c r="I287" s="140"/>
      <c r="L287" s="31"/>
      <c r="N287" s="213"/>
      <c r="O287" s="214"/>
      <c r="Q287" s="330"/>
      <c r="CT287" s="141"/>
      <c r="DA287" s="50"/>
      <c r="EA287" s="16" t="s">
        <v>289</v>
      </c>
      <c r="EB287" s="16" t="s">
        <v>83</v>
      </c>
    </row>
    <row r="288" spans="2:150" s="1" customFormat="1" ht="29.25" x14ac:dyDescent="0.2">
      <c r="B288" s="31"/>
      <c r="D288" s="138" t="s">
        <v>299</v>
      </c>
      <c r="F288" s="142" t="s">
        <v>2695</v>
      </c>
      <c r="I288" s="140"/>
      <c r="L288" s="31"/>
      <c r="N288" s="213"/>
      <c r="O288" s="214"/>
      <c r="Q288" s="330"/>
      <c r="CT288" s="141"/>
      <c r="DA288" s="50"/>
      <c r="EA288" s="16" t="s">
        <v>299</v>
      </c>
      <c r="EB288" s="16" t="s">
        <v>83</v>
      </c>
    </row>
    <row r="289" spans="2:150" s="11" customFormat="1" x14ac:dyDescent="0.2">
      <c r="B289" s="143"/>
      <c r="D289" s="138" t="s">
        <v>301</v>
      </c>
      <c r="E289" s="144" t="s">
        <v>1</v>
      </c>
      <c r="F289" s="145" t="s">
        <v>962</v>
      </c>
      <c r="H289" s="144" t="s">
        <v>1</v>
      </c>
      <c r="I289" s="146"/>
      <c r="L289" s="143"/>
      <c r="N289" s="215"/>
      <c r="O289" s="216"/>
      <c r="Q289" s="331"/>
      <c r="CT289" s="147"/>
      <c r="DA289" s="148"/>
      <c r="EA289" s="144" t="s">
        <v>301</v>
      </c>
      <c r="EB289" s="144" t="s">
        <v>83</v>
      </c>
      <c r="EC289" s="11" t="s">
        <v>81</v>
      </c>
      <c r="ED289" s="11" t="s">
        <v>32</v>
      </c>
      <c r="EE289" s="11" t="s">
        <v>74</v>
      </c>
      <c r="EF289" s="144" t="s">
        <v>282</v>
      </c>
    </row>
    <row r="290" spans="2:150" s="12" customFormat="1" x14ac:dyDescent="0.2">
      <c r="B290" s="149"/>
      <c r="D290" s="138" t="s">
        <v>301</v>
      </c>
      <c r="E290" s="150" t="s">
        <v>1</v>
      </c>
      <c r="F290" s="151" t="s">
        <v>2709</v>
      </c>
      <c r="H290" s="152">
        <v>70.8</v>
      </c>
      <c r="I290" s="153"/>
      <c r="L290" s="149"/>
      <c r="N290" s="217">
        <f>10.31*3</f>
        <v>30.93</v>
      </c>
      <c r="O290" s="218" t="s">
        <v>3837</v>
      </c>
      <c r="Q290" s="332"/>
      <c r="CT290" s="154"/>
      <c r="DA290" s="155"/>
      <c r="EA290" s="150" t="s">
        <v>301</v>
      </c>
      <c r="EB290" s="150" t="s">
        <v>83</v>
      </c>
      <c r="EC290" s="12" t="s">
        <v>83</v>
      </c>
      <c r="ED290" s="12" t="s">
        <v>32</v>
      </c>
      <c r="EE290" s="12" t="s">
        <v>74</v>
      </c>
      <c r="EF290" s="150" t="s">
        <v>282</v>
      </c>
    </row>
    <row r="291" spans="2:150" s="12" customFormat="1" x14ac:dyDescent="0.2">
      <c r="B291" s="149"/>
      <c r="D291" s="138" t="s">
        <v>301</v>
      </c>
      <c r="E291" s="150" t="s">
        <v>1</v>
      </c>
      <c r="F291" s="151" t="s">
        <v>2710</v>
      </c>
      <c r="H291" s="152">
        <v>16</v>
      </c>
      <c r="I291" s="153"/>
      <c r="L291" s="149"/>
      <c r="N291" s="310">
        <f>H291</f>
        <v>16</v>
      </c>
      <c r="O291" s="218"/>
      <c r="Q291" s="332"/>
      <c r="CT291" s="154"/>
      <c r="DA291" s="155"/>
      <c r="EA291" s="150" t="s">
        <v>301</v>
      </c>
      <c r="EB291" s="150" t="s">
        <v>83</v>
      </c>
      <c r="EC291" s="12" t="s">
        <v>83</v>
      </c>
      <c r="ED291" s="12" t="s">
        <v>32</v>
      </c>
      <c r="EE291" s="12" t="s">
        <v>74</v>
      </c>
      <c r="EF291" s="150" t="s">
        <v>282</v>
      </c>
    </row>
    <row r="292" spans="2:150" s="13" customFormat="1" x14ac:dyDescent="0.2">
      <c r="B292" s="156"/>
      <c r="D292" s="138" t="s">
        <v>301</v>
      </c>
      <c r="E292" s="157" t="s">
        <v>1</v>
      </c>
      <c r="F292" s="158" t="s">
        <v>305</v>
      </c>
      <c r="H292" s="159">
        <v>86.8</v>
      </c>
      <c r="I292" s="160"/>
      <c r="L292" s="156"/>
      <c r="N292" s="311">
        <f>N290+N291</f>
        <v>46.93</v>
      </c>
      <c r="O292" s="220"/>
      <c r="Q292" s="334"/>
      <c r="CT292" s="161"/>
      <c r="DA292" s="162"/>
      <c r="EA292" s="157" t="s">
        <v>301</v>
      </c>
      <c r="EB292" s="157" t="s">
        <v>83</v>
      </c>
      <c r="EC292" s="13" t="s">
        <v>95</v>
      </c>
      <c r="ED292" s="13" t="s">
        <v>32</v>
      </c>
      <c r="EE292" s="13" t="s">
        <v>81</v>
      </c>
      <c r="EF292" s="157" t="s">
        <v>282</v>
      </c>
    </row>
    <row r="293" spans="2:150" s="13" customFormat="1" x14ac:dyDescent="0.2">
      <c r="B293" s="156"/>
      <c r="D293" s="138"/>
      <c r="E293" s="157"/>
      <c r="F293" s="158"/>
      <c r="H293" s="159"/>
      <c r="I293" s="160"/>
      <c r="L293" s="156"/>
      <c r="N293" s="311">
        <f>N292-H292</f>
        <v>-39.869999999999997</v>
      </c>
      <c r="O293" s="220"/>
      <c r="Q293" s="334"/>
      <c r="CT293" s="161"/>
      <c r="DA293" s="162"/>
      <c r="EA293" s="157"/>
      <c r="EB293" s="157"/>
      <c r="EF293" s="157"/>
    </row>
    <row r="294" spans="2:150" s="1" customFormat="1" ht="24.2" customHeight="1" x14ac:dyDescent="0.2">
      <c r="B294" s="124"/>
      <c r="C294" s="125" t="s">
        <v>476</v>
      </c>
      <c r="D294" s="125" t="s">
        <v>284</v>
      </c>
      <c r="E294" s="126" t="s">
        <v>457</v>
      </c>
      <c r="F294" s="127" t="s">
        <v>458</v>
      </c>
      <c r="G294" s="128" t="s">
        <v>418</v>
      </c>
      <c r="H294" s="129">
        <v>334.31</v>
      </c>
      <c r="I294" s="130">
        <v>61.737071122597108</v>
      </c>
      <c r="J294" s="131">
        <f>ROUND(I294*H294,2)</f>
        <v>20639.32</v>
      </c>
      <c r="K294" s="127" t="s">
        <v>293</v>
      </c>
      <c r="L294" s="268">
        <f>S294</f>
        <v>0</v>
      </c>
      <c r="M294" s="272">
        <f>ROUND(L294*I294,2)</f>
        <v>0</v>
      </c>
      <c r="N294" s="243">
        <f>N296</f>
        <v>-40.254999999999995</v>
      </c>
      <c r="O294" s="294">
        <f>ROUND(N294*I294,2)</f>
        <v>-2485.23</v>
      </c>
      <c r="P294" s="273">
        <f>H294-L294-N294</f>
        <v>374.565</v>
      </c>
      <c r="Q294" s="268">
        <f>ROUND(P294*I294,2)</f>
        <v>23124.55</v>
      </c>
      <c r="R294" s="137"/>
      <c r="S294" s="269">
        <f>W294+Y294+AA294+AC294+AE294</f>
        <v>0</v>
      </c>
      <c r="T294" s="269">
        <f>ROUND(S294*I294,2)</f>
        <v>0</v>
      </c>
      <c r="U294" s="269">
        <f>H294-S294</f>
        <v>334.31</v>
      </c>
      <c r="V294" s="269">
        <f>ROUND(U294*I294,2)</f>
        <v>20639.32</v>
      </c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CT294" s="132" t="s">
        <v>1</v>
      </c>
      <c r="CU294" s="133" t="s">
        <v>40</v>
      </c>
      <c r="CW294" s="134">
        <f>CV294*H294</f>
        <v>0</v>
      </c>
      <c r="CX294" s="134">
        <v>0</v>
      </c>
      <c r="CY294" s="134">
        <f>CX294*H294</f>
        <v>0</v>
      </c>
      <c r="CZ294" s="134">
        <v>0</v>
      </c>
      <c r="DA294" s="135">
        <f>CZ294*H294</f>
        <v>0</v>
      </c>
      <c r="DY294" s="136" t="s">
        <v>95</v>
      </c>
      <c r="EA294" s="136" t="s">
        <v>284</v>
      </c>
      <c r="EB294" s="136" t="s">
        <v>83</v>
      </c>
      <c r="EF294" s="16" t="s">
        <v>282</v>
      </c>
      <c r="EL294" s="137">
        <f>IF(CU294="základní",J294,0)</f>
        <v>20639.32</v>
      </c>
      <c r="EM294" s="137">
        <f>IF(CU294="snížená",J294,0)</f>
        <v>0</v>
      </c>
      <c r="EN294" s="137">
        <f>IF(CU294="zákl. přenesená",J294,0)</f>
        <v>0</v>
      </c>
      <c r="EO294" s="137">
        <f>IF(CU294="sníž. přenesená",J294,0)</f>
        <v>0</v>
      </c>
      <c r="EP294" s="137">
        <f>IF(CU294="nulová",J294,0)</f>
        <v>0</v>
      </c>
      <c r="EQ294" s="16" t="s">
        <v>81</v>
      </c>
      <c r="ER294" s="137">
        <f>ROUND(I294*H294,2)</f>
        <v>20639.32</v>
      </c>
      <c r="ES294" s="16" t="s">
        <v>95</v>
      </c>
      <c r="ET294" s="136" t="s">
        <v>2770</v>
      </c>
    </row>
    <row r="295" spans="2:150" s="1" customFormat="1" ht="29.25" x14ac:dyDescent="0.2">
      <c r="B295" s="31"/>
      <c r="D295" s="138" t="s">
        <v>289</v>
      </c>
      <c r="F295" s="139" t="s">
        <v>460</v>
      </c>
      <c r="I295" s="140"/>
      <c r="L295" s="31"/>
      <c r="N295" s="213"/>
      <c r="O295" s="214"/>
      <c r="Q295" s="330"/>
      <c r="CT295" s="141"/>
      <c r="DA295" s="50"/>
      <c r="EA295" s="16" t="s">
        <v>289</v>
      </c>
      <c r="EB295" s="16" t="s">
        <v>83</v>
      </c>
    </row>
    <row r="296" spans="2:150" s="12" customFormat="1" x14ac:dyDescent="0.2">
      <c r="B296" s="149"/>
      <c r="D296" s="138" t="s">
        <v>301</v>
      </c>
      <c r="E296" s="150" t="s">
        <v>1</v>
      </c>
      <c r="F296" s="151" t="s">
        <v>2771</v>
      </c>
      <c r="H296" s="152">
        <v>334.31</v>
      </c>
      <c r="I296" s="153"/>
      <c r="L296" s="149"/>
      <c r="N296" s="217">
        <f>-13.422-26.833</f>
        <v>-40.254999999999995</v>
      </c>
      <c r="O296" s="218" t="s">
        <v>3844</v>
      </c>
      <c r="Q296" s="332"/>
      <c r="CT296" s="154"/>
      <c r="DA296" s="155"/>
      <c r="EA296" s="150" t="s">
        <v>301</v>
      </c>
      <c r="EB296" s="150" t="s">
        <v>83</v>
      </c>
      <c r="EC296" s="12" t="s">
        <v>83</v>
      </c>
      <c r="ED296" s="12" t="s">
        <v>32</v>
      </c>
      <c r="EE296" s="12" t="s">
        <v>81</v>
      </c>
      <c r="EF296" s="150" t="s">
        <v>282</v>
      </c>
    </row>
    <row r="297" spans="2:150" s="10" customFormat="1" ht="22.9" customHeight="1" x14ac:dyDescent="0.2">
      <c r="B297" s="112"/>
      <c r="D297" s="113" t="s">
        <v>73</v>
      </c>
      <c r="E297" s="122" t="s">
        <v>83</v>
      </c>
      <c r="F297" s="122" t="s">
        <v>462</v>
      </c>
      <c r="I297" s="115"/>
      <c r="J297" s="123">
        <f>ER297</f>
        <v>4380.42</v>
      </c>
      <c r="L297" s="112"/>
      <c r="M297" s="270">
        <f>SUM(M298:M318)</f>
        <v>0</v>
      </c>
      <c r="N297" s="301"/>
      <c r="O297" s="302">
        <f t="shared" ref="O297:V297" si="3">SUM(O298:O318)</f>
        <v>0</v>
      </c>
      <c r="P297" s="270"/>
      <c r="Q297" s="335">
        <f t="shared" si="3"/>
        <v>4380.42</v>
      </c>
      <c r="R297" s="270"/>
      <c r="S297" s="270"/>
      <c r="T297" s="270">
        <f t="shared" si="3"/>
        <v>0</v>
      </c>
      <c r="U297" s="270"/>
      <c r="V297" s="270">
        <f t="shared" si="3"/>
        <v>4380.42</v>
      </c>
      <c r="CT297" s="117"/>
      <c r="CW297" s="118">
        <f>SUM(CW298:CW321)</f>
        <v>0</v>
      </c>
      <c r="CY297" s="118">
        <f>SUM(CY298:CY321)</f>
        <v>3.0723748199999998</v>
      </c>
      <c r="DA297" s="119">
        <f>SUM(DA298:DA321)</f>
        <v>0</v>
      </c>
      <c r="DY297" s="113" t="s">
        <v>81</v>
      </c>
      <c r="EA297" s="120" t="s">
        <v>73</v>
      </c>
      <c r="EB297" s="120" t="s">
        <v>81</v>
      </c>
      <c r="EF297" s="113" t="s">
        <v>282</v>
      </c>
      <c r="ER297" s="121">
        <f>SUM(ER298:ER321)</f>
        <v>4380.42</v>
      </c>
    </row>
    <row r="298" spans="2:150" s="1" customFormat="1" ht="24.2" customHeight="1" x14ac:dyDescent="0.2">
      <c r="B298" s="124"/>
      <c r="C298" s="125" t="s">
        <v>482</v>
      </c>
      <c r="D298" s="125" t="s">
        <v>284</v>
      </c>
      <c r="E298" s="126" t="s">
        <v>1879</v>
      </c>
      <c r="F298" s="127" t="s">
        <v>1880</v>
      </c>
      <c r="G298" s="128" t="s">
        <v>366</v>
      </c>
      <c r="H298" s="129">
        <v>0.22500000000000001</v>
      </c>
      <c r="I298" s="130">
        <v>1340.7472201353823</v>
      </c>
      <c r="J298" s="131">
        <f>ROUND(I298*H298,2)</f>
        <v>301.67</v>
      </c>
      <c r="K298" s="127" t="s">
        <v>293</v>
      </c>
      <c r="L298" s="268">
        <f>S298</f>
        <v>0</v>
      </c>
      <c r="M298" s="272">
        <f>ROUND(L298*I298,2)</f>
        <v>0</v>
      </c>
      <c r="N298" s="243"/>
      <c r="O298" s="294">
        <f>ROUND(N298*I298,2)</f>
        <v>0</v>
      </c>
      <c r="P298" s="273">
        <f>H298-L298-N298</f>
        <v>0.22500000000000001</v>
      </c>
      <c r="Q298" s="268">
        <f>ROUND(P298*I298,2)</f>
        <v>301.67</v>
      </c>
      <c r="R298" s="137"/>
      <c r="S298" s="269">
        <f>W298+Y298+AA298+AC298+AE298</f>
        <v>0</v>
      </c>
      <c r="T298" s="269">
        <f>ROUND(S298*I298,2)</f>
        <v>0</v>
      </c>
      <c r="U298" s="269">
        <f>H298-S298</f>
        <v>0.22500000000000001</v>
      </c>
      <c r="V298" s="269">
        <f>ROUND(U298*I298,2)</f>
        <v>301.67</v>
      </c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CT298" s="132" t="s">
        <v>1</v>
      </c>
      <c r="CU298" s="133" t="s">
        <v>40</v>
      </c>
      <c r="CW298" s="134">
        <f>CV298*H298</f>
        <v>0</v>
      </c>
      <c r="CX298" s="134">
        <v>2.16</v>
      </c>
      <c r="CY298" s="134">
        <f>CX298*H298</f>
        <v>0.48600000000000004</v>
      </c>
      <c r="CZ298" s="134">
        <v>0</v>
      </c>
      <c r="DA298" s="135">
        <f>CZ298*H298</f>
        <v>0</v>
      </c>
      <c r="DY298" s="136" t="s">
        <v>95</v>
      </c>
      <c r="EA298" s="136" t="s">
        <v>284</v>
      </c>
      <c r="EB298" s="136" t="s">
        <v>83</v>
      </c>
      <c r="EF298" s="16" t="s">
        <v>282</v>
      </c>
      <c r="EL298" s="137">
        <f>IF(CU298="základní",J298,0)</f>
        <v>301.67</v>
      </c>
      <c r="EM298" s="137">
        <f>IF(CU298="snížená",J298,0)</f>
        <v>0</v>
      </c>
      <c r="EN298" s="137">
        <f>IF(CU298="zákl. přenesená",J298,0)</f>
        <v>0</v>
      </c>
      <c r="EO298" s="137">
        <f>IF(CU298="sníž. přenesená",J298,0)</f>
        <v>0</v>
      </c>
      <c r="EP298" s="137">
        <f>IF(CU298="nulová",J298,0)</f>
        <v>0</v>
      </c>
      <c r="EQ298" s="16" t="s">
        <v>81</v>
      </c>
      <c r="ER298" s="137">
        <f>ROUND(I298*H298,2)</f>
        <v>301.67</v>
      </c>
      <c r="ES298" s="16" t="s">
        <v>95</v>
      </c>
      <c r="ET298" s="136" t="s">
        <v>2772</v>
      </c>
    </row>
    <row r="299" spans="2:150" s="1" customFormat="1" ht="19.5" x14ac:dyDescent="0.2">
      <c r="B299" s="31"/>
      <c r="D299" s="138" t="s">
        <v>289</v>
      </c>
      <c r="F299" s="139" t="s">
        <v>1882</v>
      </c>
      <c r="I299" s="140"/>
      <c r="L299" s="31"/>
      <c r="N299" s="213"/>
      <c r="O299" s="214"/>
      <c r="Q299" s="330"/>
      <c r="CT299" s="141"/>
      <c r="DA299" s="50"/>
      <c r="EA299" s="16" t="s">
        <v>289</v>
      </c>
      <c r="EB299" s="16" t="s">
        <v>83</v>
      </c>
    </row>
    <row r="300" spans="2:150" s="1" customFormat="1" ht="29.25" x14ac:dyDescent="0.2">
      <c r="B300" s="31"/>
      <c r="D300" s="138" t="s">
        <v>299</v>
      </c>
      <c r="F300" s="142" t="s">
        <v>2695</v>
      </c>
      <c r="I300" s="140"/>
      <c r="L300" s="31"/>
      <c r="N300" s="213"/>
      <c r="O300" s="214"/>
      <c r="Q300" s="330"/>
      <c r="CT300" s="141"/>
      <c r="DA300" s="50"/>
      <c r="EA300" s="16" t="s">
        <v>299</v>
      </c>
      <c r="EB300" s="16" t="s">
        <v>83</v>
      </c>
    </row>
    <row r="301" spans="2:150" s="12" customFormat="1" x14ac:dyDescent="0.2">
      <c r="B301" s="149"/>
      <c r="D301" s="138" t="s">
        <v>301</v>
      </c>
      <c r="E301" s="150" t="s">
        <v>1</v>
      </c>
      <c r="F301" s="151" t="s">
        <v>2773</v>
      </c>
      <c r="H301" s="152">
        <v>0.22500000000000001</v>
      </c>
      <c r="I301" s="153"/>
      <c r="L301" s="149"/>
      <c r="N301" s="217"/>
      <c r="O301" s="218"/>
      <c r="Q301" s="332"/>
      <c r="CT301" s="154"/>
      <c r="DA301" s="155"/>
      <c r="EA301" s="150" t="s">
        <v>301</v>
      </c>
      <c r="EB301" s="150" t="s">
        <v>83</v>
      </c>
      <c r="EC301" s="12" t="s">
        <v>83</v>
      </c>
      <c r="ED301" s="12" t="s">
        <v>32</v>
      </c>
      <c r="EE301" s="12" t="s">
        <v>81</v>
      </c>
      <c r="EF301" s="150" t="s">
        <v>282</v>
      </c>
    </row>
    <row r="302" spans="2:150" s="1" customFormat="1" ht="14.45" customHeight="1" x14ac:dyDescent="0.2">
      <c r="B302" s="124"/>
      <c r="C302" s="125" t="s">
        <v>489</v>
      </c>
      <c r="D302" s="125" t="s">
        <v>284</v>
      </c>
      <c r="E302" s="126" t="s">
        <v>2510</v>
      </c>
      <c r="F302" s="127" t="s">
        <v>2774</v>
      </c>
      <c r="G302" s="128" t="s">
        <v>366</v>
      </c>
      <c r="H302" s="129">
        <v>0.2</v>
      </c>
      <c r="I302" s="130">
        <v>2501.7542038360825</v>
      </c>
      <c r="J302" s="131">
        <f>ROUND(I302*H302,2)</f>
        <v>500.35</v>
      </c>
      <c r="K302" s="127" t="s">
        <v>293</v>
      </c>
      <c r="L302" s="268">
        <f>S302</f>
        <v>0</v>
      </c>
      <c r="M302" s="272">
        <f>ROUND(L302*I302,2)</f>
        <v>0</v>
      </c>
      <c r="N302" s="243"/>
      <c r="O302" s="294">
        <f>ROUND(N302*I302,2)</f>
        <v>0</v>
      </c>
      <c r="P302" s="273">
        <f>H302-L302-N302</f>
        <v>0.2</v>
      </c>
      <c r="Q302" s="268">
        <f>ROUND(P302*I302,2)</f>
        <v>500.35</v>
      </c>
      <c r="R302" s="137"/>
      <c r="S302" s="269">
        <f>W302+Y302+AA302+AC302+AE302</f>
        <v>0</v>
      </c>
      <c r="T302" s="269">
        <f>ROUND(S302*I302,2)</f>
        <v>0</v>
      </c>
      <c r="U302" s="269">
        <f>H302-S302</f>
        <v>0.2</v>
      </c>
      <c r="V302" s="269">
        <f>ROUND(U302*I302,2)</f>
        <v>500.35</v>
      </c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CT302" s="132" t="s">
        <v>1</v>
      </c>
      <c r="CU302" s="133" t="s">
        <v>40</v>
      </c>
      <c r="CW302" s="134">
        <f>CV302*H302</f>
        <v>0</v>
      </c>
      <c r="CX302" s="134">
        <v>2.2563399999999998</v>
      </c>
      <c r="CY302" s="134">
        <f>CX302*H302</f>
        <v>0.451268</v>
      </c>
      <c r="CZ302" s="134">
        <v>0</v>
      </c>
      <c r="DA302" s="135">
        <f>CZ302*H302</f>
        <v>0</v>
      </c>
      <c r="DY302" s="136" t="s">
        <v>95</v>
      </c>
      <c r="EA302" s="136" t="s">
        <v>284</v>
      </c>
      <c r="EB302" s="136" t="s">
        <v>83</v>
      </c>
      <c r="EF302" s="16" t="s">
        <v>282</v>
      </c>
      <c r="EL302" s="137">
        <f>IF(CU302="základní",J302,0)</f>
        <v>500.35</v>
      </c>
      <c r="EM302" s="137">
        <f>IF(CU302="snížená",J302,0)</f>
        <v>0</v>
      </c>
      <c r="EN302" s="137">
        <f>IF(CU302="zákl. přenesená",J302,0)</f>
        <v>0</v>
      </c>
      <c r="EO302" s="137">
        <f>IF(CU302="sníž. přenesená",J302,0)</f>
        <v>0</v>
      </c>
      <c r="EP302" s="137">
        <f>IF(CU302="nulová",J302,0)</f>
        <v>0</v>
      </c>
      <c r="EQ302" s="16" t="s">
        <v>81</v>
      </c>
      <c r="ER302" s="137">
        <f>ROUND(I302*H302,2)</f>
        <v>500.35</v>
      </c>
      <c r="ES302" s="16" t="s">
        <v>95</v>
      </c>
      <c r="ET302" s="136" t="s">
        <v>2775</v>
      </c>
    </row>
    <row r="303" spans="2:150" s="1" customFormat="1" ht="19.5" x14ac:dyDescent="0.2">
      <c r="B303" s="31"/>
      <c r="D303" s="138" t="s">
        <v>289</v>
      </c>
      <c r="F303" s="139" t="s">
        <v>2513</v>
      </c>
      <c r="I303" s="140"/>
      <c r="L303" s="31"/>
      <c r="N303" s="213"/>
      <c r="O303" s="214"/>
      <c r="Q303" s="330"/>
      <c r="CT303" s="141"/>
      <c r="DA303" s="50"/>
      <c r="EA303" s="16" t="s">
        <v>289</v>
      </c>
      <c r="EB303" s="16" t="s">
        <v>83</v>
      </c>
    </row>
    <row r="304" spans="2:150" s="1" customFormat="1" ht="29.25" x14ac:dyDescent="0.2">
      <c r="B304" s="31"/>
      <c r="D304" s="138" t="s">
        <v>299</v>
      </c>
      <c r="F304" s="142" t="s">
        <v>2695</v>
      </c>
      <c r="I304" s="140"/>
      <c r="L304" s="31"/>
      <c r="N304" s="213"/>
      <c r="O304" s="214"/>
      <c r="Q304" s="330"/>
      <c r="CT304" s="141"/>
      <c r="DA304" s="50"/>
      <c r="EA304" s="16" t="s">
        <v>299</v>
      </c>
      <c r="EB304" s="16" t="s">
        <v>83</v>
      </c>
    </row>
    <row r="305" spans="2:150" s="11" customFormat="1" x14ac:dyDescent="0.2">
      <c r="B305" s="143"/>
      <c r="D305" s="138" t="s">
        <v>301</v>
      </c>
      <c r="E305" s="144" t="s">
        <v>1</v>
      </c>
      <c r="F305" s="145" t="s">
        <v>2776</v>
      </c>
      <c r="H305" s="144" t="s">
        <v>1</v>
      </c>
      <c r="I305" s="146"/>
      <c r="L305" s="143"/>
      <c r="N305" s="215"/>
      <c r="O305" s="216"/>
      <c r="Q305" s="331"/>
      <c r="CT305" s="147"/>
      <c r="DA305" s="148"/>
      <c r="EA305" s="144" t="s">
        <v>301</v>
      </c>
      <c r="EB305" s="144" t="s">
        <v>83</v>
      </c>
      <c r="EC305" s="11" t="s">
        <v>81</v>
      </c>
      <c r="ED305" s="11" t="s">
        <v>32</v>
      </c>
      <c r="EE305" s="11" t="s">
        <v>74</v>
      </c>
      <c r="EF305" s="144" t="s">
        <v>282</v>
      </c>
    </row>
    <row r="306" spans="2:150" s="12" customFormat="1" x14ac:dyDescent="0.2">
      <c r="B306" s="149"/>
      <c r="D306" s="138" t="s">
        <v>301</v>
      </c>
      <c r="E306" s="150" t="s">
        <v>1</v>
      </c>
      <c r="F306" s="151" t="s">
        <v>2777</v>
      </c>
      <c r="H306" s="152">
        <v>0.2</v>
      </c>
      <c r="I306" s="153"/>
      <c r="L306" s="149"/>
      <c r="N306" s="217"/>
      <c r="O306" s="218"/>
      <c r="Q306" s="332"/>
      <c r="CT306" s="154"/>
      <c r="DA306" s="155"/>
      <c r="EA306" s="150" t="s">
        <v>301</v>
      </c>
      <c r="EB306" s="150" t="s">
        <v>83</v>
      </c>
      <c r="EC306" s="12" t="s">
        <v>83</v>
      </c>
      <c r="ED306" s="12" t="s">
        <v>32</v>
      </c>
      <c r="EE306" s="12" t="s">
        <v>81</v>
      </c>
      <c r="EF306" s="150" t="s">
        <v>282</v>
      </c>
    </row>
    <row r="307" spans="2:150" s="1" customFormat="1" ht="24.2" customHeight="1" x14ac:dyDescent="0.2">
      <c r="B307" s="124"/>
      <c r="C307" s="125" t="s">
        <v>493</v>
      </c>
      <c r="D307" s="125" t="s">
        <v>284</v>
      </c>
      <c r="E307" s="126" t="s">
        <v>1884</v>
      </c>
      <c r="F307" s="127" t="s">
        <v>1885</v>
      </c>
      <c r="G307" s="128" t="s">
        <v>366</v>
      </c>
      <c r="H307" s="129">
        <v>0.86299999999999999</v>
      </c>
      <c r="I307" s="130">
        <v>3211.059415589079</v>
      </c>
      <c r="J307" s="131">
        <f>ROUND(I307*H307,2)</f>
        <v>2771.14</v>
      </c>
      <c r="K307" s="127" t="s">
        <v>293</v>
      </c>
      <c r="L307" s="268">
        <f>S307</f>
        <v>0</v>
      </c>
      <c r="M307" s="272">
        <f>ROUND(L307*I307,2)</f>
        <v>0</v>
      </c>
      <c r="N307" s="243"/>
      <c r="O307" s="294">
        <f>ROUND(N307*I307,2)</f>
        <v>0</v>
      </c>
      <c r="P307" s="273">
        <f>H307-L307-N307</f>
        <v>0.86299999999999999</v>
      </c>
      <c r="Q307" s="268">
        <f>ROUND(P307*I307,2)</f>
        <v>2771.14</v>
      </c>
      <c r="R307" s="137"/>
      <c r="S307" s="269">
        <f>W307+Y307+AA307+AC307+AE307</f>
        <v>0</v>
      </c>
      <c r="T307" s="269">
        <f>ROUND(S307*I307,2)</f>
        <v>0</v>
      </c>
      <c r="U307" s="269">
        <f>H307-S307</f>
        <v>0.86299999999999999</v>
      </c>
      <c r="V307" s="269">
        <f>ROUND(U307*I307,2)</f>
        <v>2771.14</v>
      </c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CT307" s="132" t="s">
        <v>1</v>
      </c>
      <c r="CU307" s="133" t="s">
        <v>40</v>
      </c>
      <c r="CW307" s="134">
        <f>CV307*H307</f>
        <v>0</v>
      </c>
      <c r="CX307" s="134">
        <v>2.45329</v>
      </c>
      <c r="CY307" s="134">
        <f>CX307*H307</f>
        <v>2.1171892699999999</v>
      </c>
      <c r="CZ307" s="134">
        <v>0</v>
      </c>
      <c r="DA307" s="135">
        <f>CZ307*H307</f>
        <v>0</v>
      </c>
      <c r="DY307" s="136" t="s">
        <v>95</v>
      </c>
      <c r="EA307" s="136" t="s">
        <v>284</v>
      </c>
      <c r="EB307" s="136" t="s">
        <v>83</v>
      </c>
      <c r="EF307" s="16" t="s">
        <v>282</v>
      </c>
      <c r="EL307" s="137">
        <f>IF(CU307="základní",J307,0)</f>
        <v>2771.14</v>
      </c>
      <c r="EM307" s="137">
        <f>IF(CU307="snížená",J307,0)</f>
        <v>0</v>
      </c>
      <c r="EN307" s="137">
        <f>IF(CU307="zákl. přenesená",J307,0)</f>
        <v>0</v>
      </c>
      <c r="EO307" s="137">
        <f>IF(CU307="sníž. přenesená",J307,0)</f>
        <v>0</v>
      </c>
      <c r="EP307" s="137">
        <f>IF(CU307="nulová",J307,0)</f>
        <v>0</v>
      </c>
      <c r="EQ307" s="16" t="s">
        <v>81</v>
      </c>
      <c r="ER307" s="137">
        <f>ROUND(I307*H307,2)</f>
        <v>2771.14</v>
      </c>
      <c r="ES307" s="16" t="s">
        <v>95</v>
      </c>
      <c r="ET307" s="136" t="s">
        <v>2778</v>
      </c>
    </row>
    <row r="308" spans="2:150" s="1" customFormat="1" ht="19.5" x14ac:dyDescent="0.2">
      <c r="B308" s="31"/>
      <c r="D308" s="138" t="s">
        <v>289</v>
      </c>
      <c r="F308" s="139" t="s">
        <v>1887</v>
      </c>
      <c r="I308" s="140"/>
      <c r="L308" s="31"/>
      <c r="N308" s="213"/>
      <c r="O308" s="214"/>
      <c r="Q308" s="330"/>
      <c r="CT308" s="141"/>
      <c r="DA308" s="50"/>
      <c r="EA308" s="16" t="s">
        <v>289</v>
      </c>
      <c r="EB308" s="16" t="s">
        <v>83</v>
      </c>
    </row>
    <row r="309" spans="2:150" s="1" customFormat="1" ht="19.5" x14ac:dyDescent="0.2">
      <c r="B309" s="31"/>
      <c r="D309" s="138" t="s">
        <v>299</v>
      </c>
      <c r="F309" s="142" t="s">
        <v>2779</v>
      </c>
      <c r="I309" s="140"/>
      <c r="L309" s="31"/>
      <c r="N309" s="213"/>
      <c r="O309" s="214"/>
      <c r="Q309" s="330"/>
      <c r="CT309" s="141"/>
      <c r="DA309" s="50"/>
      <c r="EA309" s="16" t="s">
        <v>299</v>
      </c>
      <c r="EB309" s="16" t="s">
        <v>83</v>
      </c>
    </row>
    <row r="310" spans="2:150" s="11" customFormat="1" x14ac:dyDescent="0.2">
      <c r="B310" s="143"/>
      <c r="D310" s="138" t="s">
        <v>301</v>
      </c>
      <c r="E310" s="144" t="s">
        <v>1</v>
      </c>
      <c r="F310" s="145" t="s">
        <v>2780</v>
      </c>
      <c r="H310" s="144" t="s">
        <v>1</v>
      </c>
      <c r="I310" s="146"/>
      <c r="L310" s="143"/>
      <c r="N310" s="215"/>
      <c r="O310" s="216"/>
      <c r="Q310" s="331"/>
      <c r="CT310" s="147"/>
      <c r="DA310" s="148"/>
      <c r="EA310" s="144" t="s">
        <v>301</v>
      </c>
      <c r="EB310" s="144" t="s">
        <v>83</v>
      </c>
      <c r="EC310" s="11" t="s">
        <v>81</v>
      </c>
      <c r="ED310" s="11" t="s">
        <v>32</v>
      </c>
      <c r="EE310" s="11" t="s">
        <v>74</v>
      </c>
      <c r="EF310" s="144" t="s">
        <v>282</v>
      </c>
    </row>
    <row r="311" spans="2:150" s="12" customFormat="1" x14ac:dyDescent="0.2">
      <c r="B311" s="149"/>
      <c r="D311" s="138" t="s">
        <v>301</v>
      </c>
      <c r="E311" s="150" t="s">
        <v>1</v>
      </c>
      <c r="F311" s="151" t="s">
        <v>2781</v>
      </c>
      <c r="H311" s="152">
        <v>0.86299999999999999</v>
      </c>
      <c r="I311" s="153"/>
      <c r="L311" s="149"/>
      <c r="N311" s="217"/>
      <c r="O311" s="218"/>
      <c r="Q311" s="332"/>
      <c r="CT311" s="154"/>
      <c r="DA311" s="155"/>
      <c r="EA311" s="150" t="s">
        <v>301</v>
      </c>
      <c r="EB311" s="150" t="s">
        <v>83</v>
      </c>
      <c r="EC311" s="12" t="s">
        <v>83</v>
      </c>
      <c r="ED311" s="12" t="s">
        <v>32</v>
      </c>
      <c r="EE311" s="12" t="s">
        <v>81</v>
      </c>
      <c r="EF311" s="150" t="s">
        <v>282</v>
      </c>
    </row>
    <row r="312" spans="2:150" s="1" customFormat="1" ht="14.45" customHeight="1" x14ac:dyDescent="0.2">
      <c r="B312" s="124"/>
      <c r="C312" s="125" t="s">
        <v>497</v>
      </c>
      <c r="D312" s="125" t="s">
        <v>284</v>
      </c>
      <c r="E312" s="126" t="s">
        <v>1893</v>
      </c>
      <c r="F312" s="127" t="s">
        <v>1894</v>
      </c>
      <c r="G312" s="128" t="s">
        <v>287</v>
      </c>
      <c r="H312" s="129">
        <v>0.8</v>
      </c>
      <c r="I312" s="130">
        <v>379.79538976632074</v>
      </c>
      <c r="J312" s="131">
        <f>ROUND(I312*H312,2)</f>
        <v>303.83999999999997</v>
      </c>
      <c r="K312" s="127" t="s">
        <v>293</v>
      </c>
      <c r="L312" s="268">
        <f>S312</f>
        <v>0</v>
      </c>
      <c r="M312" s="272">
        <f>ROUND(L312*I312,2)</f>
        <v>0</v>
      </c>
      <c r="N312" s="243"/>
      <c r="O312" s="294">
        <f>ROUND(N312*I312,2)</f>
        <v>0</v>
      </c>
      <c r="P312" s="273">
        <f>H312-L312-N312</f>
        <v>0.8</v>
      </c>
      <c r="Q312" s="268">
        <f>ROUND(P312*I312,2)</f>
        <v>303.83999999999997</v>
      </c>
      <c r="R312" s="137"/>
      <c r="S312" s="269">
        <f>W312+Y312+AA312+AC312+AE312</f>
        <v>0</v>
      </c>
      <c r="T312" s="269">
        <f>ROUND(S312*I312,2)</f>
        <v>0</v>
      </c>
      <c r="U312" s="269">
        <f>H312-S312</f>
        <v>0.8</v>
      </c>
      <c r="V312" s="269">
        <f>ROUND(U312*I312,2)</f>
        <v>303.83999999999997</v>
      </c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CT312" s="132" t="s">
        <v>1</v>
      </c>
      <c r="CU312" s="133" t="s">
        <v>40</v>
      </c>
      <c r="CW312" s="134">
        <f>CV312*H312</f>
        <v>0</v>
      </c>
      <c r="CX312" s="134">
        <v>2.47E-3</v>
      </c>
      <c r="CY312" s="134">
        <f>CX312*H312</f>
        <v>1.9759999999999999E-3</v>
      </c>
      <c r="CZ312" s="134">
        <v>0</v>
      </c>
      <c r="DA312" s="135">
        <f>CZ312*H312</f>
        <v>0</v>
      </c>
      <c r="DY312" s="136" t="s">
        <v>95</v>
      </c>
      <c r="EA312" s="136" t="s">
        <v>284</v>
      </c>
      <c r="EB312" s="136" t="s">
        <v>83</v>
      </c>
      <c r="EF312" s="16" t="s">
        <v>282</v>
      </c>
      <c r="EL312" s="137">
        <f>IF(CU312="základní",J312,0)</f>
        <v>303.83999999999997</v>
      </c>
      <c r="EM312" s="137">
        <f>IF(CU312="snížená",J312,0)</f>
        <v>0</v>
      </c>
      <c r="EN312" s="137">
        <f>IF(CU312="zákl. přenesená",J312,0)</f>
        <v>0</v>
      </c>
      <c r="EO312" s="137">
        <f>IF(CU312="sníž. přenesená",J312,0)</f>
        <v>0</v>
      </c>
      <c r="EP312" s="137">
        <f>IF(CU312="nulová",J312,0)</f>
        <v>0</v>
      </c>
      <c r="EQ312" s="16" t="s">
        <v>81</v>
      </c>
      <c r="ER312" s="137">
        <f>ROUND(I312*H312,2)</f>
        <v>303.83999999999997</v>
      </c>
      <c r="ES312" s="16" t="s">
        <v>95</v>
      </c>
      <c r="ET312" s="136" t="s">
        <v>2782</v>
      </c>
    </row>
    <row r="313" spans="2:150" s="1" customFormat="1" x14ac:dyDescent="0.2">
      <c r="B313" s="31"/>
      <c r="D313" s="138" t="s">
        <v>289</v>
      </c>
      <c r="F313" s="139" t="s">
        <v>1896</v>
      </c>
      <c r="I313" s="140"/>
      <c r="L313" s="31"/>
      <c r="N313" s="213"/>
      <c r="O313" s="214"/>
      <c r="Q313" s="330"/>
      <c r="CT313" s="141"/>
      <c r="DA313" s="50"/>
      <c r="EA313" s="16" t="s">
        <v>289</v>
      </c>
      <c r="EB313" s="16" t="s">
        <v>83</v>
      </c>
    </row>
    <row r="314" spans="2:150" s="1" customFormat="1" ht="29.25" x14ac:dyDescent="0.2">
      <c r="B314" s="31"/>
      <c r="D314" s="138" t="s">
        <v>299</v>
      </c>
      <c r="F314" s="142" t="s">
        <v>2695</v>
      </c>
      <c r="I314" s="140"/>
      <c r="L314" s="31"/>
      <c r="N314" s="213"/>
      <c r="O314" s="214"/>
      <c r="Q314" s="330"/>
      <c r="CT314" s="141"/>
      <c r="DA314" s="50"/>
      <c r="EA314" s="16" t="s">
        <v>299</v>
      </c>
      <c r="EB314" s="16" t="s">
        <v>83</v>
      </c>
    </row>
    <row r="315" spans="2:150" s="12" customFormat="1" x14ac:dyDescent="0.2">
      <c r="B315" s="149"/>
      <c r="D315" s="138" t="s">
        <v>301</v>
      </c>
      <c r="E315" s="150" t="s">
        <v>1</v>
      </c>
      <c r="F315" s="151" t="s">
        <v>2783</v>
      </c>
      <c r="H315" s="152">
        <v>0.8</v>
      </c>
      <c r="I315" s="153"/>
      <c r="L315" s="149"/>
      <c r="N315" s="217"/>
      <c r="O315" s="218"/>
      <c r="Q315" s="332"/>
      <c r="CT315" s="154"/>
      <c r="DA315" s="155"/>
      <c r="EA315" s="150" t="s">
        <v>301</v>
      </c>
      <c r="EB315" s="150" t="s">
        <v>83</v>
      </c>
      <c r="EC315" s="12" t="s">
        <v>83</v>
      </c>
      <c r="ED315" s="12" t="s">
        <v>32</v>
      </c>
      <c r="EE315" s="12" t="s">
        <v>81</v>
      </c>
      <c r="EF315" s="150" t="s">
        <v>282</v>
      </c>
    </row>
    <row r="316" spans="2:150" s="1" customFormat="1" ht="14.45" customHeight="1" x14ac:dyDescent="0.2">
      <c r="B316" s="124"/>
      <c r="C316" s="125" t="s">
        <v>501</v>
      </c>
      <c r="D316" s="125" t="s">
        <v>284</v>
      </c>
      <c r="E316" s="126" t="s">
        <v>1899</v>
      </c>
      <c r="F316" s="127" t="s">
        <v>1900</v>
      </c>
      <c r="G316" s="128" t="s">
        <v>287</v>
      </c>
      <c r="H316" s="129">
        <v>0.8</v>
      </c>
      <c r="I316" s="130">
        <v>102.41615913446736</v>
      </c>
      <c r="J316" s="131">
        <f>ROUND(I316*H316,2)</f>
        <v>81.93</v>
      </c>
      <c r="K316" s="127" t="s">
        <v>293</v>
      </c>
      <c r="L316" s="268">
        <f>S316</f>
        <v>0</v>
      </c>
      <c r="M316" s="272">
        <f>ROUND(L316*I316,2)</f>
        <v>0</v>
      </c>
      <c r="N316" s="243"/>
      <c r="O316" s="294">
        <f>ROUND(N316*I316,2)</f>
        <v>0</v>
      </c>
      <c r="P316" s="273">
        <f>H316-L316-N316</f>
        <v>0.8</v>
      </c>
      <c r="Q316" s="268">
        <f>ROUND(P316*I316,2)</f>
        <v>81.93</v>
      </c>
      <c r="R316" s="137"/>
      <c r="S316" s="269">
        <f>W316+Y316+AA316+AC316+AE316</f>
        <v>0</v>
      </c>
      <c r="T316" s="269">
        <f>ROUND(S316*I316,2)</f>
        <v>0</v>
      </c>
      <c r="U316" s="269">
        <f>H316-S316</f>
        <v>0.8</v>
      </c>
      <c r="V316" s="269">
        <f>ROUND(U316*I316,2)</f>
        <v>81.93</v>
      </c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CT316" s="132" t="s">
        <v>1</v>
      </c>
      <c r="CU316" s="133" t="s">
        <v>40</v>
      </c>
      <c r="CW316" s="134">
        <f>CV316*H316</f>
        <v>0</v>
      </c>
      <c r="CX316" s="134">
        <v>0</v>
      </c>
      <c r="CY316" s="134">
        <f>CX316*H316</f>
        <v>0</v>
      </c>
      <c r="CZ316" s="134">
        <v>0</v>
      </c>
      <c r="DA316" s="135">
        <f>CZ316*H316</f>
        <v>0</v>
      </c>
      <c r="DY316" s="136" t="s">
        <v>95</v>
      </c>
      <c r="EA316" s="136" t="s">
        <v>284</v>
      </c>
      <c r="EB316" s="136" t="s">
        <v>83</v>
      </c>
      <c r="EF316" s="16" t="s">
        <v>282</v>
      </c>
      <c r="EL316" s="137">
        <f>IF(CU316="základní",J316,0)</f>
        <v>81.93</v>
      </c>
      <c r="EM316" s="137">
        <f>IF(CU316="snížená",J316,0)</f>
        <v>0</v>
      </c>
      <c r="EN316" s="137">
        <f>IF(CU316="zákl. přenesená",J316,0)</f>
        <v>0</v>
      </c>
      <c r="EO316" s="137">
        <f>IF(CU316="sníž. přenesená",J316,0)</f>
        <v>0</v>
      </c>
      <c r="EP316" s="137">
        <f>IF(CU316="nulová",J316,0)</f>
        <v>0</v>
      </c>
      <c r="EQ316" s="16" t="s">
        <v>81</v>
      </c>
      <c r="ER316" s="137">
        <f>ROUND(I316*H316,2)</f>
        <v>81.93</v>
      </c>
      <c r="ES316" s="16" t="s">
        <v>95</v>
      </c>
      <c r="ET316" s="136" t="s">
        <v>2784</v>
      </c>
    </row>
    <row r="317" spans="2:150" s="1" customFormat="1" x14ac:dyDescent="0.2">
      <c r="B317" s="31"/>
      <c r="D317" s="138" t="s">
        <v>289</v>
      </c>
      <c r="F317" s="139" t="s">
        <v>1902</v>
      </c>
      <c r="I317" s="140"/>
      <c r="L317" s="31"/>
      <c r="N317" s="213"/>
      <c r="O317" s="214"/>
      <c r="Q317" s="330"/>
      <c r="CT317" s="141"/>
      <c r="DA317" s="50"/>
      <c r="EA317" s="16" t="s">
        <v>289</v>
      </c>
      <c r="EB317" s="16" t="s">
        <v>83</v>
      </c>
    </row>
    <row r="318" spans="2:150" s="1" customFormat="1" ht="14.45" customHeight="1" x14ac:dyDescent="0.2">
      <c r="B318" s="124"/>
      <c r="C318" s="125" t="s">
        <v>505</v>
      </c>
      <c r="D318" s="125" t="s">
        <v>284</v>
      </c>
      <c r="E318" s="126" t="s">
        <v>1903</v>
      </c>
      <c r="F318" s="127" t="s">
        <v>1904</v>
      </c>
      <c r="G318" s="128" t="s">
        <v>418</v>
      </c>
      <c r="H318" s="129">
        <v>1.4999999999999999E-2</v>
      </c>
      <c r="I318" s="130">
        <v>28099.214400180317</v>
      </c>
      <c r="J318" s="131">
        <f>ROUND(I318*H318,2)</f>
        <v>421.49</v>
      </c>
      <c r="K318" s="127" t="s">
        <v>293</v>
      </c>
      <c r="L318" s="268">
        <f>S318</f>
        <v>0</v>
      </c>
      <c r="M318" s="272">
        <f>ROUND(L318*I318,2)</f>
        <v>0</v>
      </c>
      <c r="N318" s="243"/>
      <c r="O318" s="294">
        <f>ROUND(N318*I318,2)</f>
        <v>0</v>
      </c>
      <c r="P318" s="273">
        <f>H318-L318-N318</f>
        <v>1.4999999999999999E-2</v>
      </c>
      <c r="Q318" s="268">
        <f>ROUND(P318*I318,2)</f>
        <v>421.49</v>
      </c>
      <c r="R318" s="137"/>
      <c r="S318" s="269">
        <f>W318+Y318+AA318+AC318+AE318</f>
        <v>0</v>
      </c>
      <c r="T318" s="269">
        <f>ROUND(S318*I318,2)</f>
        <v>0</v>
      </c>
      <c r="U318" s="269">
        <f>H318-S318</f>
        <v>1.4999999999999999E-2</v>
      </c>
      <c r="V318" s="269">
        <f>ROUND(U318*I318,2)</f>
        <v>421.49</v>
      </c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CT318" s="132" t="s">
        <v>1</v>
      </c>
      <c r="CU318" s="133" t="s">
        <v>40</v>
      </c>
      <c r="CW318" s="134">
        <f>CV318*H318</f>
        <v>0</v>
      </c>
      <c r="CX318" s="134">
        <v>1.06277</v>
      </c>
      <c r="CY318" s="134">
        <f>CX318*H318</f>
        <v>1.5941549999999999E-2</v>
      </c>
      <c r="CZ318" s="134">
        <v>0</v>
      </c>
      <c r="DA318" s="135">
        <f>CZ318*H318</f>
        <v>0</v>
      </c>
      <c r="DY318" s="136" t="s">
        <v>95</v>
      </c>
      <c r="EA318" s="136" t="s">
        <v>284</v>
      </c>
      <c r="EB318" s="136" t="s">
        <v>83</v>
      </c>
      <c r="EF318" s="16" t="s">
        <v>282</v>
      </c>
      <c r="EL318" s="137">
        <f>IF(CU318="základní",J318,0)</f>
        <v>421.49</v>
      </c>
      <c r="EM318" s="137">
        <f>IF(CU318="snížená",J318,0)</f>
        <v>0</v>
      </c>
      <c r="EN318" s="137">
        <f>IF(CU318="zákl. přenesená",J318,0)</f>
        <v>0</v>
      </c>
      <c r="EO318" s="137">
        <f>IF(CU318="sníž. přenesená",J318,0)</f>
        <v>0</v>
      </c>
      <c r="EP318" s="137">
        <f>IF(CU318="nulová",J318,0)</f>
        <v>0</v>
      </c>
      <c r="EQ318" s="16" t="s">
        <v>81</v>
      </c>
      <c r="ER318" s="137">
        <f>ROUND(I318*H318,2)</f>
        <v>421.49</v>
      </c>
      <c r="ES318" s="16" t="s">
        <v>95</v>
      </c>
      <c r="ET318" s="136" t="s">
        <v>2785</v>
      </c>
    </row>
    <row r="319" spans="2:150" s="1" customFormat="1" x14ac:dyDescent="0.2">
      <c r="B319" s="31"/>
      <c r="D319" s="138" t="s">
        <v>289</v>
      </c>
      <c r="F319" s="139" t="s">
        <v>1906</v>
      </c>
      <c r="I319" s="140"/>
      <c r="L319" s="31"/>
      <c r="N319" s="213"/>
      <c r="O319" s="214"/>
      <c r="Q319" s="330"/>
      <c r="CT319" s="141"/>
      <c r="DA319" s="50"/>
      <c r="EA319" s="16" t="s">
        <v>289</v>
      </c>
      <c r="EB319" s="16" t="s">
        <v>83</v>
      </c>
    </row>
    <row r="320" spans="2:150" s="1" customFormat="1" ht="29.25" x14ac:dyDescent="0.2">
      <c r="B320" s="31"/>
      <c r="D320" s="138" t="s">
        <v>299</v>
      </c>
      <c r="F320" s="142" t="s">
        <v>2695</v>
      </c>
      <c r="I320" s="140"/>
      <c r="L320" s="31"/>
      <c r="N320" s="213"/>
      <c r="O320" s="214"/>
      <c r="Q320" s="330"/>
      <c r="CT320" s="141"/>
      <c r="DA320" s="50"/>
      <c r="EA320" s="16" t="s">
        <v>299</v>
      </c>
      <c r="EB320" s="16" t="s">
        <v>83</v>
      </c>
    </row>
    <row r="321" spans="2:150" s="12" customFormat="1" x14ac:dyDescent="0.2">
      <c r="B321" s="149"/>
      <c r="D321" s="138" t="s">
        <v>301</v>
      </c>
      <c r="E321" s="150" t="s">
        <v>1</v>
      </c>
      <c r="F321" s="151" t="s">
        <v>2786</v>
      </c>
      <c r="H321" s="152">
        <v>1.4999999999999999E-2</v>
      </c>
      <c r="I321" s="153"/>
      <c r="L321" s="149"/>
      <c r="N321" s="217"/>
      <c r="O321" s="218"/>
      <c r="Q321" s="332"/>
      <c r="CT321" s="154"/>
      <c r="DA321" s="155"/>
      <c r="EA321" s="150" t="s">
        <v>301</v>
      </c>
      <c r="EB321" s="150" t="s">
        <v>83</v>
      </c>
      <c r="EC321" s="12" t="s">
        <v>83</v>
      </c>
      <c r="ED321" s="12" t="s">
        <v>32</v>
      </c>
      <c r="EE321" s="12" t="s">
        <v>81</v>
      </c>
      <c r="EF321" s="150" t="s">
        <v>282</v>
      </c>
    </row>
    <row r="322" spans="2:150" s="10" customFormat="1" ht="22.9" customHeight="1" x14ac:dyDescent="0.2">
      <c r="B322" s="112"/>
      <c r="D322" s="113" t="s">
        <v>73</v>
      </c>
      <c r="E322" s="122" t="s">
        <v>95</v>
      </c>
      <c r="F322" s="122" t="s">
        <v>469</v>
      </c>
      <c r="I322" s="115"/>
      <c r="J322" s="123">
        <f>ER322</f>
        <v>14096.02</v>
      </c>
      <c r="L322" s="112"/>
      <c r="M322" s="270">
        <f>M323</f>
        <v>0</v>
      </c>
      <c r="N322" s="301"/>
      <c r="O322" s="302">
        <f t="shared" ref="O322:V322" si="4">O323</f>
        <v>-2368.7800000000002</v>
      </c>
      <c r="P322" s="270"/>
      <c r="Q322" s="335">
        <f t="shared" si="4"/>
        <v>16464.8</v>
      </c>
      <c r="R322" s="270"/>
      <c r="S322" s="270"/>
      <c r="T322" s="270">
        <f t="shared" si="4"/>
        <v>0</v>
      </c>
      <c r="U322" s="270"/>
      <c r="V322" s="270">
        <f t="shared" si="4"/>
        <v>14096.02</v>
      </c>
      <c r="CT322" s="117"/>
      <c r="CW322" s="118">
        <f>SUM(CW323:CW326)</f>
        <v>0</v>
      </c>
      <c r="CY322" s="118">
        <f>SUM(CY323:CY326)</f>
        <v>0</v>
      </c>
      <c r="DA322" s="119">
        <f>SUM(DA323:DA326)</f>
        <v>0</v>
      </c>
      <c r="DY322" s="113" t="s">
        <v>81</v>
      </c>
      <c r="EA322" s="120" t="s">
        <v>73</v>
      </c>
      <c r="EB322" s="120" t="s">
        <v>81</v>
      </c>
      <c r="EF322" s="113" t="s">
        <v>282</v>
      </c>
      <c r="ER322" s="121">
        <f>SUM(ER323:ER326)</f>
        <v>14096.02</v>
      </c>
    </row>
    <row r="323" spans="2:150" s="1" customFormat="1" ht="14.45" customHeight="1" x14ac:dyDescent="0.2">
      <c r="B323" s="124"/>
      <c r="C323" s="125" t="s">
        <v>510</v>
      </c>
      <c r="D323" s="125" t="s">
        <v>284</v>
      </c>
      <c r="E323" s="126" t="s">
        <v>471</v>
      </c>
      <c r="F323" s="127" t="s">
        <v>472</v>
      </c>
      <c r="G323" s="128" t="s">
        <v>366</v>
      </c>
      <c r="H323" s="129">
        <v>11.744999999999999</v>
      </c>
      <c r="I323" s="130">
        <v>1200.17173250368</v>
      </c>
      <c r="J323" s="131">
        <f>ROUND(I323*H323,2)</f>
        <v>14096.02</v>
      </c>
      <c r="K323" s="127" t="s">
        <v>293</v>
      </c>
      <c r="L323" s="268">
        <f>S323</f>
        <v>0</v>
      </c>
      <c r="M323" s="272">
        <f>ROUND(L323*I323,2)</f>
        <v>0</v>
      </c>
      <c r="N323" s="243">
        <f>N327</f>
        <v>-1.9736999999999991</v>
      </c>
      <c r="O323" s="294">
        <f>ROUND(N323*I323,2)</f>
        <v>-2368.7800000000002</v>
      </c>
      <c r="P323" s="273">
        <f>H323-L323-N323</f>
        <v>13.718699999999998</v>
      </c>
      <c r="Q323" s="268">
        <f>ROUND(P323*I323,2)</f>
        <v>16464.8</v>
      </c>
      <c r="R323" s="137"/>
      <c r="S323" s="269">
        <f>W323+Y323+AA323+AC323+AE323</f>
        <v>0</v>
      </c>
      <c r="T323" s="269">
        <f>ROUND(S323*I323,2)</f>
        <v>0</v>
      </c>
      <c r="U323" s="269">
        <f>H323-S323</f>
        <v>11.744999999999999</v>
      </c>
      <c r="V323" s="269">
        <f>ROUND(U323*I323,2)</f>
        <v>14096.02</v>
      </c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CT323" s="132" t="s">
        <v>1</v>
      </c>
      <c r="CU323" s="133" t="s">
        <v>40</v>
      </c>
      <c r="CW323" s="134">
        <f>CV323*H323</f>
        <v>0</v>
      </c>
      <c r="CX323" s="134">
        <v>0</v>
      </c>
      <c r="CY323" s="134">
        <f>CX323*H323</f>
        <v>0</v>
      </c>
      <c r="CZ323" s="134">
        <v>0</v>
      </c>
      <c r="DA323" s="135">
        <f>CZ323*H323</f>
        <v>0</v>
      </c>
      <c r="DY323" s="136" t="s">
        <v>95</v>
      </c>
      <c r="EA323" s="136" t="s">
        <v>284</v>
      </c>
      <c r="EB323" s="136" t="s">
        <v>83</v>
      </c>
      <c r="EF323" s="16" t="s">
        <v>282</v>
      </c>
      <c r="EL323" s="137">
        <f>IF(CU323="základní",J323,0)</f>
        <v>14096.02</v>
      </c>
      <c r="EM323" s="137">
        <f>IF(CU323="snížená",J323,0)</f>
        <v>0</v>
      </c>
      <c r="EN323" s="137">
        <f>IF(CU323="zákl. přenesená",J323,0)</f>
        <v>0</v>
      </c>
      <c r="EO323" s="137">
        <f>IF(CU323="sníž. přenesená",J323,0)</f>
        <v>0</v>
      </c>
      <c r="EP323" s="137">
        <f>IF(CU323="nulová",J323,0)</f>
        <v>0</v>
      </c>
      <c r="EQ323" s="16" t="s">
        <v>81</v>
      </c>
      <c r="ER323" s="137">
        <f>ROUND(I323*H323,2)</f>
        <v>14096.02</v>
      </c>
      <c r="ES323" s="16" t="s">
        <v>95</v>
      </c>
      <c r="ET323" s="136" t="s">
        <v>2787</v>
      </c>
    </row>
    <row r="324" spans="2:150" s="1" customFormat="1" ht="19.5" x14ac:dyDescent="0.2">
      <c r="B324" s="31"/>
      <c r="D324" s="138" t="s">
        <v>289</v>
      </c>
      <c r="F324" s="139" t="s">
        <v>474</v>
      </c>
      <c r="I324" s="140"/>
      <c r="L324" s="31"/>
      <c r="N324" s="213"/>
      <c r="O324" s="214"/>
      <c r="Q324" s="330"/>
      <c r="CT324" s="141"/>
      <c r="DA324" s="50"/>
      <c r="EA324" s="16" t="s">
        <v>289</v>
      </c>
      <c r="EB324" s="16" t="s">
        <v>83</v>
      </c>
    </row>
    <row r="325" spans="2:150" s="1" customFormat="1" ht="29.25" x14ac:dyDescent="0.2">
      <c r="B325" s="31"/>
      <c r="D325" s="138" t="s">
        <v>299</v>
      </c>
      <c r="F325" s="142" t="s">
        <v>2695</v>
      </c>
      <c r="I325" s="140"/>
      <c r="L325" s="31"/>
      <c r="N325" s="213"/>
      <c r="O325" s="214"/>
      <c r="Q325" s="330"/>
      <c r="CT325" s="141"/>
      <c r="DA325" s="50"/>
      <c r="EA325" s="16" t="s">
        <v>299</v>
      </c>
      <c r="EB325" s="16" t="s">
        <v>83</v>
      </c>
    </row>
    <row r="326" spans="2:150" s="12" customFormat="1" x14ac:dyDescent="0.2">
      <c r="B326" s="149"/>
      <c r="D326" s="138" t="s">
        <v>301</v>
      </c>
      <c r="E326" s="150" t="s">
        <v>1</v>
      </c>
      <c r="F326" s="151" t="s">
        <v>2788</v>
      </c>
      <c r="H326" s="152">
        <v>11.744999999999999</v>
      </c>
      <c r="I326" s="153"/>
      <c r="L326" s="149"/>
      <c r="N326" s="217">
        <f>108.57*0.9*0.1</f>
        <v>9.7713000000000001</v>
      </c>
      <c r="O326" s="218" t="s">
        <v>3842</v>
      </c>
      <c r="Q326" s="332"/>
      <c r="CT326" s="154"/>
      <c r="DA326" s="155"/>
      <c r="EA326" s="150" t="s">
        <v>301</v>
      </c>
      <c r="EB326" s="150" t="s">
        <v>83</v>
      </c>
      <c r="EC326" s="12" t="s">
        <v>83</v>
      </c>
      <c r="ED326" s="12" t="s">
        <v>32</v>
      </c>
      <c r="EE326" s="12" t="s">
        <v>81</v>
      </c>
      <c r="EF326" s="150" t="s">
        <v>282</v>
      </c>
    </row>
    <row r="327" spans="2:150" s="12" customFormat="1" x14ac:dyDescent="0.2">
      <c r="B327" s="149"/>
      <c r="D327" s="138"/>
      <c r="E327" s="150"/>
      <c r="F327" s="151"/>
      <c r="H327" s="152"/>
      <c r="I327" s="153"/>
      <c r="L327" s="149"/>
      <c r="N327" s="310">
        <f>N326-H326</f>
        <v>-1.9736999999999991</v>
      </c>
      <c r="O327" s="218"/>
      <c r="Q327" s="332"/>
      <c r="CT327" s="154"/>
      <c r="DA327" s="155"/>
      <c r="EA327" s="150"/>
      <c r="EB327" s="150"/>
      <c r="EF327" s="150"/>
    </row>
    <row r="328" spans="2:150" s="10" customFormat="1" ht="22.9" customHeight="1" x14ac:dyDescent="0.2">
      <c r="B328" s="112"/>
      <c r="D328" s="113" t="s">
        <v>73</v>
      </c>
      <c r="E328" s="122" t="s">
        <v>312</v>
      </c>
      <c r="F328" s="122" t="s">
        <v>520</v>
      </c>
      <c r="I328" s="115"/>
      <c r="J328" s="123">
        <f>ER328</f>
        <v>47125.05</v>
      </c>
      <c r="L328" s="112"/>
      <c r="M328" s="270">
        <f>SUM(M329:M335)</f>
        <v>0</v>
      </c>
      <c r="N328" s="301"/>
      <c r="O328" s="302">
        <f t="shared" ref="O328:V328" si="5">SUM(O329:O335)</f>
        <v>-3808.8100000000004</v>
      </c>
      <c r="P328" s="270"/>
      <c r="Q328" s="335">
        <f t="shared" si="5"/>
        <v>50933.86</v>
      </c>
      <c r="R328" s="270"/>
      <c r="S328" s="270"/>
      <c r="T328" s="270">
        <f t="shared" si="5"/>
        <v>0</v>
      </c>
      <c r="U328" s="270"/>
      <c r="V328" s="270">
        <f t="shared" si="5"/>
        <v>47125.05</v>
      </c>
      <c r="CT328" s="117"/>
      <c r="CW328" s="118">
        <f>SUM(CW329:CW340)</f>
        <v>0</v>
      </c>
      <c r="CY328" s="118">
        <f>SUM(CY329:CY340)</f>
        <v>0</v>
      </c>
      <c r="DA328" s="119">
        <f>SUM(DA329:DA340)</f>
        <v>0</v>
      </c>
      <c r="DY328" s="113" t="s">
        <v>81</v>
      </c>
      <c r="EA328" s="120" t="s">
        <v>73</v>
      </c>
      <c r="EB328" s="120" t="s">
        <v>81</v>
      </c>
      <c r="EF328" s="113" t="s">
        <v>282</v>
      </c>
      <c r="ER328" s="121">
        <f>SUM(ER329:ER340)</f>
        <v>47125.05</v>
      </c>
    </row>
    <row r="329" spans="2:150" s="1" customFormat="1" ht="24.2" customHeight="1" x14ac:dyDescent="0.2">
      <c r="B329" s="124"/>
      <c r="C329" s="125" t="s">
        <v>514</v>
      </c>
      <c r="D329" s="125" t="s">
        <v>284</v>
      </c>
      <c r="E329" s="126" t="s">
        <v>522</v>
      </c>
      <c r="F329" s="127" t="s">
        <v>523</v>
      </c>
      <c r="G329" s="128" t="s">
        <v>287</v>
      </c>
      <c r="H329" s="129">
        <v>64.14</v>
      </c>
      <c r="I329" s="130">
        <v>130.95617506780872</v>
      </c>
      <c r="J329" s="131">
        <f>ROUND(I329*H329,2)</f>
        <v>8399.5300000000007</v>
      </c>
      <c r="K329" s="127" t="s">
        <v>293</v>
      </c>
      <c r="L329" s="268">
        <f>S329</f>
        <v>0</v>
      </c>
      <c r="M329" s="272">
        <f>ROUND(L329*I329,2)</f>
        <v>0</v>
      </c>
      <c r="N329" s="243">
        <f>N136</f>
        <v>-5.1839999999999975</v>
      </c>
      <c r="O329" s="294">
        <f>ROUND(N329*I329,2)</f>
        <v>-678.88</v>
      </c>
      <c r="P329" s="273">
        <f>H329-L329-N329</f>
        <v>69.323999999999998</v>
      </c>
      <c r="Q329" s="268">
        <f>ROUND(P329*I329,2)</f>
        <v>9078.41</v>
      </c>
      <c r="R329" s="137"/>
      <c r="S329" s="269">
        <f>W329+Y329+AA329+AC329+AE329</f>
        <v>0</v>
      </c>
      <c r="T329" s="269">
        <f>ROUND(S329*I329,2)</f>
        <v>0</v>
      </c>
      <c r="U329" s="269">
        <f>H329-S329</f>
        <v>64.14</v>
      </c>
      <c r="V329" s="269">
        <f>ROUND(U329*I329,2)</f>
        <v>8399.5300000000007</v>
      </c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CT329" s="132" t="s">
        <v>1</v>
      </c>
      <c r="CU329" s="133" t="s">
        <v>40</v>
      </c>
      <c r="CW329" s="134">
        <f>CV329*H329</f>
        <v>0</v>
      </c>
      <c r="CX329" s="134">
        <v>0</v>
      </c>
      <c r="CY329" s="134">
        <f>CX329*H329</f>
        <v>0</v>
      </c>
      <c r="CZ329" s="134">
        <v>0</v>
      </c>
      <c r="DA329" s="135">
        <f>CZ329*H329</f>
        <v>0</v>
      </c>
      <c r="DY329" s="136" t="s">
        <v>95</v>
      </c>
      <c r="EA329" s="136" t="s">
        <v>284</v>
      </c>
      <c r="EB329" s="136" t="s">
        <v>83</v>
      </c>
      <c r="EF329" s="16" t="s">
        <v>282</v>
      </c>
      <c r="EL329" s="137">
        <f>IF(CU329="základní",J329,0)</f>
        <v>8399.5300000000007</v>
      </c>
      <c r="EM329" s="137">
        <f>IF(CU329="snížená",J329,0)</f>
        <v>0</v>
      </c>
      <c r="EN329" s="137">
        <f>IF(CU329="zákl. přenesená",J329,0)</f>
        <v>0</v>
      </c>
      <c r="EO329" s="137">
        <f>IF(CU329="sníž. přenesená",J329,0)</f>
        <v>0</v>
      </c>
      <c r="EP329" s="137">
        <f>IF(CU329="nulová",J329,0)</f>
        <v>0</v>
      </c>
      <c r="EQ329" s="16" t="s">
        <v>81</v>
      </c>
      <c r="ER329" s="137">
        <f>ROUND(I329*H329,2)</f>
        <v>8399.5300000000007</v>
      </c>
      <c r="ES329" s="16" t="s">
        <v>95</v>
      </c>
      <c r="ET329" s="136" t="s">
        <v>2789</v>
      </c>
    </row>
    <row r="330" spans="2:150" s="1" customFormat="1" ht="19.5" x14ac:dyDescent="0.2">
      <c r="B330" s="31"/>
      <c r="D330" s="138" t="s">
        <v>289</v>
      </c>
      <c r="F330" s="139" t="s">
        <v>525</v>
      </c>
      <c r="I330" s="140"/>
      <c r="L330" s="31"/>
      <c r="N330" s="213"/>
      <c r="O330" s="214"/>
      <c r="Q330" s="330"/>
      <c r="CT330" s="141"/>
      <c r="DA330" s="50"/>
      <c r="EA330" s="16" t="s">
        <v>289</v>
      </c>
      <c r="EB330" s="16" t="s">
        <v>83</v>
      </c>
    </row>
    <row r="331" spans="2:150" s="1" customFormat="1" ht="14.45" customHeight="1" x14ac:dyDescent="0.2">
      <c r="B331" s="124"/>
      <c r="C331" s="125" t="s">
        <v>521</v>
      </c>
      <c r="D331" s="125" t="s">
        <v>284</v>
      </c>
      <c r="E331" s="126" t="s">
        <v>527</v>
      </c>
      <c r="F331" s="127" t="s">
        <v>528</v>
      </c>
      <c r="G331" s="128" t="s">
        <v>287</v>
      </c>
      <c r="H331" s="129">
        <v>64.14</v>
      </c>
      <c r="I331" s="130">
        <v>200.20823792465458</v>
      </c>
      <c r="J331" s="131">
        <f>ROUND(I331*H331,2)</f>
        <v>12841.36</v>
      </c>
      <c r="K331" s="127" t="s">
        <v>293</v>
      </c>
      <c r="L331" s="268">
        <f>S331</f>
        <v>0</v>
      </c>
      <c r="M331" s="272">
        <f>ROUND(L331*I331,2)</f>
        <v>0</v>
      </c>
      <c r="N331" s="243">
        <f>N329</f>
        <v>-5.1839999999999975</v>
      </c>
      <c r="O331" s="294">
        <f>ROUND(N331*I331,2)</f>
        <v>-1037.8800000000001</v>
      </c>
      <c r="P331" s="273">
        <f>H331-L331-N331</f>
        <v>69.323999999999998</v>
      </c>
      <c r="Q331" s="268">
        <f>ROUND(P331*I331,2)</f>
        <v>13879.24</v>
      </c>
      <c r="R331" s="137"/>
      <c r="S331" s="269">
        <f>W331+Y331+AA331+AC331+AE331</f>
        <v>0</v>
      </c>
      <c r="T331" s="269">
        <f>ROUND(S331*I331,2)</f>
        <v>0</v>
      </c>
      <c r="U331" s="269">
        <f>H331-S331</f>
        <v>64.14</v>
      </c>
      <c r="V331" s="269">
        <f>ROUND(U331*I331,2)</f>
        <v>12841.36</v>
      </c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CT331" s="132" t="s">
        <v>1</v>
      </c>
      <c r="CU331" s="133" t="s">
        <v>40</v>
      </c>
      <c r="CW331" s="134">
        <f>CV331*H331</f>
        <v>0</v>
      </c>
      <c r="CX331" s="134">
        <v>0</v>
      </c>
      <c r="CY331" s="134">
        <f>CX331*H331</f>
        <v>0</v>
      </c>
      <c r="CZ331" s="134">
        <v>0</v>
      </c>
      <c r="DA331" s="135">
        <f>CZ331*H331</f>
        <v>0</v>
      </c>
      <c r="DY331" s="136" t="s">
        <v>95</v>
      </c>
      <c r="EA331" s="136" t="s">
        <v>284</v>
      </c>
      <c r="EB331" s="136" t="s">
        <v>83</v>
      </c>
      <c r="EF331" s="16" t="s">
        <v>282</v>
      </c>
      <c r="EL331" s="137">
        <f>IF(CU331="základní",J331,0)</f>
        <v>12841.36</v>
      </c>
      <c r="EM331" s="137">
        <f>IF(CU331="snížená",J331,0)</f>
        <v>0</v>
      </c>
      <c r="EN331" s="137">
        <f>IF(CU331="zákl. přenesená",J331,0)</f>
        <v>0</v>
      </c>
      <c r="EO331" s="137">
        <f>IF(CU331="sníž. přenesená",J331,0)</f>
        <v>0</v>
      </c>
      <c r="EP331" s="137">
        <f>IF(CU331="nulová",J331,0)</f>
        <v>0</v>
      </c>
      <c r="EQ331" s="16" t="s">
        <v>81</v>
      </c>
      <c r="ER331" s="137">
        <f>ROUND(I331*H331,2)</f>
        <v>12841.36</v>
      </c>
      <c r="ES331" s="16" t="s">
        <v>95</v>
      </c>
      <c r="ET331" s="136" t="s">
        <v>2790</v>
      </c>
    </row>
    <row r="332" spans="2:150" s="1" customFormat="1" ht="19.5" x14ac:dyDescent="0.2">
      <c r="B332" s="31"/>
      <c r="D332" s="138" t="s">
        <v>289</v>
      </c>
      <c r="F332" s="139" t="s">
        <v>530</v>
      </c>
      <c r="I332" s="140"/>
      <c r="L332" s="31"/>
      <c r="N332" s="213"/>
      <c r="O332" s="214"/>
      <c r="Q332" s="330"/>
      <c r="CT332" s="141"/>
      <c r="DA332" s="50"/>
      <c r="EA332" s="16" t="s">
        <v>289</v>
      </c>
      <c r="EB332" s="16" t="s">
        <v>83</v>
      </c>
    </row>
    <row r="333" spans="2:150" s="1" customFormat="1" ht="24.2" customHeight="1" x14ac:dyDescent="0.2">
      <c r="B333" s="124"/>
      <c r="C333" s="125" t="s">
        <v>526</v>
      </c>
      <c r="D333" s="125" t="s">
        <v>284</v>
      </c>
      <c r="E333" s="126" t="s">
        <v>532</v>
      </c>
      <c r="F333" s="127" t="s">
        <v>533</v>
      </c>
      <c r="G333" s="128" t="s">
        <v>287</v>
      </c>
      <c r="H333" s="129">
        <v>64.14</v>
      </c>
      <c r="I333" s="130">
        <v>40.878739778868102</v>
      </c>
      <c r="J333" s="131">
        <f>ROUND(I333*H333,2)</f>
        <v>2621.96</v>
      </c>
      <c r="K333" s="127" t="s">
        <v>293</v>
      </c>
      <c r="L333" s="268">
        <f>S333</f>
        <v>0</v>
      </c>
      <c r="M333" s="272">
        <f>ROUND(L333*I333,2)</f>
        <v>0</v>
      </c>
      <c r="N333" s="243">
        <f>N329</f>
        <v>-5.1839999999999975</v>
      </c>
      <c r="O333" s="294">
        <f>ROUND(N333*I333,2)</f>
        <v>-211.92</v>
      </c>
      <c r="P333" s="273">
        <f>H333-L333-N333</f>
        <v>69.323999999999998</v>
      </c>
      <c r="Q333" s="268">
        <f>ROUND(P333*I333,2)</f>
        <v>2833.88</v>
      </c>
      <c r="R333" s="137"/>
      <c r="S333" s="269">
        <f>W333+Y333+AA333+AC333+AE333</f>
        <v>0</v>
      </c>
      <c r="T333" s="269">
        <f>ROUND(S333*I333,2)</f>
        <v>0</v>
      </c>
      <c r="U333" s="269">
        <f>H333-S333</f>
        <v>64.14</v>
      </c>
      <c r="V333" s="269">
        <f>ROUND(U333*I333,2)</f>
        <v>2621.96</v>
      </c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CT333" s="132" t="s">
        <v>1</v>
      </c>
      <c r="CU333" s="133" t="s">
        <v>40</v>
      </c>
      <c r="CW333" s="134">
        <f>CV333*H333</f>
        <v>0</v>
      </c>
      <c r="CX333" s="134">
        <v>0</v>
      </c>
      <c r="CY333" s="134">
        <f>CX333*H333</f>
        <v>0</v>
      </c>
      <c r="CZ333" s="134">
        <v>0</v>
      </c>
      <c r="DA333" s="135">
        <f>CZ333*H333</f>
        <v>0</v>
      </c>
      <c r="DY333" s="136" t="s">
        <v>95</v>
      </c>
      <c r="EA333" s="136" t="s">
        <v>284</v>
      </c>
      <c r="EB333" s="136" t="s">
        <v>83</v>
      </c>
      <c r="EF333" s="16" t="s">
        <v>282</v>
      </c>
      <c r="EL333" s="137">
        <f>IF(CU333="základní",J333,0)</f>
        <v>2621.96</v>
      </c>
      <c r="EM333" s="137">
        <f>IF(CU333="snížená",J333,0)</f>
        <v>0</v>
      </c>
      <c r="EN333" s="137">
        <f>IF(CU333="zákl. přenesená",J333,0)</f>
        <v>0</v>
      </c>
      <c r="EO333" s="137">
        <f>IF(CU333="sníž. přenesená",J333,0)</f>
        <v>0</v>
      </c>
      <c r="EP333" s="137">
        <f>IF(CU333="nulová",J333,0)</f>
        <v>0</v>
      </c>
      <c r="EQ333" s="16" t="s">
        <v>81</v>
      </c>
      <c r="ER333" s="137">
        <f>ROUND(I333*H333,2)</f>
        <v>2621.96</v>
      </c>
      <c r="ES333" s="16" t="s">
        <v>95</v>
      </c>
      <c r="ET333" s="136" t="s">
        <v>2791</v>
      </c>
    </row>
    <row r="334" spans="2:150" s="1" customFormat="1" ht="19.5" x14ac:dyDescent="0.2">
      <c r="B334" s="31"/>
      <c r="D334" s="138" t="s">
        <v>289</v>
      </c>
      <c r="F334" s="139" t="s">
        <v>535</v>
      </c>
      <c r="I334" s="140"/>
      <c r="L334" s="31"/>
      <c r="N334" s="213"/>
      <c r="O334" s="214"/>
      <c r="Q334" s="330"/>
      <c r="CT334" s="141"/>
      <c r="DA334" s="50"/>
      <c r="EA334" s="16" t="s">
        <v>289</v>
      </c>
      <c r="EB334" s="16" t="s">
        <v>83</v>
      </c>
    </row>
    <row r="335" spans="2:150" s="1" customFormat="1" ht="24.2" customHeight="1" x14ac:dyDescent="0.2">
      <c r="B335" s="124"/>
      <c r="C335" s="125" t="s">
        <v>531</v>
      </c>
      <c r="D335" s="125" t="s">
        <v>284</v>
      </c>
      <c r="E335" s="126" t="s">
        <v>537</v>
      </c>
      <c r="F335" s="127" t="s">
        <v>538</v>
      </c>
      <c r="G335" s="128" t="s">
        <v>287</v>
      </c>
      <c r="H335" s="129">
        <v>64.14</v>
      </c>
      <c r="I335" s="130">
        <v>362.67856108310502</v>
      </c>
      <c r="J335" s="131">
        <f>ROUND(I335*H335,2)</f>
        <v>23262.2</v>
      </c>
      <c r="K335" s="127" t="s">
        <v>293</v>
      </c>
      <c r="L335" s="268">
        <f>S335</f>
        <v>0</v>
      </c>
      <c r="M335" s="272">
        <f>ROUND(L335*I335,2)</f>
        <v>0</v>
      </c>
      <c r="N335" s="243">
        <f>N329</f>
        <v>-5.1839999999999975</v>
      </c>
      <c r="O335" s="294">
        <f>ROUND(N335*I335,2)</f>
        <v>-1880.13</v>
      </c>
      <c r="P335" s="273">
        <f>H335-L335-N335</f>
        <v>69.323999999999998</v>
      </c>
      <c r="Q335" s="268">
        <f>ROUND(P335*I335,2)</f>
        <v>25142.33</v>
      </c>
      <c r="R335" s="137"/>
      <c r="S335" s="269">
        <f>W335+Y335+AA335+AC335+AE335</f>
        <v>0</v>
      </c>
      <c r="T335" s="269">
        <f>ROUND(S335*I335,2)</f>
        <v>0</v>
      </c>
      <c r="U335" s="269">
        <f>H335-S335</f>
        <v>64.14</v>
      </c>
      <c r="V335" s="269">
        <f>ROUND(U335*I335,2)</f>
        <v>23262.2</v>
      </c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CT335" s="132" t="s">
        <v>1</v>
      </c>
      <c r="CU335" s="133" t="s">
        <v>40</v>
      </c>
      <c r="CW335" s="134">
        <f>CV335*H335</f>
        <v>0</v>
      </c>
      <c r="CX335" s="134">
        <v>0</v>
      </c>
      <c r="CY335" s="134">
        <f>CX335*H335</f>
        <v>0</v>
      </c>
      <c r="CZ335" s="134">
        <v>0</v>
      </c>
      <c r="DA335" s="135">
        <f>CZ335*H335</f>
        <v>0</v>
      </c>
      <c r="DY335" s="136" t="s">
        <v>95</v>
      </c>
      <c r="EA335" s="136" t="s">
        <v>284</v>
      </c>
      <c r="EB335" s="136" t="s">
        <v>83</v>
      </c>
      <c r="EF335" s="16" t="s">
        <v>282</v>
      </c>
      <c r="EL335" s="137">
        <f>IF(CU335="základní",J335,0)</f>
        <v>23262.2</v>
      </c>
      <c r="EM335" s="137">
        <f>IF(CU335="snížená",J335,0)</f>
        <v>0</v>
      </c>
      <c r="EN335" s="137">
        <f>IF(CU335="zákl. přenesená",J335,0)</f>
        <v>0</v>
      </c>
      <c r="EO335" s="137">
        <f>IF(CU335="sníž. přenesená",J335,0)</f>
        <v>0</v>
      </c>
      <c r="EP335" s="137">
        <f>IF(CU335="nulová",J335,0)</f>
        <v>0</v>
      </c>
      <c r="EQ335" s="16" t="s">
        <v>81</v>
      </c>
      <c r="ER335" s="137">
        <f>ROUND(I335*H335,2)</f>
        <v>23262.2</v>
      </c>
      <c r="ES335" s="16" t="s">
        <v>95</v>
      </c>
      <c r="ET335" s="136" t="s">
        <v>2792</v>
      </c>
    </row>
    <row r="336" spans="2:150" s="1" customFormat="1" ht="29.25" x14ac:dyDescent="0.2">
      <c r="B336" s="31"/>
      <c r="D336" s="138" t="s">
        <v>289</v>
      </c>
      <c r="F336" s="139" t="s">
        <v>540</v>
      </c>
      <c r="I336" s="140"/>
      <c r="L336" s="31"/>
      <c r="N336" s="213"/>
      <c r="O336" s="214"/>
      <c r="Q336" s="330"/>
      <c r="CT336" s="141"/>
      <c r="DA336" s="50"/>
      <c r="EA336" s="16" t="s">
        <v>289</v>
      </c>
      <c r="EB336" s="16" t="s">
        <v>83</v>
      </c>
    </row>
    <row r="337" spans="2:150" s="1" customFormat="1" ht="29.25" x14ac:dyDescent="0.2">
      <c r="B337" s="31"/>
      <c r="D337" s="138" t="s">
        <v>299</v>
      </c>
      <c r="F337" s="142" t="s">
        <v>2695</v>
      </c>
      <c r="I337" s="140"/>
      <c r="L337" s="31"/>
      <c r="N337" s="213"/>
      <c r="O337" s="214"/>
      <c r="Q337" s="330"/>
      <c r="CT337" s="141"/>
      <c r="DA337" s="50"/>
      <c r="EA337" s="16" t="s">
        <v>299</v>
      </c>
      <c r="EB337" s="16" t="s">
        <v>83</v>
      </c>
    </row>
    <row r="338" spans="2:150" s="11" customFormat="1" x14ac:dyDescent="0.2">
      <c r="B338" s="143"/>
      <c r="D338" s="138" t="s">
        <v>301</v>
      </c>
      <c r="E338" s="144" t="s">
        <v>1</v>
      </c>
      <c r="F338" s="145" t="s">
        <v>541</v>
      </c>
      <c r="H338" s="144" t="s">
        <v>1</v>
      </c>
      <c r="I338" s="146"/>
      <c r="L338" s="143"/>
      <c r="N338" s="215"/>
      <c r="O338" s="216"/>
      <c r="Q338" s="331"/>
      <c r="CT338" s="147"/>
      <c r="DA338" s="148"/>
      <c r="EA338" s="144" t="s">
        <v>301</v>
      </c>
      <c r="EB338" s="144" t="s">
        <v>83</v>
      </c>
      <c r="EC338" s="11" t="s">
        <v>81</v>
      </c>
      <c r="ED338" s="11" t="s">
        <v>32</v>
      </c>
      <c r="EE338" s="11" t="s">
        <v>74</v>
      </c>
      <c r="EF338" s="144" t="s">
        <v>282</v>
      </c>
    </row>
    <row r="339" spans="2:150" s="12" customFormat="1" x14ac:dyDescent="0.2">
      <c r="B339" s="149"/>
      <c r="D339" s="138" t="s">
        <v>301</v>
      </c>
      <c r="E339" s="150" t="s">
        <v>1</v>
      </c>
      <c r="F339" s="151" t="s">
        <v>2793</v>
      </c>
      <c r="H339" s="152">
        <v>64.14</v>
      </c>
      <c r="I339" s="153"/>
      <c r="L339" s="149"/>
      <c r="N339" s="217"/>
      <c r="O339" s="218"/>
      <c r="Q339" s="332"/>
      <c r="CT339" s="154"/>
      <c r="DA339" s="155"/>
      <c r="EA339" s="150" t="s">
        <v>301</v>
      </c>
      <c r="EB339" s="150" t="s">
        <v>83</v>
      </c>
      <c r="EC339" s="12" t="s">
        <v>83</v>
      </c>
      <c r="ED339" s="12" t="s">
        <v>32</v>
      </c>
      <c r="EE339" s="12" t="s">
        <v>81</v>
      </c>
      <c r="EF339" s="150" t="s">
        <v>282</v>
      </c>
    </row>
    <row r="340" spans="2:150" s="11" customFormat="1" x14ac:dyDescent="0.2">
      <c r="B340" s="143"/>
      <c r="D340" s="138" t="s">
        <v>301</v>
      </c>
      <c r="E340" s="144" t="s">
        <v>1</v>
      </c>
      <c r="F340" s="145" t="s">
        <v>2794</v>
      </c>
      <c r="H340" s="144" t="s">
        <v>1</v>
      </c>
      <c r="I340" s="146"/>
      <c r="L340" s="143"/>
      <c r="N340" s="215"/>
      <c r="O340" s="216"/>
      <c r="Q340" s="331"/>
      <c r="CT340" s="147"/>
      <c r="DA340" s="148"/>
      <c r="EA340" s="144" t="s">
        <v>301</v>
      </c>
      <c r="EB340" s="144" t="s">
        <v>83</v>
      </c>
      <c r="EC340" s="11" t="s">
        <v>81</v>
      </c>
      <c r="ED340" s="11" t="s">
        <v>32</v>
      </c>
      <c r="EE340" s="11" t="s">
        <v>74</v>
      </c>
      <c r="EF340" s="144" t="s">
        <v>282</v>
      </c>
    </row>
    <row r="341" spans="2:150" s="10" customFormat="1" ht="22.9" customHeight="1" x14ac:dyDescent="0.2">
      <c r="B341" s="112"/>
      <c r="D341" s="113" t="s">
        <v>73</v>
      </c>
      <c r="E341" s="122" t="s">
        <v>328</v>
      </c>
      <c r="F341" s="122" t="s">
        <v>555</v>
      </c>
      <c r="I341" s="115"/>
      <c r="J341" s="123">
        <f>ER341</f>
        <v>28480.310000000005</v>
      </c>
      <c r="L341" s="112"/>
      <c r="M341" s="270">
        <f>SUM(M342:M369)</f>
        <v>0</v>
      </c>
      <c r="N341" s="301"/>
      <c r="O341" s="302">
        <f t="shared" ref="O341:V341" si="6">SUM(O342:O369)</f>
        <v>-3984.6900000000005</v>
      </c>
      <c r="P341" s="270"/>
      <c r="Q341" s="335">
        <f t="shared" si="6"/>
        <v>32465.03</v>
      </c>
      <c r="R341" s="270"/>
      <c r="S341" s="270"/>
      <c r="T341" s="270">
        <f t="shared" si="6"/>
        <v>0</v>
      </c>
      <c r="U341" s="270"/>
      <c r="V341" s="270">
        <f t="shared" si="6"/>
        <v>28480.310000000005</v>
      </c>
      <c r="CT341" s="117"/>
      <c r="CW341" s="118">
        <f>SUM(CW342:CW372)</f>
        <v>0</v>
      </c>
      <c r="CY341" s="118">
        <f>SUM(CY342:CY372)</f>
        <v>9.6870499999999998E-2</v>
      </c>
      <c r="DA341" s="119">
        <f>SUM(DA342:DA372)</f>
        <v>0</v>
      </c>
      <c r="DY341" s="113" t="s">
        <v>81</v>
      </c>
      <c r="EA341" s="120" t="s">
        <v>73</v>
      </c>
      <c r="EB341" s="120" t="s">
        <v>81</v>
      </c>
      <c r="EF341" s="113" t="s">
        <v>282</v>
      </c>
      <c r="ER341" s="121">
        <f>SUM(ER342:ER372)</f>
        <v>28480.310000000005</v>
      </c>
    </row>
    <row r="342" spans="2:150" s="1" customFormat="1" ht="24.2" customHeight="1" x14ac:dyDescent="0.2">
      <c r="B342" s="124"/>
      <c r="C342" s="125" t="s">
        <v>536</v>
      </c>
      <c r="D342" s="125" t="s">
        <v>284</v>
      </c>
      <c r="E342" s="126" t="s">
        <v>2795</v>
      </c>
      <c r="F342" s="127" t="s">
        <v>2796</v>
      </c>
      <c r="G342" s="128" t="s">
        <v>344</v>
      </c>
      <c r="H342" s="129">
        <v>130.5</v>
      </c>
      <c r="I342" s="130">
        <v>59.273294681404124</v>
      </c>
      <c r="J342" s="131">
        <f>ROUND(I342*H342,2)</f>
        <v>7735.16</v>
      </c>
      <c r="K342" s="127" t="s">
        <v>293</v>
      </c>
      <c r="L342" s="268">
        <f>S342</f>
        <v>0</v>
      </c>
      <c r="M342" s="272">
        <f>ROUND(L342*I342,2)</f>
        <v>0</v>
      </c>
      <c r="N342" s="243">
        <f>N345</f>
        <v>-21.930000000000007</v>
      </c>
      <c r="O342" s="294">
        <f>ROUND(N342*I342,2)</f>
        <v>-1299.8599999999999</v>
      </c>
      <c r="P342" s="273">
        <f>H342-L342-N342</f>
        <v>152.43</v>
      </c>
      <c r="Q342" s="268">
        <f>ROUND(P342*I342,2)</f>
        <v>9035.0300000000007</v>
      </c>
      <c r="R342" s="137"/>
      <c r="S342" s="269">
        <f>W342+Y342+AA342+AC342+AE342</f>
        <v>0</v>
      </c>
      <c r="T342" s="269">
        <f>ROUND(S342*I342,2)</f>
        <v>0</v>
      </c>
      <c r="U342" s="269">
        <f>H342-S342</f>
        <v>130.5</v>
      </c>
      <c r="V342" s="269">
        <f>ROUND(U342*I342,2)</f>
        <v>7735.16</v>
      </c>
      <c r="W342" s="269"/>
      <c r="X342" s="269"/>
      <c r="Y342" s="269"/>
      <c r="Z342" s="269"/>
      <c r="AA342" s="269"/>
      <c r="AB342" s="269"/>
      <c r="AC342" s="269"/>
      <c r="AD342" s="269"/>
      <c r="AE342" s="269"/>
      <c r="AF342" s="269"/>
      <c r="CT342" s="132" t="s">
        <v>1</v>
      </c>
      <c r="CU342" s="133" t="s">
        <v>40</v>
      </c>
      <c r="CW342" s="134">
        <f>CV342*H342</f>
        <v>0</v>
      </c>
      <c r="CX342" s="134">
        <v>0</v>
      </c>
      <c r="CY342" s="134">
        <f>CX342*H342</f>
        <v>0</v>
      </c>
      <c r="CZ342" s="134">
        <v>0</v>
      </c>
      <c r="DA342" s="135">
        <f>CZ342*H342</f>
        <v>0</v>
      </c>
      <c r="DY342" s="136" t="s">
        <v>95</v>
      </c>
      <c r="EA342" s="136" t="s">
        <v>284</v>
      </c>
      <c r="EB342" s="136" t="s">
        <v>83</v>
      </c>
      <c r="EF342" s="16" t="s">
        <v>282</v>
      </c>
      <c r="EL342" s="137">
        <f>IF(CU342="základní",J342,0)</f>
        <v>7735.16</v>
      </c>
      <c r="EM342" s="137">
        <f>IF(CU342="snížená",J342,0)</f>
        <v>0</v>
      </c>
      <c r="EN342" s="137">
        <f>IF(CU342="zákl. přenesená",J342,0)</f>
        <v>0</v>
      </c>
      <c r="EO342" s="137">
        <f>IF(CU342="sníž. přenesená",J342,0)</f>
        <v>0</v>
      </c>
      <c r="EP342" s="137">
        <f>IF(CU342="nulová",J342,0)</f>
        <v>0</v>
      </c>
      <c r="EQ342" s="16" t="s">
        <v>81</v>
      </c>
      <c r="ER342" s="137">
        <f>ROUND(I342*H342,2)</f>
        <v>7735.16</v>
      </c>
      <c r="ES342" s="16" t="s">
        <v>95</v>
      </c>
      <c r="ET342" s="136" t="s">
        <v>2797</v>
      </c>
    </row>
    <row r="343" spans="2:150" s="1" customFormat="1" ht="29.25" x14ac:dyDescent="0.2">
      <c r="B343" s="31"/>
      <c r="D343" s="138" t="s">
        <v>289</v>
      </c>
      <c r="F343" s="139" t="s">
        <v>2798</v>
      </c>
      <c r="I343" s="140"/>
      <c r="L343" s="31"/>
      <c r="N343" s="213"/>
      <c r="O343" s="214"/>
      <c r="Q343" s="330"/>
      <c r="CT343" s="141"/>
      <c r="DA343" s="50"/>
      <c r="EA343" s="16" t="s">
        <v>289</v>
      </c>
      <c r="EB343" s="16" t="s">
        <v>83</v>
      </c>
    </row>
    <row r="344" spans="2:150" s="1" customFormat="1" ht="29.25" x14ac:dyDescent="0.2">
      <c r="B344" s="31"/>
      <c r="D344" s="138" t="s">
        <v>299</v>
      </c>
      <c r="F344" s="142" t="s">
        <v>2695</v>
      </c>
      <c r="I344" s="140"/>
      <c r="L344" s="31"/>
      <c r="N344" s="213"/>
      <c r="O344" s="214"/>
      <c r="Q344" s="330"/>
      <c r="CT344" s="141"/>
      <c r="DA344" s="50"/>
      <c r="EA344" s="16" t="s">
        <v>299</v>
      </c>
      <c r="EB344" s="16" t="s">
        <v>83</v>
      </c>
    </row>
    <row r="345" spans="2:150" s="12" customFormat="1" x14ac:dyDescent="0.2">
      <c r="B345" s="149"/>
      <c r="D345" s="138" t="s">
        <v>301</v>
      </c>
      <c r="E345" s="150" t="s">
        <v>1</v>
      </c>
      <c r="F345" s="151" t="s">
        <v>2799</v>
      </c>
      <c r="H345" s="152">
        <v>130.5</v>
      </c>
      <c r="I345" s="153"/>
      <c r="L345" s="149"/>
      <c r="N345" s="217">
        <f>108.57-130.5</f>
        <v>-21.930000000000007</v>
      </c>
      <c r="O345" s="218" t="s">
        <v>3845</v>
      </c>
      <c r="Q345" s="332"/>
      <c r="CT345" s="154"/>
      <c r="DA345" s="155"/>
      <c r="EA345" s="150" t="s">
        <v>301</v>
      </c>
      <c r="EB345" s="150" t="s">
        <v>83</v>
      </c>
      <c r="EC345" s="12" t="s">
        <v>83</v>
      </c>
      <c r="ED345" s="12" t="s">
        <v>32</v>
      </c>
      <c r="EE345" s="12" t="s">
        <v>81</v>
      </c>
      <c r="EF345" s="150" t="s">
        <v>282</v>
      </c>
    </row>
    <row r="346" spans="2:150" s="1" customFormat="1" ht="24.2" customHeight="1" x14ac:dyDescent="0.2">
      <c r="B346" s="124"/>
      <c r="C346" s="170" t="s">
        <v>543</v>
      </c>
      <c r="D346" s="170" t="s">
        <v>439</v>
      </c>
      <c r="E346" s="171" t="s">
        <v>2800</v>
      </c>
      <c r="F346" s="172" t="s">
        <v>2801</v>
      </c>
      <c r="G346" s="173" t="s">
        <v>344</v>
      </c>
      <c r="H346" s="174">
        <v>137.02500000000001</v>
      </c>
      <c r="I346" s="175">
        <v>47.929114419999998</v>
      </c>
      <c r="J346" s="176">
        <f>ROUND(I346*H346,2)</f>
        <v>6567.49</v>
      </c>
      <c r="K346" s="172" t="s">
        <v>293</v>
      </c>
      <c r="L346" s="268">
        <f>S346</f>
        <v>0</v>
      </c>
      <c r="M346" s="272">
        <f>ROUND(L346*I346,2)</f>
        <v>0</v>
      </c>
      <c r="N346" s="243">
        <f>N348</f>
        <v>-23.026500000000002</v>
      </c>
      <c r="O346" s="294">
        <f>ROUND(N346*I346,2)</f>
        <v>-1103.6400000000001</v>
      </c>
      <c r="P346" s="273">
        <f>H346-L346-N346</f>
        <v>160.0515</v>
      </c>
      <c r="Q346" s="268">
        <f>ROUND(P346*I346,2)</f>
        <v>7671.13</v>
      </c>
      <c r="R346" s="137"/>
      <c r="S346" s="269">
        <f>W346+Y346+AA346+AC346+AE346</f>
        <v>0</v>
      </c>
      <c r="T346" s="269">
        <f>ROUND(S346*I346,2)</f>
        <v>0</v>
      </c>
      <c r="U346" s="269">
        <f>H346-S346</f>
        <v>137.02500000000001</v>
      </c>
      <c r="V346" s="269">
        <f>ROUND(U346*I346,2)</f>
        <v>6567.49</v>
      </c>
      <c r="W346" s="290"/>
      <c r="X346" s="290"/>
      <c r="Y346" s="290"/>
      <c r="Z346" s="290"/>
      <c r="AA346" s="290"/>
      <c r="AB346" s="290"/>
      <c r="AC346" s="290"/>
      <c r="AD346" s="290"/>
      <c r="AE346" s="290"/>
      <c r="AF346" s="290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77" t="s">
        <v>1</v>
      </c>
      <c r="CU346" s="178" t="s">
        <v>40</v>
      </c>
      <c r="CW346" s="134">
        <f>CV346*H346</f>
        <v>0</v>
      </c>
      <c r="CX346" s="134">
        <v>4.2999999999999999E-4</v>
      </c>
      <c r="CY346" s="134">
        <f>CX346*H346</f>
        <v>5.8920750000000001E-2</v>
      </c>
      <c r="CZ346" s="134">
        <v>0</v>
      </c>
      <c r="DA346" s="135">
        <f>CZ346*H346</f>
        <v>0</v>
      </c>
      <c r="DY346" s="136" t="s">
        <v>328</v>
      </c>
      <c r="EA346" s="136" t="s">
        <v>439</v>
      </c>
      <c r="EB346" s="136" t="s">
        <v>83</v>
      </c>
      <c r="EF346" s="16" t="s">
        <v>282</v>
      </c>
      <c r="EL346" s="137">
        <f>IF(CU346="základní",J346,0)</f>
        <v>6567.49</v>
      </c>
      <c r="EM346" s="137">
        <f>IF(CU346="snížená",J346,0)</f>
        <v>0</v>
      </c>
      <c r="EN346" s="137">
        <f>IF(CU346="zákl. přenesená",J346,0)</f>
        <v>0</v>
      </c>
      <c r="EO346" s="137">
        <f>IF(CU346="sníž. přenesená",J346,0)</f>
        <v>0</v>
      </c>
      <c r="EP346" s="137">
        <f>IF(CU346="nulová",J346,0)</f>
        <v>0</v>
      </c>
      <c r="EQ346" s="16" t="s">
        <v>81</v>
      </c>
      <c r="ER346" s="137">
        <f>ROUND(I346*H346,2)</f>
        <v>6567.49</v>
      </c>
      <c r="ES346" s="16" t="s">
        <v>95</v>
      </c>
      <c r="ET346" s="136" t="s">
        <v>2802</v>
      </c>
    </row>
    <row r="347" spans="2:150" s="1" customFormat="1" ht="19.5" x14ac:dyDescent="0.2">
      <c r="B347" s="31"/>
      <c r="D347" s="138" t="s">
        <v>289</v>
      </c>
      <c r="F347" s="139" t="s">
        <v>2801</v>
      </c>
      <c r="I347" s="140"/>
      <c r="L347" s="31"/>
      <c r="N347" s="213"/>
      <c r="O347" s="214"/>
      <c r="Q347" s="330"/>
      <c r="CT347" s="141"/>
      <c r="DA347" s="50"/>
      <c r="EA347" s="16" t="s">
        <v>289</v>
      </c>
      <c r="EB347" s="16" t="s">
        <v>83</v>
      </c>
    </row>
    <row r="348" spans="2:150" s="12" customFormat="1" x14ac:dyDescent="0.2">
      <c r="B348" s="149"/>
      <c r="D348" s="138" t="s">
        <v>301</v>
      </c>
      <c r="F348" s="151" t="s">
        <v>2803</v>
      </c>
      <c r="H348" s="152">
        <v>137.02500000000001</v>
      </c>
      <c r="I348" s="153"/>
      <c r="L348" s="149"/>
      <c r="N348" s="217">
        <f>-21.93*1.05</f>
        <v>-23.026500000000002</v>
      </c>
      <c r="O348" s="218" t="s">
        <v>3846</v>
      </c>
      <c r="Q348" s="332"/>
      <c r="CT348" s="154"/>
      <c r="DA348" s="155"/>
      <c r="EA348" s="150" t="s">
        <v>301</v>
      </c>
      <c r="EB348" s="150" t="s">
        <v>83</v>
      </c>
      <c r="EC348" s="12" t="s">
        <v>83</v>
      </c>
      <c r="ED348" s="12" t="s">
        <v>3</v>
      </c>
      <c r="EE348" s="12" t="s">
        <v>81</v>
      </c>
      <c r="EF348" s="150" t="s">
        <v>282</v>
      </c>
    </row>
    <row r="349" spans="2:150" s="1" customFormat="1" ht="24.2" customHeight="1" x14ac:dyDescent="0.2">
      <c r="B349" s="124"/>
      <c r="C349" s="125" t="s">
        <v>548</v>
      </c>
      <c r="D349" s="125" t="s">
        <v>284</v>
      </c>
      <c r="E349" s="126" t="s">
        <v>2804</v>
      </c>
      <c r="F349" s="127" t="s">
        <v>2805</v>
      </c>
      <c r="G349" s="128" t="s">
        <v>485</v>
      </c>
      <c r="H349" s="129">
        <v>1</v>
      </c>
      <c r="I349" s="130">
        <v>217.94376908335676</v>
      </c>
      <c r="J349" s="131">
        <f>ROUND(I349*H349,2)</f>
        <v>217.94</v>
      </c>
      <c r="K349" s="127" t="s">
        <v>293</v>
      </c>
      <c r="L349" s="268">
        <f>S349</f>
        <v>0</v>
      </c>
      <c r="M349" s="272">
        <f>ROUND(L349*I349,2)</f>
        <v>0</v>
      </c>
      <c r="N349" s="243"/>
      <c r="O349" s="294">
        <f>ROUND(N349*I349,2)</f>
        <v>0</v>
      </c>
      <c r="P349" s="273">
        <f>H349-L349-N349</f>
        <v>1</v>
      </c>
      <c r="Q349" s="268">
        <f>ROUND(P349*I349,2)</f>
        <v>217.94</v>
      </c>
      <c r="R349" s="137"/>
      <c r="S349" s="269">
        <f>W349+Y349+AA349+AC349+AE349</f>
        <v>0</v>
      </c>
      <c r="T349" s="269">
        <f>ROUND(S349*I349,2)</f>
        <v>0</v>
      </c>
      <c r="U349" s="269">
        <f>H349-S349</f>
        <v>1</v>
      </c>
      <c r="V349" s="269">
        <f>ROUND(U349*I349,2)</f>
        <v>217.94</v>
      </c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CT349" s="132" t="s">
        <v>1</v>
      </c>
      <c r="CU349" s="133" t="s">
        <v>40</v>
      </c>
      <c r="CW349" s="134">
        <f>CV349*H349</f>
        <v>0</v>
      </c>
      <c r="CX349" s="134">
        <v>0</v>
      </c>
      <c r="CY349" s="134">
        <f>CX349*H349</f>
        <v>0</v>
      </c>
      <c r="CZ349" s="134">
        <v>0</v>
      </c>
      <c r="DA349" s="135">
        <f>CZ349*H349</f>
        <v>0</v>
      </c>
      <c r="DY349" s="136" t="s">
        <v>95</v>
      </c>
      <c r="EA349" s="136" t="s">
        <v>284</v>
      </c>
      <c r="EB349" s="136" t="s">
        <v>83</v>
      </c>
      <c r="EF349" s="16" t="s">
        <v>282</v>
      </c>
      <c r="EL349" s="137">
        <f>IF(CU349="základní",J349,0)</f>
        <v>217.94</v>
      </c>
      <c r="EM349" s="137">
        <f>IF(CU349="snížená",J349,0)</f>
        <v>0</v>
      </c>
      <c r="EN349" s="137">
        <f>IF(CU349="zákl. přenesená",J349,0)</f>
        <v>0</v>
      </c>
      <c r="EO349" s="137">
        <f>IF(CU349="sníž. přenesená",J349,0)</f>
        <v>0</v>
      </c>
      <c r="EP349" s="137">
        <f>IF(CU349="nulová",J349,0)</f>
        <v>0</v>
      </c>
      <c r="EQ349" s="16" t="s">
        <v>81</v>
      </c>
      <c r="ER349" s="137">
        <f>ROUND(I349*H349,2)</f>
        <v>217.94</v>
      </c>
      <c r="ES349" s="16" t="s">
        <v>95</v>
      </c>
      <c r="ET349" s="136" t="s">
        <v>2806</v>
      </c>
    </row>
    <row r="350" spans="2:150" s="1" customFormat="1" ht="19.5" x14ac:dyDescent="0.2">
      <c r="B350" s="31"/>
      <c r="D350" s="138" t="s">
        <v>289</v>
      </c>
      <c r="F350" s="139" t="s">
        <v>2807</v>
      </c>
      <c r="I350" s="140"/>
      <c r="L350" s="31"/>
      <c r="N350" s="213"/>
      <c r="O350" s="214"/>
      <c r="Q350" s="330"/>
      <c r="CT350" s="141"/>
      <c r="DA350" s="50"/>
      <c r="EA350" s="16" t="s">
        <v>289</v>
      </c>
      <c r="EB350" s="16" t="s">
        <v>83</v>
      </c>
    </row>
    <row r="351" spans="2:150" s="1" customFormat="1" ht="29.25" x14ac:dyDescent="0.2">
      <c r="B351" s="31"/>
      <c r="D351" s="138" t="s">
        <v>299</v>
      </c>
      <c r="F351" s="142" t="s">
        <v>2695</v>
      </c>
      <c r="I351" s="140"/>
      <c r="L351" s="31"/>
      <c r="N351" s="213"/>
      <c r="O351" s="214"/>
      <c r="Q351" s="330"/>
      <c r="CT351" s="141"/>
      <c r="DA351" s="50"/>
      <c r="EA351" s="16" t="s">
        <v>299</v>
      </c>
      <c r="EB351" s="16" t="s">
        <v>83</v>
      </c>
    </row>
    <row r="352" spans="2:150" s="12" customFormat="1" x14ac:dyDescent="0.2">
      <c r="B352" s="149"/>
      <c r="D352" s="138" t="s">
        <v>301</v>
      </c>
      <c r="E352" s="150" t="s">
        <v>1</v>
      </c>
      <c r="F352" s="151" t="s">
        <v>81</v>
      </c>
      <c r="H352" s="152">
        <v>1</v>
      </c>
      <c r="I352" s="153"/>
      <c r="L352" s="149"/>
      <c r="N352" s="217"/>
      <c r="O352" s="218"/>
      <c r="Q352" s="332"/>
      <c r="CT352" s="154"/>
      <c r="DA352" s="155"/>
      <c r="EA352" s="150" t="s">
        <v>301</v>
      </c>
      <c r="EB352" s="150" t="s">
        <v>83</v>
      </c>
      <c r="EC352" s="12" t="s">
        <v>83</v>
      </c>
      <c r="ED352" s="12" t="s">
        <v>32</v>
      </c>
      <c r="EE352" s="12" t="s">
        <v>81</v>
      </c>
      <c r="EF352" s="150" t="s">
        <v>282</v>
      </c>
    </row>
    <row r="353" spans="2:150" s="1" customFormat="1" ht="24.2" customHeight="1" x14ac:dyDescent="0.2">
      <c r="B353" s="124"/>
      <c r="C353" s="170" t="s">
        <v>556</v>
      </c>
      <c r="D353" s="170" t="s">
        <v>439</v>
      </c>
      <c r="E353" s="171" t="s">
        <v>2808</v>
      </c>
      <c r="F353" s="172" t="s">
        <v>2809</v>
      </c>
      <c r="G353" s="173" t="s">
        <v>485</v>
      </c>
      <c r="H353" s="174">
        <v>1</v>
      </c>
      <c r="I353" s="175">
        <v>287.95357280000002</v>
      </c>
      <c r="J353" s="176">
        <f>ROUND(I353*H353,2)</f>
        <v>287.95</v>
      </c>
      <c r="K353" s="172" t="s">
        <v>293</v>
      </c>
      <c r="L353" s="268">
        <f>S353</f>
        <v>0</v>
      </c>
      <c r="M353" s="272">
        <f>ROUND(L353*I353,2)</f>
        <v>0</v>
      </c>
      <c r="N353" s="243"/>
      <c r="O353" s="294">
        <f>ROUND(N353*I353,2)</f>
        <v>0</v>
      </c>
      <c r="P353" s="273">
        <f>H353-L353-N353</f>
        <v>1</v>
      </c>
      <c r="Q353" s="268">
        <f>ROUND(P353*I353,2)</f>
        <v>287.95</v>
      </c>
      <c r="R353" s="137"/>
      <c r="S353" s="269">
        <f>W353+Y353+AA353+AC353+AE353</f>
        <v>0</v>
      </c>
      <c r="T353" s="269">
        <f>ROUND(S353*I353,2)</f>
        <v>0</v>
      </c>
      <c r="U353" s="269">
        <f>H353-S353</f>
        <v>1</v>
      </c>
      <c r="V353" s="269">
        <f>ROUND(U353*I353,2)</f>
        <v>287.95</v>
      </c>
      <c r="W353" s="290"/>
      <c r="X353" s="290"/>
      <c r="Y353" s="290"/>
      <c r="Z353" s="290"/>
      <c r="AA353" s="290"/>
      <c r="AB353" s="290"/>
      <c r="AC353" s="290"/>
      <c r="AD353" s="290"/>
      <c r="AE353" s="290"/>
      <c r="AF353" s="290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77" t="s">
        <v>1</v>
      </c>
      <c r="CU353" s="178" t="s">
        <v>40</v>
      </c>
      <c r="CW353" s="134">
        <f>CV353*H353</f>
        <v>0</v>
      </c>
      <c r="CX353" s="134">
        <v>1.7000000000000001E-4</v>
      </c>
      <c r="CY353" s="134">
        <f>CX353*H353</f>
        <v>1.7000000000000001E-4</v>
      </c>
      <c r="CZ353" s="134">
        <v>0</v>
      </c>
      <c r="DA353" s="135">
        <f>CZ353*H353</f>
        <v>0</v>
      </c>
      <c r="DY353" s="136" t="s">
        <v>328</v>
      </c>
      <c r="EA353" s="136" t="s">
        <v>439</v>
      </c>
      <c r="EB353" s="136" t="s">
        <v>83</v>
      </c>
      <c r="EF353" s="16" t="s">
        <v>282</v>
      </c>
      <c r="EL353" s="137">
        <f>IF(CU353="základní",J353,0)</f>
        <v>287.95</v>
      </c>
      <c r="EM353" s="137">
        <f>IF(CU353="snížená",J353,0)</f>
        <v>0</v>
      </c>
      <c r="EN353" s="137">
        <f>IF(CU353="zákl. přenesená",J353,0)</f>
        <v>0</v>
      </c>
      <c r="EO353" s="137">
        <f>IF(CU353="sníž. přenesená",J353,0)</f>
        <v>0</v>
      </c>
      <c r="EP353" s="137">
        <f>IF(CU353="nulová",J353,0)</f>
        <v>0</v>
      </c>
      <c r="EQ353" s="16" t="s">
        <v>81</v>
      </c>
      <c r="ER353" s="137">
        <f>ROUND(I353*H353,2)</f>
        <v>287.95</v>
      </c>
      <c r="ES353" s="16" t="s">
        <v>95</v>
      </c>
      <c r="ET353" s="136" t="s">
        <v>2810</v>
      </c>
    </row>
    <row r="354" spans="2:150" s="1" customFormat="1" x14ac:dyDescent="0.2">
      <c r="B354" s="31"/>
      <c r="D354" s="138" t="s">
        <v>289</v>
      </c>
      <c r="F354" s="139" t="s">
        <v>2809</v>
      </c>
      <c r="I354" s="140"/>
      <c r="L354" s="31"/>
      <c r="N354" s="213"/>
      <c r="O354" s="214"/>
      <c r="Q354" s="330"/>
      <c r="CT354" s="141"/>
      <c r="DA354" s="50"/>
      <c r="EA354" s="16" t="s">
        <v>289</v>
      </c>
      <c r="EB354" s="16" t="s">
        <v>83</v>
      </c>
    </row>
    <row r="355" spans="2:150" s="1" customFormat="1" ht="14.45" customHeight="1" x14ac:dyDescent="0.2">
      <c r="B355" s="124"/>
      <c r="C355" s="125" t="s">
        <v>562</v>
      </c>
      <c r="D355" s="125" t="s">
        <v>284</v>
      </c>
      <c r="E355" s="126" t="s">
        <v>2811</v>
      </c>
      <c r="F355" s="127" t="s">
        <v>2812</v>
      </c>
      <c r="G355" s="128" t="s">
        <v>344</v>
      </c>
      <c r="H355" s="129">
        <v>130.5</v>
      </c>
      <c r="I355" s="130">
        <v>16.79257728933749</v>
      </c>
      <c r="J355" s="131">
        <f>ROUND(I355*H355,2)</f>
        <v>2191.4299999999998</v>
      </c>
      <c r="K355" s="127" t="s">
        <v>293</v>
      </c>
      <c r="L355" s="268">
        <f>S355</f>
        <v>0</v>
      </c>
      <c r="M355" s="272">
        <f>ROUND(L355*I355,2)</f>
        <v>0</v>
      </c>
      <c r="N355" s="243">
        <f>N342</f>
        <v>-21.930000000000007</v>
      </c>
      <c r="O355" s="294">
        <f>ROUND(N355*I355,2)</f>
        <v>-368.26</v>
      </c>
      <c r="P355" s="273">
        <f>H355-L355-N355</f>
        <v>152.43</v>
      </c>
      <c r="Q355" s="268">
        <f>ROUND(P355*I355,2)</f>
        <v>2559.69</v>
      </c>
      <c r="R355" s="137"/>
      <c r="S355" s="269">
        <f>W355+Y355+AA355+AC355+AE355</f>
        <v>0</v>
      </c>
      <c r="T355" s="269">
        <f>ROUND(S355*I355,2)</f>
        <v>0</v>
      </c>
      <c r="U355" s="269">
        <f>H355-S355</f>
        <v>130.5</v>
      </c>
      <c r="V355" s="269">
        <f>ROUND(U355*I355,2)</f>
        <v>2191.4299999999998</v>
      </c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CT355" s="132" t="s">
        <v>1</v>
      </c>
      <c r="CU355" s="133" t="s">
        <v>40</v>
      </c>
      <c r="CW355" s="134">
        <f>CV355*H355</f>
        <v>0</v>
      </c>
      <c r="CX355" s="134">
        <v>0</v>
      </c>
      <c r="CY355" s="134">
        <f>CX355*H355</f>
        <v>0</v>
      </c>
      <c r="CZ355" s="134">
        <v>0</v>
      </c>
      <c r="DA355" s="135">
        <f>CZ355*H355</f>
        <v>0</v>
      </c>
      <c r="DY355" s="136" t="s">
        <v>95</v>
      </c>
      <c r="EA355" s="136" t="s">
        <v>284</v>
      </c>
      <c r="EB355" s="136" t="s">
        <v>83</v>
      </c>
      <c r="EF355" s="16" t="s">
        <v>282</v>
      </c>
      <c r="EL355" s="137">
        <f>IF(CU355="základní",J355,0)</f>
        <v>2191.4299999999998</v>
      </c>
      <c r="EM355" s="137">
        <f>IF(CU355="snížená",J355,0)</f>
        <v>0</v>
      </c>
      <c r="EN355" s="137">
        <f>IF(CU355="zákl. přenesená",J355,0)</f>
        <v>0</v>
      </c>
      <c r="EO355" s="137">
        <f>IF(CU355="sníž. přenesená",J355,0)</f>
        <v>0</v>
      </c>
      <c r="EP355" s="137">
        <f>IF(CU355="nulová",J355,0)</f>
        <v>0</v>
      </c>
      <c r="EQ355" s="16" t="s">
        <v>81</v>
      </c>
      <c r="ER355" s="137">
        <f>ROUND(I355*H355,2)</f>
        <v>2191.4299999999998</v>
      </c>
      <c r="ES355" s="16" t="s">
        <v>95</v>
      </c>
      <c r="ET355" s="136" t="s">
        <v>2813</v>
      </c>
    </row>
    <row r="356" spans="2:150" s="1" customFormat="1" x14ac:dyDescent="0.2">
      <c r="B356" s="31"/>
      <c r="D356" s="138" t="s">
        <v>289</v>
      </c>
      <c r="F356" s="139" t="s">
        <v>2814</v>
      </c>
      <c r="I356" s="140"/>
      <c r="L356" s="31"/>
      <c r="N356" s="213"/>
      <c r="O356" s="214"/>
      <c r="Q356" s="330"/>
      <c r="CT356" s="141"/>
      <c r="DA356" s="50"/>
      <c r="EA356" s="16" t="s">
        <v>289</v>
      </c>
      <c r="EB356" s="16" t="s">
        <v>83</v>
      </c>
    </row>
    <row r="357" spans="2:150" s="1" customFormat="1" ht="19.5" x14ac:dyDescent="0.2">
      <c r="B357" s="31"/>
      <c r="D357" s="138" t="s">
        <v>299</v>
      </c>
      <c r="F357" s="142" t="s">
        <v>587</v>
      </c>
      <c r="I357" s="140"/>
      <c r="L357" s="31"/>
      <c r="N357" s="213"/>
      <c r="O357" s="214"/>
      <c r="Q357" s="330"/>
      <c r="CT357" s="141"/>
      <c r="DA357" s="50"/>
      <c r="EA357" s="16" t="s">
        <v>299</v>
      </c>
      <c r="EB357" s="16" t="s">
        <v>83</v>
      </c>
    </row>
    <row r="358" spans="2:150" s="1" customFormat="1" ht="14.45" customHeight="1" x14ac:dyDescent="0.2">
      <c r="B358" s="124"/>
      <c r="C358" s="125" t="s">
        <v>568</v>
      </c>
      <c r="D358" s="125" t="s">
        <v>284</v>
      </c>
      <c r="E358" s="126" t="s">
        <v>2369</v>
      </c>
      <c r="F358" s="127" t="s">
        <v>2370</v>
      </c>
      <c r="G358" s="128" t="s">
        <v>315</v>
      </c>
      <c r="H358" s="129">
        <v>1</v>
      </c>
      <c r="I358" s="130">
        <v>1420.8235500000001</v>
      </c>
      <c r="J358" s="131">
        <f>ROUND(I358*H358,2)</f>
        <v>1420.82</v>
      </c>
      <c r="K358" s="127" t="s">
        <v>1</v>
      </c>
      <c r="L358" s="268">
        <f>S358</f>
        <v>0</v>
      </c>
      <c r="M358" s="272">
        <f>ROUND(L358*I358,2)</f>
        <v>0</v>
      </c>
      <c r="N358" s="243"/>
      <c r="O358" s="294">
        <f>ROUND(N358*I358,2)</f>
        <v>0</v>
      </c>
      <c r="P358" s="273">
        <f>H358-L358-N358</f>
        <v>1</v>
      </c>
      <c r="Q358" s="268">
        <f>ROUND(P358*I358,2)</f>
        <v>1420.82</v>
      </c>
      <c r="R358" s="137"/>
      <c r="S358" s="269">
        <f>W358+Y358+AA358+AC358+AE358</f>
        <v>0</v>
      </c>
      <c r="T358" s="269">
        <f>ROUND(S358*I358,2)</f>
        <v>0</v>
      </c>
      <c r="U358" s="269">
        <f>H358-S358</f>
        <v>1</v>
      </c>
      <c r="V358" s="269">
        <f>ROUND(U358*I358,2)</f>
        <v>1420.82</v>
      </c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CT358" s="132" t="s">
        <v>1</v>
      </c>
      <c r="CU358" s="133" t="s">
        <v>40</v>
      </c>
      <c r="CW358" s="134">
        <f>CV358*H358</f>
        <v>0</v>
      </c>
      <c r="CX358" s="134">
        <v>0</v>
      </c>
      <c r="CY358" s="134">
        <f>CX358*H358</f>
        <v>0</v>
      </c>
      <c r="CZ358" s="134">
        <v>0</v>
      </c>
      <c r="DA358" s="135">
        <f>CZ358*H358</f>
        <v>0</v>
      </c>
      <c r="DY358" s="136" t="s">
        <v>95</v>
      </c>
      <c r="EA358" s="136" t="s">
        <v>284</v>
      </c>
      <c r="EB358" s="136" t="s">
        <v>83</v>
      </c>
      <c r="EF358" s="16" t="s">
        <v>282</v>
      </c>
      <c r="EL358" s="137">
        <f>IF(CU358="základní",J358,0)</f>
        <v>1420.82</v>
      </c>
      <c r="EM358" s="137">
        <f>IF(CU358="snížená",J358,0)</f>
        <v>0</v>
      </c>
      <c r="EN358" s="137">
        <f>IF(CU358="zákl. přenesená",J358,0)</f>
        <v>0</v>
      </c>
      <c r="EO358" s="137">
        <f>IF(CU358="sníž. přenesená",J358,0)</f>
        <v>0</v>
      </c>
      <c r="EP358" s="137">
        <f>IF(CU358="nulová",J358,0)</f>
        <v>0</v>
      </c>
      <c r="EQ358" s="16" t="s">
        <v>81</v>
      </c>
      <c r="ER358" s="137">
        <f>ROUND(I358*H358,2)</f>
        <v>1420.82</v>
      </c>
      <c r="ES358" s="16" t="s">
        <v>95</v>
      </c>
      <c r="ET358" s="136" t="s">
        <v>2815</v>
      </c>
    </row>
    <row r="359" spans="2:150" s="1" customFormat="1" x14ac:dyDescent="0.2">
      <c r="B359" s="31"/>
      <c r="D359" s="138" t="s">
        <v>289</v>
      </c>
      <c r="F359" s="139" t="s">
        <v>2370</v>
      </c>
      <c r="I359" s="140"/>
      <c r="L359" s="31"/>
      <c r="N359" s="213"/>
      <c r="O359" s="214"/>
      <c r="Q359" s="330"/>
      <c r="CT359" s="141"/>
      <c r="DA359" s="50"/>
      <c r="EA359" s="16" t="s">
        <v>289</v>
      </c>
      <c r="EB359" s="16" t="s">
        <v>83</v>
      </c>
    </row>
    <row r="360" spans="2:150" s="1" customFormat="1" ht="37.9" customHeight="1" x14ac:dyDescent="0.2">
      <c r="B360" s="124"/>
      <c r="C360" s="125" t="s">
        <v>572</v>
      </c>
      <c r="D360" s="125" t="s">
        <v>284</v>
      </c>
      <c r="E360" s="126" t="s">
        <v>2816</v>
      </c>
      <c r="F360" s="127" t="s">
        <v>2817</v>
      </c>
      <c r="G360" s="128" t="s">
        <v>315</v>
      </c>
      <c r="H360" s="129">
        <v>1</v>
      </c>
      <c r="I360" s="130">
        <v>2841.6471000000001</v>
      </c>
      <c r="J360" s="131">
        <f>ROUND(I360*H360,2)</f>
        <v>2841.65</v>
      </c>
      <c r="K360" s="127" t="s">
        <v>1</v>
      </c>
      <c r="L360" s="268">
        <f>S360</f>
        <v>0</v>
      </c>
      <c r="M360" s="272">
        <f>ROUND(L360*I360,2)</f>
        <v>0</v>
      </c>
      <c r="N360" s="243"/>
      <c r="O360" s="294">
        <f>ROUND(N360*I360,2)</f>
        <v>0</v>
      </c>
      <c r="P360" s="273">
        <f>H360-L360-N360</f>
        <v>1</v>
      </c>
      <c r="Q360" s="268">
        <f>ROUND(P360*I360,2)</f>
        <v>2841.65</v>
      </c>
      <c r="R360" s="137"/>
      <c r="S360" s="269">
        <f>W360+Y360+AA360+AC360+AE360</f>
        <v>0</v>
      </c>
      <c r="T360" s="269">
        <f>ROUND(S360*I360,2)</f>
        <v>0</v>
      </c>
      <c r="U360" s="269">
        <f>H360-S360</f>
        <v>1</v>
      </c>
      <c r="V360" s="269">
        <f>ROUND(U360*I360,2)</f>
        <v>2841.65</v>
      </c>
      <c r="W360" s="269"/>
      <c r="X360" s="269"/>
      <c r="Y360" s="269"/>
      <c r="Z360" s="269"/>
      <c r="AA360" s="269"/>
      <c r="AB360" s="269"/>
      <c r="AC360" s="269"/>
      <c r="AD360" s="269"/>
      <c r="AE360" s="269"/>
      <c r="AF360" s="269"/>
      <c r="CT360" s="132" t="s">
        <v>1</v>
      </c>
      <c r="CU360" s="133" t="s">
        <v>40</v>
      </c>
      <c r="CW360" s="134">
        <f>CV360*H360</f>
        <v>0</v>
      </c>
      <c r="CX360" s="134">
        <v>0</v>
      </c>
      <c r="CY360" s="134">
        <f>CX360*H360</f>
        <v>0</v>
      </c>
      <c r="CZ360" s="134">
        <v>0</v>
      </c>
      <c r="DA360" s="135">
        <f>CZ360*H360</f>
        <v>0</v>
      </c>
      <c r="DY360" s="136" t="s">
        <v>95</v>
      </c>
      <c r="EA360" s="136" t="s">
        <v>284</v>
      </c>
      <c r="EB360" s="136" t="s">
        <v>83</v>
      </c>
      <c r="EF360" s="16" t="s">
        <v>282</v>
      </c>
      <c r="EL360" s="137">
        <f>IF(CU360="základní",J360,0)</f>
        <v>2841.65</v>
      </c>
      <c r="EM360" s="137">
        <f>IF(CU360="snížená",J360,0)</f>
        <v>0</v>
      </c>
      <c r="EN360" s="137">
        <f>IF(CU360="zákl. přenesená",J360,0)</f>
        <v>0</v>
      </c>
      <c r="EO360" s="137">
        <f>IF(CU360="sníž. přenesená",J360,0)</f>
        <v>0</v>
      </c>
      <c r="EP360" s="137">
        <f>IF(CU360="nulová",J360,0)</f>
        <v>0</v>
      </c>
      <c r="EQ360" s="16" t="s">
        <v>81</v>
      </c>
      <c r="ER360" s="137">
        <f>ROUND(I360*H360,2)</f>
        <v>2841.65</v>
      </c>
      <c r="ES360" s="16" t="s">
        <v>95</v>
      </c>
      <c r="ET360" s="136" t="s">
        <v>2818</v>
      </c>
    </row>
    <row r="361" spans="2:150" s="1" customFormat="1" ht="29.25" x14ac:dyDescent="0.2">
      <c r="B361" s="31"/>
      <c r="D361" s="138" t="s">
        <v>289</v>
      </c>
      <c r="F361" s="139" t="s">
        <v>2817</v>
      </c>
      <c r="I361" s="140"/>
      <c r="L361" s="31"/>
      <c r="N361" s="213"/>
      <c r="O361" s="214"/>
      <c r="Q361" s="330"/>
      <c r="CT361" s="141"/>
      <c r="DA361" s="50"/>
      <c r="EA361" s="16" t="s">
        <v>289</v>
      </c>
      <c r="EB361" s="16" t="s">
        <v>83</v>
      </c>
    </row>
    <row r="362" spans="2:150" s="1" customFormat="1" ht="29.25" x14ac:dyDescent="0.2">
      <c r="B362" s="31"/>
      <c r="D362" s="138" t="s">
        <v>299</v>
      </c>
      <c r="F362" s="142" t="s">
        <v>2695</v>
      </c>
      <c r="I362" s="140"/>
      <c r="L362" s="31"/>
      <c r="N362" s="213"/>
      <c r="O362" s="214"/>
      <c r="Q362" s="330"/>
      <c r="CT362" s="141"/>
      <c r="DA362" s="50"/>
      <c r="EA362" s="16" t="s">
        <v>299</v>
      </c>
      <c r="EB362" s="16" t="s">
        <v>83</v>
      </c>
    </row>
    <row r="363" spans="2:150" s="12" customFormat="1" x14ac:dyDescent="0.2">
      <c r="B363" s="149"/>
      <c r="D363" s="138" t="s">
        <v>301</v>
      </c>
      <c r="E363" s="150" t="s">
        <v>1</v>
      </c>
      <c r="F363" s="151" t="s">
        <v>2819</v>
      </c>
      <c r="H363" s="152">
        <v>1</v>
      </c>
      <c r="I363" s="153"/>
      <c r="L363" s="149"/>
      <c r="N363" s="217"/>
      <c r="O363" s="218"/>
      <c r="Q363" s="332"/>
      <c r="CT363" s="154"/>
      <c r="DA363" s="155"/>
      <c r="EA363" s="150" t="s">
        <v>301</v>
      </c>
      <c r="EB363" s="150" t="s">
        <v>83</v>
      </c>
      <c r="EC363" s="12" t="s">
        <v>83</v>
      </c>
      <c r="ED363" s="12" t="s">
        <v>32</v>
      </c>
      <c r="EE363" s="12" t="s">
        <v>81</v>
      </c>
      <c r="EF363" s="150" t="s">
        <v>282</v>
      </c>
    </row>
    <row r="364" spans="2:150" s="1" customFormat="1" ht="24.2" customHeight="1" x14ac:dyDescent="0.2">
      <c r="B364" s="124"/>
      <c r="C364" s="125" t="s">
        <v>576</v>
      </c>
      <c r="D364" s="125" t="s">
        <v>284</v>
      </c>
      <c r="E364" s="126" t="s">
        <v>2376</v>
      </c>
      <c r="F364" s="127" t="s">
        <v>2377</v>
      </c>
      <c r="G364" s="128" t="s">
        <v>344</v>
      </c>
      <c r="H364" s="129">
        <v>137.02500000000001</v>
      </c>
      <c r="I364" s="130">
        <v>41.004583386686377</v>
      </c>
      <c r="J364" s="131">
        <f>ROUND(I364*H364,2)</f>
        <v>5618.65</v>
      </c>
      <c r="K364" s="127" t="s">
        <v>293</v>
      </c>
      <c r="L364" s="268">
        <f>S364</f>
        <v>0</v>
      </c>
      <c r="M364" s="272">
        <f>ROUND(L364*I364,2)</f>
        <v>0</v>
      </c>
      <c r="N364" s="243">
        <f>N368</f>
        <v>-23.026500000000013</v>
      </c>
      <c r="O364" s="294">
        <f>ROUND(N364*I364,2)</f>
        <v>-944.19</v>
      </c>
      <c r="P364" s="273">
        <f>H364-L364-N364</f>
        <v>160.05150000000003</v>
      </c>
      <c r="Q364" s="268">
        <f>ROUND(P364*I364,2)</f>
        <v>6562.85</v>
      </c>
      <c r="R364" s="137"/>
      <c r="S364" s="269">
        <f>W364+Y364+AA364+AC364+AE364</f>
        <v>0</v>
      </c>
      <c r="T364" s="269">
        <f>ROUND(S364*I364,2)</f>
        <v>0</v>
      </c>
      <c r="U364" s="269">
        <f>H364-S364</f>
        <v>137.02500000000001</v>
      </c>
      <c r="V364" s="269">
        <f>ROUND(U364*I364,2)</f>
        <v>5618.65</v>
      </c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CT364" s="132" t="s">
        <v>1</v>
      </c>
      <c r="CU364" s="133" t="s">
        <v>40</v>
      </c>
      <c r="CW364" s="134">
        <f>CV364*H364</f>
        <v>0</v>
      </c>
      <c r="CX364" s="134">
        <v>1.9000000000000001E-4</v>
      </c>
      <c r="CY364" s="134">
        <f>CX364*H364</f>
        <v>2.6034750000000002E-2</v>
      </c>
      <c r="CZ364" s="134">
        <v>0</v>
      </c>
      <c r="DA364" s="135">
        <f>CZ364*H364</f>
        <v>0</v>
      </c>
      <c r="DY364" s="136" t="s">
        <v>95</v>
      </c>
      <c r="EA364" s="136" t="s">
        <v>284</v>
      </c>
      <c r="EB364" s="136" t="s">
        <v>83</v>
      </c>
      <c r="EF364" s="16" t="s">
        <v>282</v>
      </c>
      <c r="EL364" s="137">
        <f>IF(CU364="základní",J364,0)</f>
        <v>5618.65</v>
      </c>
      <c r="EM364" s="137">
        <f>IF(CU364="snížená",J364,0)</f>
        <v>0</v>
      </c>
      <c r="EN364" s="137">
        <f>IF(CU364="zákl. přenesená",J364,0)</f>
        <v>0</v>
      </c>
      <c r="EO364" s="137">
        <f>IF(CU364="sníž. přenesená",J364,0)</f>
        <v>0</v>
      </c>
      <c r="EP364" s="137">
        <f>IF(CU364="nulová",J364,0)</f>
        <v>0</v>
      </c>
      <c r="EQ364" s="16" t="s">
        <v>81</v>
      </c>
      <c r="ER364" s="137">
        <f>ROUND(I364*H364,2)</f>
        <v>5618.65</v>
      </c>
      <c r="ES364" s="16" t="s">
        <v>95</v>
      </c>
      <c r="ET364" s="136" t="s">
        <v>2820</v>
      </c>
    </row>
    <row r="365" spans="2:150" s="1" customFormat="1" x14ac:dyDescent="0.2">
      <c r="B365" s="31"/>
      <c r="D365" s="138" t="s">
        <v>289</v>
      </c>
      <c r="F365" s="139" t="s">
        <v>2379</v>
      </c>
      <c r="I365" s="140"/>
      <c r="L365" s="31"/>
      <c r="N365" s="213"/>
      <c r="O365" s="214"/>
      <c r="Q365" s="330"/>
      <c r="CT365" s="141"/>
      <c r="DA365" s="50"/>
      <c r="EA365" s="16" t="s">
        <v>289</v>
      </c>
      <c r="EB365" s="16" t="s">
        <v>83</v>
      </c>
    </row>
    <row r="366" spans="2:150" s="1" customFormat="1" ht="29.25" x14ac:dyDescent="0.2">
      <c r="B366" s="31"/>
      <c r="D366" s="138" t="s">
        <v>299</v>
      </c>
      <c r="F366" s="142" t="s">
        <v>2695</v>
      </c>
      <c r="I366" s="140"/>
      <c r="L366" s="31"/>
      <c r="N366" s="213"/>
      <c r="O366" s="214"/>
      <c r="Q366" s="330"/>
      <c r="CT366" s="141"/>
      <c r="DA366" s="50"/>
      <c r="EA366" s="16" t="s">
        <v>299</v>
      </c>
      <c r="EB366" s="16" t="s">
        <v>83</v>
      </c>
    </row>
    <row r="367" spans="2:150" s="12" customFormat="1" x14ac:dyDescent="0.2">
      <c r="B367" s="149"/>
      <c r="D367" s="138" t="s">
        <v>301</v>
      </c>
      <c r="E367" s="150" t="s">
        <v>1</v>
      </c>
      <c r="F367" s="151" t="s">
        <v>2821</v>
      </c>
      <c r="H367" s="152">
        <v>137.02500000000001</v>
      </c>
      <c r="I367" s="153"/>
      <c r="L367" s="149"/>
      <c r="N367" s="217">
        <f>108.57*1.05</f>
        <v>113.99849999999999</v>
      </c>
      <c r="O367" s="218" t="s">
        <v>3847</v>
      </c>
      <c r="Q367" s="332"/>
      <c r="CT367" s="154"/>
      <c r="DA367" s="155"/>
      <c r="EA367" s="150" t="s">
        <v>301</v>
      </c>
      <c r="EB367" s="150" t="s">
        <v>83</v>
      </c>
      <c r="EC367" s="12" t="s">
        <v>83</v>
      </c>
      <c r="ED367" s="12" t="s">
        <v>32</v>
      </c>
      <c r="EE367" s="12" t="s">
        <v>81</v>
      </c>
      <c r="EF367" s="150" t="s">
        <v>282</v>
      </c>
    </row>
    <row r="368" spans="2:150" s="12" customFormat="1" x14ac:dyDescent="0.2">
      <c r="B368" s="149"/>
      <c r="D368" s="138"/>
      <c r="E368" s="150"/>
      <c r="F368" s="151"/>
      <c r="H368" s="152"/>
      <c r="I368" s="153"/>
      <c r="L368" s="149"/>
      <c r="N368" s="310">
        <f>N367-H367</f>
        <v>-23.026500000000013</v>
      </c>
      <c r="O368" s="218"/>
      <c r="Q368" s="332"/>
      <c r="CT368" s="154"/>
      <c r="DA368" s="155"/>
      <c r="EA368" s="150"/>
      <c r="EB368" s="150"/>
      <c r="EF368" s="150"/>
    </row>
    <row r="369" spans="2:150" s="1" customFormat="1" ht="14.45" customHeight="1" x14ac:dyDescent="0.2">
      <c r="B369" s="124"/>
      <c r="C369" s="125" t="s">
        <v>581</v>
      </c>
      <c r="D369" s="125" t="s">
        <v>284</v>
      </c>
      <c r="E369" s="126" t="s">
        <v>2381</v>
      </c>
      <c r="F369" s="127" t="s">
        <v>2382</v>
      </c>
      <c r="G369" s="128" t="s">
        <v>344</v>
      </c>
      <c r="H369" s="129">
        <v>130.5</v>
      </c>
      <c r="I369" s="130">
        <v>12.254588887781324</v>
      </c>
      <c r="J369" s="131">
        <f>ROUND(I369*H369,2)</f>
        <v>1599.22</v>
      </c>
      <c r="K369" s="127" t="s">
        <v>293</v>
      </c>
      <c r="L369" s="268">
        <f>S369</f>
        <v>0</v>
      </c>
      <c r="M369" s="272">
        <f>ROUND(L369*I369,2)</f>
        <v>0</v>
      </c>
      <c r="N369" s="243">
        <f>N355</f>
        <v>-21.930000000000007</v>
      </c>
      <c r="O369" s="294">
        <f>ROUND(N369*I369,2)</f>
        <v>-268.74</v>
      </c>
      <c r="P369" s="273">
        <f>H369-L369-N369</f>
        <v>152.43</v>
      </c>
      <c r="Q369" s="268">
        <f>ROUND(P369*I369,2)</f>
        <v>1867.97</v>
      </c>
      <c r="R369" s="137"/>
      <c r="S369" s="269">
        <f>W369+Y369+AA369+AC369+AE369</f>
        <v>0</v>
      </c>
      <c r="T369" s="269">
        <f>ROUND(S369*I369,2)</f>
        <v>0</v>
      </c>
      <c r="U369" s="269">
        <f>H369-S369</f>
        <v>130.5</v>
      </c>
      <c r="V369" s="269">
        <f>ROUND(U369*I369,2)</f>
        <v>1599.22</v>
      </c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CT369" s="132" t="s">
        <v>1</v>
      </c>
      <c r="CU369" s="133" t="s">
        <v>40</v>
      </c>
      <c r="CW369" s="134">
        <f>CV369*H369</f>
        <v>0</v>
      </c>
      <c r="CX369" s="134">
        <v>9.0000000000000006E-5</v>
      </c>
      <c r="CY369" s="134">
        <f>CX369*H369</f>
        <v>1.1745E-2</v>
      </c>
      <c r="CZ369" s="134">
        <v>0</v>
      </c>
      <c r="DA369" s="135">
        <f>CZ369*H369</f>
        <v>0</v>
      </c>
      <c r="DY369" s="136" t="s">
        <v>95</v>
      </c>
      <c r="EA369" s="136" t="s">
        <v>284</v>
      </c>
      <c r="EB369" s="136" t="s">
        <v>83</v>
      </c>
      <c r="EF369" s="16" t="s">
        <v>282</v>
      </c>
      <c r="EL369" s="137">
        <f>IF(CU369="základní",J369,0)</f>
        <v>1599.22</v>
      </c>
      <c r="EM369" s="137">
        <f>IF(CU369="snížená",J369,0)</f>
        <v>0</v>
      </c>
      <c r="EN369" s="137">
        <f>IF(CU369="zákl. přenesená",J369,0)</f>
        <v>0</v>
      </c>
      <c r="EO369" s="137">
        <f>IF(CU369="sníž. přenesená",J369,0)</f>
        <v>0</v>
      </c>
      <c r="EP369" s="137">
        <f>IF(CU369="nulová",J369,0)</f>
        <v>0</v>
      </c>
      <c r="EQ369" s="16" t="s">
        <v>81</v>
      </c>
      <c r="ER369" s="137">
        <f>ROUND(I369*H369,2)</f>
        <v>1599.22</v>
      </c>
      <c r="ES369" s="16" t="s">
        <v>95</v>
      </c>
      <c r="ET369" s="136" t="s">
        <v>2822</v>
      </c>
    </row>
    <row r="370" spans="2:150" s="1" customFormat="1" x14ac:dyDescent="0.2">
      <c r="B370" s="31"/>
      <c r="D370" s="138" t="s">
        <v>289</v>
      </c>
      <c r="F370" s="139" t="s">
        <v>2384</v>
      </c>
      <c r="I370" s="140"/>
      <c r="L370" s="31"/>
      <c r="N370" s="213"/>
      <c r="O370" s="214"/>
      <c r="Q370" s="330"/>
      <c r="CT370" s="141"/>
      <c r="DA370" s="50"/>
      <c r="EA370" s="16" t="s">
        <v>289</v>
      </c>
      <c r="EB370" s="16" t="s">
        <v>83</v>
      </c>
    </row>
    <row r="371" spans="2:150" s="1" customFormat="1" ht="29.25" x14ac:dyDescent="0.2">
      <c r="B371" s="31"/>
      <c r="D371" s="138" t="s">
        <v>299</v>
      </c>
      <c r="F371" s="142" t="s">
        <v>2695</v>
      </c>
      <c r="I371" s="140"/>
      <c r="L371" s="31"/>
      <c r="N371" s="213"/>
      <c r="O371" s="214"/>
      <c r="Q371" s="330"/>
      <c r="CT371" s="141"/>
      <c r="DA371" s="50"/>
      <c r="EA371" s="16" t="s">
        <v>299</v>
      </c>
      <c r="EB371" s="16" t="s">
        <v>83</v>
      </c>
    </row>
    <row r="372" spans="2:150" s="12" customFormat="1" x14ac:dyDescent="0.2">
      <c r="B372" s="149"/>
      <c r="D372" s="138" t="s">
        <v>301</v>
      </c>
      <c r="E372" s="150" t="s">
        <v>1</v>
      </c>
      <c r="F372" s="151" t="s">
        <v>2823</v>
      </c>
      <c r="H372" s="152">
        <v>130.5</v>
      </c>
      <c r="I372" s="153"/>
      <c r="L372" s="149"/>
      <c r="N372" s="217"/>
      <c r="O372" s="218"/>
      <c r="Q372" s="332"/>
      <c r="CT372" s="154"/>
      <c r="DA372" s="155"/>
      <c r="EA372" s="150" t="s">
        <v>301</v>
      </c>
      <c r="EB372" s="150" t="s">
        <v>83</v>
      </c>
      <c r="EC372" s="12" t="s">
        <v>83</v>
      </c>
      <c r="ED372" s="12" t="s">
        <v>32</v>
      </c>
      <c r="EE372" s="12" t="s">
        <v>81</v>
      </c>
      <c r="EF372" s="150" t="s">
        <v>282</v>
      </c>
    </row>
    <row r="373" spans="2:150" s="10" customFormat="1" ht="22.9" customHeight="1" x14ac:dyDescent="0.2">
      <c r="B373" s="112"/>
      <c r="D373" s="113" t="s">
        <v>73</v>
      </c>
      <c r="E373" s="122" t="s">
        <v>335</v>
      </c>
      <c r="F373" s="122" t="s">
        <v>674</v>
      </c>
      <c r="I373" s="115"/>
      <c r="J373" s="123">
        <f>ER373</f>
        <v>95890.39</v>
      </c>
      <c r="L373" s="112"/>
      <c r="M373" s="270">
        <f>M374+M379</f>
        <v>0</v>
      </c>
      <c r="N373" s="301"/>
      <c r="O373" s="302">
        <f t="shared" ref="O373:V373" si="7">O374+O379</f>
        <v>0</v>
      </c>
      <c r="P373" s="270"/>
      <c r="Q373" s="335">
        <f t="shared" si="7"/>
        <v>95890.39</v>
      </c>
      <c r="R373" s="270"/>
      <c r="S373" s="270"/>
      <c r="T373" s="270">
        <f t="shared" si="7"/>
        <v>0</v>
      </c>
      <c r="U373" s="270"/>
      <c r="V373" s="270">
        <f t="shared" si="7"/>
        <v>95890.39</v>
      </c>
      <c r="CT373" s="117"/>
      <c r="CW373" s="118">
        <f>SUM(CW374:CW382)</f>
        <v>0</v>
      </c>
      <c r="CY373" s="118">
        <f>SUM(CY374:CY382)</f>
        <v>1.0575000000000001E-3</v>
      </c>
      <c r="DA373" s="119">
        <f>SUM(DA374:DA382)</f>
        <v>0</v>
      </c>
      <c r="DY373" s="113" t="s">
        <v>81</v>
      </c>
      <c r="EA373" s="120" t="s">
        <v>73</v>
      </c>
      <c r="EB373" s="120" t="s">
        <v>81</v>
      </c>
      <c r="EF373" s="113" t="s">
        <v>282</v>
      </c>
      <c r="ER373" s="121">
        <f>SUM(ER374:ER382)</f>
        <v>95890.39</v>
      </c>
    </row>
    <row r="374" spans="2:150" s="1" customFormat="1" ht="37.9" customHeight="1" x14ac:dyDescent="0.2">
      <c r="B374" s="124"/>
      <c r="C374" s="125" t="s">
        <v>589</v>
      </c>
      <c r="D374" s="125" t="s">
        <v>284</v>
      </c>
      <c r="E374" s="126" t="s">
        <v>676</v>
      </c>
      <c r="F374" s="127" t="s">
        <v>2824</v>
      </c>
      <c r="G374" s="128" t="s">
        <v>1948</v>
      </c>
      <c r="H374" s="129">
        <v>1</v>
      </c>
      <c r="I374" s="130">
        <v>95777.255999999994</v>
      </c>
      <c r="J374" s="131">
        <f>ROUND(I374*H374,2)</f>
        <v>95777.26</v>
      </c>
      <c r="K374" s="127" t="s">
        <v>1</v>
      </c>
      <c r="L374" s="268">
        <f>S374</f>
        <v>0</v>
      </c>
      <c r="M374" s="272">
        <f>ROUND(L374*I374,2)</f>
        <v>0</v>
      </c>
      <c r="N374" s="243"/>
      <c r="O374" s="294">
        <f>ROUND(N374*I374,2)</f>
        <v>0</v>
      </c>
      <c r="P374" s="273">
        <f>H374-L374-N374</f>
        <v>1</v>
      </c>
      <c r="Q374" s="268">
        <f>ROUND(P374*I374,2)</f>
        <v>95777.26</v>
      </c>
      <c r="R374" s="137"/>
      <c r="S374" s="269">
        <f>W374+Y374+AA374+AC374+AE374</f>
        <v>0</v>
      </c>
      <c r="T374" s="269">
        <f>ROUND(S374*I374,2)</f>
        <v>0</v>
      </c>
      <c r="U374" s="269">
        <f>H374-S374</f>
        <v>1</v>
      </c>
      <c r="V374" s="269">
        <f>ROUND(U374*I374,2)</f>
        <v>95777.26</v>
      </c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CT374" s="132" t="s">
        <v>1</v>
      </c>
      <c r="CU374" s="133" t="s">
        <v>40</v>
      </c>
      <c r="CW374" s="134">
        <f>CV374*H374</f>
        <v>0</v>
      </c>
      <c r="CX374" s="134">
        <v>0</v>
      </c>
      <c r="CY374" s="134">
        <f>CX374*H374</f>
        <v>0</v>
      </c>
      <c r="CZ374" s="134">
        <v>0</v>
      </c>
      <c r="DA374" s="135">
        <f>CZ374*H374</f>
        <v>0</v>
      </c>
      <c r="DY374" s="136" t="s">
        <v>95</v>
      </c>
      <c r="EA374" s="136" t="s">
        <v>284</v>
      </c>
      <c r="EB374" s="136" t="s">
        <v>83</v>
      </c>
      <c r="EF374" s="16" t="s">
        <v>282</v>
      </c>
      <c r="EL374" s="137">
        <f>IF(CU374="základní",J374,0)</f>
        <v>95777.26</v>
      </c>
      <c r="EM374" s="137">
        <f>IF(CU374="snížená",J374,0)</f>
        <v>0</v>
      </c>
      <c r="EN374" s="137">
        <f>IF(CU374="zákl. přenesená",J374,0)</f>
        <v>0</v>
      </c>
      <c r="EO374" s="137">
        <f>IF(CU374="sníž. přenesená",J374,0)</f>
        <v>0</v>
      </c>
      <c r="EP374" s="137">
        <f>IF(CU374="nulová",J374,0)</f>
        <v>0</v>
      </c>
      <c r="EQ374" s="16" t="s">
        <v>81</v>
      </c>
      <c r="ER374" s="137">
        <f>ROUND(I374*H374,2)</f>
        <v>95777.26</v>
      </c>
      <c r="ES374" s="16" t="s">
        <v>95</v>
      </c>
      <c r="ET374" s="136" t="s">
        <v>2825</v>
      </c>
    </row>
    <row r="375" spans="2:150" s="1" customFormat="1" ht="175.5" x14ac:dyDescent="0.2">
      <c r="B375" s="31"/>
      <c r="D375" s="138" t="s">
        <v>289</v>
      </c>
      <c r="F375" s="139" t="s">
        <v>2826</v>
      </c>
      <c r="I375" s="140"/>
      <c r="L375" s="31"/>
      <c r="N375" s="213"/>
      <c r="O375" s="214"/>
      <c r="Q375" s="330"/>
      <c r="CT375" s="141"/>
      <c r="DA375" s="50"/>
      <c r="EA375" s="16" t="s">
        <v>289</v>
      </c>
      <c r="EB375" s="16" t="s">
        <v>83</v>
      </c>
    </row>
    <row r="376" spans="2:150" s="1" customFormat="1" ht="29.25" x14ac:dyDescent="0.2">
      <c r="B376" s="31"/>
      <c r="D376" s="138" t="s">
        <v>299</v>
      </c>
      <c r="F376" s="142" t="s">
        <v>2695</v>
      </c>
      <c r="I376" s="140"/>
      <c r="L376" s="31"/>
      <c r="N376" s="213"/>
      <c r="O376" s="214"/>
      <c r="Q376" s="330"/>
      <c r="CT376" s="141"/>
      <c r="DA376" s="50"/>
      <c r="EA376" s="16" t="s">
        <v>299</v>
      </c>
      <c r="EB376" s="16" t="s">
        <v>83</v>
      </c>
    </row>
    <row r="377" spans="2:150" s="11" customFormat="1" ht="22.5" x14ac:dyDescent="0.2">
      <c r="B377" s="143"/>
      <c r="D377" s="138" t="s">
        <v>301</v>
      </c>
      <c r="E377" s="144" t="s">
        <v>1</v>
      </c>
      <c r="F377" s="145" t="s">
        <v>2827</v>
      </c>
      <c r="H377" s="144" t="s">
        <v>1</v>
      </c>
      <c r="I377" s="146"/>
      <c r="L377" s="143"/>
      <c r="N377" s="215"/>
      <c r="O377" s="216"/>
      <c r="Q377" s="331"/>
      <c r="CT377" s="147"/>
      <c r="DA377" s="148"/>
      <c r="EA377" s="144" t="s">
        <v>301</v>
      </c>
      <c r="EB377" s="144" t="s">
        <v>83</v>
      </c>
      <c r="EC377" s="11" t="s">
        <v>81</v>
      </c>
      <c r="ED377" s="11" t="s">
        <v>32</v>
      </c>
      <c r="EE377" s="11" t="s">
        <v>74</v>
      </c>
      <c r="EF377" s="144" t="s">
        <v>282</v>
      </c>
    </row>
    <row r="378" spans="2:150" s="12" customFormat="1" x14ac:dyDescent="0.2">
      <c r="B378" s="149"/>
      <c r="D378" s="138" t="s">
        <v>301</v>
      </c>
      <c r="E378" s="150" t="s">
        <v>1</v>
      </c>
      <c r="F378" s="151" t="s">
        <v>2828</v>
      </c>
      <c r="H378" s="152">
        <v>1</v>
      </c>
      <c r="I378" s="153"/>
      <c r="L378" s="149"/>
      <c r="N378" s="217"/>
      <c r="O378" s="218"/>
      <c r="Q378" s="332"/>
      <c r="CT378" s="154"/>
      <c r="DA378" s="155"/>
      <c r="EA378" s="150" t="s">
        <v>301</v>
      </c>
      <c r="EB378" s="150" t="s">
        <v>83</v>
      </c>
      <c r="EC378" s="12" t="s">
        <v>83</v>
      </c>
      <c r="ED378" s="12" t="s">
        <v>32</v>
      </c>
      <c r="EE378" s="12" t="s">
        <v>81</v>
      </c>
      <c r="EF378" s="150" t="s">
        <v>282</v>
      </c>
    </row>
    <row r="379" spans="2:150" s="1" customFormat="1" ht="24.2" customHeight="1" x14ac:dyDescent="0.2">
      <c r="B379" s="124"/>
      <c r="C379" s="125" t="s">
        <v>594</v>
      </c>
      <c r="D379" s="125" t="s">
        <v>284</v>
      </c>
      <c r="E379" s="126" t="s">
        <v>1952</v>
      </c>
      <c r="F379" s="127" t="s">
        <v>1953</v>
      </c>
      <c r="G379" s="128" t="s">
        <v>287</v>
      </c>
      <c r="H379" s="129">
        <v>2.25</v>
      </c>
      <c r="I379" s="130">
        <v>50.278961448296904</v>
      </c>
      <c r="J379" s="131">
        <f>ROUND(I379*H379,2)</f>
        <v>113.13</v>
      </c>
      <c r="K379" s="127" t="s">
        <v>293</v>
      </c>
      <c r="L379" s="268">
        <f>S379</f>
        <v>0</v>
      </c>
      <c r="M379" s="272">
        <f>ROUND(L379*I379,2)</f>
        <v>0</v>
      </c>
      <c r="N379" s="243"/>
      <c r="O379" s="294">
        <f>ROUND(N379*I379,2)</f>
        <v>0</v>
      </c>
      <c r="P379" s="273">
        <f>H379-L379-N379</f>
        <v>2.25</v>
      </c>
      <c r="Q379" s="268">
        <f>ROUND(P379*I379,2)</f>
        <v>113.13</v>
      </c>
      <c r="R379" s="137"/>
      <c r="S379" s="269">
        <f>W379+Y379+AA379+AC379+AE379</f>
        <v>0</v>
      </c>
      <c r="T379" s="269">
        <f>ROUND(S379*I379,2)</f>
        <v>0</v>
      </c>
      <c r="U379" s="269">
        <f>H379-S379</f>
        <v>2.25</v>
      </c>
      <c r="V379" s="269">
        <f>ROUND(U379*I379,2)</f>
        <v>113.13</v>
      </c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CT379" s="132" t="s">
        <v>1</v>
      </c>
      <c r="CU379" s="133" t="s">
        <v>40</v>
      </c>
      <c r="CW379" s="134">
        <f>CV379*H379</f>
        <v>0</v>
      </c>
      <c r="CX379" s="134">
        <v>4.6999999999999999E-4</v>
      </c>
      <c r="CY379" s="134">
        <f>CX379*H379</f>
        <v>1.0575000000000001E-3</v>
      </c>
      <c r="CZ379" s="134">
        <v>0</v>
      </c>
      <c r="DA379" s="135">
        <f>CZ379*H379</f>
        <v>0</v>
      </c>
      <c r="DY379" s="136" t="s">
        <v>95</v>
      </c>
      <c r="EA379" s="136" t="s">
        <v>284</v>
      </c>
      <c r="EB379" s="136" t="s">
        <v>83</v>
      </c>
      <c r="EF379" s="16" t="s">
        <v>282</v>
      </c>
      <c r="EL379" s="137">
        <f>IF(CU379="základní",J379,0)</f>
        <v>113.13</v>
      </c>
      <c r="EM379" s="137">
        <f>IF(CU379="snížená",J379,0)</f>
        <v>0</v>
      </c>
      <c r="EN379" s="137">
        <f>IF(CU379="zákl. přenesená",J379,0)</f>
        <v>0</v>
      </c>
      <c r="EO379" s="137">
        <f>IF(CU379="sníž. přenesená",J379,0)</f>
        <v>0</v>
      </c>
      <c r="EP379" s="137">
        <f>IF(CU379="nulová",J379,0)</f>
        <v>0</v>
      </c>
      <c r="EQ379" s="16" t="s">
        <v>81</v>
      </c>
      <c r="ER379" s="137">
        <f>ROUND(I379*H379,2)</f>
        <v>113.13</v>
      </c>
      <c r="ES379" s="16" t="s">
        <v>95</v>
      </c>
      <c r="ET379" s="136" t="s">
        <v>2829</v>
      </c>
    </row>
    <row r="380" spans="2:150" s="1" customFormat="1" ht="19.5" x14ac:dyDescent="0.2">
      <c r="B380" s="31"/>
      <c r="D380" s="138" t="s">
        <v>289</v>
      </c>
      <c r="F380" s="139" t="s">
        <v>1955</v>
      </c>
      <c r="I380" s="140"/>
      <c r="L380" s="31"/>
      <c r="N380" s="213"/>
      <c r="O380" s="214"/>
      <c r="Q380" s="330"/>
      <c r="CT380" s="141"/>
      <c r="DA380" s="50"/>
      <c r="EA380" s="16" t="s">
        <v>289</v>
      </c>
      <c r="EB380" s="16" t="s">
        <v>83</v>
      </c>
    </row>
    <row r="381" spans="2:150" s="1" customFormat="1" ht="29.25" x14ac:dyDescent="0.2">
      <c r="B381" s="31"/>
      <c r="D381" s="138" t="s">
        <v>299</v>
      </c>
      <c r="F381" s="142" t="s">
        <v>2695</v>
      </c>
      <c r="I381" s="140"/>
      <c r="L381" s="31"/>
      <c r="N381" s="213"/>
      <c r="O381" s="214"/>
      <c r="Q381" s="330"/>
      <c r="CT381" s="141"/>
      <c r="DA381" s="50"/>
      <c r="EA381" s="16" t="s">
        <v>299</v>
      </c>
      <c r="EB381" s="16" t="s">
        <v>83</v>
      </c>
    </row>
    <row r="382" spans="2:150" s="12" customFormat="1" x14ac:dyDescent="0.2">
      <c r="B382" s="149"/>
      <c r="D382" s="138" t="s">
        <v>301</v>
      </c>
      <c r="E382" s="150" t="s">
        <v>1</v>
      </c>
      <c r="F382" s="151" t="s">
        <v>2830</v>
      </c>
      <c r="H382" s="152">
        <v>2.25</v>
      </c>
      <c r="I382" s="153"/>
      <c r="L382" s="149"/>
      <c r="N382" s="217"/>
      <c r="O382" s="218"/>
      <c r="Q382" s="332"/>
      <c r="CT382" s="154"/>
      <c r="DA382" s="155"/>
      <c r="EA382" s="150" t="s">
        <v>301</v>
      </c>
      <c r="EB382" s="150" t="s">
        <v>83</v>
      </c>
      <c r="EC382" s="12" t="s">
        <v>83</v>
      </c>
      <c r="ED382" s="12" t="s">
        <v>32</v>
      </c>
      <c r="EE382" s="12" t="s">
        <v>81</v>
      </c>
      <c r="EF382" s="150" t="s">
        <v>282</v>
      </c>
    </row>
    <row r="383" spans="2:150" s="10" customFormat="1" ht="22.9" customHeight="1" x14ac:dyDescent="0.2">
      <c r="B383" s="112"/>
      <c r="D383" s="113" t="s">
        <v>73</v>
      </c>
      <c r="E383" s="122" t="s">
        <v>695</v>
      </c>
      <c r="F383" s="122" t="s">
        <v>696</v>
      </c>
      <c r="I383" s="115"/>
      <c r="J383" s="123">
        <f>ER383</f>
        <v>47427.5</v>
      </c>
      <c r="L383" s="112"/>
      <c r="M383" s="270">
        <f>SUM(M384:M400)</f>
        <v>0</v>
      </c>
      <c r="N383" s="301"/>
      <c r="O383" s="302">
        <f t="shared" ref="O383:V383" si="8">SUM(O384:O400)</f>
        <v>-3841.63</v>
      </c>
      <c r="P383" s="270"/>
      <c r="Q383" s="335">
        <f t="shared" si="8"/>
        <v>51269.120000000003</v>
      </c>
      <c r="R383" s="270"/>
      <c r="S383" s="270"/>
      <c r="T383" s="270">
        <f t="shared" si="8"/>
        <v>0</v>
      </c>
      <c r="U383" s="270"/>
      <c r="V383" s="270">
        <f t="shared" si="8"/>
        <v>47427.5</v>
      </c>
      <c r="CT383" s="117"/>
      <c r="CW383" s="118">
        <f>SUM(CW384:CW402)</f>
        <v>0</v>
      </c>
      <c r="CY383" s="118">
        <f>SUM(CY384:CY402)</f>
        <v>0</v>
      </c>
      <c r="DA383" s="119">
        <f>SUM(DA384:DA402)</f>
        <v>0</v>
      </c>
      <c r="DY383" s="113" t="s">
        <v>81</v>
      </c>
      <c r="EA383" s="120" t="s">
        <v>73</v>
      </c>
      <c r="EB383" s="120" t="s">
        <v>81</v>
      </c>
      <c r="EF383" s="113" t="s">
        <v>282</v>
      </c>
      <c r="ER383" s="121">
        <f>SUM(ER384:ER402)</f>
        <v>47427.5</v>
      </c>
    </row>
    <row r="384" spans="2:150" s="1" customFormat="1" ht="14.45" customHeight="1" x14ac:dyDescent="0.2">
      <c r="B384" s="124"/>
      <c r="C384" s="125" t="s">
        <v>599</v>
      </c>
      <c r="D384" s="125" t="s">
        <v>284</v>
      </c>
      <c r="E384" s="126" t="s">
        <v>698</v>
      </c>
      <c r="F384" s="127" t="s">
        <v>699</v>
      </c>
      <c r="G384" s="128" t="s">
        <v>418</v>
      </c>
      <c r="H384" s="129">
        <v>117.889</v>
      </c>
      <c r="I384" s="130">
        <v>40.477390926043419</v>
      </c>
      <c r="J384" s="131">
        <f>ROUND(I384*H384,2)</f>
        <v>4771.84</v>
      </c>
      <c r="K384" s="127" t="s">
        <v>293</v>
      </c>
      <c r="L384" s="268">
        <f>S384</f>
        <v>0</v>
      </c>
      <c r="M384" s="272">
        <f>ROUND(L384*I384,2)</f>
        <v>0</v>
      </c>
      <c r="N384" s="243">
        <f>N386</f>
        <v>-9.5490090000000123</v>
      </c>
      <c r="O384" s="294">
        <f>ROUND(N384*I384,2)</f>
        <v>-386.52</v>
      </c>
      <c r="P384" s="273">
        <f>H384-L384-N384</f>
        <v>127.43800900000001</v>
      </c>
      <c r="Q384" s="268">
        <f>ROUND(P384*I384,2)</f>
        <v>5158.3599999999997</v>
      </c>
      <c r="R384" s="137"/>
      <c r="S384" s="269">
        <f>W384+Y384+AA384+AC384+AE384</f>
        <v>0</v>
      </c>
      <c r="T384" s="269">
        <f>ROUND(S384*I384,2)</f>
        <v>0</v>
      </c>
      <c r="U384" s="269">
        <f>H384-S384</f>
        <v>117.889</v>
      </c>
      <c r="V384" s="269">
        <f>ROUND(U384*I384,2)</f>
        <v>4771.84</v>
      </c>
      <c r="W384" s="269"/>
      <c r="X384" s="269"/>
      <c r="Y384" s="269"/>
      <c r="Z384" s="269"/>
      <c r="AA384" s="269"/>
      <c r="AB384" s="269"/>
      <c r="AC384" s="269"/>
      <c r="AD384" s="269"/>
      <c r="AE384" s="269"/>
      <c r="AF384" s="269"/>
      <c r="CT384" s="132" t="s">
        <v>1</v>
      </c>
      <c r="CU384" s="133" t="s">
        <v>40</v>
      </c>
      <c r="CW384" s="134">
        <f>CV384*H384</f>
        <v>0</v>
      </c>
      <c r="CX384" s="134">
        <v>0</v>
      </c>
      <c r="CY384" s="134">
        <f>CX384*H384</f>
        <v>0</v>
      </c>
      <c r="CZ384" s="134">
        <v>0</v>
      </c>
      <c r="DA384" s="135">
        <f>CZ384*H384</f>
        <v>0</v>
      </c>
      <c r="DY384" s="136" t="s">
        <v>95</v>
      </c>
      <c r="EA384" s="136" t="s">
        <v>284</v>
      </c>
      <c r="EB384" s="136" t="s">
        <v>83</v>
      </c>
      <c r="EF384" s="16" t="s">
        <v>282</v>
      </c>
      <c r="EL384" s="137">
        <f>IF(CU384="základní",J384,0)</f>
        <v>4771.84</v>
      </c>
      <c r="EM384" s="137">
        <f>IF(CU384="snížená",J384,0)</f>
        <v>0</v>
      </c>
      <c r="EN384" s="137">
        <f>IF(CU384="zákl. přenesená",J384,0)</f>
        <v>0</v>
      </c>
      <c r="EO384" s="137">
        <f>IF(CU384="sníž. přenesená",J384,0)</f>
        <v>0</v>
      </c>
      <c r="EP384" s="137">
        <f>IF(CU384="nulová",J384,0)</f>
        <v>0</v>
      </c>
      <c r="EQ384" s="16" t="s">
        <v>81</v>
      </c>
      <c r="ER384" s="137">
        <f>ROUND(I384*H384,2)</f>
        <v>4771.84</v>
      </c>
      <c r="ES384" s="16" t="s">
        <v>95</v>
      </c>
      <c r="ET384" s="136" t="s">
        <v>2831</v>
      </c>
    </row>
    <row r="385" spans="2:150" s="1" customFormat="1" ht="19.5" x14ac:dyDescent="0.2">
      <c r="B385" s="31"/>
      <c r="D385" s="138" t="s">
        <v>289</v>
      </c>
      <c r="F385" s="139" t="s">
        <v>701</v>
      </c>
      <c r="I385" s="140"/>
      <c r="L385" s="31"/>
      <c r="N385" s="213">
        <f>0.919*117.889</f>
        <v>108.339991</v>
      </c>
      <c r="O385" s="214" t="s">
        <v>3968</v>
      </c>
      <c r="Q385" s="330"/>
      <c r="CT385" s="141"/>
      <c r="DA385" s="50"/>
      <c r="EA385" s="16" t="s">
        <v>289</v>
      </c>
      <c r="EB385" s="16" t="s">
        <v>83</v>
      </c>
    </row>
    <row r="386" spans="2:150" s="12" customFormat="1" x14ac:dyDescent="0.2">
      <c r="B386" s="149"/>
      <c r="D386" s="138" t="s">
        <v>301</v>
      </c>
      <c r="E386" s="150" t="s">
        <v>1</v>
      </c>
      <c r="F386" s="151" t="s">
        <v>2832</v>
      </c>
      <c r="H386" s="152">
        <v>74.403000000000006</v>
      </c>
      <c r="I386" s="153"/>
      <c r="L386" s="149"/>
      <c r="N386" s="310">
        <f>N385-H388</f>
        <v>-9.5490090000000123</v>
      </c>
      <c r="O386" s="218"/>
      <c r="Q386" s="332"/>
      <c r="CT386" s="154"/>
      <c r="DA386" s="155"/>
      <c r="EA386" s="150" t="s">
        <v>301</v>
      </c>
      <c r="EB386" s="150" t="s">
        <v>83</v>
      </c>
      <c r="EC386" s="12" t="s">
        <v>83</v>
      </c>
      <c r="ED386" s="12" t="s">
        <v>32</v>
      </c>
      <c r="EE386" s="12" t="s">
        <v>74</v>
      </c>
      <c r="EF386" s="150" t="s">
        <v>282</v>
      </c>
    </row>
    <row r="387" spans="2:150" s="12" customFormat="1" x14ac:dyDescent="0.2">
      <c r="B387" s="149"/>
      <c r="D387" s="138" t="s">
        <v>301</v>
      </c>
      <c r="E387" s="150" t="s">
        <v>1</v>
      </c>
      <c r="F387" s="151" t="s">
        <v>2833</v>
      </c>
      <c r="H387" s="152">
        <v>43.485999999999997</v>
      </c>
      <c r="I387" s="153"/>
      <c r="L387" s="149"/>
      <c r="N387" s="217"/>
      <c r="O387" s="218"/>
      <c r="Q387" s="332"/>
      <c r="CT387" s="154"/>
      <c r="DA387" s="155"/>
      <c r="EA387" s="150" t="s">
        <v>301</v>
      </c>
      <c r="EB387" s="150" t="s">
        <v>83</v>
      </c>
      <c r="EC387" s="12" t="s">
        <v>83</v>
      </c>
      <c r="ED387" s="12" t="s">
        <v>32</v>
      </c>
      <c r="EE387" s="12" t="s">
        <v>74</v>
      </c>
      <c r="EF387" s="150" t="s">
        <v>282</v>
      </c>
    </row>
    <row r="388" spans="2:150" s="13" customFormat="1" x14ac:dyDescent="0.2">
      <c r="B388" s="156"/>
      <c r="D388" s="138" t="s">
        <v>301</v>
      </c>
      <c r="E388" s="157" t="s">
        <v>1</v>
      </c>
      <c r="F388" s="158" t="s">
        <v>305</v>
      </c>
      <c r="H388" s="159">
        <v>117.88900000000001</v>
      </c>
      <c r="I388" s="160"/>
      <c r="L388" s="156"/>
      <c r="N388" s="219"/>
      <c r="O388" s="220"/>
      <c r="Q388" s="334"/>
      <c r="CT388" s="161"/>
      <c r="DA388" s="162"/>
      <c r="EA388" s="157" t="s">
        <v>301</v>
      </c>
      <c r="EB388" s="157" t="s">
        <v>83</v>
      </c>
      <c r="EC388" s="13" t="s">
        <v>95</v>
      </c>
      <c r="ED388" s="13" t="s">
        <v>32</v>
      </c>
      <c r="EE388" s="13" t="s">
        <v>81</v>
      </c>
      <c r="EF388" s="157" t="s">
        <v>282</v>
      </c>
    </row>
    <row r="389" spans="2:150" s="1" customFormat="1" ht="24.2" customHeight="1" x14ac:dyDescent="0.2">
      <c r="B389" s="124"/>
      <c r="C389" s="125" t="s">
        <v>604</v>
      </c>
      <c r="D389" s="125" t="s">
        <v>284</v>
      </c>
      <c r="E389" s="126" t="s">
        <v>705</v>
      </c>
      <c r="F389" s="127" t="s">
        <v>706</v>
      </c>
      <c r="G389" s="128" t="s">
        <v>418</v>
      </c>
      <c r="H389" s="129">
        <v>1650.4459999999999</v>
      </c>
      <c r="I389" s="130">
        <v>3.1192340975392101</v>
      </c>
      <c r="J389" s="131">
        <f>ROUND(I389*H389,2)</f>
        <v>5148.13</v>
      </c>
      <c r="K389" s="127" t="s">
        <v>293</v>
      </c>
      <c r="L389" s="268">
        <f>S389</f>
        <v>0</v>
      </c>
      <c r="M389" s="272">
        <f>ROUND(L389*I389,2)</f>
        <v>0</v>
      </c>
      <c r="N389" s="243">
        <f>N391</f>
        <v>-133.68612599999983</v>
      </c>
      <c r="O389" s="294">
        <f>ROUND(N389*I389,2)</f>
        <v>-417</v>
      </c>
      <c r="P389" s="273">
        <f>H389-L389-N389</f>
        <v>1784.1321259999997</v>
      </c>
      <c r="Q389" s="268">
        <f>ROUND(P389*I389,2)</f>
        <v>5565.13</v>
      </c>
      <c r="R389" s="137"/>
      <c r="S389" s="269">
        <f>W389+Y389+AA389+AC389+AE389</f>
        <v>0</v>
      </c>
      <c r="T389" s="269">
        <f>ROUND(S389*I389,2)</f>
        <v>0</v>
      </c>
      <c r="U389" s="269">
        <f>H389-S389</f>
        <v>1650.4459999999999</v>
      </c>
      <c r="V389" s="269">
        <f>ROUND(U389*I389,2)</f>
        <v>5148.13</v>
      </c>
      <c r="W389" s="269"/>
      <c r="X389" s="269"/>
      <c r="Y389" s="269"/>
      <c r="Z389" s="269"/>
      <c r="AA389" s="269"/>
      <c r="AB389" s="269"/>
      <c r="AC389" s="269"/>
      <c r="AD389" s="269"/>
      <c r="AE389" s="269"/>
      <c r="AF389" s="269"/>
      <c r="CT389" s="132" t="s">
        <v>1</v>
      </c>
      <c r="CU389" s="133" t="s">
        <v>40</v>
      </c>
      <c r="CW389" s="134">
        <f>CV389*H389</f>
        <v>0</v>
      </c>
      <c r="CX389" s="134">
        <v>0</v>
      </c>
      <c r="CY389" s="134">
        <f>CX389*H389</f>
        <v>0</v>
      </c>
      <c r="CZ389" s="134">
        <v>0</v>
      </c>
      <c r="DA389" s="135">
        <f>CZ389*H389</f>
        <v>0</v>
      </c>
      <c r="DY389" s="136" t="s">
        <v>95</v>
      </c>
      <c r="EA389" s="136" t="s">
        <v>284</v>
      </c>
      <c r="EB389" s="136" t="s">
        <v>83</v>
      </c>
      <c r="EF389" s="16" t="s">
        <v>282</v>
      </c>
      <c r="EL389" s="137">
        <f>IF(CU389="základní",J389,0)</f>
        <v>5148.13</v>
      </c>
      <c r="EM389" s="137">
        <f>IF(CU389="snížená",J389,0)</f>
        <v>0</v>
      </c>
      <c r="EN389" s="137">
        <f>IF(CU389="zákl. přenesená",J389,0)</f>
        <v>0</v>
      </c>
      <c r="EO389" s="137">
        <f>IF(CU389="sníž. přenesená",J389,0)</f>
        <v>0</v>
      </c>
      <c r="EP389" s="137">
        <f>IF(CU389="nulová",J389,0)</f>
        <v>0</v>
      </c>
      <c r="EQ389" s="16" t="s">
        <v>81</v>
      </c>
      <c r="ER389" s="137">
        <f>ROUND(I389*H389,2)</f>
        <v>5148.13</v>
      </c>
      <c r="ES389" s="16" t="s">
        <v>95</v>
      </c>
      <c r="ET389" s="136" t="s">
        <v>2834</v>
      </c>
    </row>
    <row r="390" spans="2:150" s="1" customFormat="1" ht="29.25" x14ac:dyDescent="0.2">
      <c r="B390" s="31"/>
      <c r="D390" s="138" t="s">
        <v>289</v>
      </c>
      <c r="F390" s="139" t="s">
        <v>708</v>
      </c>
      <c r="I390" s="140"/>
      <c r="L390" s="31"/>
      <c r="N390" s="213">
        <f>0.919*1650.446</f>
        <v>1516.7598740000001</v>
      </c>
      <c r="O390" s="214" t="s">
        <v>3969</v>
      </c>
      <c r="Q390" s="330"/>
      <c r="CT390" s="141"/>
      <c r="DA390" s="50"/>
      <c r="EA390" s="16" t="s">
        <v>289</v>
      </c>
      <c r="EB390" s="16" t="s">
        <v>83</v>
      </c>
    </row>
    <row r="391" spans="2:150" s="12" customFormat="1" x14ac:dyDescent="0.2">
      <c r="B391" s="149"/>
      <c r="D391" s="138" t="s">
        <v>301</v>
      </c>
      <c r="E391" s="150" t="s">
        <v>1</v>
      </c>
      <c r="F391" s="151" t="s">
        <v>2832</v>
      </c>
      <c r="H391" s="152">
        <v>74.403000000000006</v>
      </c>
      <c r="I391" s="153"/>
      <c r="L391" s="149"/>
      <c r="N391" s="310">
        <f>N390-H394</f>
        <v>-133.68612599999983</v>
      </c>
      <c r="O391" s="218"/>
      <c r="Q391" s="332"/>
      <c r="CT391" s="154"/>
      <c r="DA391" s="155"/>
      <c r="EA391" s="150" t="s">
        <v>301</v>
      </c>
      <c r="EB391" s="150" t="s">
        <v>83</v>
      </c>
      <c r="EC391" s="12" t="s">
        <v>83</v>
      </c>
      <c r="ED391" s="12" t="s">
        <v>32</v>
      </c>
      <c r="EE391" s="12" t="s">
        <v>74</v>
      </c>
      <c r="EF391" s="150" t="s">
        <v>282</v>
      </c>
    </row>
    <row r="392" spans="2:150" s="12" customFormat="1" x14ac:dyDescent="0.2">
      <c r="B392" s="149"/>
      <c r="D392" s="138" t="s">
        <v>301</v>
      </c>
      <c r="E392" s="150" t="s">
        <v>1</v>
      </c>
      <c r="F392" s="151" t="s">
        <v>2833</v>
      </c>
      <c r="H392" s="152">
        <v>43.485999999999997</v>
      </c>
      <c r="I392" s="153"/>
      <c r="L392" s="149"/>
      <c r="N392" s="217"/>
      <c r="O392" s="218"/>
      <c r="Q392" s="332"/>
      <c r="CT392" s="154"/>
      <c r="DA392" s="155"/>
      <c r="EA392" s="150" t="s">
        <v>301</v>
      </c>
      <c r="EB392" s="150" t="s">
        <v>83</v>
      </c>
      <c r="EC392" s="12" t="s">
        <v>83</v>
      </c>
      <c r="ED392" s="12" t="s">
        <v>32</v>
      </c>
      <c r="EE392" s="12" t="s">
        <v>74</v>
      </c>
      <c r="EF392" s="150" t="s">
        <v>282</v>
      </c>
    </row>
    <row r="393" spans="2:150" s="13" customFormat="1" x14ac:dyDescent="0.2">
      <c r="B393" s="156"/>
      <c r="D393" s="138" t="s">
        <v>301</v>
      </c>
      <c r="E393" s="157" t="s">
        <v>1</v>
      </c>
      <c r="F393" s="158" t="s">
        <v>305</v>
      </c>
      <c r="H393" s="159">
        <v>117.88900000000001</v>
      </c>
      <c r="I393" s="160"/>
      <c r="L393" s="156"/>
      <c r="N393" s="219"/>
      <c r="O393" s="220"/>
      <c r="Q393" s="334"/>
      <c r="CT393" s="161"/>
      <c r="DA393" s="162"/>
      <c r="EA393" s="157" t="s">
        <v>301</v>
      </c>
      <c r="EB393" s="157" t="s">
        <v>83</v>
      </c>
      <c r="EC393" s="13" t="s">
        <v>95</v>
      </c>
      <c r="ED393" s="13" t="s">
        <v>32</v>
      </c>
      <c r="EE393" s="13" t="s">
        <v>81</v>
      </c>
      <c r="EF393" s="157" t="s">
        <v>282</v>
      </c>
    </row>
    <row r="394" spans="2:150" s="12" customFormat="1" x14ac:dyDescent="0.2">
      <c r="B394" s="149"/>
      <c r="D394" s="138" t="s">
        <v>301</v>
      </c>
      <c r="F394" s="151" t="s">
        <v>2835</v>
      </c>
      <c r="H394" s="152">
        <v>1650.4459999999999</v>
      </c>
      <c r="I394" s="153"/>
      <c r="L394" s="149"/>
      <c r="N394" s="217"/>
      <c r="O394" s="218"/>
      <c r="Q394" s="332"/>
      <c r="CT394" s="154"/>
      <c r="DA394" s="155"/>
      <c r="EA394" s="150" t="s">
        <v>301</v>
      </c>
      <c r="EB394" s="150" t="s">
        <v>83</v>
      </c>
      <c r="EC394" s="12" t="s">
        <v>83</v>
      </c>
      <c r="ED394" s="12" t="s">
        <v>3</v>
      </c>
      <c r="EE394" s="12" t="s">
        <v>81</v>
      </c>
      <c r="EF394" s="150" t="s">
        <v>282</v>
      </c>
    </row>
    <row r="395" spans="2:150" s="1" customFormat="1" ht="24.2" customHeight="1" x14ac:dyDescent="0.2">
      <c r="B395" s="124"/>
      <c r="C395" s="125" t="s">
        <v>609</v>
      </c>
      <c r="D395" s="125" t="s">
        <v>284</v>
      </c>
      <c r="E395" s="126" t="s">
        <v>711</v>
      </c>
      <c r="F395" s="127" t="s">
        <v>712</v>
      </c>
      <c r="G395" s="128" t="s">
        <v>418</v>
      </c>
      <c r="H395" s="129">
        <v>117.889</v>
      </c>
      <c r="I395" s="130">
        <v>155.98322812074767</v>
      </c>
      <c r="J395" s="131">
        <f>ROUND(I395*H395,2)</f>
        <v>18388.71</v>
      </c>
      <c r="K395" s="127" t="s">
        <v>293</v>
      </c>
      <c r="L395" s="268">
        <f>S395</f>
        <v>0</v>
      </c>
      <c r="M395" s="272">
        <f>ROUND(L395*I395,2)</f>
        <v>0</v>
      </c>
      <c r="N395" s="243">
        <f>N384</f>
        <v>-9.5490090000000123</v>
      </c>
      <c r="O395" s="294">
        <f>ROUND(N395*I395,2)</f>
        <v>-1489.49</v>
      </c>
      <c r="P395" s="273">
        <f>H395-L395-N395</f>
        <v>127.43800900000001</v>
      </c>
      <c r="Q395" s="268">
        <f>ROUND(P395*I395,2)</f>
        <v>19878.189999999999</v>
      </c>
      <c r="R395" s="137"/>
      <c r="S395" s="269">
        <f>W395+Y395+AA395+AC395+AE395</f>
        <v>0</v>
      </c>
      <c r="T395" s="269">
        <f>ROUND(S395*I395,2)</f>
        <v>0</v>
      </c>
      <c r="U395" s="269">
        <f>H395-S395</f>
        <v>117.889</v>
      </c>
      <c r="V395" s="269">
        <f>ROUND(U395*I395,2)</f>
        <v>18388.71</v>
      </c>
      <c r="W395" s="269"/>
      <c r="X395" s="269"/>
      <c r="Y395" s="269"/>
      <c r="Z395" s="269"/>
      <c r="AA395" s="269"/>
      <c r="AB395" s="269"/>
      <c r="AC395" s="269"/>
      <c r="AD395" s="269"/>
      <c r="AE395" s="269"/>
      <c r="AF395" s="269"/>
      <c r="CT395" s="132" t="s">
        <v>1</v>
      </c>
      <c r="CU395" s="133" t="s">
        <v>40</v>
      </c>
      <c r="CW395" s="134">
        <f>CV395*H395</f>
        <v>0</v>
      </c>
      <c r="CX395" s="134">
        <v>0</v>
      </c>
      <c r="CY395" s="134">
        <f>CX395*H395</f>
        <v>0</v>
      </c>
      <c r="CZ395" s="134">
        <v>0</v>
      </c>
      <c r="DA395" s="135">
        <f>CZ395*H395</f>
        <v>0</v>
      </c>
      <c r="DY395" s="136" t="s">
        <v>95</v>
      </c>
      <c r="EA395" s="136" t="s">
        <v>284</v>
      </c>
      <c r="EB395" s="136" t="s">
        <v>83</v>
      </c>
      <c r="EF395" s="16" t="s">
        <v>282</v>
      </c>
      <c r="EL395" s="137">
        <f>IF(CU395="základní",J395,0)</f>
        <v>18388.71</v>
      </c>
      <c r="EM395" s="137">
        <f>IF(CU395="snížená",J395,0)</f>
        <v>0</v>
      </c>
      <c r="EN395" s="137">
        <f>IF(CU395="zákl. přenesená",J395,0)</f>
        <v>0</v>
      </c>
      <c r="EO395" s="137">
        <f>IF(CU395="sníž. přenesená",J395,0)</f>
        <v>0</v>
      </c>
      <c r="EP395" s="137">
        <f>IF(CU395="nulová",J395,0)</f>
        <v>0</v>
      </c>
      <c r="EQ395" s="16" t="s">
        <v>81</v>
      </c>
      <c r="ER395" s="137">
        <f>ROUND(I395*H395,2)</f>
        <v>18388.71</v>
      </c>
      <c r="ES395" s="16" t="s">
        <v>95</v>
      </c>
      <c r="ET395" s="136" t="s">
        <v>2836</v>
      </c>
    </row>
    <row r="396" spans="2:150" s="1" customFormat="1" x14ac:dyDescent="0.2">
      <c r="B396" s="31"/>
      <c r="D396" s="138" t="s">
        <v>289</v>
      </c>
      <c r="F396" s="139" t="s">
        <v>714</v>
      </c>
      <c r="I396" s="140"/>
      <c r="L396" s="31"/>
      <c r="N396" s="213"/>
      <c r="O396" s="214"/>
      <c r="Q396" s="330"/>
      <c r="CT396" s="141"/>
      <c r="DA396" s="50"/>
      <c r="EA396" s="16" t="s">
        <v>289</v>
      </c>
      <c r="EB396" s="16" t="s">
        <v>83</v>
      </c>
    </row>
    <row r="397" spans="2:150" s="1" customFormat="1" ht="37.9" customHeight="1" x14ac:dyDescent="0.2">
      <c r="B397" s="124"/>
      <c r="C397" s="125" t="s">
        <v>614</v>
      </c>
      <c r="D397" s="125" t="s">
        <v>284</v>
      </c>
      <c r="E397" s="126" t="s">
        <v>716</v>
      </c>
      <c r="F397" s="127" t="s">
        <v>420</v>
      </c>
      <c r="G397" s="128" t="s">
        <v>418</v>
      </c>
      <c r="H397" s="129">
        <v>74.403000000000006</v>
      </c>
      <c r="I397" s="130">
        <v>110.6455721</v>
      </c>
      <c r="J397" s="131">
        <f>ROUND(I397*H397,2)</f>
        <v>8232.36</v>
      </c>
      <c r="K397" s="127" t="s">
        <v>293</v>
      </c>
      <c r="L397" s="268">
        <f>S397</f>
        <v>0</v>
      </c>
      <c r="M397" s="272">
        <f>ROUND(L397*I397,2)</f>
        <v>0</v>
      </c>
      <c r="N397" s="243">
        <f>N399</f>
        <v>-6.0266429999999929</v>
      </c>
      <c r="O397" s="294">
        <f>ROUND(N397*I397,2)</f>
        <v>-666.82</v>
      </c>
      <c r="P397" s="273">
        <f>H397-L397-N397</f>
        <v>80.429642999999999</v>
      </c>
      <c r="Q397" s="268">
        <f>ROUND(P397*I397,2)</f>
        <v>8899.18</v>
      </c>
      <c r="R397" s="137"/>
      <c r="S397" s="269">
        <f>W397+Y397+AA397+AC397+AE397</f>
        <v>0</v>
      </c>
      <c r="T397" s="269">
        <f>ROUND(S397*I397,2)</f>
        <v>0</v>
      </c>
      <c r="U397" s="269">
        <f>H397-S397</f>
        <v>74.403000000000006</v>
      </c>
      <c r="V397" s="269">
        <f>ROUND(U397*I397,2)</f>
        <v>8232.36</v>
      </c>
      <c r="W397" s="269"/>
      <c r="X397" s="269"/>
      <c r="Y397" s="269"/>
      <c r="Z397" s="269"/>
      <c r="AA397" s="269"/>
      <c r="AB397" s="269"/>
      <c r="AC397" s="269"/>
      <c r="AD397" s="269"/>
      <c r="AE397" s="269"/>
      <c r="AF397" s="269"/>
      <c r="CT397" s="132" t="s">
        <v>1</v>
      </c>
      <c r="CU397" s="133" t="s">
        <v>40</v>
      </c>
      <c r="CW397" s="134">
        <f>CV397*H397</f>
        <v>0</v>
      </c>
      <c r="CX397" s="134">
        <v>0</v>
      </c>
      <c r="CY397" s="134">
        <f>CX397*H397</f>
        <v>0</v>
      </c>
      <c r="CZ397" s="134">
        <v>0</v>
      </c>
      <c r="DA397" s="135">
        <f>CZ397*H397</f>
        <v>0</v>
      </c>
      <c r="DY397" s="136" t="s">
        <v>95</v>
      </c>
      <c r="EA397" s="136" t="s">
        <v>284</v>
      </c>
      <c r="EB397" s="136" t="s">
        <v>83</v>
      </c>
      <c r="EF397" s="16" t="s">
        <v>282</v>
      </c>
      <c r="EL397" s="137">
        <f>IF(CU397="základní",J397,0)</f>
        <v>8232.36</v>
      </c>
      <c r="EM397" s="137">
        <f>IF(CU397="snížená",J397,0)</f>
        <v>0</v>
      </c>
      <c r="EN397" s="137">
        <f>IF(CU397="zákl. přenesená",J397,0)</f>
        <v>0</v>
      </c>
      <c r="EO397" s="137">
        <f>IF(CU397="sníž. přenesená",J397,0)</f>
        <v>0</v>
      </c>
      <c r="EP397" s="137">
        <f>IF(CU397="nulová",J397,0)</f>
        <v>0</v>
      </c>
      <c r="EQ397" s="16" t="s">
        <v>81</v>
      </c>
      <c r="ER397" s="137">
        <f>ROUND(I397*H397,2)</f>
        <v>8232.36</v>
      </c>
      <c r="ES397" s="16" t="s">
        <v>95</v>
      </c>
      <c r="ET397" s="136" t="s">
        <v>2837</v>
      </c>
    </row>
    <row r="398" spans="2:150" s="1" customFormat="1" ht="29.25" x14ac:dyDescent="0.2">
      <c r="B398" s="31"/>
      <c r="D398" s="138" t="s">
        <v>289</v>
      </c>
      <c r="F398" s="139" t="s">
        <v>420</v>
      </c>
      <c r="I398" s="140"/>
      <c r="L398" s="31"/>
      <c r="N398" s="213">
        <f>0.919*74.403</f>
        <v>68.376357000000013</v>
      </c>
      <c r="O398" s="214" t="s">
        <v>3970</v>
      </c>
      <c r="Q398" s="330"/>
      <c r="CT398" s="141"/>
      <c r="DA398" s="50"/>
      <c r="EA398" s="16" t="s">
        <v>289</v>
      </c>
      <c r="EB398" s="16" t="s">
        <v>83</v>
      </c>
    </row>
    <row r="399" spans="2:150" s="12" customFormat="1" x14ac:dyDescent="0.2">
      <c r="B399" s="149"/>
      <c r="D399" s="138" t="s">
        <v>301</v>
      </c>
      <c r="E399" s="150" t="s">
        <v>1</v>
      </c>
      <c r="F399" s="151" t="s">
        <v>2832</v>
      </c>
      <c r="H399" s="152">
        <v>74.403000000000006</v>
      </c>
      <c r="I399" s="153"/>
      <c r="L399" s="149"/>
      <c r="N399" s="310">
        <f>N398-H399</f>
        <v>-6.0266429999999929</v>
      </c>
      <c r="O399" s="218"/>
      <c r="Q399" s="332"/>
      <c r="CT399" s="154"/>
      <c r="DA399" s="155"/>
      <c r="EA399" s="150" t="s">
        <v>301</v>
      </c>
      <c r="EB399" s="150" t="s">
        <v>83</v>
      </c>
      <c r="EC399" s="12" t="s">
        <v>83</v>
      </c>
      <c r="ED399" s="12" t="s">
        <v>32</v>
      </c>
      <c r="EE399" s="12" t="s">
        <v>81</v>
      </c>
      <c r="EF399" s="150" t="s">
        <v>282</v>
      </c>
    </row>
    <row r="400" spans="2:150" s="1" customFormat="1" ht="37.9" customHeight="1" x14ac:dyDescent="0.2">
      <c r="B400" s="124"/>
      <c r="C400" s="125" t="s">
        <v>618</v>
      </c>
      <c r="D400" s="125" t="s">
        <v>284</v>
      </c>
      <c r="E400" s="126" t="s">
        <v>719</v>
      </c>
      <c r="F400" s="127" t="s">
        <v>720</v>
      </c>
      <c r="G400" s="128" t="s">
        <v>418</v>
      </c>
      <c r="H400" s="129">
        <v>43.485999999999997</v>
      </c>
      <c r="I400" s="130">
        <v>250.3439285</v>
      </c>
      <c r="J400" s="131">
        <f>ROUND(I400*H400,2)</f>
        <v>10886.46</v>
      </c>
      <c r="K400" s="127" t="s">
        <v>293</v>
      </c>
      <c r="L400" s="268">
        <f>S400</f>
        <v>0</v>
      </c>
      <c r="M400" s="272">
        <f>ROUND(L400*I400,2)</f>
        <v>0</v>
      </c>
      <c r="N400" s="243">
        <f>N402</f>
        <v>-3.5223659999999981</v>
      </c>
      <c r="O400" s="294">
        <f>ROUND(N400*I400,2)</f>
        <v>-881.8</v>
      </c>
      <c r="P400" s="273">
        <f>H400-L400-N400</f>
        <v>47.008365999999995</v>
      </c>
      <c r="Q400" s="268">
        <f>ROUND(P400*I400,2)</f>
        <v>11768.26</v>
      </c>
      <c r="R400" s="137"/>
      <c r="S400" s="269">
        <f>W400+Y400+AA400+AC400+AE400</f>
        <v>0</v>
      </c>
      <c r="T400" s="269">
        <f>ROUND(S400*I400,2)</f>
        <v>0</v>
      </c>
      <c r="U400" s="269">
        <f>H400-S400</f>
        <v>43.485999999999997</v>
      </c>
      <c r="V400" s="269">
        <f>ROUND(U400*I400,2)</f>
        <v>10886.46</v>
      </c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CT400" s="132" t="s">
        <v>1</v>
      </c>
      <c r="CU400" s="133" t="s">
        <v>40</v>
      </c>
      <c r="CW400" s="134">
        <f>CV400*H400</f>
        <v>0</v>
      </c>
      <c r="CX400" s="134">
        <v>0</v>
      </c>
      <c r="CY400" s="134">
        <f>CX400*H400</f>
        <v>0</v>
      </c>
      <c r="CZ400" s="134">
        <v>0</v>
      </c>
      <c r="DA400" s="135">
        <f>CZ400*H400</f>
        <v>0</v>
      </c>
      <c r="DY400" s="136" t="s">
        <v>95</v>
      </c>
      <c r="EA400" s="136" t="s">
        <v>284</v>
      </c>
      <c r="EB400" s="136" t="s">
        <v>83</v>
      </c>
      <c r="EF400" s="16" t="s">
        <v>282</v>
      </c>
      <c r="EL400" s="137">
        <f>IF(CU400="základní",J400,0)</f>
        <v>10886.46</v>
      </c>
      <c r="EM400" s="137">
        <f>IF(CU400="snížená",J400,0)</f>
        <v>0</v>
      </c>
      <c r="EN400" s="137">
        <f>IF(CU400="zákl. přenesená",J400,0)</f>
        <v>0</v>
      </c>
      <c r="EO400" s="137">
        <f>IF(CU400="sníž. přenesená",J400,0)</f>
        <v>0</v>
      </c>
      <c r="EP400" s="137">
        <f>IF(CU400="nulová",J400,0)</f>
        <v>0</v>
      </c>
      <c r="EQ400" s="16" t="s">
        <v>81</v>
      </c>
      <c r="ER400" s="137">
        <f>ROUND(I400*H400,2)</f>
        <v>10886.46</v>
      </c>
      <c r="ES400" s="16" t="s">
        <v>95</v>
      </c>
      <c r="ET400" s="136" t="s">
        <v>2838</v>
      </c>
    </row>
    <row r="401" spans="2:150" s="1" customFormat="1" ht="29.25" x14ac:dyDescent="0.2">
      <c r="B401" s="31"/>
      <c r="D401" s="138" t="s">
        <v>289</v>
      </c>
      <c r="F401" s="139" t="s">
        <v>720</v>
      </c>
      <c r="I401" s="140"/>
      <c r="L401" s="31"/>
      <c r="N401" s="213">
        <f>0.919*43.486</f>
        <v>39.963633999999999</v>
      </c>
      <c r="O401" s="214" t="s">
        <v>3971</v>
      </c>
      <c r="Q401" s="330"/>
      <c r="CT401" s="141"/>
      <c r="DA401" s="50"/>
      <c r="EA401" s="16" t="s">
        <v>289</v>
      </c>
      <c r="EB401" s="16" t="s">
        <v>83</v>
      </c>
    </row>
    <row r="402" spans="2:150" s="12" customFormat="1" x14ac:dyDescent="0.2">
      <c r="B402" s="149"/>
      <c r="D402" s="138" t="s">
        <v>301</v>
      </c>
      <c r="E402" s="150" t="s">
        <v>1</v>
      </c>
      <c r="F402" s="151" t="s">
        <v>2833</v>
      </c>
      <c r="H402" s="152">
        <v>43.485999999999997</v>
      </c>
      <c r="I402" s="153"/>
      <c r="L402" s="149"/>
      <c r="N402" s="310">
        <f>N401-H402</f>
        <v>-3.5223659999999981</v>
      </c>
      <c r="O402" s="218"/>
      <c r="Q402" s="332"/>
      <c r="CT402" s="154"/>
      <c r="DA402" s="155"/>
      <c r="EA402" s="150" t="s">
        <v>301</v>
      </c>
      <c r="EB402" s="150" t="s">
        <v>83</v>
      </c>
      <c r="EC402" s="12" t="s">
        <v>83</v>
      </c>
      <c r="ED402" s="12" t="s">
        <v>32</v>
      </c>
      <c r="EE402" s="12" t="s">
        <v>81</v>
      </c>
      <c r="EF402" s="150" t="s">
        <v>282</v>
      </c>
    </row>
    <row r="403" spans="2:150" s="10" customFormat="1" ht="22.9" customHeight="1" x14ac:dyDescent="0.2">
      <c r="B403" s="112"/>
      <c r="D403" s="113" t="s">
        <v>73</v>
      </c>
      <c r="E403" s="122" t="s">
        <v>722</v>
      </c>
      <c r="F403" s="122" t="s">
        <v>723</v>
      </c>
      <c r="I403" s="115"/>
      <c r="J403" s="123">
        <f>ER403</f>
        <v>3127.83</v>
      </c>
      <c r="L403" s="112"/>
      <c r="M403" s="270">
        <f>M404</f>
        <v>0</v>
      </c>
      <c r="N403" s="301"/>
      <c r="O403" s="302">
        <f t="shared" ref="O403:V403" si="9">O404</f>
        <v>-253.35</v>
      </c>
      <c r="P403" s="270"/>
      <c r="Q403" s="335">
        <f t="shared" si="9"/>
        <v>3381.18</v>
      </c>
      <c r="R403" s="270"/>
      <c r="S403" s="270"/>
      <c r="T403" s="270">
        <f t="shared" si="9"/>
        <v>0</v>
      </c>
      <c r="U403" s="270"/>
      <c r="V403" s="270">
        <f t="shared" si="9"/>
        <v>3127.83</v>
      </c>
      <c r="CT403" s="117"/>
      <c r="CW403" s="118">
        <f>SUM(CW404:CW407)</f>
        <v>0</v>
      </c>
      <c r="CY403" s="118">
        <f>SUM(CY404:CY407)</f>
        <v>0</v>
      </c>
      <c r="DA403" s="119">
        <f>SUM(DA404:DA407)</f>
        <v>0</v>
      </c>
      <c r="DY403" s="113" t="s">
        <v>81</v>
      </c>
      <c r="EA403" s="120" t="s">
        <v>73</v>
      </c>
      <c r="EB403" s="120" t="s">
        <v>81</v>
      </c>
      <c r="EF403" s="113" t="s">
        <v>282</v>
      </c>
      <c r="ER403" s="121">
        <f>SUM(ER404:ER407)</f>
        <v>3127.83</v>
      </c>
    </row>
    <row r="404" spans="2:150" s="1" customFormat="1" ht="24.2" customHeight="1" x14ac:dyDescent="0.2">
      <c r="B404" s="124"/>
      <c r="C404" s="125" t="s">
        <v>622</v>
      </c>
      <c r="D404" s="125" t="s">
        <v>284</v>
      </c>
      <c r="E404" s="126" t="s">
        <v>725</v>
      </c>
      <c r="F404" s="127" t="s">
        <v>726</v>
      </c>
      <c r="G404" s="128" t="s">
        <v>418</v>
      </c>
      <c r="H404" s="129">
        <v>3.4569999999999999</v>
      </c>
      <c r="I404" s="130">
        <v>904.78117744148574</v>
      </c>
      <c r="J404" s="131">
        <f>ROUND(I404*H404,2)</f>
        <v>3127.83</v>
      </c>
      <c r="K404" s="127" t="s">
        <v>293</v>
      </c>
      <c r="L404" s="268">
        <f>S404</f>
        <v>0</v>
      </c>
      <c r="M404" s="272">
        <f>ROUND(L404*I404,2)</f>
        <v>0</v>
      </c>
      <c r="N404" s="243">
        <f>N406</f>
        <v>-0.28001699999999996</v>
      </c>
      <c r="O404" s="294">
        <f>ROUND(N404*I404,2)</f>
        <v>-253.35</v>
      </c>
      <c r="P404" s="273">
        <f>H404-L404-N404</f>
        <v>3.7370169999999998</v>
      </c>
      <c r="Q404" s="268">
        <f>ROUND(P404*I404,2)</f>
        <v>3381.18</v>
      </c>
      <c r="R404" s="137"/>
      <c r="S404" s="269">
        <f>W404+Y404+AA404+AC404+AE404</f>
        <v>0</v>
      </c>
      <c r="T404" s="269">
        <f>ROUND(S404*I404,2)</f>
        <v>0</v>
      </c>
      <c r="U404" s="269">
        <f>H404-S404</f>
        <v>3.4569999999999999</v>
      </c>
      <c r="V404" s="269">
        <f>ROUND(U404*I404,2)</f>
        <v>3127.83</v>
      </c>
      <c r="W404" s="269"/>
      <c r="X404" s="269"/>
      <c r="Y404" s="269"/>
      <c r="Z404" s="269"/>
      <c r="AA404" s="269"/>
      <c r="AB404" s="269"/>
      <c r="AC404" s="269"/>
      <c r="AD404" s="269"/>
      <c r="AE404" s="269"/>
      <c r="AF404" s="269"/>
      <c r="CT404" s="132" t="s">
        <v>1</v>
      </c>
      <c r="CU404" s="133" t="s">
        <v>40</v>
      </c>
      <c r="CW404" s="134">
        <f>CV404*H404</f>
        <v>0</v>
      </c>
      <c r="CX404" s="134">
        <v>0</v>
      </c>
      <c r="CY404" s="134">
        <f>CX404*H404</f>
        <v>0</v>
      </c>
      <c r="CZ404" s="134">
        <v>0</v>
      </c>
      <c r="DA404" s="135">
        <f>CZ404*H404</f>
        <v>0</v>
      </c>
      <c r="DY404" s="136" t="s">
        <v>95</v>
      </c>
      <c r="EA404" s="136" t="s">
        <v>284</v>
      </c>
      <c r="EB404" s="136" t="s">
        <v>83</v>
      </c>
      <c r="EF404" s="16" t="s">
        <v>282</v>
      </c>
      <c r="EL404" s="137">
        <f>IF(CU404="základní",J404,0)</f>
        <v>3127.83</v>
      </c>
      <c r="EM404" s="137">
        <f>IF(CU404="snížená",J404,0)</f>
        <v>0</v>
      </c>
      <c r="EN404" s="137">
        <f>IF(CU404="zákl. přenesená",J404,0)</f>
        <v>0</v>
      </c>
      <c r="EO404" s="137">
        <f>IF(CU404="sníž. přenesená",J404,0)</f>
        <v>0</v>
      </c>
      <c r="EP404" s="137">
        <f>IF(CU404="nulová",J404,0)</f>
        <v>0</v>
      </c>
      <c r="EQ404" s="16" t="s">
        <v>81</v>
      </c>
      <c r="ER404" s="137">
        <f>ROUND(I404*H404,2)</f>
        <v>3127.83</v>
      </c>
      <c r="ES404" s="16" t="s">
        <v>95</v>
      </c>
      <c r="ET404" s="136" t="s">
        <v>2839</v>
      </c>
    </row>
    <row r="405" spans="2:150" s="1" customFormat="1" ht="29.25" x14ac:dyDescent="0.2">
      <c r="B405" s="31"/>
      <c r="D405" s="138" t="s">
        <v>289</v>
      </c>
      <c r="F405" s="139" t="s">
        <v>728</v>
      </c>
      <c r="I405" s="140"/>
      <c r="L405" s="31"/>
      <c r="N405" s="213">
        <f>0.919*3.457</f>
        <v>3.1769829999999999</v>
      </c>
      <c r="O405" s="214" t="s">
        <v>3972</v>
      </c>
      <c r="Q405" s="330"/>
      <c r="CT405" s="141"/>
      <c r="DA405" s="50"/>
      <c r="EA405" s="16" t="s">
        <v>289</v>
      </c>
      <c r="EB405" s="16" t="s">
        <v>83</v>
      </c>
    </row>
    <row r="406" spans="2:150" s="11" customFormat="1" x14ac:dyDescent="0.2">
      <c r="B406" s="143"/>
      <c r="D406" s="138" t="s">
        <v>301</v>
      </c>
      <c r="E406" s="144" t="s">
        <v>1</v>
      </c>
      <c r="F406" s="145" t="s">
        <v>729</v>
      </c>
      <c r="H406" s="144" t="s">
        <v>1</v>
      </c>
      <c r="I406" s="146"/>
      <c r="L406" s="143"/>
      <c r="N406" s="319">
        <f>N405-H407</f>
        <v>-0.28001699999999996</v>
      </c>
      <c r="O406" s="216"/>
      <c r="Q406" s="331"/>
      <c r="CT406" s="147"/>
      <c r="DA406" s="148"/>
      <c r="EA406" s="144" t="s">
        <v>301</v>
      </c>
      <c r="EB406" s="144" t="s">
        <v>83</v>
      </c>
      <c r="EC406" s="11" t="s">
        <v>81</v>
      </c>
      <c r="ED406" s="11" t="s">
        <v>32</v>
      </c>
      <c r="EE406" s="11" t="s">
        <v>74</v>
      </c>
      <c r="EF406" s="144" t="s">
        <v>282</v>
      </c>
    </row>
    <row r="407" spans="2:150" s="12" customFormat="1" x14ac:dyDescent="0.2">
      <c r="B407" s="149"/>
      <c r="D407" s="138" t="s">
        <v>301</v>
      </c>
      <c r="E407" s="150" t="s">
        <v>1</v>
      </c>
      <c r="F407" s="151" t="s">
        <v>2840</v>
      </c>
      <c r="H407" s="152">
        <v>3.4569999999999999</v>
      </c>
      <c r="I407" s="153"/>
      <c r="L407" s="149"/>
      <c r="N407" s="217"/>
      <c r="O407" s="218"/>
      <c r="Q407" s="332"/>
      <c r="CT407" s="179"/>
      <c r="CU407" s="180"/>
      <c r="CV407" s="180"/>
      <c r="CW407" s="180"/>
      <c r="CX407" s="180"/>
      <c r="CY407" s="180"/>
      <c r="CZ407" s="180"/>
      <c r="DA407" s="181"/>
      <c r="EA407" s="150" t="s">
        <v>301</v>
      </c>
      <c r="EB407" s="150" t="s">
        <v>83</v>
      </c>
      <c r="EC407" s="12" t="s">
        <v>83</v>
      </c>
      <c r="ED407" s="12" t="s">
        <v>32</v>
      </c>
      <c r="EE407" s="12" t="s">
        <v>81</v>
      </c>
      <c r="EF407" s="150" t="s">
        <v>282</v>
      </c>
    </row>
    <row r="408" spans="2:150" s="1" customFormat="1" ht="6.95" customHeight="1" thickBot="1" x14ac:dyDescent="0.25">
      <c r="B408" s="43"/>
      <c r="C408" s="44"/>
      <c r="D408" s="44"/>
      <c r="E408" s="44"/>
      <c r="F408" s="44"/>
      <c r="G408" s="44"/>
      <c r="H408" s="44"/>
      <c r="I408" s="44"/>
      <c r="J408" s="44"/>
      <c r="K408" s="44"/>
      <c r="L408" s="235"/>
      <c r="M408" s="237"/>
      <c r="N408" s="239"/>
      <c r="O408" s="240"/>
      <c r="P408" s="238"/>
      <c r="Q408" s="235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</row>
  </sheetData>
  <autoFilter ref="C121:K407"/>
  <mergeCells count="24">
    <mergeCell ref="AE122:AF122"/>
    <mergeCell ref="W122:X122"/>
    <mergeCell ref="Y122:Z122"/>
    <mergeCell ref="AA122:AB122"/>
    <mergeCell ref="AC122:AD122"/>
    <mergeCell ref="U122:V122"/>
    <mergeCell ref="L121:Q121"/>
    <mergeCell ref="L122:M122"/>
    <mergeCell ref="N122:O122"/>
    <mergeCell ref="P122:Q122"/>
    <mergeCell ref="S122:T122"/>
    <mergeCell ref="G120:K120"/>
    <mergeCell ref="E117:H117"/>
    <mergeCell ref="L2:DC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1"/>
  <sheetViews>
    <sheetView windowProtection="1" showGridLines="0" topLeftCell="A111" workbookViewId="0">
      <selection activeCell="I130" sqref="I1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206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2692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16.5" customHeight="1" x14ac:dyDescent="0.2">
      <c r="B13" s="31"/>
      <c r="E13" s="432" t="s">
        <v>2841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ROUND(J128, 2)</f>
        <v>45619.839999999997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ROUND((SUM(BE128:BE160)),  2)</f>
        <v>45619.839999999997</v>
      </c>
      <c r="I37" s="84">
        <v>0.21</v>
      </c>
      <c r="J37" s="71">
        <f>ROUND(((SUM(BE128:BE160))*I37),  2)</f>
        <v>9580.17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ROUND((SUM(BF128:BF160)),  2)</f>
        <v>0</v>
      </c>
      <c r="I38" s="84">
        <v>0.15</v>
      </c>
      <c r="J38" s="71">
        <f>ROUND(((SUM(BF128:BF160))*I38),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ROUND((SUM(BG128:BG160)),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ROUND((SUM(BH128:BH160)),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ROUND((SUM(BI128:BI160)),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55200.009999999995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2692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16.5" customHeight="1" x14ac:dyDescent="0.2">
      <c r="B91" s="31"/>
      <c r="E91" s="432" t="str">
        <f>E13</f>
        <v>0002 - DSO 12.3 Čerpací stanice DČS - přípojka NN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J128</f>
        <v>45619.840000000004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J129</f>
        <v>45619.840000000004</v>
      </c>
      <c r="L101" s="96"/>
    </row>
    <row r="102" spans="2:47" s="8" customFormat="1" ht="19.899999999999999" customHeight="1" x14ac:dyDescent="0.2">
      <c r="B102" s="100"/>
      <c r="D102" s="101" t="s">
        <v>1976</v>
      </c>
      <c r="E102" s="102"/>
      <c r="F102" s="102"/>
      <c r="G102" s="102"/>
      <c r="H102" s="102"/>
      <c r="I102" s="102"/>
      <c r="J102" s="103">
        <f>J130</f>
        <v>10243.230000000001</v>
      </c>
      <c r="L102" s="100"/>
    </row>
    <row r="103" spans="2:47" s="8" customFormat="1" ht="19.899999999999999" customHeight="1" x14ac:dyDescent="0.2">
      <c r="B103" s="100"/>
      <c r="D103" s="101" t="s">
        <v>1977</v>
      </c>
      <c r="E103" s="102"/>
      <c r="F103" s="102"/>
      <c r="G103" s="102"/>
      <c r="H103" s="102"/>
      <c r="I103" s="102"/>
      <c r="J103" s="103">
        <f>J143</f>
        <v>23365.920000000002</v>
      </c>
      <c r="L103" s="100"/>
    </row>
    <row r="104" spans="2:47" s="8" customFormat="1" ht="19.899999999999999" customHeight="1" x14ac:dyDescent="0.2">
      <c r="B104" s="100"/>
      <c r="D104" s="101" t="s">
        <v>1978</v>
      </c>
      <c r="E104" s="102"/>
      <c r="F104" s="102"/>
      <c r="G104" s="102"/>
      <c r="H104" s="102"/>
      <c r="I104" s="102"/>
      <c r="J104" s="103">
        <f>J152</f>
        <v>12010.690000000002</v>
      </c>
      <c r="L104" s="100"/>
    </row>
    <row r="105" spans="2:47" s="1" customFormat="1" ht="21.75" customHeight="1" x14ac:dyDescent="0.2">
      <c r="B105" s="31"/>
      <c r="L105" s="31"/>
    </row>
    <row r="106" spans="2:47" s="1" customFormat="1" ht="6.95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 x14ac:dyDescent="0.2">
      <c r="B111" s="31"/>
      <c r="C111" s="20" t="s">
        <v>267</v>
      </c>
      <c r="L111" s="31"/>
    </row>
    <row r="112" spans="2:47" s="1" customFormat="1" ht="6.95" customHeight="1" x14ac:dyDescent="0.2">
      <c r="B112" s="31"/>
      <c r="L112" s="31"/>
    </row>
    <row r="113" spans="2:63" s="1" customFormat="1" ht="12" customHeight="1" x14ac:dyDescent="0.2">
      <c r="B113" s="31"/>
      <c r="C113" s="26" t="s">
        <v>16</v>
      </c>
      <c r="L113" s="31"/>
    </row>
    <row r="114" spans="2:63" s="1" customFormat="1" ht="16.5" customHeight="1" x14ac:dyDescent="0.2">
      <c r="B114" s="31"/>
      <c r="E114" s="434" t="str">
        <f>E7</f>
        <v>Kanalizace Podlesí - I.Etapa</v>
      </c>
      <c r="F114" s="435"/>
      <c r="G114" s="435"/>
      <c r="H114" s="435"/>
      <c r="L114" s="31"/>
    </row>
    <row r="115" spans="2:63" ht="12" customHeight="1" x14ac:dyDescent="0.2">
      <c r="B115" s="19"/>
      <c r="C115" s="26" t="s">
        <v>244</v>
      </c>
      <c r="L115" s="19"/>
    </row>
    <row r="116" spans="2:63" ht="16.5" customHeight="1" x14ac:dyDescent="0.2">
      <c r="B116" s="19"/>
      <c r="E116" s="434" t="s">
        <v>245</v>
      </c>
      <c r="F116" s="399"/>
      <c r="G116" s="399"/>
      <c r="H116" s="399"/>
      <c r="L116" s="19"/>
    </row>
    <row r="117" spans="2:63" ht="12" customHeight="1" x14ac:dyDescent="0.2">
      <c r="B117" s="19"/>
      <c r="C117" s="26" t="s">
        <v>246</v>
      </c>
      <c r="L117" s="19"/>
    </row>
    <row r="118" spans="2:63" s="1" customFormat="1" ht="16.5" customHeight="1" x14ac:dyDescent="0.2">
      <c r="B118" s="31"/>
      <c r="E118" s="401" t="s">
        <v>2692</v>
      </c>
      <c r="F118" s="433"/>
      <c r="G118" s="433"/>
      <c r="H118" s="433"/>
      <c r="L118" s="31"/>
    </row>
    <row r="119" spans="2:63" s="1" customFormat="1" ht="12" customHeight="1" x14ac:dyDescent="0.2">
      <c r="B119" s="31"/>
      <c r="C119" s="26" t="s">
        <v>1790</v>
      </c>
      <c r="L119" s="31"/>
    </row>
    <row r="120" spans="2:63" s="1" customFormat="1" ht="16.5" customHeight="1" x14ac:dyDescent="0.2">
      <c r="B120" s="31"/>
      <c r="E120" s="432" t="str">
        <f>E13</f>
        <v>0002 - DSO 12.3 Čerpací stanice DČS - přípojka NN</v>
      </c>
      <c r="F120" s="433"/>
      <c r="G120" s="433"/>
      <c r="H120" s="433"/>
      <c r="L120" s="31"/>
    </row>
    <row r="121" spans="2:63" s="1" customFormat="1" ht="6.95" customHeight="1" x14ac:dyDescent="0.2">
      <c r="B121" s="31"/>
      <c r="L121" s="31"/>
    </row>
    <row r="122" spans="2:63" s="1" customFormat="1" ht="12" customHeight="1" x14ac:dyDescent="0.2">
      <c r="B122" s="31"/>
      <c r="C122" s="26" t="s">
        <v>20</v>
      </c>
      <c r="F122" s="24" t="str">
        <f>F16</f>
        <v xml:space="preserve"> </v>
      </c>
      <c r="I122" s="26" t="s">
        <v>22</v>
      </c>
      <c r="J122" s="48" t="str">
        <f>IF(J16="","",J16)</f>
        <v>18. 11. 2020</v>
      </c>
      <c r="L122" s="31"/>
    </row>
    <row r="123" spans="2:63" s="1" customFormat="1" ht="6.95" customHeight="1" x14ac:dyDescent="0.2">
      <c r="B123" s="31"/>
      <c r="L123" s="31"/>
    </row>
    <row r="124" spans="2:63" s="1" customFormat="1" ht="40.15" customHeight="1" x14ac:dyDescent="0.2">
      <c r="B124" s="31"/>
      <c r="C124" s="26" t="s">
        <v>24</v>
      </c>
      <c r="F124" s="24" t="str">
        <f>E19</f>
        <v>Město Petřvald</v>
      </c>
      <c r="I124" s="26" t="s">
        <v>30</v>
      </c>
      <c r="J124" s="29" t="str">
        <f>E25</f>
        <v>Sweco Hydroprojekt a.s., divize Morava</v>
      </c>
      <c r="L124" s="31"/>
    </row>
    <row r="125" spans="2:63" s="1" customFormat="1" ht="15.2" customHeight="1" x14ac:dyDescent="0.2">
      <c r="B125" s="31"/>
      <c r="C125" s="26" t="s">
        <v>28</v>
      </c>
      <c r="F125" s="24" t="str">
        <f>IF(E22="","",E22)</f>
        <v>Společnost Podlesí se sídlem Žitenická 871/1, 190 00 Praha 9</v>
      </c>
      <c r="I125" s="26" t="s">
        <v>33</v>
      </c>
      <c r="J125" s="29" t="str">
        <f>E28</f>
        <v xml:space="preserve"> </v>
      </c>
      <c r="L125" s="31"/>
    </row>
    <row r="126" spans="2:63" s="1" customFormat="1" ht="10.35" customHeight="1" x14ac:dyDescent="0.2">
      <c r="B126" s="31"/>
      <c r="L126" s="31"/>
    </row>
    <row r="127" spans="2:63" s="9" customFormat="1" ht="29.25" customHeight="1" x14ac:dyDescent="0.2">
      <c r="B127" s="104"/>
      <c r="C127" s="105" t="s">
        <v>268</v>
      </c>
      <c r="D127" s="106" t="s">
        <v>59</v>
      </c>
      <c r="E127" s="106" t="s">
        <v>55</v>
      </c>
      <c r="F127" s="106" t="s">
        <v>56</v>
      </c>
      <c r="G127" s="106" t="s">
        <v>269</v>
      </c>
      <c r="H127" s="106" t="s">
        <v>270</v>
      </c>
      <c r="I127" s="106" t="s">
        <v>271</v>
      </c>
      <c r="J127" s="106" t="s">
        <v>255</v>
      </c>
      <c r="K127" s="107" t="s">
        <v>272</v>
      </c>
      <c r="L127" s="104"/>
      <c r="M127" s="52" t="s">
        <v>1</v>
      </c>
      <c r="N127" s="53" t="s">
        <v>39</v>
      </c>
      <c r="O127" s="53" t="s">
        <v>273</v>
      </c>
      <c r="P127" s="53" t="s">
        <v>274</v>
      </c>
      <c r="Q127" s="53" t="s">
        <v>275</v>
      </c>
      <c r="R127" s="53" t="s">
        <v>276</v>
      </c>
      <c r="S127" s="53" t="s">
        <v>277</v>
      </c>
      <c r="T127" s="54" t="s">
        <v>278</v>
      </c>
    </row>
    <row r="128" spans="2:63" s="1" customFormat="1" ht="22.9" customHeight="1" x14ac:dyDescent="0.25">
      <c r="B128" s="31"/>
      <c r="C128" s="57" t="s">
        <v>279</v>
      </c>
      <c r="J128" s="108">
        <f>BK128</f>
        <v>45619.840000000004</v>
      </c>
      <c r="L128" s="31"/>
      <c r="M128" s="55"/>
      <c r="N128" s="49"/>
      <c r="O128" s="49"/>
      <c r="P128" s="109">
        <f>P129</f>
        <v>0</v>
      </c>
      <c r="Q128" s="49"/>
      <c r="R128" s="109">
        <f>R129</f>
        <v>0</v>
      </c>
      <c r="S128" s="49"/>
      <c r="T128" s="110">
        <f>T129</f>
        <v>0</v>
      </c>
      <c r="AT128" s="16" t="s">
        <v>73</v>
      </c>
      <c r="AU128" s="16" t="s">
        <v>257</v>
      </c>
      <c r="BK128" s="111">
        <f>BK129</f>
        <v>45619.840000000004</v>
      </c>
    </row>
    <row r="129" spans="2:65" s="10" customFormat="1" ht="25.9" customHeight="1" x14ac:dyDescent="0.2">
      <c r="B129" s="112"/>
      <c r="D129" s="113" t="s">
        <v>73</v>
      </c>
      <c r="E129" s="114" t="s">
        <v>439</v>
      </c>
      <c r="F129" s="114" t="s">
        <v>1979</v>
      </c>
      <c r="I129" s="115"/>
      <c r="J129" s="116">
        <f>BK129</f>
        <v>45619.840000000004</v>
      </c>
      <c r="L129" s="112"/>
      <c r="M129" s="117"/>
      <c r="P129" s="118">
        <f>P130+P143+P152</f>
        <v>0</v>
      </c>
      <c r="R129" s="118">
        <f>R130+R143+R152</f>
        <v>0</v>
      </c>
      <c r="T129" s="119">
        <f>T130+T143+T152</f>
        <v>0</v>
      </c>
      <c r="AR129" s="113" t="s">
        <v>90</v>
      </c>
      <c r="AT129" s="120" t="s">
        <v>73</v>
      </c>
      <c r="AU129" s="120" t="s">
        <v>74</v>
      </c>
      <c r="AY129" s="113" t="s">
        <v>282</v>
      </c>
      <c r="BK129" s="121">
        <f>BK130+BK143+BK152</f>
        <v>45619.840000000004</v>
      </c>
    </row>
    <row r="130" spans="2:65" s="10" customFormat="1" ht="22.9" customHeight="1" x14ac:dyDescent="0.2">
      <c r="B130" s="112"/>
      <c r="D130" s="113" t="s">
        <v>73</v>
      </c>
      <c r="E130" s="122" t="s">
        <v>1985</v>
      </c>
      <c r="F130" s="122" t="s">
        <v>1986</v>
      </c>
      <c r="I130" s="115"/>
      <c r="J130" s="123">
        <f>BK130</f>
        <v>10243.230000000001</v>
      </c>
      <c r="L130" s="112"/>
      <c r="M130" s="117"/>
      <c r="P130" s="118">
        <f>SUM(P131:P142)</f>
        <v>0</v>
      </c>
      <c r="R130" s="118">
        <f>SUM(R131:R142)</f>
        <v>0</v>
      </c>
      <c r="T130" s="119">
        <f>SUM(T131:T142)</f>
        <v>0</v>
      </c>
      <c r="AR130" s="113" t="s">
        <v>81</v>
      </c>
      <c r="AT130" s="120" t="s">
        <v>73</v>
      </c>
      <c r="AU130" s="120" t="s">
        <v>81</v>
      </c>
      <c r="AY130" s="113" t="s">
        <v>282</v>
      </c>
      <c r="BK130" s="121">
        <f>SUM(BK131:BK142)</f>
        <v>10243.230000000001</v>
      </c>
    </row>
    <row r="131" spans="2:65" s="1" customFormat="1" ht="14.45" customHeight="1" x14ac:dyDescent="0.2">
      <c r="B131" s="124"/>
      <c r="C131" s="125" t="s">
        <v>81</v>
      </c>
      <c r="D131" s="125" t="s">
        <v>284</v>
      </c>
      <c r="E131" s="126" t="s">
        <v>1987</v>
      </c>
      <c r="F131" s="127" t="s">
        <v>2842</v>
      </c>
      <c r="G131" s="128" t="s">
        <v>344</v>
      </c>
      <c r="H131" s="129">
        <v>25</v>
      </c>
      <c r="I131" s="130">
        <v>98.169435148000005</v>
      </c>
      <c r="J131" s="131">
        <f>ROUND(I131*H131,2)</f>
        <v>2454.2399999999998</v>
      </c>
      <c r="K131" s="127" t="s">
        <v>1</v>
      </c>
      <c r="L131" s="31"/>
      <c r="M131" s="132" t="s">
        <v>1</v>
      </c>
      <c r="N131" s="133" t="s">
        <v>40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95</v>
      </c>
      <c r="AT131" s="136" t="s">
        <v>284</v>
      </c>
      <c r="AU131" s="136" t="s">
        <v>83</v>
      </c>
      <c r="AY131" s="16" t="s">
        <v>282</v>
      </c>
      <c r="BE131" s="137">
        <f>IF(N131="základní",J131,0)</f>
        <v>2454.2399999999998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6" t="s">
        <v>81</v>
      </c>
      <c r="BK131" s="137">
        <f>ROUND(I131*H131,2)</f>
        <v>2454.2399999999998</v>
      </c>
      <c r="BL131" s="16" t="s">
        <v>95</v>
      </c>
      <c r="BM131" s="136" t="s">
        <v>318</v>
      </c>
    </row>
    <row r="132" spans="2:65" s="1" customFormat="1" x14ac:dyDescent="0.2">
      <c r="B132" s="31"/>
      <c r="D132" s="138" t="s">
        <v>289</v>
      </c>
      <c r="F132" s="139" t="s">
        <v>2843</v>
      </c>
      <c r="I132" s="140"/>
      <c r="L132" s="31"/>
      <c r="M132" s="141"/>
      <c r="T132" s="50"/>
      <c r="AT132" s="16" t="s">
        <v>289</v>
      </c>
      <c r="AU132" s="16" t="s">
        <v>83</v>
      </c>
    </row>
    <row r="133" spans="2:65" s="1" customFormat="1" ht="24.2" customHeight="1" x14ac:dyDescent="0.2">
      <c r="B133" s="124"/>
      <c r="C133" s="125" t="s">
        <v>83</v>
      </c>
      <c r="D133" s="125" t="s">
        <v>284</v>
      </c>
      <c r="E133" s="126" t="s">
        <v>1993</v>
      </c>
      <c r="F133" s="127" t="s">
        <v>1994</v>
      </c>
      <c r="G133" s="128" t="s">
        <v>315</v>
      </c>
      <c r="H133" s="129">
        <v>2</v>
      </c>
      <c r="I133" s="130">
        <v>124.388365724</v>
      </c>
      <c r="J133" s="131">
        <f>ROUND(I133*H133,2)</f>
        <v>248.78</v>
      </c>
      <c r="K133" s="127" t="s">
        <v>1</v>
      </c>
      <c r="L133" s="31"/>
      <c r="M133" s="132" t="s">
        <v>1</v>
      </c>
      <c r="N133" s="133" t="s">
        <v>40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95</v>
      </c>
      <c r="AT133" s="136" t="s">
        <v>284</v>
      </c>
      <c r="AU133" s="136" t="s">
        <v>83</v>
      </c>
      <c r="AY133" s="16" t="s">
        <v>282</v>
      </c>
      <c r="BE133" s="137">
        <f>IF(N133="základní",J133,0)</f>
        <v>248.78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6" t="s">
        <v>81</v>
      </c>
      <c r="BK133" s="137">
        <f>ROUND(I133*H133,2)</f>
        <v>248.78</v>
      </c>
      <c r="BL133" s="16" t="s">
        <v>95</v>
      </c>
      <c r="BM133" s="136" t="s">
        <v>341</v>
      </c>
    </row>
    <row r="134" spans="2:65" s="1" customFormat="1" x14ac:dyDescent="0.2">
      <c r="B134" s="31"/>
      <c r="D134" s="138" t="s">
        <v>289</v>
      </c>
      <c r="F134" s="139" t="s">
        <v>1995</v>
      </c>
      <c r="I134" s="140"/>
      <c r="L134" s="31"/>
      <c r="M134" s="141"/>
      <c r="T134" s="50"/>
      <c r="AT134" s="16" t="s">
        <v>289</v>
      </c>
      <c r="AU134" s="16" t="s">
        <v>83</v>
      </c>
    </row>
    <row r="135" spans="2:65" s="1" customFormat="1" ht="24.2" customHeight="1" x14ac:dyDescent="0.2">
      <c r="B135" s="124"/>
      <c r="C135" s="125" t="s">
        <v>90</v>
      </c>
      <c r="D135" s="125" t="s">
        <v>284</v>
      </c>
      <c r="E135" s="126" t="s">
        <v>1996</v>
      </c>
      <c r="F135" s="127" t="s">
        <v>1997</v>
      </c>
      <c r="G135" s="128" t="s">
        <v>344</v>
      </c>
      <c r="H135" s="129">
        <v>25</v>
      </c>
      <c r="I135" s="130">
        <v>227.596988396</v>
      </c>
      <c r="J135" s="131">
        <f>ROUND(I135*H135,2)</f>
        <v>5689.92</v>
      </c>
      <c r="K135" s="127" t="s">
        <v>1</v>
      </c>
      <c r="L135" s="31"/>
      <c r="M135" s="132" t="s">
        <v>1</v>
      </c>
      <c r="N135" s="133" t="s">
        <v>40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95</v>
      </c>
      <c r="AT135" s="136" t="s">
        <v>284</v>
      </c>
      <c r="AU135" s="136" t="s">
        <v>83</v>
      </c>
      <c r="AY135" s="16" t="s">
        <v>282</v>
      </c>
      <c r="BE135" s="137">
        <f>IF(N135="základní",J135,0)</f>
        <v>5689.92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6" t="s">
        <v>81</v>
      </c>
      <c r="BK135" s="137">
        <f>ROUND(I135*H135,2)</f>
        <v>5689.92</v>
      </c>
      <c r="BL135" s="16" t="s">
        <v>95</v>
      </c>
      <c r="BM135" s="136" t="s">
        <v>327</v>
      </c>
    </row>
    <row r="136" spans="2:65" s="1" customFormat="1" ht="19.5" x14ac:dyDescent="0.2">
      <c r="B136" s="31"/>
      <c r="D136" s="138" t="s">
        <v>289</v>
      </c>
      <c r="F136" s="139" t="s">
        <v>1998</v>
      </c>
      <c r="I136" s="140"/>
      <c r="L136" s="31"/>
      <c r="M136" s="141"/>
      <c r="T136" s="50"/>
      <c r="AT136" s="16" t="s">
        <v>289</v>
      </c>
      <c r="AU136" s="16" t="s">
        <v>83</v>
      </c>
    </row>
    <row r="137" spans="2:65" s="1" customFormat="1" ht="14.45" customHeight="1" x14ac:dyDescent="0.2">
      <c r="B137" s="124"/>
      <c r="C137" s="125" t="s">
        <v>95</v>
      </c>
      <c r="D137" s="125" t="s">
        <v>284</v>
      </c>
      <c r="E137" s="126" t="s">
        <v>2002</v>
      </c>
      <c r="F137" s="127" t="s">
        <v>2003</v>
      </c>
      <c r="G137" s="128" t="s">
        <v>344</v>
      </c>
      <c r="H137" s="129">
        <v>25</v>
      </c>
      <c r="I137" s="130">
        <v>23.869835639999998</v>
      </c>
      <c r="J137" s="131">
        <f>ROUND(I137*H137,2)</f>
        <v>596.75</v>
      </c>
      <c r="K137" s="127" t="s">
        <v>1</v>
      </c>
      <c r="L137" s="31"/>
      <c r="M137" s="132" t="s">
        <v>1</v>
      </c>
      <c r="N137" s="133" t="s">
        <v>40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95</v>
      </c>
      <c r="AT137" s="136" t="s">
        <v>284</v>
      </c>
      <c r="AU137" s="136" t="s">
        <v>83</v>
      </c>
      <c r="AY137" s="16" t="s">
        <v>282</v>
      </c>
      <c r="BE137" s="137">
        <f>IF(N137="základní",J137,0)</f>
        <v>596.75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6" t="s">
        <v>81</v>
      </c>
      <c r="BK137" s="137">
        <f>ROUND(I137*H137,2)</f>
        <v>596.75</v>
      </c>
      <c r="BL137" s="16" t="s">
        <v>95</v>
      </c>
      <c r="BM137" s="136" t="s">
        <v>379</v>
      </c>
    </row>
    <row r="138" spans="2:65" s="1" customFormat="1" x14ac:dyDescent="0.2">
      <c r="B138" s="31"/>
      <c r="D138" s="138" t="s">
        <v>289</v>
      </c>
      <c r="F138" s="139" t="s">
        <v>2004</v>
      </c>
      <c r="I138" s="140"/>
      <c r="L138" s="31"/>
      <c r="M138" s="141"/>
      <c r="T138" s="50"/>
      <c r="AT138" s="16" t="s">
        <v>289</v>
      </c>
      <c r="AU138" s="16" t="s">
        <v>83</v>
      </c>
    </row>
    <row r="139" spans="2:65" s="1" customFormat="1" ht="14.45" customHeight="1" x14ac:dyDescent="0.2">
      <c r="B139" s="124"/>
      <c r="C139" s="125" t="s">
        <v>312</v>
      </c>
      <c r="D139" s="125" t="s">
        <v>284</v>
      </c>
      <c r="E139" s="126" t="s">
        <v>2005</v>
      </c>
      <c r="F139" s="127" t="s">
        <v>2006</v>
      </c>
      <c r="G139" s="128" t="s">
        <v>315</v>
      </c>
      <c r="H139" s="129">
        <v>8</v>
      </c>
      <c r="I139" s="130">
        <v>116.03392325</v>
      </c>
      <c r="J139" s="131">
        <f>ROUND(I139*H139,2)</f>
        <v>928.27</v>
      </c>
      <c r="K139" s="127" t="s">
        <v>1</v>
      </c>
      <c r="L139" s="31"/>
      <c r="M139" s="132" t="s">
        <v>1</v>
      </c>
      <c r="N139" s="133" t="s">
        <v>40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95</v>
      </c>
      <c r="AT139" s="136" t="s">
        <v>284</v>
      </c>
      <c r="AU139" s="136" t="s">
        <v>83</v>
      </c>
      <c r="AY139" s="16" t="s">
        <v>282</v>
      </c>
      <c r="BE139" s="137">
        <f>IF(N139="základní",J139,0)</f>
        <v>928.27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6" t="s">
        <v>81</v>
      </c>
      <c r="BK139" s="137">
        <f>ROUND(I139*H139,2)</f>
        <v>928.27</v>
      </c>
      <c r="BL139" s="16" t="s">
        <v>95</v>
      </c>
      <c r="BM139" s="136" t="s">
        <v>392</v>
      </c>
    </row>
    <row r="140" spans="2:65" s="1" customFormat="1" x14ac:dyDescent="0.2">
      <c r="B140" s="31"/>
      <c r="D140" s="138" t="s">
        <v>289</v>
      </c>
      <c r="F140" s="139" t="s">
        <v>2007</v>
      </c>
      <c r="I140" s="140"/>
      <c r="L140" s="31"/>
      <c r="M140" s="141"/>
      <c r="T140" s="50"/>
      <c r="AT140" s="16" t="s">
        <v>289</v>
      </c>
      <c r="AU140" s="16" t="s">
        <v>83</v>
      </c>
    </row>
    <row r="141" spans="2:65" s="1" customFormat="1" ht="14.45" customHeight="1" x14ac:dyDescent="0.2">
      <c r="B141" s="124"/>
      <c r="C141" s="125" t="s">
        <v>318</v>
      </c>
      <c r="D141" s="125" t="s">
        <v>284</v>
      </c>
      <c r="E141" s="126" t="s">
        <v>2008</v>
      </c>
      <c r="F141" s="127" t="s">
        <v>2009</v>
      </c>
      <c r="G141" s="128" t="s">
        <v>315</v>
      </c>
      <c r="H141" s="129">
        <v>10</v>
      </c>
      <c r="I141" s="130">
        <v>32.527387138000002</v>
      </c>
      <c r="J141" s="131">
        <f>ROUND(I141*H141,2)</f>
        <v>325.27</v>
      </c>
      <c r="K141" s="127" t="s">
        <v>1</v>
      </c>
      <c r="L141" s="31"/>
      <c r="M141" s="132" t="s">
        <v>1</v>
      </c>
      <c r="N141" s="133" t="s">
        <v>40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95</v>
      </c>
      <c r="AT141" s="136" t="s">
        <v>284</v>
      </c>
      <c r="AU141" s="136" t="s">
        <v>83</v>
      </c>
      <c r="AY141" s="16" t="s">
        <v>282</v>
      </c>
      <c r="BE141" s="137">
        <f>IF(N141="základní",J141,0)</f>
        <v>325.27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6" t="s">
        <v>81</v>
      </c>
      <c r="BK141" s="137">
        <f>ROUND(I141*H141,2)</f>
        <v>325.27</v>
      </c>
      <c r="BL141" s="16" t="s">
        <v>95</v>
      </c>
      <c r="BM141" s="136" t="s">
        <v>404</v>
      </c>
    </row>
    <row r="142" spans="2:65" s="1" customFormat="1" x14ac:dyDescent="0.2">
      <c r="B142" s="31"/>
      <c r="D142" s="138" t="s">
        <v>289</v>
      </c>
      <c r="F142" s="139" t="s">
        <v>2009</v>
      </c>
      <c r="I142" s="140"/>
      <c r="L142" s="31"/>
      <c r="M142" s="141"/>
      <c r="T142" s="50"/>
      <c r="AT142" s="16" t="s">
        <v>289</v>
      </c>
      <c r="AU142" s="16" t="s">
        <v>83</v>
      </c>
    </row>
    <row r="143" spans="2:65" s="10" customFormat="1" ht="22.9" customHeight="1" x14ac:dyDescent="0.2">
      <c r="B143" s="112"/>
      <c r="D143" s="113" t="s">
        <v>73</v>
      </c>
      <c r="E143" s="122" t="s">
        <v>2012</v>
      </c>
      <c r="F143" s="122" t="s">
        <v>2013</v>
      </c>
      <c r="I143" s="115"/>
      <c r="J143" s="123">
        <f>BK143</f>
        <v>23365.920000000002</v>
      </c>
      <c r="L143" s="112"/>
      <c r="M143" s="117"/>
      <c r="P143" s="118">
        <f>SUM(P144:P151)</f>
        <v>0</v>
      </c>
      <c r="R143" s="118">
        <f>SUM(R144:R151)</f>
        <v>0</v>
      </c>
      <c r="T143" s="119">
        <f>SUM(T144:T151)</f>
        <v>0</v>
      </c>
      <c r="AR143" s="113" t="s">
        <v>81</v>
      </c>
      <c r="AT143" s="120" t="s">
        <v>73</v>
      </c>
      <c r="AU143" s="120" t="s">
        <v>81</v>
      </c>
      <c r="AY143" s="113" t="s">
        <v>282</v>
      </c>
      <c r="BK143" s="121">
        <f>SUM(BK144:BK151)</f>
        <v>23365.920000000002</v>
      </c>
    </row>
    <row r="144" spans="2:65" s="1" customFormat="1" ht="14.45" customHeight="1" x14ac:dyDescent="0.2">
      <c r="B144" s="124"/>
      <c r="C144" s="125" t="s">
        <v>323</v>
      </c>
      <c r="D144" s="125" t="s">
        <v>284</v>
      </c>
      <c r="E144" s="126" t="s">
        <v>2027</v>
      </c>
      <c r="F144" s="127" t="s">
        <v>2028</v>
      </c>
      <c r="G144" s="128" t="s">
        <v>344</v>
      </c>
      <c r="H144" s="129">
        <v>20</v>
      </c>
      <c r="I144" s="130">
        <v>729.356089</v>
      </c>
      <c r="J144" s="131">
        <f>ROUND(I144*H144,2)</f>
        <v>14587.12</v>
      </c>
      <c r="K144" s="127" t="s">
        <v>1</v>
      </c>
      <c r="L144" s="31"/>
      <c r="M144" s="132" t="s">
        <v>1</v>
      </c>
      <c r="N144" s="133" t="s">
        <v>40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95</v>
      </c>
      <c r="AT144" s="136" t="s">
        <v>284</v>
      </c>
      <c r="AU144" s="136" t="s">
        <v>83</v>
      </c>
      <c r="AY144" s="16" t="s">
        <v>282</v>
      </c>
      <c r="BE144" s="137">
        <f>IF(N144="základní",J144,0)</f>
        <v>14587.12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6" t="s">
        <v>81</v>
      </c>
      <c r="BK144" s="137">
        <f>ROUND(I144*H144,2)</f>
        <v>14587.12</v>
      </c>
      <c r="BL144" s="16" t="s">
        <v>95</v>
      </c>
      <c r="BM144" s="136" t="s">
        <v>505</v>
      </c>
    </row>
    <row r="145" spans="2:65" s="1" customFormat="1" x14ac:dyDescent="0.2">
      <c r="B145" s="31"/>
      <c r="D145" s="138" t="s">
        <v>289</v>
      </c>
      <c r="F145" s="139" t="s">
        <v>2028</v>
      </c>
      <c r="I145" s="140"/>
      <c r="L145" s="31"/>
      <c r="M145" s="141"/>
      <c r="T145" s="50"/>
      <c r="AT145" s="16" t="s">
        <v>289</v>
      </c>
      <c r="AU145" s="16" t="s">
        <v>83</v>
      </c>
    </row>
    <row r="146" spans="2:65" s="1" customFormat="1" ht="14.45" customHeight="1" x14ac:dyDescent="0.2">
      <c r="B146" s="124"/>
      <c r="C146" s="125" t="s">
        <v>328</v>
      </c>
      <c r="D146" s="125" t="s">
        <v>284</v>
      </c>
      <c r="E146" s="126" t="s">
        <v>2029</v>
      </c>
      <c r="F146" s="127" t="s">
        <v>2030</v>
      </c>
      <c r="G146" s="128" t="s">
        <v>2018</v>
      </c>
      <c r="H146" s="129">
        <v>20</v>
      </c>
      <c r="I146" s="130">
        <v>147.19731978000002</v>
      </c>
      <c r="J146" s="131">
        <f>ROUND(I146*H146,2)</f>
        <v>2943.95</v>
      </c>
      <c r="K146" s="127" t="s">
        <v>1</v>
      </c>
      <c r="L146" s="31"/>
      <c r="M146" s="132" t="s">
        <v>1</v>
      </c>
      <c r="N146" s="133" t="s">
        <v>40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95</v>
      </c>
      <c r="AT146" s="136" t="s">
        <v>284</v>
      </c>
      <c r="AU146" s="136" t="s">
        <v>83</v>
      </c>
      <c r="AY146" s="16" t="s">
        <v>282</v>
      </c>
      <c r="BE146" s="137">
        <f>IF(N146="základní",J146,0)</f>
        <v>2943.95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81</v>
      </c>
      <c r="BK146" s="137">
        <f>ROUND(I146*H146,2)</f>
        <v>2943.95</v>
      </c>
      <c r="BL146" s="16" t="s">
        <v>95</v>
      </c>
      <c r="BM146" s="136" t="s">
        <v>514</v>
      </c>
    </row>
    <row r="147" spans="2:65" s="1" customFormat="1" x14ac:dyDescent="0.2">
      <c r="B147" s="31"/>
      <c r="D147" s="138" t="s">
        <v>289</v>
      </c>
      <c r="F147" s="139" t="s">
        <v>2030</v>
      </c>
      <c r="I147" s="140"/>
      <c r="L147" s="31"/>
      <c r="M147" s="141"/>
      <c r="T147" s="50"/>
      <c r="AT147" s="16" t="s">
        <v>289</v>
      </c>
      <c r="AU147" s="16" t="s">
        <v>83</v>
      </c>
    </row>
    <row r="148" spans="2:65" s="1" customFormat="1" ht="24.2" customHeight="1" x14ac:dyDescent="0.2">
      <c r="B148" s="124"/>
      <c r="C148" s="125" t="s">
        <v>335</v>
      </c>
      <c r="D148" s="125" t="s">
        <v>284</v>
      </c>
      <c r="E148" s="126" t="s">
        <v>2031</v>
      </c>
      <c r="F148" s="127" t="s">
        <v>2032</v>
      </c>
      <c r="G148" s="128" t="s">
        <v>2018</v>
      </c>
      <c r="H148" s="129">
        <v>20</v>
      </c>
      <c r="I148" s="130">
        <v>245.32886629999999</v>
      </c>
      <c r="J148" s="131">
        <f>ROUND(I148*H148,2)</f>
        <v>4906.58</v>
      </c>
      <c r="K148" s="127" t="s">
        <v>1</v>
      </c>
      <c r="L148" s="31"/>
      <c r="M148" s="132" t="s">
        <v>1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95</v>
      </c>
      <c r="AT148" s="136" t="s">
        <v>284</v>
      </c>
      <c r="AU148" s="136" t="s">
        <v>83</v>
      </c>
      <c r="AY148" s="16" t="s">
        <v>282</v>
      </c>
      <c r="BE148" s="137">
        <f>IF(N148="základní",J148,0)</f>
        <v>4906.58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81</v>
      </c>
      <c r="BK148" s="137">
        <f>ROUND(I148*H148,2)</f>
        <v>4906.58</v>
      </c>
      <c r="BL148" s="16" t="s">
        <v>95</v>
      </c>
      <c r="BM148" s="136" t="s">
        <v>526</v>
      </c>
    </row>
    <row r="149" spans="2:65" s="1" customFormat="1" x14ac:dyDescent="0.2">
      <c r="B149" s="31"/>
      <c r="D149" s="138" t="s">
        <v>289</v>
      </c>
      <c r="F149" s="139" t="s">
        <v>2032</v>
      </c>
      <c r="I149" s="140"/>
      <c r="L149" s="31"/>
      <c r="M149" s="141"/>
      <c r="T149" s="50"/>
      <c r="AT149" s="16" t="s">
        <v>289</v>
      </c>
      <c r="AU149" s="16" t="s">
        <v>83</v>
      </c>
    </row>
    <row r="150" spans="2:65" s="1" customFormat="1" ht="14.45" customHeight="1" x14ac:dyDescent="0.2">
      <c r="B150" s="124"/>
      <c r="C150" s="125" t="s">
        <v>341</v>
      </c>
      <c r="D150" s="125" t="s">
        <v>284</v>
      </c>
      <c r="E150" s="126" t="s">
        <v>2033</v>
      </c>
      <c r="F150" s="127" t="s">
        <v>2026</v>
      </c>
      <c r="G150" s="128" t="s">
        <v>2018</v>
      </c>
      <c r="H150" s="129">
        <v>20</v>
      </c>
      <c r="I150" s="130">
        <v>46.413569299999999</v>
      </c>
      <c r="J150" s="131">
        <f>ROUND(I150*H150,2)</f>
        <v>928.27</v>
      </c>
      <c r="K150" s="127" t="s">
        <v>1</v>
      </c>
      <c r="L150" s="31"/>
      <c r="M150" s="132" t="s">
        <v>1</v>
      </c>
      <c r="N150" s="133" t="s">
        <v>40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95</v>
      </c>
      <c r="AT150" s="136" t="s">
        <v>284</v>
      </c>
      <c r="AU150" s="136" t="s">
        <v>83</v>
      </c>
      <c r="AY150" s="16" t="s">
        <v>282</v>
      </c>
      <c r="BE150" s="137">
        <f>IF(N150="základní",J150,0)</f>
        <v>928.27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81</v>
      </c>
      <c r="BK150" s="137">
        <f>ROUND(I150*H150,2)</f>
        <v>928.27</v>
      </c>
      <c r="BL150" s="16" t="s">
        <v>95</v>
      </c>
      <c r="BM150" s="136" t="s">
        <v>536</v>
      </c>
    </row>
    <row r="151" spans="2:65" s="1" customFormat="1" x14ac:dyDescent="0.2">
      <c r="B151" s="31"/>
      <c r="D151" s="138" t="s">
        <v>289</v>
      </c>
      <c r="F151" s="139" t="s">
        <v>2026</v>
      </c>
      <c r="I151" s="140"/>
      <c r="L151" s="31"/>
      <c r="M151" s="141"/>
      <c r="T151" s="50"/>
      <c r="AT151" s="16" t="s">
        <v>289</v>
      </c>
      <c r="AU151" s="16" t="s">
        <v>83</v>
      </c>
    </row>
    <row r="152" spans="2:65" s="10" customFormat="1" ht="22.9" customHeight="1" x14ac:dyDescent="0.2">
      <c r="B152" s="112"/>
      <c r="D152" s="113" t="s">
        <v>73</v>
      </c>
      <c r="E152" s="122" t="s">
        <v>2034</v>
      </c>
      <c r="F152" s="122" t="s">
        <v>2035</v>
      </c>
      <c r="I152" s="115"/>
      <c r="J152" s="123">
        <f>BK152</f>
        <v>12010.690000000002</v>
      </c>
      <c r="L152" s="112"/>
      <c r="M152" s="117"/>
      <c r="P152" s="118">
        <f>SUM(P153:P160)</f>
        <v>0</v>
      </c>
      <c r="R152" s="118">
        <f>SUM(R153:R160)</f>
        <v>0</v>
      </c>
      <c r="T152" s="119">
        <f>SUM(T153:T160)</f>
        <v>0</v>
      </c>
      <c r="AR152" s="113" t="s">
        <v>81</v>
      </c>
      <c r="AT152" s="120" t="s">
        <v>73</v>
      </c>
      <c r="AU152" s="120" t="s">
        <v>81</v>
      </c>
      <c r="AY152" s="113" t="s">
        <v>282</v>
      </c>
      <c r="BK152" s="121">
        <f>SUM(BK153:BK160)</f>
        <v>12010.690000000002</v>
      </c>
    </row>
    <row r="153" spans="2:65" s="1" customFormat="1" ht="14.45" customHeight="1" x14ac:dyDescent="0.2">
      <c r="B153" s="124"/>
      <c r="C153" s="125" t="s">
        <v>348</v>
      </c>
      <c r="D153" s="125" t="s">
        <v>284</v>
      </c>
      <c r="E153" s="126" t="s">
        <v>2036</v>
      </c>
      <c r="F153" s="127" t="s">
        <v>2037</v>
      </c>
      <c r="G153" s="128" t="s">
        <v>331</v>
      </c>
      <c r="H153" s="129">
        <v>12</v>
      </c>
      <c r="I153" s="130">
        <v>568.32942000000003</v>
      </c>
      <c r="J153" s="131">
        <f>ROUND(I153*H153,2)</f>
        <v>6819.95</v>
      </c>
      <c r="K153" s="127" t="s">
        <v>1</v>
      </c>
      <c r="L153" s="31"/>
      <c r="M153" s="132" t="s">
        <v>1</v>
      </c>
      <c r="N153" s="133" t="s">
        <v>40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95</v>
      </c>
      <c r="AT153" s="136" t="s">
        <v>284</v>
      </c>
      <c r="AU153" s="136" t="s">
        <v>83</v>
      </c>
      <c r="AY153" s="16" t="s">
        <v>282</v>
      </c>
      <c r="BE153" s="137">
        <f>IF(N153="základní",J153,0)</f>
        <v>6819.95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6" t="s">
        <v>81</v>
      </c>
      <c r="BK153" s="137">
        <f>ROUND(I153*H153,2)</f>
        <v>6819.95</v>
      </c>
      <c r="BL153" s="16" t="s">
        <v>95</v>
      </c>
      <c r="BM153" s="136" t="s">
        <v>548</v>
      </c>
    </row>
    <row r="154" spans="2:65" s="1" customFormat="1" x14ac:dyDescent="0.2">
      <c r="B154" s="31"/>
      <c r="D154" s="138" t="s">
        <v>289</v>
      </c>
      <c r="F154" s="139" t="s">
        <v>2037</v>
      </c>
      <c r="I154" s="140"/>
      <c r="L154" s="31"/>
      <c r="M154" s="141"/>
      <c r="T154" s="50"/>
      <c r="AT154" s="16" t="s">
        <v>289</v>
      </c>
      <c r="AU154" s="16" t="s">
        <v>83</v>
      </c>
    </row>
    <row r="155" spans="2:65" s="1" customFormat="1" ht="14.45" customHeight="1" x14ac:dyDescent="0.2">
      <c r="B155" s="124"/>
      <c r="C155" s="125" t="s">
        <v>327</v>
      </c>
      <c r="D155" s="125" t="s">
        <v>284</v>
      </c>
      <c r="E155" s="126" t="s">
        <v>2038</v>
      </c>
      <c r="F155" s="127" t="s">
        <v>2039</v>
      </c>
      <c r="G155" s="128" t="s">
        <v>331</v>
      </c>
      <c r="H155" s="129">
        <v>5</v>
      </c>
      <c r="I155" s="130">
        <v>520.96863499999995</v>
      </c>
      <c r="J155" s="131">
        <f>ROUND(I155*H155,2)</f>
        <v>2604.84</v>
      </c>
      <c r="K155" s="127" t="s">
        <v>1</v>
      </c>
      <c r="L155" s="31"/>
      <c r="M155" s="132" t="s">
        <v>1</v>
      </c>
      <c r="N155" s="133" t="s">
        <v>40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95</v>
      </c>
      <c r="AT155" s="136" t="s">
        <v>284</v>
      </c>
      <c r="AU155" s="136" t="s">
        <v>83</v>
      </c>
      <c r="AY155" s="16" t="s">
        <v>282</v>
      </c>
      <c r="BE155" s="137">
        <f>IF(N155="základní",J155,0)</f>
        <v>2604.84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6" t="s">
        <v>81</v>
      </c>
      <c r="BK155" s="137">
        <f>ROUND(I155*H155,2)</f>
        <v>2604.84</v>
      </c>
      <c r="BL155" s="16" t="s">
        <v>95</v>
      </c>
      <c r="BM155" s="136" t="s">
        <v>562</v>
      </c>
    </row>
    <row r="156" spans="2:65" s="1" customFormat="1" x14ac:dyDescent="0.2">
      <c r="B156" s="31"/>
      <c r="D156" s="138" t="s">
        <v>289</v>
      </c>
      <c r="F156" s="139" t="s">
        <v>2039</v>
      </c>
      <c r="I156" s="140"/>
      <c r="L156" s="31"/>
      <c r="M156" s="141"/>
      <c r="T156" s="50"/>
      <c r="AT156" s="16" t="s">
        <v>289</v>
      </c>
      <c r="AU156" s="16" t="s">
        <v>83</v>
      </c>
    </row>
    <row r="157" spans="2:65" s="1" customFormat="1" ht="14.45" customHeight="1" x14ac:dyDescent="0.2">
      <c r="B157" s="124"/>
      <c r="C157" s="125" t="s">
        <v>359</v>
      </c>
      <c r="D157" s="125" t="s">
        <v>284</v>
      </c>
      <c r="E157" s="126" t="s">
        <v>2040</v>
      </c>
      <c r="F157" s="127" t="s">
        <v>2041</v>
      </c>
      <c r="G157" s="128" t="s">
        <v>331</v>
      </c>
      <c r="H157" s="129">
        <v>5</v>
      </c>
      <c r="I157" s="130">
        <v>473.60784999999998</v>
      </c>
      <c r="J157" s="131">
        <f>ROUND(I157*H157,2)</f>
        <v>2368.04</v>
      </c>
      <c r="K157" s="127" t="s">
        <v>1</v>
      </c>
      <c r="L157" s="31"/>
      <c r="M157" s="132" t="s">
        <v>1</v>
      </c>
      <c r="N157" s="133" t="s">
        <v>40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95</v>
      </c>
      <c r="AT157" s="136" t="s">
        <v>284</v>
      </c>
      <c r="AU157" s="136" t="s">
        <v>83</v>
      </c>
      <c r="AY157" s="16" t="s">
        <v>282</v>
      </c>
      <c r="BE157" s="137">
        <f>IF(N157="základní",J157,0)</f>
        <v>2368.04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6" t="s">
        <v>81</v>
      </c>
      <c r="BK157" s="137">
        <f>ROUND(I157*H157,2)</f>
        <v>2368.04</v>
      </c>
      <c r="BL157" s="16" t="s">
        <v>95</v>
      </c>
      <c r="BM157" s="136" t="s">
        <v>572</v>
      </c>
    </row>
    <row r="158" spans="2:65" s="1" customFormat="1" x14ac:dyDescent="0.2">
      <c r="B158" s="31"/>
      <c r="D158" s="138" t="s">
        <v>289</v>
      </c>
      <c r="F158" s="139" t="s">
        <v>2041</v>
      </c>
      <c r="I158" s="140"/>
      <c r="L158" s="31"/>
      <c r="M158" s="141"/>
      <c r="T158" s="50"/>
      <c r="AT158" s="16" t="s">
        <v>289</v>
      </c>
      <c r="AU158" s="16" t="s">
        <v>83</v>
      </c>
    </row>
    <row r="159" spans="2:65" s="1" customFormat="1" ht="14.45" customHeight="1" x14ac:dyDescent="0.2">
      <c r="B159" s="124"/>
      <c r="C159" s="125" t="s">
        <v>363</v>
      </c>
      <c r="D159" s="125" t="s">
        <v>284</v>
      </c>
      <c r="E159" s="126" t="s">
        <v>2042</v>
      </c>
      <c r="F159" s="127" t="s">
        <v>2043</v>
      </c>
      <c r="G159" s="128" t="s">
        <v>1948</v>
      </c>
      <c r="H159" s="129">
        <v>1</v>
      </c>
      <c r="I159" s="130">
        <v>217.859611</v>
      </c>
      <c r="J159" s="131">
        <f>ROUND(I159*H159,2)</f>
        <v>217.86</v>
      </c>
      <c r="K159" s="127" t="s">
        <v>1</v>
      </c>
      <c r="L159" s="31"/>
      <c r="M159" s="132" t="s">
        <v>1</v>
      </c>
      <c r="N159" s="133" t="s">
        <v>40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95</v>
      </c>
      <c r="AT159" s="136" t="s">
        <v>284</v>
      </c>
      <c r="AU159" s="136" t="s">
        <v>83</v>
      </c>
      <c r="AY159" s="16" t="s">
        <v>282</v>
      </c>
      <c r="BE159" s="137">
        <f>IF(N159="základní",J159,0)</f>
        <v>217.86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6" t="s">
        <v>81</v>
      </c>
      <c r="BK159" s="137">
        <f>ROUND(I159*H159,2)</f>
        <v>217.86</v>
      </c>
      <c r="BL159" s="16" t="s">
        <v>95</v>
      </c>
      <c r="BM159" s="136" t="s">
        <v>2044</v>
      </c>
    </row>
    <row r="160" spans="2:65" s="1" customFormat="1" x14ac:dyDescent="0.2">
      <c r="B160" s="31"/>
      <c r="D160" s="138" t="s">
        <v>289</v>
      </c>
      <c r="F160" s="139" t="s">
        <v>2045</v>
      </c>
      <c r="I160" s="140"/>
      <c r="L160" s="31"/>
      <c r="M160" s="187"/>
      <c r="N160" s="184"/>
      <c r="O160" s="184"/>
      <c r="P160" s="184"/>
      <c r="Q160" s="184"/>
      <c r="R160" s="184"/>
      <c r="S160" s="184"/>
      <c r="T160" s="188"/>
      <c r="AT160" s="16" t="s">
        <v>289</v>
      </c>
      <c r="AU160" s="16" t="s">
        <v>83</v>
      </c>
    </row>
    <row r="161" spans="2:12" s="1" customFormat="1" ht="6.95" customHeight="1" x14ac:dyDescent="0.2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31"/>
    </row>
  </sheetData>
  <autoFilter ref="C127:K160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windowProtection="1" showGridLines="0" topLeftCell="A114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211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2844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24.75" customHeight="1" x14ac:dyDescent="0.2">
      <c r="B13" s="31"/>
      <c r="E13" s="432" t="s">
        <v>2845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">
        <v>1</v>
      </c>
      <c r="L18" s="31"/>
    </row>
    <row r="19" spans="2:12" s="1" customFormat="1" ht="18" customHeight="1" x14ac:dyDescent="0.2">
      <c r="B19" s="31"/>
      <c r="E19" s="24" t="s">
        <v>26</v>
      </c>
      <c r="I19" s="26" t="s">
        <v>27</v>
      </c>
      <c r="J19" s="24" t="s">
        <v>1</v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">
        <v>1</v>
      </c>
      <c r="L24" s="31"/>
    </row>
    <row r="25" spans="2:12" s="1" customFormat="1" ht="18" customHeight="1" x14ac:dyDescent="0.2">
      <c r="B25" s="31"/>
      <c r="E25" s="24" t="s">
        <v>31</v>
      </c>
      <c r="I25" s="26" t="s">
        <v>27</v>
      </c>
      <c r="J25" s="24" t="s">
        <v>1</v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ROUND(J126, 2)</f>
        <v>0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ROUND((SUM(BE126:BE129)),  2)</f>
        <v>0</v>
      </c>
      <c r="I37" s="84">
        <v>0.21</v>
      </c>
      <c r="J37" s="71">
        <f>ROUND(((SUM(BE126:BE129))*I37),  2)</f>
        <v>0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ROUND((SUM(BF126:BF129)),  2)</f>
        <v>0</v>
      </c>
      <c r="I38" s="84">
        <v>0.15</v>
      </c>
      <c r="J38" s="71">
        <f>ROUND(((SUM(BF126:BF129))*I38),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ROUND((SUM(BG126:BG129)),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ROUND((SUM(BH126:BH129)),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ROUND((SUM(BI126:BI129)),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0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2844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24.75" customHeight="1" x14ac:dyDescent="0.2">
      <c r="B91" s="31"/>
      <c r="E91" s="432" t="str">
        <f>E13</f>
        <v xml:space="preserve">0001 - PS Strojně-technologická část Strojně-technologická část - součástí dílčích stavebních objektů 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J126</f>
        <v>0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J127</f>
        <v>0</v>
      </c>
      <c r="L101" s="96"/>
    </row>
    <row r="102" spans="2:47" s="8" customFormat="1" ht="19.899999999999999" customHeight="1" x14ac:dyDescent="0.2">
      <c r="B102" s="100"/>
      <c r="D102" s="101" t="s">
        <v>2846</v>
      </c>
      <c r="E102" s="102"/>
      <c r="F102" s="102"/>
      <c r="G102" s="102"/>
      <c r="H102" s="102"/>
      <c r="I102" s="102"/>
      <c r="J102" s="103">
        <f>J128</f>
        <v>0</v>
      </c>
      <c r="L102" s="100"/>
    </row>
    <row r="103" spans="2:47" s="1" customFormat="1" ht="21.75" customHeight="1" x14ac:dyDescent="0.2">
      <c r="B103" s="31"/>
      <c r="L103" s="31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 x14ac:dyDescent="0.2">
      <c r="B109" s="31"/>
      <c r="C109" s="20" t="s">
        <v>267</v>
      </c>
      <c r="L109" s="31"/>
    </row>
    <row r="110" spans="2:47" s="1" customFormat="1" ht="6.95" customHeight="1" x14ac:dyDescent="0.2">
      <c r="B110" s="31"/>
      <c r="L110" s="31"/>
    </row>
    <row r="111" spans="2:47" s="1" customFormat="1" ht="12" customHeight="1" x14ac:dyDescent="0.2">
      <c r="B111" s="31"/>
      <c r="C111" s="26" t="s">
        <v>16</v>
      </c>
      <c r="L111" s="31"/>
    </row>
    <row r="112" spans="2:47" s="1" customFormat="1" ht="16.5" customHeight="1" x14ac:dyDescent="0.2">
      <c r="B112" s="31"/>
      <c r="E112" s="434" t="str">
        <f>E7</f>
        <v>Kanalizace Podlesí - I.Etapa</v>
      </c>
      <c r="F112" s="435"/>
      <c r="G112" s="435"/>
      <c r="H112" s="435"/>
      <c r="L112" s="31"/>
    </row>
    <row r="113" spans="2:63" ht="12" customHeight="1" x14ac:dyDescent="0.2">
      <c r="B113" s="19"/>
      <c r="C113" s="26" t="s">
        <v>244</v>
      </c>
      <c r="L113" s="19"/>
    </row>
    <row r="114" spans="2:63" ht="16.5" customHeight="1" x14ac:dyDescent="0.2">
      <c r="B114" s="19"/>
      <c r="E114" s="434" t="s">
        <v>245</v>
      </c>
      <c r="F114" s="399"/>
      <c r="G114" s="399"/>
      <c r="H114" s="399"/>
      <c r="L114" s="19"/>
    </row>
    <row r="115" spans="2:63" ht="12" customHeight="1" x14ac:dyDescent="0.2">
      <c r="B115" s="19"/>
      <c r="C115" s="26" t="s">
        <v>246</v>
      </c>
      <c r="L115" s="19"/>
    </row>
    <row r="116" spans="2:63" s="1" customFormat="1" ht="16.5" customHeight="1" x14ac:dyDescent="0.2">
      <c r="B116" s="31"/>
      <c r="E116" s="401" t="s">
        <v>2844</v>
      </c>
      <c r="F116" s="433"/>
      <c r="G116" s="433"/>
      <c r="H116" s="433"/>
      <c r="L116" s="31"/>
    </row>
    <row r="117" spans="2:63" s="1" customFormat="1" ht="12" customHeight="1" x14ac:dyDescent="0.2">
      <c r="B117" s="31"/>
      <c r="C117" s="26" t="s">
        <v>1790</v>
      </c>
      <c r="L117" s="31"/>
    </row>
    <row r="118" spans="2:63" s="1" customFormat="1" ht="24.75" customHeight="1" x14ac:dyDescent="0.2">
      <c r="B118" s="31"/>
      <c r="E118" s="432" t="str">
        <f>E13</f>
        <v xml:space="preserve">0001 - PS Strojně-technologická část Strojně-technologická část - součástí dílčích stavebních objektů </v>
      </c>
      <c r="F118" s="433"/>
      <c r="G118" s="433"/>
      <c r="H118" s="433"/>
      <c r="L118" s="31"/>
    </row>
    <row r="119" spans="2:63" s="1" customFormat="1" ht="6.95" customHeight="1" x14ac:dyDescent="0.2">
      <c r="B119" s="31"/>
      <c r="L119" s="31"/>
    </row>
    <row r="120" spans="2:63" s="1" customFormat="1" ht="12" customHeight="1" x14ac:dyDescent="0.2">
      <c r="B120" s="31"/>
      <c r="C120" s="26" t="s">
        <v>20</v>
      </c>
      <c r="F120" s="24" t="str">
        <f>F16</f>
        <v xml:space="preserve"> </v>
      </c>
      <c r="I120" s="26" t="s">
        <v>22</v>
      </c>
      <c r="J120" s="48" t="str">
        <f>IF(J16="","",J16)</f>
        <v>18. 11. 2020</v>
      </c>
      <c r="L120" s="31"/>
    </row>
    <row r="121" spans="2:63" s="1" customFormat="1" ht="6.95" customHeight="1" x14ac:dyDescent="0.2">
      <c r="B121" s="31"/>
      <c r="L121" s="31"/>
    </row>
    <row r="122" spans="2:63" s="1" customFormat="1" ht="40.15" customHeight="1" x14ac:dyDescent="0.2">
      <c r="B122" s="31"/>
      <c r="C122" s="26" t="s">
        <v>24</v>
      </c>
      <c r="F122" s="24" t="str">
        <f>E19</f>
        <v>Město Petřvald</v>
      </c>
      <c r="I122" s="26" t="s">
        <v>30</v>
      </c>
      <c r="J122" s="29" t="str">
        <f>E25</f>
        <v>Sweco Hydroprojekt a.s., divize Morava</v>
      </c>
      <c r="L122" s="31"/>
    </row>
    <row r="123" spans="2:63" s="1" customFormat="1" ht="15.2" customHeight="1" x14ac:dyDescent="0.2">
      <c r="B123" s="31"/>
      <c r="C123" s="26" t="s">
        <v>28</v>
      </c>
      <c r="F123" s="24" t="str">
        <f>IF(E22="","",E22)</f>
        <v>Společnost Podlesí se sídlem Žitenická 871/1, 190 00 Praha 9</v>
      </c>
      <c r="I123" s="26" t="s">
        <v>33</v>
      </c>
      <c r="J123" s="29" t="str">
        <f>E28</f>
        <v xml:space="preserve"> </v>
      </c>
      <c r="L123" s="31"/>
    </row>
    <row r="124" spans="2:63" s="1" customFormat="1" ht="10.35" customHeight="1" x14ac:dyDescent="0.2">
      <c r="B124" s="31"/>
      <c r="L124" s="31"/>
    </row>
    <row r="125" spans="2:63" s="9" customFormat="1" ht="29.25" customHeight="1" x14ac:dyDescent="0.2">
      <c r="B125" s="104"/>
      <c r="C125" s="105" t="s">
        <v>268</v>
      </c>
      <c r="D125" s="106" t="s">
        <v>59</v>
      </c>
      <c r="E125" s="106" t="s">
        <v>55</v>
      </c>
      <c r="F125" s="106" t="s">
        <v>56</v>
      </c>
      <c r="G125" s="106" t="s">
        <v>269</v>
      </c>
      <c r="H125" s="106" t="s">
        <v>270</v>
      </c>
      <c r="I125" s="106" t="s">
        <v>271</v>
      </c>
      <c r="J125" s="106" t="s">
        <v>255</v>
      </c>
      <c r="K125" s="107" t="s">
        <v>272</v>
      </c>
      <c r="L125" s="104"/>
      <c r="M125" s="52" t="s">
        <v>1</v>
      </c>
      <c r="N125" s="53" t="s">
        <v>39</v>
      </c>
      <c r="O125" s="53" t="s">
        <v>273</v>
      </c>
      <c r="P125" s="53" t="s">
        <v>274</v>
      </c>
      <c r="Q125" s="53" t="s">
        <v>275</v>
      </c>
      <c r="R125" s="53" t="s">
        <v>276</v>
      </c>
      <c r="S125" s="53" t="s">
        <v>277</v>
      </c>
      <c r="T125" s="54" t="s">
        <v>278</v>
      </c>
    </row>
    <row r="126" spans="2:63" s="1" customFormat="1" ht="22.9" customHeight="1" x14ac:dyDescent="0.25">
      <c r="B126" s="31"/>
      <c r="C126" s="57" t="s">
        <v>279</v>
      </c>
      <c r="J126" s="108">
        <f>BK126</f>
        <v>0</v>
      </c>
      <c r="L126" s="31"/>
      <c r="M126" s="55"/>
      <c r="N126" s="49"/>
      <c r="O126" s="49"/>
      <c r="P126" s="109">
        <f>P127</f>
        <v>0</v>
      </c>
      <c r="Q126" s="49"/>
      <c r="R126" s="109">
        <f>R127</f>
        <v>0</v>
      </c>
      <c r="S126" s="49"/>
      <c r="T126" s="110">
        <f>T127</f>
        <v>0</v>
      </c>
      <c r="AT126" s="16" t="s">
        <v>73</v>
      </c>
      <c r="AU126" s="16" t="s">
        <v>257</v>
      </c>
      <c r="BK126" s="111">
        <f>BK127</f>
        <v>0</v>
      </c>
    </row>
    <row r="127" spans="2:63" s="10" customFormat="1" ht="25.9" customHeight="1" x14ac:dyDescent="0.2">
      <c r="B127" s="112"/>
      <c r="D127" s="113" t="s">
        <v>73</v>
      </c>
      <c r="E127" s="114" t="s">
        <v>439</v>
      </c>
      <c r="F127" s="114" t="s">
        <v>1979</v>
      </c>
      <c r="I127" s="115"/>
      <c r="J127" s="116">
        <f>BK127</f>
        <v>0</v>
      </c>
      <c r="L127" s="112"/>
      <c r="M127" s="117"/>
      <c r="P127" s="118">
        <f>P128</f>
        <v>0</v>
      </c>
      <c r="R127" s="118">
        <f>R128</f>
        <v>0</v>
      </c>
      <c r="T127" s="119">
        <f>T128</f>
        <v>0</v>
      </c>
      <c r="AR127" s="113" t="s">
        <v>90</v>
      </c>
      <c r="AT127" s="120" t="s">
        <v>73</v>
      </c>
      <c r="AU127" s="120" t="s">
        <v>74</v>
      </c>
      <c r="AY127" s="113" t="s">
        <v>282</v>
      </c>
      <c r="BK127" s="121">
        <f>BK128</f>
        <v>0</v>
      </c>
    </row>
    <row r="128" spans="2:63" s="10" customFormat="1" ht="22.9" customHeight="1" x14ac:dyDescent="0.2">
      <c r="B128" s="112"/>
      <c r="D128" s="113" t="s">
        <v>73</v>
      </c>
      <c r="E128" s="122" t="s">
        <v>2847</v>
      </c>
      <c r="F128" s="122" t="s">
        <v>2848</v>
      </c>
      <c r="I128" s="115"/>
      <c r="J128" s="123">
        <f>BK128</f>
        <v>0</v>
      </c>
      <c r="L128" s="112"/>
      <c r="M128" s="117"/>
      <c r="P128" s="118">
        <f>P129</f>
        <v>0</v>
      </c>
      <c r="R128" s="118">
        <f>R129</f>
        <v>0</v>
      </c>
      <c r="T128" s="119">
        <f>T129</f>
        <v>0</v>
      </c>
      <c r="AR128" s="113" t="s">
        <v>90</v>
      </c>
      <c r="AT128" s="120" t="s">
        <v>73</v>
      </c>
      <c r="AU128" s="120" t="s">
        <v>81</v>
      </c>
      <c r="AY128" s="113" t="s">
        <v>282</v>
      </c>
      <c r="BK128" s="121">
        <f>BK129</f>
        <v>0</v>
      </c>
    </row>
    <row r="129" spans="2:65" s="1" customFormat="1" ht="37.9" customHeight="1" x14ac:dyDescent="0.2">
      <c r="B129" s="124"/>
      <c r="C129" s="125" t="s">
        <v>81</v>
      </c>
      <c r="D129" s="125" t="s">
        <v>284</v>
      </c>
      <c r="E129" s="126" t="s">
        <v>2849</v>
      </c>
      <c r="F129" s="127" t="s">
        <v>2850</v>
      </c>
      <c r="G129" s="128" t="s">
        <v>1948</v>
      </c>
      <c r="H129" s="129">
        <v>0</v>
      </c>
      <c r="I129" s="130"/>
      <c r="J129" s="131">
        <f>ROUND(I129*H129,2)</f>
        <v>0</v>
      </c>
      <c r="K129" s="127" t="s">
        <v>1</v>
      </c>
      <c r="L129" s="31"/>
      <c r="M129" s="182" t="s">
        <v>1</v>
      </c>
      <c r="N129" s="183" t="s">
        <v>40</v>
      </c>
      <c r="O129" s="1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36" t="s">
        <v>650</v>
      </c>
      <c r="AT129" s="136" t="s">
        <v>284</v>
      </c>
      <c r="AU129" s="136" t="s">
        <v>83</v>
      </c>
      <c r="AY129" s="16" t="s">
        <v>282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6" t="s">
        <v>81</v>
      </c>
      <c r="BK129" s="137">
        <f>ROUND(I129*H129,2)</f>
        <v>0</v>
      </c>
      <c r="BL129" s="16" t="s">
        <v>650</v>
      </c>
      <c r="BM129" s="136" t="s">
        <v>2851</v>
      </c>
    </row>
    <row r="130" spans="2:65" s="1" customFormat="1" ht="6.95" customHeight="1" x14ac:dyDescent="0.2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1"/>
  <sheetViews>
    <sheetView windowProtection="1" showGridLines="0" topLeftCell="A126" workbookViewId="0">
      <selection activeCell="W142" sqref="W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216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2852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16.5" customHeight="1" x14ac:dyDescent="0.2">
      <c r="B13" s="31"/>
      <c r="E13" s="432" t="s">
        <v>2853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ROUND(J133, 2)</f>
        <v>430582.61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ROUND((SUM(BE133:BE330)),  2)</f>
        <v>430582.61</v>
      </c>
      <c r="I37" s="84">
        <v>0.21</v>
      </c>
      <c r="J37" s="71">
        <f>ROUND(((SUM(BE133:BE330))*I37),  2)</f>
        <v>90422.35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ROUND((SUM(BF133:BF330)),  2)</f>
        <v>0</v>
      </c>
      <c r="I38" s="84">
        <v>0.15</v>
      </c>
      <c r="J38" s="71">
        <f>ROUND(((SUM(BF133:BF330))*I38),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ROUND((SUM(BG133:BG330)),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ROUND((SUM(BH133:BH330)),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ROUND((SUM(BI133:BI330)),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521004.95999999996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2852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16.5" customHeight="1" x14ac:dyDescent="0.2">
      <c r="B91" s="31"/>
      <c r="E91" s="432" t="str">
        <f>E13</f>
        <v>0001 - PS 01.1 ČS1 - elektro, SŘTP, MaR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J133</f>
        <v>430582.61000000004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J134</f>
        <v>430582.61000000004</v>
      </c>
      <c r="L101" s="96"/>
    </row>
    <row r="102" spans="2:47" s="8" customFormat="1" ht="19.899999999999999" customHeight="1" x14ac:dyDescent="0.2">
      <c r="B102" s="100"/>
      <c r="D102" s="101" t="s">
        <v>2854</v>
      </c>
      <c r="E102" s="102"/>
      <c r="F102" s="102"/>
      <c r="G102" s="102"/>
      <c r="H102" s="102"/>
      <c r="I102" s="102"/>
      <c r="J102" s="103">
        <f>J135</f>
        <v>158862.44</v>
      </c>
      <c r="L102" s="100"/>
    </row>
    <row r="103" spans="2:47" s="8" customFormat="1" ht="19.899999999999999" customHeight="1" x14ac:dyDescent="0.2">
      <c r="B103" s="100"/>
      <c r="D103" s="101" t="s">
        <v>2855</v>
      </c>
      <c r="E103" s="102"/>
      <c r="F103" s="102"/>
      <c r="G103" s="102"/>
      <c r="H103" s="102"/>
      <c r="I103" s="102"/>
      <c r="J103" s="103">
        <f>J240</f>
        <v>130840.69</v>
      </c>
      <c r="L103" s="100"/>
    </row>
    <row r="104" spans="2:47" s="8" customFormat="1" ht="14.85" customHeight="1" x14ac:dyDescent="0.2">
      <c r="B104" s="100"/>
      <c r="D104" s="101" t="s">
        <v>2856</v>
      </c>
      <c r="E104" s="102"/>
      <c r="F104" s="102"/>
      <c r="G104" s="102"/>
      <c r="H104" s="102"/>
      <c r="I104" s="102"/>
      <c r="J104" s="103">
        <f>J241</f>
        <v>18063.07</v>
      </c>
      <c r="L104" s="100"/>
    </row>
    <row r="105" spans="2:47" s="8" customFormat="1" ht="14.85" customHeight="1" x14ac:dyDescent="0.2">
      <c r="B105" s="100"/>
      <c r="D105" s="101" t="s">
        <v>2857</v>
      </c>
      <c r="E105" s="102"/>
      <c r="F105" s="102"/>
      <c r="G105" s="102"/>
      <c r="H105" s="102"/>
      <c r="I105" s="102"/>
      <c r="J105" s="103">
        <f>J252</f>
        <v>112777.62</v>
      </c>
      <c r="L105" s="100"/>
    </row>
    <row r="106" spans="2:47" s="8" customFormat="1" ht="19.899999999999999" customHeight="1" x14ac:dyDescent="0.2">
      <c r="B106" s="100"/>
      <c r="D106" s="101" t="s">
        <v>2858</v>
      </c>
      <c r="E106" s="102"/>
      <c r="F106" s="102"/>
      <c r="G106" s="102"/>
      <c r="H106" s="102"/>
      <c r="I106" s="102"/>
      <c r="J106" s="103">
        <f>J283</f>
        <v>16976.859999999997</v>
      </c>
      <c r="L106" s="100"/>
    </row>
    <row r="107" spans="2:47" s="8" customFormat="1" ht="19.899999999999999" customHeight="1" x14ac:dyDescent="0.2">
      <c r="B107" s="100"/>
      <c r="D107" s="101" t="s">
        <v>2859</v>
      </c>
      <c r="E107" s="102"/>
      <c r="F107" s="102"/>
      <c r="G107" s="102"/>
      <c r="H107" s="102"/>
      <c r="I107" s="102"/>
      <c r="J107" s="103">
        <f>J304</f>
        <v>4761.82</v>
      </c>
      <c r="L107" s="100"/>
    </row>
    <row r="108" spans="2:47" s="8" customFormat="1" ht="19.899999999999999" customHeight="1" x14ac:dyDescent="0.2">
      <c r="B108" s="100"/>
      <c r="D108" s="101" t="s">
        <v>2860</v>
      </c>
      <c r="E108" s="102"/>
      <c r="F108" s="102"/>
      <c r="G108" s="102"/>
      <c r="H108" s="102"/>
      <c r="I108" s="102"/>
      <c r="J108" s="103">
        <f>J313</f>
        <v>105131.48000000001</v>
      </c>
      <c r="L108" s="100"/>
    </row>
    <row r="109" spans="2:47" s="8" customFormat="1" ht="19.899999999999999" customHeight="1" x14ac:dyDescent="0.2">
      <c r="B109" s="100"/>
      <c r="D109" s="101" t="s">
        <v>2861</v>
      </c>
      <c r="E109" s="102"/>
      <c r="F109" s="102"/>
      <c r="G109" s="102"/>
      <c r="H109" s="102"/>
      <c r="I109" s="102"/>
      <c r="J109" s="103">
        <f>J324</f>
        <v>14009.32</v>
      </c>
      <c r="L109" s="100"/>
    </row>
    <row r="110" spans="2:47" s="1" customFormat="1" ht="21.75" customHeight="1" x14ac:dyDescent="0.2">
      <c r="B110" s="31"/>
      <c r="L110" s="31"/>
    </row>
    <row r="111" spans="2:47" s="1" customFormat="1" ht="6.95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12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12" s="1" customFormat="1" ht="24.95" customHeight="1" x14ac:dyDescent="0.2">
      <c r="B116" s="31"/>
      <c r="C116" s="20" t="s">
        <v>267</v>
      </c>
      <c r="L116" s="31"/>
    </row>
    <row r="117" spans="2:12" s="1" customFormat="1" ht="6.95" customHeight="1" x14ac:dyDescent="0.2">
      <c r="B117" s="31"/>
      <c r="L117" s="31"/>
    </row>
    <row r="118" spans="2:12" s="1" customFormat="1" ht="12" customHeight="1" x14ac:dyDescent="0.2">
      <c r="B118" s="31"/>
      <c r="C118" s="26" t="s">
        <v>16</v>
      </c>
      <c r="L118" s="31"/>
    </row>
    <row r="119" spans="2:12" s="1" customFormat="1" ht="16.5" customHeight="1" x14ac:dyDescent="0.2">
      <c r="B119" s="31"/>
      <c r="E119" s="434" t="str">
        <f>E7</f>
        <v>Kanalizace Podlesí - I.Etapa</v>
      </c>
      <c r="F119" s="435"/>
      <c r="G119" s="435"/>
      <c r="H119" s="435"/>
      <c r="L119" s="31"/>
    </row>
    <row r="120" spans="2:12" ht="12" customHeight="1" x14ac:dyDescent="0.2">
      <c r="B120" s="19"/>
      <c r="C120" s="26" t="s">
        <v>244</v>
      </c>
      <c r="L120" s="19"/>
    </row>
    <row r="121" spans="2:12" ht="16.5" customHeight="1" x14ac:dyDescent="0.2">
      <c r="B121" s="19"/>
      <c r="E121" s="434" t="s">
        <v>245</v>
      </c>
      <c r="F121" s="399"/>
      <c r="G121" s="399"/>
      <c r="H121" s="399"/>
      <c r="L121" s="19"/>
    </row>
    <row r="122" spans="2:12" ht="12" customHeight="1" x14ac:dyDescent="0.2">
      <c r="B122" s="19"/>
      <c r="C122" s="26" t="s">
        <v>246</v>
      </c>
      <c r="L122" s="19"/>
    </row>
    <row r="123" spans="2:12" s="1" customFormat="1" ht="16.5" customHeight="1" x14ac:dyDescent="0.2">
      <c r="B123" s="31"/>
      <c r="E123" s="401" t="s">
        <v>2852</v>
      </c>
      <c r="F123" s="433"/>
      <c r="G123" s="433"/>
      <c r="H123" s="433"/>
      <c r="L123" s="31"/>
    </row>
    <row r="124" spans="2:12" s="1" customFormat="1" ht="12" customHeight="1" x14ac:dyDescent="0.2">
      <c r="B124" s="31"/>
      <c r="C124" s="26" t="s">
        <v>1790</v>
      </c>
      <c r="L124" s="31"/>
    </row>
    <row r="125" spans="2:12" s="1" customFormat="1" ht="16.5" customHeight="1" x14ac:dyDescent="0.2">
      <c r="B125" s="31"/>
      <c r="E125" s="432" t="str">
        <f>E13</f>
        <v>0001 - PS 01.1 ČS1 - elektro, SŘTP, MaR</v>
      </c>
      <c r="F125" s="433"/>
      <c r="G125" s="433"/>
      <c r="H125" s="433"/>
      <c r="L125" s="31"/>
    </row>
    <row r="126" spans="2:12" s="1" customFormat="1" ht="6.95" customHeight="1" x14ac:dyDescent="0.2">
      <c r="B126" s="31"/>
      <c r="L126" s="31"/>
    </row>
    <row r="127" spans="2:12" s="1" customFormat="1" ht="12" customHeight="1" x14ac:dyDescent="0.2">
      <c r="B127" s="31"/>
      <c r="C127" s="26" t="s">
        <v>20</v>
      </c>
      <c r="F127" s="24" t="str">
        <f>F16</f>
        <v xml:space="preserve"> </v>
      </c>
      <c r="I127" s="26" t="s">
        <v>22</v>
      </c>
      <c r="J127" s="48" t="str">
        <f>IF(J16="","",J16)</f>
        <v>18. 11. 2020</v>
      </c>
      <c r="L127" s="31"/>
    </row>
    <row r="128" spans="2:12" s="1" customFormat="1" ht="6.95" customHeight="1" x14ac:dyDescent="0.2">
      <c r="B128" s="31"/>
      <c r="L128" s="31"/>
    </row>
    <row r="129" spans="2:65" s="1" customFormat="1" ht="40.15" customHeight="1" x14ac:dyDescent="0.2">
      <c r="B129" s="31"/>
      <c r="C129" s="26" t="s">
        <v>24</v>
      </c>
      <c r="F129" s="24" t="str">
        <f>E19</f>
        <v>Město Petřvald</v>
      </c>
      <c r="I129" s="26" t="s">
        <v>30</v>
      </c>
      <c r="J129" s="29" t="str">
        <f>E25</f>
        <v>Sweco Hydroprojekt a.s., divize Morava</v>
      </c>
      <c r="L129" s="31"/>
    </row>
    <row r="130" spans="2:65" s="1" customFormat="1" ht="15.2" customHeight="1" x14ac:dyDescent="0.2">
      <c r="B130" s="31"/>
      <c r="C130" s="26" t="s">
        <v>28</v>
      </c>
      <c r="F130" s="24" t="str">
        <f>IF(E22="","",E22)</f>
        <v>Společnost Podlesí se sídlem Žitenická 871/1, 190 00 Praha 9</v>
      </c>
      <c r="I130" s="26" t="s">
        <v>33</v>
      </c>
      <c r="J130" s="29" t="str">
        <f>E28</f>
        <v xml:space="preserve"> </v>
      </c>
      <c r="L130" s="31"/>
    </row>
    <row r="131" spans="2:65" s="1" customFormat="1" ht="10.35" customHeight="1" x14ac:dyDescent="0.2">
      <c r="B131" s="31"/>
      <c r="L131" s="31"/>
    </row>
    <row r="132" spans="2:65" s="9" customFormat="1" ht="29.25" customHeight="1" x14ac:dyDescent="0.2">
      <c r="B132" s="104"/>
      <c r="C132" s="105" t="s">
        <v>268</v>
      </c>
      <c r="D132" s="106" t="s">
        <v>59</v>
      </c>
      <c r="E132" s="106" t="s">
        <v>55</v>
      </c>
      <c r="F132" s="106" t="s">
        <v>56</v>
      </c>
      <c r="G132" s="106" t="s">
        <v>269</v>
      </c>
      <c r="H132" s="106" t="s">
        <v>270</v>
      </c>
      <c r="I132" s="106" t="s">
        <v>271</v>
      </c>
      <c r="J132" s="106" t="s">
        <v>255</v>
      </c>
      <c r="K132" s="107" t="s">
        <v>272</v>
      </c>
      <c r="L132" s="104"/>
      <c r="M132" s="52" t="s">
        <v>1</v>
      </c>
      <c r="N132" s="53" t="s">
        <v>39</v>
      </c>
      <c r="O132" s="53" t="s">
        <v>273</v>
      </c>
      <c r="P132" s="53" t="s">
        <v>274</v>
      </c>
      <c r="Q132" s="53" t="s">
        <v>275</v>
      </c>
      <c r="R132" s="53" t="s">
        <v>276</v>
      </c>
      <c r="S132" s="53" t="s">
        <v>277</v>
      </c>
      <c r="T132" s="54" t="s">
        <v>278</v>
      </c>
    </row>
    <row r="133" spans="2:65" s="1" customFormat="1" ht="22.9" customHeight="1" x14ac:dyDescent="0.25">
      <c r="B133" s="31"/>
      <c r="C133" s="57" t="s">
        <v>279</v>
      </c>
      <c r="J133" s="108">
        <f>BK133</f>
        <v>430582.61000000004</v>
      </c>
      <c r="L133" s="31"/>
      <c r="M133" s="55"/>
      <c r="N133" s="49"/>
      <c r="O133" s="49"/>
      <c r="P133" s="109">
        <f>P134</f>
        <v>0</v>
      </c>
      <c r="Q133" s="49"/>
      <c r="R133" s="109">
        <f>R134</f>
        <v>0</v>
      </c>
      <c r="S133" s="49"/>
      <c r="T133" s="110">
        <f>T134</f>
        <v>0</v>
      </c>
      <c r="AT133" s="16" t="s">
        <v>73</v>
      </c>
      <c r="AU133" s="16" t="s">
        <v>257</v>
      </c>
      <c r="BK133" s="111">
        <f>BK134</f>
        <v>430582.61000000004</v>
      </c>
    </row>
    <row r="134" spans="2:65" s="10" customFormat="1" ht="25.9" customHeight="1" x14ac:dyDescent="0.2">
      <c r="B134" s="112"/>
      <c r="D134" s="113" t="s">
        <v>73</v>
      </c>
      <c r="E134" s="114" t="s">
        <v>439</v>
      </c>
      <c r="F134" s="114" t="s">
        <v>1979</v>
      </c>
      <c r="I134" s="115"/>
      <c r="J134" s="116">
        <f>BK134</f>
        <v>430582.61000000004</v>
      </c>
      <c r="L134" s="112"/>
      <c r="M134" s="117"/>
      <c r="P134" s="118">
        <f>P135+P240+P283+P304+P313+P324</f>
        <v>0</v>
      </c>
      <c r="R134" s="118">
        <f>R135+R240+R283+R304+R313+R324</f>
        <v>0</v>
      </c>
      <c r="T134" s="119">
        <f>T135+T240+T283+T304+T313+T324</f>
        <v>0</v>
      </c>
      <c r="AR134" s="113" t="s">
        <v>90</v>
      </c>
      <c r="AT134" s="120" t="s">
        <v>73</v>
      </c>
      <c r="AU134" s="120" t="s">
        <v>74</v>
      </c>
      <c r="AY134" s="113" t="s">
        <v>282</v>
      </c>
      <c r="BK134" s="121">
        <f>BK135+BK240+BK283+BK304+BK313+BK324</f>
        <v>430582.61000000004</v>
      </c>
    </row>
    <row r="135" spans="2:65" s="10" customFormat="1" ht="22.9" customHeight="1" x14ac:dyDescent="0.2">
      <c r="B135" s="112"/>
      <c r="D135" s="113" t="s">
        <v>73</v>
      </c>
      <c r="E135" s="122" t="s">
        <v>1980</v>
      </c>
      <c r="F135" s="122" t="s">
        <v>2862</v>
      </c>
      <c r="I135" s="115"/>
      <c r="J135" s="123">
        <f>BK135</f>
        <v>158862.44</v>
      </c>
      <c r="L135" s="112"/>
      <c r="M135" s="117"/>
      <c r="P135" s="118">
        <f>SUM(P136:P239)</f>
        <v>0</v>
      </c>
      <c r="R135" s="118">
        <f>SUM(R136:R239)</f>
        <v>0</v>
      </c>
      <c r="T135" s="119">
        <f>SUM(T136:T239)</f>
        <v>0</v>
      </c>
      <c r="AR135" s="113" t="s">
        <v>81</v>
      </c>
      <c r="AT135" s="120" t="s">
        <v>73</v>
      </c>
      <c r="AU135" s="120" t="s">
        <v>81</v>
      </c>
      <c r="AY135" s="113" t="s">
        <v>282</v>
      </c>
      <c r="BK135" s="121">
        <f>SUM(BK136:BK239)</f>
        <v>158862.44</v>
      </c>
    </row>
    <row r="136" spans="2:65" s="1" customFormat="1" ht="24.2" customHeight="1" x14ac:dyDescent="0.2">
      <c r="B136" s="124"/>
      <c r="C136" s="125" t="s">
        <v>81</v>
      </c>
      <c r="D136" s="125" t="s">
        <v>284</v>
      </c>
      <c r="E136" s="126" t="s">
        <v>2863</v>
      </c>
      <c r="F136" s="127" t="s">
        <v>2864</v>
      </c>
      <c r="G136" s="128" t="s">
        <v>315</v>
      </c>
      <c r="H136" s="129">
        <v>1</v>
      </c>
      <c r="I136" s="130">
        <v>59317.204616389994</v>
      </c>
      <c r="J136" s="131">
        <f>ROUND(I136*H136,2)</f>
        <v>59317.2</v>
      </c>
      <c r="K136" s="127" t="s">
        <v>1</v>
      </c>
      <c r="L136" s="31"/>
      <c r="M136" s="132" t="s">
        <v>1</v>
      </c>
      <c r="N136" s="133" t="s">
        <v>40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95</v>
      </c>
      <c r="AT136" s="136" t="s">
        <v>284</v>
      </c>
      <c r="AU136" s="136" t="s">
        <v>83</v>
      </c>
      <c r="AY136" s="16" t="s">
        <v>282</v>
      </c>
      <c r="BE136" s="137">
        <f>IF(N136="základní",J136,0)</f>
        <v>59317.2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6" t="s">
        <v>81</v>
      </c>
      <c r="BK136" s="137">
        <f>ROUND(I136*H136,2)</f>
        <v>59317.2</v>
      </c>
      <c r="BL136" s="16" t="s">
        <v>95</v>
      </c>
      <c r="BM136" s="136" t="s">
        <v>83</v>
      </c>
    </row>
    <row r="137" spans="2:65" s="1" customFormat="1" ht="19.5" x14ac:dyDescent="0.2">
      <c r="B137" s="31"/>
      <c r="D137" s="138" t="s">
        <v>289</v>
      </c>
      <c r="F137" s="139" t="s">
        <v>2864</v>
      </c>
      <c r="I137" s="140"/>
      <c r="L137" s="31"/>
      <c r="M137" s="141"/>
      <c r="T137" s="50"/>
      <c r="AT137" s="16" t="s">
        <v>289</v>
      </c>
      <c r="AU137" s="16" t="s">
        <v>83</v>
      </c>
    </row>
    <row r="138" spans="2:65" s="1" customFormat="1" ht="24.2" customHeight="1" x14ac:dyDescent="0.2">
      <c r="B138" s="124"/>
      <c r="C138" s="125" t="s">
        <v>83</v>
      </c>
      <c r="D138" s="125" t="s">
        <v>284</v>
      </c>
      <c r="E138" s="126" t="s">
        <v>2865</v>
      </c>
      <c r="F138" s="127" t="s">
        <v>2866</v>
      </c>
      <c r="G138" s="128" t="s">
        <v>315</v>
      </c>
      <c r="H138" s="129">
        <v>1</v>
      </c>
      <c r="I138" s="130">
        <v>2315.3740570800001</v>
      </c>
      <c r="J138" s="131">
        <f>ROUND(I138*H138,2)</f>
        <v>2315.37</v>
      </c>
      <c r="K138" s="127" t="s">
        <v>1</v>
      </c>
      <c r="L138" s="31"/>
      <c r="M138" s="132" t="s">
        <v>1</v>
      </c>
      <c r="N138" s="133" t="s">
        <v>40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95</v>
      </c>
      <c r="AT138" s="136" t="s">
        <v>284</v>
      </c>
      <c r="AU138" s="136" t="s">
        <v>83</v>
      </c>
      <c r="AY138" s="16" t="s">
        <v>282</v>
      </c>
      <c r="BE138" s="137">
        <f>IF(N138="základní",J138,0)</f>
        <v>2315.37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6" t="s">
        <v>81</v>
      </c>
      <c r="BK138" s="137">
        <f>ROUND(I138*H138,2)</f>
        <v>2315.37</v>
      </c>
      <c r="BL138" s="16" t="s">
        <v>95</v>
      </c>
      <c r="BM138" s="136" t="s">
        <v>95</v>
      </c>
    </row>
    <row r="139" spans="2:65" s="1" customFormat="1" ht="19.5" x14ac:dyDescent="0.2">
      <c r="B139" s="31"/>
      <c r="D139" s="138" t="s">
        <v>289</v>
      </c>
      <c r="F139" s="139" t="s">
        <v>2866</v>
      </c>
      <c r="I139" s="140"/>
      <c r="L139" s="31"/>
      <c r="M139" s="141"/>
      <c r="T139" s="50"/>
      <c r="AT139" s="16" t="s">
        <v>289</v>
      </c>
      <c r="AU139" s="16" t="s">
        <v>83</v>
      </c>
    </row>
    <row r="140" spans="2:65" s="1" customFormat="1" ht="14.45" customHeight="1" x14ac:dyDescent="0.2">
      <c r="B140" s="124"/>
      <c r="C140" s="125" t="s">
        <v>90</v>
      </c>
      <c r="D140" s="125" t="s">
        <v>284</v>
      </c>
      <c r="E140" s="126" t="s">
        <v>2867</v>
      </c>
      <c r="F140" s="127" t="s">
        <v>2868</v>
      </c>
      <c r="G140" s="128" t="s">
        <v>315</v>
      </c>
      <c r="H140" s="129">
        <v>1</v>
      </c>
      <c r="I140" s="130">
        <v>3469.9636902809998</v>
      </c>
      <c r="J140" s="131">
        <f>ROUND(I140*H140,2)</f>
        <v>3469.96</v>
      </c>
      <c r="K140" s="127" t="s">
        <v>1</v>
      </c>
      <c r="L140" s="31"/>
      <c r="M140" s="132" t="s">
        <v>1</v>
      </c>
      <c r="N140" s="133" t="s">
        <v>40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95</v>
      </c>
      <c r="AT140" s="136" t="s">
        <v>284</v>
      </c>
      <c r="AU140" s="136" t="s">
        <v>83</v>
      </c>
      <c r="AY140" s="16" t="s">
        <v>282</v>
      </c>
      <c r="BE140" s="137">
        <f>IF(N140="základní",J140,0)</f>
        <v>3469.96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6" t="s">
        <v>81</v>
      </c>
      <c r="BK140" s="137">
        <f>ROUND(I140*H140,2)</f>
        <v>3469.96</v>
      </c>
      <c r="BL140" s="16" t="s">
        <v>95</v>
      </c>
      <c r="BM140" s="136" t="s">
        <v>318</v>
      </c>
    </row>
    <row r="141" spans="2:65" s="1" customFormat="1" x14ac:dyDescent="0.2">
      <c r="B141" s="31"/>
      <c r="D141" s="138" t="s">
        <v>289</v>
      </c>
      <c r="F141" s="139" t="s">
        <v>2868</v>
      </c>
      <c r="I141" s="140"/>
      <c r="L141" s="31"/>
      <c r="M141" s="141"/>
      <c r="T141" s="50"/>
      <c r="AT141" s="16" t="s">
        <v>289</v>
      </c>
      <c r="AU141" s="16" t="s">
        <v>83</v>
      </c>
    </row>
    <row r="142" spans="2:65" s="1" customFormat="1" ht="24.2" customHeight="1" x14ac:dyDescent="0.2">
      <c r="B142" s="124"/>
      <c r="C142" s="125" t="s">
        <v>95</v>
      </c>
      <c r="D142" s="125" t="s">
        <v>284</v>
      </c>
      <c r="E142" s="126" t="s">
        <v>2869</v>
      </c>
      <c r="F142" s="127" t="s">
        <v>2870</v>
      </c>
      <c r="G142" s="128" t="s">
        <v>2871</v>
      </c>
      <c r="H142" s="129">
        <v>1</v>
      </c>
      <c r="I142" s="130">
        <v>16625.340523259998</v>
      </c>
      <c r="J142" s="131">
        <f>ROUND(I142*H142,2)</f>
        <v>16625.34</v>
      </c>
      <c r="K142" s="127" t="s">
        <v>1</v>
      </c>
      <c r="L142" s="31"/>
      <c r="M142" s="132" t="s">
        <v>1</v>
      </c>
      <c r="N142" s="133" t="s">
        <v>40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95</v>
      </c>
      <c r="AT142" s="136" t="s">
        <v>284</v>
      </c>
      <c r="AU142" s="136" t="s">
        <v>83</v>
      </c>
      <c r="AY142" s="16" t="s">
        <v>282</v>
      </c>
      <c r="BE142" s="137">
        <f>IF(N142="základní",J142,0)</f>
        <v>16625.34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6" t="s">
        <v>81</v>
      </c>
      <c r="BK142" s="137">
        <f>ROUND(I142*H142,2)</f>
        <v>16625.34</v>
      </c>
      <c r="BL142" s="16" t="s">
        <v>95</v>
      </c>
      <c r="BM142" s="136" t="s">
        <v>328</v>
      </c>
    </row>
    <row r="143" spans="2:65" s="1" customFormat="1" ht="19.5" x14ac:dyDescent="0.2">
      <c r="B143" s="31"/>
      <c r="D143" s="138" t="s">
        <v>289</v>
      </c>
      <c r="F143" s="139" t="s">
        <v>2870</v>
      </c>
      <c r="I143" s="140"/>
      <c r="L143" s="31"/>
      <c r="M143" s="141"/>
      <c r="T143" s="50"/>
      <c r="AT143" s="16" t="s">
        <v>289</v>
      </c>
      <c r="AU143" s="16" t="s">
        <v>83</v>
      </c>
    </row>
    <row r="144" spans="2:65" s="1" customFormat="1" ht="14.45" customHeight="1" x14ac:dyDescent="0.2">
      <c r="B144" s="124"/>
      <c r="C144" s="125" t="s">
        <v>312</v>
      </c>
      <c r="D144" s="125" t="s">
        <v>284</v>
      </c>
      <c r="E144" s="126" t="s">
        <v>2872</v>
      </c>
      <c r="F144" s="127" t="s">
        <v>2873</v>
      </c>
      <c r="G144" s="128" t="s">
        <v>2874</v>
      </c>
      <c r="H144" s="129">
        <v>6</v>
      </c>
      <c r="I144" s="130">
        <v>338.42122529599999</v>
      </c>
      <c r="J144" s="131">
        <f>ROUND(I144*H144,2)</f>
        <v>2030.53</v>
      </c>
      <c r="K144" s="127" t="s">
        <v>1</v>
      </c>
      <c r="L144" s="31"/>
      <c r="M144" s="132" t="s">
        <v>1</v>
      </c>
      <c r="N144" s="133" t="s">
        <v>40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95</v>
      </c>
      <c r="AT144" s="136" t="s">
        <v>284</v>
      </c>
      <c r="AU144" s="136" t="s">
        <v>83</v>
      </c>
      <c r="AY144" s="16" t="s">
        <v>282</v>
      </c>
      <c r="BE144" s="137">
        <f>IF(N144="základní",J144,0)</f>
        <v>2030.53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6" t="s">
        <v>81</v>
      </c>
      <c r="BK144" s="137">
        <f>ROUND(I144*H144,2)</f>
        <v>2030.53</v>
      </c>
      <c r="BL144" s="16" t="s">
        <v>95</v>
      </c>
      <c r="BM144" s="136" t="s">
        <v>341</v>
      </c>
    </row>
    <row r="145" spans="2:65" s="1" customFormat="1" x14ac:dyDescent="0.2">
      <c r="B145" s="31"/>
      <c r="D145" s="138" t="s">
        <v>289</v>
      </c>
      <c r="F145" s="139" t="s">
        <v>2873</v>
      </c>
      <c r="I145" s="140"/>
      <c r="L145" s="31"/>
      <c r="M145" s="141"/>
      <c r="T145" s="50"/>
      <c r="AT145" s="16" t="s">
        <v>289</v>
      </c>
      <c r="AU145" s="16" t="s">
        <v>83</v>
      </c>
    </row>
    <row r="146" spans="2:65" s="1" customFormat="1" ht="14.45" customHeight="1" x14ac:dyDescent="0.2">
      <c r="B146" s="124"/>
      <c r="C146" s="125" t="s">
        <v>318</v>
      </c>
      <c r="D146" s="125" t="s">
        <v>284</v>
      </c>
      <c r="E146" s="126" t="s">
        <v>2875</v>
      </c>
      <c r="F146" s="127" t="s">
        <v>2876</v>
      </c>
      <c r="G146" s="128" t="s">
        <v>2874</v>
      </c>
      <c r="H146" s="129">
        <v>2</v>
      </c>
      <c r="I146" s="130">
        <v>303.94257381599999</v>
      </c>
      <c r="J146" s="131">
        <f>ROUND(I146*H146,2)</f>
        <v>607.89</v>
      </c>
      <c r="K146" s="127" t="s">
        <v>1</v>
      </c>
      <c r="L146" s="31"/>
      <c r="M146" s="132" t="s">
        <v>1</v>
      </c>
      <c r="N146" s="133" t="s">
        <v>40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95</v>
      </c>
      <c r="AT146" s="136" t="s">
        <v>284</v>
      </c>
      <c r="AU146" s="136" t="s">
        <v>83</v>
      </c>
      <c r="AY146" s="16" t="s">
        <v>282</v>
      </c>
      <c r="BE146" s="137">
        <f>IF(N146="základní",J146,0)</f>
        <v>607.89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81</v>
      </c>
      <c r="BK146" s="137">
        <f>ROUND(I146*H146,2)</f>
        <v>607.89</v>
      </c>
      <c r="BL146" s="16" t="s">
        <v>95</v>
      </c>
      <c r="BM146" s="136" t="s">
        <v>327</v>
      </c>
    </row>
    <row r="147" spans="2:65" s="1" customFormat="1" x14ac:dyDescent="0.2">
      <c r="B147" s="31"/>
      <c r="D147" s="138" t="s">
        <v>289</v>
      </c>
      <c r="F147" s="139" t="s">
        <v>2876</v>
      </c>
      <c r="I147" s="140"/>
      <c r="L147" s="31"/>
      <c r="M147" s="141"/>
      <c r="T147" s="50"/>
      <c r="AT147" s="16" t="s">
        <v>289</v>
      </c>
      <c r="AU147" s="16" t="s">
        <v>83</v>
      </c>
    </row>
    <row r="148" spans="2:65" s="1" customFormat="1" ht="14.45" customHeight="1" x14ac:dyDescent="0.2">
      <c r="B148" s="124"/>
      <c r="C148" s="125" t="s">
        <v>323</v>
      </c>
      <c r="D148" s="125" t="s">
        <v>284</v>
      </c>
      <c r="E148" s="126" t="s">
        <v>2877</v>
      </c>
      <c r="F148" s="127" t="s">
        <v>2878</v>
      </c>
      <c r="G148" s="128" t="s">
        <v>2874</v>
      </c>
      <c r="H148" s="129">
        <v>1</v>
      </c>
      <c r="I148" s="130">
        <v>1092.9732519160002</v>
      </c>
      <c r="J148" s="131">
        <f>ROUND(I148*H148,2)</f>
        <v>1092.97</v>
      </c>
      <c r="K148" s="127" t="s">
        <v>1</v>
      </c>
      <c r="L148" s="31"/>
      <c r="M148" s="132" t="s">
        <v>1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95</v>
      </c>
      <c r="AT148" s="136" t="s">
        <v>284</v>
      </c>
      <c r="AU148" s="136" t="s">
        <v>83</v>
      </c>
      <c r="AY148" s="16" t="s">
        <v>282</v>
      </c>
      <c r="BE148" s="137">
        <f>IF(N148="základní",J148,0)</f>
        <v>1092.97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81</v>
      </c>
      <c r="BK148" s="137">
        <f>ROUND(I148*H148,2)</f>
        <v>1092.97</v>
      </c>
      <c r="BL148" s="16" t="s">
        <v>95</v>
      </c>
      <c r="BM148" s="136" t="s">
        <v>363</v>
      </c>
    </row>
    <row r="149" spans="2:65" s="1" customFormat="1" x14ac:dyDescent="0.2">
      <c r="B149" s="31"/>
      <c r="D149" s="138" t="s">
        <v>289</v>
      </c>
      <c r="F149" s="139" t="s">
        <v>2878</v>
      </c>
      <c r="I149" s="140"/>
      <c r="L149" s="31"/>
      <c r="M149" s="141"/>
      <c r="T149" s="50"/>
      <c r="AT149" s="16" t="s">
        <v>289</v>
      </c>
      <c r="AU149" s="16" t="s">
        <v>83</v>
      </c>
    </row>
    <row r="150" spans="2:65" s="1" customFormat="1" ht="14.45" customHeight="1" x14ac:dyDescent="0.2">
      <c r="B150" s="124"/>
      <c r="C150" s="125" t="s">
        <v>328</v>
      </c>
      <c r="D150" s="125" t="s">
        <v>284</v>
      </c>
      <c r="E150" s="126" t="s">
        <v>2879</v>
      </c>
      <c r="F150" s="127" t="s">
        <v>2880</v>
      </c>
      <c r="G150" s="128" t="s">
        <v>2874</v>
      </c>
      <c r="H150" s="129">
        <v>1</v>
      </c>
      <c r="I150" s="130">
        <v>1199.3929358109999</v>
      </c>
      <c r="J150" s="131">
        <f>ROUND(I150*H150,2)</f>
        <v>1199.3900000000001</v>
      </c>
      <c r="K150" s="127" t="s">
        <v>1</v>
      </c>
      <c r="L150" s="31"/>
      <c r="M150" s="132" t="s">
        <v>1</v>
      </c>
      <c r="N150" s="133" t="s">
        <v>40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95</v>
      </c>
      <c r="AT150" s="136" t="s">
        <v>284</v>
      </c>
      <c r="AU150" s="136" t="s">
        <v>83</v>
      </c>
      <c r="AY150" s="16" t="s">
        <v>282</v>
      </c>
      <c r="BE150" s="137">
        <f>IF(N150="základní",J150,0)</f>
        <v>1199.3900000000001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81</v>
      </c>
      <c r="BK150" s="137">
        <f>ROUND(I150*H150,2)</f>
        <v>1199.3900000000001</v>
      </c>
      <c r="BL150" s="16" t="s">
        <v>95</v>
      </c>
      <c r="BM150" s="136" t="s">
        <v>379</v>
      </c>
    </row>
    <row r="151" spans="2:65" s="1" customFormat="1" x14ac:dyDescent="0.2">
      <c r="B151" s="31"/>
      <c r="D151" s="138" t="s">
        <v>289</v>
      </c>
      <c r="F151" s="139" t="s">
        <v>2880</v>
      </c>
      <c r="I151" s="140"/>
      <c r="L151" s="31"/>
      <c r="M151" s="141"/>
      <c r="T151" s="50"/>
      <c r="AT151" s="16" t="s">
        <v>289</v>
      </c>
      <c r="AU151" s="16" t="s">
        <v>83</v>
      </c>
    </row>
    <row r="152" spans="2:65" s="1" customFormat="1" ht="14.45" customHeight="1" x14ac:dyDescent="0.2">
      <c r="B152" s="124"/>
      <c r="C152" s="125" t="s">
        <v>335</v>
      </c>
      <c r="D152" s="125" t="s">
        <v>284</v>
      </c>
      <c r="E152" s="126" t="s">
        <v>2881</v>
      </c>
      <c r="F152" s="127" t="s">
        <v>2882</v>
      </c>
      <c r="G152" s="128" t="s">
        <v>2874</v>
      </c>
      <c r="H152" s="129">
        <v>1</v>
      </c>
      <c r="I152" s="130">
        <v>2164.1984313600001</v>
      </c>
      <c r="J152" s="131">
        <f>ROUND(I152*H152,2)</f>
        <v>2164.1999999999998</v>
      </c>
      <c r="K152" s="127" t="s">
        <v>1</v>
      </c>
      <c r="L152" s="31"/>
      <c r="M152" s="132" t="s">
        <v>1</v>
      </c>
      <c r="N152" s="133" t="s">
        <v>40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95</v>
      </c>
      <c r="AT152" s="136" t="s">
        <v>284</v>
      </c>
      <c r="AU152" s="136" t="s">
        <v>83</v>
      </c>
      <c r="AY152" s="16" t="s">
        <v>282</v>
      </c>
      <c r="BE152" s="137">
        <f>IF(N152="základní",J152,0)</f>
        <v>2164.1999999999998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81</v>
      </c>
      <c r="BK152" s="137">
        <f>ROUND(I152*H152,2)</f>
        <v>2164.1999999999998</v>
      </c>
      <c r="BL152" s="16" t="s">
        <v>95</v>
      </c>
      <c r="BM152" s="136" t="s">
        <v>392</v>
      </c>
    </row>
    <row r="153" spans="2:65" s="1" customFormat="1" x14ac:dyDescent="0.2">
      <c r="B153" s="31"/>
      <c r="D153" s="138" t="s">
        <v>289</v>
      </c>
      <c r="F153" s="139" t="s">
        <v>2882</v>
      </c>
      <c r="I153" s="140"/>
      <c r="L153" s="31"/>
      <c r="M153" s="141"/>
      <c r="T153" s="50"/>
      <c r="AT153" s="16" t="s">
        <v>289</v>
      </c>
      <c r="AU153" s="16" t="s">
        <v>83</v>
      </c>
    </row>
    <row r="154" spans="2:65" s="1" customFormat="1" ht="14.45" customHeight="1" x14ac:dyDescent="0.2">
      <c r="B154" s="124"/>
      <c r="C154" s="125" t="s">
        <v>341</v>
      </c>
      <c r="D154" s="125" t="s">
        <v>284</v>
      </c>
      <c r="E154" s="126" t="s">
        <v>2883</v>
      </c>
      <c r="F154" s="127" t="s">
        <v>2884</v>
      </c>
      <c r="G154" s="128" t="s">
        <v>2874</v>
      </c>
      <c r="H154" s="129">
        <v>1</v>
      </c>
      <c r="I154" s="130">
        <v>715.03418761599994</v>
      </c>
      <c r="J154" s="131">
        <f>ROUND(I154*H154,2)</f>
        <v>715.03</v>
      </c>
      <c r="K154" s="127" t="s">
        <v>1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95</v>
      </c>
      <c r="AT154" s="136" t="s">
        <v>284</v>
      </c>
      <c r="AU154" s="136" t="s">
        <v>83</v>
      </c>
      <c r="AY154" s="16" t="s">
        <v>282</v>
      </c>
      <c r="BE154" s="137">
        <f>IF(N154="základní",J154,0)</f>
        <v>715.03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81</v>
      </c>
      <c r="BK154" s="137">
        <f>ROUND(I154*H154,2)</f>
        <v>715.03</v>
      </c>
      <c r="BL154" s="16" t="s">
        <v>95</v>
      </c>
      <c r="BM154" s="136" t="s">
        <v>404</v>
      </c>
    </row>
    <row r="155" spans="2:65" s="1" customFormat="1" x14ac:dyDescent="0.2">
      <c r="B155" s="31"/>
      <c r="D155" s="138" t="s">
        <v>289</v>
      </c>
      <c r="F155" s="139" t="s">
        <v>2884</v>
      </c>
      <c r="I155" s="140"/>
      <c r="L155" s="31"/>
      <c r="M155" s="141"/>
      <c r="T155" s="50"/>
      <c r="AT155" s="16" t="s">
        <v>289</v>
      </c>
      <c r="AU155" s="16" t="s">
        <v>83</v>
      </c>
    </row>
    <row r="156" spans="2:65" s="1" customFormat="1" ht="14.45" customHeight="1" x14ac:dyDescent="0.2">
      <c r="B156" s="124"/>
      <c r="C156" s="125" t="s">
        <v>348</v>
      </c>
      <c r="D156" s="125" t="s">
        <v>284</v>
      </c>
      <c r="E156" s="126" t="s">
        <v>2885</v>
      </c>
      <c r="F156" s="127" t="s">
        <v>2886</v>
      </c>
      <c r="G156" s="128" t="s">
        <v>2874</v>
      </c>
      <c r="H156" s="129">
        <v>1</v>
      </c>
      <c r="I156" s="130">
        <v>1030.7127639550001</v>
      </c>
      <c r="J156" s="131">
        <f>ROUND(I156*H156,2)</f>
        <v>1030.71</v>
      </c>
      <c r="K156" s="127" t="s">
        <v>1</v>
      </c>
      <c r="L156" s="31"/>
      <c r="M156" s="132" t="s">
        <v>1</v>
      </c>
      <c r="N156" s="133" t="s">
        <v>40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95</v>
      </c>
      <c r="AT156" s="136" t="s">
        <v>284</v>
      </c>
      <c r="AU156" s="136" t="s">
        <v>83</v>
      </c>
      <c r="AY156" s="16" t="s">
        <v>282</v>
      </c>
      <c r="BE156" s="137">
        <f>IF(N156="základní",J156,0)</f>
        <v>1030.71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6" t="s">
        <v>81</v>
      </c>
      <c r="BK156" s="137">
        <f>ROUND(I156*H156,2)</f>
        <v>1030.71</v>
      </c>
      <c r="BL156" s="16" t="s">
        <v>95</v>
      </c>
      <c r="BM156" s="136" t="s">
        <v>415</v>
      </c>
    </row>
    <row r="157" spans="2:65" s="1" customFormat="1" x14ac:dyDescent="0.2">
      <c r="B157" s="31"/>
      <c r="D157" s="138" t="s">
        <v>289</v>
      </c>
      <c r="F157" s="139" t="s">
        <v>2886</v>
      </c>
      <c r="I157" s="140"/>
      <c r="L157" s="31"/>
      <c r="M157" s="141"/>
      <c r="T157" s="50"/>
      <c r="AT157" s="16" t="s">
        <v>289</v>
      </c>
      <c r="AU157" s="16" t="s">
        <v>83</v>
      </c>
    </row>
    <row r="158" spans="2:65" s="1" customFormat="1" ht="14.45" customHeight="1" x14ac:dyDescent="0.2">
      <c r="B158" s="124"/>
      <c r="C158" s="125" t="s">
        <v>327</v>
      </c>
      <c r="D158" s="125" t="s">
        <v>284</v>
      </c>
      <c r="E158" s="126" t="s">
        <v>2887</v>
      </c>
      <c r="F158" s="127" t="s">
        <v>2888</v>
      </c>
      <c r="G158" s="128" t="s">
        <v>2874</v>
      </c>
      <c r="H158" s="129">
        <v>1</v>
      </c>
      <c r="I158" s="130">
        <v>3265.9239563440001</v>
      </c>
      <c r="J158" s="131">
        <f>ROUND(I158*H158,2)</f>
        <v>3265.92</v>
      </c>
      <c r="K158" s="127" t="s">
        <v>1</v>
      </c>
      <c r="L158" s="31"/>
      <c r="M158" s="132" t="s">
        <v>1</v>
      </c>
      <c r="N158" s="133" t="s">
        <v>40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95</v>
      </c>
      <c r="AT158" s="136" t="s">
        <v>284</v>
      </c>
      <c r="AU158" s="136" t="s">
        <v>83</v>
      </c>
      <c r="AY158" s="16" t="s">
        <v>282</v>
      </c>
      <c r="BE158" s="137">
        <f>IF(N158="základní",J158,0)</f>
        <v>3265.92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6" t="s">
        <v>81</v>
      </c>
      <c r="BK158" s="137">
        <f>ROUND(I158*H158,2)</f>
        <v>3265.92</v>
      </c>
      <c r="BL158" s="16" t="s">
        <v>95</v>
      </c>
      <c r="BM158" s="136" t="s">
        <v>438</v>
      </c>
    </row>
    <row r="159" spans="2:65" s="1" customFormat="1" x14ac:dyDescent="0.2">
      <c r="B159" s="31"/>
      <c r="D159" s="138" t="s">
        <v>289</v>
      </c>
      <c r="F159" s="139" t="s">
        <v>2888</v>
      </c>
      <c r="I159" s="140"/>
      <c r="L159" s="31"/>
      <c r="M159" s="141"/>
      <c r="T159" s="50"/>
      <c r="AT159" s="16" t="s">
        <v>289</v>
      </c>
      <c r="AU159" s="16" t="s">
        <v>83</v>
      </c>
    </row>
    <row r="160" spans="2:65" s="1" customFormat="1" ht="24.2" customHeight="1" x14ac:dyDescent="0.2">
      <c r="B160" s="124"/>
      <c r="C160" s="125" t="s">
        <v>359</v>
      </c>
      <c r="D160" s="125" t="s">
        <v>284</v>
      </c>
      <c r="E160" s="126" t="s">
        <v>2889</v>
      </c>
      <c r="F160" s="127" t="s">
        <v>2890</v>
      </c>
      <c r="G160" s="128" t="s">
        <v>315</v>
      </c>
      <c r="H160" s="129">
        <v>2</v>
      </c>
      <c r="I160" s="130">
        <v>329.22376084899997</v>
      </c>
      <c r="J160" s="131">
        <f>ROUND(I160*H160,2)</f>
        <v>658.45</v>
      </c>
      <c r="K160" s="127" t="s">
        <v>1</v>
      </c>
      <c r="L160" s="31"/>
      <c r="M160" s="132" t="s">
        <v>1</v>
      </c>
      <c r="N160" s="133" t="s">
        <v>40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95</v>
      </c>
      <c r="AT160" s="136" t="s">
        <v>284</v>
      </c>
      <c r="AU160" s="136" t="s">
        <v>83</v>
      </c>
      <c r="AY160" s="16" t="s">
        <v>282</v>
      </c>
      <c r="BE160" s="137">
        <f>IF(N160="základní",J160,0)</f>
        <v>658.45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6" t="s">
        <v>81</v>
      </c>
      <c r="BK160" s="137">
        <f>ROUND(I160*H160,2)</f>
        <v>658.45</v>
      </c>
      <c r="BL160" s="16" t="s">
        <v>95</v>
      </c>
      <c r="BM160" s="136" t="s">
        <v>451</v>
      </c>
    </row>
    <row r="161" spans="2:65" s="1" customFormat="1" ht="19.5" x14ac:dyDescent="0.2">
      <c r="B161" s="31"/>
      <c r="D161" s="138" t="s">
        <v>289</v>
      </c>
      <c r="F161" s="139" t="s">
        <v>2890</v>
      </c>
      <c r="I161" s="140"/>
      <c r="L161" s="31"/>
      <c r="M161" s="141"/>
      <c r="T161" s="50"/>
      <c r="AT161" s="16" t="s">
        <v>289</v>
      </c>
      <c r="AU161" s="16" t="s">
        <v>83</v>
      </c>
    </row>
    <row r="162" spans="2:65" s="1" customFormat="1" ht="24.2" customHeight="1" x14ac:dyDescent="0.2">
      <c r="B162" s="124"/>
      <c r="C162" s="125" t="s">
        <v>363</v>
      </c>
      <c r="D162" s="125" t="s">
        <v>284</v>
      </c>
      <c r="E162" s="126" t="s">
        <v>2891</v>
      </c>
      <c r="F162" s="127" t="s">
        <v>2892</v>
      </c>
      <c r="G162" s="128" t="s">
        <v>315</v>
      </c>
      <c r="H162" s="129">
        <v>2</v>
      </c>
      <c r="I162" s="130">
        <v>329.22376084899997</v>
      </c>
      <c r="J162" s="131">
        <f>ROUND(I162*H162,2)</f>
        <v>658.45</v>
      </c>
      <c r="K162" s="127" t="s">
        <v>1</v>
      </c>
      <c r="L162" s="31"/>
      <c r="M162" s="132" t="s">
        <v>1</v>
      </c>
      <c r="N162" s="133" t="s">
        <v>40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95</v>
      </c>
      <c r="AT162" s="136" t="s">
        <v>284</v>
      </c>
      <c r="AU162" s="136" t="s">
        <v>83</v>
      </c>
      <c r="AY162" s="16" t="s">
        <v>282</v>
      </c>
      <c r="BE162" s="137">
        <f>IF(N162="základní",J162,0)</f>
        <v>658.45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6" t="s">
        <v>81</v>
      </c>
      <c r="BK162" s="137">
        <f>ROUND(I162*H162,2)</f>
        <v>658.45</v>
      </c>
      <c r="BL162" s="16" t="s">
        <v>95</v>
      </c>
      <c r="BM162" s="136" t="s">
        <v>463</v>
      </c>
    </row>
    <row r="163" spans="2:65" s="1" customFormat="1" ht="19.5" x14ac:dyDescent="0.2">
      <c r="B163" s="31"/>
      <c r="D163" s="138" t="s">
        <v>289</v>
      </c>
      <c r="F163" s="139" t="s">
        <v>2892</v>
      </c>
      <c r="I163" s="140"/>
      <c r="L163" s="31"/>
      <c r="M163" s="141"/>
      <c r="T163" s="50"/>
      <c r="AT163" s="16" t="s">
        <v>289</v>
      </c>
      <c r="AU163" s="16" t="s">
        <v>83</v>
      </c>
    </row>
    <row r="164" spans="2:65" s="1" customFormat="1" ht="24.2" customHeight="1" x14ac:dyDescent="0.2">
      <c r="B164" s="124"/>
      <c r="C164" s="125" t="s">
        <v>8</v>
      </c>
      <c r="D164" s="125" t="s">
        <v>284</v>
      </c>
      <c r="E164" s="126" t="s">
        <v>2893</v>
      </c>
      <c r="F164" s="127" t="s">
        <v>2894</v>
      </c>
      <c r="G164" s="128" t="s">
        <v>315</v>
      </c>
      <c r="H164" s="129">
        <v>2</v>
      </c>
      <c r="I164" s="130">
        <v>5342.4196860410002</v>
      </c>
      <c r="J164" s="131">
        <f>ROUND(I164*H164,2)</f>
        <v>10684.84</v>
      </c>
      <c r="K164" s="127" t="s">
        <v>1</v>
      </c>
      <c r="L164" s="31"/>
      <c r="M164" s="132" t="s">
        <v>1</v>
      </c>
      <c r="N164" s="133" t="s">
        <v>40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95</v>
      </c>
      <c r="AT164" s="136" t="s">
        <v>284</v>
      </c>
      <c r="AU164" s="136" t="s">
        <v>83</v>
      </c>
      <c r="AY164" s="16" t="s">
        <v>282</v>
      </c>
      <c r="BE164" s="137">
        <f>IF(N164="základní",J164,0)</f>
        <v>10684.84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6" t="s">
        <v>81</v>
      </c>
      <c r="BK164" s="137">
        <f>ROUND(I164*H164,2)</f>
        <v>10684.84</v>
      </c>
      <c r="BL164" s="16" t="s">
        <v>95</v>
      </c>
      <c r="BM164" s="136" t="s">
        <v>476</v>
      </c>
    </row>
    <row r="165" spans="2:65" s="1" customFormat="1" ht="19.5" x14ac:dyDescent="0.2">
      <c r="B165" s="31"/>
      <c r="D165" s="138" t="s">
        <v>289</v>
      </c>
      <c r="F165" s="139" t="s">
        <v>2894</v>
      </c>
      <c r="I165" s="140"/>
      <c r="L165" s="31"/>
      <c r="M165" s="141"/>
      <c r="T165" s="50"/>
      <c r="AT165" s="16" t="s">
        <v>289</v>
      </c>
      <c r="AU165" s="16" t="s">
        <v>83</v>
      </c>
    </row>
    <row r="166" spans="2:65" s="1" customFormat="1" ht="14.45" customHeight="1" x14ac:dyDescent="0.2">
      <c r="B166" s="124"/>
      <c r="C166" s="125" t="s">
        <v>379</v>
      </c>
      <c r="D166" s="125" t="s">
        <v>284</v>
      </c>
      <c r="E166" s="126" t="s">
        <v>2895</v>
      </c>
      <c r="F166" s="127" t="s">
        <v>2896</v>
      </c>
      <c r="G166" s="128" t="s">
        <v>315</v>
      </c>
      <c r="H166" s="129">
        <v>2</v>
      </c>
      <c r="I166" s="130">
        <v>1606.7904083809999</v>
      </c>
      <c r="J166" s="131">
        <f>ROUND(I166*H166,2)</f>
        <v>3213.58</v>
      </c>
      <c r="K166" s="127" t="s">
        <v>1</v>
      </c>
      <c r="L166" s="31"/>
      <c r="M166" s="132" t="s">
        <v>1</v>
      </c>
      <c r="N166" s="133" t="s">
        <v>40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95</v>
      </c>
      <c r="AT166" s="136" t="s">
        <v>284</v>
      </c>
      <c r="AU166" s="136" t="s">
        <v>83</v>
      </c>
      <c r="AY166" s="16" t="s">
        <v>282</v>
      </c>
      <c r="BE166" s="137">
        <f>IF(N166="základní",J166,0)</f>
        <v>3213.58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81</v>
      </c>
      <c r="BK166" s="137">
        <f>ROUND(I166*H166,2)</f>
        <v>3213.58</v>
      </c>
      <c r="BL166" s="16" t="s">
        <v>95</v>
      </c>
      <c r="BM166" s="136" t="s">
        <v>489</v>
      </c>
    </row>
    <row r="167" spans="2:65" s="1" customFormat="1" x14ac:dyDescent="0.2">
      <c r="B167" s="31"/>
      <c r="D167" s="138" t="s">
        <v>289</v>
      </c>
      <c r="F167" s="139" t="s">
        <v>2896</v>
      </c>
      <c r="I167" s="140"/>
      <c r="L167" s="31"/>
      <c r="M167" s="141"/>
      <c r="T167" s="50"/>
      <c r="AT167" s="16" t="s">
        <v>289</v>
      </c>
      <c r="AU167" s="16" t="s">
        <v>83</v>
      </c>
    </row>
    <row r="168" spans="2:65" s="1" customFormat="1" ht="24.2" customHeight="1" x14ac:dyDescent="0.2">
      <c r="B168" s="124"/>
      <c r="C168" s="125" t="s">
        <v>386</v>
      </c>
      <c r="D168" s="125" t="s">
        <v>284</v>
      </c>
      <c r="E168" s="126" t="s">
        <v>2897</v>
      </c>
      <c r="F168" s="127" t="s">
        <v>2898</v>
      </c>
      <c r="G168" s="128" t="s">
        <v>315</v>
      </c>
      <c r="H168" s="129">
        <v>2</v>
      </c>
      <c r="I168" s="130">
        <v>451.31986457900001</v>
      </c>
      <c r="J168" s="131">
        <f>ROUND(I168*H168,2)</f>
        <v>902.64</v>
      </c>
      <c r="K168" s="127" t="s">
        <v>1</v>
      </c>
      <c r="L168" s="31"/>
      <c r="M168" s="132" t="s">
        <v>1</v>
      </c>
      <c r="N168" s="133" t="s">
        <v>40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95</v>
      </c>
      <c r="AT168" s="136" t="s">
        <v>284</v>
      </c>
      <c r="AU168" s="136" t="s">
        <v>83</v>
      </c>
      <c r="AY168" s="16" t="s">
        <v>282</v>
      </c>
      <c r="BE168" s="137">
        <f>IF(N168="základní",J168,0)</f>
        <v>902.64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6" t="s">
        <v>81</v>
      </c>
      <c r="BK168" s="137">
        <f>ROUND(I168*H168,2)</f>
        <v>902.64</v>
      </c>
      <c r="BL168" s="16" t="s">
        <v>95</v>
      </c>
      <c r="BM168" s="136" t="s">
        <v>497</v>
      </c>
    </row>
    <row r="169" spans="2:65" s="1" customFormat="1" x14ac:dyDescent="0.2">
      <c r="B169" s="31"/>
      <c r="D169" s="138" t="s">
        <v>289</v>
      </c>
      <c r="F169" s="139" t="s">
        <v>2898</v>
      </c>
      <c r="I169" s="140"/>
      <c r="L169" s="31"/>
      <c r="M169" s="141"/>
      <c r="T169" s="50"/>
      <c r="AT169" s="16" t="s">
        <v>289</v>
      </c>
      <c r="AU169" s="16" t="s">
        <v>83</v>
      </c>
    </row>
    <row r="170" spans="2:65" s="1" customFormat="1" ht="14.45" customHeight="1" x14ac:dyDescent="0.2">
      <c r="B170" s="124"/>
      <c r="C170" s="125" t="s">
        <v>392</v>
      </c>
      <c r="D170" s="125" t="s">
        <v>284</v>
      </c>
      <c r="E170" s="126" t="s">
        <v>2899</v>
      </c>
      <c r="F170" s="127" t="s">
        <v>2900</v>
      </c>
      <c r="G170" s="128" t="s">
        <v>315</v>
      </c>
      <c r="H170" s="129">
        <v>2</v>
      </c>
      <c r="I170" s="130">
        <v>978.218069861</v>
      </c>
      <c r="J170" s="131">
        <f>ROUND(I170*H170,2)</f>
        <v>1956.44</v>
      </c>
      <c r="K170" s="127" t="s">
        <v>1</v>
      </c>
      <c r="L170" s="31"/>
      <c r="M170" s="132" t="s">
        <v>1</v>
      </c>
      <c r="N170" s="133" t="s">
        <v>40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95</v>
      </c>
      <c r="AT170" s="136" t="s">
        <v>284</v>
      </c>
      <c r="AU170" s="136" t="s">
        <v>83</v>
      </c>
      <c r="AY170" s="16" t="s">
        <v>282</v>
      </c>
      <c r="BE170" s="137">
        <f>IF(N170="základní",J170,0)</f>
        <v>1956.44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6" t="s">
        <v>81</v>
      </c>
      <c r="BK170" s="137">
        <f>ROUND(I170*H170,2)</f>
        <v>1956.44</v>
      </c>
      <c r="BL170" s="16" t="s">
        <v>95</v>
      </c>
      <c r="BM170" s="136" t="s">
        <v>505</v>
      </c>
    </row>
    <row r="171" spans="2:65" s="1" customFormat="1" x14ac:dyDescent="0.2">
      <c r="B171" s="31"/>
      <c r="D171" s="138" t="s">
        <v>289</v>
      </c>
      <c r="F171" s="139" t="s">
        <v>2900</v>
      </c>
      <c r="I171" s="140"/>
      <c r="L171" s="31"/>
      <c r="M171" s="141"/>
      <c r="T171" s="50"/>
      <c r="AT171" s="16" t="s">
        <v>289</v>
      </c>
      <c r="AU171" s="16" t="s">
        <v>83</v>
      </c>
    </row>
    <row r="172" spans="2:65" s="1" customFormat="1" ht="24.2" customHeight="1" x14ac:dyDescent="0.2">
      <c r="B172" s="124"/>
      <c r="C172" s="125" t="s">
        <v>397</v>
      </c>
      <c r="D172" s="125" t="s">
        <v>284</v>
      </c>
      <c r="E172" s="126" t="s">
        <v>2901</v>
      </c>
      <c r="F172" s="127" t="s">
        <v>2902</v>
      </c>
      <c r="G172" s="128" t="s">
        <v>315</v>
      </c>
      <c r="H172" s="129">
        <v>1</v>
      </c>
      <c r="I172" s="130">
        <v>1714.204668761</v>
      </c>
      <c r="J172" s="131">
        <f>ROUND(I172*H172,2)</f>
        <v>1714.2</v>
      </c>
      <c r="K172" s="127" t="s">
        <v>1</v>
      </c>
      <c r="L172" s="31"/>
      <c r="M172" s="132" t="s">
        <v>1</v>
      </c>
      <c r="N172" s="133" t="s">
        <v>40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95</v>
      </c>
      <c r="AT172" s="136" t="s">
        <v>284</v>
      </c>
      <c r="AU172" s="136" t="s">
        <v>83</v>
      </c>
      <c r="AY172" s="16" t="s">
        <v>282</v>
      </c>
      <c r="BE172" s="137">
        <f>IF(N172="základní",J172,0)</f>
        <v>1714.2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81</v>
      </c>
      <c r="BK172" s="137">
        <f>ROUND(I172*H172,2)</f>
        <v>1714.2</v>
      </c>
      <c r="BL172" s="16" t="s">
        <v>95</v>
      </c>
      <c r="BM172" s="136" t="s">
        <v>514</v>
      </c>
    </row>
    <row r="173" spans="2:65" s="1" customFormat="1" x14ac:dyDescent="0.2">
      <c r="B173" s="31"/>
      <c r="D173" s="138" t="s">
        <v>289</v>
      </c>
      <c r="F173" s="139" t="s">
        <v>2902</v>
      </c>
      <c r="I173" s="140"/>
      <c r="L173" s="31"/>
      <c r="M173" s="141"/>
      <c r="T173" s="50"/>
      <c r="AT173" s="16" t="s">
        <v>289</v>
      </c>
      <c r="AU173" s="16" t="s">
        <v>83</v>
      </c>
    </row>
    <row r="174" spans="2:65" s="1" customFormat="1" ht="14.45" customHeight="1" x14ac:dyDescent="0.2">
      <c r="B174" s="124"/>
      <c r="C174" s="125" t="s">
        <v>404</v>
      </c>
      <c r="D174" s="125" t="s">
        <v>284</v>
      </c>
      <c r="E174" s="126" t="s">
        <v>2903</v>
      </c>
      <c r="F174" s="127" t="s">
        <v>2904</v>
      </c>
      <c r="G174" s="128" t="s">
        <v>315</v>
      </c>
      <c r="H174" s="129">
        <v>1</v>
      </c>
      <c r="I174" s="130">
        <v>1565.2171113080001</v>
      </c>
      <c r="J174" s="131">
        <f>ROUND(I174*H174,2)</f>
        <v>1565.22</v>
      </c>
      <c r="K174" s="127" t="s">
        <v>1</v>
      </c>
      <c r="L174" s="31"/>
      <c r="M174" s="132" t="s">
        <v>1</v>
      </c>
      <c r="N174" s="133" t="s">
        <v>40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95</v>
      </c>
      <c r="AT174" s="136" t="s">
        <v>284</v>
      </c>
      <c r="AU174" s="136" t="s">
        <v>83</v>
      </c>
      <c r="AY174" s="16" t="s">
        <v>282</v>
      </c>
      <c r="BE174" s="137">
        <f>IF(N174="základní",J174,0)</f>
        <v>1565.22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6" t="s">
        <v>81</v>
      </c>
      <c r="BK174" s="137">
        <f>ROUND(I174*H174,2)</f>
        <v>1565.22</v>
      </c>
      <c r="BL174" s="16" t="s">
        <v>95</v>
      </c>
      <c r="BM174" s="136" t="s">
        <v>526</v>
      </c>
    </row>
    <row r="175" spans="2:65" s="1" customFormat="1" x14ac:dyDescent="0.2">
      <c r="B175" s="31"/>
      <c r="D175" s="138" t="s">
        <v>289</v>
      </c>
      <c r="F175" s="139" t="s">
        <v>2904</v>
      </c>
      <c r="I175" s="140"/>
      <c r="L175" s="31"/>
      <c r="M175" s="141"/>
      <c r="T175" s="50"/>
      <c r="AT175" s="16" t="s">
        <v>289</v>
      </c>
      <c r="AU175" s="16" t="s">
        <v>83</v>
      </c>
    </row>
    <row r="176" spans="2:65" s="1" customFormat="1" ht="14.45" customHeight="1" x14ac:dyDescent="0.2">
      <c r="B176" s="124"/>
      <c r="C176" s="125" t="s">
        <v>7</v>
      </c>
      <c r="D176" s="125" t="s">
        <v>284</v>
      </c>
      <c r="E176" s="126" t="s">
        <v>2905</v>
      </c>
      <c r="F176" s="127" t="s">
        <v>2906</v>
      </c>
      <c r="G176" s="128" t="s">
        <v>315</v>
      </c>
      <c r="H176" s="129">
        <v>6</v>
      </c>
      <c r="I176" s="130">
        <v>879.12036332700006</v>
      </c>
      <c r="J176" s="131">
        <f>ROUND(I176*H176,2)</f>
        <v>5274.72</v>
      </c>
      <c r="K176" s="127" t="s">
        <v>1</v>
      </c>
      <c r="L176" s="31"/>
      <c r="M176" s="132" t="s">
        <v>1</v>
      </c>
      <c r="N176" s="133" t="s">
        <v>40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95</v>
      </c>
      <c r="AT176" s="136" t="s">
        <v>284</v>
      </c>
      <c r="AU176" s="136" t="s">
        <v>83</v>
      </c>
      <c r="AY176" s="16" t="s">
        <v>282</v>
      </c>
      <c r="BE176" s="137">
        <f>IF(N176="základní",J176,0)</f>
        <v>5274.72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6" t="s">
        <v>81</v>
      </c>
      <c r="BK176" s="137">
        <f>ROUND(I176*H176,2)</f>
        <v>5274.72</v>
      </c>
      <c r="BL176" s="16" t="s">
        <v>95</v>
      </c>
      <c r="BM176" s="136" t="s">
        <v>536</v>
      </c>
    </row>
    <row r="177" spans="2:65" s="1" customFormat="1" x14ac:dyDescent="0.2">
      <c r="B177" s="31"/>
      <c r="D177" s="138" t="s">
        <v>289</v>
      </c>
      <c r="F177" s="139" t="s">
        <v>2906</v>
      </c>
      <c r="I177" s="140"/>
      <c r="L177" s="31"/>
      <c r="M177" s="141"/>
      <c r="T177" s="50"/>
      <c r="AT177" s="16" t="s">
        <v>289</v>
      </c>
      <c r="AU177" s="16" t="s">
        <v>83</v>
      </c>
    </row>
    <row r="178" spans="2:65" s="1" customFormat="1" ht="14.45" customHeight="1" x14ac:dyDescent="0.2">
      <c r="B178" s="124"/>
      <c r="C178" s="125" t="s">
        <v>415</v>
      </c>
      <c r="D178" s="125" t="s">
        <v>284</v>
      </c>
      <c r="E178" s="126" t="s">
        <v>2907</v>
      </c>
      <c r="F178" s="127" t="s">
        <v>2908</v>
      </c>
      <c r="G178" s="128" t="s">
        <v>315</v>
      </c>
      <c r="H178" s="129">
        <v>2</v>
      </c>
      <c r="I178" s="130">
        <v>819.31316402900006</v>
      </c>
      <c r="J178" s="131">
        <f>ROUND(I178*H178,2)</f>
        <v>1638.63</v>
      </c>
      <c r="K178" s="127" t="s">
        <v>1</v>
      </c>
      <c r="L178" s="31"/>
      <c r="M178" s="132" t="s">
        <v>1</v>
      </c>
      <c r="N178" s="133" t="s">
        <v>40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95</v>
      </c>
      <c r="AT178" s="136" t="s">
        <v>284</v>
      </c>
      <c r="AU178" s="136" t="s">
        <v>83</v>
      </c>
      <c r="AY178" s="16" t="s">
        <v>282</v>
      </c>
      <c r="BE178" s="137">
        <f>IF(N178="základní",J178,0)</f>
        <v>1638.63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6" t="s">
        <v>81</v>
      </c>
      <c r="BK178" s="137">
        <f>ROUND(I178*H178,2)</f>
        <v>1638.63</v>
      </c>
      <c r="BL178" s="16" t="s">
        <v>95</v>
      </c>
      <c r="BM178" s="136" t="s">
        <v>548</v>
      </c>
    </row>
    <row r="179" spans="2:65" s="1" customFormat="1" x14ac:dyDescent="0.2">
      <c r="B179" s="31"/>
      <c r="D179" s="138" t="s">
        <v>289</v>
      </c>
      <c r="F179" s="139" t="s">
        <v>2908</v>
      </c>
      <c r="I179" s="140"/>
      <c r="L179" s="31"/>
      <c r="M179" s="141"/>
      <c r="T179" s="50"/>
      <c r="AT179" s="16" t="s">
        <v>289</v>
      </c>
      <c r="AU179" s="16" t="s">
        <v>83</v>
      </c>
    </row>
    <row r="180" spans="2:65" s="1" customFormat="1" ht="14.45" customHeight="1" x14ac:dyDescent="0.2">
      <c r="B180" s="124"/>
      <c r="C180" s="125" t="s">
        <v>422</v>
      </c>
      <c r="D180" s="125" t="s">
        <v>284</v>
      </c>
      <c r="E180" s="126" t="s">
        <v>2909</v>
      </c>
      <c r="F180" s="127" t="s">
        <v>2910</v>
      </c>
      <c r="G180" s="128" t="s">
        <v>315</v>
      </c>
      <c r="H180" s="129">
        <v>8</v>
      </c>
      <c r="I180" s="130">
        <v>199.59729230400001</v>
      </c>
      <c r="J180" s="131">
        <f>ROUND(I180*H180,2)</f>
        <v>1596.78</v>
      </c>
      <c r="K180" s="127" t="s">
        <v>1</v>
      </c>
      <c r="L180" s="31"/>
      <c r="M180" s="132" t="s">
        <v>1</v>
      </c>
      <c r="N180" s="133" t="s">
        <v>40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95</v>
      </c>
      <c r="AT180" s="136" t="s">
        <v>284</v>
      </c>
      <c r="AU180" s="136" t="s">
        <v>83</v>
      </c>
      <c r="AY180" s="16" t="s">
        <v>282</v>
      </c>
      <c r="BE180" s="137">
        <f>IF(N180="základní",J180,0)</f>
        <v>1596.78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6" t="s">
        <v>81</v>
      </c>
      <c r="BK180" s="137">
        <f>ROUND(I180*H180,2)</f>
        <v>1596.78</v>
      </c>
      <c r="BL180" s="16" t="s">
        <v>95</v>
      </c>
      <c r="BM180" s="136" t="s">
        <v>562</v>
      </c>
    </row>
    <row r="181" spans="2:65" s="1" customFormat="1" x14ac:dyDescent="0.2">
      <c r="B181" s="31"/>
      <c r="D181" s="138" t="s">
        <v>289</v>
      </c>
      <c r="F181" s="139" t="s">
        <v>2910</v>
      </c>
      <c r="I181" s="140"/>
      <c r="L181" s="31"/>
      <c r="M181" s="141"/>
      <c r="T181" s="50"/>
      <c r="AT181" s="16" t="s">
        <v>289</v>
      </c>
      <c r="AU181" s="16" t="s">
        <v>83</v>
      </c>
    </row>
    <row r="182" spans="2:65" s="1" customFormat="1" ht="14.45" customHeight="1" x14ac:dyDescent="0.2">
      <c r="B182" s="124"/>
      <c r="C182" s="125" t="s">
        <v>438</v>
      </c>
      <c r="D182" s="125" t="s">
        <v>284</v>
      </c>
      <c r="E182" s="126" t="s">
        <v>2911</v>
      </c>
      <c r="F182" s="127" t="s">
        <v>2912</v>
      </c>
      <c r="G182" s="128" t="s">
        <v>315</v>
      </c>
      <c r="H182" s="129">
        <v>8</v>
      </c>
      <c r="I182" s="130">
        <v>23.064702295</v>
      </c>
      <c r="J182" s="131">
        <f>ROUND(I182*H182,2)</f>
        <v>184.52</v>
      </c>
      <c r="K182" s="127" t="s">
        <v>1</v>
      </c>
      <c r="L182" s="31"/>
      <c r="M182" s="132" t="s">
        <v>1</v>
      </c>
      <c r="N182" s="133" t="s">
        <v>40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95</v>
      </c>
      <c r="AT182" s="136" t="s">
        <v>284</v>
      </c>
      <c r="AU182" s="136" t="s">
        <v>83</v>
      </c>
      <c r="AY182" s="16" t="s">
        <v>282</v>
      </c>
      <c r="BE182" s="137">
        <f>IF(N182="základní",J182,0)</f>
        <v>184.52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6" t="s">
        <v>81</v>
      </c>
      <c r="BK182" s="137">
        <f>ROUND(I182*H182,2)</f>
        <v>184.52</v>
      </c>
      <c r="BL182" s="16" t="s">
        <v>95</v>
      </c>
      <c r="BM182" s="136" t="s">
        <v>572</v>
      </c>
    </row>
    <row r="183" spans="2:65" s="1" customFormat="1" x14ac:dyDescent="0.2">
      <c r="B183" s="31"/>
      <c r="D183" s="138" t="s">
        <v>289</v>
      </c>
      <c r="F183" s="139" t="s">
        <v>2912</v>
      </c>
      <c r="I183" s="140"/>
      <c r="L183" s="31"/>
      <c r="M183" s="141"/>
      <c r="T183" s="50"/>
      <c r="AT183" s="16" t="s">
        <v>289</v>
      </c>
      <c r="AU183" s="16" t="s">
        <v>83</v>
      </c>
    </row>
    <row r="184" spans="2:65" s="1" customFormat="1" ht="14.45" customHeight="1" x14ac:dyDescent="0.2">
      <c r="B184" s="124"/>
      <c r="C184" s="125" t="s">
        <v>445</v>
      </c>
      <c r="D184" s="125" t="s">
        <v>284</v>
      </c>
      <c r="E184" s="126" t="s">
        <v>2913</v>
      </c>
      <c r="F184" s="127" t="s">
        <v>2914</v>
      </c>
      <c r="G184" s="128" t="s">
        <v>315</v>
      </c>
      <c r="H184" s="129">
        <v>1</v>
      </c>
      <c r="I184" s="130">
        <v>431.06839291299997</v>
      </c>
      <c r="J184" s="131">
        <f>ROUND(I184*H184,2)</f>
        <v>431.07</v>
      </c>
      <c r="K184" s="127" t="s">
        <v>1</v>
      </c>
      <c r="L184" s="31"/>
      <c r="M184" s="132" t="s">
        <v>1</v>
      </c>
      <c r="N184" s="133" t="s">
        <v>40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95</v>
      </c>
      <c r="AT184" s="136" t="s">
        <v>284</v>
      </c>
      <c r="AU184" s="136" t="s">
        <v>83</v>
      </c>
      <c r="AY184" s="16" t="s">
        <v>282</v>
      </c>
      <c r="BE184" s="137">
        <f>IF(N184="základní",J184,0)</f>
        <v>431.07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6" t="s">
        <v>81</v>
      </c>
      <c r="BK184" s="137">
        <f>ROUND(I184*H184,2)</f>
        <v>431.07</v>
      </c>
      <c r="BL184" s="16" t="s">
        <v>95</v>
      </c>
      <c r="BM184" s="136" t="s">
        <v>581</v>
      </c>
    </row>
    <row r="185" spans="2:65" s="1" customFormat="1" x14ac:dyDescent="0.2">
      <c r="B185" s="31"/>
      <c r="D185" s="138" t="s">
        <v>289</v>
      </c>
      <c r="F185" s="139" t="s">
        <v>2914</v>
      </c>
      <c r="I185" s="140"/>
      <c r="L185" s="31"/>
      <c r="M185" s="141"/>
      <c r="T185" s="50"/>
      <c r="AT185" s="16" t="s">
        <v>289</v>
      </c>
      <c r="AU185" s="16" t="s">
        <v>83</v>
      </c>
    </row>
    <row r="186" spans="2:65" s="1" customFormat="1" ht="14.45" customHeight="1" x14ac:dyDescent="0.2">
      <c r="B186" s="124"/>
      <c r="C186" s="125" t="s">
        <v>451</v>
      </c>
      <c r="D186" s="125" t="s">
        <v>284</v>
      </c>
      <c r="E186" s="126" t="s">
        <v>2915</v>
      </c>
      <c r="F186" s="127" t="s">
        <v>2916</v>
      </c>
      <c r="G186" s="128" t="s">
        <v>315</v>
      </c>
      <c r="H186" s="129">
        <v>2</v>
      </c>
      <c r="I186" s="130">
        <v>734.74574633300006</v>
      </c>
      <c r="J186" s="131">
        <f>ROUND(I186*H186,2)</f>
        <v>1469.49</v>
      </c>
      <c r="K186" s="127" t="s">
        <v>1</v>
      </c>
      <c r="L186" s="31"/>
      <c r="M186" s="132" t="s">
        <v>1</v>
      </c>
      <c r="N186" s="133" t="s">
        <v>40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95</v>
      </c>
      <c r="AT186" s="136" t="s">
        <v>284</v>
      </c>
      <c r="AU186" s="136" t="s">
        <v>83</v>
      </c>
      <c r="AY186" s="16" t="s">
        <v>282</v>
      </c>
      <c r="BE186" s="137">
        <f>IF(N186="základní",J186,0)</f>
        <v>1469.49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6" t="s">
        <v>81</v>
      </c>
      <c r="BK186" s="137">
        <f>ROUND(I186*H186,2)</f>
        <v>1469.49</v>
      </c>
      <c r="BL186" s="16" t="s">
        <v>95</v>
      </c>
      <c r="BM186" s="136" t="s">
        <v>594</v>
      </c>
    </row>
    <row r="187" spans="2:65" s="1" customFormat="1" x14ac:dyDescent="0.2">
      <c r="B187" s="31"/>
      <c r="D187" s="138" t="s">
        <v>289</v>
      </c>
      <c r="F187" s="139" t="s">
        <v>2916</v>
      </c>
      <c r="I187" s="140"/>
      <c r="L187" s="31"/>
      <c r="M187" s="141"/>
      <c r="T187" s="50"/>
      <c r="AT187" s="16" t="s">
        <v>289</v>
      </c>
      <c r="AU187" s="16" t="s">
        <v>83</v>
      </c>
    </row>
    <row r="188" spans="2:65" s="1" customFormat="1" ht="14.45" customHeight="1" x14ac:dyDescent="0.2">
      <c r="B188" s="124"/>
      <c r="C188" s="125" t="s">
        <v>456</v>
      </c>
      <c r="D188" s="125" t="s">
        <v>284</v>
      </c>
      <c r="E188" s="126" t="s">
        <v>2917</v>
      </c>
      <c r="F188" s="127" t="s">
        <v>2918</v>
      </c>
      <c r="G188" s="128" t="s">
        <v>315</v>
      </c>
      <c r="H188" s="129">
        <v>2</v>
      </c>
      <c r="I188" s="130">
        <v>603.19642991699993</v>
      </c>
      <c r="J188" s="131">
        <f>ROUND(I188*H188,2)</f>
        <v>1206.3900000000001</v>
      </c>
      <c r="K188" s="127" t="s">
        <v>1</v>
      </c>
      <c r="L188" s="31"/>
      <c r="M188" s="132" t="s">
        <v>1</v>
      </c>
      <c r="N188" s="133" t="s">
        <v>40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95</v>
      </c>
      <c r="AT188" s="136" t="s">
        <v>284</v>
      </c>
      <c r="AU188" s="136" t="s">
        <v>83</v>
      </c>
      <c r="AY188" s="16" t="s">
        <v>282</v>
      </c>
      <c r="BE188" s="137">
        <f>IF(N188="základní",J188,0)</f>
        <v>1206.3900000000001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6" t="s">
        <v>81</v>
      </c>
      <c r="BK188" s="137">
        <f>ROUND(I188*H188,2)</f>
        <v>1206.3900000000001</v>
      </c>
      <c r="BL188" s="16" t="s">
        <v>95</v>
      </c>
      <c r="BM188" s="136" t="s">
        <v>604</v>
      </c>
    </row>
    <row r="189" spans="2:65" s="1" customFormat="1" x14ac:dyDescent="0.2">
      <c r="B189" s="31"/>
      <c r="D189" s="138" t="s">
        <v>289</v>
      </c>
      <c r="F189" s="139" t="s">
        <v>2918</v>
      </c>
      <c r="I189" s="140"/>
      <c r="L189" s="31"/>
      <c r="M189" s="141"/>
      <c r="T189" s="50"/>
      <c r="AT189" s="16" t="s">
        <v>289</v>
      </c>
      <c r="AU189" s="16" t="s">
        <v>83</v>
      </c>
    </row>
    <row r="190" spans="2:65" s="1" customFormat="1" ht="14.45" customHeight="1" x14ac:dyDescent="0.2">
      <c r="B190" s="124"/>
      <c r="C190" s="125" t="s">
        <v>463</v>
      </c>
      <c r="D190" s="125" t="s">
        <v>284</v>
      </c>
      <c r="E190" s="126" t="s">
        <v>2919</v>
      </c>
      <c r="F190" s="127" t="s">
        <v>2920</v>
      </c>
      <c r="G190" s="128" t="s">
        <v>315</v>
      </c>
      <c r="H190" s="129">
        <v>1</v>
      </c>
      <c r="I190" s="130">
        <v>603.19642991699993</v>
      </c>
      <c r="J190" s="131">
        <f>ROUND(I190*H190,2)</f>
        <v>603.20000000000005</v>
      </c>
      <c r="K190" s="127" t="s">
        <v>1</v>
      </c>
      <c r="L190" s="31"/>
      <c r="M190" s="132" t="s">
        <v>1</v>
      </c>
      <c r="N190" s="133" t="s">
        <v>40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95</v>
      </c>
      <c r="AT190" s="136" t="s">
        <v>284</v>
      </c>
      <c r="AU190" s="136" t="s">
        <v>83</v>
      </c>
      <c r="AY190" s="16" t="s">
        <v>282</v>
      </c>
      <c r="BE190" s="137">
        <f>IF(N190="základní",J190,0)</f>
        <v>603.20000000000005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6" t="s">
        <v>81</v>
      </c>
      <c r="BK190" s="137">
        <f>ROUND(I190*H190,2)</f>
        <v>603.20000000000005</v>
      </c>
      <c r="BL190" s="16" t="s">
        <v>95</v>
      </c>
      <c r="BM190" s="136" t="s">
        <v>614</v>
      </c>
    </row>
    <row r="191" spans="2:65" s="1" customFormat="1" x14ac:dyDescent="0.2">
      <c r="B191" s="31"/>
      <c r="D191" s="138" t="s">
        <v>289</v>
      </c>
      <c r="F191" s="139" t="s">
        <v>2920</v>
      </c>
      <c r="I191" s="140"/>
      <c r="L191" s="31"/>
      <c r="M191" s="141"/>
      <c r="T191" s="50"/>
      <c r="AT191" s="16" t="s">
        <v>289</v>
      </c>
      <c r="AU191" s="16" t="s">
        <v>83</v>
      </c>
    </row>
    <row r="192" spans="2:65" s="1" customFormat="1" ht="14.45" customHeight="1" x14ac:dyDescent="0.2">
      <c r="B192" s="124"/>
      <c r="C192" s="125" t="s">
        <v>470</v>
      </c>
      <c r="D192" s="125" t="s">
        <v>284</v>
      </c>
      <c r="E192" s="126" t="s">
        <v>2921</v>
      </c>
      <c r="F192" s="127" t="s">
        <v>2922</v>
      </c>
      <c r="G192" s="128" t="s">
        <v>315</v>
      </c>
      <c r="H192" s="129">
        <v>2</v>
      </c>
      <c r="I192" s="130">
        <v>603.19642991699993</v>
      </c>
      <c r="J192" s="131">
        <f>ROUND(I192*H192,2)</f>
        <v>1206.3900000000001</v>
      </c>
      <c r="K192" s="127" t="s">
        <v>1</v>
      </c>
      <c r="L192" s="31"/>
      <c r="M192" s="132" t="s">
        <v>1</v>
      </c>
      <c r="N192" s="133" t="s">
        <v>40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95</v>
      </c>
      <c r="AT192" s="136" t="s">
        <v>284</v>
      </c>
      <c r="AU192" s="136" t="s">
        <v>83</v>
      </c>
      <c r="AY192" s="16" t="s">
        <v>282</v>
      </c>
      <c r="BE192" s="137">
        <f>IF(N192="základní",J192,0)</f>
        <v>1206.3900000000001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6" t="s">
        <v>81</v>
      </c>
      <c r="BK192" s="137">
        <f>ROUND(I192*H192,2)</f>
        <v>1206.3900000000001</v>
      </c>
      <c r="BL192" s="16" t="s">
        <v>95</v>
      </c>
      <c r="BM192" s="136" t="s">
        <v>622</v>
      </c>
    </row>
    <row r="193" spans="2:65" s="1" customFormat="1" x14ac:dyDescent="0.2">
      <c r="B193" s="31"/>
      <c r="D193" s="138" t="s">
        <v>289</v>
      </c>
      <c r="F193" s="139" t="s">
        <v>2922</v>
      </c>
      <c r="I193" s="140"/>
      <c r="L193" s="31"/>
      <c r="M193" s="141"/>
      <c r="T193" s="50"/>
      <c r="AT193" s="16" t="s">
        <v>289</v>
      </c>
      <c r="AU193" s="16" t="s">
        <v>83</v>
      </c>
    </row>
    <row r="194" spans="2:65" s="1" customFormat="1" ht="14.45" customHeight="1" x14ac:dyDescent="0.2">
      <c r="B194" s="124"/>
      <c r="C194" s="125" t="s">
        <v>476</v>
      </c>
      <c r="D194" s="125" t="s">
        <v>284</v>
      </c>
      <c r="E194" s="126" t="s">
        <v>2923</v>
      </c>
      <c r="F194" s="127" t="s">
        <v>2924</v>
      </c>
      <c r="G194" s="128" t="s">
        <v>315</v>
      </c>
      <c r="H194" s="129">
        <v>6</v>
      </c>
      <c r="I194" s="130">
        <v>342.57950221900001</v>
      </c>
      <c r="J194" s="131">
        <f>ROUND(I194*H194,2)</f>
        <v>2055.48</v>
      </c>
      <c r="K194" s="127" t="s">
        <v>1</v>
      </c>
      <c r="L194" s="31"/>
      <c r="M194" s="132" t="s">
        <v>1</v>
      </c>
      <c r="N194" s="133" t="s">
        <v>40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95</v>
      </c>
      <c r="AT194" s="136" t="s">
        <v>284</v>
      </c>
      <c r="AU194" s="136" t="s">
        <v>83</v>
      </c>
      <c r="AY194" s="16" t="s">
        <v>282</v>
      </c>
      <c r="BE194" s="137">
        <f>IF(N194="základní",J194,0)</f>
        <v>2055.48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6" t="s">
        <v>81</v>
      </c>
      <c r="BK194" s="137">
        <f>ROUND(I194*H194,2)</f>
        <v>2055.48</v>
      </c>
      <c r="BL194" s="16" t="s">
        <v>95</v>
      </c>
      <c r="BM194" s="136" t="s">
        <v>631</v>
      </c>
    </row>
    <row r="195" spans="2:65" s="1" customFormat="1" x14ac:dyDescent="0.2">
      <c r="B195" s="31"/>
      <c r="D195" s="138" t="s">
        <v>289</v>
      </c>
      <c r="F195" s="139" t="s">
        <v>2924</v>
      </c>
      <c r="I195" s="140"/>
      <c r="L195" s="31"/>
      <c r="M195" s="141"/>
      <c r="T195" s="50"/>
      <c r="AT195" s="16" t="s">
        <v>289</v>
      </c>
      <c r="AU195" s="16" t="s">
        <v>83</v>
      </c>
    </row>
    <row r="196" spans="2:65" s="1" customFormat="1" ht="24.2" customHeight="1" x14ac:dyDescent="0.2">
      <c r="B196" s="124"/>
      <c r="C196" s="125" t="s">
        <v>482</v>
      </c>
      <c r="D196" s="125" t="s">
        <v>284</v>
      </c>
      <c r="E196" s="126" t="s">
        <v>2925</v>
      </c>
      <c r="F196" s="127" t="s">
        <v>2926</v>
      </c>
      <c r="G196" s="128" t="s">
        <v>315</v>
      </c>
      <c r="H196" s="129">
        <v>2</v>
      </c>
      <c r="I196" s="130">
        <v>1591.331848157</v>
      </c>
      <c r="J196" s="131">
        <f>ROUND(I196*H196,2)</f>
        <v>3182.66</v>
      </c>
      <c r="K196" s="127" t="s">
        <v>1</v>
      </c>
      <c r="L196" s="31"/>
      <c r="M196" s="132" t="s">
        <v>1</v>
      </c>
      <c r="N196" s="133" t="s">
        <v>40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95</v>
      </c>
      <c r="AT196" s="136" t="s">
        <v>284</v>
      </c>
      <c r="AU196" s="136" t="s">
        <v>83</v>
      </c>
      <c r="AY196" s="16" t="s">
        <v>282</v>
      </c>
      <c r="BE196" s="137">
        <f>IF(N196="základní",J196,0)</f>
        <v>3182.66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6" t="s">
        <v>81</v>
      </c>
      <c r="BK196" s="137">
        <f>ROUND(I196*H196,2)</f>
        <v>3182.66</v>
      </c>
      <c r="BL196" s="16" t="s">
        <v>95</v>
      </c>
      <c r="BM196" s="136" t="s">
        <v>639</v>
      </c>
    </row>
    <row r="197" spans="2:65" s="1" customFormat="1" x14ac:dyDescent="0.2">
      <c r="B197" s="31"/>
      <c r="D197" s="138" t="s">
        <v>289</v>
      </c>
      <c r="F197" s="139" t="s">
        <v>2926</v>
      </c>
      <c r="I197" s="140"/>
      <c r="L197" s="31"/>
      <c r="M197" s="141"/>
      <c r="T197" s="50"/>
      <c r="AT197" s="16" t="s">
        <v>289</v>
      </c>
      <c r="AU197" s="16" t="s">
        <v>83</v>
      </c>
    </row>
    <row r="198" spans="2:65" s="1" customFormat="1" ht="14.45" customHeight="1" x14ac:dyDescent="0.2">
      <c r="B198" s="124"/>
      <c r="C198" s="125" t="s">
        <v>489</v>
      </c>
      <c r="D198" s="125" t="s">
        <v>284</v>
      </c>
      <c r="E198" s="126" t="s">
        <v>2927</v>
      </c>
      <c r="F198" s="127" t="s">
        <v>2928</v>
      </c>
      <c r="G198" s="128" t="s">
        <v>315</v>
      </c>
      <c r="H198" s="129">
        <v>1</v>
      </c>
      <c r="I198" s="130">
        <v>799.72474335300001</v>
      </c>
      <c r="J198" s="131">
        <f>ROUND(I198*H198,2)</f>
        <v>799.72</v>
      </c>
      <c r="K198" s="127" t="s">
        <v>1</v>
      </c>
      <c r="L198" s="31"/>
      <c r="M198" s="132" t="s">
        <v>1</v>
      </c>
      <c r="N198" s="133" t="s">
        <v>40</v>
      </c>
      <c r="P198" s="134">
        <f>O198*H198</f>
        <v>0</v>
      </c>
      <c r="Q198" s="134">
        <v>0</v>
      </c>
      <c r="R198" s="134">
        <f>Q198*H198</f>
        <v>0</v>
      </c>
      <c r="S198" s="134">
        <v>0</v>
      </c>
      <c r="T198" s="135">
        <f>S198*H198</f>
        <v>0</v>
      </c>
      <c r="AR198" s="136" t="s">
        <v>95</v>
      </c>
      <c r="AT198" s="136" t="s">
        <v>284</v>
      </c>
      <c r="AU198" s="136" t="s">
        <v>83</v>
      </c>
      <c r="AY198" s="16" t="s">
        <v>282</v>
      </c>
      <c r="BE198" s="137">
        <f>IF(N198="základní",J198,0)</f>
        <v>799.72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6" t="s">
        <v>81</v>
      </c>
      <c r="BK198" s="137">
        <f>ROUND(I198*H198,2)</f>
        <v>799.72</v>
      </c>
      <c r="BL198" s="16" t="s">
        <v>95</v>
      </c>
      <c r="BM198" s="136" t="s">
        <v>650</v>
      </c>
    </row>
    <row r="199" spans="2:65" s="1" customFormat="1" x14ac:dyDescent="0.2">
      <c r="B199" s="31"/>
      <c r="D199" s="138" t="s">
        <v>289</v>
      </c>
      <c r="F199" s="139" t="s">
        <v>2928</v>
      </c>
      <c r="I199" s="140"/>
      <c r="L199" s="31"/>
      <c r="M199" s="141"/>
      <c r="T199" s="50"/>
      <c r="AT199" s="16" t="s">
        <v>289</v>
      </c>
      <c r="AU199" s="16" t="s">
        <v>83</v>
      </c>
    </row>
    <row r="200" spans="2:65" s="1" customFormat="1" ht="14.45" customHeight="1" x14ac:dyDescent="0.2">
      <c r="B200" s="124"/>
      <c r="C200" s="125" t="s">
        <v>493</v>
      </c>
      <c r="D200" s="125" t="s">
        <v>284</v>
      </c>
      <c r="E200" s="126" t="s">
        <v>2929</v>
      </c>
      <c r="F200" s="127" t="s">
        <v>2930</v>
      </c>
      <c r="G200" s="128" t="s">
        <v>315</v>
      </c>
      <c r="H200" s="129">
        <v>1</v>
      </c>
      <c r="I200" s="130">
        <v>1911.1308127910002</v>
      </c>
      <c r="J200" s="131">
        <f>ROUND(I200*H200,2)</f>
        <v>1911.13</v>
      </c>
      <c r="K200" s="127" t="s">
        <v>1</v>
      </c>
      <c r="L200" s="31"/>
      <c r="M200" s="132" t="s">
        <v>1</v>
      </c>
      <c r="N200" s="133" t="s">
        <v>40</v>
      </c>
      <c r="P200" s="134">
        <f>O200*H200</f>
        <v>0</v>
      </c>
      <c r="Q200" s="134">
        <v>0</v>
      </c>
      <c r="R200" s="134">
        <f>Q200*H200</f>
        <v>0</v>
      </c>
      <c r="S200" s="134">
        <v>0</v>
      </c>
      <c r="T200" s="135">
        <f>S200*H200</f>
        <v>0</v>
      </c>
      <c r="AR200" s="136" t="s">
        <v>95</v>
      </c>
      <c r="AT200" s="136" t="s">
        <v>284</v>
      </c>
      <c r="AU200" s="136" t="s">
        <v>83</v>
      </c>
      <c r="AY200" s="16" t="s">
        <v>282</v>
      </c>
      <c r="BE200" s="137">
        <f>IF(N200="základní",J200,0)</f>
        <v>1911.13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6" t="s">
        <v>81</v>
      </c>
      <c r="BK200" s="137">
        <f>ROUND(I200*H200,2)</f>
        <v>1911.13</v>
      </c>
      <c r="BL200" s="16" t="s">
        <v>95</v>
      </c>
      <c r="BM200" s="136" t="s">
        <v>660</v>
      </c>
    </row>
    <row r="201" spans="2:65" s="1" customFormat="1" x14ac:dyDescent="0.2">
      <c r="B201" s="31"/>
      <c r="D201" s="138" t="s">
        <v>289</v>
      </c>
      <c r="F201" s="139" t="s">
        <v>2930</v>
      </c>
      <c r="I201" s="140"/>
      <c r="L201" s="31"/>
      <c r="M201" s="141"/>
      <c r="T201" s="50"/>
      <c r="AT201" s="16" t="s">
        <v>289</v>
      </c>
      <c r="AU201" s="16" t="s">
        <v>83</v>
      </c>
    </row>
    <row r="202" spans="2:65" s="1" customFormat="1" ht="14.45" customHeight="1" x14ac:dyDescent="0.2">
      <c r="B202" s="124"/>
      <c r="C202" s="125" t="s">
        <v>497</v>
      </c>
      <c r="D202" s="125" t="s">
        <v>284</v>
      </c>
      <c r="E202" s="126" t="s">
        <v>2931</v>
      </c>
      <c r="F202" s="127" t="s">
        <v>2932</v>
      </c>
      <c r="G202" s="128" t="s">
        <v>315</v>
      </c>
      <c r="H202" s="129">
        <v>1</v>
      </c>
      <c r="I202" s="130">
        <v>550.33232169999997</v>
      </c>
      <c r="J202" s="131">
        <f>ROUND(I202*H202,2)</f>
        <v>550.33000000000004</v>
      </c>
      <c r="K202" s="127" t="s">
        <v>1</v>
      </c>
      <c r="L202" s="31"/>
      <c r="M202" s="132" t="s">
        <v>1</v>
      </c>
      <c r="N202" s="133" t="s">
        <v>40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95</v>
      </c>
      <c r="AT202" s="136" t="s">
        <v>284</v>
      </c>
      <c r="AU202" s="136" t="s">
        <v>83</v>
      </c>
      <c r="AY202" s="16" t="s">
        <v>282</v>
      </c>
      <c r="BE202" s="137">
        <f>IF(N202="základní",J202,0)</f>
        <v>550.33000000000004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6" t="s">
        <v>81</v>
      </c>
      <c r="BK202" s="137">
        <f>ROUND(I202*H202,2)</f>
        <v>550.33000000000004</v>
      </c>
      <c r="BL202" s="16" t="s">
        <v>95</v>
      </c>
      <c r="BM202" s="136" t="s">
        <v>670</v>
      </c>
    </row>
    <row r="203" spans="2:65" s="1" customFormat="1" x14ac:dyDescent="0.2">
      <c r="B203" s="31"/>
      <c r="D203" s="138" t="s">
        <v>289</v>
      </c>
      <c r="F203" s="139" t="s">
        <v>2932</v>
      </c>
      <c r="I203" s="140"/>
      <c r="L203" s="31"/>
      <c r="M203" s="141"/>
      <c r="T203" s="50"/>
      <c r="AT203" s="16" t="s">
        <v>289</v>
      </c>
      <c r="AU203" s="16" t="s">
        <v>83</v>
      </c>
    </row>
    <row r="204" spans="2:65" s="1" customFormat="1" ht="14.45" customHeight="1" x14ac:dyDescent="0.2">
      <c r="B204" s="124"/>
      <c r="C204" s="125" t="s">
        <v>501</v>
      </c>
      <c r="D204" s="125" t="s">
        <v>284</v>
      </c>
      <c r="E204" s="126" t="s">
        <v>2933</v>
      </c>
      <c r="F204" s="127" t="s">
        <v>2934</v>
      </c>
      <c r="G204" s="128" t="s">
        <v>315</v>
      </c>
      <c r="H204" s="129">
        <v>25</v>
      </c>
      <c r="I204" s="130">
        <v>47.853337164000003</v>
      </c>
      <c r="J204" s="131">
        <f>ROUND(I204*H204,2)</f>
        <v>1196.33</v>
      </c>
      <c r="K204" s="127" t="s">
        <v>1</v>
      </c>
      <c r="L204" s="31"/>
      <c r="M204" s="132" t="s">
        <v>1</v>
      </c>
      <c r="N204" s="133" t="s">
        <v>40</v>
      </c>
      <c r="P204" s="134">
        <f>O204*H204</f>
        <v>0</v>
      </c>
      <c r="Q204" s="134">
        <v>0</v>
      </c>
      <c r="R204" s="134">
        <f>Q204*H204</f>
        <v>0</v>
      </c>
      <c r="S204" s="134">
        <v>0</v>
      </c>
      <c r="T204" s="135">
        <f>S204*H204</f>
        <v>0</v>
      </c>
      <c r="AR204" s="136" t="s">
        <v>95</v>
      </c>
      <c r="AT204" s="136" t="s">
        <v>284</v>
      </c>
      <c r="AU204" s="136" t="s">
        <v>83</v>
      </c>
      <c r="AY204" s="16" t="s">
        <v>282</v>
      </c>
      <c r="BE204" s="137">
        <f>IF(N204="základní",J204,0)</f>
        <v>1196.33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6" t="s">
        <v>81</v>
      </c>
      <c r="BK204" s="137">
        <f>ROUND(I204*H204,2)</f>
        <v>1196.33</v>
      </c>
      <c r="BL204" s="16" t="s">
        <v>95</v>
      </c>
      <c r="BM204" s="136" t="s">
        <v>681</v>
      </c>
    </row>
    <row r="205" spans="2:65" s="1" customFormat="1" x14ac:dyDescent="0.2">
      <c r="B205" s="31"/>
      <c r="D205" s="138" t="s">
        <v>289</v>
      </c>
      <c r="F205" s="139" t="s">
        <v>2934</v>
      </c>
      <c r="I205" s="140"/>
      <c r="L205" s="31"/>
      <c r="M205" s="141"/>
      <c r="T205" s="50"/>
      <c r="AT205" s="16" t="s">
        <v>289</v>
      </c>
      <c r="AU205" s="16" t="s">
        <v>83</v>
      </c>
    </row>
    <row r="206" spans="2:65" s="1" customFormat="1" ht="14.45" customHeight="1" x14ac:dyDescent="0.2">
      <c r="B206" s="124"/>
      <c r="C206" s="125" t="s">
        <v>505</v>
      </c>
      <c r="D206" s="125" t="s">
        <v>284</v>
      </c>
      <c r="E206" s="126" t="s">
        <v>2935</v>
      </c>
      <c r="F206" s="127" t="s">
        <v>2936</v>
      </c>
      <c r="G206" s="128" t="s">
        <v>315</v>
      </c>
      <c r="H206" s="129">
        <v>4</v>
      </c>
      <c r="I206" s="130">
        <v>52.096863499999998</v>
      </c>
      <c r="J206" s="131">
        <f>ROUND(I206*H206,2)</f>
        <v>208.39</v>
      </c>
      <c r="K206" s="127" t="s">
        <v>1</v>
      </c>
      <c r="L206" s="31"/>
      <c r="M206" s="132" t="s">
        <v>1</v>
      </c>
      <c r="N206" s="133" t="s">
        <v>40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95</v>
      </c>
      <c r="AT206" s="136" t="s">
        <v>284</v>
      </c>
      <c r="AU206" s="136" t="s">
        <v>83</v>
      </c>
      <c r="AY206" s="16" t="s">
        <v>282</v>
      </c>
      <c r="BE206" s="137">
        <f>IF(N206="základní",J206,0)</f>
        <v>208.39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6" t="s">
        <v>81</v>
      </c>
      <c r="BK206" s="137">
        <f>ROUND(I206*H206,2)</f>
        <v>208.39</v>
      </c>
      <c r="BL206" s="16" t="s">
        <v>95</v>
      </c>
      <c r="BM206" s="136" t="s">
        <v>697</v>
      </c>
    </row>
    <row r="207" spans="2:65" s="1" customFormat="1" x14ac:dyDescent="0.2">
      <c r="B207" s="31"/>
      <c r="D207" s="138" t="s">
        <v>289</v>
      </c>
      <c r="F207" s="139" t="s">
        <v>2936</v>
      </c>
      <c r="I207" s="140"/>
      <c r="L207" s="31"/>
      <c r="M207" s="141"/>
      <c r="T207" s="50"/>
      <c r="AT207" s="16" t="s">
        <v>289</v>
      </c>
      <c r="AU207" s="16" t="s">
        <v>83</v>
      </c>
    </row>
    <row r="208" spans="2:65" s="1" customFormat="1" ht="14.45" customHeight="1" x14ac:dyDescent="0.2">
      <c r="B208" s="124"/>
      <c r="C208" s="125" t="s">
        <v>510</v>
      </c>
      <c r="D208" s="125" t="s">
        <v>284</v>
      </c>
      <c r="E208" s="126" t="s">
        <v>2937</v>
      </c>
      <c r="F208" s="127" t="s">
        <v>2938</v>
      </c>
      <c r="G208" s="128" t="s">
        <v>315</v>
      </c>
      <c r="H208" s="129">
        <v>5</v>
      </c>
      <c r="I208" s="130">
        <v>77.823241912</v>
      </c>
      <c r="J208" s="131">
        <f>ROUND(I208*H208,2)</f>
        <v>389.12</v>
      </c>
      <c r="K208" s="127" t="s">
        <v>1</v>
      </c>
      <c r="L208" s="31"/>
      <c r="M208" s="132" t="s">
        <v>1</v>
      </c>
      <c r="N208" s="133" t="s">
        <v>40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95</v>
      </c>
      <c r="AT208" s="136" t="s">
        <v>284</v>
      </c>
      <c r="AU208" s="136" t="s">
        <v>83</v>
      </c>
      <c r="AY208" s="16" t="s">
        <v>282</v>
      </c>
      <c r="BE208" s="137">
        <f>IF(N208="základní",J208,0)</f>
        <v>389.12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6" t="s">
        <v>81</v>
      </c>
      <c r="BK208" s="137">
        <f>ROUND(I208*H208,2)</f>
        <v>389.12</v>
      </c>
      <c r="BL208" s="16" t="s">
        <v>95</v>
      </c>
      <c r="BM208" s="136" t="s">
        <v>710</v>
      </c>
    </row>
    <row r="209" spans="2:65" s="1" customFormat="1" x14ac:dyDescent="0.2">
      <c r="B209" s="31"/>
      <c r="D209" s="138" t="s">
        <v>289</v>
      </c>
      <c r="F209" s="139" t="s">
        <v>2938</v>
      </c>
      <c r="I209" s="140"/>
      <c r="L209" s="31"/>
      <c r="M209" s="141"/>
      <c r="T209" s="50"/>
      <c r="AT209" s="16" t="s">
        <v>289</v>
      </c>
      <c r="AU209" s="16" t="s">
        <v>83</v>
      </c>
    </row>
    <row r="210" spans="2:65" s="1" customFormat="1" ht="14.45" customHeight="1" x14ac:dyDescent="0.2">
      <c r="B210" s="124"/>
      <c r="C210" s="125" t="s">
        <v>514</v>
      </c>
      <c r="D210" s="125" t="s">
        <v>284</v>
      </c>
      <c r="E210" s="126" t="s">
        <v>2939</v>
      </c>
      <c r="F210" s="127" t="s">
        <v>2940</v>
      </c>
      <c r="G210" s="128" t="s">
        <v>315</v>
      </c>
      <c r="H210" s="129">
        <v>1</v>
      </c>
      <c r="I210" s="130">
        <v>84.851582405999991</v>
      </c>
      <c r="J210" s="131">
        <f>ROUND(I210*H210,2)</f>
        <v>84.85</v>
      </c>
      <c r="K210" s="127" t="s">
        <v>1</v>
      </c>
      <c r="L210" s="31"/>
      <c r="M210" s="132" t="s">
        <v>1</v>
      </c>
      <c r="N210" s="133" t="s">
        <v>40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95</v>
      </c>
      <c r="AT210" s="136" t="s">
        <v>284</v>
      </c>
      <c r="AU210" s="136" t="s">
        <v>83</v>
      </c>
      <c r="AY210" s="16" t="s">
        <v>282</v>
      </c>
      <c r="BE210" s="137">
        <f>IF(N210="základní",J210,0)</f>
        <v>84.85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6" t="s">
        <v>81</v>
      </c>
      <c r="BK210" s="137">
        <f>ROUND(I210*H210,2)</f>
        <v>84.85</v>
      </c>
      <c r="BL210" s="16" t="s">
        <v>95</v>
      </c>
      <c r="BM210" s="136" t="s">
        <v>718</v>
      </c>
    </row>
    <row r="211" spans="2:65" s="1" customFormat="1" x14ac:dyDescent="0.2">
      <c r="B211" s="31"/>
      <c r="D211" s="138" t="s">
        <v>289</v>
      </c>
      <c r="F211" s="139" t="s">
        <v>2940</v>
      </c>
      <c r="I211" s="140"/>
      <c r="L211" s="31"/>
      <c r="M211" s="141"/>
      <c r="T211" s="50"/>
      <c r="AT211" s="16" t="s">
        <v>289</v>
      </c>
      <c r="AU211" s="16" t="s">
        <v>83</v>
      </c>
    </row>
    <row r="212" spans="2:65" s="1" customFormat="1" ht="14.45" customHeight="1" x14ac:dyDescent="0.2">
      <c r="B212" s="124"/>
      <c r="C212" s="125" t="s">
        <v>521</v>
      </c>
      <c r="D212" s="125" t="s">
        <v>284</v>
      </c>
      <c r="E212" s="126" t="s">
        <v>2941</v>
      </c>
      <c r="F212" s="127" t="s">
        <v>2942</v>
      </c>
      <c r="G212" s="128" t="s">
        <v>315</v>
      </c>
      <c r="H212" s="129">
        <v>4</v>
      </c>
      <c r="I212" s="130">
        <v>109.469718449</v>
      </c>
      <c r="J212" s="131">
        <f>ROUND(I212*H212,2)</f>
        <v>437.88</v>
      </c>
      <c r="K212" s="127" t="s">
        <v>1</v>
      </c>
      <c r="L212" s="31"/>
      <c r="M212" s="132" t="s">
        <v>1</v>
      </c>
      <c r="N212" s="133" t="s">
        <v>40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95</v>
      </c>
      <c r="AT212" s="136" t="s">
        <v>284</v>
      </c>
      <c r="AU212" s="136" t="s">
        <v>83</v>
      </c>
      <c r="AY212" s="16" t="s">
        <v>282</v>
      </c>
      <c r="BE212" s="137">
        <f>IF(N212="základní",J212,0)</f>
        <v>437.88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6" t="s">
        <v>81</v>
      </c>
      <c r="BK212" s="137">
        <f>ROUND(I212*H212,2)</f>
        <v>437.88</v>
      </c>
      <c r="BL212" s="16" t="s">
        <v>95</v>
      </c>
      <c r="BM212" s="136" t="s">
        <v>1544</v>
      </c>
    </row>
    <row r="213" spans="2:65" s="1" customFormat="1" x14ac:dyDescent="0.2">
      <c r="B213" s="31"/>
      <c r="D213" s="138" t="s">
        <v>289</v>
      </c>
      <c r="F213" s="139" t="s">
        <v>2942</v>
      </c>
      <c r="I213" s="140"/>
      <c r="L213" s="31"/>
      <c r="M213" s="141"/>
      <c r="T213" s="50"/>
      <c r="AT213" s="16" t="s">
        <v>289</v>
      </c>
      <c r="AU213" s="16" t="s">
        <v>83</v>
      </c>
    </row>
    <row r="214" spans="2:65" s="1" customFormat="1" ht="14.45" customHeight="1" x14ac:dyDescent="0.2">
      <c r="B214" s="124"/>
      <c r="C214" s="125" t="s">
        <v>526</v>
      </c>
      <c r="D214" s="125" t="s">
        <v>284</v>
      </c>
      <c r="E214" s="126" t="s">
        <v>2943</v>
      </c>
      <c r="F214" s="127" t="s">
        <v>2944</v>
      </c>
      <c r="G214" s="128" t="s">
        <v>315</v>
      </c>
      <c r="H214" s="129">
        <v>1</v>
      </c>
      <c r="I214" s="130">
        <v>872.92557264900006</v>
      </c>
      <c r="J214" s="131">
        <f>ROUND(I214*H214,2)</f>
        <v>872.93</v>
      </c>
      <c r="K214" s="127" t="s">
        <v>1</v>
      </c>
      <c r="L214" s="31"/>
      <c r="M214" s="132" t="s">
        <v>1</v>
      </c>
      <c r="N214" s="133" t="s">
        <v>40</v>
      </c>
      <c r="P214" s="134">
        <f>O214*H214</f>
        <v>0</v>
      </c>
      <c r="Q214" s="134">
        <v>0</v>
      </c>
      <c r="R214" s="134">
        <f>Q214*H214</f>
        <v>0</v>
      </c>
      <c r="S214" s="134">
        <v>0</v>
      </c>
      <c r="T214" s="135">
        <f>S214*H214</f>
        <v>0</v>
      </c>
      <c r="AR214" s="136" t="s">
        <v>95</v>
      </c>
      <c r="AT214" s="136" t="s">
        <v>284</v>
      </c>
      <c r="AU214" s="136" t="s">
        <v>83</v>
      </c>
      <c r="AY214" s="16" t="s">
        <v>282</v>
      </c>
      <c r="BE214" s="137">
        <f>IF(N214="základní",J214,0)</f>
        <v>872.93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6" t="s">
        <v>81</v>
      </c>
      <c r="BK214" s="137">
        <f>ROUND(I214*H214,2)</f>
        <v>872.93</v>
      </c>
      <c r="BL214" s="16" t="s">
        <v>95</v>
      </c>
      <c r="BM214" s="136" t="s">
        <v>1551</v>
      </c>
    </row>
    <row r="215" spans="2:65" s="1" customFormat="1" x14ac:dyDescent="0.2">
      <c r="B215" s="31"/>
      <c r="D215" s="138" t="s">
        <v>289</v>
      </c>
      <c r="F215" s="139" t="s">
        <v>2944</v>
      </c>
      <c r="I215" s="140"/>
      <c r="L215" s="31"/>
      <c r="M215" s="141"/>
      <c r="T215" s="50"/>
      <c r="AT215" s="16" t="s">
        <v>289</v>
      </c>
      <c r="AU215" s="16" t="s">
        <v>83</v>
      </c>
    </row>
    <row r="216" spans="2:65" s="1" customFormat="1" ht="14.45" customHeight="1" x14ac:dyDescent="0.2">
      <c r="B216" s="124"/>
      <c r="C216" s="125" t="s">
        <v>531</v>
      </c>
      <c r="D216" s="125" t="s">
        <v>284</v>
      </c>
      <c r="E216" s="126" t="s">
        <v>2945</v>
      </c>
      <c r="F216" s="127" t="s">
        <v>2946</v>
      </c>
      <c r="G216" s="128" t="s">
        <v>315</v>
      </c>
      <c r="H216" s="129">
        <v>1</v>
      </c>
      <c r="I216" s="130">
        <v>944.18460975999994</v>
      </c>
      <c r="J216" s="131">
        <f>ROUND(I216*H216,2)</f>
        <v>944.18</v>
      </c>
      <c r="K216" s="127" t="s">
        <v>1</v>
      </c>
      <c r="L216" s="31"/>
      <c r="M216" s="132" t="s">
        <v>1</v>
      </c>
      <c r="N216" s="133" t="s">
        <v>40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95</v>
      </c>
      <c r="AT216" s="136" t="s">
        <v>284</v>
      </c>
      <c r="AU216" s="136" t="s">
        <v>83</v>
      </c>
      <c r="AY216" s="16" t="s">
        <v>282</v>
      </c>
      <c r="BE216" s="137">
        <f>IF(N216="základní",J216,0)</f>
        <v>944.18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6" t="s">
        <v>81</v>
      </c>
      <c r="BK216" s="137">
        <f>ROUND(I216*H216,2)</f>
        <v>944.18</v>
      </c>
      <c r="BL216" s="16" t="s">
        <v>95</v>
      </c>
      <c r="BM216" s="136" t="s">
        <v>1555</v>
      </c>
    </row>
    <row r="217" spans="2:65" s="1" customFormat="1" x14ac:dyDescent="0.2">
      <c r="B217" s="31"/>
      <c r="D217" s="138" t="s">
        <v>289</v>
      </c>
      <c r="F217" s="139" t="s">
        <v>2946</v>
      </c>
      <c r="I217" s="140"/>
      <c r="L217" s="31"/>
      <c r="M217" s="141"/>
      <c r="T217" s="50"/>
      <c r="AT217" s="16" t="s">
        <v>289</v>
      </c>
      <c r="AU217" s="16" t="s">
        <v>83</v>
      </c>
    </row>
    <row r="218" spans="2:65" s="1" customFormat="1" ht="14.45" customHeight="1" x14ac:dyDescent="0.2">
      <c r="B218" s="124"/>
      <c r="C218" s="125" t="s">
        <v>536</v>
      </c>
      <c r="D218" s="125" t="s">
        <v>284</v>
      </c>
      <c r="E218" s="126" t="s">
        <v>2947</v>
      </c>
      <c r="F218" s="127" t="s">
        <v>2948</v>
      </c>
      <c r="G218" s="128" t="s">
        <v>344</v>
      </c>
      <c r="H218" s="129">
        <v>35</v>
      </c>
      <c r="I218" s="130">
        <v>21.946987769</v>
      </c>
      <c r="J218" s="131">
        <f>ROUND(I218*H218,2)</f>
        <v>768.14</v>
      </c>
      <c r="K218" s="127" t="s">
        <v>1</v>
      </c>
      <c r="L218" s="31"/>
      <c r="M218" s="132" t="s">
        <v>1</v>
      </c>
      <c r="N218" s="133" t="s">
        <v>40</v>
      </c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95</v>
      </c>
      <c r="AT218" s="136" t="s">
        <v>284</v>
      </c>
      <c r="AU218" s="136" t="s">
        <v>83</v>
      </c>
      <c r="AY218" s="16" t="s">
        <v>282</v>
      </c>
      <c r="BE218" s="137">
        <f>IF(N218="základní",J218,0)</f>
        <v>768.14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6" t="s">
        <v>81</v>
      </c>
      <c r="BK218" s="137">
        <f>ROUND(I218*H218,2)</f>
        <v>768.14</v>
      </c>
      <c r="BL218" s="16" t="s">
        <v>95</v>
      </c>
      <c r="BM218" s="136" t="s">
        <v>1559</v>
      </c>
    </row>
    <row r="219" spans="2:65" s="1" customFormat="1" x14ac:dyDescent="0.2">
      <c r="B219" s="31"/>
      <c r="D219" s="138" t="s">
        <v>289</v>
      </c>
      <c r="F219" s="139" t="s">
        <v>2948</v>
      </c>
      <c r="I219" s="140"/>
      <c r="L219" s="31"/>
      <c r="M219" s="141"/>
      <c r="T219" s="50"/>
      <c r="AT219" s="16" t="s">
        <v>289</v>
      </c>
      <c r="AU219" s="16" t="s">
        <v>83</v>
      </c>
    </row>
    <row r="220" spans="2:65" s="1" customFormat="1" ht="14.45" customHeight="1" x14ac:dyDescent="0.2">
      <c r="B220" s="124"/>
      <c r="C220" s="125" t="s">
        <v>543</v>
      </c>
      <c r="D220" s="125" t="s">
        <v>284</v>
      </c>
      <c r="E220" s="126" t="s">
        <v>2949</v>
      </c>
      <c r="F220" s="127" t="s">
        <v>2950</v>
      </c>
      <c r="G220" s="128" t="s">
        <v>344</v>
      </c>
      <c r="H220" s="129">
        <v>20</v>
      </c>
      <c r="I220" s="130">
        <v>24.997022322999999</v>
      </c>
      <c r="J220" s="131">
        <f>ROUND(I220*H220,2)</f>
        <v>499.94</v>
      </c>
      <c r="K220" s="127" t="s">
        <v>1</v>
      </c>
      <c r="L220" s="31"/>
      <c r="M220" s="132" t="s">
        <v>1</v>
      </c>
      <c r="N220" s="133" t="s">
        <v>40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95</v>
      </c>
      <c r="AT220" s="136" t="s">
        <v>284</v>
      </c>
      <c r="AU220" s="136" t="s">
        <v>83</v>
      </c>
      <c r="AY220" s="16" t="s">
        <v>282</v>
      </c>
      <c r="BE220" s="137">
        <f>IF(N220="základní",J220,0)</f>
        <v>499.94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6" t="s">
        <v>81</v>
      </c>
      <c r="BK220" s="137">
        <f>ROUND(I220*H220,2)</f>
        <v>499.94</v>
      </c>
      <c r="BL220" s="16" t="s">
        <v>95</v>
      </c>
      <c r="BM220" s="136" t="s">
        <v>1561</v>
      </c>
    </row>
    <row r="221" spans="2:65" s="1" customFormat="1" x14ac:dyDescent="0.2">
      <c r="B221" s="31"/>
      <c r="D221" s="138" t="s">
        <v>289</v>
      </c>
      <c r="F221" s="139" t="s">
        <v>2950</v>
      </c>
      <c r="I221" s="140"/>
      <c r="L221" s="31"/>
      <c r="M221" s="141"/>
      <c r="T221" s="50"/>
      <c r="AT221" s="16" t="s">
        <v>289</v>
      </c>
      <c r="AU221" s="16" t="s">
        <v>83</v>
      </c>
    </row>
    <row r="222" spans="2:65" s="1" customFormat="1" ht="14.45" customHeight="1" x14ac:dyDescent="0.2">
      <c r="B222" s="124"/>
      <c r="C222" s="125" t="s">
        <v>548</v>
      </c>
      <c r="D222" s="125" t="s">
        <v>284</v>
      </c>
      <c r="E222" s="126" t="s">
        <v>2951</v>
      </c>
      <c r="F222" s="127" t="s">
        <v>2952</v>
      </c>
      <c r="G222" s="128" t="s">
        <v>344</v>
      </c>
      <c r="H222" s="129">
        <v>10</v>
      </c>
      <c r="I222" s="130">
        <v>29.524713369000001</v>
      </c>
      <c r="J222" s="131">
        <f>ROUND(I222*H222,2)</f>
        <v>295.25</v>
      </c>
      <c r="K222" s="127" t="s">
        <v>1</v>
      </c>
      <c r="L222" s="31"/>
      <c r="M222" s="132" t="s">
        <v>1</v>
      </c>
      <c r="N222" s="133" t="s">
        <v>40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5">
        <f>S222*H222</f>
        <v>0</v>
      </c>
      <c r="AR222" s="136" t="s">
        <v>95</v>
      </c>
      <c r="AT222" s="136" t="s">
        <v>284</v>
      </c>
      <c r="AU222" s="136" t="s">
        <v>83</v>
      </c>
      <c r="AY222" s="16" t="s">
        <v>282</v>
      </c>
      <c r="BE222" s="137">
        <f>IF(N222="základní",J222,0)</f>
        <v>295.25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6" t="s">
        <v>81</v>
      </c>
      <c r="BK222" s="137">
        <f>ROUND(I222*H222,2)</f>
        <v>295.25</v>
      </c>
      <c r="BL222" s="16" t="s">
        <v>95</v>
      </c>
      <c r="BM222" s="136" t="s">
        <v>1563</v>
      </c>
    </row>
    <row r="223" spans="2:65" s="1" customFormat="1" x14ac:dyDescent="0.2">
      <c r="B223" s="31"/>
      <c r="D223" s="138" t="s">
        <v>289</v>
      </c>
      <c r="F223" s="139" t="s">
        <v>2952</v>
      </c>
      <c r="I223" s="140"/>
      <c r="L223" s="31"/>
      <c r="M223" s="141"/>
      <c r="T223" s="50"/>
      <c r="AT223" s="16" t="s">
        <v>289</v>
      </c>
      <c r="AU223" s="16" t="s">
        <v>83</v>
      </c>
    </row>
    <row r="224" spans="2:65" s="1" customFormat="1" ht="14.45" customHeight="1" x14ac:dyDescent="0.2">
      <c r="B224" s="124"/>
      <c r="C224" s="125" t="s">
        <v>556</v>
      </c>
      <c r="D224" s="125" t="s">
        <v>284</v>
      </c>
      <c r="E224" s="126" t="s">
        <v>2953</v>
      </c>
      <c r="F224" s="127" t="s">
        <v>2954</v>
      </c>
      <c r="G224" s="128" t="s">
        <v>344</v>
      </c>
      <c r="H224" s="129">
        <v>5</v>
      </c>
      <c r="I224" s="130">
        <v>30.680316523000002</v>
      </c>
      <c r="J224" s="131">
        <f>ROUND(I224*H224,2)</f>
        <v>153.4</v>
      </c>
      <c r="K224" s="127" t="s">
        <v>1</v>
      </c>
      <c r="L224" s="31"/>
      <c r="M224" s="132" t="s">
        <v>1</v>
      </c>
      <c r="N224" s="133" t="s">
        <v>40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95</v>
      </c>
      <c r="AT224" s="136" t="s">
        <v>284</v>
      </c>
      <c r="AU224" s="136" t="s">
        <v>83</v>
      </c>
      <c r="AY224" s="16" t="s">
        <v>282</v>
      </c>
      <c r="BE224" s="137">
        <f>IF(N224="základní",J224,0)</f>
        <v>153.4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6" t="s">
        <v>81</v>
      </c>
      <c r="BK224" s="137">
        <f>ROUND(I224*H224,2)</f>
        <v>153.4</v>
      </c>
      <c r="BL224" s="16" t="s">
        <v>95</v>
      </c>
      <c r="BM224" s="136" t="s">
        <v>1568</v>
      </c>
    </row>
    <row r="225" spans="2:65" s="1" customFormat="1" x14ac:dyDescent="0.2">
      <c r="B225" s="31"/>
      <c r="D225" s="138" t="s">
        <v>289</v>
      </c>
      <c r="F225" s="139" t="s">
        <v>2954</v>
      </c>
      <c r="I225" s="140"/>
      <c r="L225" s="31"/>
      <c r="M225" s="141"/>
      <c r="T225" s="50"/>
      <c r="AT225" s="16" t="s">
        <v>289</v>
      </c>
      <c r="AU225" s="16" t="s">
        <v>83</v>
      </c>
    </row>
    <row r="226" spans="2:65" s="1" customFormat="1" ht="14.45" customHeight="1" x14ac:dyDescent="0.2">
      <c r="B226" s="124"/>
      <c r="C226" s="125" t="s">
        <v>562</v>
      </c>
      <c r="D226" s="125" t="s">
        <v>284</v>
      </c>
      <c r="E226" s="126" t="s">
        <v>2955</v>
      </c>
      <c r="F226" s="127" t="s">
        <v>2956</v>
      </c>
      <c r="G226" s="128" t="s">
        <v>344</v>
      </c>
      <c r="H226" s="129">
        <v>5</v>
      </c>
      <c r="I226" s="130">
        <v>50.145599157999996</v>
      </c>
      <c r="J226" s="131">
        <f>ROUND(I226*H226,2)</f>
        <v>250.73</v>
      </c>
      <c r="K226" s="127" t="s">
        <v>1</v>
      </c>
      <c r="L226" s="31"/>
      <c r="M226" s="132" t="s">
        <v>1</v>
      </c>
      <c r="N226" s="133" t="s">
        <v>40</v>
      </c>
      <c r="P226" s="134">
        <f>O226*H226</f>
        <v>0</v>
      </c>
      <c r="Q226" s="134">
        <v>0</v>
      </c>
      <c r="R226" s="134">
        <f>Q226*H226</f>
        <v>0</v>
      </c>
      <c r="S226" s="134">
        <v>0</v>
      </c>
      <c r="T226" s="135">
        <f>S226*H226</f>
        <v>0</v>
      </c>
      <c r="AR226" s="136" t="s">
        <v>95</v>
      </c>
      <c r="AT226" s="136" t="s">
        <v>284</v>
      </c>
      <c r="AU226" s="136" t="s">
        <v>83</v>
      </c>
      <c r="AY226" s="16" t="s">
        <v>282</v>
      </c>
      <c r="BE226" s="137">
        <f>IF(N226="základní",J226,0)</f>
        <v>250.73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6" t="s">
        <v>81</v>
      </c>
      <c r="BK226" s="137">
        <f>ROUND(I226*H226,2)</f>
        <v>250.73</v>
      </c>
      <c r="BL226" s="16" t="s">
        <v>95</v>
      </c>
      <c r="BM226" s="136" t="s">
        <v>1570</v>
      </c>
    </row>
    <row r="227" spans="2:65" s="1" customFormat="1" x14ac:dyDescent="0.2">
      <c r="B227" s="31"/>
      <c r="D227" s="138" t="s">
        <v>289</v>
      </c>
      <c r="F227" s="139" t="s">
        <v>2956</v>
      </c>
      <c r="I227" s="140"/>
      <c r="L227" s="31"/>
      <c r="M227" s="141"/>
      <c r="T227" s="50"/>
      <c r="AT227" s="16" t="s">
        <v>289</v>
      </c>
      <c r="AU227" s="16" t="s">
        <v>83</v>
      </c>
    </row>
    <row r="228" spans="2:65" s="1" customFormat="1" ht="14.45" customHeight="1" x14ac:dyDescent="0.2">
      <c r="B228" s="124"/>
      <c r="C228" s="125" t="s">
        <v>568</v>
      </c>
      <c r="D228" s="125" t="s">
        <v>284</v>
      </c>
      <c r="E228" s="126" t="s">
        <v>2957</v>
      </c>
      <c r="F228" s="127" t="s">
        <v>2958</v>
      </c>
      <c r="G228" s="128" t="s">
        <v>344</v>
      </c>
      <c r="H228" s="129">
        <v>8</v>
      </c>
      <c r="I228" s="130">
        <v>324.31718352299998</v>
      </c>
      <c r="J228" s="131">
        <f>ROUND(I228*H228,2)</f>
        <v>2594.54</v>
      </c>
      <c r="K228" s="127" t="s">
        <v>1</v>
      </c>
      <c r="L228" s="31"/>
      <c r="M228" s="132" t="s">
        <v>1</v>
      </c>
      <c r="N228" s="133" t="s">
        <v>40</v>
      </c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AR228" s="136" t="s">
        <v>95</v>
      </c>
      <c r="AT228" s="136" t="s">
        <v>284</v>
      </c>
      <c r="AU228" s="136" t="s">
        <v>83</v>
      </c>
      <c r="AY228" s="16" t="s">
        <v>282</v>
      </c>
      <c r="BE228" s="137">
        <f>IF(N228="základní",J228,0)</f>
        <v>2594.54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6" t="s">
        <v>81</v>
      </c>
      <c r="BK228" s="137">
        <f>ROUND(I228*H228,2)</f>
        <v>2594.54</v>
      </c>
      <c r="BL228" s="16" t="s">
        <v>95</v>
      </c>
      <c r="BM228" s="136" t="s">
        <v>2606</v>
      </c>
    </row>
    <row r="229" spans="2:65" s="1" customFormat="1" x14ac:dyDescent="0.2">
      <c r="B229" s="31"/>
      <c r="D229" s="138" t="s">
        <v>289</v>
      </c>
      <c r="F229" s="139" t="s">
        <v>2958</v>
      </c>
      <c r="I229" s="140"/>
      <c r="L229" s="31"/>
      <c r="M229" s="141"/>
      <c r="T229" s="50"/>
      <c r="AT229" s="16" t="s">
        <v>289</v>
      </c>
      <c r="AU229" s="16" t="s">
        <v>83</v>
      </c>
    </row>
    <row r="230" spans="2:65" s="1" customFormat="1" ht="14.45" customHeight="1" x14ac:dyDescent="0.2">
      <c r="B230" s="124"/>
      <c r="C230" s="125" t="s">
        <v>572</v>
      </c>
      <c r="D230" s="125" t="s">
        <v>284</v>
      </c>
      <c r="E230" s="126" t="s">
        <v>2959</v>
      </c>
      <c r="F230" s="127" t="s">
        <v>2960</v>
      </c>
      <c r="G230" s="128" t="s">
        <v>315</v>
      </c>
      <c r="H230" s="129">
        <v>4</v>
      </c>
      <c r="I230" s="130">
        <v>240.895896824</v>
      </c>
      <c r="J230" s="131">
        <f>ROUND(I230*H230,2)</f>
        <v>963.58</v>
      </c>
      <c r="K230" s="127" t="s">
        <v>1</v>
      </c>
      <c r="L230" s="31"/>
      <c r="M230" s="132" t="s">
        <v>1</v>
      </c>
      <c r="N230" s="133" t="s">
        <v>40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95</v>
      </c>
      <c r="AT230" s="136" t="s">
        <v>284</v>
      </c>
      <c r="AU230" s="136" t="s">
        <v>83</v>
      </c>
      <c r="AY230" s="16" t="s">
        <v>282</v>
      </c>
      <c r="BE230" s="137">
        <f>IF(N230="základní",J230,0)</f>
        <v>963.58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6" t="s">
        <v>81</v>
      </c>
      <c r="BK230" s="137">
        <f>ROUND(I230*H230,2)</f>
        <v>963.58</v>
      </c>
      <c r="BL230" s="16" t="s">
        <v>95</v>
      </c>
      <c r="BM230" s="136" t="s">
        <v>2610</v>
      </c>
    </row>
    <row r="231" spans="2:65" s="1" customFormat="1" x14ac:dyDescent="0.2">
      <c r="B231" s="31"/>
      <c r="D231" s="138" t="s">
        <v>289</v>
      </c>
      <c r="F231" s="139" t="s">
        <v>2960</v>
      </c>
      <c r="I231" s="140"/>
      <c r="L231" s="31"/>
      <c r="M231" s="141"/>
      <c r="T231" s="50"/>
      <c r="AT231" s="16" t="s">
        <v>289</v>
      </c>
      <c r="AU231" s="16" t="s">
        <v>83</v>
      </c>
    </row>
    <row r="232" spans="2:65" s="1" customFormat="1" ht="14.45" customHeight="1" x14ac:dyDescent="0.2">
      <c r="B232" s="124"/>
      <c r="C232" s="125" t="s">
        <v>576</v>
      </c>
      <c r="D232" s="125" t="s">
        <v>284</v>
      </c>
      <c r="E232" s="126" t="s">
        <v>2961</v>
      </c>
      <c r="F232" s="127" t="s">
        <v>2962</v>
      </c>
      <c r="G232" s="128" t="s">
        <v>315</v>
      </c>
      <c r="H232" s="129">
        <v>6</v>
      </c>
      <c r="I232" s="130">
        <v>241.89047330900001</v>
      </c>
      <c r="J232" s="131">
        <f>ROUND(I232*H232,2)</f>
        <v>1451.34</v>
      </c>
      <c r="K232" s="127" t="s">
        <v>1</v>
      </c>
      <c r="L232" s="31"/>
      <c r="M232" s="132" t="s">
        <v>1</v>
      </c>
      <c r="N232" s="133" t="s">
        <v>40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95</v>
      </c>
      <c r="AT232" s="136" t="s">
        <v>284</v>
      </c>
      <c r="AU232" s="136" t="s">
        <v>83</v>
      </c>
      <c r="AY232" s="16" t="s">
        <v>282</v>
      </c>
      <c r="BE232" s="137">
        <f>IF(N232="základní",J232,0)</f>
        <v>1451.34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6" t="s">
        <v>81</v>
      </c>
      <c r="BK232" s="137">
        <f>ROUND(I232*H232,2)</f>
        <v>1451.34</v>
      </c>
      <c r="BL232" s="16" t="s">
        <v>95</v>
      </c>
      <c r="BM232" s="136" t="s">
        <v>2613</v>
      </c>
    </row>
    <row r="233" spans="2:65" s="1" customFormat="1" x14ac:dyDescent="0.2">
      <c r="B233" s="31"/>
      <c r="D233" s="138" t="s">
        <v>289</v>
      </c>
      <c r="F233" s="139" t="s">
        <v>2962</v>
      </c>
      <c r="I233" s="140"/>
      <c r="L233" s="31"/>
      <c r="M233" s="141"/>
      <c r="T233" s="50"/>
      <c r="AT233" s="16" t="s">
        <v>289</v>
      </c>
      <c r="AU233" s="16" t="s">
        <v>83</v>
      </c>
    </row>
    <row r="234" spans="2:65" s="1" customFormat="1" ht="14.45" customHeight="1" x14ac:dyDescent="0.2">
      <c r="B234" s="124"/>
      <c r="C234" s="125" t="s">
        <v>581</v>
      </c>
      <c r="D234" s="125" t="s">
        <v>284</v>
      </c>
      <c r="E234" s="126" t="s">
        <v>2963</v>
      </c>
      <c r="F234" s="127" t="s">
        <v>2964</v>
      </c>
      <c r="G234" s="128" t="s">
        <v>315</v>
      </c>
      <c r="H234" s="129">
        <v>1</v>
      </c>
      <c r="I234" s="130">
        <v>273.31909023500003</v>
      </c>
      <c r="J234" s="131">
        <f>ROUND(I234*H234,2)</f>
        <v>273.32</v>
      </c>
      <c r="K234" s="127" t="s">
        <v>1</v>
      </c>
      <c r="L234" s="31"/>
      <c r="M234" s="132" t="s">
        <v>1</v>
      </c>
      <c r="N234" s="133" t="s">
        <v>40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95</v>
      </c>
      <c r="AT234" s="136" t="s">
        <v>284</v>
      </c>
      <c r="AU234" s="136" t="s">
        <v>83</v>
      </c>
      <c r="AY234" s="16" t="s">
        <v>282</v>
      </c>
      <c r="BE234" s="137">
        <f>IF(N234="základní",J234,0)</f>
        <v>273.32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6" t="s">
        <v>81</v>
      </c>
      <c r="BK234" s="137">
        <f>ROUND(I234*H234,2)</f>
        <v>273.32</v>
      </c>
      <c r="BL234" s="16" t="s">
        <v>95</v>
      </c>
      <c r="BM234" s="136" t="s">
        <v>2618</v>
      </c>
    </row>
    <row r="235" spans="2:65" s="1" customFormat="1" x14ac:dyDescent="0.2">
      <c r="B235" s="31"/>
      <c r="D235" s="138" t="s">
        <v>289</v>
      </c>
      <c r="F235" s="139" t="s">
        <v>2964</v>
      </c>
      <c r="I235" s="140"/>
      <c r="L235" s="31"/>
      <c r="M235" s="141"/>
      <c r="T235" s="50"/>
      <c r="AT235" s="16" t="s">
        <v>289</v>
      </c>
      <c r="AU235" s="16" t="s">
        <v>83</v>
      </c>
    </row>
    <row r="236" spans="2:65" s="1" customFormat="1" ht="24.2" customHeight="1" x14ac:dyDescent="0.2">
      <c r="B236" s="124"/>
      <c r="C236" s="125" t="s">
        <v>589</v>
      </c>
      <c r="D236" s="125" t="s">
        <v>284</v>
      </c>
      <c r="E236" s="126" t="s">
        <v>2965</v>
      </c>
      <c r="F236" s="127" t="s">
        <v>2966</v>
      </c>
      <c r="G236" s="128" t="s">
        <v>485</v>
      </c>
      <c r="H236" s="129">
        <v>116</v>
      </c>
      <c r="I236" s="130">
        <v>61.881601680999999</v>
      </c>
      <c r="J236" s="131">
        <f>ROUND(I236*H236,2)</f>
        <v>7178.27</v>
      </c>
      <c r="K236" s="127" t="s">
        <v>1</v>
      </c>
      <c r="L236" s="31"/>
      <c r="M236" s="132" t="s">
        <v>1</v>
      </c>
      <c r="N236" s="133" t="s">
        <v>40</v>
      </c>
      <c r="P236" s="134">
        <f>O236*H236</f>
        <v>0</v>
      </c>
      <c r="Q236" s="134">
        <v>0</v>
      </c>
      <c r="R236" s="134">
        <f>Q236*H236</f>
        <v>0</v>
      </c>
      <c r="S236" s="134">
        <v>0</v>
      </c>
      <c r="T236" s="135">
        <f>S236*H236</f>
        <v>0</v>
      </c>
      <c r="AR236" s="136" t="s">
        <v>95</v>
      </c>
      <c r="AT236" s="136" t="s">
        <v>284</v>
      </c>
      <c r="AU236" s="136" t="s">
        <v>83</v>
      </c>
      <c r="AY236" s="16" t="s">
        <v>282</v>
      </c>
      <c r="BE236" s="137">
        <f>IF(N236="základní",J236,0)</f>
        <v>7178.27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6" t="s">
        <v>81</v>
      </c>
      <c r="BK236" s="137">
        <f>ROUND(I236*H236,2)</f>
        <v>7178.27</v>
      </c>
      <c r="BL236" s="16" t="s">
        <v>95</v>
      </c>
      <c r="BM236" s="136" t="s">
        <v>2622</v>
      </c>
    </row>
    <row r="237" spans="2:65" s="1" customFormat="1" x14ac:dyDescent="0.2">
      <c r="B237" s="31"/>
      <c r="D237" s="138" t="s">
        <v>289</v>
      </c>
      <c r="F237" s="139" t="s">
        <v>2966</v>
      </c>
      <c r="I237" s="140"/>
      <c r="L237" s="31"/>
      <c r="M237" s="141"/>
      <c r="T237" s="50"/>
      <c r="AT237" s="16" t="s">
        <v>289</v>
      </c>
      <c r="AU237" s="16" t="s">
        <v>83</v>
      </c>
    </row>
    <row r="238" spans="2:65" s="1" customFormat="1" ht="14.45" customHeight="1" x14ac:dyDescent="0.2">
      <c r="B238" s="124"/>
      <c r="C238" s="125" t="s">
        <v>594</v>
      </c>
      <c r="D238" s="125" t="s">
        <v>284</v>
      </c>
      <c r="E238" s="126" t="s">
        <v>2967</v>
      </c>
      <c r="F238" s="127" t="s">
        <v>2968</v>
      </c>
      <c r="G238" s="128" t="s">
        <v>315</v>
      </c>
      <c r="H238" s="129">
        <v>1</v>
      </c>
      <c r="I238" s="130">
        <v>3001.4139721189999</v>
      </c>
      <c r="J238" s="131">
        <f>ROUND(I238*H238,2)</f>
        <v>3001.41</v>
      </c>
      <c r="K238" s="127" t="s">
        <v>1</v>
      </c>
      <c r="L238" s="31"/>
      <c r="M238" s="132" t="s">
        <v>1</v>
      </c>
      <c r="N238" s="133" t="s">
        <v>40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95</v>
      </c>
      <c r="AT238" s="136" t="s">
        <v>284</v>
      </c>
      <c r="AU238" s="136" t="s">
        <v>83</v>
      </c>
      <c r="AY238" s="16" t="s">
        <v>282</v>
      </c>
      <c r="BE238" s="137">
        <f>IF(N238="základní",J238,0)</f>
        <v>3001.41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6" t="s">
        <v>81</v>
      </c>
      <c r="BK238" s="137">
        <f>ROUND(I238*H238,2)</f>
        <v>3001.41</v>
      </c>
      <c r="BL238" s="16" t="s">
        <v>95</v>
      </c>
      <c r="BM238" s="136" t="s">
        <v>2631</v>
      </c>
    </row>
    <row r="239" spans="2:65" s="1" customFormat="1" x14ac:dyDescent="0.2">
      <c r="B239" s="31"/>
      <c r="D239" s="138" t="s">
        <v>289</v>
      </c>
      <c r="F239" s="139" t="s">
        <v>2968</v>
      </c>
      <c r="I239" s="140"/>
      <c r="L239" s="31"/>
      <c r="M239" s="141"/>
      <c r="T239" s="50"/>
      <c r="AT239" s="16" t="s">
        <v>289</v>
      </c>
      <c r="AU239" s="16" t="s">
        <v>83</v>
      </c>
    </row>
    <row r="240" spans="2:65" s="10" customFormat="1" ht="22.9" customHeight="1" x14ac:dyDescent="0.2">
      <c r="B240" s="112"/>
      <c r="D240" s="113" t="s">
        <v>73</v>
      </c>
      <c r="E240" s="122" t="s">
        <v>1985</v>
      </c>
      <c r="F240" s="122" t="s">
        <v>2969</v>
      </c>
      <c r="I240" s="115"/>
      <c r="J240" s="123">
        <f>BK240</f>
        <v>130840.69</v>
      </c>
      <c r="L240" s="112"/>
      <c r="M240" s="117"/>
      <c r="P240" s="118">
        <f>P241+P252</f>
        <v>0</v>
      </c>
      <c r="R240" s="118">
        <f>R241+R252</f>
        <v>0</v>
      </c>
      <c r="T240" s="119">
        <f>T241+T252</f>
        <v>0</v>
      </c>
      <c r="AR240" s="113" t="s">
        <v>81</v>
      </c>
      <c r="AT240" s="120" t="s">
        <v>73</v>
      </c>
      <c r="AU240" s="120" t="s">
        <v>81</v>
      </c>
      <c r="AY240" s="113" t="s">
        <v>282</v>
      </c>
      <c r="BK240" s="121">
        <f>BK241+BK252</f>
        <v>130840.69</v>
      </c>
    </row>
    <row r="241" spans="2:65" s="10" customFormat="1" ht="20.85" customHeight="1" x14ac:dyDescent="0.2">
      <c r="B241" s="112"/>
      <c r="D241" s="113" t="s">
        <v>73</v>
      </c>
      <c r="E241" s="122" t="s">
        <v>2970</v>
      </c>
      <c r="F241" s="122" t="s">
        <v>2971</v>
      </c>
      <c r="I241" s="115"/>
      <c r="J241" s="123">
        <f>BK241</f>
        <v>18063.07</v>
      </c>
      <c r="L241" s="112"/>
      <c r="M241" s="117"/>
      <c r="P241" s="118">
        <f>SUM(P242:P251)</f>
        <v>0</v>
      </c>
      <c r="R241" s="118">
        <f>SUM(R242:R251)</f>
        <v>0</v>
      </c>
      <c r="T241" s="119">
        <f>SUM(T242:T251)</f>
        <v>0</v>
      </c>
      <c r="AR241" s="113" t="s">
        <v>81</v>
      </c>
      <c r="AT241" s="120" t="s">
        <v>73</v>
      </c>
      <c r="AU241" s="120" t="s">
        <v>83</v>
      </c>
      <c r="AY241" s="113" t="s">
        <v>282</v>
      </c>
      <c r="BK241" s="121">
        <f>SUM(BK242:BK251)</f>
        <v>18063.07</v>
      </c>
    </row>
    <row r="242" spans="2:65" s="1" customFormat="1" ht="14.45" customHeight="1" x14ac:dyDescent="0.2">
      <c r="B242" s="124"/>
      <c r="C242" s="125" t="s">
        <v>599</v>
      </c>
      <c r="D242" s="125" t="s">
        <v>284</v>
      </c>
      <c r="E242" s="126" t="s">
        <v>2972</v>
      </c>
      <c r="F242" s="127" t="s">
        <v>2973</v>
      </c>
      <c r="G242" s="128" t="s">
        <v>315</v>
      </c>
      <c r="H242" s="129">
        <v>1</v>
      </c>
      <c r="I242" s="130">
        <v>7738.2502446790004</v>
      </c>
      <c r="J242" s="131">
        <f>ROUND(I242*H242,2)</f>
        <v>7738.25</v>
      </c>
      <c r="K242" s="127" t="s">
        <v>1</v>
      </c>
      <c r="L242" s="31"/>
      <c r="M242" s="132" t="s">
        <v>1</v>
      </c>
      <c r="N242" s="133" t="s">
        <v>40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95</v>
      </c>
      <c r="AT242" s="136" t="s">
        <v>284</v>
      </c>
      <c r="AU242" s="136" t="s">
        <v>90</v>
      </c>
      <c r="AY242" s="16" t="s">
        <v>282</v>
      </c>
      <c r="BE242" s="137">
        <f>IF(N242="základní",J242,0)</f>
        <v>7738.25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6" t="s">
        <v>81</v>
      </c>
      <c r="BK242" s="137">
        <f>ROUND(I242*H242,2)</f>
        <v>7738.25</v>
      </c>
      <c r="BL242" s="16" t="s">
        <v>95</v>
      </c>
      <c r="BM242" s="136" t="s">
        <v>2636</v>
      </c>
    </row>
    <row r="243" spans="2:65" s="1" customFormat="1" x14ac:dyDescent="0.2">
      <c r="B243" s="31"/>
      <c r="D243" s="138" t="s">
        <v>289</v>
      </c>
      <c r="F243" s="139" t="s">
        <v>2973</v>
      </c>
      <c r="I243" s="140"/>
      <c r="L243" s="31"/>
      <c r="M243" s="141"/>
      <c r="T243" s="50"/>
      <c r="AT243" s="16" t="s">
        <v>289</v>
      </c>
      <c r="AU243" s="16" t="s">
        <v>90</v>
      </c>
    </row>
    <row r="244" spans="2:65" s="1" customFormat="1" ht="14.45" customHeight="1" x14ac:dyDescent="0.2">
      <c r="B244" s="124"/>
      <c r="C244" s="125" t="s">
        <v>604</v>
      </c>
      <c r="D244" s="125" t="s">
        <v>284</v>
      </c>
      <c r="E244" s="126" t="s">
        <v>2974</v>
      </c>
      <c r="F244" s="127" t="s">
        <v>2975</v>
      </c>
      <c r="G244" s="128" t="s">
        <v>1948</v>
      </c>
      <c r="H244" s="129">
        <v>1</v>
      </c>
      <c r="I244" s="130">
        <v>3574.953078469</v>
      </c>
      <c r="J244" s="131">
        <f>ROUND(I244*H244,2)</f>
        <v>3574.95</v>
      </c>
      <c r="K244" s="127" t="s">
        <v>1</v>
      </c>
      <c r="L244" s="31"/>
      <c r="M244" s="132" t="s">
        <v>1</v>
      </c>
      <c r="N244" s="133" t="s">
        <v>40</v>
      </c>
      <c r="P244" s="134">
        <f>O244*H244</f>
        <v>0</v>
      </c>
      <c r="Q244" s="134">
        <v>0</v>
      </c>
      <c r="R244" s="134">
        <f>Q244*H244</f>
        <v>0</v>
      </c>
      <c r="S244" s="134">
        <v>0</v>
      </c>
      <c r="T244" s="135">
        <f>S244*H244</f>
        <v>0</v>
      </c>
      <c r="AR244" s="136" t="s">
        <v>95</v>
      </c>
      <c r="AT244" s="136" t="s">
        <v>284</v>
      </c>
      <c r="AU244" s="136" t="s">
        <v>90</v>
      </c>
      <c r="AY244" s="16" t="s">
        <v>282</v>
      </c>
      <c r="BE244" s="137">
        <f>IF(N244="základní",J244,0)</f>
        <v>3574.95</v>
      </c>
      <c r="BF244" s="137">
        <f>IF(N244="snížená",J244,0)</f>
        <v>0</v>
      </c>
      <c r="BG244" s="137">
        <f>IF(N244="zákl. přenesená",J244,0)</f>
        <v>0</v>
      </c>
      <c r="BH244" s="137">
        <f>IF(N244="sníž. přenesená",J244,0)</f>
        <v>0</v>
      </c>
      <c r="BI244" s="137">
        <f>IF(N244="nulová",J244,0)</f>
        <v>0</v>
      </c>
      <c r="BJ244" s="16" t="s">
        <v>81</v>
      </c>
      <c r="BK244" s="137">
        <f>ROUND(I244*H244,2)</f>
        <v>3574.95</v>
      </c>
      <c r="BL244" s="16" t="s">
        <v>95</v>
      </c>
      <c r="BM244" s="136" t="s">
        <v>2639</v>
      </c>
    </row>
    <row r="245" spans="2:65" s="1" customFormat="1" x14ac:dyDescent="0.2">
      <c r="B245" s="31"/>
      <c r="D245" s="138" t="s">
        <v>289</v>
      </c>
      <c r="F245" s="139" t="s">
        <v>2975</v>
      </c>
      <c r="I245" s="140"/>
      <c r="L245" s="31"/>
      <c r="M245" s="141"/>
      <c r="T245" s="50"/>
      <c r="AT245" s="16" t="s">
        <v>289</v>
      </c>
      <c r="AU245" s="16" t="s">
        <v>90</v>
      </c>
    </row>
    <row r="246" spans="2:65" s="1" customFormat="1" ht="14.45" customHeight="1" x14ac:dyDescent="0.2">
      <c r="B246" s="124"/>
      <c r="C246" s="125" t="s">
        <v>609</v>
      </c>
      <c r="D246" s="125" t="s">
        <v>284</v>
      </c>
      <c r="E246" s="126" t="s">
        <v>2976</v>
      </c>
      <c r="F246" s="127" t="s">
        <v>1986</v>
      </c>
      <c r="G246" s="128" t="s">
        <v>1948</v>
      </c>
      <c r="H246" s="129">
        <v>1</v>
      </c>
      <c r="I246" s="130">
        <v>1385.7765691</v>
      </c>
      <c r="J246" s="131">
        <f>ROUND(I246*H246,2)</f>
        <v>1385.78</v>
      </c>
      <c r="K246" s="127" t="s">
        <v>1</v>
      </c>
      <c r="L246" s="31"/>
      <c r="M246" s="132" t="s">
        <v>1</v>
      </c>
      <c r="N246" s="133" t="s">
        <v>40</v>
      </c>
      <c r="P246" s="134">
        <f>O246*H246</f>
        <v>0</v>
      </c>
      <c r="Q246" s="134">
        <v>0</v>
      </c>
      <c r="R246" s="134">
        <f>Q246*H246</f>
        <v>0</v>
      </c>
      <c r="S246" s="134">
        <v>0</v>
      </c>
      <c r="T246" s="135">
        <f>S246*H246</f>
        <v>0</v>
      </c>
      <c r="AR246" s="136" t="s">
        <v>95</v>
      </c>
      <c r="AT246" s="136" t="s">
        <v>284</v>
      </c>
      <c r="AU246" s="136" t="s">
        <v>90</v>
      </c>
      <c r="AY246" s="16" t="s">
        <v>282</v>
      </c>
      <c r="BE246" s="137">
        <f>IF(N246="základní",J246,0)</f>
        <v>1385.78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6" t="s">
        <v>81</v>
      </c>
      <c r="BK246" s="137">
        <f>ROUND(I246*H246,2)</f>
        <v>1385.78</v>
      </c>
      <c r="BL246" s="16" t="s">
        <v>95</v>
      </c>
      <c r="BM246" s="136" t="s">
        <v>2385</v>
      </c>
    </row>
    <row r="247" spans="2:65" s="1" customFormat="1" x14ac:dyDescent="0.2">
      <c r="B247" s="31"/>
      <c r="D247" s="138" t="s">
        <v>289</v>
      </c>
      <c r="F247" s="139" t="s">
        <v>1986</v>
      </c>
      <c r="I247" s="140"/>
      <c r="L247" s="31"/>
      <c r="M247" s="141"/>
      <c r="T247" s="50"/>
      <c r="AT247" s="16" t="s">
        <v>289</v>
      </c>
      <c r="AU247" s="16" t="s">
        <v>90</v>
      </c>
    </row>
    <row r="248" spans="2:65" s="1" customFormat="1" ht="14.45" customHeight="1" x14ac:dyDescent="0.2">
      <c r="B248" s="124"/>
      <c r="C248" s="125" t="s">
        <v>614</v>
      </c>
      <c r="D248" s="125" t="s">
        <v>284</v>
      </c>
      <c r="E248" s="126" t="s">
        <v>2977</v>
      </c>
      <c r="F248" s="127" t="s">
        <v>2978</v>
      </c>
      <c r="G248" s="128" t="s">
        <v>1948</v>
      </c>
      <c r="H248" s="129">
        <v>1</v>
      </c>
      <c r="I248" s="130">
        <v>1650.9969650999999</v>
      </c>
      <c r="J248" s="131">
        <f>ROUND(I248*H248,2)</f>
        <v>1651</v>
      </c>
      <c r="K248" s="127" t="s">
        <v>1</v>
      </c>
      <c r="L248" s="31"/>
      <c r="M248" s="132" t="s">
        <v>1</v>
      </c>
      <c r="N248" s="133" t="s">
        <v>40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95</v>
      </c>
      <c r="AT248" s="136" t="s">
        <v>284</v>
      </c>
      <c r="AU248" s="136" t="s">
        <v>90</v>
      </c>
      <c r="AY248" s="16" t="s">
        <v>282</v>
      </c>
      <c r="BE248" s="137">
        <f>IF(N248="základní",J248,0)</f>
        <v>1651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6" t="s">
        <v>81</v>
      </c>
      <c r="BK248" s="137">
        <f>ROUND(I248*H248,2)</f>
        <v>1651</v>
      </c>
      <c r="BL248" s="16" t="s">
        <v>95</v>
      </c>
      <c r="BM248" s="136" t="s">
        <v>2645</v>
      </c>
    </row>
    <row r="249" spans="2:65" s="1" customFormat="1" x14ac:dyDescent="0.2">
      <c r="B249" s="31"/>
      <c r="D249" s="138" t="s">
        <v>289</v>
      </c>
      <c r="F249" s="139" t="s">
        <v>2978</v>
      </c>
      <c r="I249" s="140"/>
      <c r="L249" s="31"/>
      <c r="M249" s="141"/>
      <c r="T249" s="50"/>
      <c r="AT249" s="16" t="s">
        <v>289</v>
      </c>
      <c r="AU249" s="16" t="s">
        <v>90</v>
      </c>
    </row>
    <row r="250" spans="2:65" s="1" customFormat="1" ht="14.45" customHeight="1" x14ac:dyDescent="0.2">
      <c r="B250" s="124"/>
      <c r="C250" s="125" t="s">
        <v>618</v>
      </c>
      <c r="D250" s="125" t="s">
        <v>284</v>
      </c>
      <c r="E250" s="126" t="s">
        <v>2979</v>
      </c>
      <c r="F250" s="127" t="s">
        <v>2980</v>
      </c>
      <c r="G250" s="128" t="s">
        <v>1948</v>
      </c>
      <c r="H250" s="129">
        <v>1</v>
      </c>
      <c r="I250" s="130">
        <v>3713.085544</v>
      </c>
      <c r="J250" s="131">
        <f>ROUND(I250*H250,2)</f>
        <v>3713.09</v>
      </c>
      <c r="K250" s="127" t="s">
        <v>1</v>
      </c>
      <c r="L250" s="31"/>
      <c r="M250" s="132" t="s">
        <v>1</v>
      </c>
      <c r="N250" s="133" t="s">
        <v>40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AR250" s="136" t="s">
        <v>95</v>
      </c>
      <c r="AT250" s="136" t="s">
        <v>284</v>
      </c>
      <c r="AU250" s="136" t="s">
        <v>90</v>
      </c>
      <c r="AY250" s="16" t="s">
        <v>282</v>
      </c>
      <c r="BE250" s="137">
        <f>IF(N250="základní",J250,0)</f>
        <v>3713.09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6" t="s">
        <v>81</v>
      </c>
      <c r="BK250" s="137">
        <f>ROUND(I250*H250,2)</f>
        <v>3713.09</v>
      </c>
      <c r="BL250" s="16" t="s">
        <v>95</v>
      </c>
      <c r="BM250" s="136" t="s">
        <v>2981</v>
      </c>
    </row>
    <row r="251" spans="2:65" s="1" customFormat="1" x14ac:dyDescent="0.2">
      <c r="B251" s="31"/>
      <c r="D251" s="138" t="s">
        <v>289</v>
      </c>
      <c r="F251" s="139" t="s">
        <v>2980</v>
      </c>
      <c r="I251" s="140"/>
      <c r="L251" s="31"/>
      <c r="M251" s="141"/>
      <c r="T251" s="50"/>
      <c r="AT251" s="16" t="s">
        <v>289</v>
      </c>
      <c r="AU251" s="16" t="s">
        <v>90</v>
      </c>
    </row>
    <row r="252" spans="2:65" s="10" customFormat="1" ht="20.85" customHeight="1" x14ac:dyDescent="0.2">
      <c r="B252" s="112"/>
      <c r="D252" s="113" t="s">
        <v>73</v>
      </c>
      <c r="E252" s="122" t="s">
        <v>2982</v>
      </c>
      <c r="F252" s="122" t="s">
        <v>2983</v>
      </c>
      <c r="I252" s="115"/>
      <c r="J252" s="123">
        <f>BK252</f>
        <v>112777.62</v>
      </c>
      <c r="L252" s="112"/>
      <c r="M252" s="117"/>
      <c r="P252" s="118">
        <f>SUM(P253:P282)</f>
        <v>0</v>
      </c>
      <c r="R252" s="118">
        <f>SUM(R253:R282)</f>
        <v>0</v>
      </c>
      <c r="T252" s="119">
        <f>SUM(T253:T282)</f>
        <v>0</v>
      </c>
      <c r="AR252" s="113" t="s">
        <v>81</v>
      </c>
      <c r="AT252" s="120" t="s">
        <v>73</v>
      </c>
      <c r="AU252" s="120" t="s">
        <v>83</v>
      </c>
      <c r="AY252" s="113" t="s">
        <v>282</v>
      </c>
      <c r="BK252" s="121">
        <f>SUM(BK253:BK282)</f>
        <v>112777.62</v>
      </c>
    </row>
    <row r="253" spans="2:65" s="1" customFormat="1" ht="37.9" customHeight="1" x14ac:dyDescent="0.2">
      <c r="B253" s="124"/>
      <c r="C253" s="125" t="s">
        <v>622</v>
      </c>
      <c r="D253" s="125" t="s">
        <v>284</v>
      </c>
      <c r="E253" s="126" t="s">
        <v>2984</v>
      </c>
      <c r="F253" s="127" t="s">
        <v>2985</v>
      </c>
      <c r="G253" s="128" t="s">
        <v>1948</v>
      </c>
      <c r="H253" s="129">
        <v>1</v>
      </c>
      <c r="I253" s="130">
        <v>78358.257755831</v>
      </c>
      <c r="J253" s="131">
        <f>ROUND(I253*H253,2)</f>
        <v>78358.259999999995</v>
      </c>
      <c r="K253" s="127" t="s">
        <v>1</v>
      </c>
      <c r="L253" s="31"/>
      <c r="M253" s="132" t="s">
        <v>1</v>
      </c>
      <c r="N253" s="133" t="s">
        <v>40</v>
      </c>
      <c r="P253" s="134">
        <f>O253*H253</f>
        <v>0</v>
      </c>
      <c r="Q253" s="134">
        <v>0</v>
      </c>
      <c r="R253" s="134">
        <f>Q253*H253</f>
        <v>0</v>
      </c>
      <c r="S253" s="134">
        <v>0</v>
      </c>
      <c r="T253" s="135">
        <f>S253*H253</f>
        <v>0</v>
      </c>
      <c r="AR253" s="136" t="s">
        <v>95</v>
      </c>
      <c r="AT253" s="136" t="s">
        <v>284</v>
      </c>
      <c r="AU253" s="136" t="s">
        <v>90</v>
      </c>
      <c r="AY253" s="16" t="s">
        <v>282</v>
      </c>
      <c r="BE253" s="137">
        <f>IF(N253="základní",J253,0)</f>
        <v>78358.259999999995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6" t="s">
        <v>81</v>
      </c>
      <c r="BK253" s="137">
        <f>ROUND(I253*H253,2)</f>
        <v>78358.259999999995</v>
      </c>
      <c r="BL253" s="16" t="s">
        <v>95</v>
      </c>
      <c r="BM253" s="136" t="s">
        <v>2986</v>
      </c>
    </row>
    <row r="254" spans="2:65" s="1" customFormat="1" ht="29.25" x14ac:dyDescent="0.2">
      <c r="B254" s="31"/>
      <c r="D254" s="138" t="s">
        <v>289</v>
      </c>
      <c r="F254" s="139" t="s">
        <v>2985</v>
      </c>
      <c r="I254" s="140"/>
      <c r="L254" s="31"/>
      <c r="M254" s="141"/>
      <c r="T254" s="50"/>
      <c r="AT254" s="16" t="s">
        <v>289</v>
      </c>
      <c r="AU254" s="16" t="s">
        <v>90</v>
      </c>
    </row>
    <row r="255" spans="2:65" s="1" customFormat="1" ht="24.2" customHeight="1" x14ac:dyDescent="0.2">
      <c r="B255" s="124"/>
      <c r="C255" s="125" t="s">
        <v>627</v>
      </c>
      <c r="D255" s="125" t="s">
        <v>284</v>
      </c>
      <c r="E255" s="126" t="s">
        <v>2987</v>
      </c>
      <c r="F255" s="127" t="s">
        <v>2988</v>
      </c>
      <c r="G255" s="128" t="s">
        <v>315</v>
      </c>
      <c r="H255" s="129">
        <v>1</v>
      </c>
      <c r="I255" s="130">
        <v>4985.9918902879999</v>
      </c>
      <c r="J255" s="131">
        <f>ROUND(I255*H255,2)</f>
        <v>4985.99</v>
      </c>
      <c r="K255" s="127" t="s">
        <v>1</v>
      </c>
      <c r="L255" s="31"/>
      <c r="M255" s="132" t="s">
        <v>1</v>
      </c>
      <c r="N255" s="133" t="s">
        <v>40</v>
      </c>
      <c r="P255" s="134">
        <f>O255*H255</f>
        <v>0</v>
      </c>
      <c r="Q255" s="134">
        <v>0</v>
      </c>
      <c r="R255" s="134">
        <f>Q255*H255</f>
        <v>0</v>
      </c>
      <c r="S255" s="134">
        <v>0</v>
      </c>
      <c r="T255" s="135">
        <f>S255*H255</f>
        <v>0</v>
      </c>
      <c r="AR255" s="136" t="s">
        <v>95</v>
      </c>
      <c r="AT255" s="136" t="s">
        <v>284</v>
      </c>
      <c r="AU255" s="136" t="s">
        <v>90</v>
      </c>
      <c r="AY255" s="16" t="s">
        <v>282</v>
      </c>
      <c r="BE255" s="137">
        <f>IF(N255="základní",J255,0)</f>
        <v>4985.99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6" t="s">
        <v>81</v>
      </c>
      <c r="BK255" s="137">
        <f>ROUND(I255*H255,2)</f>
        <v>4985.99</v>
      </c>
      <c r="BL255" s="16" t="s">
        <v>95</v>
      </c>
      <c r="BM255" s="136" t="s">
        <v>2989</v>
      </c>
    </row>
    <row r="256" spans="2:65" s="1" customFormat="1" x14ac:dyDescent="0.2">
      <c r="B256" s="31"/>
      <c r="D256" s="138" t="s">
        <v>289</v>
      </c>
      <c r="F256" s="139" t="s">
        <v>2988</v>
      </c>
      <c r="I256" s="140"/>
      <c r="L256" s="31"/>
      <c r="M256" s="141"/>
      <c r="T256" s="50"/>
      <c r="AT256" s="16" t="s">
        <v>289</v>
      </c>
      <c r="AU256" s="16" t="s">
        <v>90</v>
      </c>
    </row>
    <row r="257" spans="2:65" s="1" customFormat="1" ht="14.45" customHeight="1" x14ac:dyDescent="0.2">
      <c r="B257" s="124"/>
      <c r="C257" s="125" t="s">
        <v>631</v>
      </c>
      <c r="D257" s="125" t="s">
        <v>284</v>
      </c>
      <c r="E257" s="126" t="s">
        <v>2990</v>
      </c>
      <c r="F257" s="127" t="s">
        <v>2991</v>
      </c>
      <c r="G257" s="128" t="s">
        <v>315</v>
      </c>
      <c r="H257" s="129">
        <v>1</v>
      </c>
      <c r="I257" s="130">
        <v>4438.4633270599998</v>
      </c>
      <c r="J257" s="131">
        <f>ROUND(I257*H257,2)</f>
        <v>4438.46</v>
      </c>
      <c r="K257" s="127" t="s">
        <v>1</v>
      </c>
      <c r="L257" s="31"/>
      <c r="M257" s="132" t="s">
        <v>1</v>
      </c>
      <c r="N257" s="133" t="s">
        <v>40</v>
      </c>
      <c r="P257" s="134">
        <f>O257*H257</f>
        <v>0</v>
      </c>
      <c r="Q257" s="134">
        <v>0</v>
      </c>
      <c r="R257" s="134">
        <f>Q257*H257</f>
        <v>0</v>
      </c>
      <c r="S257" s="134">
        <v>0</v>
      </c>
      <c r="T257" s="135">
        <f>S257*H257</f>
        <v>0</v>
      </c>
      <c r="AR257" s="136" t="s">
        <v>95</v>
      </c>
      <c r="AT257" s="136" t="s">
        <v>284</v>
      </c>
      <c r="AU257" s="136" t="s">
        <v>90</v>
      </c>
      <c r="AY257" s="16" t="s">
        <v>282</v>
      </c>
      <c r="BE257" s="137">
        <f>IF(N257="základní",J257,0)</f>
        <v>4438.46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6" t="s">
        <v>81</v>
      </c>
      <c r="BK257" s="137">
        <f>ROUND(I257*H257,2)</f>
        <v>4438.46</v>
      </c>
      <c r="BL257" s="16" t="s">
        <v>95</v>
      </c>
      <c r="BM257" s="136" t="s">
        <v>2992</v>
      </c>
    </row>
    <row r="258" spans="2:65" s="1" customFormat="1" x14ac:dyDescent="0.2">
      <c r="B258" s="31"/>
      <c r="D258" s="138" t="s">
        <v>289</v>
      </c>
      <c r="F258" s="139" t="s">
        <v>2991</v>
      </c>
      <c r="I258" s="140"/>
      <c r="L258" s="31"/>
      <c r="M258" s="141"/>
      <c r="T258" s="50"/>
      <c r="AT258" s="16" t="s">
        <v>289</v>
      </c>
      <c r="AU258" s="16" t="s">
        <v>90</v>
      </c>
    </row>
    <row r="259" spans="2:65" s="1" customFormat="1" ht="14.45" customHeight="1" x14ac:dyDescent="0.2">
      <c r="B259" s="124"/>
      <c r="C259" s="125" t="s">
        <v>635</v>
      </c>
      <c r="D259" s="125" t="s">
        <v>284</v>
      </c>
      <c r="E259" s="126" t="s">
        <v>2993</v>
      </c>
      <c r="F259" s="127" t="s">
        <v>2994</v>
      </c>
      <c r="G259" s="128" t="s">
        <v>315</v>
      </c>
      <c r="H259" s="129">
        <v>1</v>
      </c>
      <c r="I259" s="130">
        <v>6035.9994380519993</v>
      </c>
      <c r="J259" s="131">
        <f>ROUND(I259*H259,2)</f>
        <v>6036</v>
      </c>
      <c r="K259" s="127" t="s">
        <v>1</v>
      </c>
      <c r="L259" s="31"/>
      <c r="M259" s="132" t="s">
        <v>1</v>
      </c>
      <c r="N259" s="133" t="s">
        <v>40</v>
      </c>
      <c r="P259" s="134">
        <f>O259*H259</f>
        <v>0</v>
      </c>
      <c r="Q259" s="134">
        <v>0</v>
      </c>
      <c r="R259" s="134">
        <f>Q259*H259</f>
        <v>0</v>
      </c>
      <c r="S259" s="134">
        <v>0</v>
      </c>
      <c r="T259" s="135">
        <f>S259*H259</f>
        <v>0</v>
      </c>
      <c r="AR259" s="136" t="s">
        <v>95</v>
      </c>
      <c r="AT259" s="136" t="s">
        <v>284</v>
      </c>
      <c r="AU259" s="136" t="s">
        <v>90</v>
      </c>
      <c r="AY259" s="16" t="s">
        <v>282</v>
      </c>
      <c r="BE259" s="137">
        <f>IF(N259="základní",J259,0)</f>
        <v>6036</v>
      </c>
      <c r="BF259" s="137">
        <f>IF(N259="snížená",J259,0)</f>
        <v>0</v>
      </c>
      <c r="BG259" s="137">
        <f>IF(N259="zákl. přenesená",J259,0)</f>
        <v>0</v>
      </c>
      <c r="BH259" s="137">
        <f>IF(N259="sníž. přenesená",J259,0)</f>
        <v>0</v>
      </c>
      <c r="BI259" s="137">
        <f>IF(N259="nulová",J259,0)</f>
        <v>0</v>
      </c>
      <c r="BJ259" s="16" t="s">
        <v>81</v>
      </c>
      <c r="BK259" s="137">
        <f>ROUND(I259*H259,2)</f>
        <v>6036</v>
      </c>
      <c r="BL259" s="16" t="s">
        <v>95</v>
      </c>
      <c r="BM259" s="136" t="s">
        <v>2995</v>
      </c>
    </row>
    <row r="260" spans="2:65" s="1" customFormat="1" x14ac:dyDescent="0.2">
      <c r="B260" s="31"/>
      <c r="D260" s="138" t="s">
        <v>289</v>
      </c>
      <c r="F260" s="139" t="s">
        <v>2994</v>
      </c>
      <c r="I260" s="140"/>
      <c r="L260" s="31"/>
      <c r="M260" s="141"/>
      <c r="T260" s="50"/>
      <c r="AT260" s="16" t="s">
        <v>289</v>
      </c>
      <c r="AU260" s="16" t="s">
        <v>90</v>
      </c>
    </row>
    <row r="261" spans="2:65" s="1" customFormat="1" ht="14.45" customHeight="1" x14ac:dyDescent="0.2">
      <c r="B261" s="124"/>
      <c r="C261" s="125" t="s">
        <v>639</v>
      </c>
      <c r="D261" s="125" t="s">
        <v>284</v>
      </c>
      <c r="E261" s="126" t="s">
        <v>2996</v>
      </c>
      <c r="F261" s="127" t="s">
        <v>2873</v>
      </c>
      <c r="G261" s="128" t="s">
        <v>315</v>
      </c>
      <c r="H261" s="129">
        <v>2</v>
      </c>
      <c r="I261" s="130">
        <v>338.42122529599999</v>
      </c>
      <c r="J261" s="131">
        <f>ROUND(I261*H261,2)</f>
        <v>676.84</v>
      </c>
      <c r="K261" s="127" t="s">
        <v>1</v>
      </c>
      <c r="L261" s="31"/>
      <c r="M261" s="132" t="s">
        <v>1</v>
      </c>
      <c r="N261" s="133" t="s">
        <v>40</v>
      </c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AR261" s="136" t="s">
        <v>95</v>
      </c>
      <c r="AT261" s="136" t="s">
        <v>284</v>
      </c>
      <c r="AU261" s="136" t="s">
        <v>90</v>
      </c>
      <c r="AY261" s="16" t="s">
        <v>282</v>
      </c>
      <c r="BE261" s="137">
        <f>IF(N261="základní",J261,0)</f>
        <v>676.84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6" t="s">
        <v>81</v>
      </c>
      <c r="BK261" s="137">
        <f>ROUND(I261*H261,2)</f>
        <v>676.84</v>
      </c>
      <c r="BL261" s="16" t="s">
        <v>95</v>
      </c>
      <c r="BM261" s="136" t="s">
        <v>2997</v>
      </c>
    </row>
    <row r="262" spans="2:65" s="1" customFormat="1" x14ac:dyDescent="0.2">
      <c r="B262" s="31"/>
      <c r="D262" s="138" t="s">
        <v>289</v>
      </c>
      <c r="F262" s="139" t="s">
        <v>2873</v>
      </c>
      <c r="I262" s="140"/>
      <c r="L262" s="31"/>
      <c r="M262" s="141"/>
      <c r="T262" s="50"/>
      <c r="AT262" s="16" t="s">
        <v>289</v>
      </c>
      <c r="AU262" s="16" t="s">
        <v>90</v>
      </c>
    </row>
    <row r="263" spans="2:65" s="1" customFormat="1" ht="14.45" customHeight="1" x14ac:dyDescent="0.2">
      <c r="B263" s="124"/>
      <c r="C263" s="125" t="s">
        <v>643</v>
      </c>
      <c r="D263" s="125" t="s">
        <v>284</v>
      </c>
      <c r="E263" s="126" t="s">
        <v>2998</v>
      </c>
      <c r="F263" s="127" t="s">
        <v>2876</v>
      </c>
      <c r="G263" s="128" t="s">
        <v>2874</v>
      </c>
      <c r="H263" s="129">
        <v>1</v>
      </c>
      <c r="I263" s="130">
        <v>305.53389619199999</v>
      </c>
      <c r="J263" s="131">
        <f>ROUND(I263*H263,2)</f>
        <v>305.52999999999997</v>
      </c>
      <c r="K263" s="127" t="s">
        <v>1</v>
      </c>
      <c r="L263" s="31"/>
      <c r="M263" s="132" t="s">
        <v>1</v>
      </c>
      <c r="N263" s="133" t="s">
        <v>40</v>
      </c>
      <c r="P263" s="134">
        <f>O263*H263</f>
        <v>0</v>
      </c>
      <c r="Q263" s="134">
        <v>0</v>
      </c>
      <c r="R263" s="134">
        <f>Q263*H263</f>
        <v>0</v>
      </c>
      <c r="S263" s="134">
        <v>0</v>
      </c>
      <c r="T263" s="135">
        <f>S263*H263</f>
        <v>0</v>
      </c>
      <c r="AR263" s="136" t="s">
        <v>95</v>
      </c>
      <c r="AT263" s="136" t="s">
        <v>284</v>
      </c>
      <c r="AU263" s="136" t="s">
        <v>90</v>
      </c>
      <c r="AY263" s="16" t="s">
        <v>282</v>
      </c>
      <c r="BE263" s="137">
        <f>IF(N263="základní",J263,0)</f>
        <v>305.52999999999997</v>
      </c>
      <c r="BF263" s="137">
        <f>IF(N263="snížená",J263,0)</f>
        <v>0</v>
      </c>
      <c r="BG263" s="137">
        <f>IF(N263="zákl. přenesená",J263,0)</f>
        <v>0</v>
      </c>
      <c r="BH263" s="137">
        <f>IF(N263="sníž. přenesená",J263,0)</f>
        <v>0</v>
      </c>
      <c r="BI263" s="137">
        <f>IF(N263="nulová",J263,0)</f>
        <v>0</v>
      </c>
      <c r="BJ263" s="16" t="s">
        <v>81</v>
      </c>
      <c r="BK263" s="137">
        <f>ROUND(I263*H263,2)</f>
        <v>305.52999999999997</v>
      </c>
      <c r="BL263" s="16" t="s">
        <v>95</v>
      </c>
      <c r="BM263" s="136" t="s">
        <v>2999</v>
      </c>
    </row>
    <row r="264" spans="2:65" s="1" customFormat="1" x14ac:dyDescent="0.2">
      <c r="B264" s="31"/>
      <c r="D264" s="138" t="s">
        <v>289</v>
      </c>
      <c r="F264" s="139" t="s">
        <v>2876</v>
      </c>
      <c r="I264" s="140"/>
      <c r="L264" s="31"/>
      <c r="M264" s="141"/>
      <c r="T264" s="50"/>
      <c r="AT264" s="16" t="s">
        <v>289</v>
      </c>
      <c r="AU264" s="16" t="s">
        <v>90</v>
      </c>
    </row>
    <row r="265" spans="2:65" s="1" customFormat="1" ht="14.45" customHeight="1" x14ac:dyDescent="0.2">
      <c r="B265" s="124"/>
      <c r="C265" s="125" t="s">
        <v>650</v>
      </c>
      <c r="D265" s="125" t="s">
        <v>284</v>
      </c>
      <c r="E265" s="126" t="s">
        <v>3000</v>
      </c>
      <c r="F265" s="127" t="s">
        <v>3001</v>
      </c>
      <c r="G265" s="128" t="s">
        <v>2874</v>
      </c>
      <c r="H265" s="129">
        <v>1</v>
      </c>
      <c r="I265" s="130">
        <v>745.95130806399993</v>
      </c>
      <c r="J265" s="131">
        <f>ROUND(I265*H265,2)</f>
        <v>745.95</v>
      </c>
      <c r="K265" s="127" t="s">
        <v>1</v>
      </c>
      <c r="L265" s="31"/>
      <c r="M265" s="132" t="s">
        <v>1</v>
      </c>
      <c r="N265" s="133" t="s">
        <v>40</v>
      </c>
      <c r="P265" s="134">
        <f>O265*H265</f>
        <v>0</v>
      </c>
      <c r="Q265" s="134">
        <v>0</v>
      </c>
      <c r="R265" s="134">
        <f>Q265*H265</f>
        <v>0</v>
      </c>
      <c r="S265" s="134">
        <v>0</v>
      </c>
      <c r="T265" s="135">
        <f>S265*H265</f>
        <v>0</v>
      </c>
      <c r="AR265" s="136" t="s">
        <v>95</v>
      </c>
      <c r="AT265" s="136" t="s">
        <v>284</v>
      </c>
      <c r="AU265" s="136" t="s">
        <v>90</v>
      </c>
      <c r="AY265" s="16" t="s">
        <v>282</v>
      </c>
      <c r="BE265" s="137">
        <f>IF(N265="základní",J265,0)</f>
        <v>745.95</v>
      </c>
      <c r="BF265" s="137">
        <f>IF(N265="snížená",J265,0)</f>
        <v>0</v>
      </c>
      <c r="BG265" s="137">
        <f>IF(N265="zákl. přenesená",J265,0)</f>
        <v>0</v>
      </c>
      <c r="BH265" s="137">
        <f>IF(N265="sníž. přenesená",J265,0)</f>
        <v>0</v>
      </c>
      <c r="BI265" s="137">
        <f>IF(N265="nulová",J265,0)</f>
        <v>0</v>
      </c>
      <c r="BJ265" s="16" t="s">
        <v>81</v>
      </c>
      <c r="BK265" s="137">
        <f>ROUND(I265*H265,2)</f>
        <v>745.95</v>
      </c>
      <c r="BL265" s="16" t="s">
        <v>95</v>
      </c>
      <c r="BM265" s="136" t="s">
        <v>3002</v>
      </c>
    </row>
    <row r="266" spans="2:65" s="1" customFormat="1" x14ac:dyDescent="0.2">
      <c r="B266" s="31"/>
      <c r="D266" s="138" t="s">
        <v>289</v>
      </c>
      <c r="F266" s="139" t="s">
        <v>3001</v>
      </c>
      <c r="I266" s="140"/>
      <c r="L266" s="31"/>
      <c r="M266" s="141"/>
      <c r="T266" s="50"/>
      <c r="AT266" s="16" t="s">
        <v>289</v>
      </c>
      <c r="AU266" s="16" t="s">
        <v>90</v>
      </c>
    </row>
    <row r="267" spans="2:65" s="1" customFormat="1" ht="14.45" customHeight="1" x14ac:dyDescent="0.2">
      <c r="B267" s="124"/>
      <c r="C267" s="125" t="s">
        <v>655</v>
      </c>
      <c r="D267" s="125" t="s">
        <v>284</v>
      </c>
      <c r="E267" s="126" t="s">
        <v>2933</v>
      </c>
      <c r="F267" s="127" t="s">
        <v>2934</v>
      </c>
      <c r="G267" s="128" t="s">
        <v>315</v>
      </c>
      <c r="H267" s="129">
        <v>40</v>
      </c>
      <c r="I267" s="130">
        <v>47.853337164000003</v>
      </c>
      <c r="J267" s="131">
        <f>ROUND(I267*H267,2)</f>
        <v>1914.13</v>
      </c>
      <c r="K267" s="127" t="s">
        <v>1</v>
      </c>
      <c r="L267" s="31"/>
      <c r="M267" s="132" t="s">
        <v>1</v>
      </c>
      <c r="N267" s="133" t="s">
        <v>40</v>
      </c>
      <c r="P267" s="134">
        <f>O267*H267</f>
        <v>0</v>
      </c>
      <c r="Q267" s="134">
        <v>0</v>
      </c>
      <c r="R267" s="134">
        <f>Q267*H267</f>
        <v>0</v>
      </c>
      <c r="S267" s="134">
        <v>0</v>
      </c>
      <c r="T267" s="135">
        <f>S267*H267</f>
        <v>0</v>
      </c>
      <c r="AR267" s="136" t="s">
        <v>95</v>
      </c>
      <c r="AT267" s="136" t="s">
        <v>284</v>
      </c>
      <c r="AU267" s="136" t="s">
        <v>90</v>
      </c>
      <c r="AY267" s="16" t="s">
        <v>282</v>
      </c>
      <c r="BE267" s="137">
        <f>IF(N267="základní",J267,0)</f>
        <v>1914.13</v>
      </c>
      <c r="BF267" s="137">
        <f>IF(N267="snížená",J267,0)</f>
        <v>0</v>
      </c>
      <c r="BG267" s="137">
        <f>IF(N267="zákl. přenesená",J267,0)</f>
        <v>0</v>
      </c>
      <c r="BH267" s="137">
        <f>IF(N267="sníž. přenesená",J267,0)</f>
        <v>0</v>
      </c>
      <c r="BI267" s="137">
        <f>IF(N267="nulová",J267,0)</f>
        <v>0</v>
      </c>
      <c r="BJ267" s="16" t="s">
        <v>81</v>
      </c>
      <c r="BK267" s="137">
        <f>ROUND(I267*H267,2)</f>
        <v>1914.13</v>
      </c>
      <c r="BL267" s="16" t="s">
        <v>95</v>
      </c>
      <c r="BM267" s="136" t="s">
        <v>3003</v>
      </c>
    </row>
    <row r="268" spans="2:65" s="1" customFormat="1" x14ac:dyDescent="0.2">
      <c r="B268" s="31"/>
      <c r="D268" s="138" t="s">
        <v>289</v>
      </c>
      <c r="F268" s="139" t="s">
        <v>2934</v>
      </c>
      <c r="I268" s="140"/>
      <c r="L268" s="31"/>
      <c r="M268" s="141"/>
      <c r="T268" s="50"/>
      <c r="AT268" s="16" t="s">
        <v>289</v>
      </c>
      <c r="AU268" s="16" t="s">
        <v>90</v>
      </c>
    </row>
    <row r="269" spans="2:65" s="1" customFormat="1" ht="14.45" customHeight="1" x14ac:dyDescent="0.2">
      <c r="B269" s="124"/>
      <c r="C269" s="125" t="s">
        <v>660</v>
      </c>
      <c r="D269" s="125" t="s">
        <v>284</v>
      </c>
      <c r="E269" s="126" t="s">
        <v>2937</v>
      </c>
      <c r="F269" s="127" t="s">
        <v>2938</v>
      </c>
      <c r="G269" s="128" t="s">
        <v>315</v>
      </c>
      <c r="H269" s="129">
        <v>5</v>
      </c>
      <c r="I269" s="130">
        <v>77.823241912</v>
      </c>
      <c r="J269" s="131">
        <f>ROUND(I269*H269,2)</f>
        <v>389.12</v>
      </c>
      <c r="K269" s="127" t="s">
        <v>1</v>
      </c>
      <c r="L269" s="31"/>
      <c r="M269" s="132" t="s">
        <v>1</v>
      </c>
      <c r="N269" s="133" t="s">
        <v>40</v>
      </c>
      <c r="P269" s="134">
        <f>O269*H269</f>
        <v>0</v>
      </c>
      <c r="Q269" s="134">
        <v>0</v>
      </c>
      <c r="R269" s="134">
        <f>Q269*H269</f>
        <v>0</v>
      </c>
      <c r="S269" s="134">
        <v>0</v>
      </c>
      <c r="T269" s="135">
        <f>S269*H269</f>
        <v>0</v>
      </c>
      <c r="AR269" s="136" t="s">
        <v>95</v>
      </c>
      <c r="AT269" s="136" t="s">
        <v>284</v>
      </c>
      <c r="AU269" s="136" t="s">
        <v>90</v>
      </c>
      <c r="AY269" s="16" t="s">
        <v>282</v>
      </c>
      <c r="BE269" s="137">
        <f>IF(N269="základní",J269,0)</f>
        <v>389.12</v>
      </c>
      <c r="BF269" s="137">
        <f>IF(N269="snížená",J269,0)</f>
        <v>0</v>
      </c>
      <c r="BG269" s="137">
        <f>IF(N269="zákl. přenesená",J269,0)</f>
        <v>0</v>
      </c>
      <c r="BH269" s="137">
        <f>IF(N269="sníž. přenesená",J269,0)</f>
        <v>0</v>
      </c>
      <c r="BI269" s="137">
        <f>IF(N269="nulová",J269,0)</f>
        <v>0</v>
      </c>
      <c r="BJ269" s="16" t="s">
        <v>81</v>
      </c>
      <c r="BK269" s="137">
        <f>ROUND(I269*H269,2)</f>
        <v>389.12</v>
      </c>
      <c r="BL269" s="16" t="s">
        <v>95</v>
      </c>
      <c r="BM269" s="136" t="s">
        <v>3004</v>
      </c>
    </row>
    <row r="270" spans="2:65" s="1" customFormat="1" x14ac:dyDescent="0.2">
      <c r="B270" s="31"/>
      <c r="D270" s="138" t="s">
        <v>289</v>
      </c>
      <c r="F270" s="139" t="s">
        <v>2938</v>
      </c>
      <c r="I270" s="140"/>
      <c r="L270" s="31"/>
      <c r="M270" s="141"/>
      <c r="T270" s="50"/>
      <c r="AT270" s="16" t="s">
        <v>289</v>
      </c>
      <c r="AU270" s="16" t="s">
        <v>90</v>
      </c>
    </row>
    <row r="271" spans="2:65" s="1" customFormat="1" ht="14.45" customHeight="1" x14ac:dyDescent="0.2">
      <c r="B271" s="124"/>
      <c r="C271" s="125" t="s">
        <v>666</v>
      </c>
      <c r="D271" s="125" t="s">
        <v>284</v>
      </c>
      <c r="E271" s="126" t="s">
        <v>2941</v>
      </c>
      <c r="F271" s="127" t="s">
        <v>2942</v>
      </c>
      <c r="G271" s="128" t="s">
        <v>315</v>
      </c>
      <c r="H271" s="129">
        <v>8</v>
      </c>
      <c r="I271" s="130">
        <v>109.469718449</v>
      </c>
      <c r="J271" s="131">
        <f>ROUND(I271*H271,2)</f>
        <v>875.76</v>
      </c>
      <c r="K271" s="127" t="s">
        <v>1</v>
      </c>
      <c r="L271" s="31"/>
      <c r="M271" s="132" t="s">
        <v>1</v>
      </c>
      <c r="N271" s="133" t="s">
        <v>40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R271" s="136" t="s">
        <v>95</v>
      </c>
      <c r="AT271" s="136" t="s">
        <v>284</v>
      </c>
      <c r="AU271" s="136" t="s">
        <v>90</v>
      </c>
      <c r="AY271" s="16" t="s">
        <v>282</v>
      </c>
      <c r="BE271" s="137">
        <f>IF(N271="základní",J271,0)</f>
        <v>875.76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6" t="s">
        <v>81</v>
      </c>
      <c r="BK271" s="137">
        <f>ROUND(I271*H271,2)</f>
        <v>875.76</v>
      </c>
      <c r="BL271" s="16" t="s">
        <v>95</v>
      </c>
      <c r="BM271" s="136" t="s">
        <v>3005</v>
      </c>
    </row>
    <row r="272" spans="2:65" s="1" customFormat="1" x14ac:dyDescent="0.2">
      <c r="B272" s="31"/>
      <c r="D272" s="138" t="s">
        <v>289</v>
      </c>
      <c r="F272" s="139" t="s">
        <v>2942</v>
      </c>
      <c r="I272" s="140"/>
      <c r="L272" s="31"/>
      <c r="M272" s="141"/>
      <c r="T272" s="50"/>
      <c r="AT272" s="16" t="s">
        <v>289</v>
      </c>
      <c r="AU272" s="16" t="s">
        <v>90</v>
      </c>
    </row>
    <row r="273" spans="2:65" s="1" customFormat="1" ht="14.45" customHeight="1" x14ac:dyDescent="0.2">
      <c r="B273" s="124"/>
      <c r="C273" s="125" t="s">
        <v>670</v>
      </c>
      <c r="D273" s="125" t="s">
        <v>284</v>
      </c>
      <c r="E273" s="126" t="s">
        <v>2947</v>
      </c>
      <c r="F273" s="127" t="s">
        <v>2948</v>
      </c>
      <c r="G273" s="128" t="s">
        <v>344</v>
      </c>
      <c r="H273" s="129">
        <v>100</v>
      </c>
      <c r="I273" s="130">
        <v>21.946987769</v>
      </c>
      <c r="J273" s="131">
        <f>ROUND(I273*H273,2)</f>
        <v>2194.6999999999998</v>
      </c>
      <c r="K273" s="127" t="s">
        <v>1</v>
      </c>
      <c r="L273" s="31"/>
      <c r="M273" s="132" t="s">
        <v>1</v>
      </c>
      <c r="N273" s="133" t="s">
        <v>40</v>
      </c>
      <c r="P273" s="134">
        <f>O273*H273</f>
        <v>0</v>
      </c>
      <c r="Q273" s="134">
        <v>0</v>
      </c>
      <c r="R273" s="134">
        <f>Q273*H273</f>
        <v>0</v>
      </c>
      <c r="S273" s="134">
        <v>0</v>
      </c>
      <c r="T273" s="135">
        <f>S273*H273</f>
        <v>0</v>
      </c>
      <c r="AR273" s="136" t="s">
        <v>95</v>
      </c>
      <c r="AT273" s="136" t="s">
        <v>284</v>
      </c>
      <c r="AU273" s="136" t="s">
        <v>90</v>
      </c>
      <c r="AY273" s="16" t="s">
        <v>282</v>
      </c>
      <c r="BE273" s="137">
        <f>IF(N273="základní",J273,0)</f>
        <v>2194.6999999999998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6" t="s">
        <v>81</v>
      </c>
      <c r="BK273" s="137">
        <f>ROUND(I273*H273,2)</f>
        <v>2194.6999999999998</v>
      </c>
      <c r="BL273" s="16" t="s">
        <v>95</v>
      </c>
      <c r="BM273" s="136" t="s">
        <v>3006</v>
      </c>
    </row>
    <row r="274" spans="2:65" s="1" customFormat="1" x14ac:dyDescent="0.2">
      <c r="B274" s="31"/>
      <c r="D274" s="138" t="s">
        <v>289</v>
      </c>
      <c r="F274" s="139" t="s">
        <v>2948</v>
      </c>
      <c r="I274" s="140"/>
      <c r="L274" s="31"/>
      <c r="M274" s="141"/>
      <c r="T274" s="50"/>
      <c r="AT274" s="16" t="s">
        <v>289</v>
      </c>
      <c r="AU274" s="16" t="s">
        <v>90</v>
      </c>
    </row>
    <row r="275" spans="2:65" s="1" customFormat="1" ht="14.45" customHeight="1" x14ac:dyDescent="0.2">
      <c r="B275" s="124"/>
      <c r="C275" s="125" t="s">
        <v>675</v>
      </c>
      <c r="D275" s="125" t="s">
        <v>284</v>
      </c>
      <c r="E275" s="126" t="s">
        <v>2949</v>
      </c>
      <c r="F275" s="127" t="s">
        <v>2950</v>
      </c>
      <c r="G275" s="128" t="s">
        <v>344</v>
      </c>
      <c r="H275" s="129">
        <v>50</v>
      </c>
      <c r="I275" s="130">
        <v>24.997022322999999</v>
      </c>
      <c r="J275" s="131">
        <f>ROUND(I275*H275,2)</f>
        <v>1249.8499999999999</v>
      </c>
      <c r="K275" s="127" t="s">
        <v>1</v>
      </c>
      <c r="L275" s="31"/>
      <c r="M275" s="132" t="s">
        <v>1</v>
      </c>
      <c r="N275" s="133" t="s">
        <v>40</v>
      </c>
      <c r="P275" s="134">
        <f>O275*H275</f>
        <v>0</v>
      </c>
      <c r="Q275" s="134">
        <v>0</v>
      </c>
      <c r="R275" s="134">
        <f>Q275*H275</f>
        <v>0</v>
      </c>
      <c r="S275" s="134">
        <v>0</v>
      </c>
      <c r="T275" s="135">
        <f>S275*H275</f>
        <v>0</v>
      </c>
      <c r="AR275" s="136" t="s">
        <v>95</v>
      </c>
      <c r="AT275" s="136" t="s">
        <v>284</v>
      </c>
      <c r="AU275" s="136" t="s">
        <v>90</v>
      </c>
      <c r="AY275" s="16" t="s">
        <v>282</v>
      </c>
      <c r="BE275" s="137">
        <f>IF(N275="základní",J275,0)</f>
        <v>1249.8499999999999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6" t="s">
        <v>81</v>
      </c>
      <c r="BK275" s="137">
        <f>ROUND(I275*H275,2)</f>
        <v>1249.8499999999999</v>
      </c>
      <c r="BL275" s="16" t="s">
        <v>95</v>
      </c>
      <c r="BM275" s="136" t="s">
        <v>3007</v>
      </c>
    </row>
    <row r="276" spans="2:65" s="1" customFormat="1" x14ac:dyDescent="0.2">
      <c r="B276" s="31"/>
      <c r="D276" s="138" t="s">
        <v>289</v>
      </c>
      <c r="F276" s="139" t="s">
        <v>2950</v>
      </c>
      <c r="I276" s="140"/>
      <c r="L276" s="31"/>
      <c r="M276" s="141"/>
      <c r="T276" s="50"/>
      <c r="AT276" s="16" t="s">
        <v>289</v>
      </c>
      <c r="AU276" s="16" t="s">
        <v>90</v>
      </c>
    </row>
    <row r="277" spans="2:65" s="1" customFormat="1" ht="14.45" customHeight="1" x14ac:dyDescent="0.2">
      <c r="B277" s="124"/>
      <c r="C277" s="125" t="s">
        <v>681</v>
      </c>
      <c r="D277" s="125" t="s">
        <v>284</v>
      </c>
      <c r="E277" s="126" t="s">
        <v>2957</v>
      </c>
      <c r="F277" s="127" t="s">
        <v>2958</v>
      </c>
      <c r="G277" s="128" t="s">
        <v>344</v>
      </c>
      <c r="H277" s="129">
        <v>0.5</v>
      </c>
      <c r="I277" s="130">
        <v>324.31718352299998</v>
      </c>
      <c r="J277" s="131">
        <f>ROUND(I277*H277,2)</f>
        <v>162.16</v>
      </c>
      <c r="K277" s="127" t="s">
        <v>1</v>
      </c>
      <c r="L277" s="31"/>
      <c r="M277" s="132" t="s">
        <v>1</v>
      </c>
      <c r="N277" s="133" t="s">
        <v>40</v>
      </c>
      <c r="P277" s="134">
        <f>O277*H277</f>
        <v>0</v>
      </c>
      <c r="Q277" s="134">
        <v>0</v>
      </c>
      <c r="R277" s="134">
        <f>Q277*H277</f>
        <v>0</v>
      </c>
      <c r="S277" s="134">
        <v>0</v>
      </c>
      <c r="T277" s="135">
        <f>S277*H277</f>
        <v>0</v>
      </c>
      <c r="AR277" s="136" t="s">
        <v>95</v>
      </c>
      <c r="AT277" s="136" t="s">
        <v>284</v>
      </c>
      <c r="AU277" s="136" t="s">
        <v>90</v>
      </c>
      <c r="AY277" s="16" t="s">
        <v>282</v>
      </c>
      <c r="BE277" s="137">
        <f>IF(N277="základní",J277,0)</f>
        <v>162.16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6" t="s">
        <v>81</v>
      </c>
      <c r="BK277" s="137">
        <f>ROUND(I277*H277,2)</f>
        <v>162.16</v>
      </c>
      <c r="BL277" s="16" t="s">
        <v>95</v>
      </c>
      <c r="BM277" s="136" t="s">
        <v>3008</v>
      </c>
    </row>
    <row r="278" spans="2:65" s="1" customFormat="1" x14ac:dyDescent="0.2">
      <c r="B278" s="31"/>
      <c r="D278" s="138" t="s">
        <v>289</v>
      </c>
      <c r="F278" s="139" t="s">
        <v>2958</v>
      </c>
      <c r="I278" s="140"/>
      <c r="L278" s="31"/>
      <c r="M278" s="141"/>
      <c r="T278" s="50"/>
      <c r="AT278" s="16" t="s">
        <v>289</v>
      </c>
      <c r="AU278" s="16" t="s">
        <v>90</v>
      </c>
    </row>
    <row r="279" spans="2:65" s="1" customFormat="1" ht="24.2" customHeight="1" x14ac:dyDescent="0.2">
      <c r="B279" s="124"/>
      <c r="C279" s="125" t="s">
        <v>688</v>
      </c>
      <c r="D279" s="125" t="s">
        <v>284</v>
      </c>
      <c r="E279" s="126" t="s">
        <v>2965</v>
      </c>
      <c r="F279" s="127" t="s">
        <v>2966</v>
      </c>
      <c r="G279" s="128" t="s">
        <v>485</v>
      </c>
      <c r="H279" s="129">
        <v>125</v>
      </c>
      <c r="I279" s="130">
        <v>61.881601680999999</v>
      </c>
      <c r="J279" s="131">
        <f>ROUND(I279*H279,2)</f>
        <v>7735.2</v>
      </c>
      <c r="K279" s="127" t="s">
        <v>1</v>
      </c>
      <c r="L279" s="31"/>
      <c r="M279" s="132" t="s">
        <v>1</v>
      </c>
      <c r="N279" s="133" t="s">
        <v>40</v>
      </c>
      <c r="P279" s="134">
        <f>O279*H279</f>
        <v>0</v>
      </c>
      <c r="Q279" s="134">
        <v>0</v>
      </c>
      <c r="R279" s="134">
        <f>Q279*H279</f>
        <v>0</v>
      </c>
      <c r="S279" s="134">
        <v>0</v>
      </c>
      <c r="T279" s="135">
        <f>S279*H279</f>
        <v>0</v>
      </c>
      <c r="AR279" s="136" t="s">
        <v>95</v>
      </c>
      <c r="AT279" s="136" t="s">
        <v>284</v>
      </c>
      <c r="AU279" s="136" t="s">
        <v>90</v>
      </c>
      <c r="AY279" s="16" t="s">
        <v>282</v>
      </c>
      <c r="BE279" s="137">
        <f>IF(N279="základní",J279,0)</f>
        <v>7735.2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6" t="s">
        <v>81</v>
      </c>
      <c r="BK279" s="137">
        <f>ROUND(I279*H279,2)</f>
        <v>7735.2</v>
      </c>
      <c r="BL279" s="16" t="s">
        <v>95</v>
      </c>
      <c r="BM279" s="136" t="s">
        <v>3009</v>
      </c>
    </row>
    <row r="280" spans="2:65" s="1" customFormat="1" x14ac:dyDescent="0.2">
      <c r="B280" s="31"/>
      <c r="D280" s="138" t="s">
        <v>289</v>
      </c>
      <c r="F280" s="139" t="s">
        <v>2966</v>
      </c>
      <c r="I280" s="140"/>
      <c r="L280" s="31"/>
      <c r="M280" s="141"/>
      <c r="T280" s="50"/>
      <c r="AT280" s="16" t="s">
        <v>289</v>
      </c>
      <c r="AU280" s="16" t="s">
        <v>90</v>
      </c>
    </row>
    <row r="281" spans="2:65" s="1" customFormat="1" ht="14.45" customHeight="1" x14ac:dyDescent="0.2">
      <c r="B281" s="124"/>
      <c r="C281" s="125" t="s">
        <v>697</v>
      </c>
      <c r="D281" s="125" t="s">
        <v>284</v>
      </c>
      <c r="E281" s="126" t="s">
        <v>3010</v>
      </c>
      <c r="F281" s="127" t="s">
        <v>2968</v>
      </c>
      <c r="G281" s="128" t="s">
        <v>315</v>
      </c>
      <c r="H281" s="129">
        <v>1</v>
      </c>
      <c r="I281" s="130">
        <v>2709.6715365190003</v>
      </c>
      <c r="J281" s="131">
        <f>ROUND(I281*H281,2)</f>
        <v>2709.67</v>
      </c>
      <c r="K281" s="127" t="s">
        <v>1</v>
      </c>
      <c r="L281" s="31"/>
      <c r="M281" s="132" t="s">
        <v>1</v>
      </c>
      <c r="N281" s="133" t="s">
        <v>40</v>
      </c>
      <c r="P281" s="134">
        <f>O281*H281</f>
        <v>0</v>
      </c>
      <c r="Q281" s="134">
        <v>0</v>
      </c>
      <c r="R281" s="134">
        <f>Q281*H281</f>
        <v>0</v>
      </c>
      <c r="S281" s="134">
        <v>0</v>
      </c>
      <c r="T281" s="135">
        <f>S281*H281</f>
        <v>0</v>
      </c>
      <c r="AR281" s="136" t="s">
        <v>95</v>
      </c>
      <c r="AT281" s="136" t="s">
        <v>284</v>
      </c>
      <c r="AU281" s="136" t="s">
        <v>90</v>
      </c>
      <c r="AY281" s="16" t="s">
        <v>282</v>
      </c>
      <c r="BE281" s="137">
        <f>IF(N281="základní",J281,0)</f>
        <v>2709.67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6" t="s">
        <v>81</v>
      </c>
      <c r="BK281" s="137">
        <f>ROUND(I281*H281,2)</f>
        <v>2709.67</v>
      </c>
      <c r="BL281" s="16" t="s">
        <v>95</v>
      </c>
      <c r="BM281" s="136" t="s">
        <v>3011</v>
      </c>
    </row>
    <row r="282" spans="2:65" s="1" customFormat="1" x14ac:dyDescent="0.2">
      <c r="B282" s="31"/>
      <c r="D282" s="138" t="s">
        <v>289</v>
      </c>
      <c r="F282" s="139" t="s">
        <v>2968</v>
      </c>
      <c r="I282" s="140"/>
      <c r="L282" s="31"/>
      <c r="M282" s="141"/>
      <c r="T282" s="50"/>
      <c r="AT282" s="16" t="s">
        <v>289</v>
      </c>
      <c r="AU282" s="16" t="s">
        <v>90</v>
      </c>
    </row>
    <row r="283" spans="2:65" s="10" customFormat="1" ht="22.9" customHeight="1" x14ac:dyDescent="0.2">
      <c r="B283" s="112"/>
      <c r="D283" s="113" t="s">
        <v>73</v>
      </c>
      <c r="E283" s="122" t="s">
        <v>2012</v>
      </c>
      <c r="F283" s="122" t="s">
        <v>3012</v>
      </c>
      <c r="I283" s="115"/>
      <c r="J283" s="123">
        <f>BK283</f>
        <v>16976.859999999997</v>
      </c>
      <c r="L283" s="112"/>
      <c r="M283" s="117"/>
      <c r="P283" s="118">
        <f>SUM(P284:P303)</f>
        <v>0</v>
      </c>
      <c r="R283" s="118">
        <f>SUM(R284:R303)</f>
        <v>0</v>
      </c>
      <c r="T283" s="119">
        <f>SUM(T284:T303)</f>
        <v>0</v>
      </c>
      <c r="AR283" s="113" t="s">
        <v>81</v>
      </c>
      <c r="AT283" s="120" t="s">
        <v>73</v>
      </c>
      <c r="AU283" s="120" t="s">
        <v>81</v>
      </c>
      <c r="AY283" s="113" t="s">
        <v>282</v>
      </c>
      <c r="BK283" s="121">
        <f>SUM(BK284:BK303)</f>
        <v>16976.859999999997</v>
      </c>
    </row>
    <row r="284" spans="2:65" s="1" customFormat="1" ht="14.45" customHeight="1" x14ac:dyDescent="0.2">
      <c r="B284" s="124"/>
      <c r="C284" s="125" t="s">
        <v>704</v>
      </c>
      <c r="D284" s="125" t="s">
        <v>284</v>
      </c>
      <c r="E284" s="126" t="s">
        <v>3013</v>
      </c>
      <c r="F284" s="127" t="s">
        <v>3014</v>
      </c>
      <c r="G284" s="128" t="s">
        <v>344</v>
      </c>
      <c r="H284" s="129">
        <v>15</v>
      </c>
      <c r="I284" s="130">
        <v>84.539001224999993</v>
      </c>
      <c r="J284" s="131">
        <f>ROUND(I284*H284,2)</f>
        <v>1268.0899999999999</v>
      </c>
      <c r="K284" s="127" t="s">
        <v>1</v>
      </c>
      <c r="L284" s="31"/>
      <c r="M284" s="132" t="s">
        <v>1</v>
      </c>
      <c r="N284" s="133" t="s">
        <v>40</v>
      </c>
      <c r="P284" s="134">
        <f>O284*H284</f>
        <v>0</v>
      </c>
      <c r="Q284" s="134">
        <v>0</v>
      </c>
      <c r="R284" s="134">
        <f>Q284*H284</f>
        <v>0</v>
      </c>
      <c r="S284" s="134">
        <v>0</v>
      </c>
      <c r="T284" s="135">
        <f>S284*H284</f>
        <v>0</v>
      </c>
      <c r="AR284" s="136" t="s">
        <v>95</v>
      </c>
      <c r="AT284" s="136" t="s">
        <v>284</v>
      </c>
      <c r="AU284" s="136" t="s">
        <v>83</v>
      </c>
      <c r="AY284" s="16" t="s">
        <v>282</v>
      </c>
      <c r="BE284" s="137">
        <f>IF(N284="základní",J284,0)</f>
        <v>1268.0899999999999</v>
      </c>
      <c r="BF284" s="137">
        <f>IF(N284="snížená",J284,0)</f>
        <v>0</v>
      </c>
      <c r="BG284" s="137">
        <f>IF(N284="zákl. přenesená",J284,0)</f>
        <v>0</v>
      </c>
      <c r="BH284" s="137">
        <f>IF(N284="sníž. přenesená",J284,0)</f>
        <v>0</v>
      </c>
      <c r="BI284" s="137">
        <f>IF(N284="nulová",J284,0)</f>
        <v>0</v>
      </c>
      <c r="BJ284" s="16" t="s">
        <v>81</v>
      </c>
      <c r="BK284" s="137">
        <f>ROUND(I284*H284,2)</f>
        <v>1268.0899999999999</v>
      </c>
      <c r="BL284" s="16" t="s">
        <v>95</v>
      </c>
      <c r="BM284" s="136" t="s">
        <v>3015</v>
      </c>
    </row>
    <row r="285" spans="2:65" s="1" customFormat="1" x14ac:dyDescent="0.2">
      <c r="B285" s="31"/>
      <c r="D285" s="138" t="s">
        <v>289</v>
      </c>
      <c r="F285" s="139" t="s">
        <v>3014</v>
      </c>
      <c r="I285" s="140"/>
      <c r="L285" s="31"/>
      <c r="M285" s="141"/>
      <c r="T285" s="50"/>
      <c r="AT285" s="16" t="s">
        <v>289</v>
      </c>
      <c r="AU285" s="16" t="s">
        <v>83</v>
      </c>
    </row>
    <row r="286" spans="2:65" s="1" customFormat="1" ht="14.45" customHeight="1" x14ac:dyDescent="0.2">
      <c r="B286" s="124"/>
      <c r="C286" s="125" t="s">
        <v>710</v>
      </c>
      <c r="D286" s="125" t="s">
        <v>284</v>
      </c>
      <c r="E286" s="126" t="s">
        <v>3016</v>
      </c>
      <c r="F286" s="127" t="s">
        <v>3017</v>
      </c>
      <c r="G286" s="128" t="s">
        <v>344</v>
      </c>
      <c r="H286" s="129">
        <v>15</v>
      </c>
      <c r="I286" s="130">
        <v>72.604083405000011</v>
      </c>
      <c r="J286" s="131">
        <f>ROUND(I286*H286,2)</f>
        <v>1089.06</v>
      </c>
      <c r="K286" s="127" t="s">
        <v>1</v>
      </c>
      <c r="L286" s="31"/>
      <c r="M286" s="132" t="s">
        <v>1</v>
      </c>
      <c r="N286" s="133" t="s">
        <v>40</v>
      </c>
      <c r="P286" s="134">
        <f>O286*H286</f>
        <v>0</v>
      </c>
      <c r="Q286" s="134">
        <v>0</v>
      </c>
      <c r="R286" s="134">
        <f>Q286*H286</f>
        <v>0</v>
      </c>
      <c r="S286" s="134">
        <v>0</v>
      </c>
      <c r="T286" s="135">
        <f>S286*H286</f>
        <v>0</v>
      </c>
      <c r="AR286" s="136" t="s">
        <v>95</v>
      </c>
      <c r="AT286" s="136" t="s">
        <v>284</v>
      </c>
      <c r="AU286" s="136" t="s">
        <v>83</v>
      </c>
      <c r="AY286" s="16" t="s">
        <v>282</v>
      </c>
      <c r="BE286" s="137">
        <f>IF(N286="základní",J286,0)</f>
        <v>1089.06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6" t="s">
        <v>81</v>
      </c>
      <c r="BK286" s="137">
        <f>ROUND(I286*H286,2)</f>
        <v>1089.06</v>
      </c>
      <c r="BL286" s="16" t="s">
        <v>95</v>
      </c>
      <c r="BM286" s="136" t="s">
        <v>3018</v>
      </c>
    </row>
    <row r="287" spans="2:65" s="1" customFormat="1" x14ac:dyDescent="0.2">
      <c r="B287" s="31"/>
      <c r="D287" s="138" t="s">
        <v>289</v>
      </c>
      <c r="F287" s="139" t="s">
        <v>3017</v>
      </c>
      <c r="I287" s="140"/>
      <c r="L287" s="31"/>
      <c r="M287" s="141"/>
      <c r="T287" s="50"/>
      <c r="AT287" s="16" t="s">
        <v>289</v>
      </c>
      <c r="AU287" s="16" t="s">
        <v>83</v>
      </c>
    </row>
    <row r="288" spans="2:65" s="1" customFormat="1" ht="14.45" customHeight="1" x14ac:dyDescent="0.2">
      <c r="B288" s="124"/>
      <c r="C288" s="125" t="s">
        <v>715</v>
      </c>
      <c r="D288" s="125" t="s">
        <v>284</v>
      </c>
      <c r="E288" s="126" t="s">
        <v>3019</v>
      </c>
      <c r="F288" s="127" t="s">
        <v>3020</v>
      </c>
      <c r="G288" s="128" t="s">
        <v>315</v>
      </c>
      <c r="H288" s="129">
        <v>1</v>
      </c>
      <c r="I288" s="130">
        <v>1079.532261133</v>
      </c>
      <c r="J288" s="131">
        <f>ROUND(I288*H288,2)</f>
        <v>1079.53</v>
      </c>
      <c r="K288" s="127" t="s">
        <v>1</v>
      </c>
      <c r="L288" s="31"/>
      <c r="M288" s="132" t="s">
        <v>1</v>
      </c>
      <c r="N288" s="133" t="s">
        <v>40</v>
      </c>
      <c r="P288" s="134">
        <f>O288*H288</f>
        <v>0</v>
      </c>
      <c r="Q288" s="134">
        <v>0</v>
      </c>
      <c r="R288" s="134">
        <f>Q288*H288</f>
        <v>0</v>
      </c>
      <c r="S288" s="134">
        <v>0</v>
      </c>
      <c r="T288" s="135">
        <f>S288*H288</f>
        <v>0</v>
      </c>
      <c r="AR288" s="136" t="s">
        <v>95</v>
      </c>
      <c r="AT288" s="136" t="s">
        <v>284</v>
      </c>
      <c r="AU288" s="136" t="s">
        <v>83</v>
      </c>
      <c r="AY288" s="16" t="s">
        <v>282</v>
      </c>
      <c r="BE288" s="137">
        <f>IF(N288="základní",J288,0)</f>
        <v>1079.53</v>
      </c>
      <c r="BF288" s="137">
        <f>IF(N288="snížená",J288,0)</f>
        <v>0</v>
      </c>
      <c r="BG288" s="137">
        <f>IF(N288="zákl. přenesená",J288,0)</f>
        <v>0</v>
      </c>
      <c r="BH288" s="137">
        <f>IF(N288="sníž. přenesená",J288,0)</f>
        <v>0</v>
      </c>
      <c r="BI288" s="137">
        <f>IF(N288="nulová",J288,0)</f>
        <v>0</v>
      </c>
      <c r="BJ288" s="16" t="s">
        <v>81</v>
      </c>
      <c r="BK288" s="137">
        <f>ROUND(I288*H288,2)</f>
        <v>1079.53</v>
      </c>
      <c r="BL288" s="16" t="s">
        <v>95</v>
      </c>
      <c r="BM288" s="136" t="s">
        <v>3021</v>
      </c>
    </row>
    <row r="289" spans="2:65" s="1" customFormat="1" x14ac:dyDescent="0.2">
      <c r="B289" s="31"/>
      <c r="D289" s="138" t="s">
        <v>289</v>
      </c>
      <c r="F289" s="139" t="s">
        <v>3020</v>
      </c>
      <c r="I289" s="140"/>
      <c r="L289" s="31"/>
      <c r="M289" s="141"/>
      <c r="T289" s="50"/>
      <c r="AT289" s="16" t="s">
        <v>289</v>
      </c>
      <c r="AU289" s="16" t="s">
        <v>83</v>
      </c>
    </row>
    <row r="290" spans="2:65" s="1" customFormat="1" ht="14.45" customHeight="1" x14ac:dyDescent="0.2">
      <c r="B290" s="124"/>
      <c r="C290" s="125" t="s">
        <v>718</v>
      </c>
      <c r="D290" s="125" t="s">
        <v>284</v>
      </c>
      <c r="E290" s="126" t="s">
        <v>3022</v>
      </c>
      <c r="F290" s="127" t="s">
        <v>3023</v>
      </c>
      <c r="G290" s="128" t="s">
        <v>315</v>
      </c>
      <c r="H290" s="129">
        <v>2</v>
      </c>
      <c r="I290" s="130">
        <v>2851.1192569999998</v>
      </c>
      <c r="J290" s="131">
        <f>ROUND(I290*H290,2)</f>
        <v>5702.24</v>
      </c>
      <c r="K290" s="127" t="s">
        <v>1</v>
      </c>
      <c r="L290" s="31"/>
      <c r="M290" s="132" t="s">
        <v>1</v>
      </c>
      <c r="N290" s="133" t="s">
        <v>40</v>
      </c>
      <c r="P290" s="134">
        <f>O290*H290</f>
        <v>0</v>
      </c>
      <c r="Q290" s="134">
        <v>0</v>
      </c>
      <c r="R290" s="134">
        <f>Q290*H290</f>
        <v>0</v>
      </c>
      <c r="S290" s="134">
        <v>0</v>
      </c>
      <c r="T290" s="135">
        <f>S290*H290</f>
        <v>0</v>
      </c>
      <c r="AR290" s="136" t="s">
        <v>95</v>
      </c>
      <c r="AT290" s="136" t="s">
        <v>284</v>
      </c>
      <c r="AU290" s="136" t="s">
        <v>83</v>
      </c>
      <c r="AY290" s="16" t="s">
        <v>282</v>
      </c>
      <c r="BE290" s="137">
        <f>IF(N290="základní",J290,0)</f>
        <v>5702.24</v>
      </c>
      <c r="BF290" s="137">
        <f>IF(N290="snížená",J290,0)</f>
        <v>0</v>
      </c>
      <c r="BG290" s="137">
        <f>IF(N290="zákl. přenesená",J290,0)</f>
        <v>0</v>
      </c>
      <c r="BH290" s="137">
        <f>IF(N290="sníž. přenesená",J290,0)</f>
        <v>0</v>
      </c>
      <c r="BI290" s="137">
        <f>IF(N290="nulová",J290,0)</f>
        <v>0</v>
      </c>
      <c r="BJ290" s="16" t="s">
        <v>81</v>
      </c>
      <c r="BK290" s="137">
        <f>ROUND(I290*H290,2)</f>
        <v>5702.24</v>
      </c>
      <c r="BL290" s="16" t="s">
        <v>95</v>
      </c>
      <c r="BM290" s="136" t="s">
        <v>3024</v>
      </c>
    </row>
    <row r="291" spans="2:65" s="1" customFormat="1" x14ac:dyDescent="0.2">
      <c r="B291" s="31"/>
      <c r="D291" s="138" t="s">
        <v>289</v>
      </c>
      <c r="F291" s="139" t="s">
        <v>3023</v>
      </c>
      <c r="I291" s="140"/>
      <c r="L291" s="31"/>
      <c r="M291" s="141"/>
      <c r="T291" s="50"/>
      <c r="AT291" s="16" t="s">
        <v>289</v>
      </c>
      <c r="AU291" s="16" t="s">
        <v>83</v>
      </c>
    </row>
    <row r="292" spans="2:65" s="1" customFormat="1" ht="14.45" customHeight="1" x14ac:dyDescent="0.2">
      <c r="B292" s="124"/>
      <c r="C292" s="125" t="s">
        <v>724</v>
      </c>
      <c r="D292" s="125" t="s">
        <v>284</v>
      </c>
      <c r="E292" s="126" t="s">
        <v>3025</v>
      </c>
      <c r="F292" s="127" t="s">
        <v>3026</v>
      </c>
      <c r="G292" s="128" t="s">
        <v>315</v>
      </c>
      <c r="H292" s="129">
        <v>4</v>
      </c>
      <c r="I292" s="130">
        <v>646.25685563899992</v>
      </c>
      <c r="J292" s="131">
        <f>ROUND(I292*H292,2)</f>
        <v>2585.0300000000002</v>
      </c>
      <c r="K292" s="127" t="s">
        <v>1</v>
      </c>
      <c r="L292" s="31"/>
      <c r="M292" s="132" t="s">
        <v>1</v>
      </c>
      <c r="N292" s="133" t="s">
        <v>40</v>
      </c>
      <c r="P292" s="134">
        <f>O292*H292</f>
        <v>0</v>
      </c>
      <c r="Q292" s="134">
        <v>0</v>
      </c>
      <c r="R292" s="134">
        <f>Q292*H292</f>
        <v>0</v>
      </c>
      <c r="S292" s="134">
        <v>0</v>
      </c>
      <c r="T292" s="135">
        <f>S292*H292</f>
        <v>0</v>
      </c>
      <c r="AR292" s="136" t="s">
        <v>95</v>
      </c>
      <c r="AT292" s="136" t="s">
        <v>284</v>
      </c>
      <c r="AU292" s="136" t="s">
        <v>83</v>
      </c>
      <c r="AY292" s="16" t="s">
        <v>282</v>
      </c>
      <c r="BE292" s="137">
        <f>IF(N292="základní",J292,0)</f>
        <v>2585.0300000000002</v>
      </c>
      <c r="BF292" s="137">
        <f>IF(N292="snížená",J292,0)</f>
        <v>0</v>
      </c>
      <c r="BG292" s="137">
        <f>IF(N292="zákl. přenesená",J292,0)</f>
        <v>0</v>
      </c>
      <c r="BH292" s="137">
        <f>IF(N292="sníž. přenesená",J292,0)</f>
        <v>0</v>
      </c>
      <c r="BI292" s="137">
        <f>IF(N292="nulová",J292,0)</f>
        <v>0</v>
      </c>
      <c r="BJ292" s="16" t="s">
        <v>81</v>
      </c>
      <c r="BK292" s="137">
        <f>ROUND(I292*H292,2)</f>
        <v>2585.0300000000002</v>
      </c>
      <c r="BL292" s="16" t="s">
        <v>95</v>
      </c>
      <c r="BM292" s="136" t="s">
        <v>3027</v>
      </c>
    </row>
    <row r="293" spans="2:65" s="1" customFormat="1" x14ac:dyDescent="0.2">
      <c r="B293" s="31"/>
      <c r="D293" s="138" t="s">
        <v>289</v>
      </c>
      <c r="F293" s="139" t="s">
        <v>3026</v>
      </c>
      <c r="I293" s="140"/>
      <c r="L293" s="31"/>
      <c r="M293" s="141"/>
      <c r="T293" s="50"/>
      <c r="AT293" s="16" t="s">
        <v>289</v>
      </c>
      <c r="AU293" s="16" t="s">
        <v>83</v>
      </c>
    </row>
    <row r="294" spans="2:65" s="1" customFormat="1" ht="14.45" customHeight="1" x14ac:dyDescent="0.2">
      <c r="B294" s="124"/>
      <c r="C294" s="125" t="s">
        <v>1544</v>
      </c>
      <c r="D294" s="125" t="s">
        <v>284</v>
      </c>
      <c r="E294" s="126" t="s">
        <v>3028</v>
      </c>
      <c r="F294" s="127" t="s">
        <v>3029</v>
      </c>
      <c r="G294" s="128" t="s">
        <v>315</v>
      </c>
      <c r="H294" s="129">
        <v>8</v>
      </c>
      <c r="I294" s="130">
        <v>100.622723811</v>
      </c>
      <c r="J294" s="131">
        <f>ROUND(I294*H294,2)</f>
        <v>804.98</v>
      </c>
      <c r="K294" s="127" t="s">
        <v>1</v>
      </c>
      <c r="L294" s="31"/>
      <c r="M294" s="132" t="s">
        <v>1</v>
      </c>
      <c r="N294" s="133" t="s">
        <v>40</v>
      </c>
      <c r="P294" s="134">
        <f>O294*H294</f>
        <v>0</v>
      </c>
      <c r="Q294" s="134">
        <v>0</v>
      </c>
      <c r="R294" s="134">
        <f>Q294*H294</f>
        <v>0</v>
      </c>
      <c r="S294" s="134">
        <v>0</v>
      </c>
      <c r="T294" s="135">
        <f>S294*H294</f>
        <v>0</v>
      </c>
      <c r="AR294" s="136" t="s">
        <v>95</v>
      </c>
      <c r="AT294" s="136" t="s">
        <v>284</v>
      </c>
      <c r="AU294" s="136" t="s">
        <v>83</v>
      </c>
      <c r="AY294" s="16" t="s">
        <v>282</v>
      </c>
      <c r="BE294" s="137">
        <f>IF(N294="základní",J294,0)</f>
        <v>804.98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6" t="s">
        <v>81</v>
      </c>
      <c r="BK294" s="137">
        <f>ROUND(I294*H294,2)</f>
        <v>804.98</v>
      </c>
      <c r="BL294" s="16" t="s">
        <v>95</v>
      </c>
      <c r="BM294" s="136" t="s">
        <v>3030</v>
      </c>
    </row>
    <row r="295" spans="2:65" s="1" customFormat="1" x14ac:dyDescent="0.2">
      <c r="B295" s="31"/>
      <c r="D295" s="138" t="s">
        <v>289</v>
      </c>
      <c r="F295" s="139" t="s">
        <v>3029</v>
      </c>
      <c r="I295" s="140"/>
      <c r="L295" s="31"/>
      <c r="M295" s="141"/>
      <c r="T295" s="50"/>
      <c r="AT295" s="16" t="s">
        <v>289</v>
      </c>
      <c r="AU295" s="16" t="s">
        <v>83</v>
      </c>
    </row>
    <row r="296" spans="2:65" s="1" customFormat="1" ht="14.45" customHeight="1" x14ac:dyDescent="0.2">
      <c r="B296" s="124"/>
      <c r="C296" s="125" t="s">
        <v>1546</v>
      </c>
      <c r="D296" s="125" t="s">
        <v>284</v>
      </c>
      <c r="E296" s="126" t="s">
        <v>3031</v>
      </c>
      <c r="F296" s="127" t="s">
        <v>3032</v>
      </c>
      <c r="G296" s="128" t="s">
        <v>344</v>
      </c>
      <c r="H296" s="129">
        <v>10</v>
      </c>
      <c r="I296" s="130">
        <v>95.015206867000003</v>
      </c>
      <c r="J296" s="131">
        <f>ROUND(I296*H296,2)</f>
        <v>950.15</v>
      </c>
      <c r="K296" s="127" t="s">
        <v>1</v>
      </c>
      <c r="L296" s="31"/>
      <c r="M296" s="132" t="s">
        <v>1</v>
      </c>
      <c r="N296" s="133" t="s">
        <v>40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95</v>
      </c>
      <c r="AT296" s="136" t="s">
        <v>284</v>
      </c>
      <c r="AU296" s="136" t="s">
        <v>83</v>
      </c>
      <c r="AY296" s="16" t="s">
        <v>282</v>
      </c>
      <c r="BE296" s="137">
        <f>IF(N296="základní",J296,0)</f>
        <v>950.15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6" t="s">
        <v>81</v>
      </c>
      <c r="BK296" s="137">
        <f>ROUND(I296*H296,2)</f>
        <v>950.15</v>
      </c>
      <c r="BL296" s="16" t="s">
        <v>95</v>
      </c>
      <c r="BM296" s="136" t="s">
        <v>3033</v>
      </c>
    </row>
    <row r="297" spans="2:65" s="1" customFormat="1" x14ac:dyDescent="0.2">
      <c r="B297" s="31"/>
      <c r="D297" s="138" t="s">
        <v>289</v>
      </c>
      <c r="F297" s="139" t="s">
        <v>3032</v>
      </c>
      <c r="I297" s="140"/>
      <c r="L297" s="31"/>
      <c r="M297" s="141"/>
      <c r="T297" s="50"/>
      <c r="AT297" s="16" t="s">
        <v>289</v>
      </c>
      <c r="AU297" s="16" t="s">
        <v>83</v>
      </c>
    </row>
    <row r="298" spans="2:65" s="1" customFormat="1" ht="14.45" customHeight="1" x14ac:dyDescent="0.2">
      <c r="B298" s="124"/>
      <c r="C298" s="125" t="s">
        <v>1551</v>
      </c>
      <c r="D298" s="125" t="s">
        <v>284</v>
      </c>
      <c r="E298" s="126" t="s">
        <v>3034</v>
      </c>
      <c r="F298" s="127" t="s">
        <v>3035</v>
      </c>
      <c r="G298" s="128" t="s">
        <v>344</v>
      </c>
      <c r="H298" s="129">
        <v>20</v>
      </c>
      <c r="I298" s="130">
        <v>73.267134394999999</v>
      </c>
      <c r="J298" s="131">
        <f>ROUND(I298*H298,2)</f>
        <v>1465.34</v>
      </c>
      <c r="K298" s="127" t="s">
        <v>1</v>
      </c>
      <c r="L298" s="31"/>
      <c r="M298" s="132" t="s">
        <v>1</v>
      </c>
      <c r="N298" s="133" t="s">
        <v>40</v>
      </c>
      <c r="P298" s="134">
        <f>O298*H298</f>
        <v>0</v>
      </c>
      <c r="Q298" s="134">
        <v>0</v>
      </c>
      <c r="R298" s="134">
        <f>Q298*H298</f>
        <v>0</v>
      </c>
      <c r="S298" s="134">
        <v>0</v>
      </c>
      <c r="T298" s="135">
        <f>S298*H298</f>
        <v>0</v>
      </c>
      <c r="AR298" s="136" t="s">
        <v>95</v>
      </c>
      <c r="AT298" s="136" t="s">
        <v>284</v>
      </c>
      <c r="AU298" s="136" t="s">
        <v>83</v>
      </c>
      <c r="AY298" s="16" t="s">
        <v>282</v>
      </c>
      <c r="BE298" s="137">
        <f>IF(N298="základní",J298,0)</f>
        <v>1465.34</v>
      </c>
      <c r="BF298" s="137">
        <f>IF(N298="snížená",J298,0)</f>
        <v>0</v>
      </c>
      <c r="BG298" s="137">
        <f>IF(N298="zákl. přenesená",J298,0)</f>
        <v>0</v>
      </c>
      <c r="BH298" s="137">
        <f>IF(N298="sníž. přenesená",J298,0)</f>
        <v>0</v>
      </c>
      <c r="BI298" s="137">
        <f>IF(N298="nulová",J298,0)</f>
        <v>0</v>
      </c>
      <c r="BJ298" s="16" t="s">
        <v>81</v>
      </c>
      <c r="BK298" s="137">
        <f>ROUND(I298*H298,2)</f>
        <v>1465.34</v>
      </c>
      <c r="BL298" s="16" t="s">
        <v>95</v>
      </c>
      <c r="BM298" s="136" t="s">
        <v>3036</v>
      </c>
    </row>
    <row r="299" spans="2:65" s="1" customFormat="1" x14ac:dyDescent="0.2">
      <c r="B299" s="31"/>
      <c r="D299" s="138" t="s">
        <v>289</v>
      </c>
      <c r="F299" s="139" t="s">
        <v>3035</v>
      </c>
      <c r="I299" s="140"/>
      <c r="L299" s="31"/>
      <c r="M299" s="141"/>
      <c r="T299" s="50"/>
      <c r="AT299" s="16" t="s">
        <v>289</v>
      </c>
      <c r="AU299" s="16" t="s">
        <v>83</v>
      </c>
    </row>
    <row r="300" spans="2:65" s="1" customFormat="1" ht="14.45" customHeight="1" x14ac:dyDescent="0.2">
      <c r="B300" s="124"/>
      <c r="C300" s="125" t="s">
        <v>1069</v>
      </c>
      <c r="D300" s="125" t="s">
        <v>284</v>
      </c>
      <c r="E300" s="126" t="s">
        <v>3037</v>
      </c>
      <c r="F300" s="127" t="s">
        <v>3038</v>
      </c>
      <c r="G300" s="128" t="s">
        <v>315</v>
      </c>
      <c r="H300" s="129">
        <v>1</v>
      </c>
      <c r="I300" s="130">
        <v>586.98956929000008</v>
      </c>
      <c r="J300" s="131">
        <f>ROUND(I300*H300,2)</f>
        <v>586.99</v>
      </c>
      <c r="K300" s="127" t="s">
        <v>1</v>
      </c>
      <c r="L300" s="31"/>
      <c r="M300" s="132" t="s">
        <v>1</v>
      </c>
      <c r="N300" s="133" t="s">
        <v>40</v>
      </c>
      <c r="P300" s="134">
        <f>O300*H300</f>
        <v>0</v>
      </c>
      <c r="Q300" s="134">
        <v>0</v>
      </c>
      <c r="R300" s="134">
        <f>Q300*H300</f>
        <v>0</v>
      </c>
      <c r="S300" s="134">
        <v>0</v>
      </c>
      <c r="T300" s="135">
        <f>S300*H300</f>
        <v>0</v>
      </c>
      <c r="AR300" s="136" t="s">
        <v>95</v>
      </c>
      <c r="AT300" s="136" t="s">
        <v>284</v>
      </c>
      <c r="AU300" s="136" t="s">
        <v>83</v>
      </c>
      <c r="AY300" s="16" t="s">
        <v>282</v>
      </c>
      <c r="BE300" s="137">
        <f>IF(N300="základní",J300,0)</f>
        <v>586.99</v>
      </c>
      <c r="BF300" s="137">
        <f>IF(N300="snížená",J300,0)</f>
        <v>0</v>
      </c>
      <c r="BG300" s="137">
        <f>IF(N300="zákl. přenesená",J300,0)</f>
        <v>0</v>
      </c>
      <c r="BH300" s="137">
        <f>IF(N300="sníž. přenesená",J300,0)</f>
        <v>0</v>
      </c>
      <c r="BI300" s="137">
        <f>IF(N300="nulová",J300,0)</f>
        <v>0</v>
      </c>
      <c r="BJ300" s="16" t="s">
        <v>81</v>
      </c>
      <c r="BK300" s="137">
        <f>ROUND(I300*H300,2)</f>
        <v>586.99</v>
      </c>
      <c r="BL300" s="16" t="s">
        <v>95</v>
      </c>
      <c r="BM300" s="136" t="s">
        <v>3039</v>
      </c>
    </row>
    <row r="301" spans="2:65" s="1" customFormat="1" x14ac:dyDescent="0.2">
      <c r="B301" s="31"/>
      <c r="D301" s="138" t="s">
        <v>289</v>
      </c>
      <c r="F301" s="139" t="s">
        <v>3038</v>
      </c>
      <c r="I301" s="140"/>
      <c r="L301" s="31"/>
      <c r="M301" s="141"/>
      <c r="T301" s="50"/>
      <c r="AT301" s="16" t="s">
        <v>289</v>
      </c>
      <c r="AU301" s="16" t="s">
        <v>83</v>
      </c>
    </row>
    <row r="302" spans="2:65" s="1" customFormat="1" ht="14.45" customHeight="1" x14ac:dyDescent="0.2">
      <c r="B302" s="124"/>
      <c r="C302" s="125" t="s">
        <v>1555</v>
      </c>
      <c r="D302" s="125" t="s">
        <v>284</v>
      </c>
      <c r="E302" s="126" t="s">
        <v>3040</v>
      </c>
      <c r="F302" s="127" t="s">
        <v>2009</v>
      </c>
      <c r="G302" s="128" t="s">
        <v>315</v>
      </c>
      <c r="H302" s="129">
        <v>40</v>
      </c>
      <c r="I302" s="130">
        <v>36.136278955000002</v>
      </c>
      <c r="J302" s="131">
        <f>ROUND(I302*H302,2)</f>
        <v>1445.45</v>
      </c>
      <c r="K302" s="127" t="s">
        <v>1</v>
      </c>
      <c r="L302" s="31"/>
      <c r="M302" s="132" t="s">
        <v>1</v>
      </c>
      <c r="N302" s="133" t="s">
        <v>40</v>
      </c>
      <c r="P302" s="134">
        <f>O302*H302</f>
        <v>0</v>
      </c>
      <c r="Q302" s="134">
        <v>0</v>
      </c>
      <c r="R302" s="134">
        <f>Q302*H302</f>
        <v>0</v>
      </c>
      <c r="S302" s="134">
        <v>0</v>
      </c>
      <c r="T302" s="135">
        <f>S302*H302</f>
        <v>0</v>
      </c>
      <c r="AR302" s="136" t="s">
        <v>95</v>
      </c>
      <c r="AT302" s="136" t="s">
        <v>284</v>
      </c>
      <c r="AU302" s="136" t="s">
        <v>83</v>
      </c>
      <c r="AY302" s="16" t="s">
        <v>282</v>
      </c>
      <c r="BE302" s="137">
        <f>IF(N302="základní",J302,0)</f>
        <v>1445.45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6" t="s">
        <v>81</v>
      </c>
      <c r="BK302" s="137">
        <f>ROUND(I302*H302,2)</f>
        <v>1445.45</v>
      </c>
      <c r="BL302" s="16" t="s">
        <v>95</v>
      </c>
      <c r="BM302" s="136" t="s">
        <v>3041</v>
      </c>
    </row>
    <row r="303" spans="2:65" s="1" customFormat="1" x14ac:dyDescent="0.2">
      <c r="B303" s="31"/>
      <c r="D303" s="138" t="s">
        <v>289</v>
      </c>
      <c r="F303" s="139" t="s">
        <v>2009</v>
      </c>
      <c r="I303" s="140"/>
      <c r="L303" s="31"/>
      <c r="M303" s="141"/>
      <c r="T303" s="50"/>
      <c r="AT303" s="16" t="s">
        <v>289</v>
      </c>
      <c r="AU303" s="16" t="s">
        <v>83</v>
      </c>
    </row>
    <row r="304" spans="2:65" s="10" customFormat="1" ht="22.9" customHeight="1" x14ac:dyDescent="0.2">
      <c r="B304" s="112"/>
      <c r="D304" s="113" t="s">
        <v>73</v>
      </c>
      <c r="E304" s="122" t="s">
        <v>2034</v>
      </c>
      <c r="F304" s="122" t="s">
        <v>3042</v>
      </c>
      <c r="I304" s="115"/>
      <c r="J304" s="123">
        <f>BK304</f>
        <v>4761.82</v>
      </c>
      <c r="L304" s="112"/>
      <c r="M304" s="117"/>
      <c r="P304" s="118">
        <f>SUM(P305:P312)</f>
        <v>0</v>
      </c>
      <c r="R304" s="118">
        <f>SUM(R305:R312)</f>
        <v>0</v>
      </c>
      <c r="T304" s="119">
        <f>SUM(T305:T312)</f>
        <v>0</v>
      </c>
      <c r="AR304" s="113" t="s">
        <v>81</v>
      </c>
      <c r="AT304" s="120" t="s">
        <v>73</v>
      </c>
      <c r="AU304" s="120" t="s">
        <v>81</v>
      </c>
      <c r="AY304" s="113" t="s">
        <v>282</v>
      </c>
      <c r="BK304" s="121">
        <f>SUM(BK305:BK312)</f>
        <v>4761.82</v>
      </c>
    </row>
    <row r="305" spans="2:65" s="1" customFormat="1" ht="24.2" customHeight="1" x14ac:dyDescent="0.2">
      <c r="B305" s="124"/>
      <c r="C305" s="125" t="s">
        <v>1557</v>
      </c>
      <c r="D305" s="125" t="s">
        <v>284</v>
      </c>
      <c r="E305" s="126" t="s">
        <v>3043</v>
      </c>
      <c r="F305" s="127" t="s">
        <v>3044</v>
      </c>
      <c r="G305" s="128" t="s">
        <v>315</v>
      </c>
      <c r="H305" s="129">
        <v>1</v>
      </c>
      <c r="I305" s="130">
        <v>994.57648500000005</v>
      </c>
      <c r="J305" s="131">
        <f>ROUND(I305*H305,2)</f>
        <v>994.58</v>
      </c>
      <c r="K305" s="127" t="s">
        <v>1</v>
      </c>
      <c r="L305" s="31"/>
      <c r="M305" s="132" t="s">
        <v>1</v>
      </c>
      <c r="N305" s="133" t="s">
        <v>40</v>
      </c>
      <c r="P305" s="134">
        <f>O305*H305</f>
        <v>0</v>
      </c>
      <c r="Q305" s="134">
        <v>0</v>
      </c>
      <c r="R305" s="134">
        <f>Q305*H305</f>
        <v>0</v>
      </c>
      <c r="S305" s="134">
        <v>0</v>
      </c>
      <c r="T305" s="135">
        <f>S305*H305</f>
        <v>0</v>
      </c>
      <c r="AR305" s="136" t="s">
        <v>95</v>
      </c>
      <c r="AT305" s="136" t="s">
        <v>284</v>
      </c>
      <c r="AU305" s="136" t="s">
        <v>83</v>
      </c>
      <c r="AY305" s="16" t="s">
        <v>282</v>
      </c>
      <c r="BE305" s="137">
        <f>IF(N305="základní",J305,0)</f>
        <v>994.58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6" t="s">
        <v>81</v>
      </c>
      <c r="BK305" s="137">
        <f>ROUND(I305*H305,2)</f>
        <v>994.58</v>
      </c>
      <c r="BL305" s="16" t="s">
        <v>95</v>
      </c>
      <c r="BM305" s="136" t="s">
        <v>3045</v>
      </c>
    </row>
    <row r="306" spans="2:65" s="1" customFormat="1" ht="19.5" x14ac:dyDescent="0.2">
      <c r="B306" s="31"/>
      <c r="D306" s="138" t="s">
        <v>289</v>
      </c>
      <c r="F306" s="139" t="s">
        <v>3044</v>
      </c>
      <c r="I306" s="140"/>
      <c r="L306" s="31"/>
      <c r="M306" s="141"/>
      <c r="T306" s="50"/>
      <c r="AT306" s="16" t="s">
        <v>289</v>
      </c>
      <c r="AU306" s="16" t="s">
        <v>83</v>
      </c>
    </row>
    <row r="307" spans="2:65" s="1" customFormat="1" ht="14.45" customHeight="1" x14ac:dyDescent="0.2">
      <c r="B307" s="124"/>
      <c r="C307" s="125" t="s">
        <v>1559</v>
      </c>
      <c r="D307" s="125" t="s">
        <v>284</v>
      </c>
      <c r="E307" s="126" t="s">
        <v>3046</v>
      </c>
      <c r="F307" s="127" t="s">
        <v>3047</v>
      </c>
      <c r="G307" s="128" t="s">
        <v>315</v>
      </c>
      <c r="H307" s="129">
        <v>1</v>
      </c>
      <c r="I307" s="130">
        <v>563.59334149999995</v>
      </c>
      <c r="J307" s="131">
        <f>ROUND(I307*H307,2)</f>
        <v>563.59</v>
      </c>
      <c r="K307" s="127" t="s">
        <v>1</v>
      </c>
      <c r="L307" s="31"/>
      <c r="M307" s="132" t="s">
        <v>1</v>
      </c>
      <c r="N307" s="133" t="s">
        <v>40</v>
      </c>
      <c r="P307" s="134">
        <f>O307*H307</f>
        <v>0</v>
      </c>
      <c r="Q307" s="134">
        <v>0</v>
      </c>
      <c r="R307" s="134">
        <f>Q307*H307</f>
        <v>0</v>
      </c>
      <c r="S307" s="134">
        <v>0</v>
      </c>
      <c r="T307" s="135">
        <f>S307*H307</f>
        <v>0</v>
      </c>
      <c r="AR307" s="136" t="s">
        <v>95</v>
      </c>
      <c r="AT307" s="136" t="s">
        <v>284</v>
      </c>
      <c r="AU307" s="136" t="s">
        <v>83</v>
      </c>
      <c r="AY307" s="16" t="s">
        <v>282</v>
      </c>
      <c r="BE307" s="137">
        <f>IF(N307="základní",J307,0)</f>
        <v>563.59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6" t="s">
        <v>81</v>
      </c>
      <c r="BK307" s="137">
        <f>ROUND(I307*H307,2)</f>
        <v>563.59</v>
      </c>
      <c r="BL307" s="16" t="s">
        <v>95</v>
      </c>
      <c r="BM307" s="136" t="s">
        <v>3048</v>
      </c>
    </row>
    <row r="308" spans="2:65" s="1" customFormat="1" x14ac:dyDescent="0.2">
      <c r="B308" s="31"/>
      <c r="D308" s="138" t="s">
        <v>289</v>
      </c>
      <c r="F308" s="139" t="s">
        <v>3047</v>
      </c>
      <c r="I308" s="140"/>
      <c r="L308" s="31"/>
      <c r="M308" s="141"/>
      <c r="T308" s="50"/>
      <c r="AT308" s="16" t="s">
        <v>289</v>
      </c>
      <c r="AU308" s="16" t="s">
        <v>83</v>
      </c>
    </row>
    <row r="309" spans="2:65" s="1" customFormat="1" ht="14.45" customHeight="1" x14ac:dyDescent="0.2">
      <c r="B309" s="124"/>
      <c r="C309" s="125" t="s">
        <v>1560</v>
      </c>
      <c r="D309" s="125" t="s">
        <v>284</v>
      </c>
      <c r="E309" s="126" t="s">
        <v>3049</v>
      </c>
      <c r="F309" s="127" t="s">
        <v>3050</v>
      </c>
      <c r="G309" s="128" t="s">
        <v>315</v>
      </c>
      <c r="H309" s="129">
        <v>1</v>
      </c>
      <c r="I309" s="130">
        <v>805.60695284999997</v>
      </c>
      <c r="J309" s="131">
        <f>ROUND(I309*H309,2)</f>
        <v>805.61</v>
      </c>
      <c r="K309" s="127" t="s">
        <v>1</v>
      </c>
      <c r="L309" s="31"/>
      <c r="M309" s="132" t="s">
        <v>1</v>
      </c>
      <c r="N309" s="133" t="s">
        <v>40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AR309" s="136" t="s">
        <v>95</v>
      </c>
      <c r="AT309" s="136" t="s">
        <v>284</v>
      </c>
      <c r="AU309" s="136" t="s">
        <v>83</v>
      </c>
      <c r="AY309" s="16" t="s">
        <v>282</v>
      </c>
      <c r="BE309" s="137">
        <f>IF(N309="základní",J309,0)</f>
        <v>805.61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6" t="s">
        <v>81</v>
      </c>
      <c r="BK309" s="137">
        <f>ROUND(I309*H309,2)</f>
        <v>805.61</v>
      </c>
      <c r="BL309" s="16" t="s">
        <v>95</v>
      </c>
      <c r="BM309" s="136" t="s">
        <v>3051</v>
      </c>
    </row>
    <row r="310" spans="2:65" s="1" customFormat="1" x14ac:dyDescent="0.2">
      <c r="B310" s="31"/>
      <c r="D310" s="138" t="s">
        <v>289</v>
      </c>
      <c r="F310" s="139" t="s">
        <v>3050</v>
      </c>
      <c r="I310" s="140"/>
      <c r="L310" s="31"/>
      <c r="M310" s="141"/>
      <c r="T310" s="50"/>
      <c r="AT310" s="16" t="s">
        <v>289</v>
      </c>
      <c r="AU310" s="16" t="s">
        <v>83</v>
      </c>
    </row>
    <row r="311" spans="2:65" s="1" customFormat="1" ht="14.45" customHeight="1" x14ac:dyDescent="0.2">
      <c r="B311" s="124"/>
      <c r="C311" s="125" t="s">
        <v>1561</v>
      </c>
      <c r="D311" s="125" t="s">
        <v>284</v>
      </c>
      <c r="E311" s="126" t="s">
        <v>3052</v>
      </c>
      <c r="F311" s="127" t="s">
        <v>3053</v>
      </c>
      <c r="G311" s="128" t="s">
        <v>315</v>
      </c>
      <c r="H311" s="129">
        <v>1</v>
      </c>
      <c r="I311" s="130">
        <v>2398.0375712190003</v>
      </c>
      <c r="J311" s="131">
        <f>ROUND(I311*H311,2)</f>
        <v>2398.04</v>
      </c>
      <c r="K311" s="127" t="s">
        <v>1</v>
      </c>
      <c r="L311" s="31"/>
      <c r="M311" s="132" t="s">
        <v>1</v>
      </c>
      <c r="N311" s="133" t="s">
        <v>40</v>
      </c>
      <c r="P311" s="134">
        <f>O311*H311</f>
        <v>0</v>
      </c>
      <c r="Q311" s="134">
        <v>0</v>
      </c>
      <c r="R311" s="134">
        <f>Q311*H311</f>
        <v>0</v>
      </c>
      <c r="S311" s="134">
        <v>0</v>
      </c>
      <c r="T311" s="135">
        <f>S311*H311</f>
        <v>0</v>
      </c>
      <c r="AR311" s="136" t="s">
        <v>95</v>
      </c>
      <c r="AT311" s="136" t="s">
        <v>284</v>
      </c>
      <c r="AU311" s="136" t="s">
        <v>83</v>
      </c>
      <c r="AY311" s="16" t="s">
        <v>282</v>
      </c>
      <c r="BE311" s="137">
        <f>IF(N311="základní",J311,0)</f>
        <v>2398.04</v>
      </c>
      <c r="BF311" s="137">
        <f>IF(N311="snížená",J311,0)</f>
        <v>0</v>
      </c>
      <c r="BG311" s="137">
        <f>IF(N311="zákl. přenesená",J311,0)</f>
        <v>0</v>
      </c>
      <c r="BH311" s="137">
        <f>IF(N311="sníž. přenesená",J311,0)</f>
        <v>0</v>
      </c>
      <c r="BI311" s="137">
        <f>IF(N311="nulová",J311,0)</f>
        <v>0</v>
      </c>
      <c r="BJ311" s="16" t="s">
        <v>81</v>
      </c>
      <c r="BK311" s="137">
        <f>ROUND(I311*H311,2)</f>
        <v>2398.04</v>
      </c>
      <c r="BL311" s="16" t="s">
        <v>95</v>
      </c>
      <c r="BM311" s="136" t="s">
        <v>3054</v>
      </c>
    </row>
    <row r="312" spans="2:65" s="1" customFormat="1" x14ac:dyDescent="0.2">
      <c r="B312" s="31"/>
      <c r="D312" s="138" t="s">
        <v>289</v>
      </c>
      <c r="F312" s="139" t="s">
        <v>3053</v>
      </c>
      <c r="I312" s="140"/>
      <c r="L312" s="31"/>
      <c r="M312" s="141"/>
      <c r="T312" s="50"/>
      <c r="AT312" s="16" t="s">
        <v>289</v>
      </c>
      <c r="AU312" s="16" t="s">
        <v>83</v>
      </c>
    </row>
    <row r="313" spans="2:65" s="10" customFormat="1" ht="22.9" customHeight="1" x14ac:dyDescent="0.2">
      <c r="B313" s="112"/>
      <c r="D313" s="113" t="s">
        <v>73</v>
      </c>
      <c r="E313" s="122" t="s">
        <v>3055</v>
      </c>
      <c r="F313" s="122" t="s">
        <v>2035</v>
      </c>
      <c r="I313" s="115"/>
      <c r="J313" s="123">
        <f>BK313</f>
        <v>105131.48000000001</v>
      </c>
      <c r="L313" s="112"/>
      <c r="M313" s="117"/>
      <c r="P313" s="118">
        <f>SUM(P314:P323)</f>
        <v>0</v>
      </c>
      <c r="R313" s="118">
        <f>SUM(R314:R323)</f>
        <v>0</v>
      </c>
      <c r="T313" s="119">
        <f>SUM(T314:T323)</f>
        <v>0</v>
      </c>
      <c r="AR313" s="113" t="s">
        <v>81</v>
      </c>
      <c r="AT313" s="120" t="s">
        <v>73</v>
      </c>
      <c r="AU313" s="120" t="s">
        <v>81</v>
      </c>
      <c r="AY313" s="113" t="s">
        <v>282</v>
      </c>
      <c r="BK313" s="121">
        <f>SUM(BK314:BK323)</f>
        <v>105131.48000000001</v>
      </c>
    </row>
    <row r="314" spans="2:65" s="1" customFormat="1" ht="14.45" customHeight="1" x14ac:dyDescent="0.2">
      <c r="B314" s="124"/>
      <c r="C314" s="125" t="s">
        <v>1562</v>
      </c>
      <c r="D314" s="125" t="s">
        <v>284</v>
      </c>
      <c r="E314" s="126" t="s">
        <v>3056</v>
      </c>
      <c r="F314" s="127" t="s">
        <v>3057</v>
      </c>
      <c r="G314" s="128" t="s">
        <v>331</v>
      </c>
      <c r="H314" s="129">
        <v>46</v>
      </c>
      <c r="I314" s="130">
        <v>909.32707200000004</v>
      </c>
      <c r="J314" s="131">
        <f>ROUND(I314*H314,2)</f>
        <v>41829.050000000003</v>
      </c>
      <c r="K314" s="127" t="s">
        <v>1</v>
      </c>
      <c r="L314" s="31"/>
      <c r="M314" s="132" t="s">
        <v>1</v>
      </c>
      <c r="N314" s="133" t="s">
        <v>40</v>
      </c>
      <c r="P314" s="134">
        <f>O314*H314</f>
        <v>0</v>
      </c>
      <c r="Q314" s="134">
        <v>0</v>
      </c>
      <c r="R314" s="134">
        <f>Q314*H314</f>
        <v>0</v>
      </c>
      <c r="S314" s="134">
        <v>0</v>
      </c>
      <c r="T314" s="135">
        <f>S314*H314</f>
        <v>0</v>
      </c>
      <c r="AR314" s="136" t="s">
        <v>95</v>
      </c>
      <c r="AT314" s="136" t="s">
        <v>284</v>
      </c>
      <c r="AU314" s="136" t="s">
        <v>83</v>
      </c>
      <c r="AY314" s="16" t="s">
        <v>282</v>
      </c>
      <c r="BE314" s="137">
        <f>IF(N314="základní",J314,0)</f>
        <v>41829.050000000003</v>
      </c>
      <c r="BF314" s="137">
        <f>IF(N314="snížená",J314,0)</f>
        <v>0</v>
      </c>
      <c r="BG314" s="137">
        <f>IF(N314="zákl. přenesená",J314,0)</f>
        <v>0</v>
      </c>
      <c r="BH314" s="137">
        <f>IF(N314="sníž. přenesená",J314,0)</f>
        <v>0</v>
      </c>
      <c r="BI314" s="137">
        <f>IF(N314="nulová",J314,0)</f>
        <v>0</v>
      </c>
      <c r="BJ314" s="16" t="s">
        <v>81</v>
      </c>
      <c r="BK314" s="137">
        <f>ROUND(I314*H314,2)</f>
        <v>41829.050000000003</v>
      </c>
      <c r="BL314" s="16" t="s">
        <v>95</v>
      </c>
      <c r="BM314" s="136" t="s">
        <v>3058</v>
      </c>
    </row>
    <row r="315" spans="2:65" s="1" customFormat="1" x14ac:dyDescent="0.2">
      <c r="B315" s="31"/>
      <c r="D315" s="138" t="s">
        <v>289</v>
      </c>
      <c r="F315" s="139" t="s">
        <v>3057</v>
      </c>
      <c r="I315" s="140"/>
      <c r="L315" s="31"/>
      <c r="M315" s="141"/>
      <c r="T315" s="50"/>
      <c r="AT315" s="16" t="s">
        <v>289</v>
      </c>
      <c r="AU315" s="16" t="s">
        <v>83</v>
      </c>
    </row>
    <row r="316" spans="2:65" s="1" customFormat="1" ht="14.45" customHeight="1" x14ac:dyDescent="0.2">
      <c r="B316" s="124"/>
      <c r="C316" s="125" t="s">
        <v>1563</v>
      </c>
      <c r="D316" s="125" t="s">
        <v>284</v>
      </c>
      <c r="E316" s="126" t="s">
        <v>3059</v>
      </c>
      <c r="F316" s="127" t="s">
        <v>3060</v>
      </c>
      <c r="G316" s="128" t="s">
        <v>331</v>
      </c>
      <c r="H316" s="129">
        <v>26</v>
      </c>
      <c r="I316" s="130">
        <v>1136.6588400000001</v>
      </c>
      <c r="J316" s="131">
        <f>ROUND(I316*H316,2)</f>
        <v>29553.13</v>
      </c>
      <c r="K316" s="127" t="s">
        <v>1</v>
      </c>
      <c r="L316" s="31"/>
      <c r="M316" s="132" t="s">
        <v>1</v>
      </c>
      <c r="N316" s="133" t="s">
        <v>40</v>
      </c>
      <c r="P316" s="134">
        <f>O316*H316</f>
        <v>0</v>
      </c>
      <c r="Q316" s="134">
        <v>0</v>
      </c>
      <c r="R316" s="134">
        <f>Q316*H316</f>
        <v>0</v>
      </c>
      <c r="S316" s="134">
        <v>0</v>
      </c>
      <c r="T316" s="135">
        <f>S316*H316</f>
        <v>0</v>
      </c>
      <c r="AR316" s="136" t="s">
        <v>95</v>
      </c>
      <c r="AT316" s="136" t="s">
        <v>284</v>
      </c>
      <c r="AU316" s="136" t="s">
        <v>83</v>
      </c>
      <c r="AY316" s="16" t="s">
        <v>282</v>
      </c>
      <c r="BE316" s="137">
        <f>IF(N316="základní",J316,0)</f>
        <v>29553.13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6" t="s">
        <v>81</v>
      </c>
      <c r="BK316" s="137">
        <f>ROUND(I316*H316,2)</f>
        <v>29553.13</v>
      </c>
      <c r="BL316" s="16" t="s">
        <v>95</v>
      </c>
      <c r="BM316" s="136" t="s">
        <v>3061</v>
      </c>
    </row>
    <row r="317" spans="2:65" s="1" customFormat="1" x14ac:dyDescent="0.2">
      <c r="B317" s="31"/>
      <c r="D317" s="138" t="s">
        <v>289</v>
      </c>
      <c r="F317" s="139" t="s">
        <v>3060</v>
      </c>
      <c r="I317" s="140"/>
      <c r="L317" s="31"/>
      <c r="M317" s="141"/>
      <c r="T317" s="50"/>
      <c r="AT317" s="16" t="s">
        <v>289</v>
      </c>
      <c r="AU317" s="16" t="s">
        <v>83</v>
      </c>
    </row>
    <row r="318" spans="2:65" s="1" customFormat="1" ht="14.45" customHeight="1" x14ac:dyDescent="0.2">
      <c r="B318" s="124"/>
      <c r="C318" s="125" t="s">
        <v>1566</v>
      </c>
      <c r="D318" s="125" t="s">
        <v>284</v>
      </c>
      <c r="E318" s="126" t="s">
        <v>3062</v>
      </c>
      <c r="F318" s="127" t="s">
        <v>3063</v>
      </c>
      <c r="G318" s="128" t="s">
        <v>1948</v>
      </c>
      <c r="H318" s="129">
        <v>1</v>
      </c>
      <c r="I318" s="130">
        <v>7890.3067810000002</v>
      </c>
      <c r="J318" s="131">
        <f>ROUND(I318*H318,2)</f>
        <v>7890.31</v>
      </c>
      <c r="K318" s="127" t="s">
        <v>1</v>
      </c>
      <c r="L318" s="31"/>
      <c r="M318" s="132" t="s">
        <v>1</v>
      </c>
      <c r="N318" s="133" t="s">
        <v>40</v>
      </c>
      <c r="P318" s="134">
        <f>O318*H318</f>
        <v>0</v>
      </c>
      <c r="Q318" s="134">
        <v>0</v>
      </c>
      <c r="R318" s="134">
        <f>Q318*H318</f>
        <v>0</v>
      </c>
      <c r="S318" s="134">
        <v>0</v>
      </c>
      <c r="T318" s="135">
        <f>S318*H318</f>
        <v>0</v>
      </c>
      <c r="AR318" s="136" t="s">
        <v>95</v>
      </c>
      <c r="AT318" s="136" t="s">
        <v>284</v>
      </c>
      <c r="AU318" s="136" t="s">
        <v>83</v>
      </c>
      <c r="AY318" s="16" t="s">
        <v>282</v>
      </c>
      <c r="BE318" s="137">
        <f>IF(N318="základní",J318,0)</f>
        <v>7890.31</v>
      </c>
      <c r="BF318" s="137">
        <f>IF(N318="snížená",J318,0)</f>
        <v>0</v>
      </c>
      <c r="BG318" s="137">
        <f>IF(N318="zákl. přenesená",J318,0)</f>
        <v>0</v>
      </c>
      <c r="BH318" s="137">
        <f>IF(N318="sníž. přenesená",J318,0)</f>
        <v>0</v>
      </c>
      <c r="BI318" s="137">
        <f>IF(N318="nulová",J318,0)</f>
        <v>0</v>
      </c>
      <c r="BJ318" s="16" t="s">
        <v>81</v>
      </c>
      <c r="BK318" s="137">
        <f>ROUND(I318*H318,2)</f>
        <v>7890.31</v>
      </c>
      <c r="BL318" s="16" t="s">
        <v>95</v>
      </c>
      <c r="BM318" s="136" t="s">
        <v>3064</v>
      </c>
    </row>
    <row r="319" spans="2:65" s="1" customFormat="1" x14ac:dyDescent="0.2">
      <c r="B319" s="31"/>
      <c r="D319" s="138" t="s">
        <v>289</v>
      </c>
      <c r="F319" s="139" t="s">
        <v>3063</v>
      </c>
      <c r="I319" s="140"/>
      <c r="L319" s="31"/>
      <c r="M319" s="141"/>
      <c r="T319" s="50"/>
      <c r="AT319" s="16" t="s">
        <v>289</v>
      </c>
      <c r="AU319" s="16" t="s">
        <v>83</v>
      </c>
    </row>
    <row r="320" spans="2:65" s="1" customFormat="1" ht="14.45" customHeight="1" x14ac:dyDescent="0.2">
      <c r="B320" s="124"/>
      <c r="C320" s="125" t="s">
        <v>1568</v>
      </c>
      <c r="D320" s="125" t="s">
        <v>284</v>
      </c>
      <c r="E320" s="126" t="s">
        <v>3065</v>
      </c>
      <c r="F320" s="127" t="s">
        <v>2037</v>
      </c>
      <c r="G320" s="128" t="s">
        <v>331</v>
      </c>
      <c r="H320" s="129">
        <v>12</v>
      </c>
      <c r="I320" s="130">
        <v>615.69020499999999</v>
      </c>
      <c r="J320" s="131">
        <f>ROUND(I320*H320,2)</f>
        <v>7388.28</v>
      </c>
      <c r="K320" s="127" t="s">
        <v>1</v>
      </c>
      <c r="L320" s="31"/>
      <c r="M320" s="132" t="s">
        <v>1</v>
      </c>
      <c r="N320" s="133" t="s">
        <v>40</v>
      </c>
      <c r="P320" s="134">
        <f>O320*H320</f>
        <v>0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AR320" s="136" t="s">
        <v>95</v>
      </c>
      <c r="AT320" s="136" t="s">
        <v>284</v>
      </c>
      <c r="AU320" s="136" t="s">
        <v>83</v>
      </c>
      <c r="AY320" s="16" t="s">
        <v>282</v>
      </c>
      <c r="BE320" s="137">
        <f>IF(N320="základní",J320,0)</f>
        <v>7388.28</v>
      </c>
      <c r="BF320" s="137">
        <f>IF(N320="snížená",J320,0)</f>
        <v>0</v>
      </c>
      <c r="BG320" s="137">
        <f>IF(N320="zákl. přenesená",J320,0)</f>
        <v>0</v>
      </c>
      <c r="BH320" s="137">
        <f>IF(N320="sníž. přenesená",J320,0)</f>
        <v>0</v>
      </c>
      <c r="BI320" s="137">
        <f>IF(N320="nulová",J320,0)</f>
        <v>0</v>
      </c>
      <c r="BJ320" s="16" t="s">
        <v>81</v>
      </c>
      <c r="BK320" s="137">
        <f>ROUND(I320*H320,2)</f>
        <v>7388.28</v>
      </c>
      <c r="BL320" s="16" t="s">
        <v>95</v>
      </c>
      <c r="BM320" s="136" t="s">
        <v>3066</v>
      </c>
    </row>
    <row r="321" spans="2:65" s="1" customFormat="1" x14ac:dyDescent="0.2">
      <c r="B321" s="31"/>
      <c r="D321" s="138" t="s">
        <v>289</v>
      </c>
      <c r="F321" s="139" t="s">
        <v>2037</v>
      </c>
      <c r="I321" s="140"/>
      <c r="L321" s="31"/>
      <c r="M321" s="141"/>
      <c r="T321" s="50"/>
      <c r="AT321" s="16" t="s">
        <v>289</v>
      </c>
      <c r="AU321" s="16" t="s">
        <v>83</v>
      </c>
    </row>
    <row r="322" spans="2:65" s="1" customFormat="1" ht="14.45" customHeight="1" x14ac:dyDescent="0.2">
      <c r="B322" s="124"/>
      <c r="C322" s="125" t="s">
        <v>1569</v>
      </c>
      <c r="D322" s="125" t="s">
        <v>284</v>
      </c>
      <c r="E322" s="126" t="s">
        <v>3067</v>
      </c>
      <c r="F322" s="127" t="s">
        <v>2039</v>
      </c>
      <c r="G322" s="128" t="s">
        <v>331</v>
      </c>
      <c r="H322" s="129">
        <v>30</v>
      </c>
      <c r="I322" s="130">
        <v>615.69020499999999</v>
      </c>
      <c r="J322" s="131">
        <f>ROUND(I322*H322,2)</f>
        <v>18470.71</v>
      </c>
      <c r="K322" s="127" t="s">
        <v>1</v>
      </c>
      <c r="L322" s="31"/>
      <c r="M322" s="132" t="s">
        <v>1</v>
      </c>
      <c r="N322" s="133" t="s">
        <v>40</v>
      </c>
      <c r="P322" s="134">
        <f>O322*H322</f>
        <v>0</v>
      </c>
      <c r="Q322" s="134">
        <v>0</v>
      </c>
      <c r="R322" s="134">
        <f>Q322*H322</f>
        <v>0</v>
      </c>
      <c r="S322" s="134">
        <v>0</v>
      </c>
      <c r="T322" s="135">
        <f>S322*H322</f>
        <v>0</v>
      </c>
      <c r="AR322" s="136" t="s">
        <v>95</v>
      </c>
      <c r="AT322" s="136" t="s">
        <v>284</v>
      </c>
      <c r="AU322" s="136" t="s">
        <v>83</v>
      </c>
      <c r="AY322" s="16" t="s">
        <v>282</v>
      </c>
      <c r="BE322" s="137">
        <f>IF(N322="základní",J322,0)</f>
        <v>18470.71</v>
      </c>
      <c r="BF322" s="137">
        <f>IF(N322="snížená",J322,0)</f>
        <v>0</v>
      </c>
      <c r="BG322" s="137">
        <f>IF(N322="zákl. přenesená",J322,0)</f>
        <v>0</v>
      </c>
      <c r="BH322" s="137">
        <f>IF(N322="sníž. přenesená",J322,0)</f>
        <v>0</v>
      </c>
      <c r="BI322" s="137">
        <f>IF(N322="nulová",J322,0)</f>
        <v>0</v>
      </c>
      <c r="BJ322" s="16" t="s">
        <v>81</v>
      </c>
      <c r="BK322" s="137">
        <f>ROUND(I322*H322,2)</f>
        <v>18470.71</v>
      </c>
      <c r="BL322" s="16" t="s">
        <v>95</v>
      </c>
      <c r="BM322" s="136" t="s">
        <v>3068</v>
      </c>
    </row>
    <row r="323" spans="2:65" s="1" customFormat="1" x14ac:dyDescent="0.2">
      <c r="B323" s="31"/>
      <c r="D323" s="138" t="s">
        <v>289</v>
      </c>
      <c r="F323" s="139" t="s">
        <v>2039</v>
      </c>
      <c r="I323" s="140"/>
      <c r="L323" s="31"/>
      <c r="M323" s="141"/>
      <c r="T323" s="50"/>
      <c r="AT323" s="16" t="s">
        <v>289</v>
      </c>
      <c r="AU323" s="16" t="s">
        <v>83</v>
      </c>
    </row>
    <row r="324" spans="2:65" s="10" customFormat="1" ht="22.9" customHeight="1" x14ac:dyDescent="0.2">
      <c r="B324" s="112"/>
      <c r="D324" s="113" t="s">
        <v>73</v>
      </c>
      <c r="E324" s="122" t="s">
        <v>3069</v>
      </c>
      <c r="F324" s="122" t="s">
        <v>3070</v>
      </c>
      <c r="I324" s="115"/>
      <c r="J324" s="123">
        <f>BK324</f>
        <v>14009.32</v>
      </c>
      <c r="L324" s="112"/>
      <c r="M324" s="117"/>
      <c r="P324" s="118">
        <f>SUM(P325:P330)</f>
        <v>0</v>
      </c>
      <c r="R324" s="118">
        <f>SUM(R325:R330)</f>
        <v>0</v>
      </c>
      <c r="T324" s="119">
        <f>SUM(T325:T330)</f>
        <v>0</v>
      </c>
      <c r="AR324" s="113" t="s">
        <v>95</v>
      </c>
      <c r="AT324" s="120" t="s">
        <v>73</v>
      </c>
      <c r="AU324" s="120" t="s">
        <v>81</v>
      </c>
      <c r="AY324" s="113" t="s">
        <v>282</v>
      </c>
      <c r="BK324" s="121">
        <f>SUM(BK325:BK330)</f>
        <v>14009.32</v>
      </c>
    </row>
    <row r="325" spans="2:65" s="1" customFormat="1" ht="14.45" customHeight="1" x14ac:dyDescent="0.2">
      <c r="B325" s="124"/>
      <c r="C325" s="125" t="s">
        <v>1570</v>
      </c>
      <c r="D325" s="125" t="s">
        <v>284</v>
      </c>
      <c r="E325" s="126" t="s">
        <v>3071</v>
      </c>
      <c r="F325" s="127" t="s">
        <v>2043</v>
      </c>
      <c r="G325" s="128" t="s">
        <v>1948</v>
      </c>
      <c r="H325" s="129">
        <v>1</v>
      </c>
      <c r="I325" s="130">
        <v>1468.1843349999999</v>
      </c>
      <c r="J325" s="131">
        <f>ROUND(I325*H325,2)</f>
        <v>1468.18</v>
      </c>
      <c r="K325" s="127" t="s">
        <v>1</v>
      </c>
      <c r="L325" s="31"/>
      <c r="M325" s="132" t="s">
        <v>1</v>
      </c>
      <c r="N325" s="133" t="s">
        <v>40</v>
      </c>
      <c r="P325" s="134">
        <f>O325*H325</f>
        <v>0</v>
      </c>
      <c r="Q325" s="134">
        <v>0</v>
      </c>
      <c r="R325" s="134">
        <f>Q325*H325</f>
        <v>0</v>
      </c>
      <c r="S325" s="134">
        <v>0</v>
      </c>
      <c r="T325" s="135">
        <f>S325*H325</f>
        <v>0</v>
      </c>
      <c r="AR325" s="136" t="s">
        <v>95</v>
      </c>
      <c r="AT325" s="136" t="s">
        <v>284</v>
      </c>
      <c r="AU325" s="136" t="s">
        <v>83</v>
      </c>
      <c r="AY325" s="16" t="s">
        <v>282</v>
      </c>
      <c r="BE325" s="137">
        <f>IF(N325="základní",J325,0)</f>
        <v>1468.18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6" t="s">
        <v>81</v>
      </c>
      <c r="BK325" s="137">
        <f>ROUND(I325*H325,2)</f>
        <v>1468.18</v>
      </c>
      <c r="BL325" s="16" t="s">
        <v>95</v>
      </c>
      <c r="BM325" s="136" t="s">
        <v>3072</v>
      </c>
    </row>
    <row r="326" spans="2:65" s="1" customFormat="1" x14ac:dyDescent="0.2">
      <c r="B326" s="31"/>
      <c r="D326" s="138" t="s">
        <v>289</v>
      </c>
      <c r="F326" s="139" t="s">
        <v>2043</v>
      </c>
      <c r="I326" s="140"/>
      <c r="L326" s="31"/>
      <c r="M326" s="141"/>
      <c r="T326" s="50"/>
      <c r="AT326" s="16" t="s">
        <v>289</v>
      </c>
      <c r="AU326" s="16" t="s">
        <v>83</v>
      </c>
    </row>
    <row r="327" spans="2:65" s="1" customFormat="1" ht="14.45" customHeight="1" x14ac:dyDescent="0.2">
      <c r="B327" s="124"/>
      <c r="C327" s="125" t="s">
        <v>1571</v>
      </c>
      <c r="D327" s="125" t="s">
        <v>284</v>
      </c>
      <c r="E327" s="126" t="s">
        <v>3073</v>
      </c>
      <c r="F327" s="127" t="s">
        <v>3074</v>
      </c>
      <c r="G327" s="128" t="s">
        <v>1948</v>
      </c>
      <c r="H327" s="129">
        <v>1</v>
      </c>
      <c r="I327" s="130">
        <v>3362.6157349999999</v>
      </c>
      <c r="J327" s="131">
        <f>ROUND(I327*H327,2)</f>
        <v>3362.62</v>
      </c>
      <c r="K327" s="127" t="s">
        <v>1</v>
      </c>
      <c r="L327" s="31"/>
      <c r="M327" s="132" t="s">
        <v>1</v>
      </c>
      <c r="N327" s="133" t="s">
        <v>40</v>
      </c>
      <c r="P327" s="134">
        <f>O327*H327</f>
        <v>0</v>
      </c>
      <c r="Q327" s="134">
        <v>0</v>
      </c>
      <c r="R327" s="134">
        <f>Q327*H327</f>
        <v>0</v>
      </c>
      <c r="S327" s="134">
        <v>0</v>
      </c>
      <c r="T327" s="135">
        <f>S327*H327</f>
        <v>0</v>
      </c>
      <c r="AR327" s="136" t="s">
        <v>95</v>
      </c>
      <c r="AT327" s="136" t="s">
        <v>284</v>
      </c>
      <c r="AU327" s="136" t="s">
        <v>83</v>
      </c>
      <c r="AY327" s="16" t="s">
        <v>282</v>
      </c>
      <c r="BE327" s="137">
        <f>IF(N327="základní",J327,0)</f>
        <v>3362.62</v>
      </c>
      <c r="BF327" s="137">
        <f>IF(N327="snížená",J327,0)</f>
        <v>0</v>
      </c>
      <c r="BG327" s="137">
        <f>IF(N327="zákl. přenesená",J327,0)</f>
        <v>0</v>
      </c>
      <c r="BH327" s="137">
        <f>IF(N327="sníž. přenesená",J327,0)</f>
        <v>0</v>
      </c>
      <c r="BI327" s="137">
        <f>IF(N327="nulová",J327,0)</f>
        <v>0</v>
      </c>
      <c r="BJ327" s="16" t="s">
        <v>81</v>
      </c>
      <c r="BK327" s="137">
        <f>ROUND(I327*H327,2)</f>
        <v>3362.62</v>
      </c>
      <c r="BL327" s="16" t="s">
        <v>95</v>
      </c>
      <c r="BM327" s="136" t="s">
        <v>3075</v>
      </c>
    </row>
    <row r="328" spans="2:65" s="1" customFormat="1" x14ac:dyDescent="0.2">
      <c r="B328" s="31"/>
      <c r="D328" s="138" t="s">
        <v>289</v>
      </c>
      <c r="F328" s="139" t="s">
        <v>3074</v>
      </c>
      <c r="I328" s="140"/>
      <c r="L328" s="31"/>
      <c r="M328" s="141"/>
      <c r="T328" s="50"/>
      <c r="AT328" s="16" t="s">
        <v>289</v>
      </c>
      <c r="AU328" s="16" t="s">
        <v>83</v>
      </c>
    </row>
    <row r="329" spans="2:65" s="1" customFormat="1" ht="14.45" customHeight="1" x14ac:dyDescent="0.2">
      <c r="B329" s="124"/>
      <c r="C329" s="125" t="s">
        <v>2606</v>
      </c>
      <c r="D329" s="125" t="s">
        <v>284</v>
      </c>
      <c r="E329" s="126" t="s">
        <v>3076</v>
      </c>
      <c r="F329" s="127" t="s">
        <v>3077</v>
      </c>
      <c r="G329" s="128" t="s">
        <v>1948</v>
      </c>
      <c r="H329" s="129">
        <v>1</v>
      </c>
      <c r="I329" s="130">
        <v>9178.520133</v>
      </c>
      <c r="J329" s="131">
        <f>ROUND(I329*H329,2)</f>
        <v>9178.52</v>
      </c>
      <c r="K329" s="127" t="s">
        <v>1</v>
      </c>
      <c r="L329" s="31"/>
      <c r="M329" s="132" t="s">
        <v>1</v>
      </c>
      <c r="N329" s="133" t="s">
        <v>40</v>
      </c>
      <c r="P329" s="134">
        <f>O329*H329</f>
        <v>0</v>
      </c>
      <c r="Q329" s="134">
        <v>0</v>
      </c>
      <c r="R329" s="134">
        <f>Q329*H329</f>
        <v>0</v>
      </c>
      <c r="S329" s="134">
        <v>0</v>
      </c>
      <c r="T329" s="135">
        <f>S329*H329</f>
        <v>0</v>
      </c>
      <c r="AR329" s="136" t="s">
        <v>95</v>
      </c>
      <c r="AT329" s="136" t="s">
        <v>284</v>
      </c>
      <c r="AU329" s="136" t="s">
        <v>83</v>
      </c>
      <c r="AY329" s="16" t="s">
        <v>282</v>
      </c>
      <c r="BE329" s="137">
        <f>IF(N329="základní",J329,0)</f>
        <v>9178.52</v>
      </c>
      <c r="BF329" s="137">
        <f>IF(N329="snížená",J329,0)</f>
        <v>0</v>
      </c>
      <c r="BG329" s="137">
        <f>IF(N329="zákl. přenesená",J329,0)</f>
        <v>0</v>
      </c>
      <c r="BH329" s="137">
        <f>IF(N329="sníž. přenesená",J329,0)</f>
        <v>0</v>
      </c>
      <c r="BI329" s="137">
        <f>IF(N329="nulová",J329,0)</f>
        <v>0</v>
      </c>
      <c r="BJ329" s="16" t="s">
        <v>81</v>
      </c>
      <c r="BK329" s="137">
        <f>ROUND(I329*H329,2)</f>
        <v>9178.52</v>
      </c>
      <c r="BL329" s="16" t="s">
        <v>95</v>
      </c>
      <c r="BM329" s="136" t="s">
        <v>3078</v>
      </c>
    </row>
    <row r="330" spans="2:65" s="1" customFormat="1" x14ac:dyDescent="0.2">
      <c r="B330" s="31"/>
      <c r="D330" s="138" t="s">
        <v>289</v>
      </c>
      <c r="F330" s="139" t="s">
        <v>3077</v>
      </c>
      <c r="I330" s="140"/>
      <c r="L330" s="31"/>
      <c r="M330" s="187"/>
      <c r="N330" s="184"/>
      <c r="O330" s="184"/>
      <c r="P330" s="184"/>
      <c r="Q330" s="184"/>
      <c r="R330" s="184"/>
      <c r="S330" s="184"/>
      <c r="T330" s="188"/>
      <c r="AT330" s="16" t="s">
        <v>289</v>
      </c>
      <c r="AU330" s="16" t="s">
        <v>83</v>
      </c>
    </row>
    <row r="331" spans="2:65" s="1" customFormat="1" ht="6.95" customHeight="1" x14ac:dyDescent="0.2">
      <c r="B331" s="43"/>
      <c r="C331" s="44"/>
      <c r="D331" s="44"/>
      <c r="E331" s="44"/>
      <c r="F331" s="44"/>
      <c r="G331" s="44"/>
      <c r="H331" s="44"/>
      <c r="I331" s="44"/>
      <c r="J331" s="44"/>
      <c r="K331" s="44"/>
      <c r="L331" s="31"/>
    </row>
  </sheetData>
  <autoFilter ref="C132:K330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322"/>
  <sheetViews>
    <sheetView windowProtection="1" showGridLines="0" topLeftCell="A114" zoomScale="80" zoomScaleNormal="80" workbookViewId="0">
      <selection activeCell="F146" sqref="F14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75" width="14.33203125" customWidth="1"/>
    <col min="76" max="76" width="10.83203125" customWidth="1"/>
    <col min="78" max="83" width="14.1640625" customWidth="1"/>
    <col min="84" max="84" width="16.33203125" customWidth="1"/>
    <col min="85" max="85" width="12.33203125" customWidth="1"/>
    <col min="86" max="86" width="16.33203125" customWidth="1"/>
    <col min="87" max="87" width="12.33203125" customWidth="1"/>
    <col min="88" max="88" width="15" customWidth="1"/>
    <col min="89" max="89" width="11" customWidth="1"/>
    <col min="90" max="90" width="15" customWidth="1"/>
    <col min="91" max="91" width="16.33203125" customWidth="1"/>
    <col min="92" max="92" width="11" customWidth="1"/>
    <col min="93" max="93" width="15" customWidth="1"/>
    <col min="94" max="94" width="16.33203125" customWidth="1"/>
    <col min="107" max="128" width="9.33203125" hidden="1"/>
  </cols>
  <sheetData>
    <row r="1" spans="2:109" hidden="1" x14ac:dyDescent="0.2"/>
    <row r="2" spans="2:109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DE2" s="16" t="s">
        <v>221</v>
      </c>
    </row>
    <row r="3" spans="2:109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E3" s="16" t="s">
        <v>83</v>
      </c>
    </row>
    <row r="4" spans="2:109" ht="24.95" hidden="1" customHeight="1" x14ac:dyDescent="0.2">
      <c r="B4" s="19"/>
      <c r="D4" s="20" t="s">
        <v>243</v>
      </c>
      <c r="L4" s="19"/>
      <c r="BX4" s="79" t="s">
        <v>10</v>
      </c>
      <c r="DE4" s="16" t="s">
        <v>3</v>
      </c>
    </row>
    <row r="5" spans="2:109" ht="6.95" hidden="1" customHeight="1" x14ac:dyDescent="0.2">
      <c r="B5" s="19"/>
      <c r="L5" s="19"/>
    </row>
    <row r="6" spans="2:109" ht="12" hidden="1" customHeight="1" x14ac:dyDescent="0.2">
      <c r="B6" s="19"/>
      <c r="D6" s="26" t="s">
        <v>16</v>
      </c>
      <c r="L6" s="19"/>
    </row>
    <row r="7" spans="2:109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09" ht="12.75" hidden="1" x14ac:dyDescent="0.2">
      <c r="B8" s="19"/>
      <c r="D8" s="26" t="s">
        <v>244</v>
      </c>
      <c r="L8" s="19"/>
    </row>
    <row r="9" spans="2:109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109" ht="12" hidden="1" customHeight="1" x14ac:dyDescent="0.2">
      <c r="B10" s="19"/>
      <c r="D10" s="26" t="s">
        <v>246</v>
      </c>
      <c r="L10" s="19"/>
    </row>
    <row r="11" spans="2:109" s="1" customFormat="1" ht="16.5" hidden="1" customHeight="1" x14ac:dyDescent="0.2">
      <c r="B11" s="31"/>
      <c r="E11" s="401" t="s">
        <v>3079</v>
      </c>
      <c r="F11" s="433"/>
      <c r="G11" s="433"/>
      <c r="H11" s="433"/>
      <c r="L11" s="31"/>
    </row>
    <row r="12" spans="2:109" s="1" customFormat="1" ht="12" hidden="1" customHeight="1" x14ac:dyDescent="0.2">
      <c r="B12" s="31"/>
      <c r="D12" s="26" t="s">
        <v>1790</v>
      </c>
      <c r="L12" s="31"/>
    </row>
    <row r="13" spans="2:109" s="1" customFormat="1" ht="16.5" hidden="1" customHeight="1" x14ac:dyDescent="0.2">
      <c r="B13" s="31"/>
      <c r="E13" s="432" t="s">
        <v>3080</v>
      </c>
      <c r="F13" s="433"/>
      <c r="G13" s="433"/>
      <c r="H13" s="433"/>
      <c r="L13" s="31"/>
    </row>
    <row r="14" spans="2:109" s="1" customFormat="1" hidden="1" x14ac:dyDescent="0.2">
      <c r="B14" s="31"/>
      <c r="L14" s="31"/>
    </row>
    <row r="15" spans="2:109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109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hidden="1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hidden="1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ROUND(J123, 2)</f>
        <v>432927.15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ROUND((SUM(DP123:DP321)),  2)</f>
        <v>432927.15</v>
      </c>
      <c r="I37" s="84">
        <v>0.21</v>
      </c>
      <c r="J37" s="71">
        <f>ROUND(((SUM(DP123:DP321))*I37),  2)</f>
        <v>90914.7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ROUND((SUM(DQ123:DQ321)),  2)</f>
        <v>0</v>
      </c>
      <c r="I38" s="84">
        <v>0.15</v>
      </c>
      <c r="J38" s="71">
        <f>ROUND(((SUM(DQ123:DQ321))*I38),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ROUND((SUM(DR123:DR321)),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ROUND((SUM(DS123:DS321)),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ROUND((SUM(DT123:DT321)),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523841.85000000003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3079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PS 04.1 ČS5 - elektro, SŘTP, MaR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110" s="1" customFormat="1" ht="10.35" hidden="1" customHeight="1" x14ac:dyDescent="0.2">
      <c r="B97" s="31"/>
      <c r="L97" s="31"/>
    </row>
    <row r="98" spans="2:110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110" s="1" customFormat="1" ht="10.35" hidden="1" customHeight="1" x14ac:dyDescent="0.2">
      <c r="B99" s="31"/>
      <c r="L99" s="31"/>
    </row>
    <row r="100" spans="2:110" s="1" customFormat="1" ht="22.9" hidden="1" customHeight="1" x14ac:dyDescent="0.2">
      <c r="B100" s="31"/>
      <c r="C100" s="95" t="s">
        <v>256</v>
      </c>
      <c r="J100" s="58">
        <f>J123</f>
        <v>432927.15000000008</v>
      </c>
      <c r="L100" s="31"/>
      <c r="DF100" s="16" t="s">
        <v>257</v>
      </c>
    </row>
    <row r="101" spans="2:110" s="7" customFormat="1" ht="24.95" hidden="1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J124</f>
        <v>432927.15000000008</v>
      </c>
      <c r="L101" s="96"/>
    </row>
    <row r="102" spans="2:110" s="8" customFormat="1" ht="19.899999999999999" hidden="1" customHeight="1" x14ac:dyDescent="0.2">
      <c r="B102" s="100"/>
      <c r="D102" s="101" t="s">
        <v>2854</v>
      </c>
      <c r="E102" s="102"/>
      <c r="F102" s="102"/>
      <c r="G102" s="102"/>
      <c r="H102" s="102"/>
      <c r="I102" s="102"/>
      <c r="J102" s="103">
        <f>J126</f>
        <v>161206.98000000001</v>
      </c>
      <c r="L102" s="100"/>
    </row>
    <row r="103" spans="2:110" s="8" customFormat="1" ht="19.899999999999999" hidden="1" customHeight="1" x14ac:dyDescent="0.2">
      <c r="B103" s="100"/>
      <c r="D103" s="101" t="s">
        <v>2855</v>
      </c>
      <c r="E103" s="102"/>
      <c r="F103" s="102"/>
      <c r="G103" s="102"/>
      <c r="H103" s="102"/>
      <c r="I103" s="102"/>
      <c r="J103" s="103">
        <f>J231</f>
        <v>130840.69</v>
      </c>
      <c r="L103" s="100"/>
    </row>
    <row r="104" spans="2:110" s="8" customFormat="1" ht="14.85" hidden="1" customHeight="1" x14ac:dyDescent="0.2">
      <c r="B104" s="100"/>
      <c r="D104" s="101" t="s">
        <v>2856</v>
      </c>
      <c r="E104" s="102"/>
      <c r="F104" s="102"/>
      <c r="G104" s="102"/>
      <c r="H104" s="102"/>
      <c r="I104" s="102"/>
      <c r="J104" s="103">
        <f>J232</f>
        <v>18063.07</v>
      </c>
      <c r="L104" s="100"/>
    </row>
    <row r="105" spans="2:110" s="8" customFormat="1" ht="14.85" hidden="1" customHeight="1" x14ac:dyDescent="0.2">
      <c r="B105" s="100"/>
      <c r="D105" s="101" t="s">
        <v>2857</v>
      </c>
      <c r="E105" s="102"/>
      <c r="F105" s="102"/>
      <c r="G105" s="102"/>
      <c r="H105" s="102"/>
      <c r="I105" s="102"/>
      <c r="J105" s="103">
        <f>J243</f>
        <v>112777.62</v>
      </c>
      <c r="L105" s="100"/>
    </row>
    <row r="106" spans="2:110" s="8" customFormat="1" ht="19.899999999999999" hidden="1" customHeight="1" x14ac:dyDescent="0.2">
      <c r="B106" s="100"/>
      <c r="D106" s="101" t="s">
        <v>3081</v>
      </c>
      <c r="E106" s="102"/>
      <c r="F106" s="102"/>
      <c r="G106" s="102"/>
      <c r="H106" s="102"/>
      <c r="I106" s="102"/>
      <c r="J106" s="103">
        <f>J274</f>
        <v>16976.859999999997</v>
      </c>
      <c r="L106" s="100"/>
    </row>
    <row r="107" spans="2:110" s="8" customFormat="1" ht="19.899999999999999" hidden="1" customHeight="1" x14ac:dyDescent="0.2">
      <c r="B107" s="100"/>
      <c r="D107" s="101" t="s">
        <v>3082</v>
      </c>
      <c r="E107" s="102"/>
      <c r="F107" s="102"/>
      <c r="G107" s="102"/>
      <c r="H107" s="102"/>
      <c r="I107" s="102"/>
      <c r="J107" s="103">
        <f>J295</f>
        <v>4761.82</v>
      </c>
      <c r="L107" s="100"/>
    </row>
    <row r="108" spans="2:110" s="8" customFormat="1" ht="19.899999999999999" hidden="1" customHeight="1" x14ac:dyDescent="0.2">
      <c r="B108" s="100"/>
      <c r="D108" s="101" t="s">
        <v>3083</v>
      </c>
      <c r="E108" s="102"/>
      <c r="F108" s="102"/>
      <c r="G108" s="102"/>
      <c r="H108" s="102"/>
      <c r="I108" s="102"/>
      <c r="J108" s="103">
        <f>J304</f>
        <v>105131.48000000001</v>
      </c>
      <c r="L108" s="100"/>
    </row>
    <row r="109" spans="2:110" s="8" customFormat="1" ht="19.899999999999999" hidden="1" customHeight="1" x14ac:dyDescent="0.2">
      <c r="B109" s="100"/>
      <c r="D109" s="101" t="s">
        <v>2861</v>
      </c>
      <c r="E109" s="102"/>
      <c r="F109" s="102"/>
      <c r="G109" s="102"/>
      <c r="H109" s="102"/>
      <c r="I109" s="102"/>
      <c r="J109" s="103">
        <f>J315</f>
        <v>14009.32</v>
      </c>
      <c r="L109" s="100"/>
    </row>
    <row r="110" spans="2:110" s="1" customFormat="1" ht="21.75" hidden="1" customHeight="1" x14ac:dyDescent="0.2">
      <c r="B110" s="31"/>
      <c r="L110" s="31"/>
    </row>
    <row r="111" spans="2:110" s="1" customFormat="1" ht="6.95" hidden="1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2" spans="2:110" hidden="1" x14ac:dyDescent="0.2"/>
    <row r="113" spans="2:128" hidden="1" x14ac:dyDescent="0.2"/>
    <row r="115" spans="2:128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128" s="1" customFormat="1" ht="24.95" customHeight="1" x14ac:dyDescent="0.2">
      <c r="B116" s="31"/>
      <c r="C116" s="20" t="s">
        <v>267</v>
      </c>
      <c r="L116" s="31"/>
    </row>
    <row r="117" spans="2:128" s="1" customFormat="1" ht="6.95" customHeight="1" x14ac:dyDescent="0.2">
      <c r="B117" s="31"/>
      <c r="L117" s="31"/>
    </row>
    <row r="118" spans="2:128" s="1" customFormat="1" ht="16.5" customHeight="1" x14ac:dyDescent="0.2">
      <c r="B118" s="31"/>
      <c r="E118" s="432" t="str">
        <f>E13</f>
        <v>0001 - PS 04.1 ČS5 - elektro, SŘTP, MaR</v>
      </c>
      <c r="F118" s="433"/>
      <c r="G118" s="433"/>
      <c r="H118" s="433"/>
      <c r="L118" s="31"/>
    </row>
    <row r="119" spans="2:128" s="1" customFormat="1" ht="6.95" customHeight="1" x14ac:dyDescent="0.2">
      <c r="B119" s="31"/>
      <c r="L119" s="31"/>
    </row>
    <row r="120" spans="2:128" s="1" customFormat="1" ht="15.2" customHeight="1" x14ac:dyDescent="0.2">
      <c r="B120" s="31"/>
      <c r="C120" s="26"/>
      <c r="F120" s="24"/>
      <c r="I120" s="26"/>
      <c r="J120" s="29"/>
      <c r="L120" s="31"/>
    </row>
    <row r="121" spans="2:128" s="1" customFormat="1" ht="30" customHeight="1" x14ac:dyDescent="0.2">
      <c r="B121" s="31"/>
      <c r="G121" s="446" t="s">
        <v>3305</v>
      </c>
      <c r="H121" s="446"/>
      <c r="I121" s="446"/>
      <c r="J121" s="446"/>
      <c r="K121" s="447"/>
      <c r="L121" s="31"/>
    </row>
    <row r="122" spans="2:128" s="9" customFormat="1" ht="29.25" customHeight="1" thickBot="1" x14ac:dyDescent="0.25">
      <c r="B122" s="104"/>
      <c r="C122" s="105" t="s">
        <v>268</v>
      </c>
      <c r="D122" s="106" t="s">
        <v>59</v>
      </c>
      <c r="E122" s="106" t="s">
        <v>55</v>
      </c>
      <c r="F122" s="106" t="s">
        <v>56</v>
      </c>
      <c r="G122" s="106" t="s">
        <v>269</v>
      </c>
      <c r="H122" s="106" t="s">
        <v>270</v>
      </c>
      <c r="I122" s="106" t="s">
        <v>271</v>
      </c>
      <c r="J122" s="106" t="s">
        <v>255</v>
      </c>
      <c r="K122" s="107" t="s">
        <v>272</v>
      </c>
      <c r="L122" s="437" t="s">
        <v>3307</v>
      </c>
      <c r="M122" s="438"/>
      <c r="N122" s="438"/>
      <c r="O122" s="438"/>
      <c r="P122" s="438"/>
      <c r="Q122" s="439"/>
      <c r="BX122" s="52" t="s">
        <v>1</v>
      </c>
      <c r="BY122" s="53" t="s">
        <v>39</v>
      </c>
      <c r="BZ122" s="53" t="s">
        <v>273</v>
      </c>
      <c r="CA122" s="53" t="s">
        <v>274</v>
      </c>
      <c r="CB122" s="53" t="s">
        <v>275</v>
      </c>
      <c r="CC122" s="53" t="s">
        <v>276</v>
      </c>
      <c r="CD122" s="53" t="s">
        <v>277</v>
      </c>
      <c r="CE122" s="54" t="s">
        <v>278</v>
      </c>
    </row>
    <row r="123" spans="2:128" s="1" customFormat="1" ht="22.9" customHeight="1" x14ac:dyDescent="0.25">
      <c r="B123" s="31"/>
      <c r="C123" s="57" t="s">
        <v>279</v>
      </c>
      <c r="G123" s="1" t="s">
        <v>3306</v>
      </c>
      <c r="J123" s="108">
        <f>DV123</f>
        <v>432927.15000000008</v>
      </c>
      <c r="L123" s="440" t="s">
        <v>3308</v>
      </c>
      <c r="M123" s="441"/>
      <c r="N123" s="440" t="s">
        <v>3348</v>
      </c>
      <c r="O123" s="441"/>
      <c r="P123" s="440" t="s">
        <v>3309</v>
      </c>
      <c r="Q123" s="441"/>
      <c r="S123" s="442" t="s">
        <v>3312</v>
      </c>
      <c r="T123" s="443"/>
      <c r="U123" s="443" t="s">
        <v>3313</v>
      </c>
      <c r="V123" s="443"/>
      <c r="W123" s="444" t="s">
        <v>3324</v>
      </c>
      <c r="X123" s="444"/>
      <c r="Y123" s="444" t="s">
        <v>3325</v>
      </c>
      <c r="Z123" s="444"/>
      <c r="AA123" s="444" t="s">
        <v>3326</v>
      </c>
      <c r="AB123" s="444"/>
      <c r="AC123" s="444" t="s">
        <v>3327</v>
      </c>
      <c r="AD123" s="445"/>
      <c r="BX123" s="55"/>
      <c r="BY123" s="49"/>
      <c r="BZ123" s="49"/>
      <c r="CA123" s="109">
        <f>CA124</f>
        <v>0</v>
      </c>
      <c r="CB123" s="49"/>
      <c r="CC123" s="109">
        <f>CC124</f>
        <v>0</v>
      </c>
      <c r="CD123" s="49"/>
      <c r="CE123" s="110">
        <f>CE124</f>
        <v>0</v>
      </c>
      <c r="DE123" s="16" t="s">
        <v>73</v>
      </c>
      <c r="DF123" s="16" t="s">
        <v>257</v>
      </c>
      <c r="DV123" s="111">
        <f>DV124</f>
        <v>432927.15000000008</v>
      </c>
    </row>
    <row r="124" spans="2:128" s="10" customFormat="1" ht="25.9" customHeight="1" thickBot="1" x14ac:dyDescent="0.25">
      <c r="B124" s="112"/>
      <c r="D124" s="113" t="s">
        <v>73</v>
      </c>
      <c r="E124" s="114" t="s">
        <v>439</v>
      </c>
      <c r="F124" s="114" t="s">
        <v>1979</v>
      </c>
      <c r="G124" s="10" t="s">
        <v>3306</v>
      </c>
      <c r="I124" s="115"/>
      <c r="J124" s="116">
        <f>DV124</f>
        <v>432927.15000000008</v>
      </c>
      <c r="L124" s="190" t="s">
        <v>270</v>
      </c>
      <c r="M124" s="190" t="s">
        <v>3310</v>
      </c>
      <c r="N124" s="190" t="s">
        <v>270</v>
      </c>
      <c r="O124" s="190" t="s">
        <v>3310</v>
      </c>
      <c r="P124" s="190" t="s">
        <v>3311</v>
      </c>
      <c r="Q124" s="190" t="s">
        <v>3310</v>
      </c>
      <c r="S124" s="193" t="s">
        <v>270</v>
      </c>
      <c r="T124" s="194" t="s">
        <v>3310</v>
      </c>
      <c r="U124" s="194" t="s">
        <v>270</v>
      </c>
      <c r="V124" s="194" t="s">
        <v>3310</v>
      </c>
      <c r="W124" s="194" t="s">
        <v>270</v>
      </c>
      <c r="X124" s="194" t="s">
        <v>3328</v>
      </c>
      <c r="Y124" s="194" t="s">
        <v>270</v>
      </c>
      <c r="Z124" s="194" t="s">
        <v>3328</v>
      </c>
      <c r="AA124" s="194" t="s">
        <v>270</v>
      </c>
      <c r="AB124" s="194" t="s">
        <v>3328</v>
      </c>
      <c r="AC124" s="194" t="s">
        <v>270</v>
      </c>
      <c r="AD124" s="195" t="s">
        <v>3328</v>
      </c>
      <c r="BX124" s="117"/>
      <c r="CA124" s="118">
        <f>CA126+CA231+CA274+CA295+CA304+CA315</f>
        <v>0</v>
      </c>
      <c r="CC124" s="118">
        <f>CC126+CC231+CC274+CC295+CC304+CC315</f>
        <v>0</v>
      </c>
      <c r="CE124" s="119">
        <f>CE126+CE231+CE274+CE295+CE304+CE315</f>
        <v>0</v>
      </c>
      <c r="DC124" s="113" t="s">
        <v>90</v>
      </c>
      <c r="DE124" s="120" t="s">
        <v>73</v>
      </c>
      <c r="DF124" s="120" t="s">
        <v>74</v>
      </c>
      <c r="DJ124" s="113" t="s">
        <v>282</v>
      </c>
      <c r="DV124" s="121">
        <f>DV126+DV231+DV274+DV295+DV304+DV315</f>
        <v>432927.15000000008</v>
      </c>
    </row>
    <row r="125" spans="2:128" s="10" customFormat="1" ht="25.9" customHeight="1" thickBot="1" x14ac:dyDescent="0.25">
      <c r="B125" s="112"/>
      <c r="D125" s="113"/>
      <c r="E125" s="114"/>
      <c r="F125" s="114"/>
      <c r="G125" s="10" t="s">
        <v>3306</v>
      </c>
      <c r="I125" s="115"/>
      <c r="J125" s="116" t="s">
        <v>3306</v>
      </c>
      <c r="L125" s="191"/>
      <c r="M125" s="192">
        <f>M126+M232+M243+M274+M295+M304+M315</f>
        <v>0</v>
      </c>
      <c r="N125" s="208"/>
      <c r="O125" s="208">
        <f t="shared" ref="O125:Q125" si="0">O126+O232+O243+O274+O295+O304+O315</f>
        <v>0</v>
      </c>
      <c r="P125" s="192"/>
      <c r="Q125" s="192">
        <f t="shared" si="0"/>
        <v>432927.15000000008</v>
      </c>
      <c r="S125" s="196"/>
      <c r="T125" s="197">
        <f>T126+T232+T243+T274+T295+T304+T315</f>
        <v>0</v>
      </c>
      <c r="U125" s="197"/>
      <c r="V125" s="197">
        <f t="shared" ref="V125:AD125" si="1">V126+V232+V243+V274+V295+V304+V315</f>
        <v>432927.15000000008</v>
      </c>
      <c r="W125" s="197"/>
      <c r="X125" s="197">
        <f t="shared" si="1"/>
        <v>0</v>
      </c>
      <c r="Y125" s="197"/>
      <c r="Z125" s="197">
        <f t="shared" si="1"/>
        <v>0</v>
      </c>
      <c r="AA125" s="197"/>
      <c r="AB125" s="197">
        <f t="shared" si="1"/>
        <v>0</v>
      </c>
      <c r="AC125" s="197"/>
      <c r="AD125" s="197">
        <f t="shared" si="1"/>
        <v>0</v>
      </c>
      <c r="BX125" s="117"/>
      <c r="CA125" s="118"/>
      <c r="CC125" s="118"/>
      <c r="CE125" s="119"/>
      <c r="DC125" s="113"/>
      <c r="DE125" s="120"/>
      <c r="DF125" s="120"/>
      <c r="DJ125" s="113"/>
      <c r="DV125" s="121"/>
    </row>
    <row r="126" spans="2:128" s="10" customFormat="1" ht="22.9" customHeight="1" x14ac:dyDescent="0.2">
      <c r="B126" s="112"/>
      <c r="D126" s="113" t="s">
        <v>73</v>
      </c>
      <c r="E126" s="122" t="s">
        <v>1980</v>
      </c>
      <c r="F126" s="122" t="s">
        <v>2862</v>
      </c>
      <c r="G126" s="10" t="s">
        <v>3306</v>
      </c>
      <c r="I126" s="115"/>
      <c r="J126" s="123">
        <f>DV126</f>
        <v>161206.98000000001</v>
      </c>
      <c r="L126" s="112"/>
      <c r="M126" s="270">
        <f>SUM(M127:M229)</f>
        <v>0</v>
      </c>
      <c r="N126" s="299"/>
      <c r="O126" s="300">
        <f t="shared" ref="O126:V126" si="2">SUM(O127:O229)</f>
        <v>0</v>
      </c>
      <c r="P126" s="270"/>
      <c r="Q126" s="286">
        <f t="shared" si="2"/>
        <v>161206.98000000001</v>
      </c>
      <c r="R126" s="270"/>
      <c r="S126" s="270"/>
      <c r="T126" s="270">
        <f t="shared" si="2"/>
        <v>0</v>
      </c>
      <c r="U126" s="270"/>
      <c r="V126" s="270">
        <f t="shared" si="2"/>
        <v>161206.98000000001</v>
      </c>
      <c r="BX126" s="117"/>
      <c r="CA126" s="118">
        <f>SUM(CA127:CA230)</f>
        <v>0</v>
      </c>
      <c r="CC126" s="118">
        <f>SUM(CC127:CC230)</f>
        <v>0</v>
      </c>
      <c r="CE126" s="119">
        <f>SUM(CE127:CE230)</f>
        <v>0</v>
      </c>
      <c r="DC126" s="113" t="s">
        <v>81</v>
      </c>
      <c r="DE126" s="120" t="s">
        <v>73</v>
      </c>
      <c r="DF126" s="120" t="s">
        <v>81</v>
      </c>
      <c r="DJ126" s="113" t="s">
        <v>282</v>
      </c>
      <c r="DV126" s="121">
        <f>SUM(DV127:DV230)</f>
        <v>161206.98000000001</v>
      </c>
    </row>
    <row r="127" spans="2:128" s="1" customFormat="1" ht="24.2" customHeight="1" x14ac:dyDescent="0.2">
      <c r="B127" s="124"/>
      <c r="C127" s="125" t="s">
        <v>81</v>
      </c>
      <c r="D127" s="125" t="s">
        <v>284</v>
      </c>
      <c r="E127" s="126" t="s">
        <v>2863</v>
      </c>
      <c r="F127" s="127" t="s">
        <v>2864</v>
      </c>
      <c r="G127" s="128" t="s">
        <v>315</v>
      </c>
      <c r="H127" s="129">
        <v>1</v>
      </c>
      <c r="I127" s="130">
        <v>59317.204616389994</v>
      </c>
      <c r="J127" s="131">
        <f>ROUND(I127*H127,2)</f>
        <v>59317.2</v>
      </c>
      <c r="K127" s="127" t="s">
        <v>1</v>
      </c>
      <c r="L127" s="268">
        <f>S127</f>
        <v>0</v>
      </c>
      <c r="M127" s="272">
        <f>ROUND(I127*L127,2)</f>
        <v>0</v>
      </c>
      <c r="N127" s="243"/>
      <c r="O127" s="294">
        <f>ROUND(N127*I127,2)</f>
        <v>0</v>
      </c>
      <c r="P127" s="273">
        <f>H127-L127-N127</f>
        <v>1</v>
      </c>
      <c r="Q127" s="287">
        <f>ROUND(P127*I127,2)</f>
        <v>59317.2</v>
      </c>
      <c r="R127" s="137"/>
      <c r="S127" s="269">
        <f>W127+Y127+AA127+AC127</f>
        <v>0</v>
      </c>
      <c r="T127" s="269">
        <f>ROUND(S127*I127,2)</f>
        <v>0</v>
      </c>
      <c r="U127" s="269">
        <f>H127-S127</f>
        <v>1</v>
      </c>
      <c r="V127" s="269">
        <f>ROUND(U127*I127,2)</f>
        <v>59317.2</v>
      </c>
      <c r="W127" s="269"/>
      <c r="X127" s="269"/>
      <c r="Y127" s="269"/>
      <c r="Z127" s="269"/>
      <c r="AA127" s="269"/>
      <c r="AB127" s="269"/>
      <c r="AC127" s="269"/>
      <c r="AD127" s="269"/>
      <c r="BX127" s="132" t="s">
        <v>1</v>
      </c>
      <c r="BY127" s="133" t="s">
        <v>40</v>
      </c>
      <c r="CA127" s="134">
        <f>BZ127*H127</f>
        <v>0</v>
      </c>
      <c r="CB127" s="134">
        <v>0</v>
      </c>
      <c r="CC127" s="134">
        <f>CB127*H127</f>
        <v>0</v>
      </c>
      <c r="CD127" s="134">
        <v>0</v>
      </c>
      <c r="CE127" s="135">
        <f>CD127*H127</f>
        <v>0</v>
      </c>
      <c r="DC127" s="136" t="s">
        <v>95</v>
      </c>
      <c r="DE127" s="136" t="s">
        <v>284</v>
      </c>
      <c r="DF127" s="136" t="s">
        <v>83</v>
      </c>
      <c r="DJ127" s="16" t="s">
        <v>282</v>
      </c>
      <c r="DP127" s="137">
        <f>IF(BY127="základní",J127,0)</f>
        <v>59317.2</v>
      </c>
      <c r="DQ127" s="137">
        <f>IF(BY127="snížená",J127,0)</f>
        <v>0</v>
      </c>
      <c r="DR127" s="137">
        <f>IF(BY127="zákl. přenesená",J127,0)</f>
        <v>0</v>
      </c>
      <c r="DS127" s="137">
        <f>IF(BY127="sníž. přenesená",J127,0)</f>
        <v>0</v>
      </c>
      <c r="DT127" s="137">
        <f>IF(BY127="nulová",J127,0)</f>
        <v>0</v>
      </c>
      <c r="DU127" s="16" t="s">
        <v>81</v>
      </c>
      <c r="DV127" s="137">
        <f>ROUND(I127*H127,2)</f>
        <v>59317.2</v>
      </c>
      <c r="DW127" s="16" t="s">
        <v>95</v>
      </c>
      <c r="DX127" s="136" t="s">
        <v>83</v>
      </c>
    </row>
    <row r="128" spans="2:128" s="1" customFormat="1" ht="19.5" x14ac:dyDescent="0.2">
      <c r="B128" s="31"/>
      <c r="D128" s="138" t="s">
        <v>289</v>
      </c>
      <c r="F128" s="139" t="s">
        <v>2864</v>
      </c>
      <c r="I128" s="140"/>
      <c r="L128" s="31"/>
      <c r="N128" s="213"/>
      <c r="O128" s="214"/>
      <c r="Q128" s="229"/>
      <c r="BX128" s="141"/>
      <c r="CE128" s="50"/>
      <c r="DE128" s="16" t="s">
        <v>289</v>
      </c>
      <c r="DF128" s="16" t="s">
        <v>83</v>
      </c>
    </row>
    <row r="129" spans="2:128" s="1" customFormat="1" ht="24.2" customHeight="1" x14ac:dyDescent="0.2">
      <c r="B129" s="124"/>
      <c r="C129" s="125" t="s">
        <v>83</v>
      </c>
      <c r="D129" s="125" t="s">
        <v>284</v>
      </c>
      <c r="E129" s="126" t="s">
        <v>2865</v>
      </c>
      <c r="F129" s="127" t="s">
        <v>2866</v>
      </c>
      <c r="G129" s="128" t="s">
        <v>315</v>
      </c>
      <c r="H129" s="129">
        <v>1</v>
      </c>
      <c r="I129" s="130">
        <v>2315.3740570800001</v>
      </c>
      <c r="J129" s="131">
        <f>ROUND(I129*H129,2)</f>
        <v>2315.37</v>
      </c>
      <c r="K129" s="127" t="s">
        <v>1</v>
      </c>
      <c r="L129" s="268">
        <f>S129</f>
        <v>0</v>
      </c>
      <c r="M129" s="272">
        <f>ROUND(I129*L129,2)</f>
        <v>0</v>
      </c>
      <c r="N129" s="243"/>
      <c r="O129" s="294">
        <f>ROUND(N129*I129,2)</f>
        <v>0</v>
      </c>
      <c r="P129" s="273">
        <f>H129-L129-N129</f>
        <v>1</v>
      </c>
      <c r="Q129" s="287">
        <f>ROUND(P129*I129,2)</f>
        <v>2315.37</v>
      </c>
      <c r="R129" s="137"/>
      <c r="S129" s="269">
        <f>W129+Y129+AA129+AC129</f>
        <v>0</v>
      </c>
      <c r="T129" s="269">
        <f>ROUND(S129*I129,2)</f>
        <v>0</v>
      </c>
      <c r="U129" s="269">
        <f>H129-S129</f>
        <v>1</v>
      </c>
      <c r="V129" s="269">
        <f>ROUND(U129*I129,2)</f>
        <v>2315.37</v>
      </c>
      <c r="W129" s="269"/>
      <c r="X129" s="269"/>
      <c r="Y129" s="269"/>
      <c r="Z129" s="269"/>
      <c r="AA129" s="269"/>
      <c r="AB129" s="269"/>
      <c r="AC129" s="269"/>
      <c r="AD129" s="269"/>
      <c r="BX129" s="132" t="s">
        <v>1</v>
      </c>
      <c r="BY129" s="133" t="s">
        <v>40</v>
      </c>
      <c r="CA129" s="134">
        <f>BZ129*H129</f>
        <v>0</v>
      </c>
      <c r="CB129" s="134">
        <v>0</v>
      </c>
      <c r="CC129" s="134">
        <f>CB129*H129</f>
        <v>0</v>
      </c>
      <c r="CD129" s="134">
        <v>0</v>
      </c>
      <c r="CE129" s="135">
        <f>CD129*H129</f>
        <v>0</v>
      </c>
      <c r="DC129" s="136" t="s">
        <v>95</v>
      </c>
      <c r="DE129" s="136" t="s">
        <v>284</v>
      </c>
      <c r="DF129" s="136" t="s">
        <v>83</v>
      </c>
      <c r="DJ129" s="16" t="s">
        <v>282</v>
      </c>
      <c r="DP129" s="137">
        <f>IF(BY129="základní",J129,0)</f>
        <v>2315.37</v>
      </c>
      <c r="DQ129" s="137">
        <f>IF(BY129="snížená",J129,0)</f>
        <v>0</v>
      </c>
      <c r="DR129" s="137">
        <f>IF(BY129="zákl. přenesená",J129,0)</f>
        <v>0</v>
      </c>
      <c r="DS129" s="137">
        <f>IF(BY129="sníž. přenesená",J129,0)</f>
        <v>0</v>
      </c>
      <c r="DT129" s="137">
        <f>IF(BY129="nulová",J129,0)</f>
        <v>0</v>
      </c>
      <c r="DU129" s="16" t="s">
        <v>81</v>
      </c>
      <c r="DV129" s="137">
        <f>ROUND(I129*H129,2)</f>
        <v>2315.37</v>
      </c>
      <c r="DW129" s="16" t="s">
        <v>95</v>
      </c>
      <c r="DX129" s="136" t="s">
        <v>95</v>
      </c>
    </row>
    <row r="130" spans="2:128" s="1" customFormat="1" ht="19.5" x14ac:dyDescent="0.2">
      <c r="B130" s="31"/>
      <c r="D130" s="138" t="s">
        <v>289</v>
      </c>
      <c r="F130" s="139" t="s">
        <v>2866</v>
      </c>
      <c r="I130" s="140"/>
      <c r="L130" s="31"/>
      <c r="N130" s="213"/>
      <c r="O130" s="214"/>
      <c r="Q130" s="229"/>
      <c r="BX130" s="141"/>
      <c r="CE130" s="50"/>
      <c r="DE130" s="16" t="s">
        <v>289</v>
      </c>
      <c r="DF130" s="16" t="s">
        <v>83</v>
      </c>
    </row>
    <row r="131" spans="2:128" s="1" customFormat="1" ht="14.45" customHeight="1" x14ac:dyDescent="0.2">
      <c r="B131" s="124"/>
      <c r="C131" s="125" t="s">
        <v>90</v>
      </c>
      <c r="D131" s="125" t="s">
        <v>284</v>
      </c>
      <c r="E131" s="126" t="s">
        <v>2867</v>
      </c>
      <c r="F131" s="127" t="s">
        <v>2868</v>
      </c>
      <c r="G131" s="128" t="s">
        <v>315</v>
      </c>
      <c r="H131" s="129">
        <v>1</v>
      </c>
      <c r="I131" s="130">
        <v>3469.9636902809998</v>
      </c>
      <c r="J131" s="131">
        <f>ROUND(I131*H131,2)</f>
        <v>3469.96</v>
      </c>
      <c r="K131" s="127" t="s">
        <v>1</v>
      </c>
      <c r="L131" s="268">
        <f>S131</f>
        <v>0</v>
      </c>
      <c r="M131" s="272">
        <f>ROUND(I131*L131,2)</f>
        <v>0</v>
      </c>
      <c r="N131" s="243"/>
      <c r="O131" s="294">
        <f>ROUND(N131*I131,2)</f>
        <v>0</v>
      </c>
      <c r="P131" s="273">
        <f>H131-L131-N131</f>
        <v>1</v>
      </c>
      <c r="Q131" s="287">
        <f>ROUND(P131*I131,2)</f>
        <v>3469.96</v>
      </c>
      <c r="R131" s="137"/>
      <c r="S131" s="269">
        <f>W131+Y131+AA131+AC131</f>
        <v>0</v>
      </c>
      <c r="T131" s="269">
        <f>ROUND(S131*I131,2)</f>
        <v>0</v>
      </c>
      <c r="U131" s="269">
        <f>H131-S131</f>
        <v>1</v>
      </c>
      <c r="V131" s="269">
        <f>ROUND(U131*I131,2)</f>
        <v>3469.96</v>
      </c>
      <c r="W131" s="269"/>
      <c r="X131" s="269"/>
      <c r="Y131" s="269"/>
      <c r="Z131" s="269"/>
      <c r="AA131" s="269"/>
      <c r="AB131" s="269"/>
      <c r="AC131" s="269"/>
      <c r="AD131" s="269"/>
      <c r="BX131" s="132" t="s">
        <v>1</v>
      </c>
      <c r="BY131" s="133" t="s">
        <v>40</v>
      </c>
      <c r="CA131" s="134">
        <f>BZ131*H131</f>
        <v>0</v>
      </c>
      <c r="CB131" s="134">
        <v>0</v>
      </c>
      <c r="CC131" s="134">
        <f>CB131*H131</f>
        <v>0</v>
      </c>
      <c r="CD131" s="134">
        <v>0</v>
      </c>
      <c r="CE131" s="135">
        <f>CD131*H131</f>
        <v>0</v>
      </c>
      <c r="DC131" s="136" t="s">
        <v>95</v>
      </c>
      <c r="DE131" s="136" t="s">
        <v>284</v>
      </c>
      <c r="DF131" s="136" t="s">
        <v>83</v>
      </c>
      <c r="DJ131" s="16" t="s">
        <v>282</v>
      </c>
      <c r="DP131" s="137">
        <f>IF(BY131="základní",J131,0)</f>
        <v>3469.96</v>
      </c>
      <c r="DQ131" s="137">
        <f>IF(BY131="snížená",J131,0)</f>
        <v>0</v>
      </c>
      <c r="DR131" s="137">
        <f>IF(BY131="zákl. přenesená",J131,0)</f>
        <v>0</v>
      </c>
      <c r="DS131" s="137">
        <f>IF(BY131="sníž. přenesená",J131,0)</f>
        <v>0</v>
      </c>
      <c r="DT131" s="137">
        <f>IF(BY131="nulová",J131,0)</f>
        <v>0</v>
      </c>
      <c r="DU131" s="16" t="s">
        <v>81</v>
      </c>
      <c r="DV131" s="137">
        <f>ROUND(I131*H131,2)</f>
        <v>3469.96</v>
      </c>
      <c r="DW131" s="16" t="s">
        <v>95</v>
      </c>
      <c r="DX131" s="136" t="s">
        <v>318</v>
      </c>
    </row>
    <row r="132" spans="2:128" s="1" customFormat="1" x14ac:dyDescent="0.2">
      <c r="B132" s="31"/>
      <c r="D132" s="138" t="s">
        <v>289</v>
      </c>
      <c r="F132" s="139" t="s">
        <v>2868</v>
      </c>
      <c r="I132" s="140"/>
      <c r="L132" s="31"/>
      <c r="N132" s="213"/>
      <c r="O132" s="214"/>
      <c r="Q132" s="229"/>
      <c r="BX132" s="141"/>
      <c r="CE132" s="50"/>
      <c r="DE132" s="16" t="s">
        <v>289</v>
      </c>
      <c r="DF132" s="16" t="s">
        <v>83</v>
      </c>
    </row>
    <row r="133" spans="2:128" s="1" customFormat="1" ht="24.2" customHeight="1" x14ac:dyDescent="0.2">
      <c r="B133" s="124"/>
      <c r="C133" s="125" t="s">
        <v>95</v>
      </c>
      <c r="D133" s="125" t="s">
        <v>284</v>
      </c>
      <c r="E133" s="126" t="s">
        <v>2869</v>
      </c>
      <c r="F133" s="127" t="s">
        <v>2870</v>
      </c>
      <c r="G133" s="128" t="s">
        <v>2871</v>
      </c>
      <c r="H133" s="129">
        <v>1</v>
      </c>
      <c r="I133" s="130">
        <v>16625.340523259998</v>
      </c>
      <c r="J133" s="131">
        <f>ROUND(I133*H133,2)</f>
        <v>16625.34</v>
      </c>
      <c r="K133" s="127" t="s">
        <v>1</v>
      </c>
      <c r="L133" s="268">
        <f>S133</f>
        <v>0</v>
      </c>
      <c r="M133" s="272">
        <f>ROUND(I133*L133,2)</f>
        <v>0</v>
      </c>
      <c r="N133" s="243"/>
      <c r="O133" s="294">
        <f>ROUND(N133*I133,2)</f>
        <v>0</v>
      </c>
      <c r="P133" s="273">
        <f>H133-L133-N133</f>
        <v>1</v>
      </c>
      <c r="Q133" s="287">
        <f>ROUND(P133*I133,2)</f>
        <v>16625.34</v>
      </c>
      <c r="R133" s="137"/>
      <c r="S133" s="269">
        <f>W133+Y133+AA133+AC133</f>
        <v>0</v>
      </c>
      <c r="T133" s="269">
        <f>ROUND(S133*I133,2)</f>
        <v>0</v>
      </c>
      <c r="U133" s="269">
        <f>H133-S133</f>
        <v>1</v>
      </c>
      <c r="V133" s="269">
        <f>ROUND(U133*I133,2)</f>
        <v>16625.34</v>
      </c>
      <c r="W133" s="269"/>
      <c r="X133" s="269"/>
      <c r="Y133" s="269"/>
      <c r="Z133" s="269"/>
      <c r="AA133" s="269"/>
      <c r="AB133" s="269"/>
      <c r="AC133" s="269"/>
      <c r="AD133" s="269"/>
      <c r="BX133" s="132" t="s">
        <v>1</v>
      </c>
      <c r="BY133" s="133" t="s">
        <v>40</v>
      </c>
      <c r="CA133" s="134">
        <f>BZ133*H133</f>
        <v>0</v>
      </c>
      <c r="CB133" s="134">
        <v>0</v>
      </c>
      <c r="CC133" s="134">
        <f>CB133*H133</f>
        <v>0</v>
      </c>
      <c r="CD133" s="134">
        <v>0</v>
      </c>
      <c r="CE133" s="135">
        <f>CD133*H133</f>
        <v>0</v>
      </c>
      <c r="DC133" s="136" t="s">
        <v>95</v>
      </c>
      <c r="DE133" s="136" t="s">
        <v>284</v>
      </c>
      <c r="DF133" s="136" t="s">
        <v>83</v>
      </c>
      <c r="DJ133" s="16" t="s">
        <v>282</v>
      </c>
      <c r="DP133" s="137">
        <f>IF(BY133="základní",J133,0)</f>
        <v>16625.34</v>
      </c>
      <c r="DQ133" s="137">
        <f>IF(BY133="snížená",J133,0)</f>
        <v>0</v>
      </c>
      <c r="DR133" s="137">
        <f>IF(BY133="zákl. přenesená",J133,0)</f>
        <v>0</v>
      </c>
      <c r="DS133" s="137">
        <f>IF(BY133="sníž. přenesená",J133,0)</f>
        <v>0</v>
      </c>
      <c r="DT133" s="137">
        <f>IF(BY133="nulová",J133,0)</f>
        <v>0</v>
      </c>
      <c r="DU133" s="16" t="s">
        <v>81</v>
      </c>
      <c r="DV133" s="137">
        <f>ROUND(I133*H133,2)</f>
        <v>16625.34</v>
      </c>
      <c r="DW133" s="16" t="s">
        <v>95</v>
      </c>
      <c r="DX133" s="136" t="s">
        <v>328</v>
      </c>
    </row>
    <row r="134" spans="2:128" s="1" customFormat="1" ht="19.5" x14ac:dyDescent="0.2">
      <c r="B134" s="31"/>
      <c r="D134" s="138" t="s">
        <v>289</v>
      </c>
      <c r="F134" s="139" t="s">
        <v>2870</v>
      </c>
      <c r="I134" s="140"/>
      <c r="L134" s="31"/>
      <c r="N134" s="213"/>
      <c r="O134" s="214"/>
      <c r="Q134" s="229"/>
      <c r="BX134" s="141"/>
      <c r="CE134" s="50"/>
      <c r="DE134" s="16" t="s">
        <v>289</v>
      </c>
      <c r="DF134" s="16" t="s">
        <v>83</v>
      </c>
    </row>
    <row r="135" spans="2:128" s="1" customFormat="1" ht="14.45" customHeight="1" x14ac:dyDescent="0.2">
      <c r="B135" s="124"/>
      <c r="C135" s="125" t="s">
        <v>312</v>
      </c>
      <c r="D135" s="125" t="s">
        <v>284</v>
      </c>
      <c r="E135" s="126" t="s">
        <v>2872</v>
      </c>
      <c r="F135" s="127" t="s">
        <v>2873</v>
      </c>
      <c r="G135" s="128" t="s">
        <v>2874</v>
      </c>
      <c r="H135" s="129">
        <v>6</v>
      </c>
      <c r="I135" s="130">
        <v>338.42122529599999</v>
      </c>
      <c r="J135" s="131">
        <f>ROUND(I135*H135,2)</f>
        <v>2030.53</v>
      </c>
      <c r="K135" s="127" t="s">
        <v>1</v>
      </c>
      <c r="L135" s="268">
        <f>S135</f>
        <v>0</v>
      </c>
      <c r="M135" s="272">
        <f>ROUND(I135*L135,2)</f>
        <v>0</v>
      </c>
      <c r="N135" s="243"/>
      <c r="O135" s="294">
        <f>ROUND(N135*I135,2)</f>
        <v>0</v>
      </c>
      <c r="P135" s="273">
        <f>H135-L135-N135</f>
        <v>6</v>
      </c>
      <c r="Q135" s="287">
        <f>ROUND(P135*I135,2)</f>
        <v>2030.53</v>
      </c>
      <c r="R135" s="137"/>
      <c r="S135" s="269">
        <f>W135+Y135+AA135+AC135</f>
        <v>0</v>
      </c>
      <c r="T135" s="269">
        <f>ROUND(S135*I135,2)</f>
        <v>0</v>
      </c>
      <c r="U135" s="269">
        <f>H135-S135</f>
        <v>6</v>
      </c>
      <c r="V135" s="269">
        <f>ROUND(U135*I135,2)</f>
        <v>2030.53</v>
      </c>
      <c r="W135" s="269"/>
      <c r="X135" s="269"/>
      <c r="Y135" s="269"/>
      <c r="Z135" s="269"/>
      <c r="AA135" s="269"/>
      <c r="AB135" s="269"/>
      <c r="AC135" s="269"/>
      <c r="AD135" s="269"/>
      <c r="BX135" s="132" t="s">
        <v>1</v>
      </c>
      <c r="BY135" s="133" t="s">
        <v>40</v>
      </c>
      <c r="CA135" s="134">
        <f>BZ135*H135</f>
        <v>0</v>
      </c>
      <c r="CB135" s="134">
        <v>0</v>
      </c>
      <c r="CC135" s="134">
        <f>CB135*H135</f>
        <v>0</v>
      </c>
      <c r="CD135" s="134">
        <v>0</v>
      </c>
      <c r="CE135" s="135">
        <f>CD135*H135</f>
        <v>0</v>
      </c>
      <c r="DC135" s="136" t="s">
        <v>95</v>
      </c>
      <c r="DE135" s="136" t="s">
        <v>284</v>
      </c>
      <c r="DF135" s="136" t="s">
        <v>83</v>
      </c>
      <c r="DJ135" s="16" t="s">
        <v>282</v>
      </c>
      <c r="DP135" s="137">
        <f>IF(BY135="základní",J135,0)</f>
        <v>2030.53</v>
      </c>
      <c r="DQ135" s="137">
        <f>IF(BY135="snížená",J135,0)</f>
        <v>0</v>
      </c>
      <c r="DR135" s="137">
        <f>IF(BY135="zákl. přenesená",J135,0)</f>
        <v>0</v>
      </c>
      <c r="DS135" s="137">
        <f>IF(BY135="sníž. přenesená",J135,0)</f>
        <v>0</v>
      </c>
      <c r="DT135" s="137">
        <f>IF(BY135="nulová",J135,0)</f>
        <v>0</v>
      </c>
      <c r="DU135" s="16" t="s">
        <v>81</v>
      </c>
      <c r="DV135" s="137">
        <f>ROUND(I135*H135,2)</f>
        <v>2030.53</v>
      </c>
      <c r="DW135" s="16" t="s">
        <v>95</v>
      </c>
      <c r="DX135" s="136" t="s">
        <v>341</v>
      </c>
    </row>
    <row r="136" spans="2:128" s="1" customFormat="1" x14ac:dyDescent="0.2">
      <c r="B136" s="31"/>
      <c r="D136" s="138" t="s">
        <v>289</v>
      </c>
      <c r="F136" s="139" t="s">
        <v>2873</v>
      </c>
      <c r="I136" s="140"/>
      <c r="L136" s="31"/>
      <c r="N136" s="213"/>
      <c r="O136" s="214"/>
      <c r="Q136" s="229"/>
      <c r="BX136" s="141"/>
      <c r="CE136" s="50"/>
      <c r="DE136" s="16" t="s">
        <v>289</v>
      </c>
      <c r="DF136" s="16" t="s">
        <v>83</v>
      </c>
    </row>
    <row r="137" spans="2:128" s="1" customFormat="1" ht="14.45" customHeight="1" x14ac:dyDescent="0.2">
      <c r="B137" s="124"/>
      <c r="C137" s="125" t="s">
        <v>318</v>
      </c>
      <c r="D137" s="125" t="s">
        <v>284</v>
      </c>
      <c r="E137" s="126" t="s">
        <v>2875</v>
      </c>
      <c r="F137" s="127" t="s">
        <v>2876</v>
      </c>
      <c r="G137" s="128" t="s">
        <v>2874</v>
      </c>
      <c r="H137" s="129">
        <v>2</v>
      </c>
      <c r="I137" s="130">
        <v>303.94257381599999</v>
      </c>
      <c r="J137" s="131">
        <f>ROUND(I137*H137,2)</f>
        <v>607.89</v>
      </c>
      <c r="K137" s="127" t="s">
        <v>1</v>
      </c>
      <c r="L137" s="268">
        <f>S137</f>
        <v>0</v>
      </c>
      <c r="M137" s="272">
        <f>ROUND(I137*L137,2)</f>
        <v>0</v>
      </c>
      <c r="N137" s="243"/>
      <c r="O137" s="294">
        <f>ROUND(N137*I137,2)</f>
        <v>0</v>
      </c>
      <c r="P137" s="273">
        <f>H137-L137-N137</f>
        <v>2</v>
      </c>
      <c r="Q137" s="287">
        <f>ROUND(P137*I137,2)</f>
        <v>607.89</v>
      </c>
      <c r="R137" s="137"/>
      <c r="S137" s="269">
        <f>W137+Y137+AA137+AC137</f>
        <v>0</v>
      </c>
      <c r="T137" s="269">
        <f>ROUND(S137*I137,2)</f>
        <v>0</v>
      </c>
      <c r="U137" s="269">
        <f>H137-S137</f>
        <v>2</v>
      </c>
      <c r="V137" s="269">
        <f>ROUND(U137*I137,2)</f>
        <v>607.89</v>
      </c>
      <c r="W137" s="269"/>
      <c r="X137" s="269"/>
      <c r="Y137" s="269"/>
      <c r="Z137" s="269"/>
      <c r="AA137" s="269"/>
      <c r="AB137" s="269"/>
      <c r="AC137" s="269"/>
      <c r="AD137" s="269"/>
      <c r="BX137" s="132" t="s">
        <v>1</v>
      </c>
      <c r="BY137" s="133" t="s">
        <v>40</v>
      </c>
      <c r="CA137" s="134">
        <f>BZ137*H137</f>
        <v>0</v>
      </c>
      <c r="CB137" s="134">
        <v>0</v>
      </c>
      <c r="CC137" s="134">
        <f>CB137*H137</f>
        <v>0</v>
      </c>
      <c r="CD137" s="134">
        <v>0</v>
      </c>
      <c r="CE137" s="135">
        <f>CD137*H137</f>
        <v>0</v>
      </c>
      <c r="DC137" s="136" t="s">
        <v>95</v>
      </c>
      <c r="DE137" s="136" t="s">
        <v>284</v>
      </c>
      <c r="DF137" s="136" t="s">
        <v>83</v>
      </c>
      <c r="DJ137" s="16" t="s">
        <v>282</v>
      </c>
      <c r="DP137" s="137">
        <f>IF(BY137="základní",J137,0)</f>
        <v>607.89</v>
      </c>
      <c r="DQ137" s="137">
        <f>IF(BY137="snížená",J137,0)</f>
        <v>0</v>
      </c>
      <c r="DR137" s="137">
        <f>IF(BY137="zákl. přenesená",J137,0)</f>
        <v>0</v>
      </c>
      <c r="DS137" s="137">
        <f>IF(BY137="sníž. přenesená",J137,0)</f>
        <v>0</v>
      </c>
      <c r="DT137" s="137">
        <f>IF(BY137="nulová",J137,0)</f>
        <v>0</v>
      </c>
      <c r="DU137" s="16" t="s">
        <v>81</v>
      </c>
      <c r="DV137" s="137">
        <f>ROUND(I137*H137,2)</f>
        <v>607.89</v>
      </c>
      <c r="DW137" s="16" t="s">
        <v>95</v>
      </c>
      <c r="DX137" s="136" t="s">
        <v>327</v>
      </c>
    </row>
    <row r="138" spans="2:128" s="1" customFormat="1" x14ac:dyDescent="0.2">
      <c r="B138" s="31"/>
      <c r="D138" s="138" t="s">
        <v>289</v>
      </c>
      <c r="F138" s="139" t="s">
        <v>2876</v>
      </c>
      <c r="I138" s="140"/>
      <c r="L138" s="31"/>
      <c r="N138" s="213"/>
      <c r="O138" s="214"/>
      <c r="Q138" s="229"/>
      <c r="BX138" s="141"/>
      <c r="CE138" s="50"/>
      <c r="DE138" s="16" t="s">
        <v>289</v>
      </c>
      <c r="DF138" s="16" t="s">
        <v>83</v>
      </c>
    </row>
    <row r="139" spans="2:128" s="1" customFormat="1" ht="14.45" customHeight="1" x14ac:dyDescent="0.2">
      <c r="B139" s="124"/>
      <c r="C139" s="125" t="s">
        <v>323</v>
      </c>
      <c r="D139" s="125" t="s">
        <v>284</v>
      </c>
      <c r="E139" s="126" t="s">
        <v>2877</v>
      </c>
      <c r="F139" s="127" t="s">
        <v>2878</v>
      </c>
      <c r="G139" s="128" t="s">
        <v>2874</v>
      </c>
      <c r="H139" s="129">
        <v>1</v>
      </c>
      <c r="I139" s="130">
        <v>1092.9732519160002</v>
      </c>
      <c r="J139" s="131">
        <f>ROUND(I139*H139,2)</f>
        <v>1092.97</v>
      </c>
      <c r="K139" s="127" t="s">
        <v>1</v>
      </c>
      <c r="L139" s="268">
        <f>S139</f>
        <v>0</v>
      </c>
      <c r="M139" s="272">
        <f>ROUND(I139*L139,2)</f>
        <v>0</v>
      </c>
      <c r="N139" s="243"/>
      <c r="O139" s="294">
        <f>ROUND(N139*I139,2)</f>
        <v>0</v>
      </c>
      <c r="P139" s="273">
        <f>H139-L139-N139</f>
        <v>1</v>
      </c>
      <c r="Q139" s="287">
        <f>ROUND(P139*I139,2)</f>
        <v>1092.97</v>
      </c>
      <c r="R139" s="137"/>
      <c r="S139" s="269">
        <f>W139+Y139+AA139+AC139</f>
        <v>0</v>
      </c>
      <c r="T139" s="269">
        <f>ROUND(S139*I139,2)</f>
        <v>0</v>
      </c>
      <c r="U139" s="269">
        <f>H139-S139</f>
        <v>1</v>
      </c>
      <c r="V139" s="269">
        <f>ROUND(U139*I139,2)</f>
        <v>1092.97</v>
      </c>
      <c r="W139" s="269"/>
      <c r="X139" s="269"/>
      <c r="Y139" s="269"/>
      <c r="Z139" s="269"/>
      <c r="AA139" s="269"/>
      <c r="AB139" s="269"/>
      <c r="AC139" s="269"/>
      <c r="AD139" s="269"/>
      <c r="BX139" s="132" t="s">
        <v>1</v>
      </c>
      <c r="BY139" s="133" t="s">
        <v>40</v>
      </c>
      <c r="CA139" s="134">
        <f>BZ139*H139</f>
        <v>0</v>
      </c>
      <c r="CB139" s="134">
        <v>0</v>
      </c>
      <c r="CC139" s="134">
        <f>CB139*H139</f>
        <v>0</v>
      </c>
      <c r="CD139" s="134">
        <v>0</v>
      </c>
      <c r="CE139" s="135">
        <f>CD139*H139</f>
        <v>0</v>
      </c>
      <c r="DC139" s="136" t="s">
        <v>95</v>
      </c>
      <c r="DE139" s="136" t="s">
        <v>284</v>
      </c>
      <c r="DF139" s="136" t="s">
        <v>83</v>
      </c>
      <c r="DJ139" s="16" t="s">
        <v>282</v>
      </c>
      <c r="DP139" s="137">
        <f>IF(BY139="základní",J139,0)</f>
        <v>1092.97</v>
      </c>
      <c r="DQ139" s="137">
        <f>IF(BY139="snížená",J139,0)</f>
        <v>0</v>
      </c>
      <c r="DR139" s="137">
        <f>IF(BY139="zákl. přenesená",J139,0)</f>
        <v>0</v>
      </c>
      <c r="DS139" s="137">
        <f>IF(BY139="sníž. přenesená",J139,0)</f>
        <v>0</v>
      </c>
      <c r="DT139" s="137">
        <f>IF(BY139="nulová",J139,0)</f>
        <v>0</v>
      </c>
      <c r="DU139" s="16" t="s">
        <v>81</v>
      </c>
      <c r="DV139" s="137">
        <f>ROUND(I139*H139,2)</f>
        <v>1092.97</v>
      </c>
      <c r="DW139" s="16" t="s">
        <v>95</v>
      </c>
      <c r="DX139" s="136" t="s">
        <v>363</v>
      </c>
    </row>
    <row r="140" spans="2:128" s="1" customFormat="1" x14ac:dyDescent="0.2">
      <c r="B140" s="31"/>
      <c r="D140" s="138" t="s">
        <v>289</v>
      </c>
      <c r="F140" s="139" t="s">
        <v>2878</v>
      </c>
      <c r="I140" s="140"/>
      <c r="L140" s="31"/>
      <c r="N140" s="213"/>
      <c r="O140" s="214"/>
      <c r="Q140" s="229"/>
      <c r="BX140" s="141"/>
      <c r="CE140" s="50"/>
      <c r="DE140" s="16" t="s">
        <v>289</v>
      </c>
      <c r="DF140" s="16" t="s">
        <v>83</v>
      </c>
    </row>
    <row r="141" spans="2:128" s="1" customFormat="1" ht="14.45" customHeight="1" x14ac:dyDescent="0.2">
      <c r="B141" s="124"/>
      <c r="C141" s="125" t="s">
        <v>328</v>
      </c>
      <c r="D141" s="125" t="s">
        <v>284</v>
      </c>
      <c r="E141" s="126" t="s">
        <v>2879</v>
      </c>
      <c r="F141" s="127" t="s">
        <v>2880</v>
      </c>
      <c r="G141" s="128" t="s">
        <v>2874</v>
      </c>
      <c r="H141" s="129">
        <v>1</v>
      </c>
      <c r="I141" s="130">
        <v>1199.3929358109999</v>
      </c>
      <c r="J141" s="131">
        <f>ROUND(I141*H141,2)</f>
        <v>1199.3900000000001</v>
      </c>
      <c r="K141" s="127" t="s">
        <v>1</v>
      </c>
      <c r="L141" s="268">
        <f>S141</f>
        <v>0</v>
      </c>
      <c r="M141" s="272">
        <f>ROUND(I141*L141,2)</f>
        <v>0</v>
      </c>
      <c r="N141" s="243"/>
      <c r="O141" s="294">
        <f>ROUND(N141*I141,2)</f>
        <v>0</v>
      </c>
      <c r="P141" s="273">
        <f>H141-L141-N141</f>
        <v>1</v>
      </c>
      <c r="Q141" s="287">
        <f>ROUND(P141*I141,2)</f>
        <v>1199.3900000000001</v>
      </c>
      <c r="R141" s="137"/>
      <c r="S141" s="269">
        <f>W141+Y141+AA141+AC141</f>
        <v>0</v>
      </c>
      <c r="T141" s="269">
        <f>ROUND(S141*I141,2)</f>
        <v>0</v>
      </c>
      <c r="U141" s="269">
        <f>H141-S141</f>
        <v>1</v>
      </c>
      <c r="V141" s="269">
        <f>ROUND(U141*I141,2)</f>
        <v>1199.3900000000001</v>
      </c>
      <c r="W141" s="269"/>
      <c r="X141" s="269"/>
      <c r="Y141" s="269"/>
      <c r="Z141" s="269"/>
      <c r="AA141" s="269"/>
      <c r="AB141" s="269"/>
      <c r="AC141" s="269"/>
      <c r="AD141" s="269"/>
      <c r="BX141" s="132" t="s">
        <v>1</v>
      </c>
      <c r="BY141" s="133" t="s">
        <v>40</v>
      </c>
      <c r="CA141" s="134">
        <f>BZ141*H141</f>
        <v>0</v>
      </c>
      <c r="CB141" s="134">
        <v>0</v>
      </c>
      <c r="CC141" s="134">
        <f>CB141*H141</f>
        <v>0</v>
      </c>
      <c r="CD141" s="134">
        <v>0</v>
      </c>
      <c r="CE141" s="135">
        <f>CD141*H141</f>
        <v>0</v>
      </c>
      <c r="DC141" s="136" t="s">
        <v>95</v>
      </c>
      <c r="DE141" s="136" t="s">
        <v>284</v>
      </c>
      <c r="DF141" s="136" t="s">
        <v>83</v>
      </c>
      <c r="DJ141" s="16" t="s">
        <v>282</v>
      </c>
      <c r="DP141" s="137">
        <f>IF(BY141="základní",J141,0)</f>
        <v>1199.3900000000001</v>
      </c>
      <c r="DQ141" s="137">
        <f>IF(BY141="snížená",J141,0)</f>
        <v>0</v>
      </c>
      <c r="DR141" s="137">
        <f>IF(BY141="zákl. přenesená",J141,0)</f>
        <v>0</v>
      </c>
      <c r="DS141" s="137">
        <f>IF(BY141="sníž. přenesená",J141,0)</f>
        <v>0</v>
      </c>
      <c r="DT141" s="137">
        <f>IF(BY141="nulová",J141,0)</f>
        <v>0</v>
      </c>
      <c r="DU141" s="16" t="s">
        <v>81</v>
      </c>
      <c r="DV141" s="137">
        <f>ROUND(I141*H141,2)</f>
        <v>1199.3900000000001</v>
      </c>
      <c r="DW141" s="16" t="s">
        <v>95</v>
      </c>
      <c r="DX141" s="136" t="s">
        <v>379</v>
      </c>
    </row>
    <row r="142" spans="2:128" s="1" customFormat="1" x14ac:dyDescent="0.2">
      <c r="B142" s="31"/>
      <c r="D142" s="138" t="s">
        <v>289</v>
      </c>
      <c r="F142" s="139" t="s">
        <v>2880</v>
      </c>
      <c r="I142" s="140"/>
      <c r="L142" s="31"/>
      <c r="N142" s="213"/>
      <c r="O142" s="214"/>
      <c r="Q142" s="229"/>
      <c r="BX142" s="141"/>
      <c r="CE142" s="50"/>
      <c r="DE142" s="16" t="s">
        <v>289</v>
      </c>
      <c r="DF142" s="16" t="s">
        <v>83</v>
      </c>
    </row>
    <row r="143" spans="2:128" s="1" customFormat="1" ht="14.45" customHeight="1" x14ac:dyDescent="0.2">
      <c r="B143" s="124"/>
      <c r="C143" s="125" t="s">
        <v>335</v>
      </c>
      <c r="D143" s="125" t="s">
        <v>284</v>
      </c>
      <c r="E143" s="126" t="s">
        <v>2881</v>
      </c>
      <c r="F143" s="127" t="s">
        <v>2882</v>
      </c>
      <c r="G143" s="128" t="s">
        <v>2874</v>
      </c>
      <c r="H143" s="129">
        <v>1</v>
      </c>
      <c r="I143" s="130">
        <v>2164.1984313600001</v>
      </c>
      <c r="J143" s="131">
        <f>ROUND(I143*H143,2)</f>
        <v>2164.1999999999998</v>
      </c>
      <c r="K143" s="127" t="s">
        <v>1</v>
      </c>
      <c r="L143" s="268">
        <f>S143</f>
        <v>0</v>
      </c>
      <c r="M143" s="272">
        <f>ROUND(I143*L143,2)</f>
        <v>0</v>
      </c>
      <c r="N143" s="243"/>
      <c r="O143" s="294">
        <f>ROUND(N143*I143,2)</f>
        <v>0</v>
      </c>
      <c r="P143" s="273">
        <f>H143-L143-N143</f>
        <v>1</v>
      </c>
      <c r="Q143" s="287">
        <f>ROUND(P143*I143,2)</f>
        <v>2164.1999999999998</v>
      </c>
      <c r="R143" s="137"/>
      <c r="S143" s="269">
        <f>W143+Y143+AA143+AC143</f>
        <v>0</v>
      </c>
      <c r="T143" s="269">
        <f>ROUND(S143*I143,2)</f>
        <v>0</v>
      </c>
      <c r="U143" s="269">
        <f>H143-S143</f>
        <v>1</v>
      </c>
      <c r="V143" s="269">
        <f>ROUND(U143*I143,2)</f>
        <v>2164.1999999999998</v>
      </c>
      <c r="W143" s="269"/>
      <c r="X143" s="269"/>
      <c r="Y143" s="269"/>
      <c r="Z143" s="269"/>
      <c r="AA143" s="269"/>
      <c r="AB143" s="269"/>
      <c r="AC143" s="269"/>
      <c r="AD143" s="269"/>
      <c r="BX143" s="132" t="s">
        <v>1</v>
      </c>
      <c r="BY143" s="133" t="s">
        <v>40</v>
      </c>
      <c r="CA143" s="134">
        <f>BZ143*H143</f>
        <v>0</v>
      </c>
      <c r="CB143" s="134">
        <v>0</v>
      </c>
      <c r="CC143" s="134">
        <f>CB143*H143</f>
        <v>0</v>
      </c>
      <c r="CD143" s="134">
        <v>0</v>
      </c>
      <c r="CE143" s="135">
        <f>CD143*H143</f>
        <v>0</v>
      </c>
      <c r="DC143" s="136" t="s">
        <v>95</v>
      </c>
      <c r="DE143" s="136" t="s">
        <v>284</v>
      </c>
      <c r="DF143" s="136" t="s">
        <v>83</v>
      </c>
      <c r="DJ143" s="16" t="s">
        <v>282</v>
      </c>
      <c r="DP143" s="137">
        <f>IF(BY143="základní",J143,0)</f>
        <v>2164.1999999999998</v>
      </c>
      <c r="DQ143" s="137">
        <f>IF(BY143="snížená",J143,0)</f>
        <v>0</v>
      </c>
      <c r="DR143" s="137">
        <f>IF(BY143="zákl. přenesená",J143,0)</f>
        <v>0</v>
      </c>
      <c r="DS143" s="137">
        <f>IF(BY143="sníž. přenesená",J143,0)</f>
        <v>0</v>
      </c>
      <c r="DT143" s="137">
        <f>IF(BY143="nulová",J143,0)</f>
        <v>0</v>
      </c>
      <c r="DU143" s="16" t="s">
        <v>81</v>
      </c>
      <c r="DV143" s="137">
        <f>ROUND(I143*H143,2)</f>
        <v>2164.1999999999998</v>
      </c>
      <c r="DW143" s="16" t="s">
        <v>95</v>
      </c>
      <c r="DX143" s="136" t="s">
        <v>392</v>
      </c>
    </row>
    <row r="144" spans="2:128" s="1" customFormat="1" x14ac:dyDescent="0.2">
      <c r="B144" s="31"/>
      <c r="D144" s="138" t="s">
        <v>289</v>
      </c>
      <c r="F144" s="139" t="s">
        <v>2882</v>
      </c>
      <c r="I144" s="140"/>
      <c r="L144" s="31"/>
      <c r="N144" s="213"/>
      <c r="O144" s="214"/>
      <c r="Q144" s="229"/>
      <c r="BX144" s="141"/>
      <c r="CE144" s="50"/>
      <c r="DE144" s="16" t="s">
        <v>289</v>
      </c>
      <c r="DF144" s="16" t="s">
        <v>83</v>
      </c>
    </row>
    <row r="145" spans="2:128" s="1" customFormat="1" ht="14.45" customHeight="1" x14ac:dyDescent="0.2">
      <c r="B145" s="124"/>
      <c r="C145" s="125" t="s">
        <v>341</v>
      </c>
      <c r="D145" s="125" t="s">
        <v>284</v>
      </c>
      <c r="E145" s="126" t="s">
        <v>2883</v>
      </c>
      <c r="F145" s="127" t="s">
        <v>2884</v>
      </c>
      <c r="G145" s="128" t="s">
        <v>2874</v>
      </c>
      <c r="H145" s="129">
        <v>1</v>
      </c>
      <c r="I145" s="130">
        <v>715.03418761599994</v>
      </c>
      <c r="J145" s="131">
        <f>ROUND(I145*H145,2)</f>
        <v>715.03</v>
      </c>
      <c r="K145" s="127" t="s">
        <v>1</v>
      </c>
      <c r="L145" s="268">
        <f>S145</f>
        <v>0</v>
      </c>
      <c r="M145" s="272">
        <f>ROUND(I145*L145,2)</f>
        <v>0</v>
      </c>
      <c r="N145" s="243"/>
      <c r="O145" s="294">
        <f>ROUND(N145*I145,2)</f>
        <v>0</v>
      </c>
      <c r="P145" s="273">
        <f>H145-L145-N145</f>
        <v>1</v>
      </c>
      <c r="Q145" s="287">
        <f>ROUND(P145*I145,2)</f>
        <v>715.03</v>
      </c>
      <c r="R145" s="137"/>
      <c r="S145" s="269">
        <f>W145+Y145+AA145+AC145</f>
        <v>0</v>
      </c>
      <c r="T145" s="269">
        <f>ROUND(S145*I145,2)</f>
        <v>0</v>
      </c>
      <c r="U145" s="269">
        <f>H145-S145</f>
        <v>1</v>
      </c>
      <c r="V145" s="269">
        <f>ROUND(U145*I145,2)</f>
        <v>715.03</v>
      </c>
      <c r="W145" s="269"/>
      <c r="X145" s="269"/>
      <c r="Y145" s="269"/>
      <c r="Z145" s="269"/>
      <c r="AA145" s="269"/>
      <c r="AB145" s="269"/>
      <c r="AC145" s="269"/>
      <c r="AD145" s="269"/>
      <c r="BX145" s="132" t="s">
        <v>1</v>
      </c>
      <c r="BY145" s="133" t="s">
        <v>40</v>
      </c>
      <c r="CA145" s="134">
        <f>BZ145*H145</f>
        <v>0</v>
      </c>
      <c r="CB145" s="134">
        <v>0</v>
      </c>
      <c r="CC145" s="134">
        <f>CB145*H145</f>
        <v>0</v>
      </c>
      <c r="CD145" s="134">
        <v>0</v>
      </c>
      <c r="CE145" s="135">
        <f>CD145*H145</f>
        <v>0</v>
      </c>
      <c r="DC145" s="136" t="s">
        <v>95</v>
      </c>
      <c r="DE145" s="136" t="s">
        <v>284</v>
      </c>
      <c r="DF145" s="136" t="s">
        <v>83</v>
      </c>
      <c r="DJ145" s="16" t="s">
        <v>282</v>
      </c>
      <c r="DP145" s="137">
        <f>IF(BY145="základní",J145,0)</f>
        <v>715.03</v>
      </c>
      <c r="DQ145" s="137">
        <f>IF(BY145="snížená",J145,0)</f>
        <v>0</v>
      </c>
      <c r="DR145" s="137">
        <f>IF(BY145="zákl. přenesená",J145,0)</f>
        <v>0</v>
      </c>
      <c r="DS145" s="137">
        <f>IF(BY145="sníž. přenesená",J145,0)</f>
        <v>0</v>
      </c>
      <c r="DT145" s="137">
        <f>IF(BY145="nulová",J145,0)</f>
        <v>0</v>
      </c>
      <c r="DU145" s="16" t="s">
        <v>81</v>
      </c>
      <c r="DV145" s="137">
        <f>ROUND(I145*H145,2)</f>
        <v>715.03</v>
      </c>
      <c r="DW145" s="16" t="s">
        <v>95</v>
      </c>
      <c r="DX145" s="136" t="s">
        <v>404</v>
      </c>
    </row>
    <row r="146" spans="2:128" s="1" customFormat="1" x14ac:dyDescent="0.2">
      <c r="B146" s="31"/>
      <c r="D146" s="138" t="s">
        <v>289</v>
      </c>
      <c r="F146" s="139" t="s">
        <v>2884</v>
      </c>
      <c r="I146" s="140"/>
      <c r="L146" s="31"/>
      <c r="N146" s="213"/>
      <c r="O146" s="214"/>
      <c r="Q146" s="229"/>
      <c r="BX146" s="141"/>
      <c r="CE146" s="50"/>
      <c r="DE146" s="16" t="s">
        <v>289</v>
      </c>
      <c r="DF146" s="16" t="s">
        <v>83</v>
      </c>
    </row>
    <row r="147" spans="2:128" s="1" customFormat="1" ht="14.45" customHeight="1" x14ac:dyDescent="0.2">
      <c r="B147" s="124"/>
      <c r="C147" s="125" t="s">
        <v>348</v>
      </c>
      <c r="D147" s="125" t="s">
        <v>284</v>
      </c>
      <c r="E147" s="126" t="s">
        <v>2885</v>
      </c>
      <c r="F147" s="127" t="s">
        <v>2886</v>
      </c>
      <c r="G147" s="128" t="s">
        <v>2874</v>
      </c>
      <c r="H147" s="129">
        <v>1</v>
      </c>
      <c r="I147" s="130">
        <v>1030.7127639550001</v>
      </c>
      <c r="J147" s="131">
        <f>ROUND(I147*H147,2)</f>
        <v>1030.71</v>
      </c>
      <c r="K147" s="127" t="s">
        <v>1</v>
      </c>
      <c r="L147" s="268">
        <f>S147</f>
        <v>0</v>
      </c>
      <c r="M147" s="272">
        <f>ROUND(I147*L147,2)</f>
        <v>0</v>
      </c>
      <c r="N147" s="243"/>
      <c r="O147" s="294">
        <f>ROUND(N147*I147,2)</f>
        <v>0</v>
      </c>
      <c r="P147" s="273">
        <f>H147-L147-N147</f>
        <v>1</v>
      </c>
      <c r="Q147" s="287">
        <f>ROUND(P147*I147,2)</f>
        <v>1030.71</v>
      </c>
      <c r="R147" s="137"/>
      <c r="S147" s="269">
        <f>W147+Y147+AA147+AC147</f>
        <v>0</v>
      </c>
      <c r="T147" s="269">
        <f>ROUND(S147*I147,2)</f>
        <v>0</v>
      </c>
      <c r="U147" s="269">
        <f>H147-S147</f>
        <v>1</v>
      </c>
      <c r="V147" s="269">
        <f>ROUND(U147*I147,2)</f>
        <v>1030.71</v>
      </c>
      <c r="W147" s="269"/>
      <c r="X147" s="269"/>
      <c r="Y147" s="269"/>
      <c r="Z147" s="269"/>
      <c r="AA147" s="269"/>
      <c r="AB147" s="269"/>
      <c r="AC147" s="269"/>
      <c r="AD147" s="269"/>
      <c r="BX147" s="132" t="s">
        <v>1</v>
      </c>
      <c r="BY147" s="133" t="s">
        <v>40</v>
      </c>
      <c r="CA147" s="134">
        <f>BZ147*H147</f>
        <v>0</v>
      </c>
      <c r="CB147" s="134">
        <v>0</v>
      </c>
      <c r="CC147" s="134">
        <f>CB147*H147</f>
        <v>0</v>
      </c>
      <c r="CD147" s="134">
        <v>0</v>
      </c>
      <c r="CE147" s="135">
        <f>CD147*H147</f>
        <v>0</v>
      </c>
      <c r="DC147" s="136" t="s">
        <v>95</v>
      </c>
      <c r="DE147" s="136" t="s">
        <v>284</v>
      </c>
      <c r="DF147" s="136" t="s">
        <v>83</v>
      </c>
      <c r="DJ147" s="16" t="s">
        <v>282</v>
      </c>
      <c r="DP147" s="137">
        <f>IF(BY147="základní",J147,0)</f>
        <v>1030.71</v>
      </c>
      <c r="DQ147" s="137">
        <f>IF(BY147="snížená",J147,0)</f>
        <v>0</v>
      </c>
      <c r="DR147" s="137">
        <f>IF(BY147="zákl. přenesená",J147,0)</f>
        <v>0</v>
      </c>
      <c r="DS147" s="137">
        <f>IF(BY147="sníž. přenesená",J147,0)</f>
        <v>0</v>
      </c>
      <c r="DT147" s="137">
        <f>IF(BY147="nulová",J147,0)</f>
        <v>0</v>
      </c>
      <c r="DU147" s="16" t="s">
        <v>81</v>
      </c>
      <c r="DV147" s="137">
        <f>ROUND(I147*H147,2)</f>
        <v>1030.71</v>
      </c>
      <c r="DW147" s="16" t="s">
        <v>95</v>
      </c>
      <c r="DX147" s="136" t="s">
        <v>415</v>
      </c>
    </row>
    <row r="148" spans="2:128" s="1" customFormat="1" x14ac:dyDescent="0.2">
      <c r="B148" s="31"/>
      <c r="D148" s="138" t="s">
        <v>289</v>
      </c>
      <c r="F148" s="139" t="s">
        <v>2886</v>
      </c>
      <c r="I148" s="140"/>
      <c r="L148" s="31"/>
      <c r="N148" s="213"/>
      <c r="O148" s="214"/>
      <c r="Q148" s="229"/>
      <c r="BX148" s="141"/>
      <c r="CE148" s="50"/>
      <c r="DE148" s="16" t="s">
        <v>289</v>
      </c>
      <c r="DF148" s="16" t="s">
        <v>83</v>
      </c>
    </row>
    <row r="149" spans="2:128" s="1" customFormat="1" ht="14.45" customHeight="1" x14ac:dyDescent="0.2">
      <c r="B149" s="124"/>
      <c r="C149" s="125" t="s">
        <v>327</v>
      </c>
      <c r="D149" s="125" t="s">
        <v>284</v>
      </c>
      <c r="E149" s="126" t="s">
        <v>2887</v>
      </c>
      <c r="F149" s="127" t="s">
        <v>2888</v>
      </c>
      <c r="G149" s="128" t="s">
        <v>2874</v>
      </c>
      <c r="H149" s="129">
        <v>1</v>
      </c>
      <c r="I149" s="130">
        <v>3265.9239563440001</v>
      </c>
      <c r="J149" s="131">
        <f>ROUND(I149*H149,2)</f>
        <v>3265.92</v>
      </c>
      <c r="K149" s="127" t="s">
        <v>1</v>
      </c>
      <c r="L149" s="268">
        <f>S149</f>
        <v>0</v>
      </c>
      <c r="M149" s="272">
        <f>ROUND(I149*L149,2)</f>
        <v>0</v>
      </c>
      <c r="N149" s="243"/>
      <c r="O149" s="294">
        <f>ROUND(N149*I149,2)</f>
        <v>0</v>
      </c>
      <c r="P149" s="273">
        <f>H149-L149-N149</f>
        <v>1</v>
      </c>
      <c r="Q149" s="287">
        <f>ROUND(P149*I149,2)</f>
        <v>3265.92</v>
      </c>
      <c r="R149" s="137"/>
      <c r="S149" s="269">
        <f>W149+Y149+AA149+AC149</f>
        <v>0</v>
      </c>
      <c r="T149" s="269">
        <f>ROUND(S149*I149,2)</f>
        <v>0</v>
      </c>
      <c r="U149" s="269">
        <f>H149-S149</f>
        <v>1</v>
      </c>
      <c r="V149" s="269">
        <f>ROUND(U149*I149,2)</f>
        <v>3265.92</v>
      </c>
      <c r="W149" s="269"/>
      <c r="X149" s="269"/>
      <c r="Y149" s="269"/>
      <c r="Z149" s="269"/>
      <c r="AA149" s="269"/>
      <c r="AB149" s="269"/>
      <c r="AC149" s="269"/>
      <c r="AD149" s="269"/>
      <c r="BX149" s="132" t="s">
        <v>1</v>
      </c>
      <c r="BY149" s="133" t="s">
        <v>40</v>
      </c>
      <c r="CA149" s="134">
        <f>BZ149*H149</f>
        <v>0</v>
      </c>
      <c r="CB149" s="134">
        <v>0</v>
      </c>
      <c r="CC149" s="134">
        <f>CB149*H149</f>
        <v>0</v>
      </c>
      <c r="CD149" s="134">
        <v>0</v>
      </c>
      <c r="CE149" s="135">
        <f>CD149*H149</f>
        <v>0</v>
      </c>
      <c r="DC149" s="136" t="s">
        <v>95</v>
      </c>
      <c r="DE149" s="136" t="s">
        <v>284</v>
      </c>
      <c r="DF149" s="136" t="s">
        <v>83</v>
      </c>
      <c r="DJ149" s="16" t="s">
        <v>282</v>
      </c>
      <c r="DP149" s="137">
        <f>IF(BY149="základní",J149,0)</f>
        <v>3265.92</v>
      </c>
      <c r="DQ149" s="137">
        <f>IF(BY149="snížená",J149,0)</f>
        <v>0</v>
      </c>
      <c r="DR149" s="137">
        <f>IF(BY149="zákl. přenesená",J149,0)</f>
        <v>0</v>
      </c>
      <c r="DS149" s="137">
        <f>IF(BY149="sníž. přenesená",J149,0)</f>
        <v>0</v>
      </c>
      <c r="DT149" s="137">
        <f>IF(BY149="nulová",J149,0)</f>
        <v>0</v>
      </c>
      <c r="DU149" s="16" t="s">
        <v>81</v>
      </c>
      <c r="DV149" s="137">
        <f>ROUND(I149*H149,2)</f>
        <v>3265.92</v>
      </c>
      <c r="DW149" s="16" t="s">
        <v>95</v>
      </c>
      <c r="DX149" s="136" t="s">
        <v>438</v>
      </c>
    </row>
    <row r="150" spans="2:128" s="1" customFormat="1" x14ac:dyDescent="0.2">
      <c r="B150" s="31"/>
      <c r="D150" s="138" t="s">
        <v>289</v>
      </c>
      <c r="F150" s="139" t="s">
        <v>2888</v>
      </c>
      <c r="I150" s="140"/>
      <c r="L150" s="31"/>
      <c r="N150" s="213"/>
      <c r="O150" s="214"/>
      <c r="Q150" s="229"/>
      <c r="BX150" s="141"/>
      <c r="CE150" s="50"/>
      <c r="DE150" s="16" t="s">
        <v>289</v>
      </c>
      <c r="DF150" s="16" t="s">
        <v>83</v>
      </c>
    </row>
    <row r="151" spans="2:128" s="1" customFormat="1" ht="24.2" customHeight="1" x14ac:dyDescent="0.2">
      <c r="B151" s="124"/>
      <c r="C151" s="125" t="s">
        <v>359</v>
      </c>
      <c r="D151" s="125" t="s">
        <v>284</v>
      </c>
      <c r="E151" s="126" t="s">
        <v>2889</v>
      </c>
      <c r="F151" s="127" t="s">
        <v>2890</v>
      </c>
      <c r="G151" s="128" t="s">
        <v>315</v>
      </c>
      <c r="H151" s="129">
        <v>2</v>
      </c>
      <c r="I151" s="130">
        <v>329.22376084899997</v>
      </c>
      <c r="J151" s="131">
        <f>ROUND(I151*H151,2)</f>
        <v>658.45</v>
      </c>
      <c r="K151" s="127" t="s">
        <v>1</v>
      </c>
      <c r="L151" s="268">
        <f>S151</f>
        <v>0</v>
      </c>
      <c r="M151" s="272">
        <f>ROUND(I151*L151,2)</f>
        <v>0</v>
      </c>
      <c r="N151" s="243"/>
      <c r="O151" s="294">
        <f>ROUND(N151*I151,2)</f>
        <v>0</v>
      </c>
      <c r="P151" s="273">
        <f>H151-L151-N151</f>
        <v>2</v>
      </c>
      <c r="Q151" s="287">
        <f>ROUND(P151*I151,2)</f>
        <v>658.45</v>
      </c>
      <c r="R151" s="137"/>
      <c r="S151" s="269">
        <f>W151+Y151+AA151+AC151</f>
        <v>0</v>
      </c>
      <c r="T151" s="269">
        <f>ROUND(S151*I151,2)</f>
        <v>0</v>
      </c>
      <c r="U151" s="269">
        <f>H151-S151</f>
        <v>2</v>
      </c>
      <c r="V151" s="269">
        <f>ROUND(U151*I151,2)</f>
        <v>658.45</v>
      </c>
      <c r="W151" s="269"/>
      <c r="X151" s="269"/>
      <c r="Y151" s="269"/>
      <c r="Z151" s="269"/>
      <c r="AA151" s="269"/>
      <c r="AB151" s="269"/>
      <c r="AC151" s="269"/>
      <c r="AD151" s="269"/>
      <c r="BX151" s="132" t="s">
        <v>1</v>
      </c>
      <c r="BY151" s="133" t="s">
        <v>40</v>
      </c>
      <c r="CA151" s="134">
        <f>BZ151*H151</f>
        <v>0</v>
      </c>
      <c r="CB151" s="134">
        <v>0</v>
      </c>
      <c r="CC151" s="134">
        <f>CB151*H151</f>
        <v>0</v>
      </c>
      <c r="CD151" s="134">
        <v>0</v>
      </c>
      <c r="CE151" s="135">
        <f>CD151*H151</f>
        <v>0</v>
      </c>
      <c r="DC151" s="136" t="s">
        <v>95</v>
      </c>
      <c r="DE151" s="136" t="s">
        <v>284</v>
      </c>
      <c r="DF151" s="136" t="s">
        <v>83</v>
      </c>
      <c r="DJ151" s="16" t="s">
        <v>282</v>
      </c>
      <c r="DP151" s="137">
        <f>IF(BY151="základní",J151,0)</f>
        <v>658.45</v>
      </c>
      <c r="DQ151" s="137">
        <f>IF(BY151="snížená",J151,0)</f>
        <v>0</v>
      </c>
      <c r="DR151" s="137">
        <f>IF(BY151="zákl. přenesená",J151,0)</f>
        <v>0</v>
      </c>
      <c r="DS151" s="137">
        <f>IF(BY151="sníž. přenesená",J151,0)</f>
        <v>0</v>
      </c>
      <c r="DT151" s="137">
        <f>IF(BY151="nulová",J151,0)</f>
        <v>0</v>
      </c>
      <c r="DU151" s="16" t="s">
        <v>81</v>
      </c>
      <c r="DV151" s="137">
        <f>ROUND(I151*H151,2)</f>
        <v>658.45</v>
      </c>
      <c r="DW151" s="16" t="s">
        <v>95</v>
      </c>
      <c r="DX151" s="136" t="s">
        <v>451</v>
      </c>
    </row>
    <row r="152" spans="2:128" s="1" customFormat="1" ht="19.5" x14ac:dyDescent="0.2">
      <c r="B152" s="31"/>
      <c r="D152" s="138" t="s">
        <v>289</v>
      </c>
      <c r="F152" s="139" t="s">
        <v>2890</v>
      </c>
      <c r="I152" s="140"/>
      <c r="L152" s="31"/>
      <c r="N152" s="213"/>
      <c r="O152" s="214"/>
      <c r="Q152" s="229"/>
      <c r="BX152" s="141"/>
      <c r="CE152" s="50"/>
      <c r="DE152" s="16" t="s">
        <v>289</v>
      </c>
      <c r="DF152" s="16" t="s">
        <v>83</v>
      </c>
    </row>
    <row r="153" spans="2:128" s="1" customFormat="1" ht="24.2" customHeight="1" x14ac:dyDescent="0.2">
      <c r="B153" s="124"/>
      <c r="C153" s="125" t="s">
        <v>363</v>
      </c>
      <c r="D153" s="125" t="s">
        <v>284</v>
      </c>
      <c r="E153" s="126" t="s">
        <v>2891</v>
      </c>
      <c r="F153" s="127" t="s">
        <v>2892</v>
      </c>
      <c r="G153" s="128" t="s">
        <v>315</v>
      </c>
      <c r="H153" s="129">
        <v>2</v>
      </c>
      <c r="I153" s="130">
        <v>329.22376084899997</v>
      </c>
      <c r="J153" s="131">
        <f>ROUND(I153*H153,2)</f>
        <v>658.45</v>
      </c>
      <c r="K153" s="127" t="s">
        <v>1</v>
      </c>
      <c r="L153" s="268">
        <f>S153</f>
        <v>0</v>
      </c>
      <c r="M153" s="272">
        <f>ROUND(I153*L153,2)</f>
        <v>0</v>
      </c>
      <c r="N153" s="243"/>
      <c r="O153" s="294">
        <f>ROUND(N153*I153,2)</f>
        <v>0</v>
      </c>
      <c r="P153" s="273">
        <f>H153-L153-N153</f>
        <v>2</v>
      </c>
      <c r="Q153" s="287">
        <f>ROUND(P153*I153,2)</f>
        <v>658.45</v>
      </c>
      <c r="R153" s="137"/>
      <c r="S153" s="269">
        <f>W153+Y153+AA153+AC153</f>
        <v>0</v>
      </c>
      <c r="T153" s="269">
        <f>ROUND(S153*I153,2)</f>
        <v>0</v>
      </c>
      <c r="U153" s="269">
        <f>H153-S153</f>
        <v>2</v>
      </c>
      <c r="V153" s="269">
        <f>ROUND(U153*I153,2)</f>
        <v>658.45</v>
      </c>
      <c r="W153" s="269"/>
      <c r="X153" s="269"/>
      <c r="Y153" s="269"/>
      <c r="Z153" s="269"/>
      <c r="AA153" s="269"/>
      <c r="AB153" s="269"/>
      <c r="AC153" s="269"/>
      <c r="AD153" s="269"/>
      <c r="BX153" s="132" t="s">
        <v>1</v>
      </c>
      <c r="BY153" s="133" t="s">
        <v>40</v>
      </c>
      <c r="CA153" s="134">
        <f>BZ153*H153</f>
        <v>0</v>
      </c>
      <c r="CB153" s="134">
        <v>0</v>
      </c>
      <c r="CC153" s="134">
        <f>CB153*H153</f>
        <v>0</v>
      </c>
      <c r="CD153" s="134">
        <v>0</v>
      </c>
      <c r="CE153" s="135">
        <f>CD153*H153</f>
        <v>0</v>
      </c>
      <c r="DC153" s="136" t="s">
        <v>95</v>
      </c>
      <c r="DE153" s="136" t="s">
        <v>284</v>
      </c>
      <c r="DF153" s="136" t="s">
        <v>83</v>
      </c>
      <c r="DJ153" s="16" t="s">
        <v>282</v>
      </c>
      <c r="DP153" s="137">
        <f>IF(BY153="základní",J153,0)</f>
        <v>658.45</v>
      </c>
      <c r="DQ153" s="137">
        <f>IF(BY153="snížená",J153,0)</f>
        <v>0</v>
      </c>
      <c r="DR153" s="137">
        <f>IF(BY153="zákl. přenesená",J153,0)</f>
        <v>0</v>
      </c>
      <c r="DS153" s="137">
        <f>IF(BY153="sníž. přenesená",J153,0)</f>
        <v>0</v>
      </c>
      <c r="DT153" s="137">
        <f>IF(BY153="nulová",J153,0)</f>
        <v>0</v>
      </c>
      <c r="DU153" s="16" t="s">
        <v>81</v>
      </c>
      <c r="DV153" s="137">
        <f>ROUND(I153*H153,2)</f>
        <v>658.45</v>
      </c>
      <c r="DW153" s="16" t="s">
        <v>95</v>
      </c>
      <c r="DX153" s="136" t="s">
        <v>463</v>
      </c>
    </row>
    <row r="154" spans="2:128" s="1" customFormat="1" ht="19.5" x14ac:dyDescent="0.2">
      <c r="B154" s="31"/>
      <c r="D154" s="138" t="s">
        <v>289</v>
      </c>
      <c r="F154" s="139" t="s">
        <v>2892</v>
      </c>
      <c r="I154" s="140"/>
      <c r="L154" s="31"/>
      <c r="N154" s="213"/>
      <c r="O154" s="214"/>
      <c r="Q154" s="229"/>
      <c r="BX154" s="141"/>
      <c r="CE154" s="50"/>
      <c r="DE154" s="16" t="s">
        <v>289</v>
      </c>
      <c r="DF154" s="16" t="s">
        <v>83</v>
      </c>
    </row>
    <row r="155" spans="2:128" s="1" customFormat="1" ht="24.2" customHeight="1" x14ac:dyDescent="0.2">
      <c r="B155" s="124"/>
      <c r="C155" s="125" t="s">
        <v>8</v>
      </c>
      <c r="D155" s="125" t="s">
        <v>284</v>
      </c>
      <c r="E155" s="126" t="s">
        <v>3084</v>
      </c>
      <c r="F155" s="127" t="s">
        <v>3085</v>
      </c>
      <c r="G155" s="128" t="s">
        <v>315</v>
      </c>
      <c r="H155" s="129">
        <v>2</v>
      </c>
      <c r="I155" s="130">
        <v>6283.9520918409999</v>
      </c>
      <c r="J155" s="131">
        <f>ROUND(I155*H155,2)</f>
        <v>12567.9</v>
      </c>
      <c r="K155" s="127" t="s">
        <v>1</v>
      </c>
      <c r="L155" s="268">
        <f>S155</f>
        <v>0</v>
      </c>
      <c r="M155" s="272">
        <f>ROUND(I155*L155,2)</f>
        <v>0</v>
      </c>
      <c r="N155" s="243"/>
      <c r="O155" s="294">
        <f>ROUND(N155*I155,2)</f>
        <v>0</v>
      </c>
      <c r="P155" s="273">
        <f>H155-L155-N155</f>
        <v>2</v>
      </c>
      <c r="Q155" s="287">
        <f>ROUND(P155*I155,2)</f>
        <v>12567.9</v>
      </c>
      <c r="R155" s="137"/>
      <c r="S155" s="269">
        <f>W155+Y155+AA155+AC155</f>
        <v>0</v>
      </c>
      <c r="T155" s="269">
        <f>ROUND(S155*I155,2)</f>
        <v>0</v>
      </c>
      <c r="U155" s="269">
        <f>H155-S155</f>
        <v>2</v>
      </c>
      <c r="V155" s="269">
        <f>ROUND(U155*I155,2)</f>
        <v>12567.9</v>
      </c>
      <c r="W155" s="269"/>
      <c r="X155" s="269"/>
      <c r="Y155" s="269"/>
      <c r="Z155" s="269"/>
      <c r="AA155" s="269"/>
      <c r="AB155" s="269"/>
      <c r="AC155" s="269"/>
      <c r="AD155" s="269"/>
      <c r="BX155" s="132" t="s">
        <v>1</v>
      </c>
      <c r="BY155" s="133" t="s">
        <v>40</v>
      </c>
      <c r="CA155" s="134">
        <f>BZ155*H155</f>
        <v>0</v>
      </c>
      <c r="CB155" s="134">
        <v>0</v>
      </c>
      <c r="CC155" s="134">
        <f>CB155*H155</f>
        <v>0</v>
      </c>
      <c r="CD155" s="134">
        <v>0</v>
      </c>
      <c r="CE155" s="135">
        <f>CD155*H155</f>
        <v>0</v>
      </c>
      <c r="DC155" s="136" t="s">
        <v>95</v>
      </c>
      <c r="DE155" s="136" t="s">
        <v>284</v>
      </c>
      <c r="DF155" s="136" t="s">
        <v>83</v>
      </c>
      <c r="DJ155" s="16" t="s">
        <v>282</v>
      </c>
      <c r="DP155" s="137">
        <f>IF(BY155="základní",J155,0)</f>
        <v>12567.9</v>
      </c>
      <c r="DQ155" s="137">
        <f>IF(BY155="snížená",J155,0)</f>
        <v>0</v>
      </c>
      <c r="DR155" s="137">
        <f>IF(BY155="zákl. přenesená",J155,0)</f>
        <v>0</v>
      </c>
      <c r="DS155" s="137">
        <f>IF(BY155="sníž. přenesená",J155,0)</f>
        <v>0</v>
      </c>
      <c r="DT155" s="137">
        <f>IF(BY155="nulová",J155,0)</f>
        <v>0</v>
      </c>
      <c r="DU155" s="16" t="s">
        <v>81</v>
      </c>
      <c r="DV155" s="137">
        <f>ROUND(I155*H155,2)</f>
        <v>12567.9</v>
      </c>
      <c r="DW155" s="16" t="s">
        <v>95</v>
      </c>
      <c r="DX155" s="136" t="s">
        <v>476</v>
      </c>
    </row>
    <row r="156" spans="2:128" s="1" customFormat="1" ht="19.5" x14ac:dyDescent="0.2">
      <c r="B156" s="31"/>
      <c r="D156" s="138" t="s">
        <v>289</v>
      </c>
      <c r="F156" s="139" t="s">
        <v>3085</v>
      </c>
      <c r="I156" s="140"/>
      <c r="L156" s="31"/>
      <c r="N156" s="213"/>
      <c r="O156" s="214"/>
      <c r="Q156" s="229"/>
      <c r="BX156" s="141"/>
      <c r="CE156" s="50"/>
      <c r="DE156" s="16" t="s">
        <v>289</v>
      </c>
      <c r="DF156" s="16" t="s">
        <v>83</v>
      </c>
    </row>
    <row r="157" spans="2:128" s="1" customFormat="1" ht="14.45" customHeight="1" x14ac:dyDescent="0.2">
      <c r="B157" s="124"/>
      <c r="C157" s="125" t="s">
        <v>379</v>
      </c>
      <c r="D157" s="125" t="s">
        <v>284</v>
      </c>
      <c r="E157" s="126" t="s">
        <v>3086</v>
      </c>
      <c r="F157" s="127" t="s">
        <v>3087</v>
      </c>
      <c r="G157" s="128" t="s">
        <v>315</v>
      </c>
      <c r="H157" s="129">
        <v>2</v>
      </c>
      <c r="I157" s="130">
        <v>1757.9660341010001</v>
      </c>
      <c r="J157" s="131">
        <f>ROUND(I157*H157,2)</f>
        <v>3515.93</v>
      </c>
      <c r="K157" s="127" t="s">
        <v>1</v>
      </c>
      <c r="L157" s="268">
        <f>S157</f>
        <v>0</v>
      </c>
      <c r="M157" s="272">
        <f>ROUND(I157*L157,2)</f>
        <v>0</v>
      </c>
      <c r="N157" s="243"/>
      <c r="O157" s="294">
        <f>ROUND(N157*I157,2)</f>
        <v>0</v>
      </c>
      <c r="P157" s="273">
        <f>H157-L157-N157</f>
        <v>2</v>
      </c>
      <c r="Q157" s="287">
        <f>ROUND(P157*I157,2)</f>
        <v>3515.93</v>
      </c>
      <c r="R157" s="137"/>
      <c r="S157" s="269">
        <f>W157+Y157+AA157+AC157</f>
        <v>0</v>
      </c>
      <c r="T157" s="269">
        <f>ROUND(S157*I157,2)</f>
        <v>0</v>
      </c>
      <c r="U157" s="269">
        <f>H157-S157</f>
        <v>2</v>
      </c>
      <c r="V157" s="269">
        <f>ROUND(U157*I157,2)</f>
        <v>3515.93</v>
      </c>
      <c r="W157" s="269"/>
      <c r="X157" s="269"/>
      <c r="Y157" s="269"/>
      <c r="Z157" s="269"/>
      <c r="AA157" s="269"/>
      <c r="AB157" s="269"/>
      <c r="AC157" s="269"/>
      <c r="AD157" s="269"/>
      <c r="BX157" s="132" t="s">
        <v>1</v>
      </c>
      <c r="BY157" s="133" t="s">
        <v>40</v>
      </c>
      <c r="CA157" s="134">
        <f>BZ157*H157</f>
        <v>0</v>
      </c>
      <c r="CB157" s="134">
        <v>0</v>
      </c>
      <c r="CC157" s="134">
        <f>CB157*H157</f>
        <v>0</v>
      </c>
      <c r="CD157" s="134">
        <v>0</v>
      </c>
      <c r="CE157" s="135">
        <f>CD157*H157</f>
        <v>0</v>
      </c>
      <c r="DC157" s="136" t="s">
        <v>95</v>
      </c>
      <c r="DE157" s="136" t="s">
        <v>284</v>
      </c>
      <c r="DF157" s="136" t="s">
        <v>83</v>
      </c>
      <c r="DJ157" s="16" t="s">
        <v>282</v>
      </c>
      <c r="DP157" s="137">
        <f>IF(BY157="základní",J157,0)</f>
        <v>3515.93</v>
      </c>
      <c r="DQ157" s="137">
        <f>IF(BY157="snížená",J157,0)</f>
        <v>0</v>
      </c>
      <c r="DR157" s="137">
        <f>IF(BY157="zákl. přenesená",J157,0)</f>
        <v>0</v>
      </c>
      <c r="DS157" s="137">
        <f>IF(BY157="sníž. přenesená",J157,0)</f>
        <v>0</v>
      </c>
      <c r="DT157" s="137">
        <f>IF(BY157="nulová",J157,0)</f>
        <v>0</v>
      </c>
      <c r="DU157" s="16" t="s">
        <v>81</v>
      </c>
      <c r="DV157" s="137">
        <f>ROUND(I157*H157,2)</f>
        <v>3515.93</v>
      </c>
      <c r="DW157" s="16" t="s">
        <v>95</v>
      </c>
      <c r="DX157" s="136" t="s">
        <v>489</v>
      </c>
    </row>
    <row r="158" spans="2:128" s="1" customFormat="1" x14ac:dyDescent="0.2">
      <c r="B158" s="31"/>
      <c r="D158" s="138" t="s">
        <v>289</v>
      </c>
      <c r="F158" s="139" t="s">
        <v>3087</v>
      </c>
      <c r="I158" s="140"/>
      <c r="L158" s="31"/>
      <c r="N158" s="213"/>
      <c r="O158" s="214"/>
      <c r="Q158" s="229"/>
      <c r="BX158" s="141"/>
      <c r="CE158" s="50"/>
      <c r="DE158" s="16" t="s">
        <v>289</v>
      </c>
      <c r="DF158" s="16" t="s">
        <v>83</v>
      </c>
    </row>
    <row r="159" spans="2:128" s="1" customFormat="1" ht="24.2" customHeight="1" x14ac:dyDescent="0.2">
      <c r="B159" s="124"/>
      <c r="C159" s="125" t="s">
        <v>386</v>
      </c>
      <c r="D159" s="125" t="s">
        <v>284</v>
      </c>
      <c r="E159" s="126" t="s">
        <v>2897</v>
      </c>
      <c r="F159" s="127" t="s">
        <v>2898</v>
      </c>
      <c r="G159" s="128" t="s">
        <v>315</v>
      </c>
      <c r="H159" s="129">
        <v>2</v>
      </c>
      <c r="I159" s="130">
        <v>451.31986457900001</v>
      </c>
      <c r="J159" s="131">
        <f>ROUND(I159*H159,2)</f>
        <v>902.64</v>
      </c>
      <c r="K159" s="127" t="s">
        <v>1</v>
      </c>
      <c r="L159" s="268">
        <f>S159</f>
        <v>0</v>
      </c>
      <c r="M159" s="272">
        <f>ROUND(I159*L159,2)</f>
        <v>0</v>
      </c>
      <c r="N159" s="243"/>
      <c r="O159" s="294">
        <f>ROUND(N159*I159,2)</f>
        <v>0</v>
      </c>
      <c r="P159" s="273">
        <f>H159-L159-N159</f>
        <v>2</v>
      </c>
      <c r="Q159" s="287">
        <f>ROUND(P159*I159,2)</f>
        <v>902.64</v>
      </c>
      <c r="R159" s="137"/>
      <c r="S159" s="269">
        <f>W159+Y159+AA159+AC159</f>
        <v>0</v>
      </c>
      <c r="T159" s="269">
        <f>ROUND(S159*I159,2)</f>
        <v>0</v>
      </c>
      <c r="U159" s="269">
        <f>H159-S159</f>
        <v>2</v>
      </c>
      <c r="V159" s="269">
        <f>ROUND(U159*I159,2)</f>
        <v>902.64</v>
      </c>
      <c r="W159" s="269"/>
      <c r="X159" s="269"/>
      <c r="Y159" s="269"/>
      <c r="Z159" s="269"/>
      <c r="AA159" s="269"/>
      <c r="AB159" s="269"/>
      <c r="AC159" s="269"/>
      <c r="AD159" s="269"/>
      <c r="BX159" s="132" t="s">
        <v>1</v>
      </c>
      <c r="BY159" s="133" t="s">
        <v>40</v>
      </c>
      <c r="CA159" s="134">
        <f>BZ159*H159</f>
        <v>0</v>
      </c>
      <c r="CB159" s="134">
        <v>0</v>
      </c>
      <c r="CC159" s="134">
        <f>CB159*H159</f>
        <v>0</v>
      </c>
      <c r="CD159" s="134">
        <v>0</v>
      </c>
      <c r="CE159" s="135">
        <f>CD159*H159</f>
        <v>0</v>
      </c>
      <c r="DC159" s="136" t="s">
        <v>95</v>
      </c>
      <c r="DE159" s="136" t="s">
        <v>284</v>
      </c>
      <c r="DF159" s="136" t="s">
        <v>83</v>
      </c>
      <c r="DJ159" s="16" t="s">
        <v>282</v>
      </c>
      <c r="DP159" s="137">
        <f>IF(BY159="základní",J159,0)</f>
        <v>902.64</v>
      </c>
      <c r="DQ159" s="137">
        <f>IF(BY159="snížená",J159,0)</f>
        <v>0</v>
      </c>
      <c r="DR159" s="137">
        <f>IF(BY159="zákl. přenesená",J159,0)</f>
        <v>0</v>
      </c>
      <c r="DS159" s="137">
        <f>IF(BY159="sníž. přenesená",J159,0)</f>
        <v>0</v>
      </c>
      <c r="DT159" s="137">
        <f>IF(BY159="nulová",J159,0)</f>
        <v>0</v>
      </c>
      <c r="DU159" s="16" t="s">
        <v>81</v>
      </c>
      <c r="DV159" s="137">
        <f>ROUND(I159*H159,2)</f>
        <v>902.64</v>
      </c>
      <c r="DW159" s="16" t="s">
        <v>95</v>
      </c>
      <c r="DX159" s="136" t="s">
        <v>497</v>
      </c>
    </row>
    <row r="160" spans="2:128" s="1" customFormat="1" x14ac:dyDescent="0.2">
      <c r="B160" s="31"/>
      <c r="D160" s="138" t="s">
        <v>289</v>
      </c>
      <c r="F160" s="139" t="s">
        <v>2898</v>
      </c>
      <c r="I160" s="140"/>
      <c r="L160" s="31"/>
      <c r="N160" s="213"/>
      <c r="O160" s="214"/>
      <c r="Q160" s="229"/>
      <c r="BX160" s="141"/>
      <c r="CE160" s="50"/>
      <c r="DE160" s="16" t="s">
        <v>289</v>
      </c>
      <c r="DF160" s="16" t="s">
        <v>83</v>
      </c>
    </row>
    <row r="161" spans="2:128" s="1" customFormat="1" ht="14.45" customHeight="1" x14ac:dyDescent="0.2">
      <c r="B161" s="124"/>
      <c r="C161" s="125" t="s">
        <v>392</v>
      </c>
      <c r="D161" s="125" t="s">
        <v>284</v>
      </c>
      <c r="E161" s="126" t="s">
        <v>2899</v>
      </c>
      <c r="F161" s="127" t="s">
        <v>2900</v>
      </c>
      <c r="G161" s="128" t="s">
        <v>315</v>
      </c>
      <c r="H161" s="129">
        <v>2</v>
      </c>
      <c r="I161" s="130">
        <v>978.218069861</v>
      </c>
      <c r="J161" s="131">
        <f>ROUND(I161*H161,2)</f>
        <v>1956.44</v>
      </c>
      <c r="K161" s="127" t="s">
        <v>1</v>
      </c>
      <c r="L161" s="268">
        <f>S161</f>
        <v>0</v>
      </c>
      <c r="M161" s="272">
        <f>ROUND(I161*L161,2)</f>
        <v>0</v>
      </c>
      <c r="N161" s="243"/>
      <c r="O161" s="294">
        <f>ROUND(N161*I161,2)</f>
        <v>0</v>
      </c>
      <c r="P161" s="273">
        <f>H161-L161-N161</f>
        <v>2</v>
      </c>
      <c r="Q161" s="287">
        <f>ROUND(P161*I161,2)</f>
        <v>1956.44</v>
      </c>
      <c r="R161" s="137"/>
      <c r="S161" s="269">
        <f>W161+Y161+AA161+AC161</f>
        <v>0</v>
      </c>
      <c r="T161" s="269">
        <f>ROUND(S161*I161,2)</f>
        <v>0</v>
      </c>
      <c r="U161" s="269">
        <f>H161-S161</f>
        <v>2</v>
      </c>
      <c r="V161" s="269">
        <f>ROUND(U161*I161,2)</f>
        <v>1956.44</v>
      </c>
      <c r="W161" s="269"/>
      <c r="X161" s="269"/>
      <c r="Y161" s="269"/>
      <c r="Z161" s="269"/>
      <c r="AA161" s="269"/>
      <c r="AB161" s="269"/>
      <c r="AC161" s="269"/>
      <c r="AD161" s="269"/>
      <c r="BX161" s="132" t="s">
        <v>1</v>
      </c>
      <c r="BY161" s="133" t="s">
        <v>40</v>
      </c>
      <c r="CA161" s="134">
        <f>BZ161*H161</f>
        <v>0</v>
      </c>
      <c r="CB161" s="134">
        <v>0</v>
      </c>
      <c r="CC161" s="134">
        <f>CB161*H161</f>
        <v>0</v>
      </c>
      <c r="CD161" s="134">
        <v>0</v>
      </c>
      <c r="CE161" s="135">
        <f>CD161*H161</f>
        <v>0</v>
      </c>
      <c r="DC161" s="136" t="s">
        <v>95</v>
      </c>
      <c r="DE161" s="136" t="s">
        <v>284</v>
      </c>
      <c r="DF161" s="136" t="s">
        <v>83</v>
      </c>
      <c r="DJ161" s="16" t="s">
        <v>282</v>
      </c>
      <c r="DP161" s="137">
        <f>IF(BY161="základní",J161,0)</f>
        <v>1956.44</v>
      </c>
      <c r="DQ161" s="137">
        <f>IF(BY161="snížená",J161,0)</f>
        <v>0</v>
      </c>
      <c r="DR161" s="137">
        <f>IF(BY161="zákl. přenesená",J161,0)</f>
        <v>0</v>
      </c>
      <c r="DS161" s="137">
        <f>IF(BY161="sníž. přenesená",J161,0)</f>
        <v>0</v>
      </c>
      <c r="DT161" s="137">
        <f>IF(BY161="nulová",J161,0)</f>
        <v>0</v>
      </c>
      <c r="DU161" s="16" t="s">
        <v>81</v>
      </c>
      <c r="DV161" s="137">
        <f>ROUND(I161*H161,2)</f>
        <v>1956.44</v>
      </c>
      <c r="DW161" s="16" t="s">
        <v>95</v>
      </c>
      <c r="DX161" s="136" t="s">
        <v>505</v>
      </c>
    </row>
    <row r="162" spans="2:128" s="1" customFormat="1" x14ac:dyDescent="0.2">
      <c r="B162" s="31"/>
      <c r="D162" s="138" t="s">
        <v>289</v>
      </c>
      <c r="F162" s="139" t="s">
        <v>2900</v>
      </c>
      <c r="I162" s="140"/>
      <c r="L162" s="31"/>
      <c r="N162" s="213"/>
      <c r="O162" s="214"/>
      <c r="Q162" s="229"/>
      <c r="BX162" s="141"/>
      <c r="CE162" s="50"/>
      <c r="DE162" s="16" t="s">
        <v>289</v>
      </c>
      <c r="DF162" s="16" t="s">
        <v>83</v>
      </c>
    </row>
    <row r="163" spans="2:128" s="1" customFormat="1" ht="24.2" customHeight="1" x14ac:dyDescent="0.2">
      <c r="B163" s="124"/>
      <c r="C163" s="125" t="s">
        <v>397</v>
      </c>
      <c r="D163" s="125" t="s">
        <v>284</v>
      </c>
      <c r="E163" s="126" t="s">
        <v>2901</v>
      </c>
      <c r="F163" s="127" t="s">
        <v>2902</v>
      </c>
      <c r="G163" s="128" t="s">
        <v>315</v>
      </c>
      <c r="H163" s="129">
        <v>1</v>
      </c>
      <c r="I163" s="130">
        <v>1714.204668761</v>
      </c>
      <c r="J163" s="131">
        <f>ROUND(I163*H163,2)</f>
        <v>1714.2</v>
      </c>
      <c r="K163" s="127" t="s">
        <v>1</v>
      </c>
      <c r="L163" s="268">
        <f>S163</f>
        <v>0</v>
      </c>
      <c r="M163" s="272">
        <f>ROUND(I163*L163,2)</f>
        <v>0</v>
      </c>
      <c r="N163" s="243"/>
      <c r="O163" s="294">
        <f>ROUND(N163*I163,2)</f>
        <v>0</v>
      </c>
      <c r="P163" s="273">
        <f>H163-L163-N163</f>
        <v>1</v>
      </c>
      <c r="Q163" s="287">
        <f>ROUND(P163*I163,2)</f>
        <v>1714.2</v>
      </c>
      <c r="R163" s="137"/>
      <c r="S163" s="269">
        <f>W163+Y163+AA163+AC163</f>
        <v>0</v>
      </c>
      <c r="T163" s="269">
        <f>ROUND(S163*I163,2)</f>
        <v>0</v>
      </c>
      <c r="U163" s="269">
        <f>H163-S163</f>
        <v>1</v>
      </c>
      <c r="V163" s="269">
        <f>ROUND(U163*I163,2)</f>
        <v>1714.2</v>
      </c>
      <c r="W163" s="269"/>
      <c r="X163" s="269"/>
      <c r="Y163" s="269"/>
      <c r="Z163" s="269"/>
      <c r="AA163" s="269"/>
      <c r="AB163" s="269"/>
      <c r="AC163" s="269"/>
      <c r="AD163" s="269"/>
      <c r="BX163" s="132" t="s">
        <v>1</v>
      </c>
      <c r="BY163" s="133" t="s">
        <v>40</v>
      </c>
      <c r="CA163" s="134">
        <f>BZ163*H163</f>
        <v>0</v>
      </c>
      <c r="CB163" s="134">
        <v>0</v>
      </c>
      <c r="CC163" s="134">
        <f>CB163*H163</f>
        <v>0</v>
      </c>
      <c r="CD163" s="134">
        <v>0</v>
      </c>
      <c r="CE163" s="135">
        <f>CD163*H163</f>
        <v>0</v>
      </c>
      <c r="DC163" s="136" t="s">
        <v>95</v>
      </c>
      <c r="DE163" s="136" t="s">
        <v>284</v>
      </c>
      <c r="DF163" s="136" t="s">
        <v>83</v>
      </c>
      <c r="DJ163" s="16" t="s">
        <v>282</v>
      </c>
      <c r="DP163" s="137">
        <f>IF(BY163="základní",J163,0)</f>
        <v>1714.2</v>
      </c>
      <c r="DQ163" s="137">
        <f>IF(BY163="snížená",J163,0)</f>
        <v>0</v>
      </c>
      <c r="DR163" s="137">
        <f>IF(BY163="zákl. přenesená",J163,0)</f>
        <v>0</v>
      </c>
      <c r="DS163" s="137">
        <f>IF(BY163="sníž. přenesená",J163,0)</f>
        <v>0</v>
      </c>
      <c r="DT163" s="137">
        <f>IF(BY163="nulová",J163,0)</f>
        <v>0</v>
      </c>
      <c r="DU163" s="16" t="s">
        <v>81</v>
      </c>
      <c r="DV163" s="137">
        <f>ROUND(I163*H163,2)</f>
        <v>1714.2</v>
      </c>
      <c r="DW163" s="16" t="s">
        <v>95</v>
      </c>
      <c r="DX163" s="136" t="s">
        <v>514</v>
      </c>
    </row>
    <row r="164" spans="2:128" s="1" customFormat="1" x14ac:dyDescent="0.2">
      <c r="B164" s="31"/>
      <c r="D164" s="138" t="s">
        <v>289</v>
      </c>
      <c r="F164" s="139" t="s">
        <v>2902</v>
      </c>
      <c r="I164" s="140"/>
      <c r="L164" s="31"/>
      <c r="N164" s="213"/>
      <c r="O164" s="214"/>
      <c r="Q164" s="229"/>
      <c r="BX164" s="141"/>
      <c r="CE164" s="50"/>
      <c r="DE164" s="16" t="s">
        <v>289</v>
      </c>
      <c r="DF164" s="16" t="s">
        <v>83</v>
      </c>
    </row>
    <row r="165" spans="2:128" s="1" customFormat="1" ht="14.45" customHeight="1" x14ac:dyDescent="0.2">
      <c r="B165" s="124"/>
      <c r="C165" s="125" t="s">
        <v>404</v>
      </c>
      <c r="D165" s="125" t="s">
        <v>284</v>
      </c>
      <c r="E165" s="126" t="s">
        <v>3088</v>
      </c>
      <c r="F165" s="127" t="s">
        <v>3089</v>
      </c>
      <c r="G165" s="128" t="s">
        <v>315</v>
      </c>
      <c r="H165" s="129">
        <v>1</v>
      </c>
      <c r="I165" s="130">
        <v>1724.3493489080001</v>
      </c>
      <c r="J165" s="131">
        <f>ROUND(I165*H165,2)</f>
        <v>1724.35</v>
      </c>
      <c r="K165" s="127" t="s">
        <v>1</v>
      </c>
      <c r="L165" s="268">
        <f>S165</f>
        <v>0</v>
      </c>
      <c r="M165" s="272">
        <f>ROUND(I165*L165,2)</f>
        <v>0</v>
      </c>
      <c r="N165" s="243"/>
      <c r="O165" s="294">
        <f>ROUND(N165*I165,2)</f>
        <v>0</v>
      </c>
      <c r="P165" s="273">
        <f>H165-L165-N165</f>
        <v>1</v>
      </c>
      <c r="Q165" s="287">
        <f>ROUND(P165*I165,2)</f>
        <v>1724.35</v>
      </c>
      <c r="R165" s="137"/>
      <c r="S165" s="269">
        <f>W165+Y165+AA165+AC165</f>
        <v>0</v>
      </c>
      <c r="T165" s="269">
        <f>ROUND(S165*I165,2)</f>
        <v>0</v>
      </c>
      <c r="U165" s="269">
        <f>H165-S165</f>
        <v>1</v>
      </c>
      <c r="V165" s="269">
        <f>ROUND(U165*I165,2)</f>
        <v>1724.35</v>
      </c>
      <c r="W165" s="269"/>
      <c r="X165" s="269"/>
      <c r="Y165" s="269"/>
      <c r="Z165" s="269"/>
      <c r="AA165" s="269"/>
      <c r="AB165" s="269"/>
      <c r="AC165" s="269"/>
      <c r="AD165" s="269"/>
      <c r="BX165" s="132" t="s">
        <v>1</v>
      </c>
      <c r="BY165" s="133" t="s">
        <v>40</v>
      </c>
      <c r="CA165" s="134">
        <f>BZ165*H165</f>
        <v>0</v>
      </c>
      <c r="CB165" s="134">
        <v>0</v>
      </c>
      <c r="CC165" s="134">
        <f>CB165*H165</f>
        <v>0</v>
      </c>
      <c r="CD165" s="134">
        <v>0</v>
      </c>
      <c r="CE165" s="135">
        <f>CD165*H165</f>
        <v>0</v>
      </c>
      <c r="DC165" s="136" t="s">
        <v>95</v>
      </c>
      <c r="DE165" s="136" t="s">
        <v>284</v>
      </c>
      <c r="DF165" s="136" t="s">
        <v>83</v>
      </c>
      <c r="DJ165" s="16" t="s">
        <v>282</v>
      </c>
      <c r="DP165" s="137">
        <f>IF(BY165="základní",J165,0)</f>
        <v>1724.35</v>
      </c>
      <c r="DQ165" s="137">
        <f>IF(BY165="snížená",J165,0)</f>
        <v>0</v>
      </c>
      <c r="DR165" s="137">
        <f>IF(BY165="zákl. přenesená",J165,0)</f>
        <v>0</v>
      </c>
      <c r="DS165" s="137">
        <f>IF(BY165="sníž. přenesená",J165,0)</f>
        <v>0</v>
      </c>
      <c r="DT165" s="137">
        <f>IF(BY165="nulová",J165,0)</f>
        <v>0</v>
      </c>
      <c r="DU165" s="16" t="s">
        <v>81</v>
      </c>
      <c r="DV165" s="137">
        <f>ROUND(I165*H165,2)</f>
        <v>1724.35</v>
      </c>
      <c r="DW165" s="16" t="s">
        <v>95</v>
      </c>
      <c r="DX165" s="136" t="s">
        <v>526</v>
      </c>
    </row>
    <row r="166" spans="2:128" s="1" customFormat="1" x14ac:dyDescent="0.2">
      <c r="B166" s="31"/>
      <c r="D166" s="138" t="s">
        <v>289</v>
      </c>
      <c r="F166" s="139" t="s">
        <v>3089</v>
      </c>
      <c r="I166" s="140"/>
      <c r="L166" s="31"/>
      <c r="N166" s="213"/>
      <c r="O166" s="214"/>
      <c r="Q166" s="229"/>
      <c r="BX166" s="141"/>
      <c r="CE166" s="50"/>
      <c r="DE166" s="16" t="s">
        <v>289</v>
      </c>
      <c r="DF166" s="16" t="s">
        <v>83</v>
      </c>
    </row>
    <row r="167" spans="2:128" s="1" customFormat="1" ht="14.45" customHeight="1" x14ac:dyDescent="0.2">
      <c r="B167" s="124"/>
      <c r="C167" s="125" t="s">
        <v>7</v>
      </c>
      <c r="D167" s="125" t="s">
        <v>284</v>
      </c>
      <c r="E167" s="126" t="s">
        <v>2905</v>
      </c>
      <c r="F167" s="127" t="s">
        <v>2906</v>
      </c>
      <c r="G167" s="128" t="s">
        <v>315</v>
      </c>
      <c r="H167" s="129">
        <v>6</v>
      </c>
      <c r="I167" s="130">
        <v>879.12036332700006</v>
      </c>
      <c r="J167" s="131">
        <f>ROUND(I167*H167,2)</f>
        <v>5274.72</v>
      </c>
      <c r="K167" s="127" t="s">
        <v>1</v>
      </c>
      <c r="L167" s="268">
        <f>S167</f>
        <v>0</v>
      </c>
      <c r="M167" s="272">
        <f>ROUND(I167*L167,2)</f>
        <v>0</v>
      </c>
      <c r="N167" s="243"/>
      <c r="O167" s="294">
        <f>ROUND(N167*I167,2)</f>
        <v>0</v>
      </c>
      <c r="P167" s="273">
        <f>H167-L167-N167</f>
        <v>6</v>
      </c>
      <c r="Q167" s="287">
        <f>ROUND(P167*I167,2)</f>
        <v>5274.72</v>
      </c>
      <c r="R167" s="137"/>
      <c r="S167" s="269">
        <f>W167+Y167+AA167+AC167</f>
        <v>0</v>
      </c>
      <c r="T167" s="269">
        <f>ROUND(S167*I167,2)</f>
        <v>0</v>
      </c>
      <c r="U167" s="269">
        <f>H167-S167</f>
        <v>6</v>
      </c>
      <c r="V167" s="269">
        <f>ROUND(U167*I167,2)</f>
        <v>5274.72</v>
      </c>
      <c r="W167" s="269"/>
      <c r="X167" s="269"/>
      <c r="Y167" s="269"/>
      <c r="Z167" s="269"/>
      <c r="AA167" s="269"/>
      <c r="AB167" s="269"/>
      <c r="AC167" s="269"/>
      <c r="AD167" s="269"/>
      <c r="BX167" s="132" t="s">
        <v>1</v>
      </c>
      <c r="BY167" s="133" t="s">
        <v>40</v>
      </c>
      <c r="CA167" s="134">
        <f>BZ167*H167</f>
        <v>0</v>
      </c>
      <c r="CB167" s="134">
        <v>0</v>
      </c>
      <c r="CC167" s="134">
        <f>CB167*H167</f>
        <v>0</v>
      </c>
      <c r="CD167" s="134">
        <v>0</v>
      </c>
      <c r="CE167" s="135">
        <f>CD167*H167</f>
        <v>0</v>
      </c>
      <c r="DC167" s="136" t="s">
        <v>95</v>
      </c>
      <c r="DE167" s="136" t="s">
        <v>284</v>
      </c>
      <c r="DF167" s="136" t="s">
        <v>83</v>
      </c>
      <c r="DJ167" s="16" t="s">
        <v>282</v>
      </c>
      <c r="DP167" s="137">
        <f>IF(BY167="základní",J167,0)</f>
        <v>5274.72</v>
      </c>
      <c r="DQ167" s="137">
        <f>IF(BY167="snížená",J167,0)</f>
        <v>0</v>
      </c>
      <c r="DR167" s="137">
        <f>IF(BY167="zákl. přenesená",J167,0)</f>
        <v>0</v>
      </c>
      <c r="DS167" s="137">
        <f>IF(BY167="sníž. přenesená",J167,0)</f>
        <v>0</v>
      </c>
      <c r="DT167" s="137">
        <f>IF(BY167="nulová",J167,0)</f>
        <v>0</v>
      </c>
      <c r="DU167" s="16" t="s">
        <v>81</v>
      </c>
      <c r="DV167" s="137">
        <f>ROUND(I167*H167,2)</f>
        <v>5274.72</v>
      </c>
      <c r="DW167" s="16" t="s">
        <v>95</v>
      </c>
      <c r="DX167" s="136" t="s">
        <v>536</v>
      </c>
    </row>
    <row r="168" spans="2:128" s="1" customFormat="1" x14ac:dyDescent="0.2">
      <c r="B168" s="31"/>
      <c r="D168" s="138" t="s">
        <v>289</v>
      </c>
      <c r="F168" s="139" t="s">
        <v>2906</v>
      </c>
      <c r="I168" s="140"/>
      <c r="L168" s="31"/>
      <c r="N168" s="213"/>
      <c r="O168" s="214"/>
      <c r="Q168" s="229"/>
      <c r="BX168" s="141"/>
      <c r="CE168" s="50"/>
      <c r="DE168" s="16" t="s">
        <v>289</v>
      </c>
      <c r="DF168" s="16" t="s">
        <v>83</v>
      </c>
    </row>
    <row r="169" spans="2:128" s="1" customFormat="1" ht="14.45" customHeight="1" x14ac:dyDescent="0.2">
      <c r="B169" s="124"/>
      <c r="C169" s="125" t="s">
        <v>415</v>
      </c>
      <c r="D169" s="125" t="s">
        <v>284</v>
      </c>
      <c r="E169" s="126" t="s">
        <v>2907</v>
      </c>
      <c r="F169" s="127" t="s">
        <v>2908</v>
      </c>
      <c r="G169" s="128" t="s">
        <v>315</v>
      </c>
      <c r="H169" s="129">
        <v>2</v>
      </c>
      <c r="I169" s="130">
        <v>819.31316402900006</v>
      </c>
      <c r="J169" s="131">
        <f>ROUND(I169*H169,2)</f>
        <v>1638.63</v>
      </c>
      <c r="K169" s="127" t="s">
        <v>1</v>
      </c>
      <c r="L169" s="268">
        <f>S169</f>
        <v>0</v>
      </c>
      <c r="M169" s="272">
        <f>ROUND(I169*L169,2)</f>
        <v>0</v>
      </c>
      <c r="N169" s="243"/>
      <c r="O169" s="294">
        <f>ROUND(N169*I169,2)</f>
        <v>0</v>
      </c>
      <c r="P169" s="273">
        <f>H169-L169-N169</f>
        <v>2</v>
      </c>
      <c r="Q169" s="287">
        <f>ROUND(P169*I169,2)</f>
        <v>1638.63</v>
      </c>
      <c r="R169" s="137"/>
      <c r="S169" s="269">
        <f>W169+Y169+AA169+AC169</f>
        <v>0</v>
      </c>
      <c r="T169" s="269">
        <f>ROUND(S169*I169,2)</f>
        <v>0</v>
      </c>
      <c r="U169" s="269">
        <f>H169-S169</f>
        <v>2</v>
      </c>
      <c r="V169" s="269">
        <f>ROUND(U169*I169,2)</f>
        <v>1638.63</v>
      </c>
      <c r="W169" s="269"/>
      <c r="X169" s="269"/>
      <c r="Y169" s="269"/>
      <c r="Z169" s="269"/>
      <c r="AA169" s="269"/>
      <c r="AB169" s="269"/>
      <c r="AC169" s="269"/>
      <c r="AD169" s="269"/>
      <c r="BX169" s="132" t="s">
        <v>1</v>
      </c>
      <c r="BY169" s="133" t="s">
        <v>40</v>
      </c>
      <c r="CA169" s="134">
        <f>BZ169*H169</f>
        <v>0</v>
      </c>
      <c r="CB169" s="134">
        <v>0</v>
      </c>
      <c r="CC169" s="134">
        <f>CB169*H169</f>
        <v>0</v>
      </c>
      <c r="CD169" s="134">
        <v>0</v>
      </c>
      <c r="CE169" s="135">
        <f>CD169*H169</f>
        <v>0</v>
      </c>
      <c r="DC169" s="136" t="s">
        <v>95</v>
      </c>
      <c r="DE169" s="136" t="s">
        <v>284</v>
      </c>
      <c r="DF169" s="136" t="s">
        <v>83</v>
      </c>
      <c r="DJ169" s="16" t="s">
        <v>282</v>
      </c>
      <c r="DP169" s="137">
        <f>IF(BY169="základní",J169,0)</f>
        <v>1638.63</v>
      </c>
      <c r="DQ169" s="137">
        <f>IF(BY169="snížená",J169,0)</f>
        <v>0</v>
      </c>
      <c r="DR169" s="137">
        <f>IF(BY169="zákl. přenesená",J169,0)</f>
        <v>0</v>
      </c>
      <c r="DS169" s="137">
        <f>IF(BY169="sníž. přenesená",J169,0)</f>
        <v>0</v>
      </c>
      <c r="DT169" s="137">
        <f>IF(BY169="nulová",J169,0)</f>
        <v>0</v>
      </c>
      <c r="DU169" s="16" t="s">
        <v>81</v>
      </c>
      <c r="DV169" s="137">
        <f>ROUND(I169*H169,2)</f>
        <v>1638.63</v>
      </c>
      <c r="DW169" s="16" t="s">
        <v>95</v>
      </c>
      <c r="DX169" s="136" t="s">
        <v>548</v>
      </c>
    </row>
    <row r="170" spans="2:128" s="1" customFormat="1" x14ac:dyDescent="0.2">
      <c r="B170" s="31"/>
      <c r="D170" s="138" t="s">
        <v>289</v>
      </c>
      <c r="F170" s="139" t="s">
        <v>2908</v>
      </c>
      <c r="I170" s="140"/>
      <c r="L170" s="31"/>
      <c r="N170" s="213"/>
      <c r="O170" s="214"/>
      <c r="Q170" s="229"/>
      <c r="BX170" s="141"/>
      <c r="CE170" s="50"/>
      <c r="DE170" s="16" t="s">
        <v>289</v>
      </c>
      <c r="DF170" s="16" t="s">
        <v>83</v>
      </c>
    </row>
    <row r="171" spans="2:128" s="1" customFormat="1" ht="14.45" customHeight="1" x14ac:dyDescent="0.2">
      <c r="B171" s="124"/>
      <c r="C171" s="125" t="s">
        <v>422</v>
      </c>
      <c r="D171" s="125" t="s">
        <v>284</v>
      </c>
      <c r="E171" s="126" t="s">
        <v>2909</v>
      </c>
      <c r="F171" s="127" t="s">
        <v>2910</v>
      </c>
      <c r="G171" s="128" t="s">
        <v>315</v>
      </c>
      <c r="H171" s="129">
        <v>8</v>
      </c>
      <c r="I171" s="130">
        <v>199.59729230400001</v>
      </c>
      <c r="J171" s="131">
        <f>ROUND(I171*H171,2)</f>
        <v>1596.78</v>
      </c>
      <c r="K171" s="127" t="s">
        <v>1</v>
      </c>
      <c r="L171" s="268">
        <f>S171</f>
        <v>0</v>
      </c>
      <c r="M171" s="272">
        <f>ROUND(I171*L171,2)</f>
        <v>0</v>
      </c>
      <c r="N171" s="243"/>
      <c r="O171" s="294">
        <f>ROUND(N171*I171,2)</f>
        <v>0</v>
      </c>
      <c r="P171" s="273">
        <f>H171-L171-N171</f>
        <v>8</v>
      </c>
      <c r="Q171" s="287">
        <f>ROUND(P171*I171,2)</f>
        <v>1596.78</v>
      </c>
      <c r="R171" s="137"/>
      <c r="S171" s="269">
        <f>W171+Y171+AA171+AC171</f>
        <v>0</v>
      </c>
      <c r="T171" s="269">
        <f>ROUND(S171*I171,2)</f>
        <v>0</v>
      </c>
      <c r="U171" s="269">
        <f>H171-S171</f>
        <v>8</v>
      </c>
      <c r="V171" s="269">
        <f>ROUND(U171*I171,2)</f>
        <v>1596.78</v>
      </c>
      <c r="W171" s="269"/>
      <c r="X171" s="269"/>
      <c r="Y171" s="269"/>
      <c r="Z171" s="269"/>
      <c r="AA171" s="269"/>
      <c r="AB171" s="269"/>
      <c r="AC171" s="269"/>
      <c r="AD171" s="269"/>
      <c r="BX171" s="132" t="s">
        <v>1</v>
      </c>
      <c r="BY171" s="133" t="s">
        <v>40</v>
      </c>
      <c r="CA171" s="134">
        <f>BZ171*H171</f>
        <v>0</v>
      </c>
      <c r="CB171" s="134">
        <v>0</v>
      </c>
      <c r="CC171" s="134">
        <f>CB171*H171</f>
        <v>0</v>
      </c>
      <c r="CD171" s="134">
        <v>0</v>
      </c>
      <c r="CE171" s="135">
        <f>CD171*H171</f>
        <v>0</v>
      </c>
      <c r="DC171" s="136" t="s">
        <v>95</v>
      </c>
      <c r="DE171" s="136" t="s">
        <v>284</v>
      </c>
      <c r="DF171" s="136" t="s">
        <v>83</v>
      </c>
      <c r="DJ171" s="16" t="s">
        <v>282</v>
      </c>
      <c r="DP171" s="137">
        <f>IF(BY171="základní",J171,0)</f>
        <v>1596.78</v>
      </c>
      <c r="DQ171" s="137">
        <f>IF(BY171="snížená",J171,0)</f>
        <v>0</v>
      </c>
      <c r="DR171" s="137">
        <f>IF(BY171="zákl. přenesená",J171,0)</f>
        <v>0</v>
      </c>
      <c r="DS171" s="137">
        <f>IF(BY171="sníž. přenesená",J171,0)</f>
        <v>0</v>
      </c>
      <c r="DT171" s="137">
        <f>IF(BY171="nulová",J171,0)</f>
        <v>0</v>
      </c>
      <c r="DU171" s="16" t="s">
        <v>81</v>
      </c>
      <c r="DV171" s="137">
        <f>ROUND(I171*H171,2)</f>
        <v>1596.78</v>
      </c>
      <c r="DW171" s="16" t="s">
        <v>95</v>
      </c>
      <c r="DX171" s="136" t="s">
        <v>562</v>
      </c>
    </row>
    <row r="172" spans="2:128" s="1" customFormat="1" x14ac:dyDescent="0.2">
      <c r="B172" s="31"/>
      <c r="D172" s="138" t="s">
        <v>289</v>
      </c>
      <c r="F172" s="139" t="s">
        <v>2910</v>
      </c>
      <c r="I172" s="140"/>
      <c r="L172" s="31"/>
      <c r="N172" s="213"/>
      <c r="O172" s="214"/>
      <c r="Q172" s="229"/>
      <c r="BX172" s="141"/>
      <c r="CE172" s="50"/>
      <c r="DE172" s="16" t="s">
        <v>289</v>
      </c>
      <c r="DF172" s="16" t="s">
        <v>83</v>
      </c>
    </row>
    <row r="173" spans="2:128" s="1" customFormat="1" ht="14.45" customHeight="1" x14ac:dyDescent="0.2">
      <c r="B173" s="124"/>
      <c r="C173" s="125" t="s">
        <v>438</v>
      </c>
      <c r="D173" s="125" t="s">
        <v>284</v>
      </c>
      <c r="E173" s="126" t="s">
        <v>2911</v>
      </c>
      <c r="F173" s="127" t="s">
        <v>2912</v>
      </c>
      <c r="G173" s="128" t="s">
        <v>315</v>
      </c>
      <c r="H173" s="129">
        <v>8</v>
      </c>
      <c r="I173" s="130">
        <v>23.064702295</v>
      </c>
      <c r="J173" s="131">
        <f>ROUND(I173*H173,2)</f>
        <v>184.52</v>
      </c>
      <c r="K173" s="127" t="s">
        <v>1</v>
      </c>
      <c r="L173" s="268">
        <f>S173</f>
        <v>0</v>
      </c>
      <c r="M173" s="272">
        <f>ROUND(I173*L173,2)</f>
        <v>0</v>
      </c>
      <c r="N173" s="243"/>
      <c r="O173" s="294">
        <f>ROUND(N173*I173,2)</f>
        <v>0</v>
      </c>
      <c r="P173" s="273">
        <f>H173-L173-N173</f>
        <v>8</v>
      </c>
      <c r="Q173" s="287">
        <f>ROUND(P173*I173,2)</f>
        <v>184.52</v>
      </c>
      <c r="R173" s="137"/>
      <c r="S173" s="269">
        <f>W173+Y173+AA173+AC173</f>
        <v>0</v>
      </c>
      <c r="T173" s="269">
        <f>ROUND(S173*I173,2)</f>
        <v>0</v>
      </c>
      <c r="U173" s="269">
        <f>H173-S173</f>
        <v>8</v>
      </c>
      <c r="V173" s="269">
        <f>ROUND(U173*I173,2)</f>
        <v>184.52</v>
      </c>
      <c r="W173" s="269"/>
      <c r="X173" s="269"/>
      <c r="Y173" s="269"/>
      <c r="Z173" s="269"/>
      <c r="AA173" s="269"/>
      <c r="AB173" s="269"/>
      <c r="AC173" s="269"/>
      <c r="AD173" s="269"/>
      <c r="BX173" s="132" t="s">
        <v>1</v>
      </c>
      <c r="BY173" s="133" t="s">
        <v>40</v>
      </c>
      <c r="CA173" s="134">
        <f>BZ173*H173</f>
        <v>0</v>
      </c>
      <c r="CB173" s="134">
        <v>0</v>
      </c>
      <c r="CC173" s="134">
        <f>CB173*H173</f>
        <v>0</v>
      </c>
      <c r="CD173" s="134">
        <v>0</v>
      </c>
      <c r="CE173" s="135">
        <f>CD173*H173</f>
        <v>0</v>
      </c>
      <c r="DC173" s="136" t="s">
        <v>95</v>
      </c>
      <c r="DE173" s="136" t="s">
        <v>284</v>
      </c>
      <c r="DF173" s="136" t="s">
        <v>83</v>
      </c>
      <c r="DJ173" s="16" t="s">
        <v>282</v>
      </c>
      <c r="DP173" s="137">
        <f>IF(BY173="základní",J173,0)</f>
        <v>184.52</v>
      </c>
      <c r="DQ173" s="137">
        <f>IF(BY173="snížená",J173,0)</f>
        <v>0</v>
      </c>
      <c r="DR173" s="137">
        <f>IF(BY173="zákl. přenesená",J173,0)</f>
        <v>0</v>
      </c>
      <c r="DS173" s="137">
        <f>IF(BY173="sníž. přenesená",J173,0)</f>
        <v>0</v>
      </c>
      <c r="DT173" s="137">
        <f>IF(BY173="nulová",J173,0)</f>
        <v>0</v>
      </c>
      <c r="DU173" s="16" t="s">
        <v>81</v>
      </c>
      <c r="DV173" s="137">
        <f>ROUND(I173*H173,2)</f>
        <v>184.52</v>
      </c>
      <c r="DW173" s="16" t="s">
        <v>95</v>
      </c>
      <c r="DX173" s="136" t="s">
        <v>572</v>
      </c>
    </row>
    <row r="174" spans="2:128" s="1" customFormat="1" x14ac:dyDescent="0.2">
      <c r="B174" s="31"/>
      <c r="D174" s="138" t="s">
        <v>289</v>
      </c>
      <c r="F174" s="139" t="s">
        <v>2912</v>
      </c>
      <c r="I174" s="140"/>
      <c r="L174" s="31"/>
      <c r="N174" s="213"/>
      <c r="O174" s="214"/>
      <c r="Q174" s="229"/>
      <c r="BX174" s="141"/>
      <c r="CE174" s="50"/>
      <c r="DE174" s="16" t="s">
        <v>289</v>
      </c>
      <c r="DF174" s="16" t="s">
        <v>83</v>
      </c>
    </row>
    <row r="175" spans="2:128" s="1" customFormat="1" ht="14.45" customHeight="1" x14ac:dyDescent="0.2">
      <c r="B175" s="124"/>
      <c r="C175" s="125" t="s">
        <v>445</v>
      </c>
      <c r="D175" s="125" t="s">
        <v>284</v>
      </c>
      <c r="E175" s="126" t="s">
        <v>2913</v>
      </c>
      <c r="F175" s="127" t="s">
        <v>2914</v>
      </c>
      <c r="G175" s="128" t="s">
        <v>315</v>
      </c>
      <c r="H175" s="129">
        <v>1</v>
      </c>
      <c r="I175" s="130">
        <v>431.06839291299997</v>
      </c>
      <c r="J175" s="131">
        <f>ROUND(I175*H175,2)</f>
        <v>431.07</v>
      </c>
      <c r="K175" s="127" t="s">
        <v>1</v>
      </c>
      <c r="L175" s="268">
        <f>S175</f>
        <v>0</v>
      </c>
      <c r="M175" s="272">
        <f>ROUND(I175*L175,2)</f>
        <v>0</v>
      </c>
      <c r="N175" s="243"/>
      <c r="O175" s="294">
        <f>ROUND(N175*I175,2)</f>
        <v>0</v>
      </c>
      <c r="P175" s="273">
        <f>H175-L175-N175</f>
        <v>1</v>
      </c>
      <c r="Q175" s="287">
        <f>ROUND(P175*I175,2)</f>
        <v>431.07</v>
      </c>
      <c r="R175" s="137"/>
      <c r="S175" s="269">
        <f>W175+Y175+AA175+AC175</f>
        <v>0</v>
      </c>
      <c r="T175" s="269">
        <f>ROUND(S175*I175,2)</f>
        <v>0</v>
      </c>
      <c r="U175" s="269">
        <f>H175-S175</f>
        <v>1</v>
      </c>
      <c r="V175" s="269">
        <f>ROUND(U175*I175,2)</f>
        <v>431.07</v>
      </c>
      <c r="W175" s="269"/>
      <c r="X175" s="269"/>
      <c r="Y175" s="269"/>
      <c r="Z175" s="269"/>
      <c r="AA175" s="269"/>
      <c r="AB175" s="269"/>
      <c r="AC175" s="269"/>
      <c r="AD175" s="269"/>
      <c r="BX175" s="132" t="s">
        <v>1</v>
      </c>
      <c r="BY175" s="133" t="s">
        <v>40</v>
      </c>
      <c r="CA175" s="134">
        <f>BZ175*H175</f>
        <v>0</v>
      </c>
      <c r="CB175" s="134">
        <v>0</v>
      </c>
      <c r="CC175" s="134">
        <f>CB175*H175</f>
        <v>0</v>
      </c>
      <c r="CD175" s="134">
        <v>0</v>
      </c>
      <c r="CE175" s="135">
        <f>CD175*H175</f>
        <v>0</v>
      </c>
      <c r="DC175" s="136" t="s">
        <v>95</v>
      </c>
      <c r="DE175" s="136" t="s">
        <v>284</v>
      </c>
      <c r="DF175" s="136" t="s">
        <v>83</v>
      </c>
      <c r="DJ175" s="16" t="s">
        <v>282</v>
      </c>
      <c r="DP175" s="137">
        <f>IF(BY175="základní",J175,0)</f>
        <v>431.07</v>
      </c>
      <c r="DQ175" s="137">
        <f>IF(BY175="snížená",J175,0)</f>
        <v>0</v>
      </c>
      <c r="DR175" s="137">
        <f>IF(BY175="zákl. přenesená",J175,0)</f>
        <v>0</v>
      </c>
      <c r="DS175" s="137">
        <f>IF(BY175="sníž. přenesená",J175,0)</f>
        <v>0</v>
      </c>
      <c r="DT175" s="137">
        <f>IF(BY175="nulová",J175,0)</f>
        <v>0</v>
      </c>
      <c r="DU175" s="16" t="s">
        <v>81</v>
      </c>
      <c r="DV175" s="137">
        <f>ROUND(I175*H175,2)</f>
        <v>431.07</v>
      </c>
      <c r="DW175" s="16" t="s">
        <v>95</v>
      </c>
      <c r="DX175" s="136" t="s">
        <v>581</v>
      </c>
    </row>
    <row r="176" spans="2:128" s="1" customFormat="1" x14ac:dyDescent="0.2">
      <c r="B176" s="31"/>
      <c r="D176" s="138" t="s">
        <v>289</v>
      </c>
      <c r="F176" s="139" t="s">
        <v>2914</v>
      </c>
      <c r="I176" s="140"/>
      <c r="L176" s="31"/>
      <c r="N176" s="213"/>
      <c r="O176" s="214"/>
      <c r="Q176" s="229"/>
      <c r="BX176" s="141"/>
      <c r="CE176" s="50"/>
      <c r="DE176" s="16" t="s">
        <v>289</v>
      </c>
      <c r="DF176" s="16" t="s">
        <v>83</v>
      </c>
    </row>
    <row r="177" spans="2:128" s="1" customFormat="1" ht="14.45" customHeight="1" x14ac:dyDescent="0.2">
      <c r="B177" s="124"/>
      <c r="C177" s="125" t="s">
        <v>451</v>
      </c>
      <c r="D177" s="125" t="s">
        <v>284</v>
      </c>
      <c r="E177" s="126" t="s">
        <v>2915</v>
      </c>
      <c r="F177" s="127" t="s">
        <v>2916</v>
      </c>
      <c r="G177" s="128" t="s">
        <v>315</v>
      </c>
      <c r="H177" s="129">
        <v>2</v>
      </c>
      <c r="I177" s="130">
        <v>734.74574633300006</v>
      </c>
      <c r="J177" s="131">
        <f>ROUND(I177*H177,2)</f>
        <v>1469.49</v>
      </c>
      <c r="K177" s="127" t="s">
        <v>1</v>
      </c>
      <c r="L177" s="268">
        <f>S177</f>
        <v>0</v>
      </c>
      <c r="M177" s="272">
        <f>ROUND(I177*L177,2)</f>
        <v>0</v>
      </c>
      <c r="N177" s="243"/>
      <c r="O177" s="294">
        <f>ROUND(N177*I177,2)</f>
        <v>0</v>
      </c>
      <c r="P177" s="273">
        <f>H177-L177-N177</f>
        <v>2</v>
      </c>
      <c r="Q177" s="287">
        <f>ROUND(P177*I177,2)</f>
        <v>1469.49</v>
      </c>
      <c r="R177" s="137"/>
      <c r="S177" s="269">
        <f>W177+Y177+AA177+AC177</f>
        <v>0</v>
      </c>
      <c r="T177" s="269">
        <f>ROUND(S177*I177,2)</f>
        <v>0</v>
      </c>
      <c r="U177" s="269">
        <f>H177-S177</f>
        <v>2</v>
      </c>
      <c r="V177" s="269">
        <f>ROUND(U177*I177,2)</f>
        <v>1469.49</v>
      </c>
      <c r="W177" s="269"/>
      <c r="X177" s="269"/>
      <c r="Y177" s="269"/>
      <c r="Z177" s="269"/>
      <c r="AA177" s="269"/>
      <c r="AB177" s="269"/>
      <c r="AC177" s="269"/>
      <c r="AD177" s="269"/>
      <c r="BX177" s="132" t="s">
        <v>1</v>
      </c>
      <c r="BY177" s="133" t="s">
        <v>40</v>
      </c>
      <c r="CA177" s="134">
        <f>BZ177*H177</f>
        <v>0</v>
      </c>
      <c r="CB177" s="134">
        <v>0</v>
      </c>
      <c r="CC177" s="134">
        <f>CB177*H177</f>
        <v>0</v>
      </c>
      <c r="CD177" s="134">
        <v>0</v>
      </c>
      <c r="CE177" s="135">
        <f>CD177*H177</f>
        <v>0</v>
      </c>
      <c r="DC177" s="136" t="s">
        <v>95</v>
      </c>
      <c r="DE177" s="136" t="s">
        <v>284</v>
      </c>
      <c r="DF177" s="136" t="s">
        <v>83</v>
      </c>
      <c r="DJ177" s="16" t="s">
        <v>282</v>
      </c>
      <c r="DP177" s="137">
        <f>IF(BY177="základní",J177,0)</f>
        <v>1469.49</v>
      </c>
      <c r="DQ177" s="137">
        <f>IF(BY177="snížená",J177,0)</f>
        <v>0</v>
      </c>
      <c r="DR177" s="137">
        <f>IF(BY177="zákl. přenesená",J177,0)</f>
        <v>0</v>
      </c>
      <c r="DS177" s="137">
        <f>IF(BY177="sníž. přenesená",J177,0)</f>
        <v>0</v>
      </c>
      <c r="DT177" s="137">
        <f>IF(BY177="nulová",J177,0)</f>
        <v>0</v>
      </c>
      <c r="DU177" s="16" t="s">
        <v>81</v>
      </c>
      <c r="DV177" s="137">
        <f>ROUND(I177*H177,2)</f>
        <v>1469.49</v>
      </c>
      <c r="DW177" s="16" t="s">
        <v>95</v>
      </c>
      <c r="DX177" s="136" t="s">
        <v>594</v>
      </c>
    </row>
    <row r="178" spans="2:128" s="1" customFormat="1" x14ac:dyDescent="0.2">
      <c r="B178" s="31"/>
      <c r="D178" s="138" t="s">
        <v>289</v>
      </c>
      <c r="F178" s="139" t="s">
        <v>2916</v>
      </c>
      <c r="I178" s="140"/>
      <c r="L178" s="31"/>
      <c r="N178" s="213"/>
      <c r="O178" s="214"/>
      <c r="Q178" s="229"/>
      <c r="BX178" s="141"/>
      <c r="CE178" s="50"/>
      <c r="DE178" s="16" t="s">
        <v>289</v>
      </c>
      <c r="DF178" s="16" t="s">
        <v>83</v>
      </c>
    </row>
    <row r="179" spans="2:128" s="1" customFormat="1" ht="14.45" customHeight="1" x14ac:dyDescent="0.2">
      <c r="B179" s="124"/>
      <c r="C179" s="125" t="s">
        <v>456</v>
      </c>
      <c r="D179" s="125" t="s">
        <v>284</v>
      </c>
      <c r="E179" s="126" t="s">
        <v>2917</v>
      </c>
      <c r="F179" s="127" t="s">
        <v>2918</v>
      </c>
      <c r="G179" s="128" t="s">
        <v>315</v>
      </c>
      <c r="H179" s="129">
        <v>2</v>
      </c>
      <c r="I179" s="130">
        <v>603.19642991699993</v>
      </c>
      <c r="J179" s="131">
        <f>ROUND(I179*H179,2)</f>
        <v>1206.3900000000001</v>
      </c>
      <c r="K179" s="127" t="s">
        <v>1</v>
      </c>
      <c r="L179" s="268">
        <f>S179</f>
        <v>0</v>
      </c>
      <c r="M179" s="272">
        <f>ROUND(I179*L179,2)</f>
        <v>0</v>
      </c>
      <c r="N179" s="243"/>
      <c r="O179" s="294">
        <f>ROUND(N179*I179,2)</f>
        <v>0</v>
      </c>
      <c r="P179" s="273">
        <f>H179-L179-N179</f>
        <v>2</v>
      </c>
      <c r="Q179" s="287">
        <f>ROUND(P179*I179,2)</f>
        <v>1206.3900000000001</v>
      </c>
      <c r="R179" s="137"/>
      <c r="S179" s="269">
        <f>W179+Y179+AA179+AC179</f>
        <v>0</v>
      </c>
      <c r="T179" s="269">
        <f>ROUND(S179*I179,2)</f>
        <v>0</v>
      </c>
      <c r="U179" s="269">
        <f>H179-S179</f>
        <v>2</v>
      </c>
      <c r="V179" s="269">
        <f>ROUND(U179*I179,2)</f>
        <v>1206.3900000000001</v>
      </c>
      <c r="W179" s="269"/>
      <c r="X179" s="269"/>
      <c r="Y179" s="269"/>
      <c r="Z179" s="269"/>
      <c r="AA179" s="269"/>
      <c r="AB179" s="269"/>
      <c r="AC179" s="269"/>
      <c r="AD179" s="269"/>
      <c r="BX179" s="132" t="s">
        <v>1</v>
      </c>
      <c r="BY179" s="133" t="s">
        <v>40</v>
      </c>
      <c r="CA179" s="134">
        <f>BZ179*H179</f>
        <v>0</v>
      </c>
      <c r="CB179" s="134">
        <v>0</v>
      </c>
      <c r="CC179" s="134">
        <f>CB179*H179</f>
        <v>0</v>
      </c>
      <c r="CD179" s="134">
        <v>0</v>
      </c>
      <c r="CE179" s="135">
        <f>CD179*H179</f>
        <v>0</v>
      </c>
      <c r="DC179" s="136" t="s">
        <v>95</v>
      </c>
      <c r="DE179" s="136" t="s">
        <v>284</v>
      </c>
      <c r="DF179" s="136" t="s">
        <v>83</v>
      </c>
      <c r="DJ179" s="16" t="s">
        <v>282</v>
      </c>
      <c r="DP179" s="137">
        <f>IF(BY179="základní",J179,0)</f>
        <v>1206.3900000000001</v>
      </c>
      <c r="DQ179" s="137">
        <f>IF(BY179="snížená",J179,0)</f>
        <v>0</v>
      </c>
      <c r="DR179" s="137">
        <f>IF(BY179="zákl. přenesená",J179,0)</f>
        <v>0</v>
      </c>
      <c r="DS179" s="137">
        <f>IF(BY179="sníž. přenesená",J179,0)</f>
        <v>0</v>
      </c>
      <c r="DT179" s="137">
        <f>IF(BY179="nulová",J179,0)</f>
        <v>0</v>
      </c>
      <c r="DU179" s="16" t="s">
        <v>81</v>
      </c>
      <c r="DV179" s="137">
        <f>ROUND(I179*H179,2)</f>
        <v>1206.3900000000001</v>
      </c>
      <c r="DW179" s="16" t="s">
        <v>95</v>
      </c>
      <c r="DX179" s="136" t="s">
        <v>604</v>
      </c>
    </row>
    <row r="180" spans="2:128" s="1" customFormat="1" x14ac:dyDescent="0.2">
      <c r="B180" s="31"/>
      <c r="D180" s="138" t="s">
        <v>289</v>
      </c>
      <c r="F180" s="139" t="s">
        <v>2918</v>
      </c>
      <c r="I180" s="140"/>
      <c r="L180" s="31"/>
      <c r="N180" s="213"/>
      <c r="O180" s="214"/>
      <c r="Q180" s="229"/>
      <c r="BX180" s="141"/>
      <c r="CE180" s="50"/>
      <c r="DE180" s="16" t="s">
        <v>289</v>
      </c>
      <c r="DF180" s="16" t="s">
        <v>83</v>
      </c>
    </row>
    <row r="181" spans="2:128" s="1" customFormat="1" ht="14.45" customHeight="1" x14ac:dyDescent="0.2">
      <c r="B181" s="124"/>
      <c r="C181" s="125" t="s">
        <v>463</v>
      </c>
      <c r="D181" s="125" t="s">
        <v>284</v>
      </c>
      <c r="E181" s="126" t="s">
        <v>2919</v>
      </c>
      <c r="F181" s="127" t="s">
        <v>2920</v>
      </c>
      <c r="G181" s="128" t="s">
        <v>315</v>
      </c>
      <c r="H181" s="129">
        <v>1</v>
      </c>
      <c r="I181" s="130">
        <v>603.19642991699993</v>
      </c>
      <c r="J181" s="131">
        <f>ROUND(I181*H181,2)</f>
        <v>603.20000000000005</v>
      </c>
      <c r="K181" s="127" t="s">
        <v>1</v>
      </c>
      <c r="L181" s="268">
        <f>S181</f>
        <v>0</v>
      </c>
      <c r="M181" s="272">
        <f>ROUND(I181*L181,2)</f>
        <v>0</v>
      </c>
      <c r="N181" s="243"/>
      <c r="O181" s="294">
        <f>ROUND(N181*I181,2)</f>
        <v>0</v>
      </c>
      <c r="P181" s="273">
        <f>H181-L181-N181</f>
        <v>1</v>
      </c>
      <c r="Q181" s="287">
        <f>ROUND(P181*I181,2)</f>
        <v>603.20000000000005</v>
      </c>
      <c r="R181" s="137"/>
      <c r="S181" s="269">
        <f>W181+Y181+AA181+AC181</f>
        <v>0</v>
      </c>
      <c r="T181" s="269">
        <f>ROUND(S181*I181,2)</f>
        <v>0</v>
      </c>
      <c r="U181" s="269">
        <f>H181-S181</f>
        <v>1</v>
      </c>
      <c r="V181" s="269">
        <f>ROUND(U181*I181,2)</f>
        <v>603.20000000000005</v>
      </c>
      <c r="W181" s="269"/>
      <c r="X181" s="269"/>
      <c r="Y181" s="269"/>
      <c r="Z181" s="269"/>
      <c r="AA181" s="269"/>
      <c r="AB181" s="269"/>
      <c r="AC181" s="269"/>
      <c r="AD181" s="269"/>
      <c r="BX181" s="132" t="s">
        <v>1</v>
      </c>
      <c r="BY181" s="133" t="s">
        <v>40</v>
      </c>
      <c r="CA181" s="134">
        <f>BZ181*H181</f>
        <v>0</v>
      </c>
      <c r="CB181" s="134">
        <v>0</v>
      </c>
      <c r="CC181" s="134">
        <f>CB181*H181</f>
        <v>0</v>
      </c>
      <c r="CD181" s="134">
        <v>0</v>
      </c>
      <c r="CE181" s="135">
        <f>CD181*H181</f>
        <v>0</v>
      </c>
      <c r="DC181" s="136" t="s">
        <v>95</v>
      </c>
      <c r="DE181" s="136" t="s">
        <v>284</v>
      </c>
      <c r="DF181" s="136" t="s">
        <v>83</v>
      </c>
      <c r="DJ181" s="16" t="s">
        <v>282</v>
      </c>
      <c r="DP181" s="137">
        <f>IF(BY181="základní",J181,0)</f>
        <v>603.20000000000005</v>
      </c>
      <c r="DQ181" s="137">
        <f>IF(BY181="snížená",J181,0)</f>
        <v>0</v>
      </c>
      <c r="DR181" s="137">
        <f>IF(BY181="zákl. přenesená",J181,0)</f>
        <v>0</v>
      </c>
      <c r="DS181" s="137">
        <f>IF(BY181="sníž. přenesená",J181,0)</f>
        <v>0</v>
      </c>
      <c r="DT181" s="137">
        <f>IF(BY181="nulová",J181,0)</f>
        <v>0</v>
      </c>
      <c r="DU181" s="16" t="s">
        <v>81</v>
      </c>
      <c r="DV181" s="137">
        <f>ROUND(I181*H181,2)</f>
        <v>603.20000000000005</v>
      </c>
      <c r="DW181" s="16" t="s">
        <v>95</v>
      </c>
      <c r="DX181" s="136" t="s">
        <v>614</v>
      </c>
    </row>
    <row r="182" spans="2:128" s="1" customFormat="1" x14ac:dyDescent="0.2">
      <c r="B182" s="31"/>
      <c r="D182" s="138" t="s">
        <v>289</v>
      </c>
      <c r="F182" s="139" t="s">
        <v>2920</v>
      </c>
      <c r="I182" s="140"/>
      <c r="L182" s="31"/>
      <c r="N182" s="213"/>
      <c r="O182" s="214"/>
      <c r="Q182" s="229"/>
      <c r="BX182" s="141"/>
      <c r="CE182" s="50"/>
      <c r="DE182" s="16" t="s">
        <v>289</v>
      </c>
      <c r="DF182" s="16" t="s">
        <v>83</v>
      </c>
    </row>
    <row r="183" spans="2:128" s="1" customFormat="1" ht="14.45" customHeight="1" x14ac:dyDescent="0.2">
      <c r="B183" s="124"/>
      <c r="C183" s="125" t="s">
        <v>470</v>
      </c>
      <c r="D183" s="125" t="s">
        <v>284</v>
      </c>
      <c r="E183" s="126" t="s">
        <v>2921</v>
      </c>
      <c r="F183" s="127" t="s">
        <v>2922</v>
      </c>
      <c r="G183" s="128" t="s">
        <v>315</v>
      </c>
      <c r="H183" s="129">
        <v>2</v>
      </c>
      <c r="I183" s="130">
        <v>603.19642991699993</v>
      </c>
      <c r="J183" s="131">
        <f>ROUND(I183*H183,2)</f>
        <v>1206.3900000000001</v>
      </c>
      <c r="K183" s="127" t="s">
        <v>1</v>
      </c>
      <c r="L183" s="268">
        <f>S183</f>
        <v>0</v>
      </c>
      <c r="M183" s="272">
        <f>ROUND(I183*L183,2)</f>
        <v>0</v>
      </c>
      <c r="N183" s="243"/>
      <c r="O183" s="294">
        <f>ROUND(N183*I183,2)</f>
        <v>0</v>
      </c>
      <c r="P183" s="273">
        <f>H183-L183-N183</f>
        <v>2</v>
      </c>
      <c r="Q183" s="287">
        <f>ROUND(P183*I183,2)</f>
        <v>1206.3900000000001</v>
      </c>
      <c r="R183" s="137"/>
      <c r="S183" s="269">
        <f>W183+Y183+AA183+AC183</f>
        <v>0</v>
      </c>
      <c r="T183" s="269">
        <f>ROUND(S183*I183,2)</f>
        <v>0</v>
      </c>
      <c r="U183" s="269">
        <f>H183-S183</f>
        <v>2</v>
      </c>
      <c r="V183" s="269">
        <f>ROUND(U183*I183,2)</f>
        <v>1206.3900000000001</v>
      </c>
      <c r="W183" s="269"/>
      <c r="X183" s="269"/>
      <c r="Y183" s="269"/>
      <c r="Z183" s="269"/>
      <c r="AA183" s="269"/>
      <c r="AB183" s="269"/>
      <c r="AC183" s="269"/>
      <c r="AD183" s="269"/>
      <c r="BX183" s="132" t="s">
        <v>1</v>
      </c>
      <c r="BY183" s="133" t="s">
        <v>40</v>
      </c>
      <c r="CA183" s="134">
        <f>BZ183*H183</f>
        <v>0</v>
      </c>
      <c r="CB183" s="134">
        <v>0</v>
      </c>
      <c r="CC183" s="134">
        <f>CB183*H183</f>
        <v>0</v>
      </c>
      <c r="CD183" s="134">
        <v>0</v>
      </c>
      <c r="CE183" s="135">
        <f>CD183*H183</f>
        <v>0</v>
      </c>
      <c r="DC183" s="136" t="s">
        <v>95</v>
      </c>
      <c r="DE183" s="136" t="s">
        <v>284</v>
      </c>
      <c r="DF183" s="136" t="s">
        <v>83</v>
      </c>
      <c r="DJ183" s="16" t="s">
        <v>282</v>
      </c>
      <c r="DP183" s="137">
        <f>IF(BY183="základní",J183,0)</f>
        <v>1206.3900000000001</v>
      </c>
      <c r="DQ183" s="137">
        <f>IF(BY183="snížená",J183,0)</f>
        <v>0</v>
      </c>
      <c r="DR183" s="137">
        <f>IF(BY183="zákl. přenesená",J183,0)</f>
        <v>0</v>
      </c>
      <c r="DS183" s="137">
        <f>IF(BY183="sníž. přenesená",J183,0)</f>
        <v>0</v>
      </c>
      <c r="DT183" s="137">
        <f>IF(BY183="nulová",J183,0)</f>
        <v>0</v>
      </c>
      <c r="DU183" s="16" t="s">
        <v>81</v>
      </c>
      <c r="DV183" s="137">
        <f>ROUND(I183*H183,2)</f>
        <v>1206.3900000000001</v>
      </c>
      <c r="DW183" s="16" t="s">
        <v>95</v>
      </c>
      <c r="DX183" s="136" t="s">
        <v>622</v>
      </c>
    </row>
    <row r="184" spans="2:128" s="1" customFormat="1" x14ac:dyDescent="0.2">
      <c r="B184" s="31"/>
      <c r="D184" s="138" t="s">
        <v>289</v>
      </c>
      <c r="F184" s="139" t="s">
        <v>2922</v>
      </c>
      <c r="I184" s="140"/>
      <c r="L184" s="31"/>
      <c r="N184" s="213"/>
      <c r="O184" s="214"/>
      <c r="Q184" s="229"/>
      <c r="BX184" s="141"/>
      <c r="CE184" s="50"/>
      <c r="DE184" s="16" t="s">
        <v>289</v>
      </c>
      <c r="DF184" s="16" t="s">
        <v>83</v>
      </c>
    </row>
    <row r="185" spans="2:128" s="1" customFormat="1" ht="14.45" customHeight="1" x14ac:dyDescent="0.2">
      <c r="B185" s="124"/>
      <c r="C185" s="125" t="s">
        <v>476</v>
      </c>
      <c r="D185" s="125" t="s">
        <v>284</v>
      </c>
      <c r="E185" s="126" t="s">
        <v>2923</v>
      </c>
      <c r="F185" s="127" t="s">
        <v>2924</v>
      </c>
      <c r="G185" s="128" t="s">
        <v>315</v>
      </c>
      <c r="H185" s="129">
        <v>6</v>
      </c>
      <c r="I185" s="130">
        <v>342.57950221900001</v>
      </c>
      <c r="J185" s="131">
        <f>ROUND(I185*H185,2)</f>
        <v>2055.48</v>
      </c>
      <c r="K185" s="127" t="s">
        <v>1</v>
      </c>
      <c r="L185" s="268">
        <f>S185</f>
        <v>0</v>
      </c>
      <c r="M185" s="272">
        <f>ROUND(I185*L185,2)</f>
        <v>0</v>
      </c>
      <c r="N185" s="243"/>
      <c r="O185" s="294">
        <f>ROUND(N185*I185,2)</f>
        <v>0</v>
      </c>
      <c r="P185" s="273">
        <f>H185-L185-N185</f>
        <v>6</v>
      </c>
      <c r="Q185" s="287">
        <f>ROUND(P185*I185,2)</f>
        <v>2055.48</v>
      </c>
      <c r="R185" s="137"/>
      <c r="S185" s="269">
        <f>W185+Y185+AA185+AC185</f>
        <v>0</v>
      </c>
      <c r="T185" s="269">
        <f>ROUND(S185*I185,2)</f>
        <v>0</v>
      </c>
      <c r="U185" s="269">
        <f>H185-S185</f>
        <v>6</v>
      </c>
      <c r="V185" s="269">
        <f>ROUND(U185*I185,2)</f>
        <v>2055.48</v>
      </c>
      <c r="W185" s="269"/>
      <c r="X185" s="269"/>
      <c r="Y185" s="269"/>
      <c r="Z185" s="269"/>
      <c r="AA185" s="269"/>
      <c r="AB185" s="269"/>
      <c r="AC185" s="269"/>
      <c r="AD185" s="269"/>
      <c r="BX185" s="132" t="s">
        <v>1</v>
      </c>
      <c r="BY185" s="133" t="s">
        <v>40</v>
      </c>
      <c r="CA185" s="134">
        <f>BZ185*H185</f>
        <v>0</v>
      </c>
      <c r="CB185" s="134">
        <v>0</v>
      </c>
      <c r="CC185" s="134">
        <f>CB185*H185</f>
        <v>0</v>
      </c>
      <c r="CD185" s="134">
        <v>0</v>
      </c>
      <c r="CE185" s="135">
        <f>CD185*H185</f>
        <v>0</v>
      </c>
      <c r="DC185" s="136" t="s">
        <v>95</v>
      </c>
      <c r="DE185" s="136" t="s">
        <v>284</v>
      </c>
      <c r="DF185" s="136" t="s">
        <v>83</v>
      </c>
      <c r="DJ185" s="16" t="s">
        <v>282</v>
      </c>
      <c r="DP185" s="137">
        <f>IF(BY185="základní",J185,0)</f>
        <v>2055.48</v>
      </c>
      <c r="DQ185" s="137">
        <f>IF(BY185="snížená",J185,0)</f>
        <v>0</v>
      </c>
      <c r="DR185" s="137">
        <f>IF(BY185="zákl. přenesená",J185,0)</f>
        <v>0</v>
      </c>
      <c r="DS185" s="137">
        <f>IF(BY185="sníž. přenesená",J185,0)</f>
        <v>0</v>
      </c>
      <c r="DT185" s="137">
        <f>IF(BY185="nulová",J185,0)</f>
        <v>0</v>
      </c>
      <c r="DU185" s="16" t="s">
        <v>81</v>
      </c>
      <c r="DV185" s="137">
        <f>ROUND(I185*H185,2)</f>
        <v>2055.48</v>
      </c>
      <c r="DW185" s="16" t="s">
        <v>95</v>
      </c>
      <c r="DX185" s="136" t="s">
        <v>631</v>
      </c>
    </row>
    <row r="186" spans="2:128" s="1" customFormat="1" x14ac:dyDescent="0.2">
      <c r="B186" s="31"/>
      <c r="D186" s="138" t="s">
        <v>289</v>
      </c>
      <c r="F186" s="139" t="s">
        <v>2924</v>
      </c>
      <c r="I186" s="140"/>
      <c r="L186" s="31"/>
      <c r="N186" s="213"/>
      <c r="O186" s="214"/>
      <c r="Q186" s="229"/>
      <c r="BX186" s="141"/>
      <c r="CE186" s="50"/>
      <c r="DE186" s="16" t="s">
        <v>289</v>
      </c>
      <c r="DF186" s="16" t="s">
        <v>83</v>
      </c>
    </row>
    <row r="187" spans="2:128" s="1" customFormat="1" ht="24.2" customHeight="1" x14ac:dyDescent="0.2">
      <c r="B187" s="124"/>
      <c r="C187" s="125" t="s">
        <v>482</v>
      </c>
      <c r="D187" s="125" t="s">
        <v>284</v>
      </c>
      <c r="E187" s="126" t="s">
        <v>2925</v>
      </c>
      <c r="F187" s="127" t="s">
        <v>2926</v>
      </c>
      <c r="G187" s="128" t="s">
        <v>315</v>
      </c>
      <c r="H187" s="129">
        <v>2</v>
      </c>
      <c r="I187" s="130">
        <v>1591.331848157</v>
      </c>
      <c r="J187" s="131">
        <f>ROUND(I187*H187,2)</f>
        <v>3182.66</v>
      </c>
      <c r="K187" s="127" t="s">
        <v>1</v>
      </c>
      <c r="L187" s="268">
        <f>S187</f>
        <v>0</v>
      </c>
      <c r="M187" s="272">
        <f>ROUND(I187*L187,2)</f>
        <v>0</v>
      </c>
      <c r="N187" s="243"/>
      <c r="O187" s="294">
        <f>ROUND(N187*I187,2)</f>
        <v>0</v>
      </c>
      <c r="P187" s="273">
        <f>H187-L187-N187</f>
        <v>2</v>
      </c>
      <c r="Q187" s="287">
        <f>ROUND(P187*I187,2)</f>
        <v>3182.66</v>
      </c>
      <c r="R187" s="137"/>
      <c r="S187" s="269">
        <f>W187+Y187+AA187+AC187</f>
        <v>0</v>
      </c>
      <c r="T187" s="269">
        <f>ROUND(S187*I187,2)</f>
        <v>0</v>
      </c>
      <c r="U187" s="269">
        <f>H187-S187</f>
        <v>2</v>
      </c>
      <c r="V187" s="269">
        <f>ROUND(U187*I187,2)</f>
        <v>3182.66</v>
      </c>
      <c r="W187" s="269"/>
      <c r="X187" s="269"/>
      <c r="Y187" s="269"/>
      <c r="Z187" s="269"/>
      <c r="AA187" s="269"/>
      <c r="AB187" s="269"/>
      <c r="AC187" s="269"/>
      <c r="AD187" s="269"/>
      <c r="BX187" s="132" t="s">
        <v>1</v>
      </c>
      <c r="BY187" s="133" t="s">
        <v>40</v>
      </c>
      <c r="CA187" s="134">
        <f>BZ187*H187</f>
        <v>0</v>
      </c>
      <c r="CB187" s="134">
        <v>0</v>
      </c>
      <c r="CC187" s="134">
        <f>CB187*H187</f>
        <v>0</v>
      </c>
      <c r="CD187" s="134">
        <v>0</v>
      </c>
      <c r="CE187" s="135">
        <f>CD187*H187</f>
        <v>0</v>
      </c>
      <c r="DC187" s="136" t="s">
        <v>95</v>
      </c>
      <c r="DE187" s="136" t="s">
        <v>284</v>
      </c>
      <c r="DF187" s="136" t="s">
        <v>83</v>
      </c>
      <c r="DJ187" s="16" t="s">
        <v>282</v>
      </c>
      <c r="DP187" s="137">
        <f>IF(BY187="základní",J187,0)</f>
        <v>3182.66</v>
      </c>
      <c r="DQ187" s="137">
        <f>IF(BY187="snížená",J187,0)</f>
        <v>0</v>
      </c>
      <c r="DR187" s="137">
        <f>IF(BY187="zákl. přenesená",J187,0)</f>
        <v>0</v>
      </c>
      <c r="DS187" s="137">
        <f>IF(BY187="sníž. přenesená",J187,0)</f>
        <v>0</v>
      </c>
      <c r="DT187" s="137">
        <f>IF(BY187="nulová",J187,0)</f>
        <v>0</v>
      </c>
      <c r="DU187" s="16" t="s">
        <v>81</v>
      </c>
      <c r="DV187" s="137">
        <f>ROUND(I187*H187,2)</f>
        <v>3182.66</v>
      </c>
      <c r="DW187" s="16" t="s">
        <v>95</v>
      </c>
      <c r="DX187" s="136" t="s">
        <v>639</v>
      </c>
    </row>
    <row r="188" spans="2:128" s="1" customFormat="1" x14ac:dyDescent="0.2">
      <c r="B188" s="31"/>
      <c r="D188" s="138" t="s">
        <v>289</v>
      </c>
      <c r="F188" s="139" t="s">
        <v>2926</v>
      </c>
      <c r="I188" s="140"/>
      <c r="L188" s="31"/>
      <c r="N188" s="213"/>
      <c r="O188" s="214"/>
      <c r="Q188" s="229"/>
      <c r="BX188" s="141"/>
      <c r="CE188" s="50"/>
      <c r="DE188" s="16" t="s">
        <v>289</v>
      </c>
      <c r="DF188" s="16" t="s">
        <v>83</v>
      </c>
    </row>
    <row r="189" spans="2:128" s="1" customFormat="1" ht="14.45" customHeight="1" x14ac:dyDescent="0.2">
      <c r="B189" s="124"/>
      <c r="C189" s="125" t="s">
        <v>489</v>
      </c>
      <c r="D189" s="125" t="s">
        <v>284</v>
      </c>
      <c r="E189" s="126" t="s">
        <v>2927</v>
      </c>
      <c r="F189" s="127" t="s">
        <v>2928</v>
      </c>
      <c r="G189" s="128" t="s">
        <v>315</v>
      </c>
      <c r="H189" s="129">
        <v>1</v>
      </c>
      <c r="I189" s="130">
        <v>799.72474335300001</v>
      </c>
      <c r="J189" s="131">
        <f>ROUND(I189*H189,2)</f>
        <v>799.72</v>
      </c>
      <c r="K189" s="127" t="s">
        <v>1</v>
      </c>
      <c r="L189" s="268">
        <f>S189</f>
        <v>0</v>
      </c>
      <c r="M189" s="272">
        <f>ROUND(I189*L189,2)</f>
        <v>0</v>
      </c>
      <c r="N189" s="243"/>
      <c r="O189" s="294">
        <f>ROUND(N189*I189,2)</f>
        <v>0</v>
      </c>
      <c r="P189" s="273">
        <f>H189-L189-N189</f>
        <v>1</v>
      </c>
      <c r="Q189" s="287">
        <f>ROUND(P189*I189,2)</f>
        <v>799.72</v>
      </c>
      <c r="R189" s="137"/>
      <c r="S189" s="269">
        <f>W189+Y189+AA189+AC189</f>
        <v>0</v>
      </c>
      <c r="T189" s="269">
        <f>ROUND(S189*I189,2)</f>
        <v>0</v>
      </c>
      <c r="U189" s="269">
        <f>H189-S189</f>
        <v>1</v>
      </c>
      <c r="V189" s="269">
        <f>ROUND(U189*I189,2)</f>
        <v>799.72</v>
      </c>
      <c r="W189" s="269"/>
      <c r="X189" s="269"/>
      <c r="Y189" s="269"/>
      <c r="Z189" s="269"/>
      <c r="AA189" s="269"/>
      <c r="AB189" s="269"/>
      <c r="AC189" s="269"/>
      <c r="AD189" s="269"/>
      <c r="BX189" s="132" t="s">
        <v>1</v>
      </c>
      <c r="BY189" s="133" t="s">
        <v>40</v>
      </c>
      <c r="CA189" s="134">
        <f>BZ189*H189</f>
        <v>0</v>
      </c>
      <c r="CB189" s="134">
        <v>0</v>
      </c>
      <c r="CC189" s="134">
        <f>CB189*H189</f>
        <v>0</v>
      </c>
      <c r="CD189" s="134">
        <v>0</v>
      </c>
      <c r="CE189" s="135">
        <f>CD189*H189</f>
        <v>0</v>
      </c>
      <c r="DC189" s="136" t="s">
        <v>95</v>
      </c>
      <c r="DE189" s="136" t="s">
        <v>284</v>
      </c>
      <c r="DF189" s="136" t="s">
        <v>83</v>
      </c>
      <c r="DJ189" s="16" t="s">
        <v>282</v>
      </c>
      <c r="DP189" s="137">
        <f>IF(BY189="základní",J189,0)</f>
        <v>799.72</v>
      </c>
      <c r="DQ189" s="137">
        <f>IF(BY189="snížená",J189,0)</f>
        <v>0</v>
      </c>
      <c r="DR189" s="137">
        <f>IF(BY189="zákl. přenesená",J189,0)</f>
        <v>0</v>
      </c>
      <c r="DS189" s="137">
        <f>IF(BY189="sníž. přenesená",J189,0)</f>
        <v>0</v>
      </c>
      <c r="DT189" s="137">
        <f>IF(BY189="nulová",J189,0)</f>
        <v>0</v>
      </c>
      <c r="DU189" s="16" t="s">
        <v>81</v>
      </c>
      <c r="DV189" s="137">
        <f>ROUND(I189*H189,2)</f>
        <v>799.72</v>
      </c>
      <c r="DW189" s="16" t="s">
        <v>95</v>
      </c>
      <c r="DX189" s="136" t="s">
        <v>650</v>
      </c>
    </row>
    <row r="190" spans="2:128" s="1" customFormat="1" x14ac:dyDescent="0.2">
      <c r="B190" s="31"/>
      <c r="D190" s="138" t="s">
        <v>289</v>
      </c>
      <c r="F190" s="139" t="s">
        <v>2928</v>
      </c>
      <c r="I190" s="140"/>
      <c r="L190" s="31"/>
      <c r="N190" s="213"/>
      <c r="O190" s="214"/>
      <c r="Q190" s="229"/>
      <c r="BX190" s="141"/>
      <c r="CE190" s="50"/>
      <c r="DE190" s="16" t="s">
        <v>289</v>
      </c>
      <c r="DF190" s="16" t="s">
        <v>83</v>
      </c>
    </row>
    <row r="191" spans="2:128" s="1" customFormat="1" ht="14.45" customHeight="1" x14ac:dyDescent="0.2">
      <c r="B191" s="124"/>
      <c r="C191" s="125" t="s">
        <v>493</v>
      </c>
      <c r="D191" s="125" t="s">
        <v>284</v>
      </c>
      <c r="E191" s="126" t="s">
        <v>2929</v>
      </c>
      <c r="F191" s="127" t="s">
        <v>2930</v>
      </c>
      <c r="G191" s="128" t="s">
        <v>315</v>
      </c>
      <c r="H191" s="129">
        <v>1</v>
      </c>
      <c r="I191" s="130">
        <v>1911.1308127910002</v>
      </c>
      <c r="J191" s="131">
        <f>ROUND(I191*H191,2)</f>
        <v>1911.13</v>
      </c>
      <c r="K191" s="127" t="s">
        <v>1</v>
      </c>
      <c r="L191" s="268">
        <f>S191</f>
        <v>0</v>
      </c>
      <c r="M191" s="272">
        <f>ROUND(I191*L191,2)</f>
        <v>0</v>
      </c>
      <c r="N191" s="243"/>
      <c r="O191" s="294">
        <f>ROUND(N191*I191,2)</f>
        <v>0</v>
      </c>
      <c r="P191" s="273">
        <f>H191-L191-N191</f>
        <v>1</v>
      </c>
      <c r="Q191" s="287">
        <f>ROUND(P191*I191,2)</f>
        <v>1911.13</v>
      </c>
      <c r="R191" s="137"/>
      <c r="S191" s="269">
        <f>W191+Y191+AA191+AC191</f>
        <v>0</v>
      </c>
      <c r="T191" s="269">
        <f>ROUND(S191*I191,2)</f>
        <v>0</v>
      </c>
      <c r="U191" s="269">
        <f>H191-S191</f>
        <v>1</v>
      </c>
      <c r="V191" s="269">
        <f>ROUND(U191*I191,2)</f>
        <v>1911.13</v>
      </c>
      <c r="W191" s="269"/>
      <c r="X191" s="269"/>
      <c r="Y191" s="269"/>
      <c r="Z191" s="269"/>
      <c r="AA191" s="269"/>
      <c r="AB191" s="269"/>
      <c r="AC191" s="269"/>
      <c r="AD191" s="269"/>
      <c r="BX191" s="132" t="s">
        <v>1</v>
      </c>
      <c r="BY191" s="133" t="s">
        <v>40</v>
      </c>
      <c r="CA191" s="134">
        <f>BZ191*H191</f>
        <v>0</v>
      </c>
      <c r="CB191" s="134">
        <v>0</v>
      </c>
      <c r="CC191" s="134">
        <f>CB191*H191</f>
        <v>0</v>
      </c>
      <c r="CD191" s="134">
        <v>0</v>
      </c>
      <c r="CE191" s="135">
        <f>CD191*H191</f>
        <v>0</v>
      </c>
      <c r="DC191" s="136" t="s">
        <v>95</v>
      </c>
      <c r="DE191" s="136" t="s">
        <v>284</v>
      </c>
      <c r="DF191" s="136" t="s">
        <v>83</v>
      </c>
      <c r="DJ191" s="16" t="s">
        <v>282</v>
      </c>
      <c r="DP191" s="137">
        <f>IF(BY191="základní",J191,0)</f>
        <v>1911.13</v>
      </c>
      <c r="DQ191" s="137">
        <f>IF(BY191="snížená",J191,0)</f>
        <v>0</v>
      </c>
      <c r="DR191" s="137">
        <f>IF(BY191="zákl. přenesená",J191,0)</f>
        <v>0</v>
      </c>
      <c r="DS191" s="137">
        <f>IF(BY191="sníž. přenesená",J191,0)</f>
        <v>0</v>
      </c>
      <c r="DT191" s="137">
        <f>IF(BY191="nulová",J191,0)</f>
        <v>0</v>
      </c>
      <c r="DU191" s="16" t="s">
        <v>81</v>
      </c>
      <c r="DV191" s="137">
        <f>ROUND(I191*H191,2)</f>
        <v>1911.13</v>
      </c>
      <c r="DW191" s="16" t="s">
        <v>95</v>
      </c>
      <c r="DX191" s="136" t="s">
        <v>660</v>
      </c>
    </row>
    <row r="192" spans="2:128" s="1" customFormat="1" x14ac:dyDescent="0.2">
      <c r="B192" s="31"/>
      <c r="D192" s="138" t="s">
        <v>289</v>
      </c>
      <c r="F192" s="139" t="s">
        <v>2930</v>
      </c>
      <c r="I192" s="140"/>
      <c r="L192" s="31"/>
      <c r="N192" s="213"/>
      <c r="O192" s="214"/>
      <c r="Q192" s="229"/>
      <c r="BX192" s="141"/>
      <c r="CE192" s="50"/>
      <c r="DE192" s="16" t="s">
        <v>289</v>
      </c>
      <c r="DF192" s="16" t="s">
        <v>83</v>
      </c>
    </row>
    <row r="193" spans="2:128" s="1" customFormat="1" ht="14.45" customHeight="1" x14ac:dyDescent="0.2">
      <c r="B193" s="124"/>
      <c r="C193" s="125" t="s">
        <v>497</v>
      </c>
      <c r="D193" s="125" t="s">
        <v>284</v>
      </c>
      <c r="E193" s="126" t="s">
        <v>2931</v>
      </c>
      <c r="F193" s="127" t="s">
        <v>2932</v>
      </c>
      <c r="G193" s="128" t="s">
        <v>315</v>
      </c>
      <c r="H193" s="129">
        <v>1</v>
      </c>
      <c r="I193" s="130">
        <v>550.33232169999997</v>
      </c>
      <c r="J193" s="131">
        <f>ROUND(I193*H193,2)</f>
        <v>550.33000000000004</v>
      </c>
      <c r="K193" s="127" t="s">
        <v>1</v>
      </c>
      <c r="L193" s="268">
        <f>S193</f>
        <v>0</v>
      </c>
      <c r="M193" s="272">
        <f>ROUND(I193*L193,2)</f>
        <v>0</v>
      </c>
      <c r="N193" s="243"/>
      <c r="O193" s="294">
        <f>ROUND(N193*I193,2)</f>
        <v>0</v>
      </c>
      <c r="P193" s="273">
        <f>H193-L193-N193</f>
        <v>1</v>
      </c>
      <c r="Q193" s="287">
        <f>ROUND(P193*I193,2)</f>
        <v>550.33000000000004</v>
      </c>
      <c r="R193" s="137"/>
      <c r="S193" s="269">
        <f>W193+Y193+AA193+AC193</f>
        <v>0</v>
      </c>
      <c r="T193" s="269">
        <f>ROUND(S193*I193,2)</f>
        <v>0</v>
      </c>
      <c r="U193" s="269">
        <f>H193-S193</f>
        <v>1</v>
      </c>
      <c r="V193" s="269">
        <f>ROUND(U193*I193,2)</f>
        <v>550.33000000000004</v>
      </c>
      <c r="W193" s="269"/>
      <c r="X193" s="269"/>
      <c r="Y193" s="269"/>
      <c r="Z193" s="269"/>
      <c r="AA193" s="269"/>
      <c r="AB193" s="269"/>
      <c r="AC193" s="269"/>
      <c r="AD193" s="269"/>
      <c r="BX193" s="132" t="s">
        <v>1</v>
      </c>
      <c r="BY193" s="133" t="s">
        <v>40</v>
      </c>
      <c r="CA193" s="134">
        <f>BZ193*H193</f>
        <v>0</v>
      </c>
      <c r="CB193" s="134">
        <v>0</v>
      </c>
      <c r="CC193" s="134">
        <f>CB193*H193</f>
        <v>0</v>
      </c>
      <c r="CD193" s="134">
        <v>0</v>
      </c>
      <c r="CE193" s="135">
        <f>CD193*H193</f>
        <v>0</v>
      </c>
      <c r="DC193" s="136" t="s">
        <v>95</v>
      </c>
      <c r="DE193" s="136" t="s">
        <v>284</v>
      </c>
      <c r="DF193" s="136" t="s">
        <v>83</v>
      </c>
      <c r="DJ193" s="16" t="s">
        <v>282</v>
      </c>
      <c r="DP193" s="137">
        <f>IF(BY193="základní",J193,0)</f>
        <v>550.33000000000004</v>
      </c>
      <c r="DQ193" s="137">
        <f>IF(BY193="snížená",J193,0)</f>
        <v>0</v>
      </c>
      <c r="DR193" s="137">
        <f>IF(BY193="zákl. přenesená",J193,0)</f>
        <v>0</v>
      </c>
      <c r="DS193" s="137">
        <f>IF(BY193="sníž. přenesená",J193,0)</f>
        <v>0</v>
      </c>
      <c r="DT193" s="137">
        <f>IF(BY193="nulová",J193,0)</f>
        <v>0</v>
      </c>
      <c r="DU193" s="16" t="s">
        <v>81</v>
      </c>
      <c r="DV193" s="137">
        <f>ROUND(I193*H193,2)</f>
        <v>550.33000000000004</v>
      </c>
      <c r="DW193" s="16" t="s">
        <v>95</v>
      </c>
      <c r="DX193" s="136" t="s">
        <v>670</v>
      </c>
    </row>
    <row r="194" spans="2:128" s="1" customFormat="1" x14ac:dyDescent="0.2">
      <c r="B194" s="31"/>
      <c r="D194" s="138" t="s">
        <v>289</v>
      </c>
      <c r="F194" s="139" t="s">
        <v>2932</v>
      </c>
      <c r="I194" s="140"/>
      <c r="L194" s="31"/>
      <c r="N194" s="213"/>
      <c r="O194" s="214"/>
      <c r="Q194" s="229"/>
      <c r="BX194" s="141"/>
      <c r="CE194" s="50"/>
      <c r="DE194" s="16" t="s">
        <v>289</v>
      </c>
      <c r="DF194" s="16" t="s">
        <v>83</v>
      </c>
    </row>
    <row r="195" spans="2:128" s="1" customFormat="1" ht="14.45" customHeight="1" x14ac:dyDescent="0.2">
      <c r="B195" s="124"/>
      <c r="C195" s="125" t="s">
        <v>501</v>
      </c>
      <c r="D195" s="125" t="s">
        <v>284</v>
      </c>
      <c r="E195" s="126" t="s">
        <v>2933</v>
      </c>
      <c r="F195" s="127" t="s">
        <v>2934</v>
      </c>
      <c r="G195" s="128" t="s">
        <v>315</v>
      </c>
      <c r="H195" s="129">
        <v>25</v>
      </c>
      <c r="I195" s="130">
        <v>47.853337164000003</v>
      </c>
      <c r="J195" s="131">
        <f>ROUND(I195*H195,2)</f>
        <v>1196.33</v>
      </c>
      <c r="K195" s="127" t="s">
        <v>1</v>
      </c>
      <c r="L195" s="268">
        <f>S195</f>
        <v>0</v>
      </c>
      <c r="M195" s="272">
        <f>ROUND(I195*L195,2)</f>
        <v>0</v>
      </c>
      <c r="N195" s="243"/>
      <c r="O195" s="294">
        <f>ROUND(N195*I195,2)</f>
        <v>0</v>
      </c>
      <c r="P195" s="273">
        <f>H195-L195-N195</f>
        <v>25</v>
      </c>
      <c r="Q195" s="287">
        <f>ROUND(P195*I195,2)</f>
        <v>1196.33</v>
      </c>
      <c r="R195" s="137"/>
      <c r="S195" s="269">
        <f>W195+Y195+AA195+AC195</f>
        <v>0</v>
      </c>
      <c r="T195" s="269">
        <f>ROUND(S195*I195,2)</f>
        <v>0</v>
      </c>
      <c r="U195" s="269">
        <f>H195-S195</f>
        <v>25</v>
      </c>
      <c r="V195" s="269">
        <f>ROUND(U195*I195,2)</f>
        <v>1196.33</v>
      </c>
      <c r="W195" s="269"/>
      <c r="X195" s="269"/>
      <c r="Y195" s="269"/>
      <c r="Z195" s="269"/>
      <c r="AA195" s="269"/>
      <c r="AB195" s="269"/>
      <c r="AC195" s="269"/>
      <c r="AD195" s="269"/>
      <c r="BX195" s="132" t="s">
        <v>1</v>
      </c>
      <c r="BY195" s="133" t="s">
        <v>40</v>
      </c>
      <c r="CA195" s="134">
        <f>BZ195*H195</f>
        <v>0</v>
      </c>
      <c r="CB195" s="134">
        <v>0</v>
      </c>
      <c r="CC195" s="134">
        <f>CB195*H195</f>
        <v>0</v>
      </c>
      <c r="CD195" s="134">
        <v>0</v>
      </c>
      <c r="CE195" s="135">
        <f>CD195*H195</f>
        <v>0</v>
      </c>
      <c r="DC195" s="136" t="s">
        <v>95</v>
      </c>
      <c r="DE195" s="136" t="s">
        <v>284</v>
      </c>
      <c r="DF195" s="136" t="s">
        <v>83</v>
      </c>
      <c r="DJ195" s="16" t="s">
        <v>282</v>
      </c>
      <c r="DP195" s="137">
        <f>IF(BY195="základní",J195,0)</f>
        <v>1196.33</v>
      </c>
      <c r="DQ195" s="137">
        <f>IF(BY195="snížená",J195,0)</f>
        <v>0</v>
      </c>
      <c r="DR195" s="137">
        <f>IF(BY195="zákl. přenesená",J195,0)</f>
        <v>0</v>
      </c>
      <c r="DS195" s="137">
        <f>IF(BY195="sníž. přenesená",J195,0)</f>
        <v>0</v>
      </c>
      <c r="DT195" s="137">
        <f>IF(BY195="nulová",J195,0)</f>
        <v>0</v>
      </c>
      <c r="DU195" s="16" t="s">
        <v>81</v>
      </c>
      <c r="DV195" s="137">
        <f>ROUND(I195*H195,2)</f>
        <v>1196.33</v>
      </c>
      <c r="DW195" s="16" t="s">
        <v>95</v>
      </c>
      <c r="DX195" s="136" t="s">
        <v>681</v>
      </c>
    </row>
    <row r="196" spans="2:128" s="1" customFormat="1" x14ac:dyDescent="0.2">
      <c r="B196" s="31"/>
      <c r="D196" s="138" t="s">
        <v>289</v>
      </c>
      <c r="F196" s="139" t="s">
        <v>2934</v>
      </c>
      <c r="I196" s="140"/>
      <c r="L196" s="31"/>
      <c r="N196" s="213"/>
      <c r="O196" s="214"/>
      <c r="Q196" s="229"/>
      <c r="BX196" s="141"/>
      <c r="CE196" s="50"/>
      <c r="DE196" s="16" t="s">
        <v>289</v>
      </c>
      <c r="DF196" s="16" t="s">
        <v>83</v>
      </c>
    </row>
    <row r="197" spans="2:128" s="1" customFormat="1" ht="14.45" customHeight="1" x14ac:dyDescent="0.2">
      <c r="B197" s="124"/>
      <c r="C197" s="125" t="s">
        <v>505</v>
      </c>
      <c r="D197" s="125" t="s">
        <v>284</v>
      </c>
      <c r="E197" s="126" t="s">
        <v>2935</v>
      </c>
      <c r="F197" s="127" t="s">
        <v>2936</v>
      </c>
      <c r="G197" s="128" t="s">
        <v>315</v>
      </c>
      <c r="H197" s="129">
        <v>4</v>
      </c>
      <c r="I197" s="130">
        <v>52.096863499999998</v>
      </c>
      <c r="J197" s="131">
        <f>ROUND(I197*H197,2)</f>
        <v>208.39</v>
      </c>
      <c r="K197" s="127" t="s">
        <v>1</v>
      </c>
      <c r="L197" s="268">
        <f>S197</f>
        <v>0</v>
      </c>
      <c r="M197" s="272">
        <f>ROUND(I197*L197,2)</f>
        <v>0</v>
      </c>
      <c r="N197" s="243"/>
      <c r="O197" s="294">
        <f>ROUND(N197*I197,2)</f>
        <v>0</v>
      </c>
      <c r="P197" s="273">
        <f>H197-L197-N197</f>
        <v>4</v>
      </c>
      <c r="Q197" s="287">
        <f>ROUND(P197*I197,2)</f>
        <v>208.39</v>
      </c>
      <c r="R197" s="137"/>
      <c r="S197" s="269">
        <f>W197+Y197+AA197+AC197</f>
        <v>0</v>
      </c>
      <c r="T197" s="269">
        <f>ROUND(S197*I197,2)</f>
        <v>0</v>
      </c>
      <c r="U197" s="269">
        <f>H197-S197</f>
        <v>4</v>
      </c>
      <c r="V197" s="269">
        <f>ROUND(U197*I197,2)</f>
        <v>208.39</v>
      </c>
      <c r="W197" s="269"/>
      <c r="X197" s="269"/>
      <c r="Y197" s="269"/>
      <c r="Z197" s="269"/>
      <c r="AA197" s="269"/>
      <c r="AB197" s="269"/>
      <c r="AC197" s="269"/>
      <c r="AD197" s="269"/>
      <c r="BX197" s="132" t="s">
        <v>1</v>
      </c>
      <c r="BY197" s="133" t="s">
        <v>40</v>
      </c>
      <c r="CA197" s="134">
        <f>BZ197*H197</f>
        <v>0</v>
      </c>
      <c r="CB197" s="134">
        <v>0</v>
      </c>
      <c r="CC197" s="134">
        <f>CB197*H197</f>
        <v>0</v>
      </c>
      <c r="CD197" s="134">
        <v>0</v>
      </c>
      <c r="CE197" s="135">
        <f>CD197*H197</f>
        <v>0</v>
      </c>
      <c r="DC197" s="136" t="s">
        <v>95</v>
      </c>
      <c r="DE197" s="136" t="s">
        <v>284</v>
      </c>
      <c r="DF197" s="136" t="s">
        <v>83</v>
      </c>
      <c r="DJ197" s="16" t="s">
        <v>282</v>
      </c>
      <c r="DP197" s="137">
        <f>IF(BY197="základní",J197,0)</f>
        <v>208.39</v>
      </c>
      <c r="DQ197" s="137">
        <f>IF(BY197="snížená",J197,0)</f>
        <v>0</v>
      </c>
      <c r="DR197" s="137">
        <f>IF(BY197="zákl. přenesená",J197,0)</f>
        <v>0</v>
      </c>
      <c r="DS197" s="137">
        <f>IF(BY197="sníž. přenesená",J197,0)</f>
        <v>0</v>
      </c>
      <c r="DT197" s="137">
        <f>IF(BY197="nulová",J197,0)</f>
        <v>0</v>
      </c>
      <c r="DU197" s="16" t="s">
        <v>81</v>
      </c>
      <c r="DV197" s="137">
        <f>ROUND(I197*H197,2)</f>
        <v>208.39</v>
      </c>
      <c r="DW197" s="16" t="s">
        <v>95</v>
      </c>
      <c r="DX197" s="136" t="s">
        <v>697</v>
      </c>
    </row>
    <row r="198" spans="2:128" s="1" customFormat="1" x14ac:dyDescent="0.2">
      <c r="B198" s="31"/>
      <c r="D198" s="138" t="s">
        <v>289</v>
      </c>
      <c r="F198" s="139" t="s">
        <v>2936</v>
      </c>
      <c r="I198" s="140"/>
      <c r="L198" s="31"/>
      <c r="N198" s="213"/>
      <c r="O198" s="214"/>
      <c r="Q198" s="229"/>
      <c r="BX198" s="141"/>
      <c r="CE198" s="50"/>
      <c r="DE198" s="16" t="s">
        <v>289</v>
      </c>
      <c r="DF198" s="16" t="s">
        <v>83</v>
      </c>
    </row>
    <row r="199" spans="2:128" s="1" customFormat="1" ht="14.45" customHeight="1" x14ac:dyDescent="0.2">
      <c r="B199" s="124"/>
      <c r="C199" s="125" t="s">
        <v>510</v>
      </c>
      <c r="D199" s="125" t="s">
        <v>284</v>
      </c>
      <c r="E199" s="126" t="s">
        <v>2937</v>
      </c>
      <c r="F199" s="127" t="s">
        <v>2938</v>
      </c>
      <c r="G199" s="128" t="s">
        <v>315</v>
      </c>
      <c r="H199" s="129">
        <v>5</v>
      </c>
      <c r="I199" s="130">
        <v>77.823241912</v>
      </c>
      <c r="J199" s="131">
        <f>ROUND(I199*H199,2)</f>
        <v>389.12</v>
      </c>
      <c r="K199" s="127" t="s">
        <v>1</v>
      </c>
      <c r="L199" s="268">
        <f>S199</f>
        <v>0</v>
      </c>
      <c r="M199" s="272">
        <f>ROUND(I199*L199,2)</f>
        <v>0</v>
      </c>
      <c r="N199" s="243"/>
      <c r="O199" s="294">
        <f>ROUND(N199*I199,2)</f>
        <v>0</v>
      </c>
      <c r="P199" s="273">
        <f>H199-L199-N199</f>
        <v>5</v>
      </c>
      <c r="Q199" s="287">
        <f>ROUND(P199*I199,2)</f>
        <v>389.12</v>
      </c>
      <c r="R199" s="137"/>
      <c r="S199" s="269">
        <f>W199+Y199+AA199+AC199</f>
        <v>0</v>
      </c>
      <c r="T199" s="269">
        <f>ROUND(S199*I199,2)</f>
        <v>0</v>
      </c>
      <c r="U199" s="269">
        <f>H199-S199</f>
        <v>5</v>
      </c>
      <c r="V199" s="269">
        <f>ROUND(U199*I199,2)</f>
        <v>389.12</v>
      </c>
      <c r="W199" s="269"/>
      <c r="X199" s="269"/>
      <c r="Y199" s="269"/>
      <c r="Z199" s="269"/>
      <c r="AA199" s="269"/>
      <c r="AB199" s="269"/>
      <c r="AC199" s="269"/>
      <c r="AD199" s="269"/>
      <c r="BX199" s="132" t="s">
        <v>1</v>
      </c>
      <c r="BY199" s="133" t="s">
        <v>40</v>
      </c>
      <c r="CA199" s="134">
        <f>BZ199*H199</f>
        <v>0</v>
      </c>
      <c r="CB199" s="134">
        <v>0</v>
      </c>
      <c r="CC199" s="134">
        <f>CB199*H199</f>
        <v>0</v>
      </c>
      <c r="CD199" s="134">
        <v>0</v>
      </c>
      <c r="CE199" s="135">
        <f>CD199*H199</f>
        <v>0</v>
      </c>
      <c r="DC199" s="136" t="s">
        <v>95</v>
      </c>
      <c r="DE199" s="136" t="s">
        <v>284</v>
      </c>
      <c r="DF199" s="136" t="s">
        <v>83</v>
      </c>
      <c r="DJ199" s="16" t="s">
        <v>282</v>
      </c>
      <c r="DP199" s="137">
        <f>IF(BY199="základní",J199,0)</f>
        <v>389.12</v>
      </c>
      <c r="DQ199" s="137">
        <f>IF(BY199="snížená",J199,0)</f>
        <v>0</v>
      </c>
      <c r="DR199" s="137">
        <f>IF(BY199="zákl. přenesená",J199,0)</f>
        <v>0</v>
      </c>
      <c r="DS199" s="137">
        <f>IF(BY199="sníž. přenesená",J199,0)</f>
        <v>0</v>
      </c>
      <c r="DT199" s="137">
        <f>IF(BY199="nulová",J199,0)</f>
        <v>0</v>
      </c>
      <c r="DU199" s="16" t="s">
        <v>81</v>
      </c>
      <c r="DV199" s="137">
        <f>ROUND(I199*H199,2)</f>
        <v>389.12</v>
      </c>
      <c r="DW199" s="16" t="s">
        <v>95</v>
      </c>
      <c r="DX199" s="136" t="s">
        <v>710</v>
      </c>
    </row>
    <row r="200" spans="2:128" s="1" customFormat="1" x14ac:dyDescent="0.2">
      <c r="B200" s="31"/>
      <c r="D200" s="138" t="s">
        <v>289</v>
      </c>
      <c r="F200" s="139" t="s">
        <v>2938</v>
      </c>
      <c r="I200" s="140"/>
      <c r="L200" s="31"/>
      <c r="N200" s="213"/>
      <c r="O200" s="214"/>
      <c r="Q200" s="229"/>
      <c r="BX200" s="141"/>
      <c r="CE200" s="50"/>
      <c r="DE200" s="16" t="s">
        <v>289</v>
      </c>
      <c r="DF200" s="16" t="s">
        <v>83</v>
      </c>
    </row>
    <row r="201" spans="2:128" s="1" customFormat="1" ht="14.45" customHeight="1" x14ac:dyDescent="0.2">
      <c r="B201" s="124"/>
      <c r="C201" s="125" t="s">
        <v>514</v>
      </c>
      <c r="D201" s="125" t="s">
        <v>284</v>
      </c>
      <c r="E201" s="126" t="s">
        <v>2939</v>
      </c>
      <c r="F201" s="127" t="s">
        <v>2940</v>
      </c>
      <c r="G201" s="128" t="s">
        <v>315</v>
      </c>
      <c r="H201" s="129">
        <v>1</v>
      </c>
      <c r="I201" s="130">
        <v>84.851582405999991</v>
      </c>
      <c r="J201" s="131">
        <f>ROUND(I201*H201,2)</f>
        <v>84.85</v>
      </c>
      <c r="K201" s="127" t="s">
        <v>1</v>
      </c>
      <c r="L201" s="268">
        <f>S201</f>
        <v>0</v>
      </c>
      <c r="M201" s="272">
        <f>ROUND(I201*L201,2)</f>
        <v>0</v>
      </c>
      <c r="N201" s="243"/>
      <c r="O201" s="294">
        <f>ROUND(N201*I201,2)</f>
        <v>0</v>
      </c>
      <c r="P201" s="273">
        <f>H201-L201-N201</f>
        <v>1</v>
      </c>
      <c r="Q201" s="287">
        <f>ROUND(P201*I201,2)</f>
        <v>84.85</v>
      </c>
      <c r="R201" s="137"/>
      <c r="S201" s="269">
        <f>W201+Y201+AA201+AC201</f>
        <v>0</v>
      </c>
      <c r="T201" s="269">
        <f>ROUND(S201*I201,2)</f>
        <v>0</v>
      </c>
      <c r="U201" s="269">
        <f>H201-S201</f>
        <v>1</v>
      </c>
      <c r="V201" s="269">
        <f>ROUND(U201*I201,2)</f>
        <v>84.85</v>
      </c>
      <c r="W201" s="269"/>
      <c r="X201" s="269"/>
      <c r="Y201" s="269"/>
      <c r="Z201" s="269"/>
      <c r="AA201" s="269"/>
      <c r="AB201" s="269"/>
      <c r="AC201" s="269"/>
      <c r="AD201" s="269"/>
      <c r="BX201" s="132" t="s">
        <v>1</v>
      </c>
      <c r="BY201" s="133" t="s">
        <v>40</v>
      </c>
      <c r="CA201" s="134">
        <f>BZ201*H201</f>
        <v>0</v>
      </c>
      <c r="CB201" s="134">
        <v>0</v>
      </c>
      <c r="CC201" s="134">
        <f>CB201*H201</f>
        <v>0</v>
      </c>
      <c r="CD201" s="134">
        <v>0</v>
      </c>
      <c r="CE201" s="135">
        <f>CD201*H201</f>
        <v>0</v>
      </c>
      <c r="DC201" s="136" t="s">
        <v>95</v>
      </c>
      <c r="DE201" s="136" t="s">
        <v>284</v>
      </c>
      <c r="DF201" s="136" t="s">
        <v>83</v>
      </c>
      <c r="DJ201" s="16" t="s">
        <v>282</v>
      </c>
      <c r="DP201" s="137">
        <f>IF(BY201="základní",J201,0)</f>
        <v>84.85</v>
      </c>
      <c r="DQ201" s="137">
        <f>IF(BY201="snížená",J201,0)</f>
        <v>0</v>
      </c>
      <c r="DR201" s="137">
        <f>IF(BY201="zákl. přenesená",J201,0)</f>
        <v>0</v>
      </c>
      <c r="DS201" s="137">
        <f>IF(BY201="sníž. přenesená",J201,0)</f>
        <v>0</v>
      </c>
      <c r="DT201" s="137">
        <f>IF(BY201="nulová",J201,0)</f>
        <v>0</v>
      </c>
      <c r="DU201" s="16" t="s">
        <v>81</v>
      </c>
      <c r="DV201" s="137">
        <f>ROUND(I201*H201,2)</f>
        <v>84.85</v>
      </c>
      <c r="DW201" s="16" t="s">
        <v>95</v>
      </c>
      <c r="DX201" s="136" t="s">
        <v>718</v>
      </c>
    </row>
    <row r="202" spans="2:128" s="1" customFormat="1" x14ac:dyDescent="0.2">
      <c r="B202" s="31"/>
      <c r="D202" s="138" t="s">
        <v>289</v>
      </c>
      <c r="F202" s="139" t="s">
        <v>2940</v>
      </c>
      <c r="I202" s="140"/>
      <c r="L202" s="31"/>
      <c r="N202" s="213"/>
      <c r="O202" s="214"/>
      <c r="Q202" s="229"/>
      <c r="BX202" s="141"/>
      <c r="CE202" s="50"/>
      <c r="DE202" s="16" t="s">
        <v>289</v>
      </c>
      <c r="DF202" s="16" t="s">
        <v>83</v>
      </c>
    </row>
    <row r="203" spans="2:128" s="1" customFormat="1" ht="14.45" customHeight="1" x14ac:dyDescent="0.2">
      <c r="B203" s="124"/>
      <c r="C203" s="125" t="s">
        <v>521</v>
      </c>
      <c r="D203" s="125" t="s">
        <v>284</v>
      </c>
      <c r="E203" s="126" t="s">
        <v>2941</v>
      </c>
      <c r="F203" s="127" t="s">
        <v>2942</v>
      </c>
      <c r="G203" s="128" t="s">
        <v>315</v>
      </c>
      <c r="H203" s="129">
        <v>4</v>
      </c>
      <c r="I203" s="130">
        <v>109.469718449</v>
      </c>
      <c r="J203" s="131">
        <f>ROUND(I203*H203,2)</f>
        <v>437.88</v>
      </c>
      <c r="K203" s="127" t="s">
        <v>1</v>
      </c>
      <c r="L203" s="268">
        <f>S203</f>
        <v>0</v>
      </c>
      <c r="M203" s="272">
        <f>ROUND(I203*L203,2)</f>
        <v>0</v>
      </c>
      <c r="N203" s="243"/>
      <c r="O203" s="294">
        <f>ROUND(N203*I203,2)</f>
        <v>0</v>
      </c>
      <c r="P203" s="273">
        <f>H203-L203-N203</f>
        <v>4</v>
      </c>
      <c r="Q203" s="287">
        <f>ROUND(P203*I203,2)</f>
        <v>437.88</v>
      </c>
      <c r="R203" s="137"/>
      <c r="S203" s="269">
        <f>W203+Y203+AA203+AC203</f>
        <v>0</v>
      </c>
      <c r="T203" s="269">
        <f>ROUND(S203*I203,2)</f>
        <v>0</v>
      </c>
      <c r="U203" s="269">
        <f>H203-S203</f>
        <v>4</v>
      </c>
      <c r="V203" s="269">
        <f>ROUND(U203*I203,2)</f>
        <v>437.88</v>
      </c>
      <c r="W203" s="269"/>
      <c r="X203" s="269"/>
      <c r="Y203" s="269"/>
      <c r="Z203" s="269"/>
      <c r="AA203" s="269"/>
      <c r="AB203" s="269"/>
      <c r="AC203" s="269"/>
      <c r="AD203" s="269"/>
      <c r="BX203" s="132" t="s">
        <v>1</v>
      </c>
      <c r="BY203" s="133" t="s">
        <v>40</v>
      </c>
      <c r="CA203" s="134">
        <f>BZ203*H203</f>
        <v>0</v>
      </c>
      <c r="CB203" s="134">
        <v>0</v>
      </c>
      <c r="CC203" s="134">
        <f>CB203*H203</f>
        <v>0</v>
      </c>
      <c r="CD203" s="134">
        <v>0</v>
      </c>
      <c r="CE203" s="135">
        <f>CD203*H203</f>
        <v>0</v>
      </c>
      <c r="DC203" s="136" t="s">
        <v>95</v>
      </c>
      <c r="DE203" s="136" t="s">
        <v>284</v>
      </c>
      <c r="DF203" s="136" t="s">
        <v>83</v>
      </c>
      <c r="DJ203" s="16" t="s">
        <v>282</v>
      </c>
      <c r="DP203" s="137">
        <f>IF(BY203="základní",J203,0)</f>
        <v>437.88</v>
      </c>
      <c r="DQ203" s="137">
        <f>IF(BY203="snížená",J203,0)</f>
        <v>0</v>
      </c>
      <c r="DR203" s="137">
        <f>IF(BY203="zákl. přenesená",J203,0)</f>
        <v>0</v>
      </c>
      <c r="DS203" s="137">
        <f>IF(BY203="sníž. přenesená",J203,0)</f>
        <v>0</v>
      </c>
      <c r="DT203" s="137">
        <f>IF(BY203="nulová",J203,0)</f>
        <v>0</v>
      </c>
      <c r="DU203" s="16" t="s">
        <v>81</v>
      </c>
      <c r="DV203" s="137">
        <f>ROUND(I203*H203,2)</f>
        <v>437.88</v>
      </c>
      <c r="DW203" s="16" t="s">
        <v>95</v>
      </c>
      <c r="DX203" s="136" t="s">
        <v>1544</v>
      </c>
    </row>
    <row r="204" spans="2:128" s="1" customFormat="1" x14ac:dyDescent="0.2">
      <c r="B204" s="31"/>
      <c r="D204" s="138" t="s">
        <v>289</v>
      </c>
      <c r="F204" s="139" t="s">
        <v>2942</v>
      </c>
      <c r="I204" s="140"/>
      <c r="L204" s="31"/>
      <c r="N204" s="213"/>
      <c r="O204" s="214"/>
      <c r="Q204" s="229"/>
      <c r="BX204" s="141"/>
      <c r="CE204" s="50"/>
      <c r="DE204" s="16" t="s">
        <v>289</v>
      </c>
      <c r="DF204" s="16" t="s">
        <v>83</v>
      </c>
    </row>
    <row r="205" spans="2:128" s="1" customFormat="1" ht="14.45" customHeight="1" x14ac:dyDescent="0.2">
      <c r="B205" s="124"/>
      <c r="C205" s="125" t="s">
        <v>526</v>
      </c>
      <c r="D205" s="125" t="s">
        <v>284</v>
      </c>
      <c r="E205" s="126" t="s">
        <v>2943</v>
      </c>
      <c r="F205" s="127" t="s">
        <v>2944</v>
      </c>
      <c r="G205" s="128" t="s">
        <v>315</v>
      </c>
      <c r="H205" s="129">
        <v>1</v>
      </c>
      <c r="I205" s="130">
        <v>872.92557264900006</v>
      </c>
      <c r="J205" s="131">
        <f>ROUND(I205*H205,2)</f>
        <v>872.93</v>
      </c>
      <c r="K205" s="127" t="s">
        <v>1</v>
      </c>
      <c r="L205" s="268">
        <f>S205</f>
        <v>0</v>
      </c>
      <c r="M205" s="272">
        <f>ROUND(I205*L205,2)</f>
        <v>0</v>
      </c>
      <c r="N205" s="243"/>
      <c r="O205" s="294">
        <f>ROUND(N205*I205,2)</f>
        <v>0</v>
      </c>
      <c r="P205" s="273">
        <f>H205-L205-N205</f>
        <v>1</v>
      </c>
      <c r="Q205" s="287">
        <f>ROUND(P205*I205,2)</f>
        <v>872.93</v>
      </c>
      <c r="R205" s="137"/>
      <c r="S205" s="269">
        <f>W205+Y205+AA205+AC205</f>
        <v>0</v>
      </c>
      <c r="T205" s="269">
        <f>ROUND(S205*I205,2)</f>
        <v>0</v>
      </c>
      <c r="U205" s="269">
        <f>H205-S205</f>
        <v>1</v>
      </c>
      <c r="V205" s="269">
        <f>ROUND(U205*I205,2)</f>
        <v>872.93</v>
      </c>
      <c r="W205" s="269"/>
      <c r="X205" s="269"/>
      <c r="Y205" s="269"/>
      <c r="Z205" s="269"/>
      <c r="AA205" s="269"/>
      <c r="AB205" s="269"/>
      <c r="AC205" s="269"/>
      <c r="AD205" s="269"/>
      <c r="BX205" s="132" t="s">
        <v>1</v>
      </c>
      <c r="BY205" s="133" t="s">
        <v>40</v>
      </c>
      <c r="CA205" s="134">
        <f>BZ205*H205</f>
        <v>0</v>
      </c>
      <c r="CB205" s="134">
        <v>0</v>
      </c>
      <c r="CC205" s="134">
        <f>CB205*H205</f>
        <v>0</v>
      </c>
      <c r="CD205" s="134">
        <v>0</v>
      </c>
      <c r="CE205" s="135">
        <f>CD205*H205</f>
        <v>0</v>
      </c>
      <c r="DC205" s="136" t="s">
        <v>95</v>
      </c>
      <c r="DE205" s="136" t="s">
        <v>284</v>
      </c>
      <c r="DF205" s="136" t="s">
        <v>83</v>
      </c>
      <c r="DJ205" s="16" t="s">
        <v>282</v>
      </c>
      <c r="DP205" s="137">
        <f>IF(BY205="základní",J205,0)</f>
        <v>872.93</v>
      </c>
      <c r="DQ205" s="137">
        <f>IF(BY205="snížená",J205,0)</f>
        <v>0</v>
      </c>
      <c r="DR205" s="137">
        <f>IF(BY205="zákl. přenesená",J205,0)</f>
        <v>0</v>
      </c>
      <c r="DS205" s="137">
        <f>IF(BY205="sníž. přenesená",J205,0)</f>
        <v>0</v>
      </c>
      <c r="DT205" s="137">
        <f>IF(BY205="nulová",J205,0)</f>
        <v>0</v>
      </c>
      <c r="DU205" s="16" t="s">
        <v>81</v>
      </c>
      <c r="DV205" s="137">
        <f>ROUND(I205*H205,2)</f>
        <v>872.93</v>
      </c>
      <c r="DW205" s="16" t="s">
        <v>95</v>
      </c>
      <c r="DX205" s="136" t="s">
        <v>1551</v>
      </c>
    </row>
    <row r="206" spans="2:128" s="1" customFormat="1" x14ac:dyDescent="0.2">
      <c r="B206" s="31"/>
      <c r="D206" s="138" t="s">
        <v>289</v>
      </c>
      <c r="F206" s="139" t="s">
        <v>2944</v>
      </c>
      <c r="I206" s="140"/>
      <c r="L206" s="31"/>
      <c r="N206" s="213"/>
      <c r="O206" s="214"/>
      <c r="Q206" s="229"/>
      <c r="BX206" s="141"/>
      <c r="CE206" s="50"/>
      <c r="DE206" s="16" t="s">
        <v>289</v>
      </c>
      <c r="DF206" s="16" t="s">
        <v>83</v>
      </c>
    </row>
    <row r="207" spans="2:128" s="1" customFormat="1" ht="14.45" customHeight="1" x14ac:dyDescent="0.2">
      <c r="B207" s="124"/>
      <c r="C207" s="125" t="s">
        <v>531</v>
      </c>
      <c r="D207" s="125" t="s">
        <v>284</v>
      </c>
      <c r="E207" s="126" t="s">
        <v>2945</v>
      </c>
      <c r="F207" s="127" t="s">
        <v>2946</v>
      </c>
      <c r="G207" s="128" t="s">
        <v>315</v>
      </c>
      <c r="H207" s="129">
        <v>1</v>
      </c>
      <c r="I207" s="130">
        <v>944.18460975999994</v>
      </c>
      <c r="J207" s="131">
        <f>ROUND(I207*H207,2)</f>
        <v>944.18</v>
      </c>
      <c r="K207" s="127" t="s">
        <v>1</v>
      </c>
      <c r="L207" s="268">
        <f>S207</f>
        <v>0</v>
      </c>
      <c r="M207" s="272">
        <f>ROUND(I207*L207,2)</f>
        <v>0</v>
      </c>
      <c r="N207" s="243"/>
      <c r="O207" s="294">
        <f>ROUND(N207*I207,2)</f>
        <v>0</v>
      </c>
      <c r="P207" s="273">
        <f>H207-L207-N207</f>
        <v>1</v>
      </c>
      <c r="Q207" s="287">
        <f>ROUND(P207*I207,2)</f>
        <v>944.18</v>
      </c>
      <c r="R207" s="137"/>
      <c r="S207" s="269">
        <f>W207+Y207+AA207+AC207</f>
        <v>0</v>
      </c>
      <c r="T207" s="269">
        <f>ROUND(S207*I207,2)</f>
        <v>0</v>
      </c>
      <c r="U207" s="269">
        <f>H207-S207</f>
        <v>1</v>
      </c>
      <c r="V207" s="269">
        <f>ROUND(U207*I207,2)</f>
        <v>944.18</v>
      </c>
      <c r="W207" s="269"/>
      <c r="X207" s="269"/>
      <c r="Y207" s="269"/>
      <c r="Z207" s="269"/>
      <c r="AA207" s="269"/>
      <c r="AB207" s="269"/>
      <c r="AC207" s="269"/>
      <c r="AD207" s="269"/>
      <c r="BX207" s="132" t="s">
        <v>1</v>
      </c>
      <c r="BY207" s="133" t="s">
        <v>40</v>
      </c>
      <c r="CA207" s="134">
        <f>BZ207*H207</f>
        <v>0</v>
      </c>
      <c r="CB207" s="134">
        <v>0</v>
      </c>
      <c r="CC207" s="134">
        <f>CB207*H207</f>
        <v>0</v>
      </c>
      <c r="CD207" s="134">
        <v>0</v>
      </c>
      <c r="CE207" s="135">
        <f>CD207*H207</f>
        <v>0</v>
      </c>
      <c r="DC207" s="136" t="s">
        <v>95</v>
      </c>
      <c r="DE207" s="136" t="s">
        <v>284</v>
      </c>
      <c r="DF207" s="136" t="s">
        <v>83</v>
      </c>
      <c r="DJ207" s="16" t="s">
        <v>282</v>
      </c>
      <c r="DP207" s="137">
        <f>IF(BY207="základní",J207,0)</f>
        <v>944.18</v>
      </c>
      <c r="DQ207" s="137">
        <f>IF(BY207="snížená",J207,0)</f>
        <v>0</v>
      </c>
      <c r="DR207" s="137">
        <f>IF(BY207="zákl. přenesená",J207,0)</f>
        <v>0</v>
      </c>
      <c r="DS207" s="137">
        <f>IF(BY207="sníž. přenesená",J207,0)</f>
        <v>0</v>
      </c>
      <c r="DT207" s="137">
        <f>IF(BY207="nulová",J207,0)</f>
        <v>0</v>
      </c>
      <c r="DU207" s="16" t="s">
        <v>81</v>
      </c>
      <c r="DV207" s="137">
        <f>ROUND(I207*H207,2)</f>
        <v>944.18</v>
      </c>
      <c r="DW207" s="16" t="s">
        <v>95</v>
      </c>
      <c r="DX207" s="136" t="s">
        <v>1555</v>
      </c>
    </row>
    <row r="208" spans="2:128" s="1" customFormat="1" x14ac:dyDescent="0.2">
      <c r="B208" s="31"/>
      <c r="D208" s="138" t="s">
        <v>289</v>
      </c>
      <c r="F208" s="139" t="s">
        <v>2946</v>
      </c>
      <c r="I208" s="140"/>
      <c r="L208" s="31"/>
      <c r="N208" s="213"/>
      <c r="O208" s="214"/>
      <c r="Q208" s="229"/>
      <c r="BX208" s="141"/>
      <c r="CE208" s="50"/>
      <c r="DE208" s="16" t="s">
        <v>289</v>
      </c>
      <c r="DF208" s="16" t="s">
        <v>83</v>
      </c>
    </row>
    <row r="209" spans="2:128" s="1" customFormat="1" ht="14.45" customHeight="1" x14ac:dyDescent="0.2">
      <c r="B209" s="124"/>
      <c r="C209" s="125" t="s">
        <v>536</v>
      </c>
      <c r="D209" s="125" t="s">
        <v>284</v>
      </c>
      <c r="E209" s="126" t="s">
        <v>2947</v>
      </c>
      <c r="F209" s="127" t="s">
        <v>2948</v>
      </c>
      <c r="G209" s="128" t="s">
        <v>344</v>
      </c>
      <c r="H209" s="129">
        <v>35</v>
      </c>
      <c r="I209" s="130">
        <v>21.946987769</v>
      </c>
      <c r="J209" s="131">
        <f>ROUND(I209*H209,2)</f>
        <v>768.14</v>
      </c>
      <c r="K209" s="127" t="s">
        <v>1</v>
      </c>
      <c r="L209" s="268">
        <f>S209</f>
        <v>0</v>
      </c>
      <c r="M209" s="272">
        <f>ROUND(I209*L209,2)</f>
        <v>0</v>
      </c>
      <c r="N209" s="243"/>
      <c r="O209" s="294">
        <f>ROUND(N209*I209,2)</f>
        <v>0</v>
      </c>
      <c r="P209" s="273">
        <f>H209-L209-N209</f>
        <v>35</v>
      </c>
      <c r="Q209" s="287">
        <f>ROUND(P209*I209,2)</f>
        <v>768.14</v>
      </c>
      <c r="R209" s="137"/>
      <c r="S209" s="269">
        <f>W209+Y209+AA209+AC209</f>
        <v>0</v>
      </c>
      <c r="T209" s="269">
        <f>ROUND(S209*I209,2)</f>
        <v>0</v>
      </c>
      <c r="U209" s="269">
        <f>H209-S209</f>
        <v>35</v>
      </c>
      <c r="V209" s="269">
        <f>ROUND(U209*I209,2)</f>
        <v>768.14</v>
      </c>
      <c r="W209" s="269"/>
      <c r="X209" s="269"/>
      <c r="Y209" s="269"/>
      <c r="Z209" s="269"/>
      <c r="AA209" s="269"/>
      <c r="AB209" s="269"/>
      <c r="AC209" s="269"/>
      <c r="AD209" s="269"/>
      <c r="BX209" s="132" t="s">
        <v>1</v>
      </c>
      <c r="BY209" s="133" t="s">
        <v>40</v>
      </c>
      <c r="CA209" s="134">
        <f>BZ209*H209</f>
        <v>0</v>
      </c>
      <c r="CB209" s="134">
        <v>0</v>
      </c>
      <c r="CC209" s="134">
        <f>CB209*H209</f>
        <v>0</v>
      </c>
      <c r="CD209" s="134">
        <v>0</v>
      </c>
      <c r="CE209" s="135">
        <f>CD209*H209</f>
        <v>0</v>
      </c>
      <c r="DC209" s="136" t="s">
        <v>95</v>
      </c>
      <c r="DE209" s="136" t="s">
        <v>284</v>
      </c>
      <c r="DF209" s="136" t="s">
        <v>83</v>
      </c>
      <c r="DJ209" s="16" t="s">
        <v>282</v>
      </c>
      <c r="DP209" s="137">
        <f>IF(BY209="základní",J209,0)</f>
        <v>768.14</v>
      </c>
      <c r="DQ209" s="137">
        <f>IF(BY209="snížená",J209,0)</f>
        <v>0</v>
      </c>
      <c r="DR209" s="137">
        <f>IF(BY209="zákl. přenesená",J209,0)</f>
        <v>0</v>
      </c>
      <c r="DS209" s="137">
        <f>IF(BY209="sníž. přenesená",J209,0)</f>
        <v>0</v>
      </c>
      <c r="DT209" s="137">
        <f>IF(BY209="nulová",J209,0)</f>
        <v>0</v>
      </c>
      <c r="DU209" s="16" t="s">
        <v>81</v>
      </c>
      <c r="DV209" s="137">
        <f>ROUND(I209*H209,2)</f>
        <v>768.14</v>
      </c>
      <c r="DW209" s="16" t="s">
        <v>95</v>
      </c>
      <c r="DX209" s="136" t="s">
        <v>1559</v>
      </c>
    </row>
    <row r="210" spans="2:128" s="1" customFormat="1" x14ac:dyDescent="0.2">
      <c r="B210" s="31"/>
      <c r="D210" s="138" t="s">
        <v>289</v>
      </c>
      <c r="F210" s="139" t="s">
        <v>2948</v>
      </c>
      <c r="I210" s="140"/>
      <c r="L210" s="31"/>
      <c r="N210" s="213"/>
      <c r="O210" s="214"/>
      <c r="Q210" s="229"/>
      <c r="BX210" s="141"/>
      <c r="CE210" s="50"/>
      <c r="DE210" s="16" t="s">
        <v>289</v>
      </c>
      <c r="DF210" s="16" t="s">
        <v>83</v>
      </c>
    </row>
    <row r="211" spans="2:128" s="1" customFormat="1" ht="14.45" customHeight="1" x14ac:dyDescent="0.2">
      <c r="B211" s="124"/>
      <c r="C211" s="125" t="s">
        <v>543</v>
      </c>
      <c r="D211" s="125" t="s">
        <v>284</v>
      </c>
      <c r="E211" s="126" t="s">
        <v>2949</v>
      </c>
      <c r="F211" s="127" t="s">
        <v>2950</v>
      </c>
      <c r="G211" s="128" t="s">
        <v>344</v>
      </c>
      <c r="H211" s="129">
        <v>20</v>
      </c>
      <c r="I211" s="130">
        <v>24.997022322999999</v>
      </c>
      <c r="J211" s="131">
        <f>ROUND(I211*H211,2)</f>
        <v>499.94</v>
      </c>
      <c r="K211" s="127" t="s">
        <v>1</v>
      </c>
      <c r="L211" s="268">
        <f>S211</f>
        <v>0</v>
      </c>
      <c r="M211" s="272">
        <f>ROUND(I211*L211,2)</f>
        <v>0</v>
      </c>
      <c r="N211" s="243"/>
      <c r="O211" s="294">
        <f>ROUND(N211*I211,2)</f>
        <v>0</v>
      </c>
      <c r="P211" s="273">
        <f>H211-L211-N211</f>
        <v>20</v>
      </c>
      <c r="Q211" s="287">
        <f>ROUND(P211*I211,2)</f>
        <v>499.94</v>
      </c>
      <c r="R211" s="137"/>
      <c r="S211" s="269">
        <f>W211+Y211+AA211+AC211</f>
        <v>0</v>
      </c>
      <c r="T211" s="269">
        <f>ROUND(S211*I211,2)</f>
        <v>0</v>
      </c>
      <c r="U211" s="269">
        <f>H211-S211</f>
        <v>20</v>
      </c>
      <c r="V211" s="269">
        <f>ROUND(U211*I211,2)</f>
        <v>499.94</v>
      </c>
      <c r="W211" s="269"/>
      <c r="X211" s="269"/>
      <c r="Y211" s="269"/>
      <c r="Z211" s="269"/>
      <c r="AA211" s="269"/>
      <c r="AB211" s="269"/>
      <c r="AC211" s="269"/>
      <c r="AD211" s="269"/>
      <c r="BX211" s="132" t="s">
        <v>1</v>
      </c>
      <c r="BY211" s="133" t="s">
        <v>40</v>
      </c>
      <c r="CA211" s="134">
        <f>BZ211*H211</f>
        <v>0</v>
      </c>
      <c r="CB211" s="134">
        <v>0</v>
      </c>
      <c r="CC211" s="134">
        <f>CB211*H211</f>
        <v>0</v>
      </c>
      <c r="CD211" s="134">
        <v>0</v>
      </c>
      <c r="CE211" s="135">
        <f>CD211*H211</f>
        <v>0</v>
      </c>
      <c r="DC211" s="136" t="s">
        <v>95</v>
      </c>
      <c r="DE211" s="136" t="s">
        <v>284</v>
      </c>
      <c r="DF211" s="136" t="s">
        <v>83</v>
      </c>
      <c r="DJ211" s="16" t="s">
        <v>282</v>
      </c>
      <c r="DP211" s="137">
        <f>IF(BY211="základní",J211,0)</f>
        <v>499.94</v>
      </c>
      <c r="DQ211" s="137">
        <f>IF(BY211="snížená",J211,0)</f>
        <v>0</v>
      </c>
      <c r="DR211" s="137">
        <f>IF(BY211="zákl. přenesená",J211,0)</f>
        <v>0</v>
      </c>
      <c r="DS211" s="137">
        <f>IF(BY211="sníž. přenesená",J211,0)</f>
        <v>0</v>
      </c>
      <c r="DT211" s="137">
        <f>IF(BY211="nulová",J211,0)</f>
        <v>0</v>
      </c>
      <c r="DU211" s="16" t="s">
        <v>81</v>
      </c>
      <c r="DV211" s="137">
        <f>ROUND(I211*H211,2)</f>
        <v>499.94</v>
      </c>
      <c r="DW211" s="16" t="s">
        <v>95</v>
      </c>
      <c r="DX211" s="136" t="s">
        <v>1561</v>
      </c>
    </row>
    <row r="212" spans="2:128" s="1" customFormat="1" x14ac:dyDescent="0.2">
      <c r="B212" s="31"/>
      <c r="D212" s="138" t="s">
        <v>289</v>
      </c>
      <c r="F212" s="139" t="s">
        <v>2950</v>
      </c>
      <c r="I212" s="140"/>
      <c r="L212" s="31"/>
      <c r="N212" s="213"/>
      <c r="O212" s="214"/>
      <c r="Q212" s="229"/>
      <c r="BX212" s="141"/>
      <c r="CE212" s="50"/>
      <c r="DE212" s="16" t="s">
        <v>289</v>
      </c>
      <c r="DF212" s="16" t="s">
        <v>83</v>
      </c>
    </row>
    <row r="213" spans="2:128" s="1" customFormat="1" ht="14.45" customHeight="1" x14ac:dyDescent="0.2">
      <c r="B213" s="124"/>
      <c r="C213" s="125" t="s">
        <v>548</v>
      </c>
      <c r="D213" s="125" t="s">
        <v>284</v>
      </c>
      <c r="E213" s="126" t="s">
        <v>2951</v>
      </c>
      <c r="F213" s="127" t="s">
        <v>2952</v>
      </c>
      <c r="G213" s="128" t="s">
        <v>344</v>
      </c>
      <c r="H213" s="129">
        <v>10</v>
      </c>
      <c r="I213" s="130">
        <v>29.524713369000001</v>
      </c>
      <c r="J213" s="131">
        <f>ROUND(I213*H213,2)</f>
        <v>295.25</v>
      </c>
      <c r="K213" s="127" t="s">
        <v>1</v>
      </c>
      <c r="L213" s="268">
        <f>S213</f>
        <v>0</v>
      </c>
      <c r="M213" s="272">
        <f>ROUND(I213*L213,2)</f>
        <v>0</v>
      </c>
      <c r="N213" s="243"/>
      <c r="O213" s="294">
        <f>ROUND(N213*I213,2)</f>
        <v>0</v>
      </c>
      <c r="P213" s="273">
        <f>H213-L213-N213</f>
        <v>10</v>
      </c>
      <c r="Q213" s="287">
        <f>ROUND(P213*I213,2)</f>
        <v>295.25</v>
      </c>
      <c r="R213" s="137"/>
      <c r="S213" s="269">
        <f>W213+Y213+AA213+AC213</f>
        <v>0</v>
      </c>
      <c r="T213" s="269">
        <f>ROUND(S213*I213,2)</f>
        <v>0</v>
      </c>
      <c r="U213" s="269">
        <f>H213-S213</f>
        <v>10</v>
      </c>
      <c r="V213" s="269">
        <f>ROUND(U213*I213,2)</f>
        <v>295.25</v>
      </c>
      <c r="W213" s="269"/>
      <c r="X213" s="269"/>
      <c r="Y213" s="269"/>
      <c r="Z213" s="269"/>
      <c r="AA213" s="269"/>
      <c r="AB213" s="269"/>
      <c r="AC213" s="269"/>
      <c r="AD213" s="269"/>
      <c r="BX213" s="132" t="s">
        <v>1</v>
      </c>
      <c r="BY213" s="133" t="s">
        <v>40</v>
      </c>
      <c r="CA213" s="134">
        <f>BZ213*H213</f>
        <v>0</v>
      </c>
      <c r="CB213" s="134">
        <v>0</v>
      </c>
      <c r="CC213" s="134">
        <f>CB213*H213</f>
        <v>0</v>
      </c>
      <c r="CD213" s="134">
        <v>0</v>
      </c>
      <c r="CE213" s="135">
        <f>CD213*H213</f>
        <v>0</v>
      </c>
      <c r="DC213" s="136" t="s">
        <v>95</v>
      </c>
      <c r="DE213" s="136" t="s">
        <v>284</v>
      </c>
      <c r="DF213" s="136" t="s">
        <v>83</v>
      </c>
      <c r="DJ213" s="16" t="s">
        <v>282</v>
      </c>
      <c r="DP213" s="137">
        <f>IF(BY213="základní",J213,0)</f>
        <v>295.25</v>
      </c>
      <c r="DQ213" s="137">
        <f>IF(BY213="snížená",J213,0)</f>
        <v>0</v>
      </c>
      <c r="DR213" s="137">
        <f>IF(BY213="zákl. přenesená",J213,0)</f>
        <v>0</v>
      </c>
      <c r="DS213" s="137">
        <f>IF(BY213="sníž. přenesená",J213,0)</f>
        <v>0</v>
      </c>
      <c r="DT213" s="137">
        <f>IF(BY213="nulová",J213,0)</f>
        <v>0</v>
      </c>
      <c r="DU213" s="16" t="s">
        <v>81</v>
      </c>
      <c r="DV213" s="137">
        <f>ROUND(I213*H213,2)</f>
        <v>295.25</v>
      </c>
      <c r="DW213" s="16" t="s">
        <v>95</v>
      </c>
      <c r="DX213" s="136" t="s">
        <v>1563</v>
      </c>
    </row>
    <row r="214" spans="2:128" s="1" customFormat="1" x14ac:dyDescent="0.2">
      <c r="B214" s="31"/>
      <c r="D214" s="138" t="s">
        <v>289</v>
      </c>
      <c r="F214" s="139" t="s">
        <v>2952</v>
      </c>
      <c r="I214" s="140"/>
      <c r="L214" s="31"/>
      <c r="N214" s="213"/>
      <c r="O214" s="214"/>
      <c r="Q214" s="229"/>
      <c r="BX214" s="141"/>
      <c r="CE214" s="50"/>
      <c r="DE214" s="16" t="s">
        <v>289</v>
      </c>
      <c r="DF214" s="16" t="s">
        <v>83</v>
      </c>
    </row>
    <row r="215" spans="2:128" s="1" customFormat="1" ht="14.45" customHeight="1" x14ac:dyDescent="0.2">
      <c r="B215" s="124"/>
      <c r="C215" s="125" t="s">
        <v>556</v>
      </c>
      <c r="D215" s="125" t="s">
        <v>284</v>
      </c>
      <c r="E215" s="126" t="s">
        <v>2953</v>
      </c>
      <c r="F215" s="127" t="s">
        <v>2954</v>
      </c>
      <c r="G215" s="128" t="s">
        <v>344</v>
      </c>
      <c r="H215" s="129">
        <v>5</v>
      </c>
      <c r="I215" s="130">
        <v>30.680316523000002</v>
      </c>
      <c r="J215" s="131">
        <f>ROUND(I215*H215,2)</f>
        <v>153.4</v>
      </c>
      <c r="K215" s="127" t="s">
        <v>1</v>
      </c>
      <c r="L215" s="268">
        <f>S215</f>
        <v>0</v>
      </c>
      <c r="M215" s="272">
        <f>ROUND(I215*L215,2)</f>
        <v>0</v>
      </c>
      <c r="N215" s="243"/>
      <c r="O215" s="294">
        <f>ROUND(N215*I215,2)</f>
        <v>0</v>
      </c>
      <c r="P215" s="273">
        <f>H215-L215-N215</f>
        <v>5</v>
      </c>
      <c r="Q215" s="287">
        <f>ROUND(P215*I215,2)</f>
        <v>153.4</v>
      </c>
      <c r="R215" s="137"/>
      <c r="S215" s="269">
        <f>W215+Y215+AA215+AC215</f>
        <v>0</v>
      </c>
      <c r="T215" s="269">
        <f>ROUND(S215*I215,2)</f>
        <v>0</v>
      </c>
      <c r="U215" s="269">
        <f>H215-S215</f>
        <v>5</v>
      </c>
      <c r="V215" s="269">
        <f>ROUND(U215*I215,2)</f>
        <v>153.4</v>
      </c>
      <c r="W215" s="269"/>
      <c r="X215" s="269"/>
      <c r="Y215" s="269"/>
      <c r="Z215" s="269"/>
      <c r="AA215" s="269"/>
      <c r="AB215" s="269"/>
      <c r="AC215" s="269"/>
      <c r="AD215" s="269"/>
      <c r="BX215" s="132" t="s">
        <v>1</v>
      </c>
      <c r="BY215" s="133" t="s">
        <v>40</v>
      </c>
      <c r="CA215" s="134">
        <f>BZ215*H215</f>
        <v>0</v>
      </c>
      <c r="CB215" s="134">
        <v>0</v>
      </c>
      <c r="CC215" s="134">
        <f>CB215*H215</f>
        <v>0</v>
      </c>
      <c r="CD215" s="134">
        <v>0</v>
      </c>
      <c r="CE215" s="135">
        <f>CD215*H215</f>
        <v>0</v>
      </c>
      <c r="DC215" s="136" t="s">
        <v>95</v>
      </c>
      <c r="DE215" s="136" t="s">
        <v>284</v>
      </c>
      <c r="DF215" s="136" t="s">
        <v>83</v>
      </c>
      <c r="DJ215" s="16" t="s">
        <v>282</v>
      </c>
      <c r="DP215" s="137">
        <f>IF(BY215="základní",J215,0)</f>
        <v>153.4</v>
      </c>
      <c r="DQ215" s="137">
        <f>IF(BY215="snížená",J215,0)</f>
        <v>0</v>
      </c>
      <c r="DR215" s="137">
        <f>IF(BY215="zákl. přenesená",J215,0)</f>
        <v>0</v>
      </c>
      <c r="DS215" s="137">
        <f>IF(BY215="sníž. přenesená",J215,0)</f>
        <v>0</v>
      </c>
      <c r="DT215" s="137">
        <f>IF(BY215="nulová",J215,0)</f>
        <v>0</v>
      </c>
      <c r="DU215" s="16" t="s">
        <v>81</v>
      </c>
      <c r="DV215" s="137">
        <f>ROUND(I215*H215,2)</f>
        <v>153.4</v>
      </c>
      <c r="DW215" s="16" t="s">
        <v>95</v>
      </c>
      <c r="DX215" s="136" t="s">
        <v>1568</v>
      </c>
    </row>
    <row r="216" spans="2:128" s="1" customFormat="1" x14ac:dyDescent="0.2">
      <c r="B216" s="31"/>
      <c r="D216" s="138" t="s">
        <v>289</v>
      </c>
      <c r="F216" s="139" t="s">
        <v>2954</v>
      </c>
      <c r="I216" s="140"/>
      <c r="L216" s="31"/>
      <c r="N216" s="213"/>
      <c r="O216" s="214"/>
      <c r="Q216" s="229"/>
      <c r="BX216" s="141"/>
      <c r="CE216" s="50"/>
      <c r="DE216" s="16" t="s">
        <v>289</v>
      </c>
      <c r="DF216" s="16" t="s">
        <v>83</v>
      </c>
    </row>
    <row r="217" spans="2:128" s="1" customFormat="1" ht="14.45" customHeight="1" x14ac:dyDescent="0.2">
      <c r="B217" s="124"/>
      <c r="C217" s="125" t="s">
        <v>562</v>
      </c>
      <c r="D217" s="125" t="s">
        <v>284</v>
      </c>
      <c r="E217" s="126" t="s">
        <v>2955</v>
      </c>
      <c r="F217" s="127" t="s">
        <v>2956</v>
      </c>
      <c r="G217" s="128" t="s">
        <v>344</v>
      </c>
      <c r="H217" s="129">
        <v>5</v>
      </c>
      <c r="I217" s="130">
        <v>50.145599157999996</v>
      </c>
      <c r="J217" s="131">
        <f>ROUND(I217*H217,2)</f>
        <v>250.73</v>
      </c>
      <c r="K217" s="127" t="s">
        <v>1</v>
      </c>
      <c r="L217" s="268">
        <f>S217</f>
        <v>0</v>
      </c>
      <c r="M217" s="272">
        <f>ROUND(I217*L217,2)</f>
        <v>0</v>
      </c>
      <c r="N217" s="243"/>
      <c r="O217" s="294">
        <f>ROUND(N217*I217,2)</f>
        <v>0</v>
      </c>
      <c r="P217" s="273">
        <f>H217-L217-N217</f>
        <v>5</v>
      </c>
      <c r="Q217" s="287">
        <f>ROUND(P217*I217,2)</f>
        <v>250.73</v>
      </c>
      <c r="R217" s="137"/>
      <c r="S217" s="269">
        <f>W217+Y217+AA217+AC217</f>
        <v>0</v>
      </c>
      <c r="T217" s="269">
        <f>ROUND(S217*I217,2)</f>
        <v>0</v>
      </c>
      <c r="U217" s="269">
        <f>H217-S217</f>
        <v>5</v>
      </c>
      <c r="V217" s="269">
        <f>ROUND(U217*I217,2)</f>
        <v>250.73</v>
      </c>
      <c r="W217" s="269"/>
      <c r="X217" s="269"/>
      <c r="Y217" s="269"/>
      <c r="Z217" s="269"/>
      <c r="AA217" s="269"/>
      <c r="AB217" s="269"/>
      <c r="AC217" s="269"/>
      <c r="AD217" s="269"/>
      <c r="BX217" s="132" t="s">
        <v>1</v>
      </c>
      <c r="BY217" s="133" t="s">
        <v>40</v>
      </c>
      <c r="CA217" s="134">
        <f>BZ217*H217</f>
        <v>0</v>
      </c>
      <c r="CB217" s="134">
        <v>0</v>
      </c>
      <c r="CC217" s="134">
        <f>CB217*H217</f>
        <v>0</v>
      </c>
      <c r="CD217" s="134">
        <v>0</v>
      </c>
      <c r="CE217" s="135">
        <f>CD217*H217</f>
        <v>0</v>
      </c>
      <c r="DC217" s="136" t="s">
        <v>95</v>
      </c>
      <c r="DE217" s="136" t="s">
        <v>284</v>
      </c>
      <c r="DF217" s="136" t="s">
        <v>83</v>
      </c>
      <c r="DJ217" s="16" t="s">
        <v>282</v>
      </c>
      <c r="DP217" s="137">
        <f>IF(BY217="základní",J217,0)</f>
        <v>250.73</v>
      </c>
      <c r="DQ217" s="137">
        <f>IF(BY217="snížená",J217,0)</f>
        <v>0</v>
      </c>
      <c r="DR217" s="137">
        <f>IF(BY217="zákl. přenesená",J217,0)</f>
        <v>0</v>
      </c>
      <c r="DS217" s="137">
        <f>IF(BY217="sníž. přenesená",J217,0)</f>
        <v>0</v>
      </c>
      <c r="DT217" s="137">
        <f>IF(BY217="nulová",J217,0)</f>
        <v>0</v>
      </c>
      <c r="DU217" s="16" t="s">
        <v>81</v>
      </c>
      <c r="DV217" s="137">
        <f>ROUND(I217*H217,2)</f>
        <v>250.73</v>
      </c>
      <c r="DW217" s="16" t="s">
        <v>95</v>
      </c>
      <c r="DX217" s="136" t="s">
        <v>1570</v>
      </c>
    </row>
    <row r="218" spans="2:128" s="1" customFormat="1" x14ac:dyDescent="0.2">
      <c r="B218" s="31"/>
      <c r="D218" s="138" t="s">
        <v>289</v>
      </c>
      <c r="F218" s="139" t="s">
        <v>2956</v>
      </c>
      <c r="I218" s="140"/>
      <c r="L218" s="31"/>
      <c r="N218" s="213"/>
      <c r="O218" s="214"/>
      <c r="Q218" s="229"/>
      <c r="BX218" s="141"/>
      <c r="CE218" s="50"/>
      <c r="DE218" s="16" t="s">
        <v>289</v>
      </c>
      <c r="DF218" s="16" t="s">
        <v>83</v>
      </c>
    </row>
    <row r="219" spans="2:128" s="1" customFormat="1" ht="14.45" customHeight="1" x14ac:dyDescent="0.2">
      <c r="B219" s="124"/>
      <c r="C219" s="125" t="s">
        <v>568</v>
      </c>
      <c r="D219" s="125" t="s">
        <v>284</v>
      </c>
      <c r="E219" s="126" t="s">
        <v>2957</v>
      </c>
      <c r="F219" s="127" t="s">
        <v>2958</v>
      </c>
      <c r="G219" s="128" t="s">
        <v>344</v>
      </c>
      <c r="H219" s="129">
        <v>8</v>
      </c>
      <c r="I219" s="130">
        <v>324.31718352299998</v>
      </c>
      <c r="J219" s="131">
        <f>ROUND(I219*H219,2)</f>
        <v>2594.54</v>
      </c>
      <c r="K219" s="127" t="s">
        <v>1</v>
      </c>
      <c r="L219" s="268">
        <f>S219</f>
        <v>0</v>
      </c>
      <c r="M219" s="272">
        <f>ROUND(I219*L219,2)</f>
        <v>0</v>
      </c>
      <c r="N219" s="243"/>
      <c r="O219" s="294">
        <f>ROUND(N219*I219,2)</f>
        <v>0</v>
      </c>
      <c r="P219" s="273">
        <f>H219-L219-N219</f>
        <v>8</v>
      </c>
      <c r="Q219" s="287">
        <f>ROUND(P219*I219,2)</f>
        <v>2594.54</v>
      </c>
      <c r="R219" s="137"/>
      <c r="S219" s="269">
        <f>W219+Y219+AA219+AC219</f>
        <v>0</v>
      </c>
      <c r="T219" s="269">
        <f>ROUND(S219*I219,2)</f>
        <v>0</v>
      </c>
      <c r="U219" s="269">
        <f>H219-S219</f>
        <v>8</v>
      </c>
      <c r="V219" s="269">
        <f>ROUND(U219*I219,2)</f>
        <v>2594.54</v>
      </c>
      <c r="W219" s="269"/>
      <c r="X219" s="269"/>
      <c r="Y219" s="269"/>
      <c r="Z219" s="269"/>
      <c r="AA219" s="269"/>
      <c r="AB219" s="269"/>
      <c r="AC219" s="269"/>
      <c r="AD219" s="269"/>
      <c r="BX219" s="132" t="s">
        <v>1</v>
      </c>
      <c r="BY219" s="133" t="s">
        <v>40</v>
      </c>
      <c r="CA219" s="134">
        <f>BZ219*H219</f>
        <v>0</v>
      </c>
      <c r="CB219" s="134">
        <v>0</v>
      </c>
      <c r="CC219" s="134">
        <f>CB219*H219</f>
        <v>0</v>
      </c>
      <c r="CD219" s="134">
        <v>0</v>
      </c>
      <c r="CE219" s="135">
        <f>CD219*H219</f>
        <v>0</v>
      </c>
      <c r="DC219" s="136" t="s">
        <v>95</v>
      </c>
      <c r="DE219" s="136" t="s">
        <v>284</v>
      </c>
      <c r="DF219" s="136" t="s">
        <v>83</v>
      </c>
      <c r="DJ219" s="16" t="s">
        <v>282</v>
      </c>
      <c r="DP219" s="137">
        <f>IF(BY219="základní",J219,0)</f>
        <v>2594.54</v>
      </c>
      <c r="DQ219" s="137">
        <f>IF(BY219="snížená",J219,0)</f>
        <v>0</v>
      </c>
      <c r="DR219" s="137">
        <f>IF(BY219="zákl. přenesená",J219,0)</f>
        <v>0</v>
      </c>
      <c r="DS219" s="137">
        <f>IF(BY219="sníž. přenesená",J219,0)</f>
        <v>0</v>
      </c>
      <c r="DT219" s="137">
        <f>IF(BY219="nulová",J219,0)</f>
        <v>0</v>
      </c>
      <c r="DU219" s="16" t="s">
        <v>81</v>
      </c>
      <c r="DV219" s="137">
        <f>ROUND(I219*H219,2)</f>
        <v>2594.54</v>
      </c>
      <c r="DW219" s="16" t="s">
        <v>95</v>
      </c>
      <c r="DX219" s="136" t="s">
        <v>2606</v>
      </c>
    </row>
    <row r="220" spans="2:128" s="1" customFormat="1" x14ac:dyDescent="0.2">
      <c r="B220" s="31"/>
      <c r="D220" s="138" t="s">
        <v>289</v>
      </c>
      <c r="F220" s="139" t="s">
        <v>2958</v>
      </c>
      <c r="I220" s="140"/>
      <c r="L220" s="31"/>
      <c r="N220" s="213"/>
      <c r="O220" s="214"/>
      <c r="Q220" s="229"/>
      <c r="BX220" s="141"/>
      <c r="CE220" s="50"/>
      <c r="DE220" s="16" t="s">
        <v>289</v>
      </c>
      <c r="DF220" s="16" t="s">
        <v>83</v>
      </c>
    </row>
    <row r="221" spans="2:128" s="1" customFormat="1" ht="14.45" customHeight="1" x14ac:dyDescent="0.2">
      <c r="B221" s="124"/>
      <c r="C221" s="125" t="s">
        <v>572</v>
      </c>
      <c r="D221" s="125" t="s">
        <v>284</v>
      </c>
      <c r="E221" s="126" t="s">
        <v>2959</v>
      </c>
      <c r="F221" s="127" t="s">
        <v>2960</v>
      </c>
      <c r="G221" s="128" t="s">
        <v>315</v>
      </c>
      <c r="H221" s="129">
        <v>4</v>
      </c>
      <c r="I221" s="130">
        <v>240.895896824</v>
      </c>
      <c r="J221" s="131">
        <f>ROUND(I221*H221,2)</f>
        <v>963.58</v>
      </c>
      <c r="K221" s="127" t="s">
        <v>1</v>
      </c>
      <c r="L221" s="268">
        <f>S221</f>
        <v>0</v>
      </c>
      <c r="M221" s="272">
        <f>ROUND(I221*L221,2)</f>
        <v>0</v>
      </c>
      <c r="N221" s="243"/>
      <c r="O221" s="294">
        <f>ROUND(N221*I221,2)</f>
        <v>0</v>
      </c>
      <c r="P221" s="273">
        <f>H221-L221-N221</f>
        <v>4</v>
      </c>
      <c r="Q221" s="287">
        <f>ROUND(P221*I221,2)</f>
        <v>963.58</v>
      </c>
      <c r="R221" s="137"/>
      <c r="S221" s="269">
        <f>W221+Y221+AA221+AC221</f>
        <v>0</v>
      </c>
      <c r="T221" s="269">
        <f>ROUND(S221*I221,2)</f>
        <v>0</v>
      </c>
      <c r="U221" s="269">
        <f>H221-S221</f>
        <v>4</v>
      </c>
      <c r="V221" s="269">
        <f>ROUND(U221*I221,2)</f>
        <v>963.58</v>
      </c>
      <c r="W221" s="269"/>
      <c r="X221" s="269"/>
      <c r="Y221" s="269"/>
      <c r="Z221" s="269"/>
      <c r="AA221" s="269"/>
      <c r="AB221" s="269"/>
      <c r="AC221" s="269"/>
      <c r="AD221" s="269"/>
      <c r="BX221" s="132" t="s">
        <v>1</v>
      </c>
      <c r="BY221" s="133" t="s">
        <v>40</v>
      </c>
      <c r="CA221" s="134">
        <f>BZ221*H221</f>
        <v>0</v>
      </c>
      <c r="CB221" s="134">
        <v>0</v>
      </c>
      <c r="CC221" s="134">
        <f>CB221*H221</f>
        <v>0</v>
      </c>
      <c r="CD221" s="134">
        <v>0</v>
      </c>
      <c r="CE221" s="135">
        <f>CD221*H221</f>
        <v>0</v>
      </c>
      <c r="DC221" s="136" t="s">
        <v>95</v>
      </c>
      <c r="DE221" s="136" t="s">
        <v>284</v>
      </c>
      <c r="DF221" s="136" t="s">
        <v>83</v>
      </c>
      <c r="DJ221" s="16" t="s">
        <v>282</v>
      </c>
      <c r="DP221" s="137">
        <f>IF(BY221="základní",J221,0)</f>
        <v>963.58</v>
      </c>
      <c r="DQ221" s="137">
        <f>IF(BY221="snížená",J221,0)</f>
        <v>0</v>
      </c>
      <c r="DR221" s="137">
        <f>IF(BY221="zákl. přenesená",J221,0)</f>
        <v>0</v>
      </c>
      <c r="DS221" s="137">
        <f>IF(BY221="sníž. přenesená",J221,0)</f>
        <v>0</v>
      </c>
      <c r="DT221" s="137">
        <f>IF(BY221="nulová",J221,0)</f>
        <v>0</v>
      </c>
      <c r="DU221" s="16" t="s">
        <v>81</v>
      </c>
      <c r="DV221" s="137">
        <f>ROUND(I221*H221,2)</f>
        <v>963.58</v>
      </c>
      <c r="DW221" s="16" t="s">
        <v>95</v>
      </c>
      <c r="DX221" s="136" t="s">
        <v>2610</v>
      </c>
    </row>
    <row r="222" spans="2:128" s="1" customFormat="1" x14ac:dyDescent="0.2">
      <c r="B222" s="31"/>
      <c r="D222" s="138" t="s">
        <v>289</v>
      </c>
      <c r="F222" s="139" t="s">
        <v>2960</v>
      </c>
      <c r="I222" s="140"/>
      <c r="L222" s="31"/>
      <c r="N222" s="213"/>
      <c r="O222" s="214"/>
      <c r="Q222" s="229"/>
      <c r="BX222" s="141"/>
      <c r="CE222" s="50"/>
      <c r="DE222" s="16" t="s">
        <v>289</v>
      </c>
      <c r="DF222" s="16" t="s">
        <v>83</v>
      </c>
    </row>
    <row r="223" spans="2:128" s="1" customFormat="1" ht="14.45" customHeight="1" x14ac:dyDescent="0.2">
      <c r="B223" s="124"/>
      <c r="C223" s="125" t="s">
        <v>576</v>
      </c>
      <c r="D223" s="125" t="s">
        <v>284</v>
      </c>
      <c r="E223" s="126" t="s">
        <v>2961</v>
      </c>
      <c r="F223" s="127" t="s">
        <v>2962</v>
      </c>
      <c r="G223" s="128" t="s">
        <v>315</v>
      </c>
      <c r="H223" s="129">
        <v>6</v>
      </c>
      <c r="I223" s="130">
        <v>241.89047330900001</v>
      </c>
      <c r="J223" s="131">
        <f>ROUND(I223*H223,2)</f>
        <v>1451.34</v>
      </c>
      <c r="K223" s="127" t="s">
        <v>1</v>
      </c>
      <c r="L223" s="268">
        <f>S223</f>
        <v>0</v>
      </c>
      <c r="M223" s="272">
        <f>ROUND(I223*L223,2)</f>
        <v>0</v>
      </c>
      <c r="N223" s="243"/>
      <c r="O223" s="294">
        <f>ROUND(N223*I223,2)</f>
        <v>0</v>
      </c>
      <c r="P223" s="273">
        <f>H223-L223-N223</f>
        <v>6</v>
      </c>
      <c r="Q223" s="287">
        <f>ROUND(P223*I223,2)</f>
        <v>1451.34</v>
      </c>
      <c r="R223" s="137"/>
      <c r="S223" s="269">
        <f>W223+Y223+AA223+AC223</f>
        <v>0</v>
      </c>
      <c r="T223" s="269">
        <f>ROUND(S223*I223,2)</f>
        <v>0</v>
      </c>
      <c r="U223" s="269">
        <f>H223-S223</f>
        <v>6</v>
      </c>
      <c r="V223" s="269">
        <f>ROUND(U223*I223,2)</f>
        <v>1451.34</v>
      </c>
      <c r="W223" s="269"/>
      <c r="X223" s="269"/>
      <c r="Y223" s="269"/>
      <c r="Z223" s="269"/>
      <c r="AA223" s="269"/>
      <c r="AB223" s="269"/>
      <c r="AC223" s="269"/>
      <c r="AD223" s="269"/>
      <c r="BX223" s="132" t="s">
        <v>1</v>
      </c>
      <c r="BY223" s="133" t="s">
        <v>40</v>
      </c>
      <c r="CA223" s="134">
        <f>BZ223*H223</f>
        <v>0</v>
      </c>
      <c r="CB223" s="134">
        <v>0</v>
      </c>
      <c r="CC223" s="134">
        <f>CB223*H223</f>
        <v>0</v>
      </c>
      <c r="CD223" s="134">
        <v>0</v>
      </c>
      <c r="CE223" s="135">
        <f>CD223*H223</f>
        <v>0</v>
      </c>
      <c r="DC223" s="136" t="s">
        <v>95</v>
      </c>
      <c r="DE223" s="136" t="s">
        <v>284</v>
      </c>
      <c r="DF223" s="136" t="s">
        <v>83</v>
      </c>
      <c r="DJ223" s="16" t="s">
        <v>282</v>
      </c>
      <c r="DP223" s="137">
        <f>IF(BY223="základní",J223,0)</f>
        <v>1451.34</v>
      </c>
      <c r="DQ223" s="137">
        <f>IF(BY223="snížená",J223,0)</f>
        <v>0</v>
      </c>
      <c r="DR223" s="137">
        <f>IF(BY223="zákl. přenesená",J223,0)</f>
        <v>0</v>
      </c>
      <c r="DS223" s="137">
        <f>IF(BY223="sníž. přenesená",J223,0)</f>
        <v>0</v>
      </c>
      <c r="DT223" s="137">
        <f>IF(BY223="nulová",J223,0)</f>
        <v>0</v>
      </c>
      <c r="DU223" s="16" t="s">
        <v>81</v>
      </c>
      <c r="DV223" s="137">
        <f>ROUND(I223*H223,2)</f>
        <v>1451.34</v>
      </c>
      <c r="DW223" s="16" t="s">
        <v>95</v>
      </c>
      <c r="DX223" s="136" t="s">
        <v>2613</v>
      </c>
    </row>
    <row r="224" spans="2:128" s="1" customFormat="1" x14ac:dyDescent="0.2">
      <c r="B224" s="31"/>
      <c r="D224" s="138" t="s">
        <v>289</v>
      </c>
      <c r="F224" s="139" t="s">
        <v>2962</v>
      </c>
      <c r="I224" s="140"/>
      <c r="L224" s="31"/>
      <c r="N224" s="213"/>
      <c r="O224" s="214"/>
      <c r="Q224" s="229"/>
      <c r="BX224" s="141"/>
      <c r="CE224" s="50"/>
      <c r="DE224" s="16" t="s">
        <v>289</v>
      </c>
      <c r="DF224" s="16" t="s">
        <v>83</v>
      </c>
    </row>
    <row r="225" spans="2:128" s="1" customFormat="1" ht="14.45" customHeight="1" x14ac:dyDescent="0.2">
      <c r="B225" s="124"/>
      <c r="C225" s="125" t="s">
        <v>581</v>
      </c>
      <c r="D225" s="125" t="s">
        <v>284</v>
      </c>
      <c r="E225" s="126" t="s">
        <v>2963</v>
      </c>
      <c r="F225" s="127" t="s">
        <v>2964</v>
      </c>
      <c r="G225" s="128" t="s">
        <v>315</v>
      </c>
      <c r="H225" s="129">
        <v>1</v>
      </c>
      <c r="I225" s="130">
        <v>273.31909023500003</v>
      </c>
      <c r="J225" s="131">
        <f>ROUND(I225*H225,2)</f>
        <v>273.32</v>
      </c>
      <c r="K225" s="127" t="s">
        <v>1</v>
      </c>
      <c r="L225" s="268">
        <f>S225</f>
        <v>0</v>
      </c>
      <c r="M225" s="272">
        <f>ROUND(I225*L225,2)</f>
        <v>0</v>
      </c>
      <c r="N225" s="243"/>
      <c r="O225" s="294">
        <f>ROUND(N225*I225,2)</f>
        <v>0</v>
      </c>
      <c r="P225" s="273">
        <f>H225-L225-N225</f>
        <v>1</v>
      </c>
      <c r="Q225" s="287">
        <f>ROUND(P225*I225,2)</f>
        <v>273.32</v>
      </c>
      <c r="R225" s="137"/>
      <c r="S225" s="269">
        <f>W225+Y225+AA225+AC225</f>
        <v>0</v>
      </c>
      <c r="T225" s="269">
        <f>ROUND(S225*I225,2)</f>
        <v>0</v>
      </c>
      <c r="U225" s="269">
        <f>H225-S225</f>
        <v>1</v>
      </c>
      <c r="V225" s="269">
        <f>ROUND(U225*I225,2)</f>
        <v>273.32</v>
      </c>
      <c r="W225" s="269"/>
      <c r="X225" s="269"/>
      <c r="Y225" s="269"/>
      <c r="Z225" s="269"/>
      <c r="AA225" s="269"/>
      <c r="AB225" s="269"/>
      <c r="AC225" s="269"/>
      <c r="AD225" s="269"/>
      <c r="BX225" s="132" t="s">
        <v>1</v>
      </c>
      <c r="BY225" s="133" t="s">
        <v>40</v>
      </c>
      <c r="CA225" s="134">
        <f>BZ225*H225</f>
        <v>0</v>
      </c>
      <c r="CB225" s="134">
        <v>0</v>
      </c>
      <c r="CC225" s="134">
        <f>CB225*H225</f>
        <v>0</v>
      </c>
      <c r="CD225" s="134">
        <v>0</v>
      </c>
      <c r="CE225" s="135">
        <f>CD225*H225</f>
        <v>0</v>
      </c>
      <c r="DC225" s="136" t="s">
        <v>95</v>
      </c>
      <c r="DE225" s="136" t="s">
        <v>284</v>
      </c>
      <c r="DF225" s="136" t="s">
        <v>83</v>
      </c>
      <c r="DJ225" s="16" t="s">
        <v>282</v>
      </c>
      <c r="DP225" s="137">
        <f>IF(BY225="základní",J225,0)</f>
        <v>273.32</v>
      </c>
      <c r="DQ225" s="137">
        <f>IF(BY225="snížená",J225,0)</f>
        <v>0</v>
      </c>
      <c r="DR225" s="137">
        <f>IF(BY225="zákl. přenesená",J225,0)</f>
        <v>0</v>
      </c>
      <c r="DS225" s="137">
        <f>IF(BY225="sníž. přenesená",J225,0)</f>
        <v>0</v>
      </c>
      <c r="DT225" s="137">
        <f>IF(BY225="nulová",J225,0)</f>
        <v>0</v>
      </c>
      <c r="DU225" s="16" t="s">
        <v>81</v>
      </c>
      <c r="DV225" s="137">
        <f>ROUND(I225*H225,2)</f>
        <v>273.32</v>
      </c>
      <c r="DW225" s="16" t="s">
        <v>95</v>
      </c>
      <c r="DX225" s="136" t="s">
        <v>2618</v>
      </c>
    </row>
    <row r="226" spans="2:128" s="1" customFormat="1" x14ac:dyDescent="0.2">
      <c r="B226" s="31"/>
      <c r="D226" s="138" t="s">
        <v>289</v>
      </c>
      <c r="F226" s="139" t="s">
        <v>2964</v>
      </c>
      <c r="I226" s="140"/>
      <c r="L226" s="31"/>
      <c r="N226" s="213"/>
      <c r="O226" s="214"/>
      <c r="Q226" s="229"/>
      <c r="BX226" s="141"/>
      <c r="CE226" s="50"/>
      <c r="DE226" s="16" t="s">
        <v>289</v>
      </c>
      <c r="DF226" s="16" t="s">
        <v>83</v>
      </c>
    </row>
    <row r="227" spans="2:128" s="1" customFormat="1" ht="24.2" customHeight="1" x14ac:dyDescent="0.2">
      <c r="B227" s="124"/>
      <c r="C227" s="125" t="s">
        <v>589</v>
      </c>
      <c r="D227" s="125" t="s">
        <v>284</v>
      </c>
      <c r="E227" s="126" t="s">
        <v>2965</v>
      </c>
      <c r="F227" s="127" t="s">
        <v>2966</v>
      </c>
      <c r="G227" s="128" t="s">
        <v>485</v>
      </c>
      <c r="H227" s="129">
        <v>116</v>
      </c>
      <c r="I227" s="130">
        <v>61.881601680999999</v>
      </c>
      <c r="J227" s="131">
        <f>ROUND(I227*H227,2)</f>
        <v>7178.27</v>
      </c>
      <c r="K227" s="127" t="s">
        <v>1</v>
      </c>
      <c r="L227" s="268">
        <f>S227</f>
        <v>0</v>
      </c>
      <c r="M227" s="272">
        <f>ROUND(I227*L227,2)</f>
        <v>0</v>
      </c>
      <c r="N227" s="243"/>
      <c r="O227" s="294">
        <f>ROUND(N227*I227,2)</f>
        <v>0</v>
      </c>
      <c r="P227" s="273">
        <f>H227-L227-N227</f>
        <v>116</v>
      </c>
      <c r="Q227" s="287">
        <f>ROUND(P227*I227,2)</f>
        <v>7178.27</v>
      </c>
      <c r="R227" s="137"/>
      <c r="S227" s="269">
        <f>W227+Y227+AA227+AC227</f>
        <v>0</v>
      </c>
      <c r="T227" s="269">
        <f>ROUND(S227*I227,2)</f>
        <v>0</v>
      </c>
      <c r="U227" s="269">
        <f>H227-S227</f>
        <v>116</v>
      </c>
      <c r="V227" s="269">
        <f>ROUND(U227*I227,2)</f>
        <v>7178.27</v>
      </c>
      <c r="W227" s="269"/>
      <c r="X227" s="269"/>
      <c r="Y227" s="269"/>
      <c r="Z227" s="269"/>
      <c r="AA227" s="269"/>
      <c r="AB227" s="269"/>
      <c r="AC227" s="269"/>
      <c r="AD227" s="269"/>
      <c r="BX227" s="132" t="s">
        <v>1</v>
      </c>
      <c r="BY227" s="133" t="s">
        <v>40</v>
      </c>
      <c r="CA227" s="134">
        <f>BZ227*H227</f>
        <v>0</v>
      </c>
      <c r="CB227" s="134">
        <v>0</v>
      </c>
      <c r="CC227" s="134">
        <f>CB227*H227</f>
        <v>0</v>
      </c>
      <c r="CD227" s="134">
        <v>0</v>
      </c>
      <c r="CE227" s="135">
        <f>CD227*H227</f>
        <v>0</v>
      </c>
      <c r="DC227" s="136" t="s">
        <v>95</v>
      </c>
      <c r="DE227" s="136" t="s">
        <v>284</v>
      </c>
      <c r="DF227" s="136" t="s">
        <v>83</v>
      </c>
      <c r="DJ227" s="16" t="s">
        <v>282</v>
      </c>
      <c r="DP227" s="137">
        <f>IF(BY227="základní",J227,0)</f>
        <v>7178.27</v>
      </c>
      <c r="DQ227" s="137">
        <f>IF(BY227="snížená",J227,0)</f>
        <v>0</v>
      </c>
      <c r="DR227" s="137">
        <f>IF(BY227="zákl. přenesená",J227,0)</f>
        <v>0</v>
      </c>
      <c r="DS227" s="137">
        <f>IF(BY227="sníž. přenesená",J227,0)</f>
        <v>0</v>
      </c>
      <c r="DT227" s="137">
        <f>IF(BY227="nulová",J227,0)</f>
        <v>0</v>
      </c>
      <c r="DU227" s="16" t="s">
        <v>81</v>
      </c>
      <c r="DV227" s="137">
        <f>ROUND(I227*H227,2)</f>
        <v>7178.27</v>
      </c>
      <c r="DW227" s="16" t="s">
        <v>95</v>
      </c>
      <c r="DX227" s="136" t="s">
        <v>2622</v>
      </c>
    </row>
    <row r="228" spans="2:128" s="1" customFormat="1" x14ac:dyDescent="0.2">
      <c r="B228" s="31"/>
      <c r="D228" s="138" t="s">
        <v>289</v>
      </c>
      <c r="F228" s="139" t="s">
        <v>2966</v>
      </c>
      <c r="I228" s="140"/>
      <c r="L228" s="31"/>
      <c r="N228" s="213"/>
      <c r="O228" s="214"/>
      <c r="Q228" s="229"/>
      <c r="BX228" s="141"/>
      <c r="CE228" s="50"/>
      <c r="DE228" s="16" t="s">
        <v>289</v>
      </c>
      <c r="DF228" s="16" t="s">
        <v>83</v>
      </c>
    </row>
    <row r="229" spans="2:128" s="1" customFormat="1" ht="14.45" customHeight="1" x14ac:dyDescent="0.2">
      <c r="B229" s="124"/>
      <c r="C229" s="125" t="s">
        <v>594</v>
      </c>
      <c r="D229" s="125" t="s">
        <v>284</v>
      </c>
      <c r="E229" s="126" t="s">
        <v>2967</v>
      </c>
      <c r="F229" s="127" t="s">
        <v>2968</v>
      </c>
      <c r="G229" s="128" t="s">
        <v>315</v>
      </c>
      <c r="H229" s="129">
        <v>1</v>
      </c>
      <c r="I229" s="130">
        <v>3001.4139721189999</v>
      </c>
      <c r="J229" s="131">
        <f>ROUND(I229*H229,2)</f>
        <v>3001.41</v>
      </c>
      <c r="K229" s="127" t="s">
        <v>1</v>
      </c>
      <c r="L229" s="268">
        <f>S229</f>
        <v>0</v>
      </c>
      <c r="M229" s="272">
        <f>ROUND(I229*L229,2)</f>
        <v>0</v>
      </c>
      <c r="N229" s="243"/>
      <c r="O229" s="294">
        <f>ROUND(N229*I229,2)</f>
        <v>0</v>
      </c>
      <c r="P229" s="273">
        <f>H229-L229-N229</f>
        <v>1</v>
      </c>
      <c r="Q229" s="287">
        <f>ROUND(P229*I229,2)</f>
        <v>3001.41</v>
      </c>
      <c r="R229" s="137"/>
      <c r="S229" s="269">
        <f>W229+Y229+AA229+AC229</f>
        <v>0</v>
      </c>
      <c r="T229" s="269">
        <f>ROUND(S229*I229,2)</f>
        <v>0</v>
      </c>
      <c r="U229" s="269">
        <f>H229-S229</f>
        <v>1</v>
      </c>
      <c r="V229" s="269">
        <f>ROUND(U229*I229,2)</f>
        <v>3001.41</v>
      </c>
      <c r="W229" s="269"/>
      <c r="X229" s="269"/>
      <c r="Y229" s="269"/>
      <c r="Z229" s="269"/>
      <c r="AA229" s="269"/>
      <c r="AB229" s="269"/>
      <c r="AC229" s="269"/>
      <c r="AD229" s="269"/>
      <c r="BX229" s="132" t="s">
        <v>1</v>
      </c>
      <c r="BY229" s="133" t="s">
        <v>40</v>
      </c>
      <c r="CA229" s="134">
        <f>BZ229*H229</f>
        <v>0</v>
      </c>
      <c r="CB229" s="134">
        <v>0</v>
      </c>
      <c r="CC229" s="134">
        <f>CB229*H229</f>
        <v>0</v>
      </c>
      <c r="CD229" s="134">
        <v>0</v>
      </c>
      <c r="CE229" s="135">
        <f>CD229*H229</f>
        <v>0</v>
      </c>
      <c r="DC229" s="136" t="s">
        <v>95</v>
      </c>
      <c r="DE229" s="136" t="s">
        <v>284</v>
      </c>
      <c r="DF229" s="136" t="s">
        <v>83</v>
      </c>
      <c r="DJ229" s="16" t="s">
        <v>282</v>
      </c>
      <c r="DP229" s="137">
        <f>IF(BY229="základní",J229,0)</f>
        <v>3001.41</v>
      </c>
      <c r="DQ229" s="137">
        <f>IF(BY229="snížená",J229,0)</f>
        <v>0</v>
      </c>
      <c r="DR229" s="137">
        <f>IF(BY229="zákl. přenesená",J229,0)</f>
        <v>0</v>
      </c>
      <c r="DS229" s="137">
        <f>IF(BY229="sníž. přenesená",J229,0)</f>
        <v>0</v>
      </c>
      <c r="DT229" s="137">
        <f>IF(BY229="nulová",J229,0)</f>
        <v>0</v>
      </c>
      <c r="DU229" s="16" t="s">
        <v>81</v>
      </c>
      <c r="DV229" s="137">
        <f>ROUND(I229*H229,2)</f>
        <v>3001.41</v>
      </c>
      <c r="DW229" s="16" t="s">
        <v>95</v>
      </c>
      <c r="DX229" s="136" t="s">
        <v>2631</v>
      </c>
    </row>
    <row r="230" spans="2:128" s="1" customFormat="1" x14ac:dyDescent="0.2">
      <c r="B230" s="31"/>
      <c r="D230" s="138" t="s">
        <v>289</v>
      </c>
      <c r="F230" s="139" t="s">
        <v>2968</v>
      </c>
      <c r="I230" s="140"/>
      <c r="L230" s="31"/>
      <c r="N230" s="213"/>
      <c r="O230" s="214"/>
      <c r="Q230" s="229"/>
      <c r="BX230" s="141"/>
      <c r="CE230" s="50"/>
      <c r="DE230" s="16" t="s">
        <v>289</v>
      </c>
      <c r="DF230" s="16" t="s">
        <v>83</v>
      </c>
    </row>
    <row r="231" spans="2:128" s="10" customFormat="1" ht="22.9" customHeight="1" x14ac:dyDescent="0.2">
      <c r="B231" s="112"/>
      <c r="D231" s="113" t="s">
        <v>73</v>
      </c>
      <c r="E231" s="122" t="s">
        <v>1985</v>
      </c>
      <c r="F231" s="122" t="s">
        <v>2969</v>
      </c>
      <c r="I231" s="115"/>
      <c r="J231" s="123">
        <f>DV231</f>
        <v>130840.69</v>
      </c>
      <c r="L231" s="112"/>
      <c r="N231" s="356"/>
      <c r="O231" s="357"/>
      <c r="Q231" s="289"/>
      <c r="BX231" s="117"/>
      <c r="CA231" s="118">
        <f>CA232+CA243</f>
        <v>0</v>
      </c>
      <c r="CC231" s="118">
        <f>CC232+CC243</f>
        <v>0</v>
      </c>
      <c r="CE231" s="119">
        <f>CE232+CE243</f>
        <v>0</v>
      </c>
      <c r="DC231" s="113" t="s">
        <v>81</v>
      </c>
      <c r="DE231" s="120" t="s">
        <v>73</v>
      </c>
      <c r="DF231" s="120" t="s">
        <v>81</v>
      </c>
      <c r="DJ231" s="113" t="s">
        <v>282</v>
      </c>
      <c r="DV231" s="121">
        <f>DV232+DV243</f>
        <v>130840.69</v>
      </c>
    </row>
    <row r="232" spans="2:128" s="10" customFormat="1" ht="20.85" customHeight="1" x14ac:dyDescent="0.2">
      <c r="B232" s="112"/>
      <c r="D232" s="113" t="s">
        <v>73</v>
      </c>
      <c r="E232" s="122" t="s">
        <v>2970</v>
      </c>
      <c r="F232" s="122" t="s">
        <v>2971</v>
      </c>
      <c r="I232" s="115"/>
      <c r="J232" s="123">
        <f>DV232</f>
        <v>18063.07</v>
      </c>
      <c r="L232" s="112"/>
      <c r="M232" s="270">
        <f>SUM(M233:M241)</f>
        <v>0</v>
      </c>
      <c r="N232" s="301"/>
      <c r="O232" s="302">
        <f t="shared" ref="O232:V232" si="3">SUM(O233:O241)</f>
        <v>0</v>
      </c>
      <c r="P232" s="270"/>
      <c r="Q232" s="288">
        <f t="shared" si="3"/>
        <v>18063.07</v>
      </c>
      <c r="R232" s="270"/>
      <c r="S232" s="270"/>
      <c r="T232" s="270">
        <f t="shared" si="3"/>
        <v>0</v>
      </c>
      <c r="U232" s="270"/>
      <c r="V232" s="270">
        <f t="shared" si="3"/>
        <v>18063.07</v>
      </c>
      <c r="BX232" s="117"/>
      <c r="CA232" s="118">
        <f>SUM(CA233:CA242)</f>
        <v>0</v>
      </c>
      <c r="CC232" s="118">
        <f>SUM(CC233:CC242)</f>
        <v>0</v>
      </c>
      <c r="CE232" s="119">
        <f>SUM(CE233:CE242)</f>
        <v>0</v>
      </c>
      <c r="DC232" s="113" t="s">
        <v>81</v>
      </c>
      <c r="DE232" s="120" t="s">
        <v>73</v>
      </c>
      <c r="DF232" s="120" t="s">
        <v>83</v>
      </c>
      <c r="DJ232" s="113" t="s">
        <v>282</v>
      </c>
      <c r="DV232" s="121">
        <f>SUM(DV233:DV242)</f>
        <v>18063.07</v>
      </c>
    </row>
    <row r="233" spans="2:128" s="1" customFormat="1" ht="14.45" customHeight="1" x14ac:dyDescent="0.2">
      <c r="B233" s="124"/>
      <c r="C233" s="125" t="s">
        <v>599</v>
      </c>
      <c r="D233" s="125" t="s">
        <v>284</v>
      </c>
      <c r="E233" s="126" t="s">
        <v>2972</v>
      </c>
      <c r="F233" s="127" t="s">
        <v>2973</v>
      </c>
      <c r="G233" s="128" t="s">
        <v>315</v>
      </c>
      <c r="H233" s="129">
        <v>1</v>
      </c>
      <c r="I233" s="130">
        <v>7738.2502446790004</v>
      </c>
      <c r="J233" s="131">
        <f>ROUND(I233*H233,2)</f>
        <v>7738.25</v>
      </c>
      <c r="K233" s="127" t="s">
        <v>1</v>
      </c>
      <c r="L233" s="268">
        <f>S233</f>
        <v>0</v>
      </c>
      <c r="M233" s="272">
        <f>ROUND(I233*L233,2)</f>
        <v>0</v>
      </c>
      <c r="N233" s="243"/>
      <c r="O233" s="294">
        <f>ROUND(N233*I233,2)</f>
        <v>0</v>
      </c>
      <c r="P233" s="273">
        <f>H233-L233-N233</f>
        <v>1</v>
      </c>
      <c r="Q233" s="287">
        <f>ROUND(P233*I233,2)</f>
        <v>7738.25</v>
      </c>
      <c r="R233" s="137"/>
      <c r="S233" s="269">
        <f>W233+Y233+AA233+AC233</f>
        <v>0</v>
      </c>
      <c r="T233" s="269">
        <f>ROUND(S233*I233,2)</f>
        <v>0</v>
      </c>
      <c r="U233" s="269">
        <f>H233-S233</f>
        <v>1</v>
      </c>
      <c r="V233" s="269">
        <f>ROUND(U233*I233,2)</f>
        <v>7738.25</v>
      </c>
      <c r="W233" s="269"/>
      <c r="X233" s="269"/>
      <c r="Y233" s="269"/>
      <c r="Z233" s="269"/>
      <c r="AA233" s="269"/>
      <c r="AB233" s="269"/>
      <c r="AC233" s="269"/>
      <c r="AD233" s="269"/>
      <c r="BX233" s="132" t="s">
        <v>1</v>
      </c>
      <c r="BY233" s="133" t="s">
        <v>40</v>
      </c>
      <c r="CA233" s="134">
        <f>BZ233*H233</f>
        <v>0</v>
      </c>
      <c r="CB233" s="134">
        <v>0</v>
      </c>
      <c r="CC233" s="134">
        <f>CB233*H233</f>
        <v>0</v>
      </c>
      <c r="CD233" s="134">
        <v>0</v>
      </c>
      <c r="CE233" s="135">
        <f>CD233*H233</f>
        <v>0</v>
      </c>
      <c r="DC233" s="136" t="s">
        <v>95</v>
      </c>
      <c r="DE233" s="136" t="s">
        <v>284</v>
      </c>
      <c r="DF233" s="136" t="s">
        <v>90</v>
      </c>
      <c r="DJ233" s="16" t="s">
        <v>282</v>
      </c>
      <c r="DP233" s="137">
        <f>IF(BY233="základní",J233,0)</f>
        <v>7738.25</v>
      </c>
      <c r="DQ233" s="137">
        <f>IF(BY233="snížená",J233,0)</f>
        <v>0</v>
      </c>
      <c r="DR233" s="137">
        <f>IF(BY233="zákl. přenesená",J233,0)</f>
        <v>0</v>
      </c>
      <c r="DS233" s="137">
        <f>IF(BY233="sníž. přenesená",J233,0)</f>
        <v>0</v>
      </c>
      <c r="DT233" s="137">
        <f>IF(BY233="nulová",J233,0)</f>
        <v>0</v>
      </c>
      <c r="DU233" s="16" t="s">
        <v>81</v>
      </c>
      <c r="DV233" s="137">
        <f>ROUND(I233*H233,2)</f>
        <v>7738.25</v>
      </c>
      <c r="DW233" s="16" t="s">
        <v>95</v>
      </c>
      <c r="DX233" s="136" t="s">
        <v>2636</v>
      </c>
    </row>
    <row r="234" spans="2:128" s="1" customFormat="1" x14ac:dyDescent="0.2">
      <c r="B234" s="31"/>
      <c r="D234" s="138" t="s">
        <v>289</v>
      </c>
      <c r="F234" s="139" t="s">
        <v>2973</v>
      </c>
      <c r="I234" s="140"/>
      <c r="L234" s="31"/>
      <c r="N234" s="213"/>
      <c r="O234" s="214"/>
      <c r="Q234" s="229"/>
      <c r="BX234" s="141"/>
      <c r="CE234" s="50"/>
      <c r="DE234" s="16" t="s">
        <v>289</v>
      </c>
      <c r="DF234" s="16" t="s">
        <v>90</v>
      </c>
    </row>
    <row r="235" spans="2:128" s="1" customFormat="1" ht="14.45" customHeight="1" x14ac:dyDescent="0.2">
      <c r="B235" s="124"/>
      <c r="C235" s="125" t="s">
        <v>604</v>
      </c>
      <c r="D235" s="125" t="s">
        <v>284</v>
      </c>
      <c r="E235" s="126" t="s">
        <v>2974</v>
      </c>
      <c r="F235" s="127" t="s">
        <v>2975</v>
      </c>
      <c r="G235" s="128" t="s">
        <v>1948</v>
      </c>
      <c r="H235" s="129">
        <v>1</v>
      </c>
      <c r="I235" s="130">
        <v>3574.953078469</v>
      </c>
      <c r="J235" s="131">
        <f>ROUND(I235*H235,2)</f>
        <v>3574.95</v>
      </c>
      <c r="K235" s="127" t="s">
        <v>1</v>
      </c>
      <c r="L235" s="268">
        <f>S235</f>
        <v>0</v>
      </c>
      <c r="M235" s="272">
        <f>ROUND(I235*L235,2)</f>
        <v>0</v>
      </c>
      <c r="N235" s="243"/>
      <c r="O235" s="294">
        <f>ROUND(N235*I235,2)</f>
        <v>0</v>
      </c>
      <c r="P235" s="273">
        <f>H235-L235-N235</f>
        <v>1</v>
      </c>
      <c r="Q235" s="287">
        <f>ROUND(P235*I235,2)</f>
        <v>3574.95</v>
      </c>
      <c r="R235" s="137"/>
      <c r="S235" s="269">
        <f>W235+Y235+AA235+AC235</f>
        <v>0</v>
      </c>
      <c r="T235" s="269">
        <f>ROUND(S235*I235,2)</f>
        <v>0</v>
      </c>
      <c r="U235" s="269">
        <f>H235-S235</f>
        <v>1</v>
      </c>
      <c r="V235" s="269">
        <f>ROUND(U235*I235,2)</f>
        <v>3574.95</v>
      </c>
      <c r="W235" s="269"/>
      <c r="X235" s="269"/>
      <c r="Y235" s="269"/>
      <c r="Z235" s="269"/>
      <c r="AA235" s="269"/>
      <c r="AB235" s="269"/>
      <c r="AC235" s="269"/>
      <c r="AD235" s="269"/>
      <c r="BX235" s="132" t="s">
        <v>1</v>
      </c>
      <c r="BY235" s="133" t="s">
        <v>40</v>
      </c>
      <c r="CA235" s="134">
        <f>BZ235*H235</f>
        <v>0</v>
      </c>
      <c r="CB235" s="134">
        <v>0</v>
      </c>
      <c r="CC235" s="134">
        <f>CB235*H235</f>
        <v>0</v>
      </c>
      <c r="CD235" s="134">
        <v>0</v>
      </c>
      <c r="CE235" s="135">
        <f>CD235*H235</f>
        <v>0</v>
      </c>
      <c r="DC235" s="136" t="s">
        <v>95</v>
      </c>
      <c r="DE235" s="136" t="s">
        <v>284</v>
      </c>
      <c r="DF235" s="136" t="s">
        <v>90</v>
      </c>
      <c r="DJ235" s="16" t="s">
        <v>282</v>
      </c>
      <c r="DP235" s="137">
        <f>IF(BY235="základní",J235,0)</f>
        <v>3574.95</v>
      </c>
      <c r="DQ235" s="137">
        <f>IF(BY235="snížená",J235,0)</f>
        <v>0</v>
      </c>
      <c r="DR235" s="137">
        <f>IF(BY235="zákl. přenesená",J235,0)</f>
        <v>0</v>
      </c>
      <c r="DS235" s="137">
        <f>IF(BY235="sníž. přenesená",J235,0)</f>
        <v>0</v>
      </c>
      <c r="DT235" s="137">
        <f>IF(BY235="nulová",J235,0)</f>
        <v>0</v>
      </c>
      <c r="DU235" s="16" t="s">
        <v>81</v>
      </c>
      <c r="DV235" s="137">
        <f>ROUND(I235*H235,2)</f>
        <v>3574.95</v>
      </c>
      <c r="DW235" s="16" t="s">
        <v>95</v>
      </c>
      <c r="DX235" s="136" t="s">
        <v>2639</v>
      </c>
    </row>
    <row r="236" spans="2:128" s="1" customFormat="1" x14ac:dyDescent="0.2">
      <c r="B236" s="31"/>
      <c r="D236" s="138" t="s">
        <v>289</v>
      </c>
      <c r="F236" s="139" t="s">
        <v>2975</v>
      </c>
      <c r="I236" s="140"/>
      <c r="L236" s="31"/>
      <c r="N236" s="213"/>
      <c r="O236" s="214"/>
      <c r="Q236" s="229"/>
      <c r="BX236" s="141"/>
      <c r="CE236" s="50"/>
      <c r="DE236" s="16" t="s">
        <v>289</v>
      </c>
      <c r="DF236" s="16" t="s">
        <v>90</v>
      </c>
    </row>
    <row r="237" spans="2:128" s="1" customFormat="1" ht="14.45" customHeight="1" x14ac:dyDescent="0.2">
      <c r="B237" s="124"/>
      <c r="C237" s="125" t="s">
        <v>609</v>
      </c>
      <c r="D237" s="125" t="s">
        <v>284</v>
      </c>
      <c r="E237" s="126" t="s">
        <v>2976</v>
      </c>
      <c r="F237" s="127" t="s">
        <v>1986</v>
      </c>
      <c r="G237" s="128" t="s">
        <v>1948</v>
      </c>
      <c r="H237" s="129">
        <v>1</v>
      </c>
      <c r="I237" s="130">
        <v>1385.7765691</v>
      </c>
      <c r="J237" s="131">
        <f>ROUND(I237*H237,2)</f>
        <v>1385.78</v>
      </c>
      <c r="K237" s="127" t="s">
        <v>1</v>
      </c>
      <c r="L237" s="268">
        <f>S237</f>
        <v>0</v>
      </c>
      <c r="M237" s="272">
        <f>ROUND(I237*L237,2)</f>
        <v>0</v>
      </c>
      <c r="N237" s="243"/>
      <c r="O237" s="294">
        <f>ROUND(N237*I237,2)</f>
        <v>0</v>
      </c>
      <c r="P237" s="273">
        <f>H237-L237-N237</f>
        <v>1</v>
      </c>
      <c r="Q237" s="287">
        <f>ROUND(P237*I237,2)</f>
        <v>1385.78</v>
      </c>
      <c r="R237" s="137"/>
      <c r="S237" s="269">
        <f>W237+Y237+AA237+AC237</f>
        <v>0</v>
      </c>
      <c r="T237" s="269">
        <f>ROUND(S237*I237,2)</f>
        <v>0</v>
      </c>
      <c r="U237" s="269">
        <f>H237-S237</f>
        <v>1</v>
      </c>
      <c r="V237" s="269">
        <f>ROUND(U237*I237,2)</f>
        <v>1385.78</v>
      </c>
      <c r="W237" s="269"/>
      <c r="X237" s="269"/>
      <c r="Y237" s="269"/>
      <c r="Z237" s="269"/>
      <c r="AA237" s="269"/>
      <c r="AB237" s="269"/>
      <c r="AC237" s="269"/>
      <c r="AD237" s="269"/>
      <c r="BX237" s="132" t="s">
        <v>1</v>
      </c>
      <c r="BY237" s="133" t="s">
        <v>40</v>
      </c>
      <c r="CA237" s="134">
        <f>BZ237*H237</f>
        <v>0</v>
      </c>
      <c r="CB237" s="134">
        <v>0</v>
      </c>
      <c r="CC237" s="134">
        <f>CB237*H237</f>
        <v>0</v>
      </c>
      <c r="CD237" s="134">
        <v>0</v>
      </c>
      <c r="CE237" s="135">
        <f>CD237*H237</f>
        <v>0</v>
      </c>
      <c r="DC237" s="136" t="s">
        <v>95</v>
      </c>
      <c r="DE237" s="136" t="s">
        <v>284</v>
      </c>
      <c r="DF237" s="136" t="s">
        <v>90</v>
      </c>
      <c r="DJ237" s="16" t="s">
        <v>282</v>
      </c>
      <c r="DP237" s="137">
        <f>IF(BY237="základní",J237,0)</f>
        <v>1385.78</v>
      </c>
      <c r="DQ237" s="137">
        <f>IF(BY237="snížená",J237,0)</f>
        <v>0</v>
      </c>
      <c r="DR237" s="137">
        <f>IF(BY237="zákl. přenesená",J237,0)</f>
        <v>0</v>
      </c>
      <c r="DS237" s="137">
        <f>IF(BY237="sníž. přenesená",J237,0)</f>
        <v>0</v>
      </c>
      <c r="DT237" s="137">
        <f>IF(BY237="nulová",J237,0)</f>
        <v>0</v>
      </c>
      <c r="DU237" s="16" t="s">
        <v>81</v>
      </c>
      <c r="DV237" s="137">
        <f>ROUND(I237*H237,2)</f>
        <v>1385.78</v>
      </c>
      <c r="DW237" s="16" t="s">
        <v>95</v>
      </c>
      <c r="DX237" s="136" t="s">
        <v>2385</v>
      </c>
    </row>
    <row r="238" spans="2:128" s="1" customFormat="1" x14ac:dyDescent="0.2">
      <c r="B238" s="31"/>
      <c r="D238" s="138" t="s">
        <v>289</v>
      </c>
      <c r="F238" s="139" t="s">
        <v>1986</v>
      </c>
      <c r="I238" s="140"/>
      <c r="L238" s="31"/>
      <c r="N238" s="213"/>
      <c r="O238" s="214"/>
      <c r="Q238" s="229"/>
      <c r="BX238" s="141"/>
      <c r="CE238" s="50"/>
      <c r="DE238" s="16" t="s">
        <v>289</v>
      </c>
      <c r="DF238" s="16" t="s">
        <v>90</v>
      </c>
    </row>
    <row r="239" spans="2:128" s="1" customFormat="1" ht="14.45" customHeight="1" x14ac:dyDescent="0.2">
      <c r="B239" s="124"/>
      <c r="C239" s="125" t="s">
        <v>614</v>
      </c>
      <c r="D239" s="125" t="s">
        <v>284</v>
      </c>
      <c r="E239" s="126" t="s">
        <v>2977</v>
      </c>
      <c r="F239" s="127" t="s">
        <v>2978</v>
      </c>
      <c r="G239" s="128" t="s">
        <v>1948</v>
      </c>
      <c r="H239" s="129">
        <v>1</v>
      </c>
      <c r="I239" s="130">
        <v>1650.9969650999999</v>
      </c>
      <c r="J239" s="131">
        <f>ROUND(I239*H239,2)</f>
        <v>1651</v>
      </c>
      <c r="K239" s="127" t="s">
        <v>1</v>
      </c>
      <c r="L239" s="268">
        <f>S239</f>
        <v>0</v>
      </c>
      <c r="M239" s="272">
        <f>ROUND(I239*L239,2)</f>
        <v>0</v>
      </c>
      <c r="N239" s="243"/>
      <c r="O239" s="294">
        <f>ROUND(N239*I239,2)</f>
        <v>0</v>
      </c>
      <c r="P239" s="273">
        <f>H239-L239-N239</f>
        <v>1</v>
      </c>
      <c r="Q239" s="287">
        <f>ROUND(P239*I239,2)</f>
        <v>1651</v>
      </c>
      <c r="R239" s="137"/>
      <c r="S239" s="269">
        <f>W239+Y239+AA239+AC239</f>
        <v>0</v>
      </c>
      <c r="T239" s="269">
        <f>ROUND(S239*I239,2)</f>
        <v>0</v>
      </c>
      <c r="U239" s="269">
        <f>H239-S239</f>
        <v>1</v>
      </c>
      <c r="V239" s="269">
        <f>ROUND(U239*I239,2)</f>
        <v>1651</v>
      </c>
      <c r="W239" s="269"/>
      <c r="X239" s="269"/>
      <c r="Y239" s="269"/>
      <c r="Z239" s="269"/>
      <c r="AA239" s="269"/>
      <c r="AB239" s="269"/>
      <c r="AC239" s="269"/>
      <c r="AD239" s="269"/>
      <c r="BX239" s="132" t="s">
        <v>1</v>
      </c>
      <c r="BY239" s="133" t="s">
        <v>40</v>
      </c>
      <c r="CA239" s="134">
        <f>BZ239*H239</f>
        <v>0</v>
      </c>
      <c r="CB239" s="134">
        <v>0</v>
      </c>
      <c r="CC239" s="134">
        <f>CB239*H239</f>
        <v>0</v>
      </c>
      <c r="CD239" s="134">
        <v>0</v>
      </c>
      <c r="CE239" s="135">
        <f>CD239*H239</f>
        <v>0</v>
      </c>
      <c r="DC239" s="136" t="s">
        <v>95</v>
      </c>
      <c r="DE239" s="136" t="s">
        <v>284</v>
      </c>
      <c r="DF239" s="136" t="s">
        <v>90</v>
      </c>
      <c r="DJ239" s="16" t="s">
        <v>282</v>
      </c>
      <c r="DP239" s="137">
        <f>IF(BY239="základní",J239,0)</f>
        <v>1651</v>
      </c>
      <c r="DQ239" s="137">
        <f>IF(BY239="snížená",J239,0)</f>
        <v>0</v>
      </c>
      <c r="DR239" s="137">
        <f>IF(BY239="zákl. přenesená",J239,0)</f>
        <v>0</v>
      </c>
      <c r="DS239" s="137">
        <f>IF(BY239="sníž. přenesená",J239,0)</f>
        <v>0</v>
      </c>
      <c r="DT239" s="137">
        <f>IF(BY239="nulová",J239,0)</f>
        <v>0</v>
      </c>
      <c r="DU239" s="16" t="s">
        <v>81</v>
      </c>
      <c r="DV239" s="137">
        <f>ROUND(I239*H239,2)</f>
        <v>1651</v>
      </c>
      <c r="DW239" s="16" t="s">
        <v>95</v>
      </c>
      <c r="DX239" s="136" t="s">
        <v>2645</v>
      </c>
    </row>
    <row r="240" spans="2:128" s="1" customFormat="1" x14ac:dyDescent="0.2">
      <c r="B240" s="31"/>
      <c r="D240" s="138" t="s">
        <v>289</v>
      </c>
      <c r="F240" s="139" t="s">
        <v>2978</v>
      </c>
      <c r="I240" s="140"/>
      <c r="L240" s="31"/>
      <c r="N240" s="213"/>
      <c r="O240" s="214"/>
      <c r="Q240" s="229"/>
      <c r="BX240" s="141"/>
      <c r="CE240" s="50"/>
      <c r="DE240" s="16" t="s">
        <v>289</v>
      </c>
      <c r="DF240" s="16" t="s">
        <v>90</v>
      </c>
    </row>
    <row r="241" spans="2:128" s="1" customFormat="1" ht="14.45" customHeight="1" x14ac:dyDescent="0.2">
      <c r="B241" s="124"/>
      <c r="C241" s="125" t="s">
        <v>618</v>
      </c>
      <c r="D241" s="125" t="s">
        <v>284</v>
      </c>
      <c r="E241" s="126" t="s">
        <v>2979</v>
      </c>
      <c r="F241" s="127" t="s">
        <v>2980</v>
      </c>
      <c r="G241" s="128" t="s">
        <v>1948</v>
      </c>
      <c r="H241" s="129">
        <v>1</v>
      </c>
      <c r="I241" s="130">
        <v>3713.085544</v>
      </c>
      <c r="J241" s="131">
        <f>ROUND(I241*H241,2)</f>
        <v>3713.09</v>
      </c>
      <c r="K241" s="127" t="s">
        <v>1</v>
      </c>
      <c r="L241" s="268">
        <f>S241</f>
        <v>0</v>
      </c>
      <c r="M241" s="272">
        <f>ROUND(I241*L241,2)</f>
        <v>0</v>
      </c>
      <c r="N241" s="243"/>
      <c r="O241" s="294">
        <f>ROUND(N241*I241,2)</f>
        <v>0</v>
      </c>
      <c r="P241" s="273">
        <f>H241-L241-N241</f>
        <v>1</v>
      </c>
      <c r="Q241" s="287">
        <f>ROUND(P241*I241,2)</f>
        <v>3713.09</v>
      </c>
      <c r="R241" s="137"/>
      <c r="S241" s="269">
        <f>W241+Y241+AA241+AC241</f>
        <v>0</v>
      </c>
      <c r="T241" s="269">
        <f>ROUND(S241*I241,2)</f>
        <v>0</v>
      </c>
      <c r="U241" s="269">
        <f>H241-S241</f>
        <v>1</v>
      </c>
      <c r="V241" s="269">
        <f>ROUND(U241*I241,2)</f>
        <v>3713.09</v>
      </c>
      <c r="W241" s="269"/>
      <c r="X241" s="269"/>
      <c r="Y241" s="269"/>
      <c r="Z241" s="269"/>
      <c r="AA241" s="269"/>
      <c r="AB241" s="269"/>
      <c r="AC241" s="269"/>
      <c r="AD241" s="269"/>
      <c r="BX241" s="132" t="s">
        <v>1</v>
      </c>
      <c r="BY241" s="133" t="s">
        <v>40</v>
      </c>
      <c r="CA241" s="134">
        <f>BZ241*H241</f>
        <v>0</v>
      </c>
      <c r="CB241" s="134">
        <v>0</v>
      </c>
      <c r="CC241" s="134">
        <f>CB241*H241</f>
        <v>0</v>
      </c>
      <c r="CD241" s="134">
        <v>0</v>
      </c>
      <c r="CE241" s="135">
        <f>CD241*H241</f>
        <v>0</v>
      </c>
      <c r="DC241" s="136" t="s">
        <v>95</v>
      </c>
      <c r="DE241" s="136" t="s">
        <v>284</v>
      </c>
      <c r="DF241" s="136" t="s">
        <v>90</v>
      </c>
      <c r="DJ241" s="16" t="s">
        <v>282</v>
      </c>
      <c r="DP241" s="137">
        <f>IF(BY241="základní",J241,0)</f>
        <v>3713.09</v>
      </c>
      <c r="DQ241" s="137">
        <f>IF(BY241="snížená",J241,0)</f>
        <v>0</v>
      </c>
      <c r="DR241" s="137">
        <f>IF(BY241="zákl. přenesená",J241,0)</f>
        <v>0</v>
      </c>
      <c r="DS241" s="137">
        <f>IF(BY241="sníž. přenesená",J241,0)</f>
        <v>0</v>
      </c>
      <c r="DT241" s="137">
        <f>IF(BY241="nulová",J241,0)</f>
        <v>0</v>
      </c>
      <c r="DU241" s="16" t="s">
        <v>81</v>
      </c>
      <c r="DV241" s="137">
        <f>ROUND(I241*H241,2)</f>
        <v>3713.09</v>
      </c>
      <c r="DW241" s="16" t="s">
        <v>95</v>
      </c>
      <c r="DX241" s="136" t="s">
        <v>2981</v>
      </c>
    </row>
    <row r="242" spans="2:128" s="1" customFormat="1" x14ac:dyDescent="0.2">
      <c r="B242" s="31"/>
      <c r="D242" s="138" t="s">
        <v>289</v>
      </c>
      <c r="F242" s="139" t="s">
        <v>2980</v>
      </c>
      <c r="I242" s="140"/>
      <c r="L242" s="31"/>
      <c r="N242" s="213"/>
      <c r="O242" s="214"/>
      <c r="Q242" s="229"/>
      <c r="BX242" s="141"/>
      <c r="CE242" s="50"/>
      <c r="DE242" s="16" t="s">
        <v>289</v>
      </c>
      <c r="DF242" s="16" t="s">
        <v>90</v>
      </c>
    </row>
    <row r="243" spans="2:128" s="10" customFormat="1" ht="20.85" customHeight="1" x14ac:dyDescent="0.2">
      <c r="B243" s="112"/>
      <c r="D243" s="113" t="s">
        <v>73</v>
      </c>
      <c r="E243" s="122" t="s">
        <v>2982</v>
      </c>
      <c r="F243" s="122" t="s">
        <v>2983</v>
      </c>
      <c r="I243" s="115"/>
      <c r="J243" s="123">
        <f>DV243</f>
        <v>112777.62</v>
      </c>
      <c r="L243" s="112"/>
      <c r="M243" s="270">
        <f>SUM(M244:M272)</f>
        <v>0</v>
      </c>
      <c r="N243" s="301"/>
      <c r="O243" s="302">
        <f t="shared" ref="O243:V243" si="4">SUM(O244:O272)</f>
        <v>0</v>
      </c>
      <c r="P243" s="270"/>
      <c r="Q243" s="288">
        <f t="shared" si="4"/>
        <v>112777.62</v>
      </c>
      <c r="R243" s="270"/>
      <c r="S243" s="270"/>
      <c r="T243" s="270">
        <f t="shared" si="4"/>
        <v>0</v>
      </c>
      <c r="U243" s="270"/>
      <c r="V243" s="270">
        <f t="shared" si="4"/>
        <v>112777.62</v>
      </c>
      <c r="BX243" s="117"/>
      <c r="CA243" s="118">
        <f>SUM(CA244:CA273)</f>
        <v>0</v>
      </c>
      <c r="CC243" s="118">
        <f>SUM(CC244:CC273)</f>
        <v>0</v>
      </c>
      <c r="CE243" s="119">
        <f>SUM(CE244:CE273)</f>
        <v>0</v>
      </c>
      <c r="DC243" s="113" t="s">
        <v>81</v>
      </c>
      <c r="DE243" s="120" t="s">
        <v>73</v>
      </c>
      <c r="DF243" s="120" t="s">
        <v>83</v>
      </c>
      <c r="DJ243" s="113" t="s">
        <v>282</v>
      </c>
      <c r="DV243" s="121">
        <f>SUM(DV244:DV273)</f>
        <v>112777.62</v>
      </c>
    </row>
    <row r="244" spans="2:128" s="1" customFormat="1" ht="37.9" customHeight="1" x14ac:dyDescent="0.2">
      <c r="B244" s="124"/>
      <c r="C244" s="125" t="s">
        <v>622</v>
      </c>
      <c r="D244" s="125" t="s">
        <v>284</v>
      </c>
      <c r="E244" s="126" t="s">
        <v>2984</v>
      </c>
      <c r="F244" s="127" t="s">
        <v>2985</v>
      </c>
      <c r="G244" s="128" t="s">
        <v>1948</v>
      </c>
      <c r="H244" s="129">
        <v>1</v>
      </c>
      <c r="I244" s="130">
        <v>78358.257755831</v>
      </c>
      <c r="J244" s="131">
        <f>ROUND(I244*H244,2)</f>
        <v>78358.259999999995</v>
      </c>
      <c r="K244" s="127" t="s">
        <v>1</v>
      </c>
      <c r="L244" s="268">
        <f>S244</f>
        <v>0</v>
      </c>
      <c r="M244" s="272">
        <f>ROUND(I244*L244,2)</f>
        <v>0</v>
      </c>
      <c r="N244" s="243"/>
      <c r="O244" s="294">
        <f>ROUND(N244*I244,2)</f>
        <v>0</v>
      </c>
      <c r="P244" s="273">
        <f>H244-L244-N244</f>
        <v>1</v>
      </c>
      <c r="Q244" s="287">
        <f>ROUND(P244*I244,2)</f>
        <v>78358.259999999995</v>
      </c>
      <c r="R244" s="137"/>
      <c r="S244" s="269">
        <f>W244+Y244+AA244+AC244</f>
        <v>0</v>
      </c>
      <c r="T244" s="269">
        <f>ROUND(S244*I244,2)</f>
        <v>0</v>
      </c>
      <c r="U244" s="269">
        <f>H244-S244</f>
        <v>1</v>
      </c>
      <c r="V244" s="269">
        <f>ROUND(U244*I244,2)</f>
        <v>78358.259999999995</v>
      </c>
      <c r="W244" s="269"/>
      <c r="X244" s="269"/>
      <c r="Y244" s="269"/>
      <c r="Z244" s="269"/>
      <c r="AA244" s="269"/>
      <c r="AB244" s="269"/>
      <c r="AC244" s="269"/>
      <c r="AD244" s="269"/>
      <c r="BX244" s="132" t="s">
        <v>1</v>
      </c>
      <c r="BY244" s="133" t="s">
        <v>40</v>
      </c>
      <c r="CA244" s="134">
        <f>BZ244*H244</f>
        <v>0</v>
      </c>
      <c r="CB244" s="134">
        <v>0</v>
      </c>
      <c r="CC244" s="134">
        <f>CB244*H244</f>
        <v>0</v>
      </c>
      <c r="CD244" s="134">
        <v>0</v>
      </c>
      <c r="CE244" s="135">
        <f>CD244*H244</f>
        <v>0</v>
      </c>
      <c r="DC244" s="136" t="s">
        <v>95</v>
      </c>
      <c r="DE244" s="136" t="s">
        <v>284</v>
      </c>
      <c r="DF244" s="136" t="s">
        <v>90</v>
      </c>
      <c r="DJ244" s="16" t="s">
        <v>282</v>
      </c>
      <c r="DP244" s="137">
        <f>IF(BY244="základní",J244,0)</f>
        <v>78358.259999999995</v>
      </c>
      <c r="DQ244" s="137">
        <f>IF(BY244="snížená",J244,0)</f>
        <v>0</v>
      </c>
      <c r="DR244" s="137">
        <f>IF(BY244="zákl. přenesená",J244,0)</f>
        <v>0</v>
      </c>
      <c r="DS244" s="137">
        <f>IF(BY244="sníž. přenesená",J244,0)</f>
        <v>0</v>
      </c>
      <c r="DT244" s="137">
        <f>IF(BY244="nulová",J244,0)</f>
        <v>0</v>
      </c>
      <c r="DU244" s="16" t="s">
        <v>81</v>
      </c>
      <c r="DV244" s="137">
        <f>ROUND(I244*H244,2)</f>
        <v>78358.259999999995</v>
      </c>
      <c r="DW244" s="16" t="s">
        <v>95</v>
      </c>
      <c r="DX244" s="136" t="s">
        <v>2986</v>
      </c>
    </row>
    <row r="245" spans="2:128" s="1" customFormat="1" ht="29.25" x14ac:dyDescent="0.2">
      <c r="B245" s="31"/>
      <c r="D245" s="138" t="s">
        <v>289</v>
      </c>
      <c r="F245" s="139" t="s">
        <v>2985</v>
      </c>
      <c r="I245" s="140"/>
      <c r="L245" s="31"/>
      <c r="N245" s="213"/>
      <c r="O245" s="214"/>
      <c r="Q245" s="229"/>
      <c r="BX245" s="141"/>
      <c r="CE245" s="50"/>
      <c r="DE245" s="16" t="s">
        <v>289</v>
      </c>
      <c r="DF245" s="16" t="s">
        <v>90</v>
      </c>
    </row>
    <row r="246" spans="2:128" s="1" customFormat="1" ht="24.2" customHeight="1" x14ac:dyDescent="0.2">
      <c r="B246" s="124"/>
      <c r="C246" s="125" t="s">
        <v>627</v>
      </c>
      <c r="D246" s="125" t="s">
        <v>284</v>
      </c>
      <c r="E246" s="126" t="s">
        <v>2987</v>
      </c>
      <c r="F246" s="127" t="s">
        <v>2988</v>
      </c>
      <c r="G246" s="128" t="s">
        <v>315</v>
      </c>
      <c r="H246" s="129">
        <v>1</v>
      </c>
      <c r="I246" s="130">
        <v>4985.9918902879999</v>
      </c>
      <c r="J246" s="131">
        <f>ROUND(I246*H246,2)</f>
        <v>4985.99</v>
      </c>
      <c r="K246" s="127" t="s">
        <v>1</v>
      </c>
      <c r="L246" s="268">
        <f>S246</f>
        <v>0</v>
      </c>
      <c r="M246" s="272">
        <f>ROUND(I246*L246,2)</f>
        <v>0</v>
      </c>
      <c r="N246" s="243"/>
      <c r="O246" s="294">
        <f>ROUND(N246*I246,2)</f>
        <v>0</v>
      </c>
      <c r="P246" s="273">
        <f>H246-L246-N246</f>
        <v>1</v>
      </c>
      <c r="Q246" s="287">
        <f>ROUND(P246*I246,2)</f>
        <v>4985.99</v>
      </c>
      <c r="R246" s="137"/>
      <c r="S246" s="269">
        <f>W246+Y246+AA246+AC246</f>
        <v>0</v>
      </c>
      <c r="T246" s="269">
        <f>ROUND(S246*I246,2)</f>
        <v>0</v>
      </c>
      <c r="U246" s="269">
        <f>H246-S246</f>
        <v>1</v>
      </c>
      <c r="V246" s="269">
        <f>ROUND(U246*I246,2)</f>
        <v>4985.99</v>
      </c>
      <c r="W246" s="269"/>
      <c r="X246" s="269"/>
      <c r="Y246" s="269"/>
      <c r="Z246" s="269"/>
      <c r="AA246" s="269"/>
      <c r="AB246" s="269"/>
      <c r="AC246" s="269"/>
      <c r="AD246" s="269"/>
      <c r="BX246" s="132" t="s">
        <v>1</v>
      </c>
      <c r="BY246" s="133" t="s">
        <v>40</v>
      </c>
      <c r="CA246" s="134">
        <f>BZ246*H246</f>
        <v>0</v>
      </c>
      <c r="CB246" s="134">
        <v>0</v>
      </c>
      <c r="CC246" s="134">
        <f>CB246*H246</f>
        <v>0</v>
      </c>
      <c r="CD246" s="134">
        <v>0</v>
      </c>
      <c r="CE246" s="135">
        <f>CD246*H246</f>
        <v>0</v>
      </c>
      <c r="DC246" s="136" t="s">
        <v>95</v>
      </c>
      <c r="DE246" s="136" t="s">
        <v>284</v>
      </c>
      <c r="DF246" s="136" t="s">
        <v>90</v>
      </c>
      <c r="DJ246" s="16" t="s">
        <v>282</v>
      </c>
      <c r="DP246" s="137">
        <f>IF(BY246="základní",J246,0)</f>
        <v>4985.99</v>
      </c>
      <c r="DQ246" s="137">
        <f>IF(BY246="snížená",J246,0)</f>
        <v>0</v>
      </c>
      <c r="DR246" s="137">
        <f>IF(BY246="zákl. přenesená",J246,0)</f>
        <v>0</v>
      </c>
      <c r="DS246" s="137">
        <f>IF(BY246="sníž. přenesená",J246,0)</f>
        <v>0</v>
      </c>
      <c r="DT246" s="137">
        <f>IF(BY246="nulová",J246,0)</f>
        <v>0</v>
      </c>
      <c r="DU246" s="16" t="s">
        <v>81</v>
      </c>
      <c r="DV246" s="137">
        <f>ROUND(I246*H246,2)</f>
        <v>4985.99</v>
      </c>
      <c r="DW246" s="16" t="s">
        <v>95</v>
      </c>
      <c r="DX246" s="136" t="s">
        <v>2989</v>
      </c>
    </row>
    <row r="247" spans="2:128" s="1" customFormat="1" x14ac:dyDescent="0.2">
      <c r="B247" s="31"/>
      <c r="D247" s="138" t="s">
        <v>289</v>
      </c>
      <c r="F247" s="139" t="s">
        <v>2988</v>
      </c>
      <c r="I247" s="140"/>
      <c r="L247" s="31"/>
      <c r="N247" s="213"/>
      <c r="O247" s="214"/>
      <c r="Q247" s="229"/>
      <c r="BX247" s="141"/>
      <c r="CE247" s="50"/>
      <c r="DE247" s="16" t="s">
        <v>289</v>
      </c>
      <c r="DF247" s="16" t="s">
        <v>90</v>
      </c>
    </row>
    <row r="248" spans="2:128" s="1" customFormat="1" ht="14.45" customHeight="1" x14ac:dyDescent="0.2">
      <c r="B248" s="124"/>
      <c r="C248" s="125" t="s">
        <v>631</v>
      </c>
      <c r="D248" s="125" t="s">
        <v>284</v>
      </c>
      <c r="E248" s="126" t="s">
        <v>2990</v>
      </c>
      <c r="F248" s="127" t="s">
        <v>2991</v>
      </c>
      <c r="G248" s="128" t="s">
        <v>315</v>
      </c>
      <c r="H248" s="129">
        <v>1</v>
      </c>
      <c r="I248" s="130">
        <v>4438.4633270599998</v>
      </c>
      <c r="J248" s="131">
        <f>ROUND(I248*H248,2)</f>
        <v>4438.46</v>
      </c>
      <c r="K248" s="127" t="s">
        <v>1</v>
      </c>
      <c r="L248" s="268">
        <f>S248</f>
        <v>0</v>
      </c>
      <c r="M248" s="272">
        <f>ROUND(I248*L248,2)</f>
        <v>0</v>
      </c>
      <c r="N248" s="243"/>
      <c r="O248" s="294">
        <f>ROUND(N248*I248,2)</f>
        <v>0</v>
      </c>
      <c r="P248" s="273">
        <f>H248-L248-N248</f>
        <v>1</v>
      </c>
      <c r="Q248" s="287">
        <f>ROUND(P248*I248,2)</f>
        <v>4438.46</v>
      </c>
      <c r="R248" s="137"/>
      <c r="S248" s="269">
        <f>W248+Y248+AA248+AC248</f>
        <v>0</v>
      </c>
      <c r="T248" s="269">
        <f>ROUND(S248*I248,2)</f>
        <v>0</v>
      </c>
      <c r="U248" s="269">
        <f>H248-S248</f>
        <v>1</v>
      </c>
      <c r="V248" s="269">
        <f>ROUND(U248*I248,2)</f>
        <v>4438.46</v>
      </c>
      <c r="W248" s="269"/>
      <c r="X248" s="269"/>
      <c r="Y248" s="269"/>
      <c r="Z248" s="269"/>
      <c r="AA248" s="269"/>
      <c r="AB248" s="269"/>
      <c r="AC248" s="269"/>
      <c r="AD248" s="269"/>
      <c r="BX248" s="132" t="s">
        <v>1</v>
      </c>
      <c r="BY248" s="133" t="s">
        <v>40</v>
      </c>
      <c r="CA248" s="134">
        <f>BZ248*H248</f>
        <v>0</v>
      </c>
      <c r="CB248" s="134">
        <v>0</v>
      </c>
      <c r="CC248" s="134">
        <f>CB248*H248</f>
        <v>0</v>
      </c>
      <c r="CD248" s="134">
        <v>0</v>
      </c>
      <c r="CE248" s="135">
        <f>CD248*H248</f>
        <v>0</v>
      </c>
      <c r="DC248" s="136" t="s">
        <v>95</v>
      </c>
      <c r="DE248" s="136" t="s">
        <v>284</v>
      </c>
      <c r="DF248" s="136" t="s">
        <v>90</v>
      </c>
      <c r="DJ248" s="16" t="s">
        <v>282</v>
      </c>
      <c r="DP248" s="137">
        <f>IF(BY248="základní",J248,0)</f>
        <v>4438.46</v>
      </c>
      <c r="DQ248" s="137">
        <f>IF(BY248="snížená",J248,0)</f>
        <v>0</v>
      </c>
      <c r="DR248" s="137">
        <f>IF(BY248="zákl. přenesená",J248,0)</f>
        <v>0</v>
      </c>
      <c r="DS248" s="137">
        <f>IF(BY248="sníž. přenesená",J248,0)</f>
        <v>0</v>
      </c>
      <c r="DT248" s="137">
        <f>IF(BY248="nulová",J248,0)</f>
        <v>0</v>
      </c>
      <c r="DU248" s="16" t="s">
        <v>81</v>
      </c>
      <c r="DV248" s="137">
        <f>ROUND(I248*H248,2)</f>
        <v>4438.46</v>
      </c>
      <c r="DW248" s="16" t="s">
        <v>95</v>
      </c>
      <c r="DX248" s="136" t="s">
        <v>2992</v>
      </c>
    </row>
    <row r="249" spans="2:128" s="1" customFormat="1" x14ac:dyDescent="0.2">
      <c r="B249" s="31"/>
      <c r="D249" s="138" t="s">
        <v>289</v>
      </c>
      <c r="F249" s="139" t="s">
        <v>2991</v>
      </c>
      <c r="I249" s="140"/>
      <c r="L249" s="31"/>
      <c r="N249" s="213"/>
      <c r="O249" s="214"/>
      <c r="Q249" s="229"/>
      <c r="BX249" s="141"/>
      <c r="CE249" s="50"/>
      <c r="DE249" s="16" t="s">
        <v>289</v>
      </c>
      <c r="DF249" s="16" t="s">
        <v>90</v>
      </c>
    </row>
    <row r="250" spans="2:128" s="1" customFormat="1" ht="14.45" customHeight="1" x14ac:dyDescent="0.2">
      <c r="B250" s="124"/>
      <c r="C250" s="125" t="s">
        <v>635</v>
      </c>
      <c r="D250" s="125" t="s">
        <v>284</v>
      </c>
      <c r="E250" s="126" t="s">
        <v>2993</v>
      </c>
      <c r="F250" s="127" t="s">
        <v>2994</v>
      </c>
      <c r="G250" s="128" t="s">
        <v>315</v>
      </c>
      <c r="H250" s="129">
        <v>1</v>
      </c>
      <c r="I250" s="130">
        <v>6035.9994380519993</v>
      </c>
      <c r="J250" s="131">
        <f>ROUND(I250*H250,2)</f>
        <v>6036</v>
      </c>
      <c r="K250" s="127" t="s">
        <v>1</v>
      </c>
      <c r="L250" s="268">
        <f>S250</f>
        <v>0</v>
      </c>
      <c r="M250" s="272">
        <f>ROUND(I250*L250,2)</f>
        <v>0</v>
      </c>
      <c r="N250" s="243"/>
      <c r="O250" s="294">
        <f>ROUND(N250*I250,2)</f>
        <v>0</v>
      </c>
      <c r="P250" s="273">
        <f>H250-L250-N250</f>
        <v>1</v>
      </c>
      <c r="Q250" s="287">
        <f>ROUND(P250*I250,2)</f>
        <v>6036</v>
      </c>
      <c r="R250" s="137"/>
      <c r="S250" s="269">
        <f>W250+Y250+AA250+AC250</f>
        <v>0</v>
      </c>
      <c r="T250" s="269">
        <f>ROUND(S250*I250,2)</f>
        <v>0</v>
      </c>
      <c r="U250" s="269">
        <f>H250-S250</f>
        <v>1</v>
      </c>
      <c r="V250" s="269">
        <f>ROUND(U250*I250,2)</f>
        <v>6036</v>
      </c>
      <c r="W250" s="269"/>
      <c r="X250" s="269"/>
      <c r="Y250" s="269"/>
      <c r="Z250" s="269"/>
      <c r="AA250" s="269"/>
      <c r="AB250" s="269"/>
      <c r="AC250" s="269"/>
      <c r="AD250" s="269"/>
      <c r="BX250" s="132" t="s">
        <v>1</v>
      </c>
      <c r="BY250" s="133" t="s">
        <v>40</v>
      </c>
      <c r="CA250" s="134">
        <f>BZ250*H250</f>
        <v>0</v>
      </c>
      <c r="CB250" s="134">
        <v>0</v>
      </c>
      <c r="CC250" s="134">
        <f>CB250*H250</f>
        <v>0</v>
      </c>
      <c r="CD250" s="134">
        <v>0</v>
      </c>
      <c r="CE250" s="135">
        <f>CD250*H250</f>
        <v>0</v>
      </c>
      <c r="DC250" s="136" t="s">
        <v>95</v>
      </c>
      <c r="DE250" s="136" t="s">
        <v>284</v>
      </c>
      <c r="DF250" s="136" t="s">
        <v>90</v>
      </c>
      <c r="DJ250" s="16" t="s">
        <v>282</v>
      </c>
      <c r="DP250" s="137">
        <f>IF(BY250="základní",J250,0)</f>
        <v>6036</v>
      </c>
      <c r="DQ250" s="137">
        <f>IF(BY250="snížená",J250,0)</f>
        <v>0</v>
      </c>
      <c r="DR250" s="137">
        <f>IF(BY250="zákl. přenesená",J250,0)</f>
        <v>0</v>
      </c>
      <c r="DS250" s="137">
        <f>IF(BY250="sníž. přenesená",J250,0)</f>
        <v>0</v>
      </c>
      <c r="DT250" s="137">
        <f>IF(BY250="nulová",J250,0)</f>
        <v>0</v>
      </c>
      <c r="DU250" s="16" t="s">
        <v>81</v>
      </c>
      <c r="DV250" s="137">
        <f>ROUND(I250*H250,2)</f>
        <v>6036</v>
      </c>
      <c r="DW250" s="16" t="s">
        <v>95</v>
      </c>
      <c r="DX250" s="136" t="s">
        <v>2995</v>
      </c>
    </row>
    <row r="251" spans="2:128" s="1" customFormat="1" x14ac:dyDescent="0.2">
      <c r="B251" s="31"/>
      <c r="D251" s="138" t="s">
        <v>289</v>
      </c>
      <c r="F251" s="139" t="s">
        <v>2994</v>
      </c>
      <c r="I251" s="140"/>
      <c r="L251" s="31"/>
      <c r="N251" s="213"/>
      <c r="O251" s="214"/>
      <c r="Q251" s="229"/>
      <c r="BX251" s="141"/>
      <c r="CE251" s="50"/>
      <c r="DE251" s="16" t="s">
        <v>289</v>
      </c>
      <c r="DF251" s="16" t="s">
        <v>90</v>
      </c>
    </row>
    <row r="252" spans="2:128" s="1" customFormat="1" ht="14.45" customHeight="1" x14ac:dyDescent="0.2">
      <c r="B252" s="124"/>
      <c r="C252" s="125" t="s">
        <v>639</v>
      </c>
      <c r="D252" s="125" t="s">
        <v>284</v>
      </c>
      <c r="E252" s="126" t="s">
        <v>2996</v>
      </c>
      <c r="F252" s="127" t="s">
        <v>2873</v>
      </c>
      <c r="G252" s="128" t="s">
        <v>315</v>
      </c>
      <c r="H252" s="129">
        <v>2</v>
      </c>
      <c r="I252" s="130">
        <v>338.42122529599999</v>
      </c>
      <c r="J252" s="131">
        <f>ROUND(I252*H252,2)</f>
        <v>676.84</v>
      </c>
      <c r="K252" s="127" t="s">
        <v>1</v>
      </c>
      <c r="L252" s="268">
        <f>S252</f>
        <v>0</v>
      </c>
      <c r="M252" s="272">
        <f>ROUND(I252*L252,2)</f>
        <v>0</v>
      </c>
      <c r="N252" s="243"/>
      <c r="O252" s="294">
        <f>ROUND(N252*I252,2)</f>
        <v>0</v>
      </c>
      <c r="P252" s="273">
        <f>H252-L252-N252</f>
        <v>2</v>
      </c>
      <c r="Q252" s="287">
        <f>ROUND(P252*I252,2)</f>
        <v>676.84</v>
      </c>
      <c r="R252" s="137"/>
      <c r="S252" s="269">
        <f>W252+Y252+AA252+AC252</f>
        <v>0</v>
      </c>
      <c r="T252" s="269">
        <f>ROUND(S252*I252,2)</f>
        <v>0</v>
      </c>
      <c r="U252" s="269">
        <f>H252-S252</f>
        <v>2</v>
      </c>
      <c r="V252" s="269">
        <f>ROUND(U252*I252,2)</f>
        <v>676.84</v>
      </c>
      <c r="W252" s="269"/>
      <c r="X252" s="269"/>
      <c r="Y252" s="269"/>
      <c r="Z252" s="269"/>
      <c r="AA252" s="269"/>
      <c r="AB252" s="269"/>
      <c r="AC252" s="269"/>
      <c r="AD252" s="269"/>
      <c r="BX252" s="132" t="s">
        <v>1</v>
      </c>
      <c r="BY252" s="133" t="s">
        <v>40</v>
      </c>
      <c r="CA252" s="134">
        <f>BZ252*H252</f>
        <v>0</v>
      </c>
      <c r="CB252" s="134">
        <v>0</v>
      </c>
      <c r="CC252" s="134">
        <f>CB252*H252</f>
        <v>0</v>
      </c>
      <c r="CD252" s="134">
        <v>0</v>
      </c>
      <c r="CE252" s="135">
        <f>CD252*H252</f>
        <v>0</v>
      </c>
      <c r="DC252" s="136" t="s">
        <v>95</v>
      </c>
      <c r="DE252" s="136" t="s">
        <v>284</v>
      </c>
      <c r="DF252" s="136" t="s">
        <v>90</v>
      </c>
      <c r="DJ252" s="16" t="s">
        <v>282</v>
      </c>
      <c r="DP252" s="137">
        <f>IF(BY252="základní",J252,0)</f>
        <v>676.84</v>
      </c>
      <c r="DQ252" s="137">
        <f>IF(BY252="snížená",J252,0)</f>
        <v>0</v>
      </c>
      <c r="DR252" s="137">
        <f>IF(BY252="zákl. přenesená",J252,0)</f>
        <v>0</v>
      </c>
      <c r="DS252" s="137">
        <f>IF(BY252="sníž. přenesená",J252,0)</f>
        <v>0</v>
      </c>
      <c r="DT252" s="137">
        <f>IF(BY252="nulová",J252,0)</f>
        <v>0</v>
      </c>
      <c r="DU252" s="16" t="s">
        <v>81</v>
      </c>
      <c r="DV252" s="137">
        <f>ROUND(I252*H252,2)</f>
        <v>676.84</v>
      </c>
      <c r="DW252" s="16" t="s">
        <v>95</v>
      </c>
      <c r="DX252" s="136" t="s">
        <v>2997</v>
      </c>
    </row>
    <row r="253" spans="2:128" s="1" customFormat="1" x14ac:dyDescent="0.2">
      <c r="B253" s="31"/>
      <c r="D253" s="138" t="s">
        <v>289</v>
      </c>
      <c r="F253" s="139" t="s">
        <v>2873</v>
      </c>
      <c r="I253" s="140"/>
      <c r="L253" s="31"/>
      <c r="N253" s="213"/>
      <c r="O253" s="214"/>
      <c r="Q253" s="229"/>
      <c r="BX253" s="141"/>
      <c r="CE253" s="50"/>
      <c r="DE253" s="16" t="s">
        <v>289</v>
      </c>
      <c r="DF253" s="16" t="s">
        <v>90</v>
      </c>
    </row>
    <row r="254" spans="2:128" s="1" customFormat="1" ht="14.45" customHeight="1" x14ac:dyDescent="0.2">
      <c r="B254" s="124"/>
      <c r="C254" s="125" t="s">
        <v>643</v>
      </c>
      <c r="D254" s="125" t="s">
        <v>284</v>
      </c>
      <c r="E254" s="126" t="s">
        <v>2998</v>
      </c>
      <c r="F254" s="127" t="s">
        <v>2876</v>
      </c>
      <c r="G254" s="128" t="s">
        <v>2874</v>
      </c>
      <c r="H254" s="129">
        <v>1</v>
      </c>
      <c r="I254" s="130">
        <v>305.53389619199999</v>
      </c>
      <c r="J254" s="131">
        <f>ROUND(I254*H254,2)</f>
        <v>305.52999999999997</v>
      </c>
      <c r="K254" s="127" t="s">
        <v>1</v>
      </c>
      <c r="L254" s="268">
        <f>S254</f>
        <v>0</v>
      </c>
      <c r="M254" s="272">
        <f>ROUND(I254*L254,2)</f>
        <v>0</v>
      </c>
      <c r="N254" s="243"/>
      <c r="O254" s="294">
        <f>ROUND(N254*I254,2)</f>
        <v>0</v>
      </c>
      <c r="P254" s="273">
        <f>H254-L254-N254</f>
        <v>1</v>
      </c>
      <c r="Q254" s="287">
        <f>ROUND(P254*I254,2)</f>
        <v>305.52999999999997</v>
      </c>
      <c r="R254" s="137"/>
      <c r="S254" s="269">
        <f>W254+Y254+AA254+AC254</f>
        <v>0</v>
      </c>
      <c r="T254" s="269">
        <f>ROUND(S254*I254,2)</f>
        <v>0</v>
      </c>
      <c r="U254" s="269">
        <f>H254-S254</f>
        <v>1</v>
      </c>
      <c r="V254" s="269">
        <f>ROUND(U254*I254,2)</f>
        <v>305.52999999999997</v>
      </c>
      <c r="W254" s="269"/>
      <c r="X254" s="269"/>
      <c r="Y254" s="269"/>
      <c r="Z254" s="269"/>
      <c r="AA254" s="269"/>
      <c r="AB254" s="269"/>
      <c r="AC254" s="269"/>
      <c r="AD254" s="269"/>
      <c r="BX254" s="132" t="s">
        <v>1</v>
      </c>
      <c r="BY254" s="133" t="s">
        <v>40</v>
      </c>
      <c r="CA254" s="134">
        <f>BZ254*H254</f>
        <v>0</v>
      </c>
      <c r="CB254" s="134">
        <v>0</v>
      </c>
      <c r="CC254" s="134">
        <f>CB254*H254</f>
        <v>0</v>
      </c>
      <c r="CD254" s="134">
        <v>0</v>
      </c>
      <c r="CE254" s="135">
        <f>CD254*H254</f>
        <v>0</v>
      </c>
      <c r="DC254" s="136" t="s">
        <v>95</v>
      </c>
      <c r="DE254" s="136" t="s">
        <v>284</v>
      </c>
      <c r="DF254" s="136" t="s">
        <v>90</v>
      </c>
      <c r="DJ254" s="16" t="s">
        <v>282</v>
      </c>
      <c r="DP254" s="137">
        <f>IF(BY254="základní",J254,0)</f>
        <v>305.52999999999997</v>
      </c>
      <c r="DQ254" s="137">
        <f>IF(BY254="snížená",J254,0)</f>
        <v>0</v>
      </c>
      <c r="DR254" s="137">
        <f>IF(BY254="zákl. přenesená",J254,0)</f>
        <v>0</v>
      </c>
      <c r="DS254" s="137">
        <f>IF(BY254="sníž. přenesená",J254,0)</f>
        <v>0</v>
      </c>
      <c r="DT254" s="137">
        <f>IF(BY254="nulová",J254,0)</f>
        <v>0</v>
      </c>
      <c r="DU254" s="16" t="s">
        <v>81</v>
      </c>
      <c r="DV254" s="137">
        <f>ROUND(I254*H254,2)</f>
        <v>305.52999999999997</v>
      </c>
      <c r="DW254" s="16" t="s">
        <v>95</v>
      </c>
      <c r="DX254" s="136" t="s">
        <v>2999</v>
      </c>
    </row>
    <row r="255" spans="2:128" s="1" customFormat="1" x14ac:dyDescent="0.2">
      <c r="B255" s="31"/>
      <c r="D255" s="138" t="s">
        <v>289</v>
      </c>
      <c r="F255" s="139" t="s">
        <v>2876</v>
      </c>
      <c r="I255" s="140"/>
      <c r="L255" s="31"/>
      <c r="N255" s="213"/>
      <c r="O255" s="214"/>
      <c r="Q255" s="229"/>
      <c r="BX255" s="141"/>
      <c r="CE255" s="50"/>
      <c r="DE255" s="16" t="s">
        <v>289</v>
      </c>
      <c r="DF255" s="16" t="s">
        <v>90</v>
      </c>
    </row>
    <row r="256" spans="2:128" s="1" customFormat="1" ht="14.45" customHeight="1" x14ac:dyDescent="0.2">
      <c r="B256" s="124"/>
      <c r="C256" s="125" t="s">
        <v>650</v>
      </c>
      <c r="D256" s="125" t="s">
        <v>284</v>
      </c>
      <c r="E256" s="126" t="s">
        <v>3000</v>
      </c>
      <c r="F256" s="127" t="s">
        <v>3001</v>
      </c>
      <c r="G256" s="128" t="s">
        <v>2874</v>
      </c>
      <c r="H256" s="129">
        <v>1</v>
      </c>
      <c r="I256" s="130">
        <v>745.95130806399993</v>
      </c>
      <c r="J256" s="131">
        <f>ROUND(I256*H256,2)</f>
        <v>745.95</v>
      </c>
      <c r="K256" s="127" t="s">
        <v>1</v>
      </c>
      <c r="L256" s="268">
        <f>S256</f>
        <v>0</v>
      </c>
      <c r="M256" s="272">
        <f>ROUND(I256*L256,2)</f>
        <v>0</v>
      </c>
      <c r="N256" s="243"/>
      <c r="O256" s="294">
        <f>ROUND(N256*I256,2)</f>
        <v>0</v>
      </c>
      <c r="P256" s="273">
        <f>H256-L256-N256</f>
        <v>1</v>
      </c>
      <c r="Q256" s="287">
        <f>ROUND(P256*I256,2)</f>
        <v>745.95</v>
      </c>
      <c r="R256" s="137"/>
      <c r="S256" s="269">
        <f>W256+Y256+AA256+AC256</f>
        <v>0</v>
      </c>
      <c r="T256" s="269">
        <f>ROUND(S256*I256,2)</f>
        <v>0</v>
      </c>
      <c r="U256" s="269">
        <f>H256-S256</f>
        <v>1</v>
      </c>
      <c r="V256" s="269">
        <f>ROUND(U256*I256,2)</f>
        <v>745.95</v>
      </c>
      <c r="W256" s="269"/>
      <c r="X256" s="269"/>
      <c r="Y256" s="269"/>
      <c r="Z256" s="269"/>
      <c r="AA256" s="269"/>
      <c r="AB256" s="269"/>
      <c r="AC256" s="269"/>
      <c r="AD256" s="269"/>
      <c r="BX256" s="132" t="s">
        <v>1</v>
      </c>
      <c r="BY256" s="133" t="s">
        <v>40</v>
      </c>
      <c r="CA256" s="134">
        <f>BZ256*H256</f>
        <v>0</v>
      </c>
      <c r="CB256" s="134">
        <v>0</v>
      </c>
      <c r="CC256" s="134">
        <f>CB256*H256</f>
        <v>0</v>
      </c>
      <c r="CD256" s="134">
        <v>0</v>
      </c>
      <c r="CE256" s="135">
        <f>CD256*H256</f>
        <v>0</v>
      </c>
      <c r="DC256" s="136" t="s">
        <v>95</v>
      </c>
      <c r="DE256" s="136" t="s">
        <v>284</v>
      </c>
      <c r="DF256" s="136" t="s">
        <v>90</v>
      </c>
      <c r="DJ256" s="16" t="s">
        <v>282</v>
      </c>
      <c r="DP256" s="137">
        <f>IF(BY256="základní",J256,0)</f>
        <v>745.95</v>
      </c>
      <c r="DQ256" s="137">
        <f>IF(BY256="snížená",J256,0)</f>
        <v>0</v>
      </c>
      <c r="DR256" s="137">
        <f>IF(BY256="zákl. přenesená",J256,0)</f>
        <v>0</v>
      </c>
      <c r="DS256" s="137">
        <f>IF(BY256="sníž. přenesená",J256,0)</f>
        <v>0</v>
      </c>
      <c r="DT256" s="137">
        <f>IF(BY256="nulová",J256,0)</f>
        <v>0</v>
      </c>
      <c r="DU256" s="16" t="s">
        <v>81</v>
      </c>
      <c r="DV256" s="137">
        <f>ROUND(I256*H256,2)</f>
        <v>745.95</v>
      </c>
      <c r="DW256" s="16" t="s">
        <v>95</v>
      </c>
      <c r="DX256" s="136" t="s">
        <v>3002</v>
      </c>
    </row>
    <row r="257" spans="2:128" s="1" customFormat="1" x14ac:dyDescent="0.2">
      <c r="B257" s="31"/>
      <c r="D257" s="138" t="s">
        <v>289</v>
      </c>
      <c r="F257" s="139" t="s">
        <v>3001</v>
      </c>
      <c r="I257" s="140"/>
      <c r="L257" s="31"/>
      <c r="N257" s="213"/>
      <c r="O257" s="214"/>
      <c r="Q257" s="229"/>
      <c r="BX257" s="141"/>
      <c r="CE257" s="50"/>
      <c r="DE257" s="16" t="s">
        <v>289</v>
      </c>
      <c r="DF257" s="16" t="s">
        <v>90</v>
      </c>
    </row>
    <row r="258" spans="2:128" s="1" customFormat="1" ht="14.45" customHeight="1" x14ac:dyDescent="0.2">
      <c r="B258" s="124"/>
      <c r="C258" s="125" t="s">
        <v>655</v>
      </c>
      <c r="D258" s="125" t="s">
        <v>284</v>
      </c>
      <c r="E258" s="126" t="s">
        <v>2933</v>
      </c>
      <c r="F258" s="127" t="s">
        <v>2934</v>
      </c>
      <c r="G258" s="128" t="s">
        <v>315</v>
      </c>
      <c r="H258" s="129">
        <v>40</v>
      </c>
      <c r="I258" s="130">
        <v>47.853337164000003</v>
      </c>
      <c r="J258" s="131">
        <f>ROUND(I258*H258,2)</f>
        <v>1914.13</v>
      </c>
      <c r="K258" s="127" t="s">
        <v>1</v>
      </c>
      <c r="L258" s="268">
        <f>S258</f>
        <v>0</v>
      </c>
      <c r="M258" s="272">
        <f>ROUND(I258*L258,2)</f>
        <v>0</v>
      </c>
      <c r="N258" s="243"/>
      <c r="O258" s="294">
        <f>ROUND(N258*I258,2)</f>
        <v>0</v>
      </c>
      <c r="P258" s="273">
        <f>H258-L258-N258</f>
        <v>40</v>
      </c>
      <c r="Q258" s="287">
        <f>ROUND(P258*I258,2)</f>
        <v>1914.13</v>
      </c>
      <c r="R258" s="137"/>
      <c r="S258" s="269">
        <f>W258+Y258+AA258+AC258</f>
        <v>0</v>
      </c>
      <c r="T258" s="269">
        <f>ROUND(S258*I258,2)</f>
        <v>0</v>
      </c>
      <c r="U258" s="269">
        <f>H258-S258</f>
        <v>40</v>
      </c>
      <c r="V258" s="269">
        <f>ROUND(U258*I258,2)</f>
        <v>1914.13</v>
      </c>
      <c r="W258" s="269"/>
      <c r="X258" s="269"/>
      <c r="Y258" s="269"/>
      <c r="Z258" s="269"/>
      <c r="AA258" s="269"/>
      <c r="AB258" s="269"/>
      <c r="AC258" s="269"/>
      <c r="AD258" s="269"/>
      <c r="BX258" s="132" t="s">
        <v>1</v>
      </c>
      <c r="BY258" s="133" t="s">
        <v>40</v>
      </c>
      <c r="CA258" s="134">
        <f>BZ258*H258</f>
        <v>0</v>
      </c>
      <c r="CB258" s="134">
        <v>0</v>
      </c>
      <c r="CC258" s="134">
        <f>CB258*H258</f>
        <v>0</v>
      </c>
      <c r="CD258" s="134">
        <v>0</v>
      </c>
      <c r="CE258" s="135">
        <f>CD258*H258</f>
        <v>0</v>
      </c>
      <c r="DC258" s="136" t="s">
        <v>95</v>
      </c>
      <c r="DE258" s="136" t="s">
        <v>284</v>
      </c>
      <c r="DF258" s="136" t="s">
        <v>90</v>
      </c>
      <c r="DJ258" s="16" t="s">
        <v>282</v>
      </c>
      <c r="DP258" s="137">
        <f>IF(BY258="základní",J258,0)</f>
        <v>1914.13</v>
      </c>
      <c r="DQ258" s="137">
        <f>IF(BY258="snížená",J258,0)</f>
        <v>0</v>
      </c>
      <c r="DR258" s="137">
        <f>IF(BY258="zákl. přenesená",J258,0)</f>
        <v>0</v>
      </c>
      <c r="DS258" s="137">
        <f>IF(BY258="sníž. přenesená",J258,0)</f>
        <v>0</v>
      </c>
      <c r="DT258" s="137">
        <f>IF(BY258="nulová",J258,0)</f>
        <v>0</v>
      </c>
      <c r="DU258" s="16" t="s">
        <v>81</v>
      </c>
      <c r="DV258" s="137">
        <f>ROUND(I258*H258,2)</f>
        <v>1914.13</v>
      </c>
      <c r="DW258" s="16" t="s">
        <v>95</v>
      </c>
      <c r="DX258" s="136" t="s">
        <v>3003</v>
      </c>
    </row>
    <row r="259" spans="2:128" s="1" customFormat="1" x14ac:dyDescent="0.2">
      <c r="B259" s="31"/>
      <c r="D259" s="138" t="s">
        <v>289</v>
      </c>
      <c r="F259" s="139" t="s">
        <v>2934</v>
      </c>
      <c r="I259" s="140"/>
      <c r="L259" s="31"/>
      <c r="N259" s="213"/>
      <c r="O259" s="214"/>
      <c r="Q259" s="229"/>
      <c r="BX259" s="141"/>
      <c r="CE259" s="50"/>
      <c r="DE259" s="16" t="s">
        <v>289</v>
      </c>
      <c r="DF259" s="16" t="s">
        <v>90</v>
      </c>
    </row>
    <row r="260" spans="2:128" s="1" customFormat="1" ht="14.45" customHeight="1" x14ac:dyDescent="0.2">
      <c r="B260" s="124"/>
      <c r="C260" s="125" t="s">
        <v>660</v>
      </c>
      <c r="D260" s="125" t="s">
        <v>284</v>
      </c>
      <c r="E260" s="126" t="s">
        <v>2937</v>
      </c>
      <c r="F260" s="127" t="s">
        <v>2938</v>
      </c>
      <c r="G260" s="128" t="s">
        <v>315</v>
      </c>
      <c r="H260" s="129">
        <v>5</v>
      </c>
      <c r="I260" s="130">
        <v>77.823241912</v>
      </c>
      <c r="J260" s="131">
        <f>ROUND(I260*H260,2)</f>
        <v>389.12</v>
      </c>
      <c r="K260" s="127" t="s">
        <v>1</v>
      </c>
      <c r="L260" s="268">
        <f>S260</f>
        <v>0</v>
      </c>
      <c r="M260" s="272">
        <f>ROUND(I260*L260,2)</f>
        <v>0</v>
      </c>
      <c r="N260" s="243"/>
      <c r="O260" s="294">
        <f>ROUND(N260*I260,2)</f>
        <v>0</v>
      </c>
      <c r="P260" s="273">
        <f>H260-L260-N260</f>
        <v>5</v>
      </c>
      <c r="Q260" s="287">
        <f>ROUND(P260*I260,2)</f>
        <v>389.12</v>
      </c>
      <c r="R260" s="137"/>
      <c r="S260" s="269">
        <f>W260+Y260+AA260+AC260</f>
        <v>0</v>
      </c>
      <c r="T260" s="269">
        <f>ROUND(S260*I260,2)</f>
        <v>0</v>
      </c>
      <c r="U260" s="269">
        <f>H260-S260</f>
        <v>5</v>
      </c>
      <c r="V260" s="269">
        <f>ROUND(U260*I260,2)</f>
        <v>389.12</v>
      </c>
      <c r="W260" s="269"/>
      <c r="X260" s="269"/>
      <c r="Y260" s="269"/>
      <c r="Z260" s="269"/>
      <c r="AA260" s="269"/>
      <c r="AB260" s="269"/>
      <c r="AC260" s="269"/>
      <c r="AD260" s="269"/>
      <c r="BX260" s="132" t="s">
        <v>1</v>
      </c>
      <c r="BY260" s="133" t="s">
        <v>40</v>
      </c>
      <c r="CA260" s="134">
        <f>BZ260*H260</f>
        <v>0</v>
      </c>
      <c r="CB260" s="134">
        <v>0</v>
      </c>
      <c r="CC260" s="134">
        <f>CB260*H260</f>
        <v>0</v>
      </c>
      <c r="CD260" s="134">
        <v>0</v>
      </c>
      <c r="CE260" s="135">
        <f>CD260*H260</f>
        <v>0</v>
      </c>
      <c r="DC260" s="136" t="s">
        <v>95</v>
      </c>
      <c r="DE260" s="136" t="s">
        <v>284</v>
      </c>
      <c r="DF260" s="136" t="s">
        <v>90</v>
      </c>
      <c r="DJ260" s="16" t="s">
        <v>282</v>
      </c>
      <c r="DP260" s="137">
        <f>IF(BY260="základní",J260,0)</f>
        <v>389.12</v>
      </c>
      <c r="DQ260" s="137">
        <f>IF(BY260="snížená",J260,0)</f>
        <v>0</v>
      </c>
      <c r="DR260" s="137">
        <f>IF(BY260="zákl. přenesená",J260,0)</f>
        <v>0</v>
      </c>
      <c r="DS260" s="137">
        <f>IF(BY260="sníž. přenesená",J260,0)</f>
        <v>0</v>
      </c>
      <c r="DT260" s="137">
        <f>IF(BY260="nulová",J260,0)</f>
        <v>0</v>
      </c>
      <c r="DU260" s="16" t="s">
        <v>81</v>
      </c>
      <c r="DV260" s="137">
        <f>ROUND(I260*H260,2)</f>
        <v>389.12</v>
      </c>
      <c r="DW260" s="16" t="s">
        <v>95</v>
      </c>
      <c r="DX260" s="136" t="s">
        <v>3004</v>
      </c>
    </row>
    <row r="261" spans="2:128" s="1" customFormat="1" x14ac:dyDescent="0.2">
      <c r="B261" s="31"/>
      <c r="D261" s="138" t="s">
        <v>289</v>
      </c>
      <c r="F261" s="139" t="s">
        <v>2938</v>
      </c>
      <c r="I261" s="140"/>
      <c r="L261" s="31"/>
      <c r="N261" s="213"/>
      <c r="O261" s="214"/>
      <c r="Q261" s="229"/>
      <c r="BX261" s="141"/>
      <c r="CE261" s="50"/>
      <c r="DE261" s="16" t="s">
        <v>289</v>
      </c>
      <c r="DF261" s="16" t="s">
        <v>90</v>
      </c>
    </row>
    <row r="262" spans="2:128" s="1" customFormat="1" ht="14.45" customHeight="1" x14ac:dyDescent="0.2">
      <c r="B262" s="124"/>
      <c r="C262" s="125" t="s">
        <v>666</v>
      </c>
      <c r="D262" s="125" t="s">
        <v>284</v>
      </c>
      <c r="E262" s="126" t="s">
        <v>2941</v>
      </c>
      <c r="F262" s="127" t="s">
        <v>2942</v>
      </c>
      <c r="G262" s="128" t="s">
        <v>315</v>
      </c>
      <c r="H262" s="129">
        <v>8</v>
      </c>
      <c r="I262" s="130">
        <v>109.469718449</v>
      </c>
      <c r="J262" s="131">
        <f>ROUND(I262*H262,2)</f>
        <v>875.76</v>
      </c>
      <c r="K262" s="127" t="s">
        <v>1</v>
      </c>
      <c r="L262" s="268">
        <f>S262</f>
        <v>0</v>
      </c>
      <c r="M262" s="272">
        <f>ROUND(I262*L262,2)</f>
        <v>0</v>
      </c>
      <c r="N262" s="243"/>
      <c r="O262" s="294">
        <f>ROUND(N262*I262,2)</f>
        <v>0</v>
      </c>
      <c r="P262" s="273">
        <f>H262-L262-N262</f>
        <v>8</v>
      </c>
      <c r="Q262" s="287">
        <f>ROUND(P262*I262,2)</f>
        <v>875.76</v>
      </c>
      <c r="R262" s="137"/>
      <c r="S262" s="269">
        <f>W262+Y262+AA262+AC262</f>
        <v>0</v>
      </c>
      <c r="T262" s="269">
        <f>ROUND(S262*I262,2)</f>
        <v>0</v>
      </c>
      <c r="U262" s="269">
        <f>H262-S262</f>
        <v>8</v>
      </c>
      <c r="V262" s="269">
        <f>ROUND(U262*I262,2)</f>
        <v>875.76</v>
      </c>
      <c r="W262" s="269"/>
      <c r="X262" s="269"/>
      <c r="Y262" s="269"/>
      <c r="Z262" s="269"/>
      <c r="AA262" s="269"/>
      <c r="AB262" s="269"/>
      <c r="AC262" s="269"/>
      <c r="AD262" s="269"/>
      <c r="BX262" s="132" t="s">
        <v>1</v>
      </c>
      <c r="BY262" s="133" t="s">
        <v>40</v>
      </c>
      <c r="CA262" s="134">
        <f>BZ262*H262</f>
        <v>0</v>
      </c>
      <c r="CB262" s="134">
        <v>0</v>
      </c>
      <c r="CC262" s="134">
        <f>CB262*H262</f>
        <v>0</v>
      </c>
      <c r="CD262" s="134">
        <v>0</v>
      </c>
      <c r="CE262" s="135">
        <f>CD262*H262</f>
        <v>0</v>
      </c>
      <c r="DC262" s="136" t="s">
        <v>95</v>
      </c>
      <c r="DE262" s="136" t="s">
        <v>284</v>
      </c>
      <c r="DF262" s="136" t="s">
        <v>90</v>
      </c>
      <c r="DJ262" s="16" t="s">
        <v>282</v>
      </c>
      <c r="DP262" s="137">
        <f>IF(BY262="základní",J262,0)</f>
        <v>875.76</v>
      </c>
      <c r="DQ262" s="137">
        <f>IF(BY262="snížená",J262,0)</f>
        <v>0</v>
      </c>
      <c r="DR262" s="137">
        <f>IF(BY262="zákl. přenesená",J262,0)</f>
        <v>0</v>
      </c>
      <c r="DS262" s="137">
        <f>IF(BY262="sníž. přenesená",J262,0)</f>
        <v>0</v>
      </c>
      <c r="DT262" s="137">
        <f>IF(BY262="nulová",J262,0)</f>
        <v>0</v>
      </c>
      <c r="DU262" s="16" t="s">
        <v>81</v>
      </c>
      <c r="DV262" s="137">
        <f>ROUND(I262*H262,2)</f>
        <v>875.76</v>
      </c>
      <c r="DW262" s="16" t="s">
        <v>95</v>
      </c>
      <c r="DX262" s="136" t="s">
        <v>3005</v>
      </c>
    </row>
    <row r="263" spans="2:128" s="1" customFormat="1" x14ac:dyDescent="0.2">
      <c r="B263" s="31"/>
      <c r="D263" s="138" t="s">
        <v>289</v>
      </c>
      <c r="F263" s="139" t="s">
        <v>2942</v>
      </c>
      <c r="I263" s="140"/>
      <c r="L263" s="31"/>
      <c r="N263" s="213"/>
      <c r="O263" s="214"/>
      <c r="Q263" s="229"/>
      <c r="BX263" s="141"/>
      <c r="CE263" s="50"/>
      <c r="DE263" s="16" t="s">
        <v>289</v>
      </c>
      <c r="DF263" s="16" t="s">
        <v>90</v>
      </c>
    </row>
    <row r="264" spans="2:128" s="1" customFormat="1" ht="14.45" customHeight="1" x14ac:dyDescent="0.2">
      <c r="B264" s="124"/>
      <c r="C264" s="125" t="s">
        <v>670</v>
      </c>
      <c r="D264" s="125" t="s">
        <v>284</v>
      </c>
      <c r="E264" s="126" t="s">
        <v>2947</v>
      </c>
      <c r="F264" s="127" t="s">
        <v>2948</v>
      </c>
      <c r="G264" s="128" t="s">
        <v>344</v>
      </c>
      <c r="H264" s="129">
        <v>100</v>
      </c>
      <c r="I264" s="130">
        <v>21.946987769</v>
      </c>
      <c r="J264" s="131">
        <f>ROUND(I264*H264,2)</f>
        <v>2194.6999999999998</v>
      </c>
      <c r="K264" s="127" t="s">
        <v>1</v>
      </c>
      <c r="L264" s="268">
        <f>S264</f>
        <v>0</v>
      </c>
      <c r="M264" s="272">
        <f>ROUND(I264*L264,2)</f>
        <v>0</v>
      </c>
      <c r="N264" s="243"/>
      <c r="O264" s="294">
        <f>ROUND(N264*I264,2)</f>
        <v>0</v>
      </c>
      <c r="P264" s="273">
        <f>H264-L264-N264</f>
        <v>100</v>
      </c>
      <c r="Q264" s="287">
        <f>ROUND(P264*I264,2)</f>
        <v>2194.6999999999998</v>
      </c>
      <c r="R264" s="137"/>
      <c r="S264" s="269">
        <f>W264+Y264+AA264+AC264</f>
        <v>0</v>
      </c>
      <c r="T264" s="269">
        <f>ROUND(S264*I264,2)</f>
        <v>0</v>
      </c>
      <c r="U264" s="269">
        <f>H264-S264</f>
        <v>100</v>
      </c>
      <c r="V264" s="269">
        <f>ROUND(U264*I264,2)</f>
        <v>2194.6999999999998</v>
      </c>
      <c r="W264" s="269"/>
      <c r="X264" s="269"/>
      <c r="Y264" s="269"/>
      <c r="Z264" s="269"/>
      <c r="AA264" s="269"/>
      <c r="AB264" s="269"/>
      <c r="AC264" s="269"/>
      <c r="AD264" s="269"/>
      <c r="BX264" s="132" t="s">
        <v>1</v>
      </c>
      <c r="BY264" s="133" t="s">
        <v>40</v>
      </c>
      <c r="CA264" s="134">
        <f>BZ264*H264</f>
        <v>0</v>
      </c>
      <c r="CB264" s="134">
        <v>0</v>
      </c>
      <c r="CC264" s="134">
        <f>CB264*H264</f>
        <v>0</v>
      </c>
      <c r="CD264" s="134">
        <v>0</v>
      </c>
      <c r="CE264" s="135">
        <f>CD264*H264</f>
        <v>0</v>
      </c>
      <c r="DC264" s="136" t="s">
        <v>95</v>
      </c>
      <c r="DE264" s="136" t="s">
        <v>284</v>
      </c>
      <c r="DF264" s="136" t="s">
        <v>90</v>
      </c>
      <c r="DJ264" s="16" t="s">
        <v>282</v>
      </c>
      <c r="DP264" s="137">
        <f>IF(BY264="základní",J264,0)</f>
        <v>2194.6999999999998</v>
      </c>
      <c r="DQ264" s="137">
        <f>IF(BY264="snížená",J264,0)</f>
        <v>0</v>
      </c>
      <c r="DR264" s="137">
        <f>IF(BY264="zákl. přenesená",J264,0)</f>
        <v>0</v>
      </c>
      <c r="DS264" s="137">
        <f>IF(BY264="sníž. přenesená",J264,0)</f>
        <v>0</v>
      </c>
      <c r="DT264" s="137">
        <f>IF(BY264="nulová",J264,0)</f>
        <v>0</v>
      </c>
      <c r="DU264" s="16" t="s">
        <v>81</v>
      </c>
      <c r="DV264" s="137">
        <f>ROUND(I264*H264,2)</f>
        <v>2194.6999999999998</v>
      </c>
      <c r="DW264" s="16" t="s">
        <v>95</v>
      </c>
      <c r="DX264" s="136" t="s">
        <v>3006</v>
      </c>
    </row>
    <row r="265" spans="2:128" s="1" customFormat="1" x14ac:dyDescent="0.2">
      <c r="B265" s="31"/>
      <c r="D265" s="138" t="s">
        <v>289</v>
      </c>
      <c r="F265" s="139" t="s">
        <v>2948</v>
      </c>
      <c r="I265" s="140"/>
      <c r="L265" s="31"/>
      <c r="N265" s="213"/>
      <c r="O265" s="214"/>
      <c r="Q265" s="229"/>
      <c r="BX265" s="141"/>
      <c r="CE265" s="50"/>
      <c r="DE265" s="16" t="s">
        <v>289</v>
      </c>
      <c r="DF265" s="16" t="s">
        <v>90</v>
      </c>
    </row>
    <row r="266" spans="2:128" s="1" customFormat="1" ht="14.45" customHeight="1" x14ac:dyDescent="0.2">
      <c r="B266" s="124"/>
      <c r="C266" s="125" t="s">
        <v>675</v>
      </c>
      <c r="D266" s="125" t="s">
        <v>284</v>
      </c>
      <c r="E266" s="126" t="s">
        <v>2949</v>
      </c>
      <c r="F266" s="127" t="s">
        <v>2950</v>
      </c>
      <c r="G266" s="128" t="s">
        <v>344</v>
      </c>
      <c r="H266" s="129">
        <v>50</v>
      </c>
      <c r="I266" s="130">
        <v>24.997022322999999</v>
      </c>
      <c r="J266" s="131">
        <f>ROUND(I266*H266,2)</f>
        <v>1249.8499999999999</v>
      </c>
      <c r="K266" s="127" t="s">
        <v>1</v>
      </c>
      <c r="L266" s="268">
        <f>S266</f>
        <v>0</v>
      </c>
      <c r="M266" s="272">
        <f>ROUND(I266*L266,2)</f>
        <v>0</v>
      </c>
      <c r="N266" s="243"/>
      <c r="O266" s="294">
        <f>ROUND(N266*I266,2)</f>
        <v>0</v>
      </c>
      <c r="P266" s="273">
        <f>H266-L266-N266</f>
        <v>50</v>
      </c>
      <c r="Q266" s="287">
        <f>ROUND(P266*I266,2)</f>
        <v>1249.8499999999999</v>
      </c>
      <c r="R266" s="137"/>
      <c r="S266" s="269">
        <f>W266+Y266+AA266+AC266</f>
        <v>0</v>
      </c>
      <c r="T266" s="269">
        <f>ROUND(S266*I266,2)</f>
        <v>0</v>
      </c>
      <c r="U266" s="269">
        <f>H266-S266</f>
        <v>50</v>
      </c>
      <c r="V266" s="269">
        <f>ROUND(U266*I266,2)</f>
        <v>1249.8499999999999</v>
      </c>
      <c r="W266" s="269"/>
      <c r="X266" s="269"/>
      <c r="Y266" s="269"/>
      <c r="Z266" s="269"/>
      <c r="AA266" s="269"/>
      <c r="AB266" s="269"/>
      <c r="AC266" s="269"/>
      <c r="AD266" s="269"/>
      <c r="BX266" s="132" t="s">
        <v>1</v>
      </c>
      <c r="BY266" s="133" t="s">
        <v>40</v>
      </c>
      <c r="CA266" s="134">
        <f>BZ266*H266</f>
        <v>0</v>
      </c>
      <c r="CB266" s="134">
        <v>0</v>
      </c>
      <c r="CC266" s="134">
        <f>CB266*H266</f>
        <v>0</v>
      </c>
      <c r="CD266" s="134">
        <v>0</v>
      </c>
      <c r="CE266" s="135">
        <f>CD266*H266</f>
        <v>0</v>
      </c>
      <c r="DC266" s="136" t="s">
        <v>95</v>
      </c>
      <c r="DE266" s="136" t="s">
        <v>284</v>
      </c>
      <c r="DF266" s="136" t="s">
        <v>90</v>
      </c>
      <c r="DJ266" s="16" t="s">
        <v>282</v>
      </c>
      <c r="DP266" s="137">
        <f>IF(BY266="základní",J266,0)</f>
        <v>1249.8499999999999</v>
      </c>
      <c r="DQ266" s="137">
        <f>IF(BY266="snížená",J266,0)</f>
        <v>0</v>
      </c>
      <c r="DR266" s="137">
        <f>IF(BY266="zákl. přenesená",J266,0)</f>
        <v>0</v>
      </c>
      <c r="DS266" s="137">
        <f>IF(BY266="sníž. přenesená",J266,0)</f>
        <v>0</v>
      </c>
      <c r="DT266" s="137">
        <f>IF(BY266="nulová",J266,0)</f>
        <v>0</v>
      </c>
      <c r="DU266" s="16" t="s">
        <v>81</v>
      </c>
      <c r="DV266" s="137">
        <f>ROUND(I266*H266,2)</f>
        <v>1249.8499999999999</v>
      </c>
      <c r="DW266" s="16" t="s">
        <v>95</v>
      </c>
      <c r="DX266" s="136" t="s">
        <v>3007</v>
      </c>
    </row>
    <row r="267" spans="2:128" s="1" customFormat="1" x14ac:dyDescent="0.2">
      <c r="B267" s="31"/>
      <c r="D267" s="138" t="s">
        <v>289</v>
      </c>
      <c r="F267" s="139" t="s">
        <v>2950</v>
      </c>
      <c r="I267" s="140"/>
      <c r="L267" s="31"/>
      <c r="N267" s="213"/>
      <c r="O267" s="214"/>
      <c r="Q267" s="229"/>
      <c r="BX267" s="141"/>
      <c r="CE267" s="50"/>
      <c r="DE267" s="16" t="s">
        <v>289</v>
      </c>
      <c r="DF267" s="16" t="s">
        <v>90</v>
      </c>
    </row>
    <row r="268" spans="2:128" s="1" customFormat="1" ht="14.45" customHeight="1" x14ac:dyDescent="0.2">
      <c r="B268" s="124"/>
      <c r="C268" s="125" t="s">
        <v>681</v>
      </c>
      <c r="D268" s="125" t="s">
        <v>284</v>
      </c>
      <c r="E268" s="126" t="s">
        <v>2957</v>
      </c>
      <c r="F268" s="127" t="s">
        <v>2958</v>
      </c>
      <c r="G268" s="128" t="s">
        <v>344</v>
      </c>
      <c r="H268" s="129">
        <v>0.5</v>
      </c>
      <c r="I268" s="130">
        <v>324.31718352299998</v>
      </c>
      <c r="J268" s="131">
        <f>ROUND(I268*H268,2)</f>
        <v>162.16</v>
      </c>
      <c r="K268" s="127" t="s">
        <v>1</v>
      </c>
      <c r="L268" s="268">
        <f>S268</f>
        <v>0</v>
      </c>
      <c r="M268" s="272">
        <f>ROUND(I268*L268,2)</f>
        <v>0</v>
      </c>
      <c r="N268" s="243"/>
      <c r="O268" s="294">
        <f>ROUND(N268*I268,2)</f>
        <v>0</v>
      </c>
      <c r="P268" s="273">
        <f>H268-L268-N268</f>
        <v>0.5</v>
      </c>
      <c r="Q268" s="287">
        <f>ROUND(P268*I268,2)</f>
        <v>162.16</v>
      </c>
      <c r="R268" s="137"/>
      <c r="S268" s="269">
        <f>W268+Y268+AA268+AC268</f>
        <v>0</v>
      </c>
      <c r="T268" s="269">
        <f>ROUND(S268*I268,2)</f>
        <v>0</v>
      </c>
      <c r="U268" s="269">
        <f>H268-S268</f>
        <v>0.5</v>
      </c>
      <c r="V268" s="269">
        <f>ROUND(U268*I268,2)</f>
        <v>162.16</v>
      </c>
      <c r="W268" s="269"/>
      <c r="X268" s="269"/>
      <c r="Y268" s="269"/>
      <c r="Z268" s="269"/>
      <c r="AA268" s="269"/>
      <c r="AB268" s="269"/>
      <c r="AC268" s="269"/>
      <c r="AD268" s="269"/>
      <c r="BX268" s="132" t="s">
        <v>1</v>
      </c>
      <c r="BY268" s="133" t="s">
        <v>40</v>
      </c>
      <c r="CA268" s="134">
        <f>BZ268*H268</f>
        <v>0</v>
      </c>
      <c r="CB268" s="134">
        <v>0</v>
      </c>
      <c r="CC268" s="134">
        <f>CB268*H268</f>
        <v>0</v>
      </c>
      <c r="CD268" s="134">
        <v>0</v>
      </c>
      <c r="CE268" s="135">
        <f>CD268*H268</f>
        <v>0</v>
      </c>
      <c r="DC268" s="136" t="s">
        <v>95</v>
      </c>
      <c r="DE268" s="136" t="s">
        <v>284</v>
      </c>
      <c r="DF268" s="136" t="s">
        <v>90</v>
      </c>
      <c r="DJ268" s="16" t="s">
        <v>282</v>
      </c>
      <c r="DP268" s="137">
        <f>IF(BY268="základní",J268,0)</f>
        <v>162.16</v>
      </c>
      <c r="DQ268" s="137">
        <f>IF(BY268="snížená",J268,0)</f>
        <v>0</v>
      </c>
      <c r="DR268" s="137">
        <f>IF(BY268="zákl. přenesená",J268,0)</f>
        <v>0</v>
      </c>
      <c r="DS268" s="137">
        <f>IF(BY268="sníž. přenesená",J268,0)</f>
        <v>0</v>
      </c>
      <c r="DT268" s="137">
        <f>IF(BY268="nulová",J268,0)</f>
        <v>0</v>
      </c>
      <c r="DU268" s="16" t="s">
        <v>81</v>
      </c>
      <c r="DV268" s="137">
        <f>ROUND(I268*H268,2)</f>
        <v>162.16</v>
      </c>
      <c r="DW268" s="16" t="s">
        <v>95</v>
      </c>
      <c r="DX268" s="136" t="s">
        <v>3008</v>
      </c>
    </row>
    <row r="269" spans="2:128" s="1" customFormat="1" x14ac:dyDescent="0.2">
      <c r="B269" s="31"/>
      <c r="D269" s="138" t="s">
        <v>289</v>
      </c>
      <c r="F269" s="139" t="s">
        <v>2958</v>
      </c>
      <c r="I269" s="140"/>
      <c r="L269" s="31"/>
      <c r="N269" s="213"/>
      <c r="O269" s="214"/>
      <c r="Q269" s="229"/>
      <c r="BX269" s="141"/>
      <c r="CE269" s="50"/>
      <c r="DE269" s="16" t="s">
        <v>289</v>
      </c>
      <c r="DF269" s="16" t="s">
        <v>90</v>
      </c>
    </row>
    <row r="270" spans="2:128" s="1" customFormat="1" ht="24.2" customHeight="1" x14ac:dyDescent="0.2">
      <c r="B270" s="124"/>
      <c r="C270" s="125" t="s">
        <v>688</v>
      </c>
      <c r="D270" s="125" t="s">
        <v>284</v>
      </c>
      <c r="E270" s="126" t="s">
        <v>2965</v>
      </c>
      <c r="F270" s="127" t="s">
        <v>2966</v>
      </c>
      <c r="G270" s="128" t="s">
        <v>485</v>
      </c>
      <c r="H270" s="129">
        <v>125</v>
      </c>
      <c r="I270" s="130">
        <v>61.881601680999999</v>
      </c>
      <c r="J270" s="131">
        <f>ROUND(I270*H270,2)</f>
        <v>7735.2</v>
      </c>
      <c r="K270" s="127" t="s">
        <v>1</v>
      </c>
      <c r="L270" s="268">
        <f>S270</f>
        <v>0</v>
      </c>
      <c r="M270" s="272">
        <f>ROUND(I270*L270,2)</f>
        <v>0</v>
      </c>
      <c r="N270" s="243"/>
      <c r="O270" s="294">
        <f>ROUND(N270*I270,2)</f>
        <v>0</v>
      </c>
      <c r="P270" s="273">
        <f>H270-L270-N270</f>
        <v>125</v>
      </c>
      <c r="Q270" s="287">
        <f>ROUND(P270*I270,2)</f>
        <v>7735.2</v>
      </c>
      <c r="R270" s="137"/>
      <c r="S270" s="269">
        <f>W270+Y270+AA270+AC270</f>
        <v>0</v>
      </c>
      <c r="T270" s="269">
        <f>ROUND(S270*I270,2)</f>
        <v>0</v>
      </c>
      <c r="U270" s="269">
        <f>H270-S270</f>
        <v>125</v>
      </c>
      <c r="V270" s="269">
        <f>ROUND(U270*I270,2)</f>
        <v>7735.2</v>
      </c>
      <c r="W270" s="269"/>
      <c r="X270" s="269"/>
      <c r="Y270" s="269"/>
      <c r="Z270" s="269"/>
      <c r="AA270" s="269"/>
      <c r="AB270" s="269"/>
      <c r="AC270" s="269"/>
      <c r="AD270" s="269"/>
      <c r="BX270" s="132" t="s">
        <v>1</v>
      </c>
      <c r="BY270" s="133" t="s">
        <v>40</v>
      </c>
      <c r="CA270" s="134">
        <f>BZ270*H270</f>
        <v>0</v>
      </c>
      <c r="CB270" s="134">
        <v>0</v>
      </c>
      <c r="CC270" s="134">
        <f>CB270*H270</f>
        <v>0</v>
      </c>
      <c r="CD270" s="134">
        <v>0</v>
      </c>
      <c r="CE270" s="135">
        <f>CD270*H270</f>
        <v>0</v>
      </c>
      <c r="DC270" s="136" t="s">
        <v>95</v>
      </c>
      <c r="DE270" s="136" t="s">
        <v>284</v>
      </c>
      <c r="DF270" s="136" t="s">
        <v>90</v>
      </c>
      <c r="DJ270" s="16" t="s">
        <v>282</v>
      </c>
      <c r="DP270" s="137">
        <f>IF(BY270="základní",J270,0)</f>
        <v>7735.2</v>
      </c>
      <c r="DQ270" s="137">
        <f>IF(BY270="snížená",J270,0)</f>
        <v>0</v>
      </c>
      <c r="DR270" s="137">
        <f>IF(BY270="zákl. přenesená",J270,0)</f>
        <v>0</v>
      </c>
      <c r="DS270" s="137">
        <f>IF(BY270="sníž. přenesená",J270,0)</f>
        <v>0</v>
      </c>
      <c r="DT270" s="137">
        <f>IF(BY270="nulová",J270,0)</f>
        <v>0</v>
      </c>
      <c r="DU270" s="16" t="s">
        <v>81</v>
      </c>
      <c r="DV270" s="137">
        <f>ROUND(I270*H270,2)</f>
        <v>7735.2</v>
      </c>
      <c r="DW270" s="16" t="s">
        <v>95</v>
      </c>
      <c r="DX270" s="136" t="s">
        <v>3009</v>
      </c>
    </row>
    <row r="271" spans="2:128" s="1" customFormat="1" x14ac:dyDescent="0.2">
      <c r="B271" s="31"/>
      <c r="D271" s="138" t="s">
        <v>289</v>
      </c>
      <c r="F271" s="139" t="s">
        <v>2966</v>
      </c>
      <c r="I271" s="140"/>
      <c r="L271" s="31"/>
      <c r="N271" s="213"/>
      <c r="O271" s="214"/>
      <c r="Q271" s="229"/>
      <c r="BX271" s="141"/>
      <c r="CE271" s="50"/>
      <c r="DE271" s="16" t="s">
        <v>289</v>
      </c>
      <c r="DF271" s="16" t="s">
        <v>90</v>
      </c>
    </row>
    <row r="272" spans="2:128" s="1" customFormat="1" ht="14.45" customHeight="1" x14ac:dyDescent="0.2">
      <c r="B272" s="124"/>
      <c r="C272" s="125" t="s">
        <v>697</v>
      </c>
      <c r="D272" s="125" t="s">
        <v>284</v>
      </c>
      <c r="E272" s="126" t="s">
        <v>3010</v>
      </c>
      <c r="F272" s="127" t="s">
        <v>2968</v>
      </c>
      <c r="G272" s="128" t="s">
        <v>315</v>
      </c>
      <c r="H272" s="129">
        <v>1</v>
      </c>
      <c r="I272" s="130">
        <v>2709.6715365190003</v>
      </c>
      <c r="J272" s="131">
        <f>ROUND(I272*H272,2)</f>
        <v>2709.67</v>
      </c>
      <c r="K272" s="127" t="s">
        <v>1</v>
      </c>
      <c r="L272" s="268">
        <f>S272</f>
        <v>0</v>
      </c>
      <c r="M272" s="272">
        <f>ROUND(I272*L272,2)</f>
        <v>0</v>
      </c>
      <c r="N272" s="243"/>
      <c r="O272" s="294">
        <f>ROUND(N272*I272,2)</f>
        <v>0</v>
      </c>
      <c r="P272" s="273">
        <f>H272-L272-N272</f>
        <v>1</v>
      </c>
      <c r="Q272" s="287">
        <f>ROUND(P272*I272,2)</f>
        <v>2709.67</v>
      </c>
      <c r="R272" s="137"/>
      <c r="S272" s="269">
        <f>W272+Y272+AA272+AC272</f>
        <v>0</v>
      </c>
      <c r="T272" s="269">
        <f>ROUND(S272*I272,2)</f>
        <v>0</v>
      </c>
      <c r="U272" s="269">
        <f>H272-S272</f>
        <v>1</v>
      </c>
      <c r="V272" s="269">
        <f>ROUND(U272*I272,2)</f>
        <v>2709.67</v>
      </c>
      <c r="W272" s="269"/>
      <c r="X272" s="269"/>
      <c r="Y272" s="269"/>
      <c r="Z272" s="269"/>
      <c r="AA272" s="269"/>
      <c r="AB272" s="269"/>
      <c r="AC272" s="269"/>
      <c r="AD272" s="269"/>
      <c r="BX272" s="132" t="s">
        <v>1</v>
      </c>
      <c r="BY272" s="133" t="s">
        <v>40</v>
      </c>
      <c r="CA272" s="134">
        <f>BZ272*H272</f>
        <v>0</v>
      </c>
      <c r="CB272" s="134">
        <v>0</v>
      </c>
      <c r="CC272" s="134">
        <f>CB272*H272</f>
        <v>0</v>
      </c>
      <c r="CD272" s="134">
        <v>0</v>
      </c>
      <c r="CE272" s="135">
        <f>CD272*H272</f>
        <v>0</v>
      </c>
      <c r="DC272" s="136" t="s">
        <v>95</v>
      </c>
      <c r="DE272" s="136" t="s">
        <v>284</v>
      </c>
      <c r="DF272" s="136" t="s">
        <v>90</v>
      </c>
      <c r="DJ272" s="16" t="s">
        <v>282</v>
      </c>
      <c r="DP272" s="137">
        <f>IF(BY272="základní",J272,0)</f>
        <v>2709.67</v>
      </c>
      <c r="DQ272" s="137">
        <f>IF(BY272="snížená",J272,0)</f>
        <v>0</v>
      </c>
      <c r="DR272" s="137">
        <f>IF(BY272="zákl. přenesená",J272,0)</f>
        <v>0</v>
      </c>
      <c r="DS272" s="137">
        <f>IF(BY272="sníž. přenesená",J272,0)</f>
        <v>0</v>
      </c>
      <c r="DT272" s="137">
        <f>IF(BY272="nulová",J272,0)</f>
        <v>0</v>
      </c>
      <c r="DU272" s="16" t="s">
        <v>81</v>
      </c>
      <c r="DV272" s="137">
        <f>ROUND(I272*H272,2)</f>
        <v>2709.67</v>
      </c>
      <c r="DW272" s="16" t="s">
        <v>95</v>
      </c>
      <c r="DX272" s="136" t="s">
        <v>3011</v>
      </c>
    </row>
    <row r="273" spans="2:128" s="1" customFormat="1" x14ac:dyDescent="0.2">
      <c r="B273" s="31"/>
      <c r="D273" s="138" t="s">
        <v>289</v>
      </c>
      <c r="F273" s="139" t="s">
        <v>2968</v>
      </c>
      <c r="I273" s="140"/>
      <c r="L273" s="31"/>
      <c r="N273" s="213"/>
      <c r="O273" s="214"/>
      <c r="Q273" s="229"/>
      <c r="BX273" s="141"/>
      <c r="CE273" s="50"/>
      <c r="DE273" s="16" t="s">
        <v>289</v>
      </c>
      <c r="DF273" s="16" t="s">
        <v>90</v>
      </c>
    </row>
    <row r="274" spans="2:128" s="10" customFormat="1" ht="22.9" customHeight="1" x14ac:dyDescent="0.2">
      <c r="B274" s="112"/>
      <c r="D274" s="113" t="s">
        <v>73</v>
      </c>
      <c r="E274" s="122" t="s">
        <v>3055</v>
      </c>
      <c r="F274" s="122" t="s">
        <v>3012</v>
      </c>
      <c r="I274" s="115"/>
      <c r="J274" s="123">
        <f>DV274</f>
        <v>16976.859999999997</v>
      </c>
      <c r="L274" s="112"/>
      <c r="M274" s="270">
        <f>SUM(M275:M293)</f>
        <v>0</v>
      </c>
      <c r="N274" s="301"/>
      <c r="O274" s="302">
        <f t="shared" ref="O274:V274" si="5">SUM(O275:O293)</f>
        <v>0</v>
      </c>
      <c r="P274" s="270"/>
      <c r="Q274" s="288">
        <f t="shared" si="5"/>
        <v>16976.859999999997</v>
      </c>
      <c r="R274" s="270"/>
      <c r="S274" s="270"/>
      <c r="T274" s="270">
        <f t="shared" si="5"/>
        <v>0</v>
      </c>
      <c r="U274" s="270"/>
      <c r="V274" s="270">
        <f t="shared" si="5"/>
        <v>16976.859999999997</v>
      </c>
      <c r="BX274" s="117"/>
      <c r="CA274" s="118">
        <f>SUM(CA275:CA294)</f>
        <v>0</v>
      </c>
      <c r="CC274" s="118">
        <f>SUM(CC275:CC294)</f>
        <v>0</v>
      </c>
      <c r="CE274" s="119">
        <f>SUM(CE275:CE294)</f>
        <v>0</v>
      </c>
      <c r="DC274" s="113" t="s">
        <v>81</v>
      </c>
      <c r="DE274" s="120" t="s">
        <v>73</v>
      </c>
      <c r="DF274" s="120" t="s">
        <v>81</v>
      </c>
      <c r="DJ274" s="113" t="s">
        <v>282</v>
      </c>
      <c r="DV274" s="121">
        <f>SUM(DV275:DV294)</f>
        <v>16976.859999999997</v>
      </c>
    </row>
    <row r="275" spans="2:128" s="1" customFormat="1" ht="14.45" customHeight="1" x14ac:dyDescent="0.2">
      <c r="B275" s="124"/>
      <c r="C275" s="125" t="s">
        <v>704</v>
      </c>
      <c r="D275" s="125" t="s">
        <v>284</v>
      </c>
      <c r="E275" s="126" t="s">
        <v>3013</v>
      </c>
      <c r="F275" s="127" t="s">
        <v>3014</v>
      </c>
      <c r="G275" s="128" t="s">
        <v>344</v>
      </c>
      <c r="H275" s="129">
        <v>15</v>
      </c>
      <c r="I275" s="130">
        <v>84.539001224999993</v>
      </c>
      <c r="J275" s="131">
        <f>ROUND(I275*H275,2)</f>
        <v>1268.0899999999999</v>
      </c>
      <c r="K275" s="127" t="s">
        <v>1</v>
      </c>
      <c r="L275" s="268">
        <f>S275</f>
        <v>0</v>
      </c>
      <c r="M275" s="272">
        <f>ROUND(I275*L275,2)</f>
        <v>0</v>
      </c>
      <c r="N275" s="243"/>
      <c r="O275" s="294">
        <f>ROUND(N275*I275,2)</f>
        <v>0</v>
      </c>
      <c r="P275" s="273">
        <f>H275-L275-N275</f>
        <v>15</v>
      </c>
      <c r="Q275" s="287">
        <f>ROUND(P275*I275,2)</f>
        <v>1268.0899999999999</v>
      </c>
      <c r="R275" s="137"/>
      <c r="S275" s="269">
        <f>W275+Y275+AA275+AC275</f>
        <v>0</v>
      </c>
      <c r="T275" s="269">
        <f>ROUND(S275*I275,2)</f>
        <v>0</v>
      </c>
      <c r="U275" s="269">
        <f>H275-S275</f>
        <v>15</v>
      </c>
      <c r="V275" s="269">
        <f>ROUND(U275*I275,2)</f>
        <v>1268.0899999999999</v>
      </c>
      <c r="W275" s="269"/>
      <c r="X275" s="269"/>
      <c r="Y275" s="269"/>
      <c r="Z275" s="269"/>
      <c r="AA275" s="269"/>
      <c r="AB275" s="269"/>
      <c r="AC275" s="269"/>
      <c r="AD275" s="269"/>
      <c r="BX275" s="132" t="s">
        <v>1</v>
      </c>
      <c r="BY275" s="133" t="s">
        <v>40</v>
      </c>
      <c r="CA275" s="134">
        <f>BZ275*H275</f>
        <v>0</v>
      </c>
      <c r="CB275" s="134">
        <v>0</v>
      </c>
      <c r="CC275" s="134">
        <f>CB275*H275</f>
        <v>0</v>
      </c>
      <c r="CD275" s="134">
        <v>0</v>
      </c>
      <c r="CE275" s="135">
        <f>CD275*H275</f>
        <v>0</v>
      </c>
      <c r="DC275" s="136" t="s">
        <v>95</v>
      </c>
      <c r="DE275" s="136" t="s">
        <v>284</v>
      </c>
      <c r="DF275" s="136" t="s">
        <v>83</v>
      </c>
      <c r="DJ275" s="16" t="s">
        <v>282</v>
      </c>
      <c r="DP275" s="137">
        <f>IF(BY275="základní",J275,0)</f>
        <v>1268.0899999999999</v>
      </c>
      <c r="DQ275" s="137">
        <f>IF(BY275="snížená",J275,0)</f>
        <v>0</v>
      </c>
      <c r="DR275" s="137">
        <f>IF(BY275="zákl. přenesená",J275,0)</f>
        <v>0</v>
      </c>
      <c r="DS275" s="137">
        <f>IF(BY275="sníž. přenesená",J275,0)</f>
        <v>0</v>
      </c>
      <c r="DT275" s="137">
        <f>IF(BY275="nulová",J275,0)</f>
        <v>0</v>
      </c>
      <c r="DU275" s="16" t="s">
        <v>81</v>
      </c>
      <c r="DV275" s="137">
        <f>ROUND(I275*H275,2)</f>
        <v>1268.0899999999999</v>
      </c>
      <c r="DW275" s="16" t="s">
        <v>95</v>
      </c>
      <c r="DX275" s="136" t="s">
        <v>3015</v>
      </c>
    </row>
    <row r="276" spans="2:128" s="1" customFormat="1" x14ac:dyDescent="0.2">
      <c r="B276" s="31"/>
      <c r="D276" s="138" t="s">
        <v>289</v>
      </c>
      <c r="F276" s="139" t="s">
        <v>3014</v>
      </c>
      <c r="I276" s="140"/>
      <c r="L276" s="31"/>
      <c r="N276" s="213"/>
      <c r="O276" s="214"/>
      <c r="Q276" s="229"/>
      <c r="BX276" s="141"/>
      <c r="CE276" s="50"/>
      <c r="DE276" s="16" t="s">
        <v>289</v>
      </c>
      <c r="DF276" s="16" t="s">
        <v>83</v>
      </c>
    </row>
    <row r="277" spans="2:128" s="1" customFormat="1" ht="14.45" customHeight="1" x14ac:dyDescent="0.2">
      <c r="B277" s="124"/>
      <c r="C277" s="125" t="s">
        <v>710</v>
      </c>
      <c r="D277" s="125" t="s">
        <v>284</v>
      </c>
      <c r="E277" s="126" t="s">
        <v>3016</v>
      </c>
      <c r="F277" s="127" t="s">
        <v>3017</v>
      </c>
      <c r="G277" s="128" t="s">
        <v>344</v>
      </c>
      <c r="H277" s="129">
        <v>15</v>
      </c>
      <c r="I277" s="130">
        <v>72.604083405000011</v>
      </c>
      <c r="J277" s="131">
        <f>ROUND(I277*H277,2)</f>
        <v>1089.06</v>
      </c>
      <c r="K277" s="127" t="s">
        <v>1</v>
      </c>
      <c r="L277" s="268">
        <f>S277</f>
        <v>0</v>
      </c>
      <c r="M277" s="272">
        <f>ROUND(I277*L277,2)</f>
        <v>0</v>
      </c>
      <c r="N277" s="243"/>
      <c r="O277" s="294">
        <f>ROUND(N277*I277,2)</f>
        <v>0</v>
      </c>
      <c r="P277" s="273">
        <f>H277-L277-N277</f>
        <v>15</v>
      </c>
      <c r="Q277" s="287">
        <f>ROUND(P277*I277,2)</f>
        <v>1089.06</v>
      </c>
      <c r="R277" s="137"/>
      <c r="S277" s="269">
        <f>W277+Y277+AA277+AC277</f>
        <v>0</v>
      </c>
      <c r="T277" s="269">
        <f>ROUND(S277*I277,2)</f>
        <v>0</v>
      </c>
      <c r="U277" s="269">
        <f>H277-S277</f>
        <v>15</v>
      </c>
      <c r="V277" s="269">
        <f>ROUND(U277*I277,2)</f>
        <v>1089.06</v>
      </c>
      <c r="W277" s="269"/>
      <c r="X277" s="269"/>
      <c r="Y277" s="269"/>
      <c r="Z277" s="269"/>
      <c r="AA277" s="269"/>
      <c r="AB277" s="269"/>
      <c r="AC277" s="269"/>
      <c r="AD277" s="269"/>
      <c r="BX277" s="132" t="s">
        <v>1</v>
      </c>
      <c r="BY277" s="133" t="s">
        <v>40</v>
      </c>
      <c r="CA277" s="134">
        <f>BZ277*H277</f>
        <v>0</v>
      </c>
      <c r="CB277" s="134">
        <v>0</v>
      </c>
      <c r="CC277" s="134">
        <f>CB277*H277</f>
        <v>0</v>
      </c>
      <c r="CD277" s="134">
        <v>0</v>
      </c>
      <c r="CE277" s="135">
        <f>CD277*H277</f>
        <v>0</v>
      </c>
      <c r="DC277" s="136" t="s">
        <v>95</v>
      </c>
      <c r="DE277" s="136" t="s">
        <v>284</v>
      </c>
      <c r="DF277" s="136" t="s">
        <v>83</v>
      </c>
      <c r="DJ277" s="16" t="s">
        <v>282</v>
      </c>
      <c r="DP277" s="137">
        <f>IF(BY277="základní",J277,0)</f>
        <v>1089.06</v>
      </c>
      <c r="DQ277" s="137">
        <f>IF(BY277="snížená",J277,0)</f>
        <v>0</v>
      </c>
      <c r="DR277" s="137">
        <f>IF(BY277="zákl. přenesená",J277,0)</f>
        <v>0</v>
      </c>
      <c r="DS277" s="137">
        <f>IF(BY277="sníž. přenesená",J277,0)</f>
        <v>0</v>
      </c>
      <c r="DT277" s="137">
        <f>IF(BY277="nulová",J277,0)</f>
        <v>0</v>
      </c>
      <c r="DU277" s="16" t="s">
        <v>81</v>
      </c>
      <c r="DV277" s="137">
        <f>ROUND(I277*H277,2)</f>
        <v>1089.06</v>
      </c>
      <c r="DW277" s="16" t="s">
        <v>95</v>
      </c>
      <c r="DX277" s="136" t="s">
        <v>3018</v>
      </c>
    </row>
    <row r="278" spans="2:128" s="1" customFormat="1" x14ac:dyDescent="0.2">
      <c r="B278" s="31"/>
      <c r="D278" s="138" t="s">
        <v>289</v>
      </c>
      <c r="F278" s="139" t="s">
        <v>3017</v>
      </c>
      <c r="I278" s="140"/>
      <c r="L278" s="31"/>
      <c r="N278" s="213"/>
      <c r="O278" s="214"/>
      <c r="Q278" s="229"/>
      <c r="BX278" s="141"/>
      <c r="CE278" s="50"/>
      <c r="DE278" s="16" t="s">
        <v>289</v>
      </c>
      <c r="DF278" s="16" t="s">
        <v>83</v>
      </c>
    </row>
    <row r="279" spans="2:128" s="1" customFormat="1" ht="14.45" customHeight="1" x14ac:dyDescent="0.2">
      <c r="B279" s="124"/>
      <c r="C279" s="125" t="s">
        <v>715</v>
      </c>
      <c r="D279" s="125" t="s">
        <v>284</v>
      </c>
      <c r="E279" s="126" t="s">
        <v>3019</v>
      </c>
      <c r="F279" s="127" t="s">
        <v>3020</v>
      </c>
      <c r="G279" s="128" t="s">
        <v>315</v>
      </c>
      <c r="H279" s="129">
        <v>1</v>
      </c>
      <c r="I279" s="130">
        <v>1079.532261133</v>
      </c>
      <c r="J279" s="131">
        <f>ROUND(I279*H279,2)</f>
        <v>1079.53</v>
      </c>
      <c r="K279" s="127" t="s">
        <v>1</v>
      </c>
      <c r="L279" s="268">
        <f>S279</f>
        <v>0</v>
      </c>
      <c r="M279" s="272">
        <f>ROUND(I279*L279,2)</f>
        <v>0</v>
      </c>
      <c r="N279" s="243"/>
      <c r="O279" s="294">
        <f>ROUND(N279*I279,2)</f>
        <v>0</v>
      </c>
      <c r="P279" s="273">
        <f>H279-L279-N279</f>
        <v>1</v>
      </c>
      <c r="Q279" s="287">
        <f>ROUND(P279*I279,2)</f>
        <v>1079.53</v>
      </c>
      <c r="R279" s="137"/>
      <c r="S279" s="269">
        <f>W279+Y279+AA279+AC279</f>
        <v>0</v>
      </c>
      <c r="T279" s="269">
        <f>ROUND(S279*I279,2)</f>
        <v>0</v>
      </c>
      <c r="U279" s="269">
        <f>H279-S279</f>
        <v>1</v>
      </c>
      <c r="V279" s="269">
        <f>ROUND(U279*I279,2)</f>
        <v>1079.53</v>
      </c>
      <c r="W279" s="269"/>
      <c r="X279" s="269"/>
      <c r="Y279" s="269"/>
      <c r="Z279" s="269"/>
      <c r="AA279" s="269"/>
      <c r="AB279" s="269"/>
      <c r="AC279" s="269"/>
      <c r="AD279" s="269"/>
      <c r="BX279" s="132" t="s">
        <v>1</v>
      </c>
      <c r="BY279" s="133" t="s">
        <v>40</v>
      </c>
      <c r="CA279" s="134">
        <f>BZ279*H279</f>
        <v>0</v>
      </c>
      <c r="CB279" s="134">
        <v>0</v>
      </c>
      <c r="CC279" s="134">
        <f>CB279*H279</f>
        <v>0</v>
      </c>
      <c r="CD279" s="134">
        <v>0</v>
      </c>
      <c r="CE279" s="135">
        <f>CD279*H279</f>
        <v>0</v>
      </c>
      <c r="DC279" s="136" t="s">
        <v>95</v>
      </c>
      <c r="DE279" s="136" t="s">
        <v>284</v>
      </c>
      <c r="DF279" s="136" t="s">
        <v>83</v>
      </c>
      <c r="DJ279" s="16" t="s">
        <v>282</v>
      </c>
      <c r="DP279" s="137">
        <f>IF(BY279="základní",J279,0)</f>
        <v>1079.53</v>
      </c>
      <c r="DQ279" s="137">
        <f>IF(BY279="snížená",J279,0)</f>
        <v>0</v>
      </c>
      <c r="DR279" s="137">
        <f>IF(BY279="zákl. přenesená",J279,0)</f>
        <v>0</v>
      </c>
      <c r="DS279" s="137">
        <f>IF(BY279="sníž. přenesená",J279,0)</f>
        <v>0</v>
      </c>
      <c r="DT279" s="137">
        <f>IF(BY279="nulová",J279,0)</f>
        <v>0</v>
      </c>
      <c r="DU279" s="16" t="s">
        <v>81</v>
      </c>
      <c r="DV279" s="137">
        <f>ROUND(I279*H279,2)</f>
        <v>1079.53</v>
      </c>
      <c r="DW279" s="16" t="s">
        <v>95</v>
      </c>
      <c r="DX279" s="136" t="s">
        <v>3021</v>
      </c>
    </row>
    <row r="280" spans="2:128" s="1" customFormat="1" x14ac:dyDescent="0.2">
      <c r="B280" s="31"/>
      <c r="D280" s="138" t="s">
        <v>289</v>
      </c>
      <c r="F280" s="139" t="s">
        <v>3020</v>
      </c>
      <c r="I280" s="140"/>
      <c r="L280" s="31"/>
      <c r="N280" s="213"/>
      <c r="O280" s="214"/>
      <c r="Q280" s="229"/>
      <c r="BX280" s="141"/>
      <c r="CE280" s="50"/>
      <c r="DE280" s="16" t="s">
        <v>289</v>
      </c>
      <c r="DF280" s="16" t="s">
        <v>83</v>
      </c>
    </row>
    <row r="281" spans="2:128" s="1" customFormat="1" ht="14.45" customHeight="1" x14ac:dyDescent="0.2">
      <c r="B281" s="124"/>
      <c r="C281" s="125" t="s">
        <v>718</v>
      </c>
      <c r="D281" s="125" t="s">
        <v>284</v>
      </c>
      <c r="E281" s="126" t="s">
        <v>3022</v>
      </c>
      <c r="F281" s="127" t="s">
        <v>3023</v>
      </c>
      <c r="G281" s="128" t="s">
        <v>315</v>
      </c>
      <c r="H281" s="129">
        <v>2</v>
      </c>
      <c r="I281" s="130">
        <v>2851.1192569999998</v>
      </c>
      <c r="J281" s="131">
        <f>ROUND(I281*H281,2)</f>
        <v>5702.24</v>
      </c>
      <c r="K281" s="127" t="s">
        <v>1</v>
      </c>
      <c r="L281" s="268">
        <f>S281</f>
        <v>0</v>
      </c>
      <c r="M281" s="272">
        <f>ROUND(I281*L281,2)</f>
        <v>0</v>
      </c>
      <c r="N281" s="243"/>
      <c r="O281" s="294">
        <f>ROUND(N281*I281,2)</f>
        <v>0</v>
      </c>
      <c r="P281" s="273">
        <f>H281-L281-N281</f>
        <v>2</v>
      </c>
      <c r="Q281" s="287">
        <f>ROUND(P281*I281,2)</f>
        <v>5702.24</v>
      </c>
      <c r="R281" s="137"/>
      <c r="S281" s="269">
        <f>W281+Y281+AA281+AC281</f>
        <v>0</v>
      </c>
      <c r="T281" s="269">
        <f>ROUND(S281*I281,2)</f>
        <v>0</v>
      </c>
      <c r="U281" s="269">
        <f>H281-S281</f>
        <v>2</v>
      </c>
      <c r="V281" s="269">
        <f>ROUND(U281*I281,2)</f>
        <v>5702.24</v>
      </c>
      <c r="W281" s="269"/>
      <c r="X281" s="269"/>
      <c r="Y281" s="269"/>
      <c r="Z281" s="269"/>
      <c r="AA281" s="269"/>
      <c r="AB281" s="269"/>
      <c r="AC281" s="269"/>
      <c r="AD281" s="269"/>
      <c r="BX281" s="132" t="s">
        <v>1</v>
      </c>
      <c r="BY281" s="133" t="s">
        <v>40</v>
      </c>
      <c r="CA281" s="134">
        <f>BZ281*H281</f>
        <v>0</v>
      </c>
      <c r="CB281" s="134">
        <v>0</v>
      </c>
      <c r="CC281" s="134">
        <f>CB281*H281</f>
        <v>0</v>
      </c>
      <c r="CD281" s="134">
        <v>0</v>
      </c>
      <c r="CE281" s="135">
        <f>CD281*H281</f>
        <v>0</v>
      </c>
      <c r="DC281" s="136" t="s">
        <v>95</v>
      </c>
      <c r="DE281" s="136" t="s">
        <v>284</v>
      </c>
      <c r="DF281" s="136" t="s">
        <v>83</v>
      </c>
      <c r="DJ281" s="16" t="s">
        <v>282</v>
      </c>
      <c r="DP281" s="137">
        <f>IF(BY281="základní",J281,0)</f>
        <v>5702.24</v>
      </c>
      <c r="DQ281" s="137">
        <f>IF(BY281="snížená",J281,0)</f>
        <v>0</v>
      </c>
      <c r="DR281" s="137">
        <f>IF(BY281="zákl. přenesená",J281,0)</f>
        <v>0</v>
      </c>
      <c r="DS281" s="137">
        <f>IF(BY281="sníž. přenesená",J281,0)</f>
        <v>0</v>
      </c>
      <c r="DT281" s="137">
        <f>IF(BY281="nulová",J281,0)</f>
        <v>0</v>
      </c>
      <c r="DU281" s="16" t="s">
        <v>81</v>
      </c>
      <c r="DV281" s="137">
        <f>ROUND(I281*H281,2)</f>
        <v>5702.24</v>
      </c>
      <c r="DW281" s="16" t="s">
        <v>95</v>
      </c>
      <c r="DX281" s="136" t="s">
        <v>3024</v>
      </c>
    </row>
    <row r="282" spans="2:128" s="1" customFormat="1" x14ac:dyDescent="0.2">
      <c r="B282" s="31"/>
      <c r="D282" s="138" t="s">
        <v>289</v>
      </c>
      <c r="F282" s="139" t="s">
        <v>3023</v>
      </c>
      <c r="I282" s="140"/>
      <c r="L282" s="31"/>
      <c r="N282" s="213"/>
      <c r="O282" s="214"/>
      <c r="Q282" s="229"/>
      <c r="BX282" s="141"/>
      <c r="CE282" s="50"/>
      <c r="DE282" s="16" t="s">
        <v>289</v>
      </c>
      <c r="DF282" s="16" t="s">
        <v>83</v>
      </c>
    </row>
    <row r="283" spans="2:128" s="1" customFormat="1" ht="14.45" customHeight="1" x14ac:dyDescent="0.2">
      <c r="B283" s="124"/>
      <c r="C283" s="125" t="s">
        <v>724</v>
      </c>
      <c r="D283" s="125" t="s">
        <v>284</v>
      </c>
      <c r="E283" s="126" t="s">
        <v>3025</v>
      </c>
      <c r="F283" s="127" t="s">
        <v>3026</v>
      </c>
      <c r="G283" s="128" t="s">
        <v>315</v>
      </c>
      <c r="H283" s="129">
        <v>4</v>
      </c>
      <c r="I283" s="130">
        <v>646.25685563899992</v>
      </c>
      <c r="J283" s="131">
        <f>ROUND(I283*H283,2)</f>
        <v>2585.0300000000002</v>
      </c>
      <c r="K283" s="127" t="s">
        <v>1</v>
      </c>
      <c r="L283" s="268">
        <f>S283</f>
        <v>0</v>
      </c>
      <c r="M283" s="272">
        <f>ROUND(I283*L283,2)</f>
        <v>0</v>
      </c>
      <c r="N283" s="243"/>
      <c r="O283" s="294">
        <f>ROUND(N283*I283,2)</f>
        <v>0</v>
      </c>
      <c r="P283" s="273">
        <f>H283-L283-N283</f>
        <v>4</v>
      </c>
      <c r="Q283" s="287">
        <f>ROUND(P283*I283,2)</f>
        <v>2585.0300000000002</v>
      </c>
      <c r="R283" s="137"/>
      <c r="S283" s="269">
        <f>W283+Y283+AA283+AC283</f>
        <v>0</v>
      </c>
      <c r="T283" s="269">
        <f>ROUND(S283*I283,2)</f>
        <v>0</v>
      </c>
      <c r="U283" s="269">
        <f>H283-S283</f>
        <v>4</v>
      </c>
      <c r="V283" s="269">
        <f>ROUND(U283*I283,2)</f>
        <v>2585.0300000000002</v>
      </c>
      <c r="W283" s="269"/>
      <c r="X283" s="269"/>
      <c r="Y283" s="269"/>
      <c r="Z283" s="269"/>
      <c r="AA283" s="269"/>
      <c r="AB283" s="269"/>
      <c r="AC283" s="269"/>
      <c r="AD283" s="269"/>
      <c r="BX283" s="132" t="s">
        <v>1</v>
      </c>
      <c r="BY283" s="133" t="s">
        <v>40</v>
      </c>
      <c r="CA283" s="134">
        <f>BZ283*H283</f>
        <v>0</v>
      </c>
      <c r="CB283" s="134">
        <v>0</v>
      </c>
      <c r="CC283" s="134">
        <f>CB283*H283</f>
        <v>0</v>
      </c>
      <c r="CD283" s="134">
        <v>0</v>
      </c>
      <c r="CE283" s="135">
        <f>CD283*H283</f>
        <v>0</v>
      </c>
      <c r="DC283" s="136" t="s">
        <v>95</v>
      </c>
      <c r="DE283" s="136" t="s">
        <v>284</v>
      </c>
      <c r="DF283" s="136" t="s">
        <v>83</v>
      </c>
      <c r="DJ283" s="16" t="s">
        <v>282</v>
      </c>
      <c r="DP283" s="137">
        <f>IF(BY283="základní",J283,0)</f>
        <v>2585.0300000000002</v>
      </c>
      <c r="DQ283" s="137">
        <f>IF(BY283="snížená",J283,0)</f>
        <v>0</v>
      </c>
      <c r="DR283" s="137">
        <f>IF(BY283="zákl. přenesená",J283,0)</f>
        <v>0</v>
      </c>
      <c r="DS283" s="137">
        <f>IF(BY283="sníž. přenesená",J283,0)</f>
        <v>0</v>
      </c>
      <c r="DT283" s="137">
        <f>IF(BY283="nulová",J283,0)</f>
        <v>0</v>
      </c>
      <c r="DU283" s="16" t="s">
        <v>81</v>
      </c>
      <c r="DV283" s="137">
        <f>ROUND(I283*H283,2)</f>
        <v>2585.0300000000002</v>
      </c>
      <c r="DW283" s="16" t="s">
        <v>95</v>
      </c>
      <c r="DX283" s="136" t="s">
        <v>3027</v>
      </c>
    </row>
    <row r="284" spans="2:128" s="1" customFormat="1" x14ac:dyDescent="0.2">
      <c r="B284" s="31"/>
      <c r="D284" s="138" t="s">
        <v>289</v>
      </c>
      <c r="F284" s="139" t="s">
        <v>3026</v>
      </c>
      <c r="I284" s="140"/>
      <c r="L284" s="31"/>
      <c r="N284" s="213"/>
      <c r="O284" s="214"/>
      <c r="Q284" s="229"/>
      <c r="BX284" s="141"/>
      <c r="CE284" s="50"/>
      <c r="DE284" s="16" t="s">
        <v>289</v>
      </c>
      <c r="DF284" s="16" t="s">
        <v>83</v>
      </c>
    </row>
    <row r="285" spans="2:128" s="1" customFormat="1" ht="14.45" customHeight="1" x14ac:dyDescent="0.2">
      <c r="B285" s="124"/>
      <c r="C285" s="125" t="s">
        <v>1544</v>
      </c>
      <c r="D285" s="125" t="s">
        <v>284</v>
      </c>
      <c r="E285" s="126" t="s">
        <v>3028</v>
      </c>
      <c r="F285" s="127" t="s">
        <v>3029</v>
      </c>
      <c r="G285" s="128" t="s">
        <v>315</v>
      </c>
      <c r="H285" s="129">
        <v>8</v>
      </c>
      <c r="I285" s="130">
        <v>100.622723811</v>
      </c>
      <c r="J285" s="131">
        <f>ROUND(I285*H285,2)</f>
        <v>804.98</v>
      </c>
      <c r="K285" s="127" t="s">
        <v>1</v>
      </c>
      <c r="L285" s="268">
        <f>S285</f>
        <v>0</v>
      </c>
      <c r="M285" s="272">
        <f>ROUND(I285*L285,2)</f>
        <v>0</v>
      </c>
      <c r="N285" s="243"/>
      <c r="O285" s="294">
        <f>ROUND(N285*I285,2)</f>
        <v>0</v>
      </c>
      <c r="P285" s="273">
        <f>H285-L285-N285</f>
        <v>8</v>
      </c>
      <c r="Q285" s="287">
        <f>ROUND(P285*I285,2)</f>
        <v>804.98</v>
      </c>
      <c r="R285" s="137"/>
      <c r="S285" s="269">
        <f>W285+Y285+AA285+AC285</f>
        <v>0</v>
      </c>
      <c r="T285" s="269">
        <f>ROUND(S285*I285,2)</f>
        <v>0</v>
      </c>
      <c r="U285" s="269">
        <f>H285-S285</f>
        <v>8</v>
      </c>
      <c r="V285" s="269">
        <f>ROUND(U285*I285,2)</f>
        <v>804.98</v>
      </c>
      <c r="W285" s="269"/>
      <c r="X285" s="269"/>
      <c r="Y285" s="269"/>
      <c r="Z285" s="269"/>
      <c r="AA285" s="269"/>
      <c r="AB285" s="269"/>
      <c r="AC285" s="269"/>
      <c r="AD285" s="269"/>
      <c r="BX285" s="132" t="s">
        <v>1</v>
      </c>
      <c r="BY285" s="133" t="s">
        <v>40</v>
      </c>
      <c r="CA285" s="134">
        <f>BZ285*H285</f>
        <v>0</v>
      </c>
      <c r="CB285" s="134">
        <v>0</v>
      </c>
      <c r="CC285" s="134">
        <f>CB285*H285</f>
        <v>0</v>
      </c>
      <c r="CD285" s="134">
        <v>0</v>
      </c>
      <c r="CE285" s="135">
        <f>CD285*H285</f>
        <v>0</v>
      </c>
      <c r="DC285" s="136" t="s">
        <v>95</v>
      </c>
      <c r="DE285" s="136" t="s">
        <v>284</v>
      </c>
      <c r="DF285" s="136" t="s">
        <v>83</v>
      </c>
      <c r="DJ285" s="16" t="s">
        <v>282</v>
      </c>
      <c r="DP285" s="137">
        <f>IF(BY285="základní",J285,0)</f>
        <v>804.98</v>
      </c>
      <c r="DQ285" s="137">
        <f>IF(BY285="snížená",J285,0)</f>
        <v>0</v>
      </c>
      <c r="DR285" s="137">
        <f>IF(BY285="zákl. přenesená",J285,0)</f>
        <v>0</v>
      </c>
      <c r="DS285" s="137">
        <f>IF(BY285="sníž. přenesená",J285,0)</f>
        <v>0</v>
      </c>
      <c r="DT285" s="137">
        <f>IF(BY285="nulová",J285,0)</f>
        <v>0</v>
      </c>
      <c r="DU285" s="16" t="s">
        <v>81</v>
      </c>
      <c r="DV285" s="137">
        <f>ROUND(I285*H285,2)</f>
        <v>804.98</v>
      </c>
      <c r="DW285" s="16" t="s">
        <v>95</v>
      </c>
      <c r="DX285" s="136" t="s">
        <v>3030</v>
      </c>
    </row>
    <row r="286" spans="2:128" s="1" customFormat="1" x14ac:dyDescent="0.2">
      <c r="B286" s="31"/>
      <c r="D286" s="138" t="s">
        <v>289</v>
      </c>
      <c r="F286" s="139" t="s">
        <v>3029</v>
      </c>
      <c r="I286" s="140"/>
      <c r="L286" s="31"/>
      <c r="N286" s="213"/>
      <c r="O286" s="214"/>
      <c r="Q286" s="229"/>
      <c r="BX286" s="141"/>
      <c r="CE286" s="50"/>
      <c r="DE286" s="16" t="s">
        <v>289</v>
      </c>
      <c r="DF286" s="16" t="s">
        <v>83</v>
      </c>
    </row>
    <row r="287" spans="2:128" s="1" customFormat="1" ht="14.45" customHeight="1" x14ac:dyDescent="0.2">
      <c r="B287" s="124"/>
      <c r="C287" s="125" t="s">
        <v>1546</v>
      </c>
      <c r="D287" s="125" t="s">
        <v>284</v>
      </c>
      <c r="E287" s="126" t="s">
        <v>3031</v>
      </c>
      <c r="F287" s="127" t="s">
        <v>3032</v>
      </c>
      <c r="G287" s="128" t="s">
        <v>344</v>
      </c>
      <c r="H287" s="129">
        <v>10</v>
      </c>
      <c r="I287" s="130">
        <v>95.015206867000003</v>
      </c>
      <c r="J287" s="131">
        <f>ROUND(I287*H287,2)</f>
        <v>950.15</v>
      </c>
      <c r="K287" s="127" t="s">
        <v>1</v>
      </c>
      <c r="L287" s="268">
        <f>S287</f>
        <v>0</v>
      </c>
      <c r="M287" s="272">
        <f>ROUND(I287*L287,2)</f>
        <v>0</v>
      </c>
      <c r="N287" s="243"/>
      <c r="O287" s="294">
        <f>ROUND(N287*I287,2)</f>
        <v>0</v>
      </c>
      <c r="P287" s="273">
        <f>H287-L287-N287</f>
        <v>10</v>
      </c>
      <c r="Q287" s="287">
        <f>ROUND(P287*I287,2)</f>
        <v>950.15</v>
      </c>
      <c r="R287" s="137"/>
      <c r="S287" s="269">
        <f>W287+Y287+AA287+AC287</f>
        <v>0</v>
      </c>
      <c r="T287" s="269">
        <f>ROUND(S287*I287,2)</f>
        <v>0</v>
      </c>
      <c r="U287" s="269">
        <f>H287-S287</f>
        <v>10</v>
      </c>
      <c r="V287" s="269">
        <f>ROUND(U287*I287,2)</f>
        <v>950.15</v>
      </c>
      <c r="W287" s="269"/>
      <c r="X287" s="269"/>
      <c r="Y287" s="269"/>
      <c r="Z287" s="269"/>
      <c r="AA287" s="269"/>
      <c r="AB287" s="269"/>
      <c r="AC287" s="269"/>
      <c r="AD287" s="269"/>
      <c r="BX287" s="132" t="s">
        <v>1</v>
      </c>
      <c r="BY287" s="133" t="s">
        <v>40</v>
      </c>
      <c r="CA287" s="134">
        <f>BZ287*H287</f>
        <v>0</v>
      </c>
      <c r="CB287" s="134">
        <v>0</v>
      </c>
      <c r="CC287" s="134">
        <f>CB287*H287</f>
        <v>0</v>
      </c>
      <c r="CD287" s="134">
        <v>0</v>
      </c>
      <c r="CE287" s="135">
        <f>CD287*H287</f>
        <v>0</v>
      </c>
      <c r="DC287" s="136" t="s">
        <v>95</v>
      </c>
      <c r="DE287" s="136" t="s">
        <v>284</v>
      </c>
      <c r="DF287" s="136" t="s">
        <v>83</v>
      </c>
      <c r="DJ287" s="16" t="s">
        <v>282</v>
      </c>
      <c r="DP287" s="137">
        <f>IF(BY287="základní",J287,0)</f>
        <v>950.15</v>
      </c>
      <c r="DQ287" s="137">
        <f>IF(BY287="snížená",J287,0)</f>
        <v>0</v>
      </c>
      <c r="DR287" s="137">
        <f>IF(BY287="zákl. přenesená",J287,0)</f>
        <v>0</v>
      </c>
      <c r="DS287" s="137">
        <f>IF(BY287="sníž. přenesená",J287,0)</f>
        <v>0</v>
      </c>
      <c r="DT287" s="137">
        <f>IF(BY287="nulová",J287,0)</f>
        <v>0</v>
      </c>
      <c r="DU287" s="16" t="s">
        <v>81</v>
      </c>
      <c r="DV287" s="137">
        <f>ROUND(I287*H287,2)</f>
        <v>950.15</v>
      </c>
      <c r="DW287" s="16" t="s">
        <v>95</v>
      </c>
      <c r="DX287" s="136" t="s">
        <v>3033</v>
      </c>
    </row>
    <row r="288" spans="2:128" s="1" customFormat="1" x14ac:dyDescent="0.2">
      <c r="B288" s="31"/>
      <c r="D288" s="138" t="s">
        <v>289</v>
      </c>
      <c r="F288" s="139" t="s">
        <v>3032</v>
      </c>
      <c r="I288" s="140"/>
      <c r="L288" s="31"/>
      <c r="N288" s="213"/>
      <c r="O288" s="214"/>
      <c r="Q288" s="229"/>
      <c r="BX288" s="141"/>
      <c r="CE288" s="50"/>
      <c r="DE288" s="16" t="s">
        <v>289</v>
      </c>
      <c r="DF288" s="16" t="s">
        <v>83</v>
      </c>
    </row>
    <row r="289" spans="2:128" s="1" customFormat="1" ht="14.45" customHeight="1" x14ac:dyDescent="0.2">
      <c r="B289" s="124"/>
      <c r="C289" s="125" t="s">
        <v>1551</v>
      </c>
      <c r="D289" s="125" t="s">
        <v>284</v>
      </c>
      <c r="E289" s="126" t="s">
        <v>3034</v>
      </c>
      <c r="F289" s="127" t="s">
        <v>3035</v>
      </c>
      <c r="G289" s="128" t="s">
        <v>344</v>
      </c>
      <c r="H289" s="129">
        <v>20</v>
      </c>
      <c r="I289" s="130">
        <v>73.267134394999999</v>
      </c>
      <c r="J289" s="131">
        <f>ROUND(I289*H289,2)</f>
        <v>1465.34</v>
      </c>
      <c r="K289" s="127" t="s">
        <v>1</v>
      </c>
      <c r="L289" s="268">
        <f>S289</f>
        <v>0</v>
      </c>
      <c r="M289" s="272">
        <f>ROUND(I289*L289,2)</f>
        <v>0</v>
      </c>
      <c r="N289" s="243"/>
      <c r="O289" s="294">
        <f>ROUND(N289*I289,2)</f>
        <v>0</v>
      </c>
      <c r="P289" s="273">
        <f>H289-L289-N289</f>
        <v>20</v>
      </c>
      <c r="Q289" s="287">
        <f>ROUND(P289*I289,2)</f>
        <v>1465.34</v>
      </c>
      <c r="R289" s="137"/>
      <c r="S289" s="269">
        <f>W289+Y289+AA289+AC289</f>
        <v>0</v>
      </c>
      <c r="T289" s="269">
        <f>ROUND(S289*I289,2)</f>
        <v>0</v>
      </c>
      <c r="U289" s="269">
        <f>H289-S289</f>
        <v>20</v>
      </c>
      <c r="V289" s="269">
        <f>ROUND(U289*I289,2)</f>
        <v>1465.34</v>
      </c>
      <c r="W289" s="269"/>
      <c r="X289" s="269"/>
      <c r="Y289" s="269"/>
      <c r="Z289" s="269"/>
      <c r="AA289" s="269"/>
      <c r="AB289" s="269"/>
      <c r="AC289" s="269"/>
      <c r="AD289" s="269"/>
      <c r="BX289" s="132" t="s">
        <v>1</v>
      </c>
      <c r="BY289" s="133" t="s">
        <v>40</v>
      </c>
      <c r="CA289" s="134">
        <f>BZ289*H289</f>
        <v>0</v>
      </c>
      <c r="CB289" s="134">
        <v>0</v>
      </c>
      <c r="CC289" s="134">
        <f>CB289*H289</f>
        <v>0</v>
      </c>
      <c r="CD289" s="134">
        <v>0</v>
      </c>
      <c r="CE289" s="135">
        <f>CD289*H289</f>
        <v>0</v>
      </c>
      <c r="DC289" s="136" t="s">
        <v>95</v>
      </c>
      <c r="DE289" s="136" t="s">
        <v>284</v>
      </c>
      <c r="DF289" s="136" t="s">
        <v>83</v>
      </c>
      <c r="DJ289" s="16" t="s">
        <v>282</v>
      </c>
      <c r="DP289" s="137">
        <f>IF(BY289="základní",J289,0)</f>
        <v>1465.34</v>
      </c>
      <c r="DQ289" s="137">
        <f>IF(BY289="snížená",J289,0)</f>
        <v>0</v>
      </c>
      <c r="DR289" s="137">
        <f>IF(BY289="zákl. přenesená",J289,0)</f>
        <v>0</v>
      </c>
      <c r="DS289" s="137">
        <f>IF(BY289="sníž. přenesená",J289,0)</f>
        <v>0</v>
      </c>
      <c r="DT289" s="137">
        <f>IF(BY289="nulová",J289,0)</f>
        <v>0</v>
      </c>
      <c r="DU289" s="16" t="s">
        <v>81</v>
      </c>
      <c r="DV289" s="137">
        <f>ROUND(I289*H289,2)</f>
        <v>1465.34</v>
      </c>
      <c r="DW289" s="16" t="s">
        <v>95</v>
      </c>
      <c r="DX289" s="136" t="s">
        <v>3036</v>
      </c>
    </row>
    <row r="290" spans="2:128" s="1" customFormat="1" x14ac:dyDescent="0.2">
      <c r="B290" s="31"/>
      <c r="D290" s="138" t="s">
        <v>289</v>
      </c>
      <c r="F290" s="139" t="s">
        <v>3035</v>
      </c>
      <c r="I290" s="140"/>
      <c r="L290" s="31"/>
      <c r="N290" s="213"/>
      <c r="O290" s="214"/>
      <c r="Q290" s="229"/>
      <c r="BX290" s="141"/>
      <c r="CE290" s="50"/>
      <c r="DE290" s="16" t="s">
        <v>289</v>
      </c>
      <c r="DF290" s="16" t="s">
        <v>83</v>
      </c>
    </row>
    <row r="291" spans="2:128" s="1" customFormat="1" ht="14.45" customHeight="1" x14ac:dyDescent="0.2">
      <c r="B291" s="124"/>
      <c r="C291" s="125" t="s">
        <v>1069</v>
      </c>
      <c r="D291" s="125" t="s">
        <v>284</v>
      </c>
      <c r="E291" s="126" t="s">
        <v>3037</v>
      </c>
      <c r="F291" s="127" t="s">
        <v>3038</v>
      </c>
      <c r="G291" s="128" t="s">
        <v>315</v>
      </c>
      <c r="H291" s="129">
        <v>1</v>
      </c>
      <c r="I291" s="130">
        <v>586.98956929000008</v>
      </c>
      <c r="J291" s="131">
        <f>ROUND(I291*H291,2)</f>
        <v>586.99</v>
      </c>
      <c r="K291" s="127" t="s">
        <v>1</v>
      </c>
      <c r="L291" s="268">
        <f>S291</f>
        <v>0</v>
      </c>
      <c r="M291" s="272">
        <f>ROUND(I291*L291,2)</f>
        <v>0</v>
      </c>
      <c r="N291" s="243"/>
      <c r="O291" s="294">
        <f>ROUND(N291*I291,2)</f>
        <v>0</v>
      </c>
      <c r="P291" s="273">
        <f>H291-L291-N291</f>
        <v>1</v>
      </c>
      <c r="Q291" s="287">
        <f>ROUND(P291*I291,2)</f>
        <v>586.99</v>
      </c>
      <c r="R291" s="137"/>
      <c r="S291" s="269">
        <f>W291+Y291+AA291+AC291</f>
        <v>0</v>
      </c>
      <c r="T291" s="269">
        <f>ROUND(S291*I291,2)</f>
        <v>0</v>
      </c>
      <c r="U291" s="269">
        <f>H291-S291</f>
        <v>1</v>
      </c>
      <c r="V291" s="269">
        <f>ROUND(U291*I291,2)</f>
        <v>586.99</v>
      </c>
      <c r="W291" s="269"/>
      <c r="X291" s="269"/>
      <c r="Y291" s="269"/>
      <c r="Z291" s="269"/>
      <c r="AA291" s="269"/>
      <c r="AB291" s="269"/>
      <c r="AC291" s="269"/>
      <c r="AD291" s="269"/>
      <c r="BX291" s="132" t="s">
        <v>1</v>
      </c>
      <c r="BY291" s="133" t="s">
        <v>40</v>
      </c>
      <c r="CA291" s="134">
        <f>BZ291*H291</f>
        <v>0</v>
      </c>
      <c r="CB291" s="134">
        <v>0</v>
      </c>
      <c r="CC291" s="134">
        <f>CB291*H291</f>
        <v>0</v>
      </c>
      <c r="CD291" s="134">
        <v>0</v>
      </c>
      <c r="CE291" s="135">
        <f>CD291*H291</f>
        <v>0</v>
      </c>
      <c r="DC291" s="136" t="s">
        <v>95</v>
      </c>
      <c r="DE291" s="136" t="s">
        <v>284</v>
      </c>
      <c r="DF291" s="136" t="s">
        <v>83</v>
      </c>
      <c r="DJ291" s="16" t="s">
        <v>282</v>
      </c>
      <c r="DP291" s="137">
        <f>IF(BY291="základní",J291,0)</f>
        <v>586.99</v>
      </c>
      <c r="DQ291" s="137">
        <f>IF(BY291="snížená",J291,0)</f>
        <v>0</v>
      </c>
      <c r="DR291" s="137">
        <f>IF(BY291="zákl. přenesená",J291,0)</f>
        <v>0</v>
      </c>
      <c r="DS291" s="137">
        <f>IF(BY291="sníž. přenesená",J291,0)</f>
        <v>0</v>
      </c>
      <c r="DT291" s="137">
        <f>IF(BY291="nulová",J291,0)</f>
        <v>0</v>
      </c>
      <c r="DU291" s="16" t="s">
        <v>81</v>
      </c>
      <c r="DV291" s="137">
        <f>ROUND(I291*H291,2)</f>
        <v>586.99</v>
      </c>
      <c r="DW291" s="16" t="s">
        <v>95</v>
      </c>
      <c r="DX291" s="136" t="s">
        <v>3039</v>
      </c>
    </row>
    <row r="292" spans="2:128" s="1" customFormat="1" x14ac:dyDescent="0.2">
      <c r="B292" s="31"/>
      <c r="D292" s="138" t="s">
        <v>289</v>
      </c>
      <c r="F292" s="139" t="s">
        <v>3038</v>
      </c>
      <c r="I292" s="140"/>
      <c r="L292" s="31"/>
      <c r="N292" s="213"/>
      <c r="O292" s="214"/>
      <c r="Q292" s="229"/>
      <c r="BX292" s="141"/>
      <c r="CE292" s="50"/>
      <c r="DE292" s="16" t="s">
        <v>289</v>
      </c>
      <c r="DF292" s="16" t="s">
        <v>83</v>
      </c>
    </row>
    <row r="293" spans="2:128" s="1" customFormat="1" ht="14.45" customHeight="1" x14ac:dyDescent="0.2">
      <c r="B293" s="124"/>
      <c r="C293" s="125" t="s">
        <v>1555</v>
      </c>
      <c r="D293" s="125" t="s">
        <v>284</v>
      </c>
      <c r="E293" s="126" t="s">
        <v>3040</v>
      </c>
      <c r="F293" s="127" t="s">
        <v>2009</v>
      </c>
      <c r="G293" s="128" t="s">
        <v>315</v>
      </c>
      <c r="H293" s="129">
        <v>40</v>
      </c>
      <c r="I293" s="130">
        <v>36.136278955000002</v>
      </c>
      <c r="J293" s="131">
        <f>ROUND(I293*H293,2)</f>
        <v>1445.45</v>
      </c>
      <c r="K293" s="127" t="s">
        <v>1</v>
      </c>
      <c r="L293" s="268">
        <f>S293</f>
        <v>0</v>
      </c>
      <c r="M293" s="272">
        <f>ROUND(I293*L293,2)</f>
        <v>0</v>
      </c>
      <c r="N293" s="243"/>
      <c r="O293" s="294">
        <f>ROUND(N293*I293,2)</f>
        <v>0</v>
      </c>
      <c r="P293" s="273">
        <f>H293-L293-N293</f>
        <v>40</v>
      </c>
      <c r="Q293" s="287">
        <f>ROUND(P293*I293,2)</f>
        <v>1445.45</v>
      </c>
      <c r="R293" s="137"/>
      <c r="S293" s="269">
        <f>W293+Y293+AA293+AC293</f>
        <v>0</v>
      </c>
      <c r="T293" s="269">
        <f>ROUND(S293*I293,2)</f>
        <v>0</v>
      </c>
      <c r="U293" s="269">
        <f>H293-S293</f>
        <v>40</v>
      </c>
      <c r="V293" s="269">
        <f>ROUND(U293*I293,2)</f>
        <v>1445.45</v>
      </c>
      <c r="W293" s="269"/>
      <c r="X293" s="269"/>
      <c r="Y293" s="269"/>
      <c r="Z293" s="269"/>
      <c r="AA293" s="269"/>
      <c r="AB293" s="269"/>
      <c r="AC293" s="269"/>
      <c r="AD293" s="269"/>
      <c r="BX293" s="132" t="s">
        <v>1</v>
      </c>
      <c r="BY293" s="133" t="s">
        <v>40</v>
      </c>
      <c r="CA293" s="134">
        <f>BZ293*H293</f>
        <v>0</v>
      </c>
      <c r="CB293" s="134">
        <v>0</v>
      </c>
      <c r="CC293" s="134">
        <f>CB293*H293</f>
        <v>0</v>
      </c>
      <c r="CD293" s="134">
        <v>0</v>
      </c>
      <c r="CE293" s="135">
        <f>CD293*H293</f>
        <v>0</v>
      </c>
      <c r="DC293" s="136" t="s">
        <v>95</v>
      </c>
      <c r="DE293" s="136" t="s">
        <v>284</v>
      </c>
      <c r="DF293" s="136" t="s">
        <v>83</v>
      </c>
      <c r="DJ293" s="16" t="s">
        <v>282</v>
      </c>
      <c r="DP293" s="137">
        <f>IF(BY293="základní",J293,0)</f>
        <v>1445.45</v>
      </c>
      <c r="DQ293" s="137">
        <f>IF(BY293="snížená",J293,0)</f>
        <v>0</v>
      </c>
      <c r="DR293" s="137">
        <f>IF(BY293="zákl. přenesená",J293,0)</f>
        <v>0</v>
      </c>
      <c r="DS293" s="137">
        <f>IF(BY293="sníž. přenesená",J293,0)</f>
        <v>0</v>
      </c>
      <c r="DT293" s="137">
        <f>IF(BY293="nulová",J293,0)</f>
        <v>0</v>
      </c>
      <c r="DU293" s="16" t="s">
        <v>81</v>
      </c>
      <c r="DV293" s="137">
        <f>ROUND(I293*H293,2)</f>
        <v>1445.45</v>
      </c>
      <c r="DW293" s="16" t="s">
        <v>95</v>
      </c>
      <c r="DX293" s="136" t="s">
        <v>3041</v>
      </c>
    </row>
    <row r="294" spans="2:128" s="1" customFormat="1" x14ac:dyDescent="0.2">
      <c r="B294" s="31"/>
      <c r="D294" s="138" t="s">
        <v>289</v>
      </c>
      <c r="F294" s="139" t="s">
        <v>2009</v>
      </c>
      <c r="I294" s="140"/>
      <c r="L294" s="31"/>
      <c r="N294" s="213"/>
      <c r="O294" s="214"/>
      <c r="Q294" s="229"/>
      <c r="BX294" s="141"/>
      <c r="CE294" s="50"/>
      <c r="DE294" s="16" t="s">
        <v>289</v>
      </c>
      <c r="DF294" s="16" t="s">
        <v>83</v>
      </c>
    </row>
    <row r="295" spans="2:128" s="10" customFormat="1" ht="22.9" customHeight="1" x14ac:dyDescent="0.2">
      <c r="B295" s="112"/>
      <c r="D295" s="113" t="s">
        <v>73</v>
      </c>
      <c r="E295" s="122" t="s">
        <v>3090</v>
      </c>
      <c r="F295" s="122" t="s">
        <v>3042</v>
      </c>
      <c r="I295" s="115"/>
      <c r="J295" s="123">
        <f>DV295</f>
        <v>4761.82</v>
      </c>
      <c r="L295" s="112"/>
      <c r="M295" s="270">
        <f>SUM(M296:M302)</f>
        <v>0</v>
      </c>
      <c r="N295" s="301"/>
      <c r="O295" s="302">
        <f t="shared" ref="O295:V295" si="6">SUM(O296:O302)</f>
        <v>0</v>
      </c>
      <c r="P295" s="270"/>
      <c r="Q295" s="288">
        <f t="shared" si="6"/>
        <v>4761.82</v>
      </c>
      <c r="R295" s="270"/>
      <c r="S295" s="270"/>
      <c r="T295" s="270">
        <f t="shared" si="6"/>
        <v>0</v>
      </c>
      <c r="U295" s="270"/>
      <c r="V295" s="270">
        <f t="shared" si="6"/>
        <v>4761.82</v>
      </c>
      <c r="BX295" s="117"/>
      <c r="CA295" s="118">
        <f>SUM(CA296:CA303)</f>
        <v>0</v>
      </c>
      <c r="CC295" s="118">
        <f>SUM(CC296:CC303)</f>
        <v>0</v>
      </c>
      <c r="CE295" s="119">
        <f>SUM(CE296:CE303)</f>
        <v>0</v>
      </c>
      <c r="DC295" s="113" t="s">
        <v>81</v>
      </c>
      <c r="DE295" s="120" t="s">
        <v>73</v>
      </c>
      <c r="DF295" s="120" t="s">
        <v>81</v>
      </c>
      <c r="DJ295" s="113" t="s">
        <v>282</v>
      </c>
      <c r="DV295" s="121">
        <f>SUM(DV296:DV303)</f>
        <v>4761.82</v>
      </c>
    </row>
    <row r="296" spans="2:128" s="1" customFormat="1" ht="24.2" customHeight="1" x14ac:dyDescent="0.2">
      <c r="B296" s="124"/>
      <c r="C296" s="125" t="s">
        <v>1557</v>
      </c>
      <c r="D296" s="125" t="s">
        <v>284</v>
      </c>
      <c r="E296" s="126" t="s">
        <v>3043</v>
      </c>
      <c r="F296" s="127" t="s">
        <v>3044</v>
      </c>
      <c r="G296" s="128" t="s">
        <v>315</v>
      </c>
      <c r="H296" s="129">
        <v>1</v>
      </c>
      <c r="I296" s="130">
        <v>994.57648500000005</v>
      </c>
      <c r="J296" s="131">
        <f>ROUND(I296*H296,2)</f>
        <v>994.58</v>
      </c>
      <c r="K296" s="127" t="s">
        <v>1</v>
      </c>
      <c r="L296" s="268">
        <f>S296</f>
        <v>0</v>
      </c>
      <c r="M296" s="272">
        <f>ROUND(I296*L296,2)</f>
        <v>0</v>
      </c>
      <c r="N296" s="243"/>
      <c r="O296" s="294">
        <f>ROUND(N296*I296,2)</f>
        <v>0</v>
      </c>
      <c r="P296" s="273">
        <f>H296-L296-N296</f>
        <v>1</v>
      </c>
      <c r="Q296" s="287">
        <f>ROUND(P296*I296,2)</f>
        <v>994.58</v>
      </c>
      <c r="R296" s="137"/>
      <c r="S296" s="269">
        <f>W296+Y296+AA296+AC296</f>
        <v>0</v>
      </c>
      <c r="T296" s="269">
        <f>ROUND(S296*I296,2)</f>
        <v>0</v>
      </c>
      <c r="U296" s="269">
        <f>H296-S296</f>
        <v>1</v>
      </c>
      <c r="V296" s="269">
        <f>ROUND(U296*I296,2)</f>
        <v>994.58</v>
      </c>
      <c r="W296" s="269"/>
      <c r="X296" s="269"/>
      <c r="Y296" s="269"/>
      <c r="Z296" s="269"/>
      <c r="AA296" s="269"/>
      <c r="AB296" s="269"/>
      <c r="AC296" s="269"/>
      <c r="AD296" s="269"/>
      <c r="BX296" s="132" t="s">
        <v>1</v>
      </c>
      <c r="BY296" s="133" t="s">
        <v>40</v>
      </c>
      <c r="CA296" s="134">
        <f>BZ296*H296</f>
        <v>0</v>
      </c>
      <c r="CB296" s="134">
        <v>0</v>
      </c>
      <c r="CC296" s="134">
        <f>CB296*H296</f>
        <v>0</v>
      </c>
      <c r="CD296" s="134">
        <v>0</v>
      </c>
      <c r="CE296" s="135">
        <f>CD296*H296</f>
        <v>0</v>
      </c>
      <c r="DC296" s="136" t="s">
        <v>95</v>
      </c>
      <c r="DE296" s="136" t="s">
        <v>284</v>
      </c>
      <c r="DF296" s="136" t="s">
        <v>83</v>
      </c>
      <c r="DJ296" s="16" t="s">
        <v>282</v>
      </c>
      <c r="DP296" s="137">
        <f>IF(BY296="základní",J296,0)</f>
        <v>994.58</v>
      </c>
      <c r="DQ296" s="137">
        <f>IF(BY296="snížená",J296,0)</f>
        <v>0</v>
      </c>
      <c r="DR296" s="137">
        <f>IF(BY296="zákl. přenesená",J296,0)</f>
        <v>0</v>
      </c>
      <c r="DS296" s="137">
        <f>IF(BY296="sníž. přenesená",J296,0)</f>
        <v>0</v>
      </c>
      <c r="DT296" s="137">
        <f>IF(BY296="nulová",J296,0)</f>
        <v>0</v>
      </c>
      <c r="DU296" s="16" t="s">
        <v>81</v>
      </c>
      <c r="DV296" s="137">
        <f>ROUND(I296*H296,2)</f>
        <v>994.58</v>
      </c>
      <c r="DW296" s="16" t="s">
        <v>95</v>
      </c>
      <c r="DX296" s="136" t="s">
        <v>3045</v>
      </c>
    </row>
    <row r="297" spans="2:128" s="1" customFormat="1" ht="19.5" x14ac:dyDescent="0.2">
      <c r="B297" s="31"/>
      <c r="D297" s="138" t="s">
        <v>289</v>
      </c>
      <c r="F297" s="139" t="s">
        <v>3044</v>
      </c>
      <c r="I297" s="140"/>
      <c r="L297" s="31"/>
      <c r="N297" s="213"/>
      <c r="O297" s="214"/>
      <c r="Q297" s="229"/>
      <c r="BX297" s="141"/>
      <c r="CE297" s="50"/>
      <c r="DE297" s="16" t="s">
        <v>289</v>
      </c>
      <c r="DF297" s="16" t="s">
        <v>83</v>
      </c>
    </row>
    <row r="298" spans="2:128" s="1" customFormat="1" ht="14.45" customHeight="1" x14ac:dyDescent="0.2">
      <c r="B298" s="124"/>
      <c r="C298" s="125" t="s">
        <v>1559</v>
      </c>
      <c r="D298" s="125" t="s">
        <v>284</v>
      </c>
      <c r="E298" s="126" t="s">
        <v>3046</v>
      </c>
      <c r="F298" s="127" t="s">
        <v>3047</v>
      </c>
      <c r="G298" s="128" t="s">
        <v>315</v>
      </c>
      <c r="H298" s="129">
        <v>1</v>
      </c>
      <c r="I298" s="130">
        <v>563.59334149999995</v>
      </c>
      <c r="J298" s="131">
        <f>ROUND(I298*H298,2)</f>
        <v>563.59</v>
      </c>
      <c r="K298" s="127" t="s">
        <v>1</v>
      </c>
      <c r="L298" s="268">
        <f>S298</f>
        <v>0</v>
      </c>
      <c r="M298" s="272">
        <f>ROUND(I298*L298,2)</f>
        <v>0</v>
      </c>
      <c r="N298" s="243"/>
      <c r="O298" s="294">
        <f>ROUND(N298*I298,2)</f>
        <v>0</v>
      </c>
      <c r="P298" s="273">
        <f>H298-L298-N298</f>
        <v>1</v>
      </c>
      <c r="Q298" s="287">
        <f>ROUND(P298*I298,2)</f>
        <v>563.59</v>
      </c>
      <c r="R298" s="137"/>
      <c r="S298" s="269">
        <f>W298+Y298+AA298+AC298</f>
        <v>0</v>
      </c>
      <c r="T298" s="269">
        <f>ROUND(S298*I298,2)</f>
        <v>0</v>
      </c>
      <c r="U298" s="269">
        <f>H298-S298</f>
        <v>1</v>
      </c>
      <c r="V298" s="269">
        <f>ROUND(U298*I298,2)</f>
        <v>563.59</v>
      </c>
      <c r="W298" s="269"/>
      <c r="X298" s="269"/>
      <c r="Y298" s="269"/>
      <c r="Z298" s="269"/>
      <c r="AA298" s="269"/>
      <c r="AB298" s="269"/>
      <c r="AC298" s="269"/>
      <c r="AD298" s="269"/>
      <c r="BX298" s="132" t="s">
        <v>1</v>
      </c>
      <c r="BY298" s="133" t="s">
        <v>40</v>
      </c>
      <c r="CA298" s="134">
        <f>BZ298*H298</f>
        <v>0</v>
      </c>
      <c r="CB298" s="134">
        <v>0</v>
      </c>
      <c r="CC298" s="134">
        <f>CB298*H298</f>
        <v>0</v>
      </c>
      <c r="CD298" s="134">
        <v>0</v>
      </c>
      <c r="CE298" s="135">
        <f>CD298*H298</f>
        <v>0</v>
      </c>
      <c r="DC298" s="136" t="s">
        <v>95</v>
      </c>
      <c r="DE298" s="136" t="s">
        <v>284</v>
      </c>
      <c r="DF298" s="136" t="s">
        <v>83</v>
      </c>
      <c r="DJ298" s="16" t="s">
        <v>282</v>
      </c>
      <c r="DP298" s="137">
        <f>IF(BY298="základní",J298,0)</f>
        <v>563.59</v>
      </c>
      <c r="DQ298" s="137">
        <f>IF(BY298="snížená",J298,0)</f>
        <v>0</v>
      </c>
      <c r="DR298" s="137">
        <f>IF(BY298="zákl. přenesená",J298,0)</f>
        <v>0</v>
      </c>
      <c r="DS298" s="137">
        <f>IF(BY298="sníž. přenesená",J298,0)</f>
        <v>0</v>
      </c>
      <c r="DT298" s="137">
        <f>IF(BY298="nulová",J298,0)</f>
        <v>0</v>
      </c>
      <c r="DU298" s="16" t="s">
        <v>81</v>
      </c>
      <c r="DV298" s="137">
        <f>ROUND(I298*H298,2)</f>
        <v>563.59</v>
      </c>
      <c r="DW298" s="16" t="s">
        <v>95</v>
      </c>
      <c r="DX298" s="136" t="s">
        <v>3048</v>
      </c>
    </row>
    <row r="299" spans="2:128" s="1" customFormat="1" x14ac:dyDescent="0.2">
      <c r="B299" s="31"/>
      <c r="D299" s="138" t="s">
        <v>289</v>
      </c>
      <c r="F299" s="139" t="s">
        <v>3047</v>
      </c>
      <c r="I299" s="140"/>
      <c r="L299" s="31"/>
      <c r="N299" s="213"/>
      <c r="O299" s="214"/>
      <c r="Q299" s="229"/>
      <c r="BX299" s="141"/>
      <c r="CE299" s="50"/>
      <c r="DE299" s="16" t="s">
        <v>289</v>
      </c>
      <c r="DF299" s="16" t="s">
        <v>83</v>
      </c>
    </row>
    <row r="300" spans="2:128" s="1" customFormat="1" ht="14.45" customHeight="1" x14ac:dyDescent="0.2">
      <c r="B300" s="124"/>
      <c r="C300" s="125" t="s">
        <v>1560</v>
      </c>
      <c r="D300" s="125" t="s">
        <v>284</v>
      </c>
      <c r="E300" s="126" t="s">
        <v>3049</v>
      </c>
      <c r="F300" s="127" t="s">
        <v>3050</v>
      </c>
      <c r="G300" s="128" t="s">
        <v>315</v>
      </c>
      <c r="H300" s="129">
        <v>1</v>
      </c>
      <c r="I300" s="130">
        <v>805.60695284999997</v>
      </c>
      <c r="J300" s="131">
        <f>ROUND(I300*H300,2)</f>
        <v>805.61</v>
      </c>
      <c r="K300" s="127" t="s">
        <v>1</v>
      </c>
      <c r="L300" s="268">
        <f>S300</f>
        <v>0</v>
      </c>
      <c r="M300" s="272">
        <f>ROUND(I300*L300,2)</f>
        <v>0</v>
      </c>
      <c r="N300" s="243"/>
      <c r="O300" s="294">
        <f>ROUND(N300*I300,2)</f>
        <v>0</v>
      </c>
      <c r="P300" s="273">
        <f>H300-L300-N300</f>
        <v>1</v>
      </c>
      <c r="Q300" s="287">
        <f>ROUND(P300*I300,2)</f>
        <v>805.61</v>
      </c>
      <c r="R300" s="137"/>
      <c r="S300" s="269">
        <f>W300+Y300+AA300+AC300</f>
        <v>0</v>
      </c>
      <c r="T300" s="269">
        <f>ROUND(S300*I300,2)</f>
        <v>0</v>
      </c>
      <c r="U300" s="269">
        <f>H300-S300</f>
        <v>1</v>
      </c>
      <c r="V300" s="269">
        <f>ROUND(U300*I300,2)</f>
        <v>805.61</v>
      </c>
      <c r="W300" s="269"/>
      <c r="X300" s="269"/>
      <c r="Y300" s="269"/>
      <c r="Z300" s="269"/>
      <c r="AA300" s="269"/>
      <c r="AB300" s="269"/>
      <c r="AC300" s="269"/>
      <c r="AD300" s="269"/>
      <c r="BX300" s="132" t="s">
        <v>1</v>
      </c>
      <c r="BY300" s="133" t="s">
        <v>40</v>
      </c>
      <c r="CA300" s="134">
        <f>BZ300*H300</f>
        <v>0</v>
      </c>
      <c r="CB300" s="134">
        <v>0</v>
      </c>
      <c r="CC300" s="134">
        <f>CB300*H300</f>
        <v>0</v>
      </c>
      <c r="CD300" s="134">
        <v>0</v>
      </c>
      <c r="CE300" s="135">
        <f>CD300*H300</f>
        <v>0</v>
      </c>
      <c r="DC300" s="136" t="s">
        <v>95</v>
      </c>
      <c r="DE300" s="136" t="s">
        <v>284</v>
      </c>
      <c r="DF300" s="136" t="s">
        <v>83</v>
      </c>
      <c r="DJ300" s="16" t="s">
        <v>282</v>
      </c>
      <c r="DP300" s="137">
        <f>IF(BY300="základní",J300,0)</f>
        <v>805.61</v>
      </c>
      <c r="DQ300" s="137">
        <f>IF(BY300="snížená",J300,0)</f>
        <v>0</v>
      </c>
      <c r="DR300" s="137">
        <f>IF(BY300="zákl. přenesená",J300,0)</f>
        <v>0</v>
      </c>
      <c r="DS300" s="137">
        <f>IF(BY300="sníž. přenesená",J300,0)</f>
        <v>0</v>
      </c>
      <c r="DT300" s="137">
        <f>IF(BY300="nulová",J300,0)</f>
        <v>0</v>
      </c>
      <c r="DU300" s="16" t="s">
        <v>81</v>
      </c>
      <c r="DV300" s="137">
        <f>ROUND(I300*H300,2)</f>
        <v>805.61</v>
      </c>
      <c r="DW300" s="16" t="s">
        <v>95</v>
      </c>
      <c r="DX300" s="136" t="s">
        <v>3051</v>
      </c>
    </row>
    <row r="301" spans="2:128" s="1" customFormat="1" x14ac:dyDescent="0.2">
      <c r="B301" s="31"/>
      <c r="D301" s="138" t="s">
        <v>289</v>
      </c>
      <c r="F301" s="139" t="s">
        <v>3050</v>
      </c>
      <c r="I301" s="140"/>
      <c r="L301" s="31"/>
      <c r="N301" s="213"/>
      <c r="O301" s="214"/>
      <c r="Q301" s="229"/>
      <c r="BX301" s="141"/>
      <c r="CE301" s="50"/>
      <c r="DE301" s="16" t="s">
        <v>289</v>
      </c>
      <c r="DF301" s="16" t="s">
        <v>83</v>
      </c>
    </row>
    <row r="302" spans="2:128" s="1" customFormat="1" ht="14.45" customHeight="1" x14ac:dyDescent="0.2">
      <c r="B302" s="124"/>
      <c r="C302" s="125" t="s">
        <v>1561</v>
      </c>
      <c r="D302" s="125" t="s">
        <v>284</v>
      </c>
      <c r="E302" s="126" t="s">
        <v>3052</v>
      </c>
      <c r="F302" s="127" t="s">
        <v>3053</v>
      </c>
      <c r="G302" s="128" t="s">
        <v>315</v>
      </c>
      <c r="H302" s="129">
        <v>1</v>
      </c>
      <c r="I302" s="130">
        <v>2398.0375712190003</v>
      </c>
      <c r="J302" s="131">
        <f>ROUND(I302*H302,2)</f>
        <v>2398.04</v>
      </c>
      <c r="K302" s="127" t="s">
        <v>1</v>
      </c>
      <c r="L302" s="268">
        <f>S302</f>
        <v>0</v>
      </c>
      <c r="M302" s="272">
        <f>ROUND(I302*L302,2)</f>
        <v>0</v>
      </c>
      <c r="N302" s="243"/>
      <c r="O302" s="294">
        <f>ROUND(N302*I302,2)</f>
        <v>0</v>
      </c>
      <c r="P302" s="273">
        <f>H302-L302-N302</f>
        <v>1</v>
      </c>
      <c r="Q302" s="287">
        <f>ROUND(P302*I302,2)</f>
        <v>2398.04</v>
      </c>
      <c r="R302" s="137"/>
      <c r="S302" s="269">
        <f>W302+Y302+AA302+AC302</f>
        <v>0</v>
      </c>
      <c r="T302" s="269">
        <f>ROUND(S302*I302,2)</f>
        <v>0</v>
      </c>
      <c r="U302" s="269">
        <f>H302-S302</f>
        <v>1</v>
      </c>
      <c r="V302" s="269">
        <f>ROUND(U302*I302,2)</f>
        <v>2398.04</v>
      </c>
      <c r="W302" s="269"/>
      <c r="X302" s="269"/>
      <c r="Y302" s="269"/>
      <c r="Z302" s="269"/>
      <c r="AA302" s="269"/>
      <c r="AB302" s="269"/>
      <c r="AC302" s="269"/>
      <c r="AD302" s="269"/>
      <c r="BX302" s="132" t="s">
        <v>1</v>
      </c>
      <c r="BY302" s="133" t="s">
        <v>40</v>
      </c>
      <c r="CA302" s="134">
        <f>BZ302*H302</f>
        <v>0</v>
      </c>
      <c r="CB302" s="134">
        <v>0</v>
      </c>
      <c r="CC302" s="134">
        <f>CB302*H302</f>
        <v>0</v>
      </c>
      <c r="CD302" s="134">
        <v>0</v>
      </c>
      <c r="CE302" s="135">
        <f>CD302*H302</f>
        <v>0</v>
      </c>
      <c r="DC302" s="136" t="s">
        <v>95</v>
      </c>
      <c r="DE302" s="136" t="s">
        <v>284</v>
      </c>
      <c r="DF302" s="136" t="s">
        <v>83</v>
      </c>
      <c r="DJ302" s="16" t="s">
        <v>282</v>
      </c>
      <c r="DP302" s="137">
        <f>IF(BY302="základní",J302,0)</f>
        <v>2398.04</v>
      </c>
      <c r="DQ302" s="137">
        <f>IF(BY302="snížená",J302,0)</f>
        <v>0</v>
      </c>
      <c r="DR302" s="137">
        <f>IF(BY302="zákl. přenesená",J302,0)</f>
        <v>0</v>
      </c>
      <c r="DS302" s="137">
        <f>IF(BY302="sníž. přenesená",J302,0)</f>
        <v>0</v>
      </c>
      <c r="DT302" s="137">
        <f>IF(BY302="nulová",J302,0)</f>
        <v>0</v>
      </c>
      <c r="DU302" s="16" t="s">
        <v>81</v>
      </c>
      <c r="DV302" s="137">
        <f>ROUND(I302*H302,2)</f>
        <v>2398.04</v>
      </c>
      <c r="DW302" s="16" t="s">
        <v>95</v>
      </c>
      <c r="DX302" s="136" t="s">
        <v>3054</v>
      </c>
    </row>
    <row r="303" spans="2:128" s="1" customFormat="1" x14ac:dyDescent="0.2">
      <c r="B303" s="31"/>
      <c r="D303" s="138" t="s">
        <v>289</v>
      </c>
      <c r="F303" s="139" t="s">
        <v>3053</v>
      </c>
      <c r="I303" s="140"/>
      <c r="L303" s="31"/>
      <c r="N303" s="213"/>
      <c r="O303" s="214"/>
      <c r="Q303" s="229"/>
      <c r="BX303" s="141"/>
      <c r="CE303" s="50"/>
      <c r="DE303" s="16" t="s">
        <v>289</v>
      </c>
      <c r="DF303" s="16" t="s">
        <v>83</v>
      </c>
    </row>
    <row r="304" spans="2:128" s="10" customFormat="1" ht="22.9" customHeight="1" x14ac:dyDescent="0.2">
      <c r="B304" s="112"/>
      <c r="D304" s="113" t="s">
        <v>73</v>
      </c>
      <c r="E304" s="122" t="s">
        <v>3091</v>
      </c>
      <c r="F304" s="122" t="s">
        <v>2035</v>
      </c>
      <c r="I304" s="115"/>
      <c r="J304" s="123">
        <f>DV304</f>
        <v>105131.48000000001</v>
      </c>
      <c r="L304" s="112"/>
      <c r="M304" s="270">
        <f>SUM(M305:M313)</f>
        <v>0</v>
      </c>
      <c r="N304" s="301"/>
      <c r="O304" s="302">
        <f t="shared" ref="O304:V304" si="7">SUM(O305:O313)</f>
        <v>0</v>
      </c>
      <c r="P304" s="270"/>
      <c r="Q304" s="288">
        <f t="shared" si="7"/>
        <v>105131.48000000001</v>
      </c>
      <c r="R304" s="270"/>
      <c r="S304" s="270"/>
      <c r="T304" s="270">
        <f t="shared" si="7"/>
        <v>0</v>
      </c>
      <c r="U304" s="270"/>
      <c r="V304" s="270">
        <f t="shared" si="7"/>
        <v>105131.48000000001</v>
      </c>
      <c r="BX304" s="117"/>
      <c r="CA304" s="118">
        <f>SUM(CA305:CA314)</f>
        <v>0</v>
      </c>
      <c r="CC304" s="118">
        <f>SUM(CC305:CC314)</f>
        <v>0</v>
      </c>
      <c r="CE304" s="119">
        <f>SUM(CE305:CE314)</f>
        <v>0</v>
      </c>
      <c r="DC304" s="113" t="s">
        <v>81</v>
      </c>
      <c r="DE304" s="120" t="s">
        <v>73</v>
      </c>
      <c r="DF304" s="120" t="s">
        <v>81</v>
      </c>
      <c r="DJ304" s="113" t="s">
        <v>282</v>
      </c>
      <c r="DV304" s="121">
        <f>SUM(DV305:DV314)</f>
        <v>105131.48000000001</v>
      </c>
    </row>
    <row r="305" spans="2:128" s="1" customFormat="1" ht="14.45" customHeight="1" x14ac:dyDescent="0.2">
      <c r="B305" s="124"/>
      <c r="C305" s="125" t="s">
        <v>1562</v>
      </c>
      <c r="D305" s="125" t="s">
        <v>284</v>
      </c>
      <c r="E305" s="126" t="s">
        <v>3056</v>
      </c>
      <c r="F305" s="127" t="s">
        <v>3057</v>
      </c>
      <c r="G305" s="128" t="s">
        <v>331</v>
      </c>
      <c r="H305" s="129">
        <v>46</v>
      </c>
      <c r="I305" s="130">
        <v>909.32707200000004</v>
      </c>
      <c r="J305" s="131">
        <f>ROUND(I305*H305,2)</f>
        <v>41829.050000000003</v>
      </c>
      <c r="K305" s="127" t="s">
        <v>1</v>
      </c>
      <c r="L305" s="268">
        <f>S305</f>
        <v>0</v>
      </c>
      <c r="M305" s="272">
        <f>ROUND(I305*L305,2)</f>
        <v>0</v>
      </c>
      <c r="N305" s="243"/>
      <c r="O305" s="294">
        <f>ROUND(N305*I305,2)</f>
        <v>0</v>
      </c>
      <c r="P305" s="273">
        <f>H305-L305-N305</f>
        <v>46</v>
      </c>
      <c r="Q305" s="287">
        <f>ROUND(P305*I305,2)</f>
        <v>41829.050000000003</v>
      </c>
      <c r="R305" s="137"/>
      <c r="S305" s="269">
        <f>W305+Y305+AA305+AC305</f>
        <v>0</v>
      </c>
      <c r="T305" s="269">
        <f>ROUND(S305*I305,2)</f>
        <v>0</v>
      </c>
      <c r="U305" s="269">
        <f>H305-S305</f>
        <v>46</v>
      </c>
      <c r="V305" s="269">
        <f>ROUND(U305*I305,2)</f>
        <v>41829.050000000003</v>
      </c>
      <c r="W305" s="269"/>
      <c r="X305" s="269"/>
      <c r="Y305" s="269"/>
      <c r="Z305" s="269"/>
      <c r="AA305" s="269"/>
      <c r="AB305" s="269"/>
      <c r="AC305" s="269"/>
      <c r="AD305" s="269"/>
      <c r="BX305" s="132" t="s">
        <v>1</v>
      </c>
      <c r="BY305" s="133" t="s">
        <v>40</v>
      </c>
      <c r="CA305" s="134">
        <f>BZ305*H305</f>
        <v>0</v>
      </c>
      <c r="CB305" s="134">
        <v>0</v>
      </c>
      <c r="CC305" s="134">
        <f>CB305*H305</f>
        <v>0</v>
      </c>
      <c r="CD305" s="134">
        <v>0</v>
      </c>
      <c r="CE305" s="135">
        <f>CD305*H305</f>
        <v>0</v>
      </c>
      <c r="DC305" s="136" t="s">
        <v>95</v>
      </c>
      <c r="DE305" s="136" t="s">
        <v>284</v>
      </c>
      <c r="DF305" s="136" t="s">
        <v>83</v>
      </c>
      <c r="DJ305" s="16" t="s">
        <v>282</v>
      </c>
      <c r="DP305" s="137">
        <f>IF(BY305="základní",J305,0)</f>
        <v>41829.050000000003</v>
      </c>
      <c r="DQ305" s="137">
        <f>IF(BY305="snížená",J305,0)</f>
        <v>0</v>
      </c>
      <c r="DR305" s="137">
        <f>IF(BY305="zákl. přenesená",J305,0)</f>
        <v>0</v>
      </c>
      <c r="DS305" s="137">
        <f>IF(BY305="sníž. přenesená",J305,0)</f>
        <v>0</v>
      </c>
      <c r="DT305" s="137">
        <f>IF(BY305="nulová",J305,0)</f>
        <v>0</v>
      </c>
      <c r="DU305" s="16" t="s">
        <v>81</v>
      </c>
      <c r="DV305" s="137">
        <f>ROUND(I305*H305,2)</f>
        <v>41829.050000000003</v>
      </c>
      <c r="DW305" s="16" t="s">
        <v>95</v>
      </c>
      <c r="DX305" s="136" t="s">
        <v>3058</v>
      </c>
    </row>
    <row r="306" spans="2:128" s="1" customFormat="1" x14ac:dyDescent="0.2">
      <c r="B306" s="31"/>
      <c r="D306" s="138" t="s">
        <v>289</v>
      </c>
      <c r="F306" s="139" t="s">
        <v>3057</v>
      </c>
      <c r="I306" s="140"/>
      <c r="L306" s="31"/>
      <c r="N306" s="213"/>
      <c r="O306" s="214"/>
      <c r="Q306" s="229"/>
      <c r="BX306" s="141"/>
      <c r="CE306" s="50"/>
      <c r="DE306" s="16" t="s">
        <v>289</v>
      </c>
      <c r="DF306" s="16" t="s">
        <v>83</v>
      </c>
    </row>
    <row r="307" spans="2:128" s="1" customFormat="1" ht="14.45" customHeight="1" x14ac:dyDescent="0.2">
      <c r="B307" s="124"/>
      <c r="C307" s="125" t="s">
        <v>1563</v>
      </c>
      <c r="D307" s="125" t="s">
        <v>284</v>
      </c>
      <c r="E307" s="126" t="s">
        <v>3059</v>
      </c>
      <c r="F307" s="127" t="s">
        <v>3060</v>
      </c>
      <c r="G307" s="128" t="s">
        <v>331</v>
      </c>
      <c r="H307" s="129">
        <v>26</v>
      </c>
      <c r="I307" s="130">
        <v>1136.6588400000001</v>
      </c>
      <c r="J307" s="131">
        <f>ROUND(I307*H307,2)</f>
        <v>29553.13</v>
      </c>
      <c r="K307" s="127" t="s">
        <v>1</v>
      </c>
      <c r="L307" s="268">
        <f>S307</f>
        <v>0</v>
      </c>
      <c r="M307" s="272">
        <f>ROUND(I307*L307,2)</f>
        <v>0</v>
      </c>
      <c r="N307" s="243"/>
      <c r="O307" s="294">
        <f>ROUND(N307*I307,2)</f>
        <v>0</v>
      </c>
      <c r="P307" s="273">
        <f>H307-L307-N307</f>
        <v>26</v>
      </c>
      <c r="Q307" s="287">
        <f>ROUND(P307*I307,2)</f>
        <v>29553.13</v>
      </c>
      <c r="R307" s="137"/>
      <c r="S307" s="269">
        <f>W307+Y307+AA307+AC307</f>
        <v>0</v>
      </c>
      <c r="T307" s="269">
        <f>ROUND(S307*I307,2)</f>
        <v>0</v>
      </c>
      <c r="U307" s="269">
        <f>H307-S307</f>
        <v>26</v>
      </c>
      <c r="V307" s="269">
        <f>ROUND(U307*I307,2)</f>
        <v>29553.13</v>
      </c>
      <c r="W307" s="269"/>
      <c r="X307" s="269"/>
      <c r="Y307" s="269"/>
      <c r="Z307" s="269"/>
      <c r="AA307" s="269"/>
      <c r="AB307" s="269"/>
      <c r="AC307" s="269"/>
      <c r="AD307" s="269"/>
      <c r="BX307" s="132" t="s">
        <v>1</v>
      </c>
      <c r="BY307" s="133" t="s">
        <v>40</v>
      </c>
      <c r="CA307" s="134">
        <f>BZ307*H307</f>
        <v>0</v>
      </c>
      <c r="CB307" s="134">
        <v>0</v>
      </c>
      <c r="CC307" s="134">
        <f>CB307*H307</f>
        <v>0</v>
      </c>
      <c r="CD307" s="134">
        <v>0</v>
      </c>
      <c r="CE307" s="135">
        <f>CD307*H307</f>
        <v>0</v>
      </c>
      <c r="DC307" s="136" t="s">
        <v>95</v>
      </c>
      <c r="DE307" s="136" t="s">
        <v>284</v>
      </c>
      <c r="DF307" s="136" t="s">
        <v>83</v>
      </c>
      <c r="DJ307" s="16" t="s">
        <v>282</v>
      </c>
      <c r="DP307" s="137">
        <f>IF(BY307="základní",J307,0)</f>
        <v>29553.13</v>
      </c>
      <c r="DQ307" s="137">
        <f>IF(BY307="snížená",J307,0)</f>
        <v>0</v>
      </c>
      <c r="DR307" s="137">
        <f>IF(BY307="zákl. přenesená",J307,0)</f>
        <v>0</v>
      </c>
      <c r="DS307" s="137">
        <f>IF(BY307="sníž. přenesená",J307,0)</f>
        <v>0</v>
      </c>
      <c r="DT307" s="137">
        <f>IF(BY307="nulová",J307,0)</f>
        <v>0</v>
      </c>
      <c r="DU307" s="16" t="s">
        <v>81</v>
      </c>
      <c r="DV307" s="137">
        <f>ROUND(I307*H307,2)</f>
        <v>29553.13</v>
      </c>
      <c r="DW307" s="16" t="s">
        <v>95</v>
      </c>
      <c r="DX307" s="136" t="s">
        <v>3061</v>
      </c>
    </row>
    <row r="308" spans="2:128" s="1" customFormat="1" x14ac:dyDescent="0.2">
      <c r="B308" s="31"/>
      <c r="D308" s="138" t="s">
        <v>289</v>
      </c>
      <c r="F308" s="139" t="s">
        <v>3060</v>
      </c>
      <c r="I308" s="140"/>
      <c r="L308" s="31"/>
      <c r="N308" s="213"/>
      <c r="O308" s="214"/>
      <c r="Q308" s="229"/>
      <c r="BX308" s="141"/>
      <c r="CE308" s="50"/>
      <c r="DE308" s="16" t="s">
        <v>289</v>
      </c>
      <c r="DF308" s="16" t="s">
        <v>83</v>
      </c>
    </row>
    <row r="309" spans="2:128" s="1" customFormat="1" ht="14.45" customHeight="1" x14ac:dyDescent="0.2">
      <c r="B309" s="124"/>
      <c r="C309" s="125" t="s">
        <v>1566</v>
      </c>
      <c r="D309" s="125" t="s">
        <v>284</v>
      </c>
      <c r="E309" s="126" t="s">
        <v>3062</v>
      </c>
      <c r="F309" s="127" t="s">
        <v>3063</v>
      </c>
      <c r="G309" s="128" t="s">
        <v>1948</v>
      </c>
      <c r="H309" s="129">
        <v>1</v>
      </c>
      <c r="I309" s="130">
        <v>7890.3067810000002</v>
      </c>
      <c r="J309" s="131">
        <f>ROUND(I309*H309,2)</f>
        <v>7890.31</v>
      </c>
      <c r="K309" s="127" t="s">
        <v>1</v>
      </c>
      <c r="L309" s="268">
        <f>S309</f>
        <v>0</v>
      </c>
      <c r="M309" s="272">
        <f>ROUND(I309*L309,2)</f>
        <v>0</v>
      </c>
      <c r="N309" s="243"/>
      <c r="O309" s="294">
        <f>ROUND(N309*I309,2)</f>
        <v>0</v>
      </c>
      <c r="P309" s="273">
        <f>H309-L309-N309</f>
        <v>1</v>
      </c>
      <c r="Q309" s="287">
        <f>ROUND(P309*I309,2)</f>
        <v>7890.31</v>
      </c>
      <c r="R309" s="137"/>
      <c r="S309" s="269">
        <f>W309+Y309+AA309+AC309</f>
        <v>0</v>
      </c>
      <c r="T309" s="269">
        <f>ROUND(S309*I309,2)</f>
        <v>0</v>
      </c>
      <c r="U309" s="269">
        <f>H309-S309</f>
        <v>1</v>
      </c>
      <c r="V309" s="269">
        <f>ROUND(U309*I309,2)</f>
        <v>7890.31</v>
      </c>
      <c r="W309" s="269"/>
      <c r="X309" s="269"/>
      <c r="Y309" s="269"/>
      <c r="Z309" s="269"/>
      <c r="AA309" s="269"/>
      <c r="AB309" s="269"/>
      <c r="AC309" s="269"/>
      <c r="AD309" s="269"/>
      <c r="BX309" s="132" t="s">
        <v>1</v>
      </c>
      <c r="BY309" s="133" t="s">
        <v>40</v>
      </c>
      <c r="CA309" s="134">
        <f>BZ309*H309</f>
        <v>0</v>
      </c>
      <c r="CB309" s="134">
        <v>0</v>
      </c>
      <c r="CC309" s="134">
        <f>CB309*H309</f>
        <v>0</v>
      </c>
      <c r="CD309" s="134">
        <v>0</v>
      </c>
      <c r="CE309" s="135">
        <f>CD309*H309</f>
        <v>0</v>
      </c>
      <c r="DC309" s="136" t="s">
        <v>95</v>
      </c>
      <c r="DE309" s="136" t="s">
        <v>284</v>
      </c>
      <c r="DF309" s="136" t="s">
        <v>83</v>
      </c>
      <c r="DJ309" s="16" t="s">
        <v>282</v>
      </c>
      <c r="DP309" s="137">
        <f>IF(BY309="základní",J309,0)</f>
        <v>7890.31</v>
      </c>
      <c r="DQ309" s="137">
        <f>IF(BY309="snížená",J309,0)</f>
        <v>0</v>
      </c>
      <c r="DR309" s="137">
        <f>IF(BY309="zákl. přenesená",J309,0)</f>
        <v>0</v>
      </c>
      <c r="DS309" s="137">
        <f>IF(BY309="sníž. přenesená",J309,0)</f>
        <v>0</v>
      </c>
      <c r="DT309" s="137">
        <f>IF(BY309="nulová",J309,0)</f>
        <v>0</v>
      </c>
      <c r="DU309" s="16" t="s">
        <v>81</v>
      </c>
      <c r="DV309" s="137">
        <f>ROUND(I309*H309,2)</f>
        <v>7890.31</v>
      </c>
      <c r="DW309" s="16" t="s">
        <v>95</v>
      </c>
      <c r="DX309" s="136" t="s">
        <v>3064</v>
      </c>
    </row>
    <row r="310" spans="2:128" s="1" customFormat="1" x14ac:dyDescent="0.2">
      <c r="B310" s="31"/>
      <c r="D310" s="138" t="s">
        <v>289</v>
      </c>
      <c r="F310" s="139" t="s">
        <v>3063</v>
      </c>
      <c r="I310" s="140"/>
      <c r="L310" s="31"/>
      <c r="N310" s="213"/>
      <c r="O310" s="214"/>
      <c r="Q310" s="229"/>
      <c r="BX310" s="141"/>
      <c r="CE310" s="50"/>
      <c r="DE310" s="16" t="s">
        <v>289</v>
      </c>
      <c r="DF310" s="16" t="s">
        <v>83</v>
      </c>
    </row>
    <row r="311" spans="2:128" s="1" customFormat="1" ht="14.45" customHeight="1" x14ac:dyDescent="0.2">
      <c r="B311" s="124"/>
      <c r="C311" s="125" t="s">
        <v>1568</v>
      </c>
      <c r="D311" s="125" t="s">
        <v>284</v>
      </c>
      <c r="E311" s="126" t="s">
        <v>3065</v>
      </c>
      <c r="F311" s="127" t="s">
        <v>2037</v>
      </c>
      <c r="G311" s="128" t="s">
        <v>331</v>
      </c>
      <c r="H311" s="129">
        <v>12</v>
      </c>
      <c r="I311" s="130">
        <v>615.69020499999999</v>
      </c>
      <c r="J311" s="131">
        <f>ROUND(I311*H311,2)</f>
        <v>7388.28</v>
      </c>
      <c r="K311" s="127" t="s">
        <v>1</v>
      </c>
      <c r="L311" s="268">
        <f>S311</f>
        <v>0</v>
      </c>
      <c r="M311" s="272">
        <f>ROUND(I311*L311,2)</f>
        <v>0</v>
      </c>
      <c r="N311" s="243"/>
      <c r="O311" s="294">
        <f>ROUND(N311*I311,2)</f>
        <v>0</v>
      </c>
      <c r="P311" s="273">
        <f>H311-L311-N311</f>
        <v>12</v>
      </c>
      <c r="Q311" s="287">
        <f>ROUND(P311*I311,2)</f>
        <v>7388.28</v>
      </c>
      <c r="R311" s="137"/>
      <c r="S311" s="269">
        <f>W311+Y311+AA311+AC311</f>
        <v>0</v>
      </c>
      <c r="T311" s="269">
        <f>ROUND(S311*I311,2)</f>
        <v>0</v>
      </c>
      <c r="U311" s="269">
        <f>H311-S311</f>
        <v>12</v>
      </c>
      <c r="V311" s="269">
        <f>ROUND(U311*I311,2)</f>
        <v>7388.28</v>
      </c>
      <c r="W311" s="269"/>
      <c r="X311" s="269"/>
      <c r="Y311" s="269"/>
      <c r="Z311" s="269"/>
      <c r="AA311" s="269"/>
      <c r="AB311" s="269"/>
      <c r="AC311" s="269"/>
      <c r="AD311" s="269"/>
      <c r="BX311" s="132" t="s">
        <v>1</v>
      </c>
      <c r="BY311" s="133" t="s">
        <v>40</v>
      </c>
      <c r="CA311" s="134">
        <f>BZ311*H311</f>
        <v>0</v>
      </c>
      <c r="CB311" s="134">
        <v>0</v>
      </c>
      <c r="CC311" s="134">
        <f>CB311*H311</f>
        <v>0</v>
      </c>
      <c r="CD311" s="134">
        <v>0</v>
      </c>
      <c r="CE311" s="135">
        <f>CD311*H311</f>
        <v>0</v>
      </c>
      <c r="DC311" s="136" t="s">
        <v>95</v>
      </c>
      <c r="DE311" s="136" t="s">
        <v>284</v>
      </c>
      <c r="DF311" s="136" t="s">
        <v>83</v>
      </c>
      <c r="DJ311" s="16" t="s">
        <v>282</v>
      </c>
      <c r="DP311" s="137">
        <f>IF(BY311="základní",J311,0)</f>
        <v>7388.28</v>
      </c>
      <c r="DQ311" s="137">
        <f>IF(BY311="snížená",J311,0)</f>
        <v>0</v>
      </c>
      <c r="DR311" s="137">
        <f>IF(BY311="zákl. přenesená",J311,0)</f>
        <v>0</v>
      </c>
      <c r="DS311" s="137">
        <f>IF(BY311="sníž. přenesená",J311,0)</f>
        <v>0</v>
      </c>
      <c r="DT311" s="137">
        <f>IF(BY311="nulová",J311,0)</f>
        <v>0</v>
      </c>
      <c r="DU311" s="16" t="s">
        <v>81</v>
      </c>
      <c r="DV311" s="137">
        <f>ROUND(I311*H311,2)</f>
        <v>7388.28</v>
      </c>
      <c r="DW311" s="16" t="s">
        <v>95</v>
      </c>
      <c r="DX311" s="136" t="s">
        <v>3066</v>
      </c>
    </row>
    <row r="312" spans="2:128" s="1" customFormat="1" x14ac:dyDescent="0.2">
      <c r="B312" s="31"/>
      <c r="D312" s="138" t="s">
        <v>289</v>
      </c>
      <c r="F312" s="139" t="s">
        <v>2037</v>
      </c>
      <c r="I312" s="140"/>
      <c r="L312" s="31"/>
      <c r="N312" s="213"/>
      <c r="O312" s="214"/>
      <c r="Q312" s="229"/>
      <c r="BX312" s="141"/>
      <c r="CE312" s="50"/>
      <c r="DE312" s="16" t="s">
        <v>289</v>
      </c>
      <c r="DF312" s="16" t="s">
        <v>83</v>
      </c>
    </row>
    <row r="313" spans="2:128" s="1" customFormat="1" ht="14.45" customHeight="1" x14ac:dyDescent="0.2">
      <c r="B313" s="124"/>
      <c r="C313" s="125" t="s">
        <v>1569</v>
      </c>
      <c r="D313" s="125" t="s">
        <v>284</v>
      </c>
      <c r="E313" s="126" t="s">
        <v>3067</v>
      </c>
      <c r="F313" s="127" t="s">
        <v>2039</v>
      </c>
      <c r="G313" s="128" t="s">
        <v>331</v>
      </c>
      <c r="H313" s="129">
        <v>30</v>
      </c>
      <c r="I313" s="130">
        <v>615.69020499999999</v>
      </c>
      <c r="J313" s="131">
        <f>ROUND(I313*H313,2)</f>
        <v>18470.71</v>
      </c>
      <c r="K313" s="127" t="s">
        <v>1</v>
      </c>
      <c r="L313" s="268">
        <f>S313</f>
        <v>0</v>
      </c>
      <c r="M313" s="272">
        <f>ROUND(I313*L313,2)</f>
        <v>0</v>
      </c>
      <c r="N313" s="243"/>
      <c r="O313" s="294">
        <f>ROUND(N313*I313,2)</f>
        <v>0</v>
      </c>
      <c r="P313" s="273">
        <f>H313-L313-N313</f>
        <v>30</v>
      </c>
      <c r="Q313" s="287">
        <f>ROUND(P313*I313,2)</f>
        <v>18470.71</v>
      </c>
      <c r="R313" s="137"/>
      <c r="S313" s="269">
        <f>W313+Y313+AA313+AC313</f>
        <v>0</v>
      </c>
      <c r="T313" s="269">
        <f>ROUND(S313*I313,2)</f>
        <v>0</v>
      </c>
      <c r="U313" s="269">
        <f>H313-S313</f>
        <v>30</v>
      </c>
      <c r="V313" s="269">
        <f>ROUND(U313*I313,2)</f>
        <v>18470.71</v>
      </c>
      <c r="W313" s="269"/>
      <c r="X313" s="269"/>
      <c r="Y313" s="269"/>
      <c r="Z313" s="269"/>
      <c r="AA313" s="269"/>
      <c r="AB313" s="269"/>
      <c r="AC313" s="269"/>
      <c r="AD313" s="269"/>
      <c r="BX313" s="132" t="s">
        <v>1</v>
      </c>
      <c r="BY313" s="133" t="s">
        <v>40</v>
      </c>
      <c r="CA313" s="134">
        <f>BZ313*H313</f>
        <v>0</v>
      </c>
      <c r="CB313" s="134">
        <v>0</v>
      </c>
      <c r="CC313" s="134">
        <f>CB313*H313</f>
        <v>0</v>
      </c>
      <c r="CD313" s="134">
        <v>0</v>
      </c>
      <c r="CE313" s="135">
        <f>CD313*H313</f>
        <v>0</v>
      </c>
      <c r="DC313" s="136" t="s">
        <v>95</v>
      </c>
      <c r="DE313" s="136" t="s">
        <v>284</v>
      </c>
      <c r="DF313" s="136" t="s">
        <v>83</v>
      </c>
      <c r="DJ313" s="16" t="s">
        <v>282</v>
      </c>
      <c r="DP313" s="137">
        <f>IF(BY313="základní",J313,0)</f>
        <v>18470.71</v>
      </c>
      <c r="DQ313" s="137">
        <f>IF(BY313="snížená",J313,0)</f>
        <v>0</v>
      </c>
      <c r="DR313" s="137">
        <f>IF(BY313="zákl. přenesená",J313,0)</f>
        <v>0</v>
      </c>
      <c r="DS313" s="137">
        <f>IF(BY313="sníž. přenesená",J313,0)</f>
        <v>0</v>
      </c>
      <c r="DT313" s="137">
        <f>IF(BY313="nulová",J313,0)</f>
        <v>0</v>
      </c>
      <c r="DU313" s="16" t="s">
        <v>81</v>
      </c>
      <c r="DV313" s="137">
        <f>ROUND(I313*H313,2)</f>
        <v>18470.71</v>
      </c>
      <c r="DW313" s="16" t="s">
        <v>95</v>
      </c>
      <c r="DX313" s="136" t="s">
        <v>3068</v>
      </c>
    </row>
    <row r="314" spans="2:128" s="1" customFormat="1" x14ac:dyDescent="0.2">
      <c r="B314" s="31"/>
      <c r="D314" s="138" t="s">
        <v>289</v>
      </c>
      <c r="F314" s="139" t="s">
        <v>2039</v>
      </c>
      <c r="I314" s="140"/>
      <c r="L314" s="31"/>
      <c r="N314" s="213"/>
      <c r="O314" s="214"/>
      <c r="Q314" s="229"/>
      <c r="BX314" s="141"/>
      <c r="CE314" s="50"/>
      <c r="DE314" s="16" t="s">
        <v>289</v>
      </c>
      <c r="DF314" s="16" t="s">
        <v>83</v>
      </c>
    </row>
    <row r="315" spans="2:128" s="10" customFormat="1" ht="22.9" customHeight="1" x14ac:dyDescent="0.2">
      <c r="B315" s="112"/>
      <c r="D315" s="113" t="s">
        <v>73</v>
      </c>
      <c r="E315" s="122" t="s">
        <v>3069</v>
      </c>
      <c r="F315" s="122" t="s">
        <v>3070</v>
      </c>
      <c r="I315" s="115"/>
      <c r="J315" s="123">
        <f>DV315</f>
        <v>14009.32</v>
      </c>
      <c r="L315" s="112"/>
      <c r="M315" s="270">
        <f>SUM(M316:M320)</f>
        <v>0</v>
      </c>
      <c r="N315" s="301"/>
      <c r="O315" s="302">
        <f t="shared" ref="O315:V315" si="8">SUM(O316:O320)</f>
        <v>0</v>
      </c>
      <c r="P315" s="270"/>
      <c r="Q315" s="288">
        <f t="shared" si="8"/>
        <v>14009.32</v>
      </c>
      <c r="R315" s="270"/>
      <c r="S315" s="270"/>
      <c r="T315" s="270">
        <f t="shared" si="8"/>
        <v>0</v>
      </c>
      <c r="U315" s="270"/>
      <c r="V315" s="270">
        <f t="shared" si="8"/>
        <v>14009.32</v>
      </c>
      <c r="BX315" s="117"/>
      <c r="CA315" s="118">
        <f>SUM(CA316:CA321)</f>
        <v>0</v>
      </c>
      <c r="CC315" s="118">
        <f>SUM(CC316:CC321)</f>
        <v>0</v>
      </c>
      <c r="CE315" s="119">
        <f>SUM(CE316:CE321)</f>
        <v>0</v>
      </c>
      <c r="DC315" s="113" t="s">
        <v>95</v>
      </c>
      <c r="DE315" s="120" t="s">
        <v>73</v>
      </c>
      <c r="DF315" s="120" t="s">
        <v>81</v>
      </c>
      <c r="DJ315" s="113" t="s">
        <v>282</v>
      </c>
      <c r="DV315" s="121">
        <f>SUM(DV316:DV321)</f>
        <v>14009.32</v>
      </c>
    </row>
    <row r="316" spans="2:128" s="1" customFormat="1" ht="14.45" customHeight="1" x14ac:dyDescent="0.2">
      <c r="B316" s="124"/>
      <c r="C316" s="125" t="s">
        <v>1570</v>
      </c>
      <c r="D316" s="125" t="s">
        <v>284</v>
      </c>
      <c r="E316" s="126" t="s">
        <v>3071</v>
      </c>
      <c r="F316" s="127" t="s">
        <v>2043</v>
      </c>
      <c r="G316" s="128" t="s">
        <v>1948</v>
      </c>
      <c r="H316" s="129">
        <v>1</v>
      </c>
      <c r="I316" s="130">
        <v>1468.1843349999999</v>
      </c>
      <c r="J316" s="131">
        <f>ROUND(I316*H316,2)</f>
        <v>1468.18</v>
      </c>
      <c r="K316" s="127" t="s">
        <v>1</v>
      </c>
      <c r="L316" s="268">
        <f>S316</f>
        <v>0</v>
      </c>
      <c r="M316" s="272">
        <f>ROUND(I316*L316,2)</f>
        <v>0</v>
      </c>
      <c r="N316" s="243"/>
      <c r="O316" s="294">
        <f>ROUND(N316*I316,2)</f>
        <v>0</v>
      </c>
      <c r="P316" s="273">
        <f>H316-L316-N316</f>
        <v>1</v>
      </c>
      <c r="Q316" s="287">
        <f>ROUND(P316*I316,2)</f>
        <v>1468.18</v>
      </c>
      <c r="R316" s="137"/>
      <c r="S316" s="269">
        <f>W316+Y316+AA316+AC316</f>
        <v>0</v>
      </c>
      <c r="T316" s="269">
        <f>ROUND(S316*I316,2)</f>
        <v>0</v>
      </c>
      <c r="U316" s="269">
        <f>H316-S316</f>
        <v>1</v>
      </c>
      <c r="V316" s="269">
        <f>ROUND(U316*I316,2)</f>
        <v>1468.18</v>
      </c>
      <c r="W316" s="269"/>
      <c r="X316" s="269"/>
      <c r="Y316" s="269"/>
      <c r="Z316" s="269"/>
      <c r="AA316" s="269"/>
      <c r="AB316" s="269"/>
      <c r="AC316" s="269"/>
      <c r="AD316" s="269"/>
      <c r="BX316" s="132" t="s">
        <v>1</v>
      </c>
      <c r="BY316" s="133" t="s">
        <v>40</v>
      </c>
      <c r="CA316" s="134">
        <f>BZ316*H316</f>
        <v>0</v>
      </c>
      <c r="CB316" s="134">
        <v>0</v>
      </c>
      <c r="CC316" s="134">
        <f>CB316*H316</f>
        <v>0</v>
      </c>
      <c r="CD316" s="134">
        <v>0</v>
      </c>
      <c r="CE316" s="135">
        <f>CD316*H316</f>
        <v>0</v>
      </c>
      <c r="DC316" s="136" t="s">
        <v>95</v>
      </c>
      <c r="DE316" s="136" t="s">
        <v>284</v>
      </c>
      <c r="DF316" s="136" t="s">
        <v>83</v>
      </c>
      <c r="DJ316" s="16" t="s">
        <v>282</v>
      </c>
      <c r="DP316" s="137">
        <f>IF(BY316="základní",J316,0)</f>
        <v>1468.18</v>
      </c>
      <c r="DQ316" s="137">
        <f>IF(BY316="snížená",J316,0)</f>
        <v>0</v>
      </c>
      <c r="DR316" s="137">
        <f>IF(BY316="zákl. přenesená",J316,0)</f>
        <v>0</v>
      </c>
      <c r="DS316" s="137">
        <f>IF(BY316="sníž. přenesená",J316,0)</f>
        <v>0</v>
      </c>
      <c r="DT316" s="137">
        <f>IF(BY316="nulová",J316,0)</f>
        <v>0</v>
      </c>
      <c r="DU316" s="16" t="s">
        <v>81</v>
      </c>
      <c r="DV316" s="137">
        <f>ROUND(I316*H316,2)</f>
        <v>1468.18</v>
      </c>
      <c r="DW316" s="16" t="s">
        <v>95</v>
      </c>
      <c r="DX316" s="136" t="s">
        <v>3092</v>
      </c>
    </row>
    <row r="317" spans="2:128" s="1" customFormat="1" x14ac:dyDescent="0.2">
      <c r="B317" s="31"/>
      <c r="D317" s="138" t="s">
        <v>289</v>
      </c>
      <c r="F317" s="139" t="s">
        <v>2043</v>
      </c>
      <c r="I317" s="140"/>
      <c r="L317" s="31"/>
      <c r="N317" s="213"/>
      <c r="O317" s="214"/>
      <c r="Q317" s="229"/>
      <c r="BX317" s="141"/>
      <c r="CE317" s="50"/>
      <c r="DE317" s="16" t="s">
        <v>289</v>
      </c>
      <c r="DF317" s="16" t="s">
        <v>83</v>
      </c>
    </row>
    <row r="318" spans="2:128" s="1" customFormat="1" ht="14.45" customHeight="1" x14ac:dyDescent="0.2">
      <c r="B318" s="124"/>
      <c r="C318" s="125" t="s">
        <v>1571</v>
      </c>
      <c r="D318" s="125" t="s">
        <v>284</v>
      </c>
      <c r="E318" s="126" t="s">
        <v>3073</v>
      </c>
      <c r="F318" s="127" t="s">
        <v>3074</v>
      </c>
      <c r="G318" s="128" t="s">
        <v>1948</v>
      </c>
      <c r="H318" s="129">
        <v>1</v>
      </c>
      <c r="I318" s="130">
        <v>3362.6157349999999</v>
      </c>
      <c r="J318" s="131">
        <f>ROUND(I318*H318,2)</f>
        <v>3362.62</v>
      </c>
      <c r="K318" s="127" t="s">
        <v>1</v>
      </c>
      <c r="L318" s="268">
        <f>S318</f>
        <v>0</v>
      </c>
      <c r="M318" s="272">
        <f>ROUND(I318*L318,2)</f>
        <v>0</v>
      </c>
      <c r="N318" s="243"/>
      <c r="O318" s="294">
        <f>ROUND(N318*I318,2)</f>
        <v>0</v>
      </c>
      <c r="P318" s="273">
        <f>H318-L318-N318</f>
        <v>1</v>
      </c>
      <c r="Q318" s="287">
        <f>ROUND(P318*I318,2)</f>
        <v>3362.62</v>
      </c>
      <c r="R318" s="137"/>
      <c r="S318" s="269">
        <f>W318+Y318+AA318+AC318</f>
        <v>0</v>
      </c>
      <c r="T318" s="269">
        <f>ROUND(S318*I318,2)</f>
        <v>0</v>
      </c>
      <c r="U318" s="269">
        <f>H318-S318</f>
        <v>1</v>
      </c>
      <c r="V318" s="269">
        <f>ROUND(U318*I318,2)</f>
        <v>3362.62</v>
      </c>
      <c r="W318" s="269"/>
      <c r="X318" s="269"/>
      <c r="Y318" s="269"/>
      <c r="Z318" s="269"/>
      <c r="AA318" s="269"/>
      <c r="AB318" s="269"/>
      <c r="AC318" s="269"/>
      <c r="AD318" s="269"/>
      <c r="BX318" s="132" t="s">
        <v>1</v>
      </c>
      <c r="BY318" s="133" t="s">
        <v>40</v>
      </c>
      <c r="CA318" s="134">
        <f>BZ318*H318</f>
        <v>0</v>
      </c>
      <c r="CB318" s="134">
        <v>0</v>
      </c>
      <c r="CC318" s="134">
        <f>CB318*H318</f>
        <v>0</v>
      </c>
      <c r="CD318" s="134">
        <v>0</v>
      </c>
      <c r="CE318" s="135">
        <f>CD318*H318</f>
        <v>0</v>
      </c>
      <c r="DC318" s="136" t="s">
        <v>95</v>
      </c>
      <c r="DE318" s="136" t="s">
        <v>284</v>
      </c>
      <c r="DF318" s="136" t="s">
        <v>83</v>
      </c>
      <c r="DJ318" s="16" t="s">
        <v>282</v>
      </c>
      <c r="DP318" s="137">
        <f>IF(BY318="základní",J318,0)</f>
        <v>3362.62</v>
      </c>
      <c r="DQ318" s="137">
        <f>IF(BY318="snížená",J318,0)</f>
        <v>0</v>
      </c>
      <c r="DR318" s="137">
        <f>IF(BY318="zákl. přenesená",J318,0)</f>
        <v>0</v>
      </c>
      <c r="DS318" s="137">
        <f>IF(BY318="sníž. přenesená",J318,0)</f>
        <v>0</v>
      </c>
      <c r="DT318" s="137">
        <f>IF(BY318="nulová",J318,0)</f>
        <v>0</v>
      </c>
      <c r="DU318" s="16" t="s">
        <v>81</v>
      </c>
      <c r="DV318" s="137">
        <f>ROUND(I318*H318,2)</f>
        <v>3362.62</v>
      </c>
      <c r="DW318" s="16" t="s">
        <v>95</v>
      </c>
      <c r="DX318" s="136" t="s">
        <v>3093</v>
      </c>
    </row>
    <row r="319" spans="2:128" s="1" customFormat="1" x14ac:dyDescent="0.2">
      <c r="B319" s="31"/>
      <c r="D319" s="138" t="s">
        <v>289</v>
      </c>
      <c r="F319" s="139" t="s">
        <v>3074</v>
      </c>
      <c r="I319" s="140"/>
      <c r="L319" s="31"/>
      <c r="N319" s="213"/>
      <c r="O319" s="214"/>
      <c r="Q319" s="229"/>
      <c r="BX319" s="141"/>
      <c r="CE319" s="50"/>
      <c r="DE319" s="16" t="s">
        <v>289</v>
      </c>
      <c r="DF319" s="16" t="s">
        <v>83</v>
      </c>
    </row>
    <row r="320" spans="2:128" s="1" customFormat="1" ht="14.45" customHeight="1" x14ac:dyDescent="0.2">
      <c r="B320" s="124"/>
      <c r="C320" s="125" t="s">
        <v>2606</v>
      </c>
      <c r="D320" s="125" t="s">
        <v>284</v>
      </c>
      <c r="E320" s="126" t="s">
        <v>3076</v>
      </c>
      <c r="F320" s="127" t="s">
        <v>3077</v>
      </c>
      <c r="G320" s="128" t="s">
        <v>1948</v>
      </c>
      <c r="H320" s="129">
        <v>1</v>
      </c>
      <c r="I320" s="130">
        <v>9178.520133</v>
      </c>
      <c r="J320" s="131">
        <f>ROUND(I320*H320,2)</f>
        <v>9178.52</v>
      </c>
      <c r="K320" s="127" t="s">
        <v>1</v>
      </c>
      <c r="L320" s="268">
        <f>S320</f>
        <v>0</v>
      </c>
      <c r="M320" s="272">
        <f>ROUND(I320*L320,2)</f>
        <v>0</v>
      </c>
      <c r="N320" s="243"/>
      <c r="O320" s="294">
        <f>ROUND(N320*I320,2)</f>
        <v>0</v>
      </c>
      <c r="P320" s="273">
        <f>H320-L320-N320</f>
        <v>1</v>
      </c>
      <c r="Q320" s="287">
        <f>ROUND(P320*I320,2)</f>
        <v>9178.52</v>
      </c>
      <c r="R320" s="137"/>
      <c r="S320" s="269">
        <f>W320+Y320+AA320+AC320</f>
        <v>0</v>
      </c>
      <c r="T320" s="269">
        <f>ROUND(S320*I320,2)</f>
        <v>0</v>
      </c>
      <c r="U320" s="269">
        <f>H320-S320</f>
        <v>1</v>
      </c>
      <c r="V320" s="269">
        <f>ROUND(U320*I320,2)</f>
        <v>9178.52</v>
      </c>
      <c r="W320" s="269"/>
      <c r="X320" s="269"/>
      <c r="Y320" s="269"/>
      <c r="Z320" s="269"/>
      <c r="AA320" s="269"/>
      <c r="AB320" s="269"/>
      <c r="AC320" s="269"/>
      <c r="AD320" s="269"/>
      <c r="BX320" s="132" t="s">
        <v>1</v>
      </c>
      <c r="BY320" s="133" t="s">
        <v>40</v>
      </c>
      <c r="CA320" s="134">
        <f>BZ320*H320</f>
        <v>0</v>
      </c>
      <c r="CB320" s="134">
        <v>0</v>
      </c>
      <c r="CC320" s="134">
        <f>CB320*H320</f>
        <v>0</v>
      </c>
      <c r="CD320" s="134">
        <v>0</v>
      </c>
      <c r="CE320" s="135">
        <f>CD320*H320</f>
        <v>0</v>
      </c>
      <c r="DC320" s="136" t="s">
        <v>95</v>
      </c>
      <c r="DE320" s="136" t="s">
        <v>284</v>
      </c>
      <c r="DF320" s="136" t="s">
        <v>83</v>
      </c>
      <c r="DJ320" s="16" t="s">
        <v>282</v>
      </c>
      <c r="DP320" s="137">
        <f>IF(BY320="základní",J320,0)</f>
        <v>9178.52</v>
      </c>
      <c r="DQ320" s="137">
        <f>IF(BY320="snížená",J320,0)</f>
        <v>0</v>
      </c>
      <c r="DR320" s="137">
        <f>IF(BY320="zákl. přenesená",J320,0)</f>
        <v>0</v>
      </c>
      <c r="DS320" s="137">
        <f>IF(BY320="sníž. přenesená",J320,0)</f>
        <v>0</v>
      </c>
      <c r="DT320" s="137">
        <f>IF(BY320="nulová",J320,0)</f>
        <v>0</v>
      </c>
      <c r="DU320" s="16" t="s">
        <v>81</v>
      </c>
      <c r="DV320" s="137">
        <f>ROUND(I320*H320,2)</f>
        <v>9178.52</v>
      </c>
      <c r="DW320" s="16" t="s">
        <v>95</v>
      </c>
      <c r="DX320" s="136" t="s">
        <v>3094</v>
      </c>
    </row>
    <row r="321" spans="2:110" s="1" customFormat="1" x14ac:dyDescent="0.2">
      <c r="B321" s="31"/>
      <c r="D321" s="138" t="s">
        <v>289</v>
      </c>
      <c r="F321" s="139" t="s">
        <v>3077</v>
      </c>
      <c r="I321" s="140"/>
      <c r="L321" s="31"/>
      <c r="N321" s="213"/>
      <c r="O321" s="214"/>
      <c r="Q321" s="229"/>
      <c r="BX321" s="187"/>
      <c r="BY321" s="184"/>
      <c r="BZ321" s="184"/>
      <c r="CA321" s="184"/>
      <c r="CB321" s="184"/>
      <c r="CC321" s="184"/>
      <c r="CD321" s="184"/>
      <c r="CE321" s="188"/>
      <c r="DE321" s="16" t="s">
        <v>289</v>
      </c>
      <c r="DF321" s="16" t="s">
        <v>83</v>
      </c>
    </row>
    <row r="322" spans="2:110" s="1" customFormat="1" ht="6.95" customHeight="1" thickBot="1" x14ac:dyDescent="0.25">
      <c r="B322" s="43"/>
      <c r="C322" s="44"/>
      <c r="D322" s="44"/>
      <c r="E322" s="44"/>
      <c r="F322" s="44"/>
      <c r="G322" s="44"/>
      <c r="H322" s="44"/>
      <c r="I322" s="44"/>
      <c r="J322" s="44"/>
      <c r="K322" s="44"/>
      <c r="L322" s="235"/>
      <c r="M322" s="237"/>
      <c r="N322" s="239"/>
      <c r="O322" s="240"/>
      <c r="P322" s="238"/>
      <c r="Q322" s="241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</row>
  </sheetData>
  <autoFilter ref="C122:K321"/>
  <mergeCells count="23">
    <mergeCell ref="U123:V123"/>
    <mergeCell ref="W123:X123"/>
    <mergeCell ref="Y123:Z123"/>
    <mergeCell ref="AA123:AB123"/>
    <mergeCell ref="AC123:AD123"/>
    <mergeCell ref="L122:Q122"/>
    <mergeCell ref="L123:M123"/>
    <mergeCell ref="N123:O123"/>
    <mergeCell ref="P123:Q123"/>
    <mergeCell ref="S123:T123"/>
    <mergeCell ref="G121:K121"/>
    <mergeCell ref="E118:H118"/>
    <mergeCell ref="L2:CG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R325"/>
  <sheetViews>
    <sheetView windowProtection="1" showGridLines="0" topLeftCell="K114" zoomScale="80" zoomScaleNormal="80" workbookViewId="0">
      <selection activeCell="W127" sqref="W127:AD32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60.83203125" customWidth="1"/>
    <col min="7" max="7" width="7.5" customWidth="1"/>
    <col min="8" max="8" width="11.5" customWidth="1"/>
    <col min="9" max="11" width="20.1640625" customWidth="1"/>
    <col min="12" max="43" width="14.33203125" customWidth="1"/>
    <col min="44" max="44" width="10.83203125" customWidth="1"/>
    <col min="46" max="51" width="14.1640625" customWidth="1"/>
    <col min="52" max="52" width="16.33203125" customWidth="1"/>
    <col min="53" max="53" width="12.33203125" customWidth="1"/>
    <col min="54" max="54" width="16.33203125" customWidth="1"/>
    <col min="55" max="55" width="12.33203125" customWidth="1"/>
    <col min="56" max="56" width="15" customWidth="1"/>
    <col min="57" max="57" width="11" customWidth="1"/>
    <col min="58" max="58" width="15" customWidth="1"/>
    <col min="59" max="59" width="16.33203125" customWidth="1"/>
    <col min="60" max="60" width="11" customWidth="1"/>
    <col min="61" max="61" width="15" customWidth="1"/>
    <col min="62" max="62" width="16.33203125" customWidth="1"/>
    <col min="75" max="96" width="9.33203125" hidden="1"/>
  </cols>
  <sheetData>
    <row r="1" spans="2:77" hidden="1" x14ac:dyDescent="0.2"/>
    <row r="2" spans="2:77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Y2" s="16" t="s">
        <v>226</v>
      </c>
    </row>
    <row r="3" spans="2:77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BY3" s="16" t="s">
        <v>83</v>
      </c>
    </row>
    <row r="4" spans="2:77" ht="24.95" hidden="1" customHeight="1" x14ac:dyDescent="0.2">
      <c r="B4" s="19"/>
      <c r="D4" s="20" t="s">
        <v>243</v>
      </c>
      <c r="L4" s="19"/>
      <c r="AR4" s="79" t="s">
        <v>10</v>
      </c>
      <c r="BY4" s="16" t="s">
        <v>3</v>
      </c>
    </row>
    <row r="5" spans="2:77" ht="6.95" hidden="1" customHeight="1" x14ac:dyDescent="0.2">
      <c r="B5" s="19"/>
      <c r="L5" s="19"/>
    </row>
    <row r="6" spans="2:77" ht="12" hidden="1" customHeight="1" x14ac:dyDescent="0.2">
      <c r="B6" s="19"/>
      <c r="D6" s="26" t="s">
        <v>16</v>
      </c>
      <c r="L6" s="19"/>
    </row>
    <row r="7" spans="2:77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77" ht="12.75" hidden="1" x14ac:dyDescent="0.2">
      <c r="B8" s="19"/>
      <c r="D8" s="26" t="s">
        <v>244</v>
      </c>
      <c r="L8" s="19"/>
    </row>
    <row r="9" spans="2:77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77" ht="12" hidden="1" customHeight="1" x14ac:dyDescent="0.2">
      <c r="B10" s="19"/>
      <c r="D10" s="26" t="s">
        <v>246</v>
      </c>
      <c r="L10" s="19"/>
    </row>
    <row r="11" spans="2:77" s="1" customFormat="1" ht="16.5" hidden="1" customHeight="1" x14ac:dyDescent="0.2">
      <c r="B11" s="31"/>
      <c r="E11" s="401" t="s">
        <v>3095</v>
      </c>
      <c r="F11" s="433"/>
      <c r="G11" s="433"/>
      <c r="H11" s="433"/>
      <c r="L11" s="31"/>
    </row>
    <row r="12" spans="2:77" s="1" customFormat="1" ht="12" hidden="1" customHeight="1" x14ac:dyDescent="0.2">
      <c r="B12" s="31"/>
      <c r="D12" s="26" t="s">
        <v>1790</v>
      </c>
      <c r="L12" s="31"/>
    </row>
    <row r="13" spans="2:77" s="1" customFormat="1" ht="16.5" hidden="1" customHeight="1" x14ac:dyDescent="0.2">
      <c r="B13" s="31"/>
      <c r="E13" s="432" t="s">
        <v>3096</v>
      </c>
      <c r="F13" s="433"/>
      <c r="G13" s="433"/>
      <c r="H13" s="433"/>
      <c r="L13" s="31"/>
    </row>
    <row r="14" spans="2:77" s="1" customFormat="1" hidden="1" x14ac:dyDescent="0.2">
      <c r="B14" s="31"/>
      <c r="L14" s="31"/>
    </row>
    <row r="15" spans="2:77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77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hidden="1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hidden="1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ROUND(J124, 2)</f>
        <v>431549.03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ROUND((SUM(CJ124:CJ324)),  2)</f>
        <v>431549.03</v>
      </c>
      <c r="I37" s="84">
        <v>0.21</v>
      </c>
      <c r="J37" s="71">
        <f>ROUND(((SUM(CJ124:CJ324))*I37),  2)</f>
        <v>90625.3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ROUND((SUM(CK124:CK324)),  2)</f>
        <v>0</v>
      </c>
      <c r="I38" s="84">
        <v>0.15</v>
      </c>
      <c r="J38" s="71">
        <f>ROUND(((SUM(CK124:CK324))*I38),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ROUND((SUM(CL124:CL324)),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ROUND((SUM(CM124:CM324)),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ROUND((SUM(CN124:CN324)),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522174.33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3095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PS 06.1 ČS8 - elektro, SŘTP, MaR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78" s="1" customFormat="1" ht="10.35" hidden="1" customHeight="1" x14ac:dyDescent="0.2">
      <c r="B97" s="31"/>
      <c r="L97" s="31"/>
    </row>
    <row r="98" spans="2:78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78" s="1" customFormat="1" ht="10.35" hidden="1" customHeight="1" x14ac:dyDescent="0.2">
      <c r="B99" s="31"/>
      <c r="L99" s="31"/>
    </row>
    <row r="100" spans="2:78" s="1" customFormat="1" ht="22.9" hidden="1" customHeight="1" x14ac:dyDescent="0.2">
      <c r="B100" s="31"/>
      <c r="C100" s="95" t="s">
        <v>256</v>
      </c>
      <c r="J100" s="58">
        <f>J124</f>
        <v>431549.02999999997</v>
      </c>
      <c r="L100" s="31"/>
      <c r="BZ100" s="16" t="s">
        <v>257</v>
      </c>
    </row>
    <row r="101" spans="2:78" s="7" customFormat="1" ht="24.95" hidden="1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J125</f>
        <v>431549.02999999997</v>
      </c>
      <c r="L101" s="96"/>
    </row>
    <row r="102" spans="2:78" s="8" customFormat="1" ht="19.899999999999999" hidden="1" customHeight="1" x14ac:dyDescent="0.2">
      <c r="B102" s="100"/>
      <c r="D102" s="101" t="s">
        <v>2854</v>
      </c>
      <c r="E102" s="102"/>
      <c r="F102" s="102"/>
      <c r="G102" s="102"/>
      <c r="H102" s="102"/>
      <c r="I102" s="102"/>
      <c r="J102" s="103">
        <f>J127</f>
        <v>158862.44</v>
      </c>
      <c r="L102" s="100"/>
    </row>
    <row r="103" spans="2:78" s="8" customFormat="1" ht="19.899999999999999" hidden="1" customHeight="1" x14ac:dyDescent="0.2">
      <c r="B103" s="100"/>
      <c r="D103" s="101" t="s">
        <v>2855</v>
      </c>
      <c r="E103" s="102"/>
      <c r="F103" s="102"/>
      <c r="G103" s="102"/>
      <c r="H103" s="102"/>
      <c r="I103" s="102"/>
      <c r="J103" s="103">
        <f>J232</f>
        <v>130728.38999999998</v>
      </c>
      <c r="L103" s="100"/>
    </row>
    <row r="104" spans="2:78" s="8" customFormat="1" ht="14.85" hidden="1" customHeight="1" x14ac:dyDescent="0.2">
      <c r="B104" s="100"/>
      <c r="D104" s="101" t="s">
        <v>2856</v>
      </c>
      <c r="E104" s="102"/>
      <c r="F104" s="102"/>
      <c r="G104" s="102"/>
      <c r="H104" s="102"/>
      <c r="I104" s="102"/>
      <c r="J104" s="103">
        <f>J233</f>
        <v>18063.07</v>
      </c>
      <c r="L104" s="100"/>
    </row>
    <row r="105" spans="2:78" s="8" customFormat="1" ht="14.85" hidden="1" customHeight="1" x14ac:dyDescent="0.2">
      <c r="B105" s="100"/>
      <c r="D105" s="101" t="s">
        <v>2857</v>
      </c>
      <c r="E105" s="102"/>
      <c r="F105" s="102"/>
      <c r="G105" s="102"/>
      <c r="H105" s="102"/>
      <c r="I105" s="102"/>
      <c r="J105" s="103">
        <f>J244</f>
        <v>112665.31999999999</v>
      </c>
      <c r="L105" s="100"/>
    </row>
    <row r="106" spans="2:78" s="8" customFormat="1" ht="19.899999999999999" hidden="1" customHeight="1" x14ac:dyDescent="0.2">
      <c r="B106" s="100"/>
      <c r="D106" s="101" t="s">
        <v>3081</v>
      </c>
      <c r="E106" s="102"/>
      <c r="F106" s="102"/>
      <c r="G106" s="102"/>
      <c r="H106" s="102"/>
      <c r="I106" s="102"/>
      <c r="J106" s="103">
        <f>J275</f>
        <v>16976.859999999997</v>
      </c>
      <c r="L106" s="100"/>
    </row>
    <row r="107" spans="2:78" s="8" customFormat="1" ht="19.899999999999999" hidden="1" customHeight="1" x14ac:dyDescent="0.2">
      <c r="B107" s="100"/>
      <c r="D107" s="101" t="s">
        <v>3082</v>
      </c>
      <c r="E107" s="102"/>
      <c r="F107" s="102"/>
      <c r="G107" s="102"/>
      <c r="H107" s="102"/>
      <c r="I107" s="102"/>
      <c r="J107" s="103">
        <f>J296</f>
        <v>5755.2900000000009</v>
      </c>
      <c r="L107" s="100"/>
    </row>
    <row r="108" spans="2:78" s="8" customFormat="1" ht="19.899999999999999" hidden="1" customHeight="1" x14ac:dyDescent="0.2">
      <c r="B108" s="100"/>
      <c r="D108" s="101" t="s">
        <v>3083</v>
      </c>
      <c r="E108" s="102"/>
      <c r="F108" s="102"/>
      <c r="G108" s="102"/>
      <c r="H108" s="102"/>
      <c r="I108" s="102"/>
      <c r="J108" s="103">
        <f>J307</f>
        <v>105131.48000000001</v>
      </c>
      <c r="L108" s="100"/>
    </row>
    <row r="109" spans="2:78" s="8" customFormat="1" ht="19.899999999999999" hidden="1" customHeight="1" x14ac:dyDescent="0.2">
      <c r="B109" s="100"/>
      <c r="D109" s="101" t="s">
        <v>2861</v>
      </c>
      <c r="E109" s="102"/>
      <c r="F109" s="102"/>
      <c r="G109" s="102"/>
      <c r="H109" s="102"/>
      <c r="I109" s="102"/>
      <c r="J109" s="103">
        <f>J318</f>
        <v>14094.57</v>
      </c>
      <c r="L109" s="100"/>
    </row>
    <row r="110" spans="2:78" s="1" customFormat="1" ht="21.75" hidden="1" customHeight="1" x14ac:dyDescent="0.2">
      <c r="B110" s="31"/>
      <c r="L110" s="31"/>
    </row>
    <row r="111" spans="2:78" s="1" customFormat="1" ht="6.95" hidden="1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2" spans="2:78" hidden="1" x14ac:dyDescent="0.2"/>
    <row r="113" spans="2:96" hidden="1" x14ac:dyDescent="0.2"/>
    <row r="115" spans="2:96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96" s="1" customFormat="1" ht="24.95" customHeight="1" x14ac:dyDescent="0.2">
      <c r="B116" s="31"/>
      <c r="C116" s="20" t="s">
        <v>267</v>
      </c>
      <c r="L116" s="31"/>
    </row>
    <row r="117" spans="2:96" s="1" customFormat="1" ht="6.95" customHeight="1" x14ac:dyDescent="0.2">
      <c r="B117" s="31"/>
      <c r="L117" s="31"/>
    </row>
    <row r="118" spans="2:96" s="1" customFormat="1" ht="12" customHeight="1" x14ac:dyDescent="0.2">
      <c r="B118" s="31"/>
      <c r="C118" s="26"/>
      <c r="L118" s="31"/>
    </row>
    <row r="119" spans="2:96" s="1" customFormat="1" ht="16.5" customHeight="1" x14ac:dyDescent="0.2">
      <c r="B119" s="31"/>
      <c r="E119" s="432" t="str">
        <f>E13</f>
        <v>0001 - PS 06.1 ČS8 - elektro, SŘTP, MaR</v>
      </c>
      <c r="F119" s="433"/>
      <c r="G119" s="433"/>
      <c r="H119" s="433"/>
      <c r="L119" s="31"/>
    </row>
    <row r="120" spans="2:96" s="1" customFormat="1" ht="6.95" customHeight="1" x14ac:dyDescent="0.2">
      <c r="B120" s="31"/>
      <c r="L120" s="31"/>
    </row>
    <row r="121" spans="2:96" s="1" customFormat="1" ht="15.2" customHeight="1" x14ac:dyDescent="0.2">
      <c r="B121" s="31"/>
      <c r="C121" s="26"/>
      <c r="F121" s="24"/>
      <c r="I121" s="26"/>
      <c r="J121" s="29"/>
      <c r="L121" s="31"/>
    </row>
    <row r="122" spans="2:96" s="1" customFormat="1" ht="24.75" customHeight="1" x14ac:dyDescent="0.2">
      <c r="B122" s="31"/>
      <c r="G122" s="446" t="s">
        <v>3305</v>
      </c>
      <c r="H122" s="446"/>
      <c r="I122" s="446"/>
      <c r="J122" s="446"/>
      <c r="K122" s="447"/>
      <c r="L122" s="31"/>
    </row>
    <row r="123" spans="2:96" s="9" customFormat="1" ht="29.25" customHeight="1" thickBot="1" x14ac:dyDescent="0.25">
      <c r="B123" s="104"/>
      <c r="C123" s="105" t="s">
        <v>268</v>
      </c>
      <c r="D123" s="106" t="s">
        <v>59</v>
      </c>
      <c r="E123" s="106" t="s">
        <v>55</v>
      </c>
      <c r="F123" s="106" t="s">
        <v>56</v>
      </c>
      <c r="G123" s="106" t="s">
        <v>269</v>
      </c>
      <c r="H123" s="106" t="s">
        <v>270</v>
      </c>
      <c r="I123" s="106" t="s">
        <v>271</v>
      </c>
      <c r="J123" s="106" t="s">
        <v>255</v>
      </c>
      <c r="K123" s="107" t="s">
        <v>272</v>
      </c>
      <c r="L123" s="437" t="s">
        <v>3307</v>
      </c>
      <c r="M123" s="438"/>
      <c r="N123" s="438"/>
      <c r="O123" s="438"/>
      <c r="P123" s="438"/>
      <c r="Q123" s="439"/>
      <c r="AR123" s="52" t="s">
        <v>1</v>
      </c>
      <c r="AS123" s="53" t="s">
        <v>39</v>
      </c>
      <c r="AT123" s="53" t="s">
        <v>273</v>
      </c>
      <c r="AU123" s="53" t="s">
        <v>274</v>
      </c>
      <c r="AV123" s="53" t="s">
        <v>275</v>
      </c>
      <c r="AW123" s="53" t="s">
        <v>276</v>
      </c>
      <c r="AX123" s="53" t="s">
        <v>277</v>
      </c>
      <c r="AY123" s="54" t="s">
        <v>278</v>
      </c>
    </row>
    <row r="124" spans="2:96" s="1" customFormat="1" ht="22.9" customHeight="1" x14ac:dyDescent="0.25">
      <c r="B124" s="31"/>
      <c r="C124" s="57" t="s">
        <v>279</v>
      </c>
      <c r="G124" s="1" t="s">
        <v>3306</v>
      </c>
      <c r="J124" s="108">
        <f>CP124</f>
        <v>431549.02999999997</v>
      </c>
      <c r="L124" s="440" t="s">
        <v>3308</v>
      </c>
      <c r="M124" s="441"/>
      <c r="N124" s="440" t="s">
        <v>3347</v>
      </c>
      <c r="O124" s="441"/>
      <c r="P124" s="440" t="s">
        <v>3309</v>
      </c>
      <c r="Q124" s="441"/>
      <c r="S124" s="442" t="s">
        <v>3312</v>
      </c>
      <c r="T124" s="443"/>
      <c r="U124" s="443" t="s">
        <v>3313</v>
      </c>
      <c r="V124" s="443"/>
      <c r="W124" s="444" t="s">
        <v>3324</v>
      </c>
      <c r="X124" s="444"/>
      <c r="Y124" s="444" t="s">
        <v>3325</v>
      </c>
      <c r="Z124" s="444"/>
      <c r="AA124" s="444" t="s">
        <v>3326</v>
      </c>
      <c r="AB124" s="444"/>
      <c r="AC124" s="444" t="s">
        <v>3327</v>
      </c>
      <c r="AD124" s="445"/>
      <c r="AR124" s="55"/>
      <c r="AS124" s="49"/>
      <c r="AT124" s="49"/>
      <c r="AU124" s="109">
        <f>AU125</f>
        <v>0</v>
      </c>
      <c r="AV124" s="49"/>
      <c r="AW124" s="109">
        <f>AW125</f>
        <v>0</v>
      </c>
      <c r="AX124" s="49"/>
      <c r="AY124" s="110">
        <f>AY125</f>
        <v>0</v>
      </c>
      <c r="BY124" s="16" t="s">
        <v>73</v>
      </c>
      <c r="BZ124" s="16" t="s">
        <v>257</v>
      </c>
      <c r="CP124" s="111">
        <f>CP125</f>
        <v>431549.02999999997</v>
      </c>
    </row>
    <row r="125" spans="2:96" s="10" customFormat="1" ht="25.9" customHeight="1" thickBot="1" x14ac:dyDescent="0.25">
      <c r="B125" s="112"/>
      <c r="D125" s="113" t="s">
        <v>73</v>
      </c>
      <c r="E125" s="114" t="s">
        <v>439</v>
      </c>
      <c r="F125" s="114" t="s">
        <v>1979</v>
      </c>
      <c r="G125" s="10" t="s">
        <v>3306</v>
      </c>
      <c r="I125" s="115"/>
      <c r="J125" s="116">
        <f>CP125</f>
        <v>431549.02999999997</v>
      </c>
      <c r="L125" s="190" t="s">
        <v>270</v>
      </c>
      <c r="M125" s="190" t="s">
        <v>3310</v>
      </c>
      <c r="N125" s="190" t="s">
        <v>270</v>
      </c>
      <c r="O125" s="190" t="s">
        <v>3310</v>
      </c>
      <c r="P125" s="190" t="s">
        <v>3311</v>
      </c>
      <c r="Q125" s="190" t="s">
        <v>3310</v>
      </c>
      <c r="S125" s="193" t="s">
        <v>270</v>
      </c>
      <c r="T125" s="194" t="s">
        <v>3310</v>
      </c>
      <c r="U125" s="194" t="s">
        <v>270</v>
      </c>
      <c r="V125" s="194" t="s">
        <v>3310</v>
      </c>
      <c r="W125" s="194" t="s">
        <v>270</v>
      </c>
      <c r="X125" s="194" t="s">
        <v>3328</v>
      </c>
      <c r="Y125" s="194" t="s">
        <v>270</v>
      </c>
      <c r="Z125" s="194" t="s">
        <v>3328</v>
      </c>
      <c r="AA125" s="194" t="s">
        <v>270</v>
      </c>
      <c r="AB125" s="194" t="s">
        <v>3328</v>
      </c>
      <c r="AC125" s="194" t="s">
        <v>270</v>
      </c>
      <c r="AD125" s="195" t="s">
        <v>3328</v>
      </c>
      <c r="AR125" s="117"/>
      <c r="AU125" s="118">
        <f>AU127+AU232+AU275+AU296+AU307+AU318</f>
        <v>0</v>
      </c>
      <c r="AW125" s="118">
        <f>AW127+AW232+AW275+AW296+AW307+AW318</f>
        <v>0</v>
      </c>
      <c r="AY125" s="119">
        <f>AY127+AY232+AY275+AY296+AY307+AY318</f>
        <v>0</v>
      </c>
      <c r="BW125" s="113" t="s">
        <v>90</v>
      </c>
      <c r="BY125" s="120" t="s">
        <v>73</v>
      </c>
      <c r="BZ125" s="120" t="s">
        <v>74</v>
      </c>
      <c r="CD125" s="113" t="s">
        <v>282</v>
      </c>
      <c r="CP125" s="121">
        <f>CP127+CP232+CP275+CP296+CP307+CP318</f>
        <v>431549.02999999997</v>
      </c>
    </row>
    <row r="126" spans="2:96" s="10" customFormat="1" ht="25.9" customHeight="1" thickBot="1" x14ac:dyDescent="0.25">
      <c r="B126" s="112"/>
      <c r="D126" s="113"/>
      <c r="E126" s="114"/>
      <c r="F126" s="114"/>
      <c r="G126" s="10" t="s">
        <v>3306</v>
      </c>
      <c r="I126" s="115"/>
      <c r="J126" s="116" t="s">
        <v>3306</v>
      </c>
      <c r="L126" s="191"/>
      <c r="M126" s="192">
        <f>M127+M233+M244+M275+M296+M307+M318</f>
        <v>0</v>
      </c>
      <c r="N126" s="208"/>
      <c r="O126" s="208">
        <f t="shared" ref="O126:Q126" si="0">O127+O233+O244+O275+O296+O307+O318</f>
        <v>0</v>
      </c>
      <c r="P126" s="192"/>
      <c r="Q126" s="192">
        <f t="shared" si="0"/>
        <v>431549.02999999997</v>
      </c>
      <c r="S126" s="196"/>
      <c r="T126" s="197">
        <f>T127+T233+T244+T275+T296+T307+T318</f>
        <v>0</v>
      </c>
      <c r="U126" s="197"/>
      <c r="V126" s="197">
        <f t="shared" ref="V126:AD126" si="1">V127+V233+V244+V275+V296+V307+V318</f>
        <v>431549.02999999997</v>
      </c>
      <c r="W126" s="197"/>
      <c r="X126" s="197">
        <f t="shared" si="1"/>
        <v>0</v>
      </c>
      <c r="Y126" s="197"/>
      <c r="Z126" s="197">
        <f t="shared" si="1"/>
        <v>0</v>
      </c>
      <c r="AA126" s="197"/>
      <c r="AB126" s="197">
        <f t="shared" si="1"/>
        <v>0</v>
      </c>
      <c r="AC126" s="197"/>
      <c r="AD126" s="197">
        <f t="shared" si="1"/>
        <v>0</v>
      </c>
      <c r="AR126" s="117"/>
      <c r="AU126" s="118"/>
      <c r="AW126" s="118"/>
      <c r="AY126" s="119"/>
      <c r="BW126" s="113"/>
      <c r="BY126" s="120"/>
      <c r="BZ126" s="120"/>
      <c r="CD126" s="113"/>
      <c r="CP126" s="121"/>
    </row>
    <row r="127" spans="2:96" s="10" customFormat="1" ht="22.9" customHeight="1" x14ac:dyDescent="0.2">
      <c r="B127" s="112"/>
      <c r="D127" s="113" t="s">
        <v>73</v>
      </c>
      <c r="E127" s="122" t="s">
        <v>1980</v>
      </c>
      <c r="F127" s="122" t="s">
        <v>2862</v>
      </c>
      <c r="G127" s="10" t="s">
        <v>3306</v>
      </c>
      <c r="I127" s="115"/>
      <c r="J127" s="123">
        <f>CP127</f>
        <v>158862.44</v>
      </c>
      <c r="L127" s="112"/>
      <c r="M127" s="270">
        <f>SUM(M128:M230)</f>
        <v>0</v>
      </c>
      <c r="N127" s="299"/>
      <c r="O127" s="300">
        <f t="shared" ref="O127:V127" si="2">SUM(O128:O230)</f>
        <v>0</v>
      </c>
      <c r="P127" s="270"/>
      <c r="Q127" s="286">
        <f t="shared" si="2"/>
        <v>158862.44</v>
      </c>
      <c r="R127" s="270"/>
      <c r="S127" s="270"/>
      <c r="T127" s="270">
        <f t="shared" si="2"/>
        <v>0</v>
      </c>
      <c r="U127" s="270"/>
      <c r="V127" s="270">
        <f t="shared" si="2"/>
        <v>158862.44</v>
      </c>
      <c r="AR127" s="117"/>
      <c r="AU127" s="118">
        <f>SUM(AU128:AU231)</f>
        <v>0</v>
      </c>
      <c r="AW127" s="118">
        <f>SUM(AW128:AW231)</f>
        <v>0</v>
      </c>
      <c r="AY127" s="119">
        <f>SUM(AY128:AY231)</f>
        <v>0</v>
      </c>
      <c r="BW127" s="113" t="s">
        <v>81</v>
      </c>
      <c r="BY127" s="120" t="s">
        <v>73</v>
      </c>
      <c r="BZ127" s="120" t="s">
        <v>81</v>
      </c>
      <c r="CD127" s="113" t="s">
        <v>282</v>
      </c>
      <c r="CP127" s="121">
        <f>SUM(CP128:CP231)</f>
        <v>158862.44</v>
      </c>
    </row>
    <row r="128" spans="2:96" s="1" customFormat="1" ht="24.2" customHeight="1" x14ac:dyDescent="0.2">
      <c r="B128" s="124"/>
      <c r="C128" s="125" t="s">
        <v>81</v>
      </c>
      <c r="D128" s="125" t="s">
        <v>284</v>
      </c>
      <c r="E128" s="126" t="s">
        <v>2863</v>
      </c>
      <c r="F128" s="127" t="s">
        <v>2864</v>
      </c>
      <c r="G128" s="128" t="s">
        <v>315</v>
      </c>
      <c r="H128" s="129">
        <v>1</v>
      </c>
      <c r="I128" s="130">
        <v>59317.204616389994</v>
      </c>
      <c r="J128" s="131">
        <f>ROUND(I128*H128,2)</f>
        <v>59317.2</v>
      </c>
      <c r="K128" s="127" t="s">
        <v>1</v>
      </c>
      <c r="L128" s="268">
        <f>S128</f>
        <v>0</v>
      </c>
      <c r="M128" s="272">
        <f>ROUND(L128*I128,2)</f>
        <v>0</v>
      </c>
      <c r="N128" s="243"/>
      <c r="O128" s="294">
        <f>ROUND(N128*I128,2)</f>
        <v>0</v>
      </c>
      <c r="P128" s="273">
        <f>H128-L128-N128</f>
        <v>1</v>
      </c>
      <c r="Q128" s="287">
        <f>ROUND(P128*I128,2)</f>
        <v>59317.2</v>
      </c>
      <c r="R128" s="137"/>
      <c r="S128" s="269">
        <f>W128+Y128+AA128+AC128</f>
        <v>0</v>
      </c>
      <c r="T128" s="269">
        <f>ROUND(S128*I128,2)</f>
        <v>0</v>
      </c>
      <c r="U128" s="269">
        <f>H128-S128</f>
        <v>1</v>
      </c>
      <c r="V128" s="269">
        <f>ROUND(U128*I128,2)</f>
        <v>59317.2</v>
      </c>
      <c r="W128" s="269"/>
      <c r="X128" s="269"/>
      <c r="Y128" s="269"/>
      <c r="Z128" s="269"/>
      <c r="AA128" s="269"/>
      <c r="AB128" s="269"/>
      <c r="AC128" s="269"/>
      <c r="AD128" s="269"/>
      <c r="AR128" s="132" t="s">
        <v>1</v>
      </c>
      <c r="AS128" s="133" t="s">
        <v>40</v>
      </c>
      <c r="AU128" s="134">
        <f>AT128*H128</f>
        <v>0</v>
      </c>
      <c r="AV128" s="134">
        <v>0</v>
      </c>
      <c r="AW128" s="134">
        <f>AV128*H128</f>
        <v>0</v>
      </c>
      <c r="AX128" s="134">
        <v>0</v>
      </c>
      <c r="AY128" s="135">
        <f>AX128*H128</f>
        <v>0</v>
      </c>
      <c r="BW128" s="136" t="s">
        <v>95</v>
      </c>
      <c r="BY128" s="136" t="s">
        <v>284</v>
      </c>
      <c r="BZ128" s="136" t="s">
        <v>83</v>
      </c>
      <c r="CD128" s="16" t="s">
        <v>282</v>
      </c>
      <c r="CJ128" s="137">
        <f>IF(AS128="základní",J128,0)</f>
        <v>59317.2</v>
      </c>
      <c r="CK128" s="137">
        <f>IF(AS128="snížená",J128,0)</f>
        <v>0</v>
      </c>
      <c r="CL128" s="137">
        <f>IF(AS128="zákl. přenesená",J128,0)</f>
        <v>0</v>
      </c>
      <c r="CM128" s="137">
        <f>IF(AS128="sníž. přenesená",J128,0)</f>
        <v>0</v>
      </c>
      <c r="CN128" s="137">
        <f>IF(AS128="nulová",J128,0)</f>
        <v>0</v>
      </c>
      <c r="CO128" s="16" t="s">
        <v>81</v>
      </c>
      <c r="CP128" s="137">
        <f>ROUND(I128*H128,2)</f>
        <v>59317.2</v>
      </c>
      <c r="CQ128" s="16" t="s">
        <v>95</v>
      </c>
      <c r="CR128" s="136" t="s">
        <v>83</v>
      </c>
    </row>
    <row r="129" spans="2:96" s="1" customFormat="1" ht="19.5" x14ac:dyDescent="0.2">
      <c r="B129" s="31"/>
      <c r="D129" s="138" t="s">
        <v>289</v>
      </c>
      <c r="F129" s="139" t="s">
        <v>2864</v>
      </c>
      <c r="I129" s="140"/>
      <c r="L129" s="31"/>
      <c r="N129" s="213"/>
      <c r="O129" s="214"/>
      <c r="Q129" s="229"/>
      <c r="AR129" s="141"/>
      <c r="AY129" s="50"/>
      <c r="BY129" s="16" t="s">
        <v>289</v>
      </c>
      <c r="BZ129" s="16" t="s">
        <v>83</v>
      </c>
    </row>
    <row r="130" spans="2:96" s="1" customFormat="1" ht="24.2" customHeight="1" x14ac:dyDescent="0.2">
      <c r="B130" s="124"/>
      <c r="C130" s="125" t="s">
        <v>83</v>
      </c>
      <c r="D130" s="125" t="s">
        <v>284</v>
      </c>
      <c r="E130" s="126" t="s">
        <v>2865</v>
      </c>
      <c r="F130" s="127" t="s">
        <v>2866</v>
      </c>
      <c r="G130" s="128" t="s">
        <v>315</v>
      </c>
      <c r="H130" s="129">
        <v>1</v>
      </c>
      <c r="I130" s="130">
        <v>2315.3740570800001</v>
      </c>
      <c r="J130" s="131">
        <f>ROUND(I130*H130,2)</f>
        <v>2315.37</v>
      </c>
      <c r="K130" s="127" t="s">
        <v>1</v>
      </c>
      <c r="L130" s="268">
        <f>S130</f>
        <v>0</v>
      </c>
      <c r="M130" s="272">
        <f>ROUND(L130*I130,2)</f>
        <v>0</v>
      </c>
      <c r="N130" s="243"/>
      <c r="O130" s="294">
        <f>ROUND(N130*I130,2)</f>
        <v>0</v>
      </c>
      <c r="P130" s="273">
        <f>H130-L130-N130</f>
        <v>1</v>
      </c>
      <c r="Q130" s="287">
        <f>ROUND(P130*I130,2)</f>
        <v>2315.37</v>
      </c>
      <c r="R130" s="137"/>
      <c r="S130" s="269">
        <f>W130+Y130+AA130+AC130</f>
        <v>0</v>
      </c>
      <c r="T130" s="269">
        <f>ROUND(S130*I130,2)</f>
        <v>0</v>
      </c>
      <c r="U130" s="269">
        <f>H130-S130</f>
        <v>1</v>
      </c>
      <c r="V130" s="269">
        <f>ROUND(U130*I130,2)</f>
        <v>2315.37</v>
      </c>
      <c r="W130" s="269"/>
      <c r="X130" s="269"/>
      <c r="Y130" s="269"/>
      <c r="Z130" s="269"/>
      <c r="AA130" s="269"/>
      <c r="AB130" s="269"/>
      <c r="AC130" s="269"/>
      <c r="AD130" s="269"/>
      <c r="AR130" s="132" t="s">
        <v>1</v>
      </c>
      <c r="AS130" s="133" t="s">
        <v>40</v>
      </c>
      <c r="AU130" s="134">
        <f>AT130*H130</f>
        <v>0</v>
      </c>
      <c r="AV130" s="134">
        <v>0</v>
      </c>
      <c r="AW130" s="134">
        <f>AV130*H130</f>
        <v>0</v>
      </c>
      <c r="AX130" s="134">
        <v>0</v>
      </c>
      <c r="AY130" s="135">
        <f>AX130*H130</f>
        <v>0</v>
      </c>
      <c r="BW130" s="136" t="s">
        <v>95</v>
      </c>
      <c r="BY130" s="136" t="s">
        <v>284</v>
      </c>
      <c r="BZ130" s="136" t="s">
        <v>83</v>
      </c>
      <c r="CD130" s="16" t="s">
        <v>282</v>
      </c>
      <c r="CJ130" s="137">
        <f>IF(AS130="základní",J130,0)</f>
        <v>2315.37</v>
      </c>
      <c r="CK130" s="137">
        <f>IF(AS130="snížená",J130,0)</f>
        <v>0</v>
      </c>
      <c r="CL130" s="137">
        <f>IF(AS130="zákl. přenesená",J130,0)</f>
        <v>0</v>
      </c>
      <c r="CM130" s="137">
        <f>IF(AS130="sníž. přenesená",J130,0)</f>
        <v>0</v>
      </c>
      <c r="CN130" s="137">
        <f>IF(AS130="nulová",J130,0)</f>
        <v>0</v>
      </c>
      <c r="CO130" s="16" t="s">
        <v>81</v>
      </c>
      <c r="CP130" s="137">
        <f>ROUND(I130*H130,2)</f>
        <v>2315.37</v>
      </c>
      <c r="CQ130" s="16" t="s">
        <v>95</v>
      </c>
      <c r="CR130" s="136" t="s">
        <v>95</v>
      </c>
    </row>
    <row r="131" spans="2:96" s="1" customFormat="1" x14ac:dyDescent="0.2">
      <c r="B131" s="31"/>
      <c r="D131" s="138" t="s">
        <v>289</v>
      </c>
      <c r="F131" s="139" t="s">
        <v>2866</v>
      </c>
      <c r="I131" s="140"/>
      <c r="L131" s="31"/>
      <c r="N131" s="213"/>
      <c r="O131" s="214"/>
      <c r="Q131" s="229"/>
      <c r="AR131" s="141"/>
      <c r="AY131" s="50"/>
      <c r="BY131" s="16" t="s">
        <v>289</v>
      </c>
      <c r="BZ131" s="16" t="s">
        <v>83</v>
      </c>
    </row>
    <row r="132" spans="2:96" s="1" customFormat="1" ht="14.45" customHeight="1" x14ac:dyDescent="0.2">
      <c r="B132" s="124"/>
      <c r="C132" s="125" t="s">
        <v>90</v>
      </c>
      <c r="D132" s="125" t="s">
        <v>284</v>
      </c>
      <c r="E132" s="126" t="s">
        <v>2867</v>
      </c>
      <c r="F132" s="127" t="s">
        <v>2868</v>
      </c>
      <c r="G132" s="128" t="s">
        <v>315</v>
      </c>
      <c r="H132" s="129">
        <v>1</v>
      </c>
      <c r="I132" s="130">
        <v>3469.9636902809998</v>
      </c>
      <c r="J132" s="131">
        <f>ROUND(I132*H132,2)</f>
        <v>3469.96</v>
      </c>
      <c r="K132" s="127" t="s">
        <v>1</v>
      </c>
      <c r="L132" s="268">
        <f>S132</f>
        <v>0</v>
      </c>
      <c r="M132" s="272">
        <f>ROUND(L132*I132,2)</f>
        <v>0</v>
      </c>
      <c r="N132" s="243"/>
      <c r="O132" s="294">
        <f>ROUND(N132*I132,2)</f>
        <v>0</v>
      </c>
      <c r="P132" s="273">
        <f>H132-L132-N132</f>
        <v>1</v>
      </c>
      <c r="Q132" s="287">
        <f>ROUND(P132*I132,2)</f>
        <v>3469.96</v>
      </c>
      <c r="R132" s="137"/>
      <c r="S132" s="269">
        <f>W132+Y132+AA132+AC132</f>
        <v>0</v>
      </c>
      <c r="T132" s="269">
        <f>ROUND(S132*I132,2)</f>
        <v>0</v>
      </c>
      <c r="U132" s="269">
        <f>H132-S132</f>
        <v>1</v>
      </c>
      <c r="V132" s="269">
        <f>ROUND(U132*I132,2)</f>
        <v>3469.96</v>
      </c>
      <c r="W132" s="269"/>
      <c r="X132" s="269"/>
      <c r="Y132" s="269"/>
      <c r="Z132" s="269"/>
      <c r="AA132" s="269"/>
      <c r="AB132" s="269"/>
      <c r="AC132" s="269"/>
      <c r="AD132" s="269"/>
      <c r="AR132" s="132" t="s">
        <v>1</v>
      </c>
      <c r="AS132" s="133" t="s">
        <v>40</v>
      </c>
      <c r="AU132" s="134">
        <f>AT132*H132</f>
        <v>0</v>
      </c>
      <c r="AV132" s="134">
        <v>0</v>
      </c>
      <c r="AW132" s="134">
        <f>AV132*H132</f>
        <v>0</v>
      </c>
      <c r="AX132" s="134">
        <v>0</v>
      </c>
      <c r="AY132" s="135">
        <f>AX132*H132</f>
        <v>0</v>
      </c>
      <c r="BW132" s="136" t="s">
        <v>95</v>
      </c>
      <c r="BY132" s="136" t="s">
        <v>284</v>
      </c>
      <c r="BZ132" s="136" t="s">
        <v>83</v>
      </c>
      <c r="CD132" s="16" t="s">
        <v>282</v>
      </c>
      <c r="CJ132" s="137">
        <f>IF(AS132="základní",J132,0)</f>
        <v>3469.96</v>
      </c>
      <c r="CK132" s="137">
        <f>IF(AS132="snížená",J132,0)</f>
        <v>0</v>
      </c>
      <c r="CL132" s="137">
        <f>IF(AS132="zákl. přenesená",J132,0)</f>
        <v>0</v>
      </c>
      <c r="CM132" s="137">
        <f>IF(AS132="sníž. přenesená",J132,0)</f>
        <v>0</v>
      </c>
      <c r="CN132" s="137">
        <f>IF(AS132="nulová",J132,0)</f>
        <v>0</v>
      </c>
      <c r="CO132" s="16" t="s">
        <v>81</v>
      </c>
      <c r="CP132" s="137">
        <f>ROUND(I132*H132,2)</f>
        <v>3469.96</v>
      </c>
      <c r="CQ132" s="16" t="s">
        <v>95</v>
      </c>
      <c r="CR132" s="136" t="s">
        <v>318</v>
      </c>
    </row>
    <row r="133" spans="2:96" s="1" customFormat="1" x14ac:dyDescent="0.2">
      <c r="B133" s="31"/>
      <c r="D133" s="138" t="s">
        <v>289</v>
      </c>
      <c r="F133" s="139" t="s">
        <v>2868</v>
      </c>
      <c r="I133" s="140"/>
      <c r="L133" s="31"/>
      <c r="N133" s="213"/>
      <c r="O133" s="214"/>
      <c r="Q133" s="229"/>
      <c r="AR133" s="141"/>
      <c r="AY133" s="50"/>
      <c r="BY133" s="16" t="s">
        <v>289</v>
      </c>
      <c r="BZ133" s="16" t="s">
        <v>83</v>
      </c>
    </row>
    <row r="134" spans="2:96" s="1" customFormat="1" ht="24.2" customHeight="1" x14ac:dyDescent="0.2">
      <c r="B134" s="124"/>
      <c r="C134" s="125" t="s">
        <v>95</v>
      </c>
      <c r="D134" s="125" t="s">
        <v>284</v>
      </c>
      <c r="E134" s="126" t="s">
        <v>2869</v>
      </c>
      <c r="F134" s="127" t="s">
        <v>2870</v>
      </c>
      <c r="G134" s="128" t="s">
        <v>2871</v>
      </c>
      <c r="H134" s="129">
        <v>1</v>
      </c>
      <c r="I134" s="130">
        <v>16625.340523259998</v>
      </c>
      <c r="J134" s="131">
        <f>ROUND(I134*H134,2)</f>
        <v>16625.34</v>
      </c>
      <c r="K134" s="127" t="s">
        <v>1</v>
      </c>
      <c r="L134" s="268">
        <f>S134</f>
        <v>0</v>
      </c>
      <c r="M134" s="272">
        <f>ROUND(L134*I134,2)</f>
        <v>0</v>
      </c>
      <c r="N134" s="243"/>
      <c r="O134" s="294">
        <f>ROUND(N134*I134,2)</f>
        <v>0</v>
      </c>
      <c r="P134" s="273">
        <f>H134-L134-N134</f>
        <v>1</v>
      </c>
      <c r="Q134" s="287">
        <f>ROUND(P134*I134,2)</f>
        <v>16625.34</v>
      </c>
      <c r="R134" s="137"/>
      <c r="S134" s="269">
        <f>W134+Y134+AA134+AC134</f>
        <v>0</v>
      </c>
      <c r="T134" s="269">
        <f>ROUND(S134*I134,2)</f>
        <v>0</v>
      </c>
      <c r="U134" s="269">
        <f>H134-S134</f>
        <v>1</v>
      </c>
      <c r="V134" s="269">
        <f>ROUND(U134*I134,2)</f>
        <v>16625.34</v>
      </c>
      <c r="W134" s="269"/>
      <c r="X134" s="269"/>
      <c r="Y134" s="269"/>
      <c r="Z134" s="269"/>
      <c r="AA134" s="269"/>
      <c r="AB134" s="269"/>
      <c r="AC134" s="269"/>
      <c r="AD134" s="269"/>
      <c r="AR134" s="132" t="s">
        <v>1</v>
      </c>
      <c r="AS134" s="133" t="s">
        <v>40</v>
      </c>
      <c r="AU134" s="134">
        <f>AT134*H134</f>
        <v>0</v>
      </c>
      <c r="AV134" s="134">
        <v>0</v>
      </c>
      <c r="AW134" s="134">
        <f>AV134*H134</f>
        <v>0</v>
      </c>
      <c r="AX134" s="134">
        <v>0</v>
      </c>
      <c r="AY134" s="135">
        <f>AX134*H134</f>
        <v>0</v>
      </c>
      <c r="BW134" s="136" t="s">
        <v>95</v>
      </c>
      <c r="BY134" s="136" t="s">
        <v>284</v>
      </c>
      <c r="BZ134" s="136" t="s">
        <v>83</v>
      </c>
      <c r="CD134" s="16" t="s">
        <v>282</v>
      </c>
      <c r="CJ134" s="137">
        <f>IF(AS134="základní",J134,0)</f>
        <v>16625.34</v>
      </c>
      <c r="CK134" s="137">
        <f>IF(AS134="snížená",J134,0)</f>
        <v>0</v>
      </c>
      <c r="CL134" s="137">
        <f>IF(AS134="zákl. přenesená",J134,0)</f>
        <v>0</v>
      </c>
      <c r="CM134" s="137">
        <f>IF(AS134="sníž. přenesená",J134,0)</f>
        <v>0</v>
      </c>
      <c r="CN134" s="137">
        <f>IF(AS134="nulová",J134,0)</f>
        <v>0</v>
      </c>
      <c r="CO134" s="16" t="s">
        <v>81</v>
      </c>
      <c r="CP134" s="137">
        <f>ROUND(I134*H134,2)</f>
        <v>16625.34</v>
      </c>
      <c r="CQ134" s="16" t="s">
        <v>95</v>
      </c>
      <c r="CR134" s="136" t="s">
        <v>328</v>
      </c>
    </row>
    <row r="135" spans="2:96" s="1" customFormat="1" ht="19.5" x14ac:dyDescent="0.2">
      <c r="B135" s="31"/>
      <c r="D135" s="138" t="s">
        <v>289</v>
      </c>
      <c r="F135" s="139" t="s">
        <v>2870</v>
      </c>
      <c r="I135" s="140"/>
      <c r="L135" s="31"/>
      <c r="N135" s="213"/>
      <c r="O135" s="214"/>
      <c r="Q135" s="229"/>
      <c r="AR135" s="141"/>
      <c r="AY135" s="50"/>
      <c r="BY135" s="16" t="s">
        <v>289</v>
      </c>
      <c r="BZ135" s="16" t="s">
        <v>83</v>
      </c>
    </row>
    <row r="136" spans="2:96" s="1" customFormat="1" ht="14.45" customHeight="1" x14ac:dyDescent="0.2">
      <c r="B136" s="124"/>
      <c r="C136" s="125" t="s">
        <v>312</v>
      </c>
      <c r="D136" s="125" t="s">
        <v>284</v>
      </c>
      <c r="E136" s="126" t="s">
        <v>2872</v>
      </c>
      <c r="F136" s="127" t="s">
        <v>2873</v>
      </c>
      <c r="G136" s="128" t="s">
        <v>2874</v>
      </c>
      <c r="H136" s="129">
        <v>6</v>
      </c>
      <c r="I136" s="130">
        <v>338.42122529599999</v>
      </c>
      <c r="J136" s="131">
        <f>ROUND(I136*H136,2)</f>
        <v>2030.53</v>
      </c>
      <c r="K136" s="127" t="s">
        <v>1</v>
      </c>
      <c r="L136" s="268">
        <f>S136</f>
        <v>0</v>
      </c>
      <c r="M136" s="272">
        <f>ROUND(L136*I136,2)</f>
        <v>0</v>
      </c>
      <c r="N136" s="243"/>
      <c r="O136" s="294">
        <f>ROUND(N136*I136,2)</f>
        <v>0</v>
      </c>
      <c r="P136" s="273">
        <f>H136-L136-N136</f>
        <v>6</v>
      </c>
      <c r="Q136" s="287">
        <f>ROUND(P136*I136,2)</f>
        <v>2030.53</v>
      </c>
      <c r="R136" s="137"/>
      <c r="S136" s="269">
        <f>W136+Y136+AA136+AC136</f>
        <v>0</v>
      </c>
      <c r="T136" s="269">
        <f>ROUND(S136*I136,2)</f>
        <v>0</v>
      </c>
      <c r="U136" s="269">
        <f>H136-S136</f>
        <v>6</v>
      </c>
      <c r="V136" s="269">
        <f>ROUND(U136*I136,2)</f>
        <v>2030.53</v>
      </c>
      <c r="W136" s="269"/>
      <c r="X136" s="269"/>
      <c r="Y136" s="269"/>
      <c r="Z136" s="269"/>
      <c r="AA136" s="269"/>
      <c r="AB136" s="269"/>
      <c r="AC136" s="269"/>
      <c r="AD136" s="269"/>
      <c r="AR136" s="132" t="s">
        <v>1</v>
      </c>
      <c r="AS136" s="133" t="s">
        <v>40</v>
      </c>
      <c r="AU136" s="134">
        <f>AT136*H136</f>
        <v>0</v>
      </c>
      <c r="AV136" s="134">
        <v>0</v>
      </c>
      <c r="AW136" s="134">
        <f>AV136*H136</f>
        <v>0</v>
      </c>
      <c r="AX136" s="134">
        <v>0</v>
      </c>
      <c r="AY136" s="135">
        <f>AX136*H136</f>
        <v>0</v>
      </c>
      <c r="BW136" s="136" t="s">
        <v>95</v>
      </c>
      <c r="BY136" s="136" t="s">
        <v>284</v>
      </c>
      <c r="BZ136" s="136" t="s">
        <v>83</v>
      </c>
      <c r="CD136" s="16" t="s">
        <v>282</v>
      </c>
      <c r="CJ136" s="137">
        <f>IF(AS136="základní",J136,0)</f>
        <v>2030.53</v>
      </c>
      <c r="CK136" s="137">
        <f>IF(AS136="snížená",J136,0)</f>
        <v>0</v>
      </c>
      <c r="CL136" s="137">
        <f>IF(AS136="zákl. přenesená",J136,0)</f>
        <v>0</v>
      </c>
      <c r="CM136" s="137">
        <f>IF(AS136="sníž. přenesená",J136,0)</f>
        <v>0</v>
      </c>
      <c r="CN136" s="137">
        <f>IF(AS136="nulová",J136,0)</f>
        <v>0</v>
      </c>
      <c r="CO136" s="16" t="s">
        <v>81</v>
      </c>
      <c r="CP136" s="137">
        <f>ROUND(I136*H136,2)</f>
        <v>2030.53</v>
      </c>
      <c r="CQ136" s="16" t="s">
        <v>95</v>
      </c>
      <c r="CR136" s="136" t="s">
        <v>341</v>
      </c>
    </row>
    <row r="137" spans="2:96" s="1" customFormat="1" x14ac:dyDescent="0.2">
      <c r="B137" s="31"/>
      <c r="D137" s="138" t="s">
        <v>289</v>
      </c>
      <c r="F137" s="139" t="s">
        <v>2873</v>
      </c>
      <c r="I137" s="140"/>
      <c r="L137" s="31"/>
      <c r="N137" s="213"/>
      <c r="O137" s="214"/>
      <c r="Q137" s="229"/>
      <c r="AR137" s="141"/>
      <c r="AY137" s="50"/>
      <c r="BY137" s="16" t="s">
        <v>289</v>
      </c>
      <c r="BZ137" s="16" t="s">
        <v>83</v>
      </c>
    </row>
    <row r="138" spans="2:96" s="1" customFormat="1" ht="14.45" customHeight="1" x14ac:dyDescent="0.2">
      <c r="B138" s="124"/>
      <c r="C138" s="125" t="s">
        <v>318</v>
      </c>
      <c r="D138" s="125" t="s">
        <v>284</v>
      </c>
      <c r="E138" s="126" t="s">
        <v>2875</v>
      </c>
      <c r="F138" s="127" t="s">
        <v>2876</v>
      </c>
      <c r="G138" s="128" t="s">
        <v>2874</v>
      </c>
      <c r="H138" s="129">
        <v>2</v>
      </c>
      <c r="I138" s="130">
        <v>303.94257381599999</v>
      </c>
      <c r="J138" s="131">
        <f>ROUND(I138*H138,2)</f>
        <v>607.89</v>
      </c>
      <c r="K138" s="127" t="s">
        <v>1</v>
      </c>
      <c r="L138" s="268">
        <f>S138</f>
        <v>0</v>
      </c>
      <c r="M138" s="272">
        <f>ROUND(L138*I138,2)</f>
        <v>0</v>
      </c>
      <c r="N138" s="243"/>
      <c r="O138" s="294">
        <f>ROUND(N138*I138,2)</f>
        <v>0</v>
      </c>
      <c r="P138" s="273">
        <f>H138-L138-N138</f>
        <v>2</v>
      </c>
      <c r="Q138" s="287">
        <f>ROUND(P138*I138,2)</f>
        <v>607.89</v>
      </c>
      <c r="R138" s="137"/>
      <c r="S138" s="269">
        <f>W138+Y138+AA138+AC138</f>
        <v>0</v>
      </c>
      <c r="T138" s="269">
        <f>ROUND(S138*I138,2)</f>
        <v>0</v>
      </c>
      <c r="U138" s="269">
        <f>H138-S138</f>
        <v>2</v>
      </c>
      <c r="V138" s="269">
        <f>ROUND(U138*I138,2)</f>
        <v>607.89</v>
      </c>
      <c r="W138" s="269"/>
      <c r="X138" s="269"/>
      <c r="Y138" s="269"/>
      <c r="Z138" s="269"/>
      <c r="AA138" s="269"/>
      <c r="AB138" s="269"/>
      <c r="AC138" s="269"/>
      <c r="AD138" s="269"/>
      <c r="AR138" s="132" t="s">
        <v>1</v>
      </c>
      <c r="AS138" s="133" t="s">
        <v>40</v>
      </c>
      <c r="AU138" s="134">
        <f>AT138*H138</f>
        <v>0</v>
      </c>
      <c r="AV138" s="134">
        <v>0</v>
      </c>
      <c r="AW138" s="134">
        <f>AV138*H138</f>
        <v>0</v>
      </c>
      <c r="AX138" s="134">
        <v>0</v>
      </c>
      <c r="AY138" s="135">
        <f>AX138*H138</f>
        <v>0</v>
      </c>
      <c r="BW138" s="136" t="s">
        <v>95</v>
      </c>
      <c r="BY138" s="136" t="s">
        <v>284</v>
      </c>
      <c r="BZ138" s="136" t="s">
        <v>83</v>
      </c>
      <c r="CD138" s="16" t="s">
        <v>282</v>
      </c>
      <c r="CJ138" s="137">
        <f>IF(AS138="základní",J138,0)</f>
        <v>607.89</v>
      </c>
      <c r="CK138" s="137">
        <f>IF(AS138="snížená",J138,0)</f>
        <v>0</v>
      </c>
      <c r="CL138" s="137">
        <f>IF(AS138="zákl. přenesená",J138,0)</f>
        <v>0</v>
      </c>
      <c r="CM138" s="137">
        <f>IF(AS138="sníž. přenesená",J138,0)</f>
        <v>0</v>
      </c>
      <c r="CN138" s="137">
        <f>IF(AS138="nulová",J138,0)</f>
        <v>0</v>
      </c>
      <c r="CO138" s="16" t="s">
        <v>81</v>
      </c>
      <c r="CP138" s="137">
        <f>ROUND(I138*H138,2)</f>
        <v>607.89</v>
      </c>
      <c r="CQ138" s="16" t="s">
        <v>95</v>
      </c>
      <c r="CR138" s="136" t="s">
        <v>327</v>
      </c>
    </row>
    <row r="139" spans="2:96" s="1" customFormat="1" x14ac:dyDescent="0.2">
      <c r="B139" s="31"/>
      <c r="D139" s="138" t="s">
        <v>289</v>
      </c>
      <c r="F139" s="139" t="s">
        <v>2876</v>
      </c>
      <c r="I139" s="140"/>
      <c r="L139" s="31"/>
      <c r="N139" s="213"/>
      <c r="O139" s="214"/>
      <c r="Q139" s="229"/>
      <c r="AR139" s="141"/>
      <c r="AY139" s="50"/>
      <c r="BY139" s="16" t="s">
        <v>289</v>
      </c>
      <c r="BZ139" s="16" t="s">
        <v>83</v>
      </c>
    </row>
    <row r="140" spans="2:96" s="1" customFormat="1" ht="14.45" customHeight="1" x14ac:dyDescent="0.2">
      <c r="B140" s="124"/>
      <c r="C140" s="125" t="s">
        <v>323</v>
      </c>
      <c r="D140" s="125" t="s">
        <v>284</v>
      </c>
      <c r="E140" s="126" t="s">
        <v>2877</v>
      </c>
      <c r="F140" s="127" t="s">
        <v>2878</v>
      </c>
      <c r="G140" s="128" t="s">
        <v>2874</v>
      </c>
      <c r="H140" s="129">
        <v>1</v>
      </c>
      <c r="I140" s="130">
        <v>1092.9732519160002</v>
      </c>
      <c r="J140" s="131">
        <f>ROUND(I140*H140,2)</f>
        <v>1092.97</v>
      </c>
      <c r="K140" s="127" t="s">
        <v>1</v>
      </c>
      <c r="L140" s="268">
        <f>S140</f>
        <v>0</v>
      </c>
      <c r="M140" s="272">
        <f>ROUND(L140*I140,2)</f>
        <v>0</v>
      </c>
      <c r="N140" s="243"/>
      <c r="O140" s="294">
        <f>ROUND(N140*I140,2)</f>
        <v>0</v>
      </c>
      <c r="P140" s="273">
        <f>H140-L140-N140</f>
        <v>1</v>
      </c>
      <c r="Q140" s="287">
        <f>ROUND(P140*I140,2)</f>
        <v>1092.97</v>
      </c>
      <c r="R140" s="137"/>
      <c r="S140" s="269">
        <f>W140+Y140+AA140+AC140</f>
        <v>0</v>
      </c>
      <c r="T140" s="269">
        <f>ROUND(S140*I140,2)</f>
        <v>0</v>
      </c>
      <c r="U140" s="269">
        <f>H140-S140</f>
        <v>1</v>
      </c>
      <c r="V140" s="269">
        <f>ROUND(U140*I140,2)</f>
        <v>1092.97</v>
      </c>
      <c r="W140" s="269"/>
      <c r="X140" s="269"/>
      <c r="Y140" s="269"/>
      <c r="Z140" s="269"/>
      <c r="AA140" s="269"/>
      <c r="AB140" s="269"/>
      <c r="AC140" s="269"/>
      <c r="AD140" s="269"/>
      <c r="AR140" s="132" t="s">
        <v>1</v>
      </c>
      <c r="AS140" s="133" t="s">
        <v>40</v>
      </c>
      <c r="AU140" s="134">
        <f>AT140*H140</f>
        <v>0</v>
      </c>
      <c r="AV140" s="134">
        <v>0</v>
      </c>
      <c r="AW140" s="134">
        <f>AV140*H140</f>
        <v>0</v>
      </c>
      <c r="AX140" s="134">
        <v>0</v>
      </c>
      <c r="AY140" s="135">
        <f>AX140*H140</f>
        <v>0</v>
      </c>
      <c r="BW140" s="136" t="s">
        <v>95</v>
      </c>
      <c r="BY140" s="136" t="s">
        <v>284</v>
      </c>
      <c r="BZ140" s="136" t="s">
        <v>83</v>
      </c>
      <c r="CD140" s="16" t="s">
        <v>282</v>
      </c>
      <c r="CJ140" s="137">
        <f>IF(AS140="základní",J140,0)</f>
        <v>1092.97</v>
      </c>
      <c r="CK140" s="137">
        <f>IF(AS140="snížená",J140,0)</f>
        <v>0</v>
      </c>
      <c r="CL140" s="137">
        <f>IF(AS140="zákl. přenesená",J140,0)</f>
        <v>0</v>
      </c>
      <c r="CM140" s="137">
        <f>IF(AS140="sníž. přenesená",J140,0)</f>
        <v>0</v>
      </c>
      <c r="CN140" s="137">
        <f>IF(AS140="nulová",J140,0)</f>
        <v>0</v>
      </c>
      <c r="CO140" s="16" t="s">
        <v>81</v>
      </c>
      <c r="CP140" s="137">
        <f>ROUND(I140*H140,2)</f>
        <v>1092.97</v>
      </c>
      <c r="CQ140" s="16" t="s">
        <v>95</v>
      </c>
      <c r="CR140" s="136" t="s">
        <v>363</v>
      </c>
    </row>
    <row r="141" spans="2:96" s="1" customFormat="1" x14ac:dyDescent="0.2">
      <c r="B141" s="31"/>
      <c r="D141" s="138" t="s">
        <v>289</v>
      </c>
      <c r="F141" s="139" t="s">
        <v>2878</v>
      </c>
      <c r="I141" s="140"/>
      <c r="L141" s="31"/>
      <c r="N141" s="213"/>
      <c r="O141" s="214"/>
      <c r="Q141" s="229"/>
      <c r="AR141" s="141"/>
      <c r="AY141" s="50"/>
      <c r="BY141" s="16" t="s">
        <v>289</v>
      </c>
      <c r="BZ141" s="16" t="s">
        <v>83</v>
      </c>
    </row>
    <row r="142" spans="2:96" s="1" customFormat="1" ht="14.45" customHeight="1" x14ac:dyDescent="0.2">
      <c r="B142" s="124"/>
      <c r="C142" s="125" t="s">
        <v>328</v>
      </c>
      <c r="D142" s="125" t="s">
        <v>284</v>
      </c>
      <c r="E142" s="126" t="s">
        <v>2879</v>
      </c>
      <c r="F142" s="127" t="s">
        <v>2880</v>
      </c>
      <c r="G142" s="128" t="s">
        <v>2874</v>
      </c>
      <c r="H142" s="129">
        <v>1</v>
      </c>
      <c r="I142" s="130">
        <v>1199.3929358109999</v>
      </c>
      <c r="J142" s="131">
        <f>ROUND(I142*H142,2)</f>
        <v>1199.3900000000001</v>
      </c>
      <c r="K142" s="127" t="s">
        <v>1</v>
      </c>
      <c r="L142" s="268">
        <f>S142</f>
        <v>0</v>
      </c>
      <c r="M142" s="272">
        <f>ROUND(L142*I142,2)</f>
        <v>0</v>
      </c>
      <c r="N142" s="243"/>
      <c r="O142" s="294">
        <f>ROUND(N142*I142,2)</f>
        <v>0</v>
      </c>
      <c r="P142" s="273">
        <f>H142-L142-N142</f>
        <v>1</v>
      </c>
      <c r="Q142" s="287">
        <f>ROUND(P142*I142,2)</f>
        <v>1199.3900000000001</v>
      </c>
      <c r="R142" s="137"/>
      <c r="S142" s="269">
        <f>W142+Y142+AA142+AC142</f>
        <v>0</v>
      </c>
      <c r="T142" s="269">
        <f>ROUND(S142*I142,2)</f>
        <v>0</v>
      </c>
      <c r="U142" s="269">
        <f>H142-S142</f>
        <v>1</v>
      </c>
      <c r="V142" s="269">
        <f>ROUND(U142*I142,2)</f>
        <v>1199.3900000000001</v>
      </c>
      <c r="W142" s="269"/>
      <c r="X142" s="269"/>
      <c r="Y142" s="269"/>
      <c r="Z142" s="269"/>
      <c r="AA142" s="269"/>
      <c r="AB142" s="269"/>
      <c r="AC142" s="269"/>
      <c r="AD142" s="269"/>
      <c r="AR142" s="132" t="s">
        <v>1</v>
      </c>
      <c r="AS142" s="133" t="s">
        <v>40</v>
      </c>
      <c r="AU142" s="134">
        <f>AT142*H142</f>
        <v>0</v>
      </c>
      <c r="AV142" s="134">
        <v>0</v>
      </c>
      <c r="AW142" s="134">
        <f>AV142*H142</f>
        <v>0</v>
      </c>
      <c r="AX142" s="134">
        <v>0</v>
      </c>
      <c r="AY142" s="135">
        <f>AX142*H142</f>
        <v>0</v>
      </c>
      <c r="BW142" s="136" t="s">
        <v>95</v>
      </c>
      <c r="BY142" s="136" t="s">
        <v>284</v>
      </c>
      <c r="BZ142" s="136" t="s">
        <v>83</v>
      </c>
      <c r="CD142" s="16" t="s">
        <v>282</v>
      </c>
      <c r="CJ142" s="137">
        <f>IF(AS142="základní",J142,0)</f>
        <v>1199.3900000000001</v>
      </c>
      <c r="CK142" s="137">
        <f>IF(AS142="snížená",J142,0)</f>
        <v>0</v>
      </c>
      <c r="CL142" s="137">
        <f>IF(AS142="zákl. přenesená",J142,0)</f>
        <v>0</v>
      </c>
      <c r="CM142" s="137">
        <f>IF(AS142="sníž. přenesená",J142,0)</f>
        <v>0</v>
      </c>
      <c r="CN142" s="137">
        <f>IF(AS142="nulová",J142,0)</f>
        <v>0</v>
      </c>
      <c r="CO142" s="16" t="s">
        <v>81</v>
      </c>
      <c r="CP142" s="137">
        <f>ROUND(I142*H142,2)</f>
        <v>1199.3900000000001</v>
      </c>
      <c r="CQ142" s="16" t="s">
        <v>95</v>
      </c>
      <c r="CR142" s="136" t="s">
        <v>379</v>
      </c>
    </row>
    <row r="143" spans="2:96" s="1" customFormat="1" x14ac:dyDescent="0.2">
      <c r="B143" s="31"/>
      <c r="D143" s="138" t="s">
        <v>289</v>
      </c>
      <c r="F143" s="139" t="s">
        <v>2880</v>
      </c>
      <c r="I143" s="140"/>
      <c r="L143" s="31"/>
      <c r="N143" s="213"/>
      <c r="O143" s="214"/>
      <c r="Q143" s="229"/>
      <c r="AR143" s="141"/>
      <c r="AY143" s="50"/>
      <c r="BY143" s="16" t="s">
        <v>289</v>
      </c>
      <c r="BZ143" s="16" t="s">
        <v>83</v>
      </c>
    </row>
    <row r="144" spans="2:96" s="1" customFormat="1" ht="14.45" customHeight="1" x14ac:dyDescent="0.2">
      <c r="B144" s="124"/>
      <c r="C144" s="125" t="s">
        <v>335</v>
      </c>
      <c r="D144" s="125" t="s">
        <v>284</v>
      </c>
      <c r="E144" s="126" t="s">
        <v>2881</v>
      </c>
      <c r="F144" s="127" t="s">
        <v>2882</v>
      </c>
      <c r="G144" s="128" t="s">
        <v>2874</v>
      </c>
      <c r="H144" s="129">
        <v>1</v>
      </c>
      <c r="I144" s="130">
        <v>2164.1984313600001</v>
      </c>
      <c r="J144" s="131">
        <f>ROUND(I144*H144,2)</f>
        <v>2164.1999999999998</v>
      </c>
      <c r="K144" s="127" t="s">
        <v>1</v>
      </c>
      <c r="L144" s="268">
        <f>S144</f>
        <v>0</v>
      </c>
      <c r="M144" s="272">
        <f>ROUND(L144*I144,2)</f>
        <v>0</v>
      </c>
      <c r="N144" s="243"/>
      <c r="O144" s="294">
        <f>ROUND(N144*I144,2)</f>
        <v>0</v>
      </c>
      <c r="P144" s="273">
        <f>H144-L144-N144</f>
        <v>1</v>
      </c>
      <c r="Q144" s="287">
        <f>ROUND(P144*I144,2)</f>
        <v>2164.1999999999998</v>
      </c>
      <c r="R144" s="137"/>
      <c r="S144" s="269">
        <f>W144+Y144+AA144+AC144</f>
        <v>0</v>
      </c>
      <c r="T144" s="269">
        <f>ROUND(S144*I144,2)</f>
        <v>0</v>
      </c>
      <c r="U144" s="269">
        <f>H144-S144</f>
        <v>1</v>
      </c>
      <c r="V144" s="269">
        <f>ROUND(U144*I144,2)</f>
        <v>2164.1999999999998</v>
      </c>
      <c r="W144" s="269"/>
      <c r="X144" s="269"/>
      <c r="Y144" s="269"/>
      <c r="Z144" s="269"/>
      <c r="AA144" s="269"/>
      <c r="AB144" s="269"/>
      <c r="AC144" s="269"/>
      <c r="AD144" s="269"/>
      <c r="AR144" s="132" t="s">
        <v>1</v>
      </c>
      <c r="AS144" s="133" t="s">
        <v>40</v>
      </c>
      <c r="AU144" s="134">
        <f>AT144*H144</f>
        <v>0</v>
      </c>
      <c r="AV144" s="134">
        <v>0</v>
      </c>
      <c r="AW144" s="134">
        <f>AV144*H144</f>
        <v>0</v>
      </c>
      <c r="AX144" s="134">
        <v>0</v>
      </c>
      <c r="AY144" s="135">
        <f>AX144*H144</f>
        <v>0</v>
      </c>
      <c r="BW144" s="136" t="s">
        <v>95</v>
      </c>
      <c r="BY144" s="136" t="s">
        <v>284</v>
      </c>
      <c r="BZ144" s="136" t="s">
        <v>83</v>
      </c>
      <c r="CD144" s="16" t="s">
        <v>282</v>
      </c>
      <c r="CJ144" s="137">
        <f>IF(AS144="základní",J144,0)</f>
        <v>2164.1999999999998</v>
      </c>
      <c r="CK144" s="137">
        <f>IF(AS144="snížená",J144,0)</f>
        <v>0</v>
      </c>
      <c r="CL144" s="137">
        <f>IF(AS144="zákl. přenesená",J144,0)</f>
        <v>0</v>
      </c>
      <c r="CM144" s="137">
        <f>IF(AS144="sníž. přenesená",J144,0)</f>
        <v>0</v>
      </c>
      <c r="CN144" s="137">
        <f>IF(AS144="nulová",J144,0)</f>
        <v>0</v>
      </c>
      <c r="CO144" s="16" t="s">
        <v>81</v>
      </c>
      <c r="CP144" s="137">
        <f>ROUND(I144*H144,2)</f>
        <v>2164.1999999999998</v>
      </c>
      <c r="CQ144" s="16" t="s">
        <v>95</v>
      </c>
      <c r="CR144" s="136" t="s">
        <v>392</v>
      </c>
    </row>
    <row r="145" spans="2:96" s="1" customFormat="1" x14ac:dyDescent="0.2">
      <c r="B145" s="31"/>
      <c r="D145" s="138" t="s">
        <v>289</v>
      </c>
      <c r="F145" s="139" t="s">
        <v>2882</v>
      </c>
      <c r="I145" s="140"/>
      <c r="L145" s="31"/>
      <c r="N145" s="213"/>
      <c r="O145" s="214"/>
      <c r="Q145" s="229"/>
      <c r="AR145" s="141"/>
      <c r="AY145" s="50"/>
      <c r="BY145" s="16" t="s">
        <v>289</v>
      </c>
      <c r="BZ145" s="16" t="s">
        <v>83</v>
      </c>
    </row>
    <row r="146" spans="2:96" s="1" customFormat="1" ht="14.45" customHeight="1" x14ac:dyDescent="0.2">
      <c r="B146" s="124"/>
      <c r="C146" s="125" t="s">
        <v>341</v>
      </c>
      <c r="D146" s="125" t="s">
        <v>284</v>
      </c>
      <c r="E146" s="126" t="s">
        <v>2883</v>
      </c>
      <c r="F146" s="127" t="s">
        <v>2884</v>
      </c>
      <c r="G146" s="128" t="s">
        <v>2874</v>
      </c>
      <c r="H146" s="129">
        <v>1</v>
      </c>
      <c r="I146" s="130">
        <v>715.03418761599994</v>
      </c>
      <c r="J146" s="131">
        <f>ROUND(I146*H146,2)</f>
        <v>715.03</v>
      </c>
      <c r="K146" s="127" t="s">
        <v>1</v>
      </c>
      <c r="L146" s="268">
        <f>S146</f>
        <v>0</v>
      </c>
      <c r="M146" s="272">
        <f>ROUND(L146*I146,2)</f>
        <v>0</v>
      </c>
      <c r="N146" s="243"/>
      <c r="O146" s="294">
        <f>ROUND(N146*I146,2)</f>
        <v>0</v>
      </c>
      <c r="P146" s="273">
        <f>H146-L146-N146</f>
        <v>1</v>
      </c>
      <c r="Q146" s="287">
        <f>ROUND(P146*I146,2)</f>
        <v>715.03</v>
      </c>
      <c r="R146" s="137"/>
      <c r="S146" s="269">
        <f>W146+Y146+AA146+AC146</f>
        <v>0</v>
      </c>
      <c r="T146" s="269">
        <f>ROUND(S146*I146,2)</f>
        <v>0</v>
      </c>
      <c r="U146" s="269">
        <f>H146-S146</f>
        <v>1</v>
      </c>
      <c r="V146" s="269">
        <f>ROUND(U146*I146,2)</f>
        <v>715.03</v>
      </c>
      <c r="W146" s="269"/>
      <c r="X146" s="269"/>
      <c r="Y146" s="269"/>
      <c r="Z146" s="269"/>
      <c r="AA146" s="269"/>
      <c r="AB146" s="269"/>
      <c r="AC146" s="269"/>
      <c r="AD146" s="269"/>
      <c r="AR146" s="132" t="s">
        <v>1</v>
      </c>
      <c r="AS146" s="133" t="s">
        <v>40</v>
      </c>
      <c r="AU146" s="134">
        <f>AT146*H146</f>
        <v>0</v>
      </c>
      <c r="AV146" s="134">
        <v>0</v>
      </c>
      <c r="AW146" s="134">
        <f>AV146*H146</f>
        <v>0</v>
      </c>
      <c r="AX146" s="134">
        <v>0</v>
      </c>
      <c r="AY146" s="135">
        <f>AX146*H146</f>
        <v>0</v>
      </c>
      <c r="BW146" s="136" t="s">
        <v>95</v>
      </c>
      <c r="BY146" s="136" t="s">
        <v>284</v>
      </c>
      <c r="BZ146" s="136" t="s">
        <v>83</v>
      </c>
      <c r="CD146" s="16" t="s">
        <v>282</v>
      </c>
      <c r="CJ146" s="137">
        <f>IF(AS146="základní",J146,0)</f>
        <v>715.03</v>
      </c>
      <c r="CK146" s="137">
        <f>IF(AS146="snížená",J146,0)</f>
        <v>0</v>
      </c>
      <c r="CL146" s="137">
        <f>IF(AS146="zákl. přenesená",J146,0)</f>
        <v>0</v>
      </c>
      <c r="CM146" s="137">
        <f>IF(AS146="sníž. přenesená",J146,0)</f>
        <v>0</v>
      </c>
      <c r="CN146" s="137">
        <f>IF(AS146="nulová",J146,0)</f>
        <v>0</v>
      </c>
      <c r="CO146" s="16" t="s">
        <v>81</v>
      </c>
      <c r="CP146" s="137">
        <f>ROUND(I146*H146,2)</f>
        <v>715.03</v>
      </c>
      <c r="CQ146" s="16" t="s">
        <v>95</v>
      </c>
      <c r="CR146" s="136" t="s">
        <v>404</v>
      </c>
    </row>
    <row r="147" spans="2:96" s="1" customFormat="1" x14ac:dyDescent="0.2">
      <c r="B147" s="31"/>
      <c r="D147" s="138" t="s">
        <v>289</v>
      </c>
      <c r="F147" s="139" t="s">
        <v>2884</v>
      </c>
      <c r="I147" s="140"/>
      <c r="L147" s="31"/>
      <c r="N147" s="213"/>
      <c r="O147" s="214"/>
      <c r="Q147" s="229"/>
      <c r="AR147" s="141"/>
      <c r="AY147" s="50"/>
      <c r="BY147" s="16" t="s">
        <v>289</v>
      </c>
      <c r="BZ147" s="16" t="s">
        <v>83</v>
      </c>
    </row>
    <row r="148" spans="2:96" s="1" customFormat="1" ht="14.45" customHeight="1" x14ac:dyDescent="0.2">
      <c r="B148" s="124"/>
      <c r="C148" s="125" t="s">
        <v>348</v>
      </c>
      <c r="D148" s="125" t="s">
        <v>284</v>
      </c>
      <c r="E148" s="126" t="s">
        <v>2885</v>
      </c>
      <c r="F148" s="127" t="s">
        <v>2886</v>
      </c>
      <c r="G148" s="128" t="s">
        <v>2874</v>
      </c>
      <c r="H148" s="129">
        <v>1</v>
      </c>
      <c r="I148" s="130">
        <v>1030.7127639550001</v>
      </c>
      <c r="J148" s="131">
        <f>ROUND(I148*H148,2)</f>
        <v>1030.71</v>
      </c>
      <c r="K148" s="127" t="s">
        <v>1</v>
      </c>
      <c r="L148" s="268">
        <f>S148</f>
        <v>0</v>
      </c>
      <c r="M148" s="272">
        <f>ROUND(L148*I148,2)</f>
        <v>0</v>
      </c>
      <c r="N148" s="243"/>
      <c r="O148" s="294">
        <f>ROUND(N148*I148,2)</f>
        <v>0</v>
      </c>
      <c r="P148" s="273">
        <f>H148-L148-N148</f>
        <v>1</v>
      </c>
      <c r="Q148" s="287">
        <f>ROUND(P148*I148,2)</f>
        <v>1030.71</v>
      </c>
      <c r="R148" s="137"/>
      <c r="S148" s="269">
        <f>W148+Y148+AA148+AC148</f>
        <v>0</v>
      </c>
      <c r="T148" s="269">
        <f>ROUND(S148*I148,2)</f>
        <v>0</v>
      </c>
      <c r="U148" s="269">
        <f>H148-S148</f>
        <v>1</v>
      </c>
      <c r="V148" s="269">
        <f>ROUND(U148*I148,2)</f>
        <v>1030.71</v>
      </c>
      <c r="W148" s="269"/>
      <c r="X148" s="269"/>
      <c r="Y148" s="269"/>
      <c r="Z148" s="269"/>
      <c r="AA148" s="269"/>
      <c r="AB148" s="269"/>
      <c r="AC148" s="269"/>
      <c r="AD148" s="269"/>
      <c r="AR148" s="132" t="s">
        <v>1</v>
      </c>
      <c r="AS148" s="133" t="s">
        <v>40</v>
      </c>
      <c r="AU148" s="134">
        <f>AT148*H148</f>
        <v>0</v>
      </c>
      <c r="AV148" s="134">
        <v>0</v>
      </c>
      <c r="AW148" s="134">
        <f>AV148*H148</f>
        <v>0</v>
      </c>
      <c r="AX148" s="134">
        <v>0</v>
      </c>
      <c r="AY148" s="135">
        <f>AX148*H148</f>
        <v>0</v>
      </c>
      <c r="BW148" s="136" t="s">
        <v>95</v>
      </c>
      <c r="BY148" s="136" t="s">
        <v>284</v>
      </c>
      <c r="BZ148" s="136" t="s">
        <v>83</v>
      </c>
      <c r="CD148" s="16" t="s">
        <v>282</v>
      </c>
      <c r="CJ148" s="137">
        <f>IF(AS148="základní",J148,0)</f>
        <v>1030.71</v>
      </c>
      <c r="CK148" s="137">
        <f>IF(AS148="snížená",J148,0)</f>
        <v>0</v>
      </c>
      <c r="CL148" s="137">
        <f>IF(AS148="zákl. přenesená",J148,0)</f>
        <v>0</v>
      </c>
      <c r="CM148" s="137">
        <f>IF(AS148="sníž. přenesená",J148,0)</f>
        <v>0</v>
      </c>
      <c r="CN148" s="137">
        <f>IF(AS148="nulová",J148,0)</f>
        <v>0</v>
      </c>
      <c r="CO148" s="16" t="s">
        <v>81</v>
      </c>
      <c r="CP148" s="137">
        <f>ROUND(I148*H148,2)</f>
        <v>1030.71</v>
      </c>
      <c r="CQ148" s="16" t="s">
        <v>95</v>
      </c>
      <c r="CR148" s="136" t="s">
        <v>415</v>
      </c>
    </row>
    <row r="149" spans="2:96" s="1" customFormat="1" x14ac:dyDescent="0.2">
      <c r="B149" s="31"/>
      <c r="D149" s="138" t="s">
        <v>289</v>
      </c>
      <c r="F149" s="139" t="s">
        <v>2886</v>
      </c>
      <c r="I149" s="140"/>
      <c r="L149" s="31"/>
      <c r="N149" s="213"/>
      <c r="O149" s="214"/>
      <c r="Q149" s="229"/>
      <c r="AR149" s="141"/>
      <c r="AY149" s="50"/>
      <c r="BY149" s="16" t="s">
        <v>289</v>
      </c>
      <c r="BZ149" s="16" t="s">
        <v>83</v>
      </c>
    </row>
    <row r="150" spans="2:96" s="1" customFormat="1" ht="14.45" customHeight="1" x14ac:dyDescent="0.2">
      <c r="B150" s="124"/>
      <c r="C150" s="125" t="s">
        <v>327</v>
      </c>
      <c r="D150" s="125" t="s">
        <v>284</v>
      </c>
      <c r="E150" s="126" t="s">
        <v>2887</v>
      </c>
      <c r="F150" s="127" t="s">
        <v>2888</v>
      </c>
      <c r="G150" s="128" t="s">
        <v>2874</v>
      </c>
      <c r="H150" s="129">
        <v>1</v>
      </c>
      <c r="I150" s="130">
        <v>3265.9239563440001</v>
      </c>
      <c r="J150" s="131">
        <f>ROUND(I150*H150,2)</f>
        <v>3265.92</v>
      </c>
      <c r="K150" s="127" t="s">
        <v>1</v>
      </c>
      <c r="L150" s="268">
        <f>S150</f>
        <v>0</v>
      </c>
      <c r="M150" s="272">
        <f>ROUND(L150*I150,2)</f>
        <v>0</v>
      </c>
      <c r="N150" s="243"/>
      <c r="O150" s="294">
        <f>ROUND(N150*I150,2)</f>
        <v>0</v>
      </c>
      <c r="P150" s="273">
        <f>H150-L150-N150</f>
        <v>1</v>
      </c>
      <c r="Q150" s="287">
        <f>ROUND(P150*I150,2)</f>
        <v>3265.92</v>
      </c>
      <c r="R150" s="137"/>
      <c r="S150" s="269">
        <f>W150+Y150+AA150+AC150</f>
        <v>0</v>
      </c>
      <c r="T150" s="269">
        <f>ROUND(S150*I150,2)</f>
        <v>0</v>
      </c>
      <c r="U150" s="269">
        <f>H150-S150</f>
        <v>1</v>
      </c>
      <c r="V150" s="269">
        <f>ROUND(U150*I150,2)</f>
        <v>3265.92</v>
      </c>
      <c r="W150" s="269"/>
      <c r="X150" s="269"/>
      <c r="Y150" s="269"/>
      <c r="Z150" s="269"/>
      <c r="AA150" s="269"/>
      <c r="AB150" s="269"/>
      <c r="AC150" s="269"/>
      <c r="AD150" s="269"/>
      <c r="AR150" s="132" t="s">
        <v>1</v>
      </c>
      <c r="AS150" s="133" t="s">
        <v>40</v>
      </c>
      <c r="AU150" s="134">
        <f>AT150*H150</f>
        <v>0</v>
      </c>
      <c r="AV150" s="134">
        <v>0</v>
      </c>
      <c r="AW150" s="134">
        <f>AV150*H150</f>
        <v>0</v>
      </c>
      <c r="AX150" s="134">
        <v>0</v>
      </c>
      <c r="AY150" s="135">
        <f>AX150*H150</f>
        <v>0</v>
      </c>
      <c r="BW150" s="136" t="s">
        <v>95</v>
      </c>
      <c r="BY150" s="136" t="s">
        <v>284</v>
      </c>
      <c r="BZ150" s="136" t="s">
        <v>83</v>
      </c>
      <c r="CD150" s="16" t="s">
        <v>282</v>
      </c>
      <c r="CJ150" s="137">
        <f>IF(AS150="základní",J150,0)</f>
        <v>3265.92</v>
      </c>
      <c r="CK150" s="137">
        <f>IF(AS150="snížená",J150,0)</f>
        <v>0</v>
      </c>
      <c r="CL150" s="137">
        <f>IF(AS150="zákl. přenesená",J150,0)</f>
        <v>0</v>
      </c>
      <c r="CM150" s="137">
        <f>IF(AS150="sníž. přenesená",J150,0)</f>
        <v>0</v>
      </c>
      <c r="CN150" s="137">
        <f>IF(AS150="nulová",J150,0)</f>
        <v>0</v>
      </c>
      <c r="CO150" s="16" t="s">
        <v>81</v>
      </c>
      <c r="CP150" s="137">
        <f>ROUND(I150*H150,2)</f>
        <v>3265.92</v>
      </c>
      <c r="CQ150" s="16" t="s">
        <v>95</v>
      </c>
      <c r="CR150" s="136" t="s">
        <v>438</v>
      </c>
    </row>
    <row r="151" spans="2:96" s="1" customFormat="1" x14ac:dyDescent="0.2">
      <c r="B151" s="31"/>
      <c r="D151" s="138" t="s">
        <v>289</v>
      </c>
      <c r="F151" s="139" t="s">
        <v>2888</v>
      </c>
      <c r="I151" s="140"/>
      <c r="L151" s="31"/>
      <c r="N151" s="213"/>
      <c r="O151" s="214"/>
      <c r="Q151" s="229"/>
      <c r="AR151" s="141"/>
      <c r="AY151" s="50"/>
      <c r="BY151" s="16" t="s">
        <v>289</v>
      </c>
      <c r="BZ151" s="16" t="s">
        <v>83</v>
      </c>
    </row>
    <row r="152" spans="2:96" s="1" customFormat="1" ht="24.2" customHeight="1" x14ac:dyDescent="0.2">
      <c r="B152" s="124"/>
      <c r="C152" s="125" t="s">
        <v>359</v>
      </c>
      <c r="D152" s="125" t="s">
        <v>284</v>
      </c>
      <c r="E152" s="126" t="s">
        <v>2889</v>
      </c>
      <c r="F152" s="127" t="s">
        <v>2890</v>
      </c>
      <c r="G152" s="128" t="s">
        <v>315</v>
      </c>
      <c r="H152" s="129">
        <v>2</v>
      </c>
      <c r="I152" s="130">
        <v>329.22376084899997</v>
      </c>
      <c r="J152" s="131">
        <f>ROUND(I152*H152,2)</f>
        <v>658.45</v>
      </c>
      <c r="K152" s="127" t="s">
        <v>1</v>
      </c>
      <c r="L152" s="268">
        <f>S152</f>
        <v>0</v>
      </c>
      <c r="M152" s="272">
        <f>ROUND(L152*I152,2)</f>
        <v>0</v>
      </c>
      <c r="N152" s="243"/>
      <c r="O152" s="294">
        <f>ROUND(N152*I152,2)</f>
        <v>0</v>
      </c>
      <c r="P152" s="273">
        <f>H152-L152-N152</f>
        <v>2</v>
      </c>
      <c r="Q152" s="287">
        <f>ROUND(P152*I152,2)</f>
        <v>658.45</v>
      </c>
      <c r="R152" s="137"/>
      <c r="S152" s="269">
        <f>W152+Y152+AA152+AC152</f>
        <v>0</v>
      </c>
      <c r="T152" s="269">
        <f>ROUND(S152*I152,2)</f>
        <v>0</v>
      </c>
      <c r="U152" s="269">
        <f>H152-S152</f>
        <v>2</v>
      </c>
      <c r="V152" s="269">
        <f>ROUND(U152*I152,2)</f>
        <v>658.45</v>
      </c>
      <c r="W152" s="269"/>
      <c r="X152" s="269"/>
      <c r="Y152" s="269"/>
      <c r="Z152" s="269"/>
      <c r="AA152" s="269"/>
      <c r="AB152" s="269"/>
      <c r="AC152" s="269"/>
      <c r="AD152" s="269"/>
      <c r="AR152" s="132" t="s">
        <v>1</v>
      </c>
      <c r="AS152" s="133" t="s">
        <v>40</v>
      </c>
      <c r="AU152" s="134">
        <f>AT152*H152</f>
        <v>0</v>
      </c>
      <c r="AV152" s="134">
        <v>0</v>
      </c>
      <c r="AW152" s="134">
        <f>AV152*H152</f>
        <v>0</v>
      </c>
      <c r="AX152" s="134">
        <v>0</v>
      </c>
      <c r="AY152" s="135">
        <f>AX152*H152</f>
        <v>0</v>
      </c>
      <c r="BW152" s="136" t="s">
        <v>95</v>
      </c>
      <c r="BY152" s="136" t="s">
        <v>284</v>
      </c>
      <c r="BZ152" s="136" t="s">
        <v>83</v>
      </c>
      <c r="CD152" s="16" t="s">
        <v>282</v>
      </c>
      <c r="CJ152" s="137">
        <f>IF(AS152="základní",J152,0)</f>
        <v>658.45</v>
      </c>
      <c r="CK152" s="137">
        <f>IF(AS152="snížená",J152,0)</f>
        <v>0</v>
      </c>
      <c r="CL152" s="137">
        <f>IF(AS152="zákl. přenesená",J152,0)</f>
        <v>0</v>
      </c>
      <c r="CM152" s="137">
        <f>IF(AS152="sníž. přenesená",J152,0)</f>
        <v>0</v>
      </c>
      <c r="CN152" s="137">
        <f>IF(AS152="nulová",J152,0)</f>
        <v>0</v>
      </c>
      <c r="CO152" s="16" t="s">
        <v>81</v>
      </c>
      <c r="CP152" s="137">
        <f>ROUND(I152*H152,2)</f>
        <v>658.45</v>
      </c>
      <c r="CQ152" s="16" t="s">
        <v>95</v>
      </c>
      <c r="CR152" s="136" t="s">
        <v>451</v>
      </c>
    </row>
    <row r="153" spans="2:96" s="1" customFormat="1" x14ac:dyDescent="0.2">
      <c r="B153" s="31"/>
      <c r="D153" s="138" t="s">
        <v>289</v>
      </c>
      <c r="F153" s="139" t="s">
        <v>2890</v>
      </c>
      <c r="I153" s="140"/>
      <c r="L153" s="31"/>
      <c r="N153" s="213"/>
      <c r="O153" s="214"/>
      <c r="Q153" s="229"/>
      <c r="AR153" s="141"/>
      <c r="AY153" s="50"/>
      <c r="BY153" s="16" t="s">
        <v>289</v>
      </c>
      <c r="BZ153" s="16" t="s">
        <v>83</v>
      </c>
    </row>
    <row r="154" spans="2:96" s="1" customFormat="1" ht="24.2" customHeight="1" x14ac:dyDescent="0.2">
      <c r="B154" s="124"/>
      <c r="C154" s="125" t="s">
        <v>363</v>
      </c>
      <c r="D154" s="125" t="s">
        <v>284</v>
      </c>
      <c r="E154" s="126" t="s">
        <v>2891</v>
      </c>
      <c r="F154" s="127" t="s">
        <v>2892</v>
      </c>
      <c r="G154" s="128" t="s">
        <v>315</v>
      </c>
      <c r="H154" s="129">
        <v>2</v>
      </c>
      <c r="I154" s="130">
        <v>329.22376084899997</v>
      </c>
      <c r="J154" s="131">
        <f>ROUND(I154*H154,2)</f>
        <v>658.45</v>
      </c>
      <c r="K154" s="127" t="s">
        <v>1</v>
      </c>
      <c r="L154" s="268">
        <f>S154</f>
        <v>0</v>
      </c>
      <c r="M154" s="272">
        <f>ROUND(L154*I154,2)</f>
        <v>0</v>
      </c>
      <c r="N154" s="243"/>
      <c r="O154" s="294">
        <f>ROUND(N154*I154,2)</f>
        <v>0</v>
      </c>
      <c r="P154" s="273">
        <f>H154-L154-N154</f>
        <v>2</v>
      </c>
      <c r="Q154" s="287">
        <f>ROUND(P154*I154,2)</f>
        <v>658.45</v>
      </c>
      <c r="R154" s="137"/>
      <c r="S154" s="269">
        <f>W154+Y154+AA154+AC154</f>
        <v>0</v>
      </c>
      <c r="T154" s="269">
        <f>ROUND(S154*I154,2)</f>
        <v>0</v>
      </c>
      <c r="U154" s="269">
        <f>H154-S154</f>
        <v>2</v>
      </c>
      <c r="V154" s="269">
        <f>ROUND(U154*I154,2)</f>
        <v>658.45</v>
      </c>
      <c r="W154" s="269"/>
      <c r="X154" s="269"/>
      <c r="Y154" s="269"/>
      <c r="Z154" s="269"/>
      <c r="AA154" s="269"/>
      <c r="AB154" s="269"/>
      <c r="AC154" s="269"/>
      <c r="AD154" s="269"/>
      <c r="AR154" s="132" t="s">
        <v>1</v>
      </c>
      <c r="AS154" s="133" t="s">
        <v>40</v>
      </c>
      <c r="AU154" s="134">
        <f>AT154*H154</f>
        <v>0</v>
      </c>
      <c r="AV154" s="134">
        <v>0</v>
      </c>
      <c r="AW154" s="134">
        <f>AV154*H154</f>
        <v>0</v>
      </c>
      <c r="AX154" s="134">
        <v>0</v>
      </c>
      <c r="AY154" s="135">
        <f>AX154*H154</f>
        <v>0</v>
      </c>
      <c r="BW154" s="136" t="s">
        <v>95</v>
      </c>
      <c r="BY154" s="136" t="s">
        <v>284</v>
      </c>
      <c r="BZ154" s="136" t="s">
        <v>83</v>
      </c>
      <c r="CD154" s="16" t="s">
        <v>282</v>
      </c>
      <c r="CJ154" s="137">
        <f>IF(AS154="základní",J154,0)</f>
        <v>658.45</v>
      </c>
      <c r="CK154" s="137">
        <f>IF(AS154="snížená",J154,0)</f>
        <v>0</v>
      </c>
      <c r="CL154" s="137">
        <f>IF(AS154="zákl. přenesená",J154,0)</f>
        <v>0</v>
      </c>
      <c r="CM154" s="137">
        <f>IF(AS154="sníž. přenesená",J154,0)</f>
        <v>0</v>
      </c>
      <c r="CN154" s="137">
        <f>IF(AS154="nulová",J154,0)</f>
        <v>0</v>
      </c>
      <c r="CO154" s="16" t="s">
        <v>81</v>
      </c>
      <c r="CP154" s="137">
        <f>ROUND(I154*H154,2)</f>
        <v>658.45</v>
      </c>
      <c r="CQ154" s="16" t="s">
        <v>95</v>
      </c>
      <c r="CR154" s="136" t="s">
        <v>463</v>
      </c>
    </row>
    <row r="155" spans="2:96" s="1" customFormat="1" x14ac:dyDescent="0.2">
      <c r="B155" s="31"/>
      <c r="D155" s="138" t="s">
        <v>289</v>
      </c>
      <c r="F155" s="139" t="s">
        <v>2892</v>
      </c>
      <c r="I155" s="140"/>
      <c r="L155" s="31"/>
      <c r="N155" s="213"/>
      <c r="O155" s="214"/>
      <c r="Q155" s="229"/>
      <c r="AR155" s="141"/>
      <c r="AY155" s="50"/>
      <c r="BY155" s="16" t="s">
        <v>289</v>
      </c>
      <c r="BZ155" s="16" t="s">
        <v>83</v>
      </c>
    </row>
    <row r="156" spans="2:96" s="1" customFormat="1" ht="24.2" customHeight="1" x14ac:dyDescent="0.2">
      <c r="B156" s="124"/>
      <c r="C156" s="125" t="s">
        <v>8</v>
      </c>
      <c r="D156" s="125" t="s">
        <v>284</v>
      </c>
      <c r="E156" s="126" t="s">
        <v>2893</v>
      </c>
      <c r="F156" s="127" t="s">
        <v>2894</v>
      </c>
      <c r="G156" s="128" t="s">
        <v>315</v>
      </c>
      <c r="H156" s="129">
        <v>2</v>
      </c>
      <c r="I156" s="130">
        <v>5342.4196860410002</v>
      </c>
      <c r="J156" s="131">
        <f>ROUND(I156*H156,2)</f>
        <v>10684.84</v>
      </c>
      <c r="K156" s="127" t="s">
        <v>1</v>
      </c>
      <c r="L156" s="268">
        <f>S156</f>
        <v>0</v>
      </c>
      <c r="M156" s="272">
        <f>ROUND(L156*I156,2)</f>
        <v>0</v>
      </c>
      <c r="N156" s="243"/>
      <c r="O156" s="294">
        <f>ROUND(N156*I156,2)</f>
        <v>0</v>
      </c>
      <c r="P156" s="273">
        <f>H156-L156-N156</f>
        <v>2</v>
      </c>
      <c r="Q156" s="287">
        <f>ROUND(P156*I156,2)</f>
        <v>10684.84</v>
      </c>
      <c r="R156" s="137"/>
      <c r="S156" s="269">
        <f>W156+Y156+AA156+AC156</f>
        <v>0</v>
      </c>
      <c r="T156" s="269">
        <f>ROUND(S156*I156,2)</f>
        <v>0</v>
      </c>
      <c r="U156" s="269">
        <f>H156-S156</f>
        <v>2</v>
      </c>
      <c r="V156" s="269">
        <f>ROUND(U156*I156,2)</f>
        <v>10684.84</v>
      </c>
      <c r="W156" s="269"/>
      <c r="X156" s="269"/>
      <c r="Y156" s="269"/>
      <c r="Z156" s="269"/>
      <c r="AA156" s="269"/>
      <c r="AB156" s="269"/>
      <c r="AC156" s="269"/>
      <c r="AD156" s="269"/>
      <c r="AR156" s="132" t="s">
        <v>1</v>
      </c>
      <c r="AS156" s="133" t="s">
        <v>40</v>
      </c>
      <c r="AU156" s="134">
        <f>AT156*H156</f>
        <v>0</v>
      </c>
      <c r="AV156" s="134">
        <v>0</v>
      </c>
      <c r="AW156" s="134">
        <f>AV156*H156</f>
        <v>0</v>
      </c>
      <c r="AX156" s="134">
        <v>0</v>
      </c>
      <c r="AY156" s="135">
        <f>AX156*H156</f>
        <v>0</v>
      </c>
      <c r="BW156" s="136" t="s">
        <v>95</v>
      </c>
      <c r="BY156" s="136" t="s">
        <v>284</v>
      </c>
      <c r="BZ156" s="136" t="s">
        <v>83</v>
      </c>
      <c r="CD156" s="16" t="s">
        <v>282</v>
      </c>
      <c r="CJ156" s="137">
        <f>IF(AS156="základní",J156,0)</f>
        <v>10684.84</v>
      </c>
      <c r="CK156" s="137">
        <f>IF(AS156="snížená",J156,0)</f>
        <v>0</v>
      </c>
      <c r="CL156" s="137">
        <f>IF(AS156="zákl. přenesená",J156,0)</f>
        <v>0</v>
      </c>
      <c r="CM156" s="137">
        <f>IF(AS156="sníž. přenesená",J156,0)</f>
        <v>0</v>
      </c>
      <c r="CN156" s="137">
        <f>IF(AS156="nulová",J156,0)</f>
        <v>0</v>
      </c>
      <c r="CO156" s="16" t="s">
        <v>81</v>
      </c>
      <c r="CP156" s="137">
        <f>ROUND(I156*H156,2)</f>
        <v>10684.84</v>
      </c>
      <c r="CQ156" s="16" t="s">
        <v>95</v>
      </c>
      <c r="CR156" s="136" t="s">
        <v>476</v>
      </c>
    </row>
    <row r="157" spans="2:96" s="1" customFormat="1" ht="19.5" x14ac:dyDescent="0.2">
      <c r="B157" s="31"/>
      <c r="D157" s="138" t="s">
        <v>289</v>
      </c>
      <c r="F157" s="139" t="s">
        <v>2894</v>
      </c>
      <c r="I157" s="140"/>
      <c r="L157" s="31"/>
      <c r="N157" s="213"/>
      <c r="O157" s="214"/>
      <c r="Q157" s="229"/>
      <c r="AR157" s="141"/>
      <c r="AY157" s="50"/>
      <c r="BY157" s="16" t="s">
        <v>289</v>
      </c>
      <c r="BZ157" s="16" t="s">
        <v>83</v>
      </c>
    </row>
    <row r="158" spans="2:96" s="1" customFormat="1" ht="14.45" customHeight="1" x14ac:dyDescent="0.2">
      <c r="B158" s="124"/>
      <c r="C158" s="125" t="s">
        <v>379</v>
      </c>
      <c r="D158" s="125" t="s">
        <v>284</v>
      </c>
      <c r="E158" s="126" t="s">
        <v>2895</v>
      </c>
      <c r="F158" s="127" t="s">
        <v>2896</v>
      </c>
      <c r="G158" s="128" t="s">
        <v>315</v>
      </c>
      <c r="H158" s="129">
        <v>2</v>
      </c>
      <c r="I158" s="130">
        <v>1606.7904083809999</v>
      </c>
      <c r="J158" s="131">
        <f>ROUND(I158*H158,2)</f>
        <v>3213.58</v>
      </c>
      <c r="K158" s="127" t="s">
        <v>1</v>
      </c>
      <c r="L158" s="268">
        <f>S158</f>
        <v>0</v>
      </c>
      <c r="M158" s="272">
        <f>ROUND(L158*I158,2)</f>
        <v>0</v>
      </c>
      <c r="N158" s="243"/>
      <c r="O158" s="294">
        <f>ROUND(N158*I158,2)</f>
        <v>0</v>
      </c>
      <c r="P158" s="273">
        <f>H158-L158-N158</f>
        <v>2</v>
      </c>
      <c r="Q158" s="287">
        <f>ROUND(P158*I158,2)</f>
        <v>3213.58</v>
      </c>
      <c r="R158" s="137"/>
      <c r="S158" s="269">
        <f>W158+Y158+AA158+AC158</f>
        <v>0</v>
      </c>
      <c r="T158" s="269">
        <f>ROUND(S158*I158,2)</f>
        <v>0</v>
      </c>
      <c r="U158" s="269">
        <f>H158-S158</f>
        <v>2</v>
      </c>
      <c r="V158" s="269">
        <f>ROUND(U158*I158,2)</f>
        <v>3213.58</v>
      </c>
      <c r="W158" s="269"/>
      <c r="X158" s="269"/>
      <c r="Y158" s="269"/>
      <c r="Z158" s="269"/>
      <c r="AA158" s="269"/>
      <c r="AB158" s="269"/>
      <c r="AC158" s="269"/>
      <c r="AD158" s="269"/>
      <c r="AR158" s="132" t="s">
        <v>1</v>
      </c>
      <c r="AS158" s="133" t="s">
        <v>40</v>
      </c>
      <c r="AU158" s="134">
        <f>AT158*H158</f>
        <v>0</v>
      </c>
      <c r="AV158" s="134">
        <v>0</v>
      </c>
      <c r="AW158" s="134">
        <f>AV158*H158</f>
        <v>0</v>
      </c>
      <c r="AX158" s="134">
        <v>0</v>
      </c>
      <c r="AY158" s="135">
        <f>AX158*H158</f>
        <v>0</v>
      </c>
      <c r="BW158" s="136" t="s">
        <v>95</v>
      </c>
      <c r="BY158" s="136" t="s">
        <v>284</v>
      </c>
      <c r="BZ158" s="136" t="s">
        <v>83</v>
      </c>
      <c r="CD158" s="16" t="s">
        <v>282</v>
      </c>
      <c r="CJ158" s="137">
        <f>IF(AS158="základní",J158,0)</f>
        <v>3213.58</v>
      </c>
      <c r="CK158" s="137">
        <f>IF(AS158="snížená",J158,0)</f>
        <v>0</v>
      </c>
      <c r="CL158" s="137">
        <f>IF(AS158="zákl. přenesená",J158,0)</f>
        <v>0</v>
      </c>
      <c r="CM158" s="137">
        <f>IF(AS158="sníž. přenesená",J158,0)</f>
        <v>0</v>
      </c>
      <c r="CN158" s="137">
        <f>IF(AS158="nulová",J158,0)</f>
        <v>0</v>
      </c>
      <c r="CO158" s="16" t="s">
        <v>81</v>
      </c>
      <c r="CP158" s="137">
        <f>ROUND(I158*H158,2)</f>
        <v>3213.58</v>
      </c>
      <c r="CQ158" s="16" t="s">
        <v>95</v>
      </c>
      <c r="CR158" s="136" t="s">
        <v>489</v>
      </c>
    </row>
    <row r="159" spans="2:96" s="1" customFormat="1" x14ac:dyDescent="0.2">
      <c r="B159" s="31"/>
      <c r="D159" s="138" t="s">
        <v>289</v>
      </c>
      <c r="F159" s="139" t="s">
        <v>2896</v>
      </c>
      <c r="I159" s="140"/>
      <c r="L159" s="31"/>
      <c r="N159" s="213"/>
      <c r="O159" s="214"/>
      <c r="Q159" s="229"/>
      <c r="AR159" s="141"/>
      <c r="AY159" s="50"/>
      <c r="BY159" s="16" t="s">
        <v>289</v>
      </c>
      <c r="BZ159" s="16" t="s">
        <v>83</v>
      </c>
    </row>
    <row r="160" spans="2:96" s="1" customFormat="1" ht="24.2" customHeight="1" x14ac:dyDescent="0.2">
      <c r="B160" s="124"/>
      <c r="C160" s="125" t="s">
        <v>386</v>
      </c>
      <c r="D160" s="125" t="s">
        <v>284</v>
      </c>
      <c r="E160" s="126" t="s">
        <v>2897</v>
      </c>
      <c r="F160" s="127" t="s">
        <v>2898</v>
      </c>
      <c r="G160" s="128" t="s">
        <v>315</v>
      </c>
      <c r="H160" s="129">
        <v>2</v>
      </c>
      <c r="I160" s="130">
        <v>451.31986457900001</v>
      </c>
      <c r="J160" s="131">
        <f>ROUND(I160*H160,2)</f>
        <v>902.64</v>
      </c>
      <c r="K160" s="127" t="s">
        <v>1</v>
      </c>
      <c r="L160" s="268">
        <f>S160</f>
        <v>0</v>
      </c>
      <c r="M160" s="272">
        <f>ROUND(L160*I160,2)</f>
        <v>0</v>
      </c>
      <c r="N160" s="243"/>
      <c r="O160" s="294">
        <f>ROUND(N160*I160,2)</f>
        <v>0</v>
      </c>
      <c r="P160" s="273">
        <f>H160-L160-N160</f>
        <v>2</v>
      </c>
      <c r="Q160" s="287">
        <f>ROUND(P160*I160,2)</f>
        <v>902.64</v>
      </c>
      <c r="R160" s="137"/>
      <c r="S160" s="269">
        <f>W160+Y160+AA160+AC160</f>
        <v>0</v>
      </c>
      <c r="T160" s="269">
        <f>ROUND(S160*I160,2)</f>
        <v>0</v>
      </c>
      <c r="U160" s="269">
        <f>H160-S160</f>
        <v>2</v>
      </c>
      <c r="V160" s="269">
        <f>ROUND(U160*I160,2)</f>
        <v>902.64</v>
      </c>
      <c r="W160" s="269"/>
      <c r="X160" s="269"/>
      <c r="Y160" s="269"/>
      <c r="Z160" s="269"/>
      <c r="AA160" s="269"/>
      <c r="AB160" s="269"/>
      <c r="AC160" s="269"/>
      <c r="AD160" s="269"/>
      <c r="AR160" s="132" t="s">
        <v>1</v>
      </c>
      <c r="AS160" s="133" t="s">
        <v>40</v>
      </c>
      <c r="AU160" s="134">
        <f>AT160*H160</f>
        <v>0</v>
      </c>
      <c r="AV160" s="134">
        <v>0</v>
      </c>
      <c r="AW160" s="134">
        <f>AV160*H160</f>
        <v>0</v>
      </c>
      <c r="AX160" s="134">
        <v>0</v>
      </c>
      <c r="AY160" s="135">
        <f>AX160*H160</f>
        <v>0</v>
      </c>
      <c r="BW160" s="136" t="s">
        <v>95</v>
      </c>
      <c r="BY160" s="136" t="s">
        <v>284</v>
      </c>
      <c r="BZ160" s="136" t="s">
        <v>83</v>
      </c>
      <c r="CD160" s="16" t="s">
        <v>282</v>
      </c>
      <c r="CJ160" s="137">
        <f>IF(AS160="základní",J160,0)</f>
        <v>902.64</v>
      </c>
      <c r="CK160" s="137">
        <f>IF(AS160="snížená",J160,0)</f>
        <v>0</v>
      </c>
      <c r="CL160" s="137">
        <f>IF(AS160="zákl. přenesená",J160,0)</f>
        <v>0</v>
      </c>
      <c r="CM160" s="137">
        <f>IF(AS160="sníž. přenesená",J160,0)</f>
        <v>0</v>
      </c>
      <c r="CN160" s="137">
        <f>IF(AS160="nulová",J160,0)</f>
        <v>0</v>
      </c>
      <c r="CO160" s="16" t="s">
        <v>81</v>
      </c>
      <c r="CP160" s="137">
        <f>ROUND(I160*H160,2)</f>
        <v>902.64</v>
      </c>
      <c r="CQ160" s="16" t="s">
        <v>95</v>
      </c>
      <c r="CR160" s="136" t="s">
        <v>497</v>
      </c>
    </row>
    <row r="161" spans="2:96" s="1" customFormat="1" x14ac:dyDescent="0.2">
      <c r="B161" s="31"/>
      <c r="D161" s="138" t="s">
        <v>289</v>
      </c>
      <c r="F161" s="139" t="s">
        <v>2898</v>
      </c>
      <c r="I161" s="140"/>
      <c r="L161" s="31"/>
      <c r="N161" s="213"/>
      <c r="O161" s="214"/>
      <c r="Q161" s="229"/>
      <c r="AR161" s="141"/>
      <c r="AY161" s="50"/>
      <c r="BY161" s="16" t="s">
        <v>289</v>
      </c>
      <c r="BZ161" s="16" t="s">
        <v>83</v>
      </c>
    </row>
    <row r="162" spans="2:96" s="1" customFormat="1" ht="14.45" customHeight="1" x14ac:dyDescent="0.2">
      <c r="B162" s="124"/>
      <c r="C162" s="125" t="s">
        <v>392</v>
      </c>
      <c r="D162" s="125" t="s">
        <v>284</v>
      </c>
      <c r="E162" s="126" t="s">
        <v>2899</v>
      </c>
      <c r="F162" s="127" t="s">
        <v>2900</v>
      </c>
      <c r="G162" s="128" t="s">
        <v>315</v>
      </c>
      <c r="H162" s="129">
        <v>2</v>
      </c>
      <c r="I162" s="130">
        <v>978.218069861</v>
      </c>
      <c r="J162" s="131">
        <f>ROUND(I162*H162,2)</f>
        <v>1956.44</v>
      </c>
      <c r="K162" s="127" t="s">
        <v>1</v>
      </c>
      <c r="L162" s="268">
        <f>S162</f>
        <v>0</v>
      </c>
      <c r="M162" s="272">
        <f>ROUND(L162*I162,2)</f>
        <v>0</v>
      </c>
      <c r="N162" s="243"/>
      <c r="O162" s="294">
        <f>ROUND(N162*I162,2)</f>
        <v>0</v>
      </c>
      <c r="P162" s="273">
        <f>H162-L162-N162</f>
        <v>2</v>
      </c>
      <c r="Q162" s="287">
        <f>ROUND(P162*I162,2)</f>
        <v>1956.44</v>
      </c>
      <c r="R162" s="137"/>
      <c r="S162" s="269">
        <f>W162+Y162+AA162+AC162</f>
        <v>0</v>
      </c>
      <c r="T162" s="269">
        <f>ROUND(S162*I162,2)</f>
        <v>0</v>
      </c>
      <c r="U162" s="269">
        <f>H162-S162</f>
        <v>2</v>
      </c>
      <c r="V162" s="269">
        <f>ROUND(U162*I162,2)</f>
        <v>1956.44</v>
      </c>
      <c r="W162" s="269"/>
      <c r="X162" s="269"/>
      <c r="Y162" s="269"/>
      <c r="Z162" s="269"/>
      <c r="AA162" s="269"/>
      <c r="AB162" s="269"/>
      <c r="AC162" s="269"/>
      <c r="AD162" s="269"/>
      <c r="AR162" s="132" t="s">
        <v>1</v>
      </c>
      <c r="AS162" s="133" t="s">
        <v>40</v>
      </c>
      <c r="AU162" s="134">
        <f>AT162*H162</f>
        <v>0</v>
      </c>
      <c r="AV162" s="134">
        <v>0</v>
      </c>
      <c r="AW162" s="134">
        <f>AV162*H162</f>
        <v>0</v>
      </c>
      <c r="AX162" s="134">
        <v>0</v>
      </c>
      <c r="AY162" s="135">
        <f>AX162*H162</f>
        <v>0</v>
      </c>
      <c r="BW162" s="136" t="s">
        <v>95</v>
      </c>
      <c r="BY162" s="136" t="s">
        <v>284</v>
      </c>
      <c r="BZ162" s="136" t="s">
        <v>83</v>
      </c>
      <c r="CD162" s="16" t="s">
        <v>282</v>
      </c>
      <c r="CJ162" s="137">
        <f>IF(AS162="základní",J162,0)</f>
        <v>1956.44</v>
      </c>
      <c r="CK162" s="137">
        <f>IF(AS162="snížená",J162,0)</f>
        <v>0</v>
      </c>
      <c r="CL162" s="137">
        <f>IF(AS162="zákl. přenesená",J162,0)</f>
        <v>0</v>
      </c>
      <c r="CM162" s="137">
        <f>IF(AS162="sníž. přenesená",J162,0)</f>
        <v>0</v>
      </c>
      <c r="CN162" s="137">
        <f>IF(AS162="nulová",J162,0)</f>
        <v>0</v>
      </c>
      <c r="CO162" s="16" t="s">
        <v>81</v>
      </c>
      <c r="CP162" s="137">
        <f>ROUND(I162*H162,2)</f>
        <v>1956.44</v>
      </c>
      <c r="CQ162" s="16" t="s">
        <v>95</v>
      </c>
      <c r="CR162" s="136" t="s">
        <v>505</v>
      </c>
    </row>
    <row r="163" spans="2:96" s="1" customFormat="1" x14ac:dyDescent="0.2">
      <c r="B163" s="31"/>
      <c r="D163" s="138" t="s">
        <v>289</v>
      </c>
      <c r="F163" s="139" t="s">
        <v>2900</v>
      </c>
      <c r="I163" s="140"/>
      <c r="L163" s="31"/>
      <c r="N163" s="213"/>
      <c r="O163" s="214"/>
      <c r="Q163" s="229"/>
      <c r="AR163" s="141"/>
      <c r="AY163" s="50"/>
      <c r="BY163" s="16" t="s">
        <v>289</v>
      </c>
      <c r="BZ163" s="16" t="s">
        <v>83</v>
      </c>
    </row>
    <row r="164" spans="2:96" s="1" customFormat="1" ht="24.2" customHeight="1" x14ac:dyDescent="0.2">
      <c r="B164" s="124"/>
      <c r="C164" s="125" t="s">
        <v>397</v>
      </c>
      <c r="D164" s="125" t="s">
        <v>284</v>
      </c>
      <c r="E164" s="126" t="s">
        <v>2901</v>
      </c>
      <c r="F164" s="127" t="s">
        <v>2902</v>
      </c>
      <c r="G164" s="128" t="s">
        <v>315</v>
      </c>
      <c r="H164" s="129">
        <v>1</v>
      </c>
      <c r="I164" s="130">
        <v>1714.204668761</v>
      </c>
      <c r="J164" s="131">
        <f>ROUND(I164*H164,2)</f>
        <v>1714.2</v>
      </c>
      <c r="K164" s="127" t="s">
        <v>1</v>
      </c>
      <c r="L164" s="268">
        <f>S164</f>
        <v>0</v>
      </c>
      <c r="M164" s="272">
        <f>ROUND(L164*I164,2)</f>
        <v>0</v>
      </c>
      <c r="N164" s="243"/>
      <c r="O164" s="294">
        <f>ROUND(N164*I164,2)</f>
        <v>0</v>
      </c>
      <c r="P164" s="273">
        <f>H164-L164-N164</f>
        <v>1</v>
      </c>
      <c r="Q164" s="287">
        <f>ROUND(P164*I164,2)</f>
        <v>1714.2</v>
      </c>
      <c r="R164" s="137"/>
      <c r="S164" s="269">
        <f>W164+Y164+AA164+AC164</f>
        <v>0</v>
      </c>
      <c r="T164" s="269">
        <f>ROUND(S164*I164,2)</f>
        <v>0</v>
      </c>
      <c r="U164" s="269">
        <f>H164-S164</f>
        <v>1</v>
      </c>
      <c r="V164" s="269">
        <f>ROUND(U164*I164,2)</f>
        <v>1714.2</v>
      </c>
      <c r="W164" s="269"/>
      <c r="X164" s="269"/>
      <c r="Y164" s="269"/>
      <c r="Z164" s="269"/>
      <c r="AA164" s="269"/>
      <c r="AB164" s="269"/>
      <c r="AC164" s="269"/>
      <c r="AD164" s="269"/>
      <c r="AR164" s="132" t="s">
        <v>1</v>
      </c>
      <c r="AS164" s="133" t="s">
        <v>40</v>
      </c>
      <c r="AU164" s="134">
        <f>AT164*H164</f>
        <v>0</v>
      </c>
      <c r="AV164" s="134">
        <v>0</v>
      </c>
      <c r="AW164" s="134">
        <f>AV164*H164</f>
        <v>0</v>
      </c>
      <c r="AX164" s="134">
        <v>0</v>
      </c>
      <c r="AY164" s="135">
        <f>AX164*H164</f>
        <v>0</v>
      </c>
      <c r="BW164" s="136" t="s">
        <v>95</v>
      </c>
      <c r="BY164" s="136" t="s">
        <v>284</v>
      </c>
      <c r="BZ164" s="136" t="s">
        <v>83</v>
      </c>
      <c r="CD164" s="16" t="s">
        <v>282</v>
      </c>
      <c r="CJ164" s="137">
        <f>IF(AS164="základní",J164,0)</f>
        <v>1714.2</v>
      </c>
      <c r="CK164" s="137">
        <f>IF(AS164="snížená",J164,0)</f>
        <v>0</v>
      </c>
      <c r="CL164" s="137">
        <f>IF(AS164="zákl. přenesená",J164,0)</f>
        <v>0</v>
      </c>
      <c r="CM164" s="137">
        <f>IF(AS164="sníž. přenesená",J164,0)</f>
        <v>0</v>
      </c>
      <c r="CN164" s="137">
        <f>IF(AS164="nulová",J164,0)</f>
        <v>0</v>
      </c>
      <c r="CO164" s="16" t="s">
        <v>81</v>
      </c>
      <c r="CP164" s="137">
        <f>ROUND(I164*H164,2)</f>
        <v>1714.2</v>
      </c>
      <c r="CQ164" s="16" t="s">
        <v>95</v>
      </c>
      <c r="CR164" s="136" t="s">
        <v>514</v>
      </c>
    </row>
    <row r="165" spans="2:96" s="1" customFormat="1" x14ac:dyDescent="0.2">
      <c r="B165" s="31"/>
      <c r="D165" s="138" t="s">
        <v>289</v>
      </c>
      <c r="F165" s="139" t="s">
        <v>2902</v>
      </c>
      <c r="I165" s="140"/>
      <c r="L165" s="31"/>
      <c r="N165" s="213"/>
      <c r="O165" s="214"/>
      <c r="Q165" s="229"/>
      <c r="AR165" s="141"/>
      <c r="AY165" s="50"/>
      <c r="BY165" s="16" t="s">
        <v>289</v>
      </c>
      <c r="BZ165" s="16" t="s">
        <v>83</v>
      </c>
    </row>
    <row r="166" spans="2:96" s="1" customFormat="1" ht="14.45" customHeight="1" x14ac:dyDescent="0.2">
      <c r="B166" s="124"/>
      <c r="C166" s="125" t="s">
        <v>404</v>
      </c>
      <c r="D166" s="125" t="s">
        <v>284</v>
      </c>
      <c r="E166" s="126" t="s">
        <v>2903</v>
      </c>
      <c r="F166" s="127" t="s">
        <v>2904</v>
      </c>
      <c r="G166" s="128" t="s">
        <v>315</v>
      </c>
      <c r="H166" s="129">
        <v>1</v>
      </c>
      <c r="I166" s="130">
        <v>1565.2171113080001</v>
      </c>
      <c r="J166" s="131">
        <f>ROUND(I166*H166,2)</f>
        <v>1565.22</v>
      </c>
      <c r="K166" s="127" t="s">
        <v>1</v>
      </c>
      <c r="L166" s="268">
        <f>S166</f>
        <v>0</v>
      </c>
      <c r="M166" s="272">
        <f>ROUND(L166*I166,2)</f>
        <v>0</v>
      </c>
      <c r="N166" s="243"/>
      <c r="O166" s="294">
        <f>ROUND(N166*I166,2)</f>
        <v>0</v>
      </c>
      <c r="P166" s="273">
        <f>H166-L166-N166</f>
        <v>1</v>
      </c>
      <c r="Q166" s="287">
        <f>ROUND(P166*I166,2)</f>
        <v>1565.22</v>
      </c>
      <c r="R166" s="137"/>
      <c r="S166" s="269">
        <f>W166+Y166+AA166+AC166</f>
        <v>0</v>
      </c>
      <c r="T166" s="269">
        <f>ROUND(S166*I166,2)</f>
        <v>0</v>
      </c>
      <c r="U166" s="269">
        <f>H166-S166</f>
        <v>1</v>
      </c>
      <c r="V166" s="269">
        <f>ROUND(U166*I166,2)</f>
        <v>1565.22</v>
      </c>
      <c r="W166" s="269"/>
      <c r="X166" s="269"/>
      <c r="Y166" s="269"/>
      <c r="Z166" s="269"/>
      <c r="AA166" s="269"/>
      <c r="AB166" s="269"/>
      <c r="AC166" s="269"/>
      <c r="AD166" s="269"/>
      <c r="AR166" s="132" t="s">
        <v>1</v>
      </c>
      <c r="AS166" s="133" t="s">
        <v>40</v>
      </c>
      <c r="AU166" s="134">
        <f>AT166*H166</f>
        <v>0</v>
      </c>
      <c r="AV166" s="134">
        <v>0</v>
      </c>
      <c r="AW166" s="134">
        <f>AV166*H166</f>
        <v>0</v>
      </c>
      <c r="AX166" s="134">
        <v>0</v>
      </c>
      <c r="AY166" s="135">
        <f>AX166*H166</f>
        <v>0</v>
      </c>
      <c r="BW166" s="136" t="s">
        <v>95</v>
      </c>
      <c r="BY166" s="136" t="s">
        <v>284</v>
      </c>
      <c r="BZ166" s="136" t="s">
        <v>83</v>
      </c>
      <c r="CD166" s="16" t="s">
        <v>282</v>
      </c>
      <c r="CJ166" s="137">
        <f>IF(AS166="základní",J166,0)</f>
        <v>1565.22</v>
      </c>
      <c r="CK166" s="137">
        <f>IF(AS166="snížená",J166,0)</f>
        <v>0</v>
      </c>
      <c r="CL166" s="137">
        <f>IF(AS166="zákl. přenesená",J166,0)</f>
        <v>0</v>
      </c>
      <c r="CM166" s="137">
        <f>IF(AS166="sníž. přenesená",J166,0)</f>
        <v>0</v>
      </c>
      <c r="CN166" s="137">
        <f>IF(AS166="nulová",J166,0)</f>
        <v>0</v>
      </c>
      <c r="CO166" s="16" t="s">
        <v>81</v>
      </c>
      <c r="CP166" s="137">
        <f>ROUND(I166*H166,2)</f>
        <v>1565.22</v>
      </c>
      <c r="CQ166" s="16" t="s">
        <v>95</v>
      </c>
      <c r="CR166" s="136" t="s">
        <v>526</v>
      </c>
    </row>
    <row r="167" spans="2:96" s="1" customFormat="1" x14ac:dyDescent="0.2">
      <c r="B167" s="31"/>
      <c r="D167" s="138" t="s">
        <v>289</v>
      </c>
      <c r="F167" s="139" t="s">
        <v>2904</v>
      </c>
      <c r="I167" s="140"/>
      <c r="L167" s="31"/>
      <c r="N167" s="213"/>
      <c r="O167" s="214"/>
      <c r="Q167" s="229"/>
      <c r="AR167" s="141"/>
      <c r="AY167" s="50"/>
      <c r="BY167" s="16" t="s">
        <v>289</v>
      </c>
      <c r="BZ167" s="16" t="s">
        <v>83</v>
      </c>
    </row>
    <row r="168" spans="2:96" s="1" customFormat="1" ht="14.45" customHeight="1" x14ac:dyDescent="0.2">
      <c r="B168" s="124"/>
      <c r="C168" s="125" t="s">
        <v>7</v>
      </c>
      <c r="D168" s="125" t="s">
        <v>284</v>
      </c>
      <c r="E168" s="126" t="s">
        <v>2905</v>
      </c>
      <c r="F168" s="127" t="s">
        <v>2906</v>
      </c>
      <c r="G168" s="128" t="s">
        <v>315</v>
      </c>
      <c r="H168" s="129">
        <v>6</v>
      </c>
      <c r="I168" s="130">
        <v>879.12036332700006</v>
      </c>
      <c r="J168" s="131">
        <f>ROUND(I168*H168,2)</f>
        <v>5274.72</v>
      </c>
      <c r="K168" s="127" t="s">
        <v>1</v>
      </c>
      <c r="L168" s="268">
        <f>S168</f>
        <v>0</v>
      </c>
      <c r="M168" s="272">
        <f>ROUND(L168*I168,2)</f>
        <v>0</v>
      </c>
      <c r="N168" s="243"/>
      <c r="O168" s="294">
        <f>ROUND(N168*I168,2)</f>
        <v>0</v>
      </c>
      <c r="P168" s="273">
        <f>H168-L168-N168</f>
        <v>6</v>
      </c>
      <c r="Q168" s="287">
        <f>ROUND(P168*I168,2)</f>
        <v>5274.72</v>
      </c>
      <c r="R168" s="137"/>
      <c r="S168" s="269">
        <f>W168+Y168+AA168+AC168</f>
        <v>0</v>
      </c>
      <c r="T168" s="269">
        <f>ROUND(S168*I168,2)</f>
        <v>0</v>
      </c>
      <c r="U168" s="269">
        <f>H168-S168</f>
        <v>6</v>
      </c>
      <c r="V168" s="269">
        <f>ROUND(U168*I168,2)</f>
        <v>5274.72</v>
      </c>
      <c r="W168" s="269"/>
      <c r="X168" s="269"/>
      <c r="Y168" s="269"/>
      <c r="Z168" s="269"/>
      <c r="AA168" s="269"/>
      <c r="AB168" s="269"/>
      <c r="AC168" s="269"/>
      <c r="AD168" s="269"/>
      <c r="AR168" s="132" t="s">
        <v>1</v>
      </c>
      <c r="AS168" s="133" t="s">
        <v>40</v>
      </c>
      <c r="AU168" s="134">
        <f>AT168*H168</f>
        <v>0</v>
      </c>
      <c r="AV168" s="134">
        <v>0</v>
      </c>
      <c r="AW168" s="134">
        <f>AV168*H168</f>
        <v>0</v>
      </c>
      <c r="AX168" s="134">
        <v>0</v>
      </c>
      <c r="AY168" s="135">
        <f>AX168*H168</f>
        <v>0</v>
      </c>
      <c r="BW168" s="136" t="s">
        <v>95</v>
      </c>
      <c r="BY168" s="136" t="s">
        <v>284</v>
      </c>
      <c r="BZ168" s="136" t="s">
        <v>83</v>
      </c>
      <c r="CD168" s="16" t="s">
        <v>282</v>
      </c>
      <c r="CJ168" s="137">
        <f>IF(AS168="základní",J168,0)</f>
        <v>5274.72</v>
      </c>
      <c r="CK168" s="137">
        <f>IF(AS168="snížená",J168,0)</f>
        <v>0</v>
      </c>
      <c r="CL168" s="137">
        <f>IF(AS168="zákl. přenesená",J168,0)</f>
        <v>0</v>
      </c>
      <c r="CM168" s="137">
        <f>IF(AS168="sníž. přenesená",J168,0)</f>
        <v>0</v>
      </c>
      <c r="CN168" s="137">
        <f>IF(AS168="nulová",J168,0)</f>
        <v>0</v>
      </c>
      <c r="CO168" s="16" t="s">
        <v>81</v>
      </c>
      <c r="CP168" s="137">
        <f>ROUND(I168*H168,2)</f>
        <v>5274.72</v>
      </c>
      <c r="CQ168" s="16" t="s">
        <v>95</v>
      </c>
      <c r="CR168" s="136" t="s">
        <v>536</v>
      </c>
    </row>
    <row r="169" spans="2:96" s="1" customFormat="1" x14ac:dyDescent="0.2">
      <c r="B169" s="31"/>
      <c r="D169" s="138" t="s">
        <v>289</v>
      </c>
      <c r="F169" s="139" t="s">
        <v>2906</v>
      </c>
      <c r="I169" s="140"/>
      <c r="L169" s="31"/>
      <c r="N169" s="213"/>
      <c r="O169" s="214"/>
      <c r="Q169" s="229"/>
      <c r="AR169" s="141"/>
      <c r="AY169" s="50"/>
      <c r="BY169" s="16" t="s">
        <v>289</v>
      </c>
      <c r="BZ169" s="16" t="s">
        <v>83</v>
      </c>
    </row>
    <row r="170" spans="2:96" s="1" customFormat="1" ht="14.45" customHeight="1" x14ac:dyDescent="0.2">
      <c r="B170" s="124"/>
      <c r="C170" s="125" t="s">
        <v>415</v>
      </c>
      <c r="D170" s="125" t="s">
        <v>284</v>
      </c>
      <c r="E170" s="126" t="s">
        <v>2907</v>
      </c>
      <c r="F170" s="127" t="s">
        <v>2908</v>
      </c>
      <c r="G170" s="128" t="s">
        <v>315</v>
      </c>
      <c r="H170" s="129">
        <v>2</v>
      </c>
      <c r="I170" s="130">
        <v>819.31316402900006</v>
      </c>
      <c r="J170" s="131">
        <f>ROUND(I170*H170,2)</f>
        <v>1638.63</v>
      </c>
      <c r="K170" s="127" t="s">
        <v>1</v>
      </c>
      <c r="L170" s="268">
        <f>S170</f>
        <v>0</v>
      </c>
      <c r="M170" s="272">
        <f>ROUND(L170*I170,2)</f>
        <v>0</v>
      </c>
      <c r="N170" s="243"/>
      <c r="O170" s="294">
        <f>ROUND(N170*I170,2)</f>
        <v>0</v>
      </c>
      <c r="P170" s="273">
        <f>H170-L170-N170</f>
        <v>2</v>
      </c>
      <c r="Q170" s="287">
        <f>ROUND(P170*I170,2)</f>
        <v>1638.63</v>
      </c>
      <c r="R170" s="137"/>
      <c r="S170" s="269">
        <f>W170+Y170+AA170+AC170</f>
        <v>0</v>
      </c>
      <c r="T170" s="269">
        <f>ROUND(S170*I170,2)</f>
        <v>0</v>
      </c>
      <c r="U170" s="269">
        <f>H170-S170</f>
        <v>2</v>
      </c>
      <c r="V170" s="269">
        <f>ROUND(U170*I170,2)</f>
        <v>1638.63</v>
      </c>
      <c r="W170" s="269"/>
      <c r="X170" s="269"/>
      <c r="Y170" s="269"/>
      <c r="Z170" s="269"/>
      <c r="AA170" s="269"/>
      <c r="AB170" s="269"/>
      <c r="AC170" s="269"/>
      <c r="AD170" s="269"/>
      <c r="AR170" s="132" t="s">
        <v>1</v>
      </c>
      <c r="AS170" s="133" t="s">
        <v>40</v>
      </c>
      <c r="AU170" s="134">
        <f>AT170*H170</f>
        <v>0</v>
      </c>
      <c r="AV170" s="134">
        <v>0</v>
      </c>
      <c r="AW170" s="134">
        <f>AV170*H170</f>
        <v>0</v>
      </c>
      <c r="AX170" s="134">
        <v>0</v>
      </c>
      <c r="AY170" s="135">
        <f>AX170*H170</f>
        <v>0</v>
      </c>
      <c r="BW170" s="136" t="s">
        <v>95</v>
      </c>
      <c r="BY170" s="136" t="s">
        <v>284</v>
      </c>
      <c r="BZ170" s="136" t="s">
        <v>83</v>
      </c>
      <c r="CD170" s="16" t="s">
        <v>282</v>
      </c>
      <c r="CJ170" s="137">
        <f>IF(AS170="základní",J170,0)</f>
        <v>1638.63</v>
      </c>
      <c r="CK170" s="137">
        <f>IF(AS170="snížená",J170,0)</f>
        <v>0</v>
      </c>
      <c r="CL170" s="137">
        <f>IF(AS170="zákl. přenesená",J170,0)</f>
        <v>0</v>
      </c>
      <c r="CM170" s="137">
        <f>IF(AS170="sníž. přenesená",J170,0)</f>
        <v>0</v>
      </c>
      <c r="CN170" s="137">
        <f>IF(AS170="nulová",J170,0)</f>
        <v>0</v>
      </c>
      <c r="CO170" s="16" t="s">
        <v>81</v>
      </c>
      <c r="CP170" s="137">
        <f>ROUND(I170*H170,2)</f>
        <v>1638.63</v>
      </c>
      <c r="CQ170" s="16" t="s">
        <v>95</v>
      </c>
      <c r="CR170" s="136" t="s">
        <v>548</v>
      </c>
    </row>
    <row r="171" spans="2:96" s="1" customFormat="1" x14ac:dyDescent="0.2">
      <c r="B171" s="31"/>
      <c r="D171" s="138" t="s">
        <v>289</v>
      </c>
      <c r="F171" s="139" t="s">
        <v>2908</v>
      </c>
      <c r="I171" s="140"/>
      <c r="L171" s="31"/>
      <c r="N171" s="213"/>
      <c r="O171" s="214"/>
      <c r="Q171" s="229"/>
      <c r="AR171" s="141"/>
      <c r="AY171" s="50"/>
      <c r="BY171" s="16" t="s">
        <v>289</v>
      </c>
      <c r="BZ171" s="16" t="s">
        <v>83</v>
      </c>
    </row>
    <row r="172" spans="2:96" s="1" customFormat="1" ht="14.45" customHeight="1" x14ac:dyDescent="0.2">
      <c r="B172" s="124"/>
      <c r="C172" s="125" t="s">
        <v>422</v>
      </c>
      <c r="D172" s="125" t="s">
        <v>284</v>
      </c>
      <c r="E172" s="126" t="s">
        <v>2909</v>
      </c>
      <c r="F172" s="127" t="s">
        <v>2910</v>
      </c>
      <c r="G172" s="128" t="s">
        <v>315</v>
      </c>
      <c r="H172" s="129">
        <v>8</v>
      </c>
      <c r="I172" s="130">
        <v>199.59729230400001</v>
      </c>
      <c r="J172" s="131">
        <f>ROUND(I172*H172,2)</f>
        <v>1596.78</v>
      </c>
      <c r="K172" s="127" t="s">
        <v>1</v>
      </c>
      <c r="L172" s="268">
        <f>S172</f>
        <v>0</v>
      </c>
      <c r="M172" s="272">
        <f>ROUND(L172*I172,2)</f>
        <v>0</v>
      </c>
      <c r="N172" s="243"/>
      <c r="O172" s="294">
        <f>ROUND(N172*I172,2)</f>
        <v>0</v>
      </c>
      <c r="P172" s="273">
        <f>H172-L172-N172</f>
        <v>8</v>
      </c>
      <c r="Q172" s="287">
        <f>ROUND(P172*I172,2)</f>
        <v>1596.78</v>
      </c>
      <c r="R172" s="137"/>
      <c r="S172" s="269">
        <f>W172+Y172+AA172+AC172</f>
        <v>0</v>
      </c>
      <c r="T172" s="269">
        <f>ROUND(S172*I172,2)</f>
        <v>0</v>
      </c>
      <c r="U172" s="269">
        <f>H172-S172</f>
        <v>8</v>
      </c>
      <c r="V172" s="269">
        <f>ROUND(U172*I172,2)</f>
        <v>1596.78</v>
      </c>
      <c r="W172" s="269"/>
      <c r="X172" s="269"/>
      <c r="Y172" s="269"/>
      <c r="Z172" s="269"/>
      <c r="AA172" s="269"/>
      <c r="AB172" s="269"/>
      <c r="AC172" s="269"/>
      <c r="AD172" s="269"/>
      <c r="AR172" s="132" t="s">
        <v>1</v>
      </c>
      <c r="AS172" s="133" t="s">
        <v>40</v>
      </c>
      <c r="AU172" s="134">
        <f>AT172*H172</f>
        <v>0</v>
      </c>
      <c r="AV172" s="134">
        <v>0</v>
      </c>
      <c r="AW172" s="134">
        <f>AV172*H172</f>
        <v>0</v>
      </c>
      <c r="AX172" s="134">
        <v>0</v>
      </c>
      <c r="AY172" s="135">
        <f>AX172*H172</f>
        <v>0</v>
      </c>
      <c r="BW172" s="136" t="s">
        <v>95</v>
      </c>
      <c r="BY172" s="136" t="s">
        <v>284</v>
      </c>
      <c r="BZ172" s="136" t="s">
        <v>83</v>
      </c>
      <c r="CD172" s="16" t="s">
        <v>282</v>
      </c>
      <c r="CJ172" s="137">
        <f>IF(AS172="základní",J172,0)</f>
        <v>1596.78</v>
      </c>
      <c r="CK172" s="137">
        <f>IF(AS172="snížená",J172,0)</f>
        <v>0</v>
      </c>
      <c r="CL172" s="137">
        <f>IF(AS172="zákl. přenesená",J172,0)</f>
        <v>0</v>
      </c>
      <c r="CM172" s="137">
        <f>IF(AS172="sníž. přenesená",J172,0)</f>
        <v>0</v>
      </c>
      <c r="CN172" s="137">
        <f>IF(AS172="nulová",J172,0)</f>
        <v>0</v>
      </c>
      <c r="CO172" s="16" t="s">
        <v>81</v>
      </c>
      <c r="CP172" s="137">
        <f>ROUND(I172*H172,2)</f>
        <v>1596.78</v>
      </c>
      <c r="CQ172" s="16" t="s">
        <v>95</v>
      </c>
      <c r="CR172" s="136" t="s">
        <v>562</v>
      </c>
    </row>
    <row r="173" spans="2:96" s="1" customFormat="1" x14ac:dyDescent="0.2">
      <c r="B173" s="31"/>
      <c r="D173" s="138" t="s">
        <v>289</v>
      </c>
      <c r="F173" s="139" t="s">
        <v>2910</v>
      </c>
      <c r="I173" s="140"/>
      <c r="L173" s="31"/>
      <c r="N173" s="213"/>
      <c r="O173" s="214"/>
      <c r="Q173" s="229"/>
      <c r="AR173" s="141"/>
      <c r="AY173" s="50"/>
      <c r="BY173" s="16" t="s">
        <v>289</v>
      </c>
      <c r="BZ173" s="16" t="s">
        <v>83</v>
      </c>
    </row>
    <row r="174" spans="2:96" s="1" customFormat="1" ht="14.45" customHeight="1" x14ac:dyDescent="0.2">
      <c r="B174" s="124"/>
      <c r="C174" s="125" t="s">
        <v>438</v>
      </c>
      <c r="D174" s="125" t="s">
        <v>284</v>
      </c>
      <c r="E174" s="126" t="s">
        <v>2911</v>
      </c>
      <c r="F174" s="127" t="s">
        <v>2912</v>
      </c>
      <c r="G174" s="128" t="s">
        <v>315</v>
      </c>
      <c r="H174" s="129">
        <v>8</v>
      </c>
      <c r="I174" s="130">
        <v>23.064702295</v>
      </c>
      <c r="J174" s="131">
        <f>ROUND(I174*H174,2)</f>
        <v>184.52</v>
      </c>
      <c r="K174" s="127" t="s">
        <v>1</v>
      </c>
      <c r="L174" s="268">
        <f>S174</f>
        <v>0</v>
      </c>
      <c r="M174" s="272">
        <f>ROUND(L174*I174,2)</f>
        <v>0</v>
      </c>
      <c r="N174" s="243"/>
      <c r="O174" s="294">
        <f>ROUND(N174*I174,2)</f>
        <v>0</v>
      </c>
      <c r="P174" s="273">
        <f>H174-L174-N174</f>
        <v>8</v>
      </c>
      <c r="Q174" s="287">
        <f>ROUND(P174*I174,2)</f>
        <v>184.52</v>
      </c>
      <c r="R174" s="137"/>
      <c r="S174" s="269">
        <f>W174+Y174+AA174+AC174</f>
        <v>0</v>
      </c>
      <c r="T174" s="269">
        <f>ROUND(S174*I174,2)</f>
        <v>0</v>
      </c>
      <c r="U174" s="269">
        <f>H174-S174</f>
        <v>8</v>
      </c>
      <c r="V174" s="269">
        <f>ROUND(U174*I174,2)</f>
        <v>184.52</v>
      </c>
      <c r="W174" s="269"/>
      <c r="X174" s="269"/>
      <c r="Y174" s="269"/>
      <c r="Z174" s="269"/>
      <c r="AA174" s="269"/>
      <c r="AB174" s="269"/>
      <c r="AC174" s="269"/>
      <c r="AD174" s="269"/>
      <c r="AR174" s="132" t="s">
        <v>1</v>
      </c>
      <c r="AS174" s="133" t="s">
        <v>40</v>
      </c>
      <c r="AU174" s="134">
        <f>AT174*H174</f>
        <v>0</v>
      </c>
      <c r="AV174" s="134">
        <v>0</v>
      </c>
      <c r="AW174" s="134">
        <f>AV174*H174</f>
        <v>0</v>
      </c>
      <c r="AX174" s="134">
        <v>0</v>
      </c>
      <c r="AY174" s="135">
        <f>AX174*H174</f>
        <v>0</v>
      </c>
      <c r="BW174" s="136" t="s">
        <v>95</v>
      </c>
      <c r="BY174" s="136" t="s">
        <v>284</v>
      </c>
      <c r="BZ174" s="136" t="s">
        <v>83</v>
      </c>
      <c r="CD174" s="16" t="s">
        <v>282</v>
      </c>
      <c r="CJ174" s="137">
        <f>IF(AS174="základní",J174,0)</f>
        <v>184.52</v>
      </c>
      <c r="CK174" s="137">
        <f>IF(AS174="snížená",J174,0)</f>
        <v>0</v>
      </c>
      <c r="CL174" s="137">
        <f>IF(AS174="zákl. přenesená",J174,0)</f>
        <v>0</v>
      </c>
      <c r="CM174" s="137">
        <f>IF(AS174="sníž. přenesená",J174,0)</f>
        <v>0</v>
      </c>
      <c r="CN174" s="137">
        <f>IF(AS174="nulová",J174,0)</f>
        <v>0</v>
      </c>
      <c r="CO174" s="16" t="s">
        <v>81</v>
      </c>
      <c r="CP174" s="137">
        <f>ROUND(I174*H174,2)</f>
        <v>184.52</v>
      </c>
      <c r="CQ174" s="16" t="s">
        <v>95</v>
      </c>
      <c r="CR174" s="136" t="s">
        <v>572</v>
      </c>
    </row>
    <row r="175" spans="2:96" s="1" customFormat="1" x14ac:dyDescent="0.2">
      <c r="B175" s="31"/>
      <c r="D175" s="138" t="s">
        <v>289</v>
      </c>
      <c r="F175" s="139" t="s">
        <v>2912</v>
      </c>
      <c r="I175" s="140"/>
      <c r="L175" s="31"/>
      <c r="N175" s="213"/>
      <c r="O175" s="214"/>
      <c r="Q175" s="229"/>
      <c r="AR175" s="141"/>
      <c r="AY175" s="50"/>
      <c r="BY175" s="16" t="s">
        <v>289</v>
      </c>
      <c r="BZ175" s="16" t="s">
        <v>83</v>
      </c>
    </row>
    <row r="176" spans="2:96" s="1" customFormat="1" ht="14.45" customHeight="1" x14ac:dyDescent="0.2">
      <c r="B176" s="124"/>
      <c r="C176" s="125" t="s">
        <v>445</v>
      </c>
      <c r="D176" s="125" t="s">
        <v>284</v>
      </c>
      <c r="E176" s="126" t="s">
        <v>2913</v>
      </c>
      <c r="F176" s="127" t="s">
        <v>2914</v>
      </c>
      <c r="G176" s="128" t="s">
        <v>315</v>
      </c>
      <c r="H176" s="129">
        <v>1</v>
      </c>
      <c r="I176" s="130">
        <v>431.06839291299997</v>
      </c>
      <c r="J176" s="131">
        <f>ROUND(I176*H176,2)</f>
        <v>431.07</v>
      </c>
      <c r="K176" s="127" t="s">
        <v>1</v>
      </c>
      <c r="L176" s="268">
        <f>S176</f>
        <v>0</v>
      </c>
      <c r="M176" s="272">
        <f>ROUND(L176*I176,2)</f>
        <v>0</v>
      </c>
      <c r="N176" s="243"/>
      <c r="O176" s="294">
        <f>ROUND(N176*I176,2)</f>
        <v>0</v>
      </c>
      <c r="P176" s="273">
        <f>H176-L176-N176</f>
        <v>1</v>
      </c>
      <c r="Q176" s="287">
        <f>ROUND(P176*I176,2)</f>
        <v>431.07</v>
      </c>
      <c r="R176" s="137"/>
      <c r="S176" s="269">
        <f>W176+Y176+AA176+AC176</f>
        <v>0</v>
      </c>
      <c r="T176" s="269">
        <f>ROUND(S176*I176,2)</f>
        <v>0</v>
      </c>
      <c r="U176" s="269">
        <f>H176-S176</f>
        <v>1</v>
      </c>
      <c r="V176" s="269">
        <f>ROUND(U176*I176,2)</f>
        <v>431.07</v>
      </c>
      <c r="W176" s="269"/>
      <c r="X176" s="269"/>
      <c r="Y176" s="269"/>
      <c r="Z176" s="269"/>
      <c r="AA176" s="269"/>
      <c r="AB176" s="269"/>
      <c r="AC176" s="269"/>
      <c r="AD176" s="269"/>
      <c r="AR176" s="132" t="s">
        <v>1</v>
      </c>
      <c r="AS176" s="133" t="s">
        <v>40</v>
      </c>
      <c r="AU176" s="134">
        <f>AT176*H176</f>
        <v>0</v>
      </c>
      <c r="AV176" s="134">
        <v>0</v>
      </c>
      <c r="AW176" s="134">
        <f>AV176*H176</f>
        <v>0</v>
      </c>
      <c r="AX176" s="134">
        <v>0</v>
      </c>
      <c r="AY176" s="135">
        <f>AX176*H176</f>
        <v>0</v>
      </c>
      <c r="BW176" s="136" t="s">
        <v>95</v>
      </c>
      <c r="BY176" s="136" t="s">
        <v>284</v>
      </c>
      <c r="BZ176" s="136" t="s">
        <v>83</v>
      </c>
      <c r="CD176" s="16" t="s">
        <v>282</v>
      </c>
      <c r="CJ176" s="137">
        <f>IF(AS176="základní",J176,0)</f>
        <v>431.07</v>
      </c>
      <c r="CK176" s="137">
        <f>IF(AS176="snížená",J176,0)</f>
        <v>0</v>
      </c>
      <c r="CL176" s="137">
        <f>IF(AS176="zákl. přenesená",J176,0)</f>
        <v>0</v>
      </c>
      <c r="CM176" s="137">
        <f>IF(AS176="sníž. přenesená",J176,0)</f>
        <v>0</v>
      </c>
      <c r="CN176" s="137">
        <f>IF(AS176="nulová",J176,0)</f>
        <v>0</v>
      </c>
      <c r="CO176" s="16" t="s">
        <v>81</v>
      </c>
      <c r="CP176" s="137">
        <f>ROUND(I176*H176,2)</f>
        <v>431.07</v>
      </c>
      <c r="CQ176" s="16" t="s">
        <v>95</v>
      </c>
      <c r="CR176" s="136" t="s">
        <v>581</v>
      </c>
    </row>
    <row r="177" spans="2:96" s="1" customFormat="1" x14ac:dyDescent="0.2">
      <c r="B177" s="31"/>
      <c r="D177" s="138" t="s">
        <v>289</v>
      </c>
      <c r="F177" s="139" t="s">
        <v>2914</v>
      </c>
      <c r="I177" s="140"/>
      <c r="L177" s="31"/>
      <c r="N177" s="213"/>
      <c r="O177" s="214"/>
      <c r="Q177" s="229"/>
      <c r="AR177" s="141"/>
      <c r="AY177" s="50"/>
      <c r="BY177" s="16" t="s">
        <v>289</v>
      </c>
      <c r="BZ177" s="16" t="s">
        <v>83</v>
      </c>
    </row>
    <row r="178" spans="2:96" s="1" customFormat="1" ht="14.45" customHeight="1" x14ac:dyDescent="0.2">
      <c r="B178" s="124"/>
      <c r="C178" s="125" t="s">
        <v>451</v>
      </c>
      <c r="D178" s="125" t="s">
        <v>284</v>
      </c>
      <c r="E178" s="126" t="s">
        <v>2915</v>
      </c>
      <c r="F178" s="127" t="s">
        <v>2916</v>
      </c>
      <c r="G178" s="128" t="s">
        <v>315</v>
      </c>
      <c r="H178" s="129">
        <v>2</v>
      </c>
      <c r="I178" s="130">
        <v>734.74574633300006</v>
      </c>
      <c r="J178" s="131">
        <f>ROUND(I178*H178,2)</f>
        <v>1469.49</v>
      </c>
      <c r="K178" s="127" t="s">
        <v>1</v>
      </c>
      <c r="L178" s="268">
        <f>S178</f>
        <v>0</v>
      </c>
      <c r="M178" s="272">
        <f>ROUND(L178*I178,2)</f>
        <v>0</v>
      </c>
      <c r="N178" s="243"/>
      <c r="O178" s="294">
        <f>ROUND(N178*I178,2)</f>
        <v>0</v>
      </c>
      <c r="P178" s="273">
        <f>H178-L178-N178</f>
        <v>2</v>
      </c>
      <c r="Q178" s="287">
        <f>ROUND(P178*I178,2)</f>
        <v>1469.49</v>
      </c>
      <c r="R178" s="137"/>
      <c r="S178" s="269">
        <f>W178+Y178+AA178+AC178</f>
        <v>0</v>
      </c>
      <c r="T178" s="269">
        <f>ROUND(S178*I178,2)</f>
        <v>0</v>
      </c>
      <c r="U178" s="269">
        <f>H178-S178</f>
        <v>2</v>
      </c>
      <c r="V178" s="269">
        <f>ROUND(U178*I178,2)</f>
        <v>1469.49</v>
      </c>
      <c r="W178" s="269"/>
      <c r="X178" s="269"/>
      <c r="Y178" s="269"/>
      <c r="Z178" s="269"/>
      <c r="AA178" s="269"/>
      <c r="AB178" s="269"/>
      <c r="AC178" s="269"/>
      <c r="AD178" s="269"/>
      <c r="AR178" s="132" t="s">
        <v>1</v>
      </c>
      <c r="AS178" s="133" t="s">
        <v>40</v>
      </c>
      <c r="AU178" s="134">
        <f>AT178*H178</f>
        <v>0</v>
      </c>
      <c r="AV178" s="134">
        <v>0</v>
      </c>
      <c r="AW178" s="134">
        <f>AV178*H178</f>
        <v>0</v>
      </c>
      <c r="AX178" s="134">
        <v>0</v>
      </c>
      <c r="AY178" s="135">
        <f>AX178*H178</f>
        <v>0</v>
      </c>
      <c r="BW178" s="136" t="s">
        <v>95</v>
      </c>
      <c r="BY178" s="136" t="s">
        <v>284</v>
      </c>
      <c r="BZ178" s="136" t="s">
        <v>83</v>
      </c>
      <c r="CD178" s="16" t="s">
        <v>282</v>
      </c>
      <c r="CJ178" s="137">
        <f>IF(AS178="základní",J178,0)</f>
        <v>1469.49</v>
      </c>
      <c r="CK178" s="137">
        <f>IF(AS178="snížená",J178,0)</f>
        <v>0</v>
      </c>
      <c r="CL178" s="137">
        <f>IF(AS178="zákl. přenesená",J178,0)</f>
        <v>0</v>
      </c>
      <c r="CM178" s="137">
        <f>IF(AS178="sníž. přenesená",J178,0)</f>
        <v>0</v>
      </c>
      <c r="CN178" s="137">
        <f>IF(AS178="nulová",J178,0)</f>
        <v>0</v>
      </c>
      <c r="CO178" s="16" t="s">
        <v>81</v>
      </c>
      <c r="CP178" s="137">
        <f>ROUND(I178*H178,2)</f>
        <v>1469.49</v>
      </c>
      <c r="CQ178" s="16" t="s">
        <v>95</v>
      </c>
      <c r="CR178" s="136" t="s">
        <v>594</v>
      </c>
    </row>
    <row r="179" spans="2:96" s="1" customFormat="1" x14ac:dyDescent="0.2">
      <c r="B179" s="31"/>
      <c r="D179" s="138" t="s">
        <v>289</v>
      </c>
      <c r="F179" s="139" t="s">
        <v>2916</v>
      </c>
      <c r="I179" s="140"/>
      <c r="L179" s="31"/>
      <c r="N179" s="213"/>
      <c r="O179" s="214"/>
      <c r="Q179" s="229"/>
      <c r="AR179" s="141"/>
      <c r="AY179" s="50"/>
      <c r="BY179" s="16" t="s">
        <v>289</v>
      </c>
      <c r="BZ179" s="16" t="s">
        <v>83</v>
      </c>
    </row>
    <row r="180" spans="2:96" s="1" customFormat="1" ht="14.45" customHeight="1" x14ac:dyDescent="0.2">
      <c r="B180" s="124"/>
      <c r="C180" s="125" t="s">
        <v>456</v>
      </c>
      <c r="D180" s="125" t="s">
        <v>284</v>
      </c>
      <c r="E180" s="126" t="s">
        <v>2917</v>
      </c>
      <c r="F180" s="127" t="s">
        <v>2918</v>
      </c>
      <c r="G180" s="128" t="s">
        <v>315</v>
      </c>
      <c r="H180" s="129">
        <v>2</v>
      </c>
      <c r="I180" s="130">
        <v>603.19642991699993</v>
      </c>
      <c r="J180" s="131">
        <f>ROUND(I180*H180,2)</f>
        <v>1206.3900000000001</v>
      </c>
      <c r="K180" s="127" t="s">
        <v>1</v>
      </c>
      <c r="L180" s="268">
        <f>S180</f>
        <v>0</v>
      </c>
      <c r="M180" s="272">
        <f>ROUND(L180*I180,2)</f>
        <v>0</v>
      </c>
      <c r="N180" s="243"/>
      <c r="O180" s="294">
        <f>ROUND(N180*I180,2)</f>
        <v>0</v>
      </c>
      <c r="P180" s="273">
        <f>H180-L180-N180</f>
        <v>2</v>
      </c>
      <c r="Q180" s="287">
        <f>ROUND(P180*I180,2)</f>
        <v>1206.3900000000001</v>
      </c>
      <c r="R180" s="137"/>
      <c r="S180" s="269">
        <f>W180+Y180+AA180+AC180</f>
        <v>0</v>
      </c>
      <c r="T180" s="269">
        <f>ROUND(S180*I180,2)</f>
        <v>0</v>
      </c>
      <c r="U180" s="269">
        <f>H180-S180</f>
        <v>2</v>
      </c>
      <c r="V180" s="269">
        <f>ROUND(U180*I180,2)</f>
        <v>1206.3900000000001</v>
      </c>
      <c r="W180" s="269"/>
      <c r="X180" s="269"/>
      <c r="Y180" s="269"/>
      <c r="Z180" s="269"/>
      <c r="AA180" s="269"/>
      <c r="AB180" s="269"/>
      <c r="AC180" s="269"/>
      <c r="AD180" s="269"/>
      <c r="AR180" s="132" t="s">
        <v>1</v>
      </c>
      <c r="AS180" s="133" t="s">
        <v>40</v>
      </c>
      <c r="AU180" s="134">
        <f>AT180*H180</f>
        <v>0</v>
      </c>
      <c r="AV180" s="134">
        <v>0</v>
      </c>
      <c r="AW180" s="134">
        <f>AV180*H180</f>
        <v>0</v>
      </c>
      <c r="AX180" s="134">
        <v>0</v>
      </c>
      <c r="AY180" s="135">
        <f>AX180*H180</f>
        <v>0</v>
      </c>
      <c r="BW180" s="136" t="s">
        <v>95</v>
      </c>
      <c r="BY180" s="136" t="s">
        <v>284</v>
      </c>
      <c r="BZ180" s="136" t="s">
        <v>83</v>
      </c>
      <c r="CD180" s="16" t="s">
        <v>282</v>
      </c>
      <c r="CJ180" s="137">
        <f>IF(AS180="základní",J180,0)</f>
        <v>1206.3900000000001</v>
      </c>
      <c r="CK180" s="137">
        <f>IF(AS180="snížená",J180,0)</f>
        <v>0</v>
      </c>
      <c r="CL180" s="137">
        <f>IF(AS180="zákl. přenesená",J180,0)</f>
        <v>0</v>
      </c>
      <c r="CM180" s="137">
        <f>IF(AS180="sníž. přenesená",J180,0)</f>
        <v>0</v>
      </c>
      <c r="CN180" s="137">
        <f>IF(AS180="nulová",J180,0)</f>
        <v>0</v>
      </c>
      <c r="CO180" s="16" t="s">
        <v>81</v>
      </c>
      <c r="CP180" s="137">
        <f>ROUND(I180*H180,2)</f>
        <v>1206.3900000000001</v>
      </c>
      <c r="CQ180" s="16" t="s">
        <v>95</v>
      </c>
      <c r="CR180" s="136" t="s">
        <v>604</v>
      </c>
    </row>
    <row r="181" spans="2:96" s="1" customFormat="1" x14ac:dyDescent="0.2">
      <c r="B181" s="31"/>
      <c r="D181" s="138" t="s">
        <v>289</v>
      </c>
      <c r="F181" s="139" t="s">
        <v>2918</v>
      </c>
      <c r="I181" s="140"/>
      <c r="L181" s="31"/>
      <c r="N181" s="213"/>
      <c r="O181" s="214"/>
      <c r="Q181" s="229"/>
      <c r="AR181" s="141"/>
      <c r="AY181" s="50"/>
      <c r="BY181" s="16" t="s">
        <v>289</v>
      </c>
      <c r="BZ181" s="16" t="s">
        <v>83</v>
      </c>
    </row>
    <row r="182" spans="2:96" s="1" customFormat="1" ht="14.45" customHeight="1" x14ac:dyDescent="0.2">
      <c r="B182" s="124"/>
      <c r="C182" s="125" t="s">
        <v>463</v>
      </c>
      <c r="D182" s="125" t="s">
        <v>284</v>
      </c>
      <c r="E182" s="126" t="s">
        <v>2919</v>
      </c>
      <c r="F182" s="127" t="s">
        <v>2920</v>
      </c>
      <c r="G182" s="128" t="s">
        <v>315</v>
      </c>
      <c r="H182" s="129">
        <v>1</v>
      </c>
      <c r="I182" s="130">
        <v>603.19642991699993</v>
      </c>
      <c r="J182" s="131">
        <f>ROUND(I182*H182,2)</f>
        <v>603.20000000000005</v>
      </c>
      <c r="K182" s="127" t="s">
        <v>1</v>
      </c>
      <c r="L182" s="268">
        <f>S182</f>
        <v>0</v>
      </c>
      <c r="M182" s="272">
        <f>ROUND(L182*I182,2)</f>
        <v>0</v>
      </c>
      <c r="N182" s="243"/>
      <c r="O182" s="294">
        <f>ROUND(N182*I182,2)</f>
        <v>0</v>
      </c>
      <c r="P182" s="273">
        <f>H182-L182-N182</f>
        <v>1</v>
      </c>
      <c r="Q182" s="287">
        <f>ROUND(P182*I182,2)</f>
        <v>603.20000000000005</v>
      </c>
      <c r="R182" s="137"/>
      <c r="S182" s="269">
        <f>W182+Y182+AA182+AC182</f>
        <v>0</v>
      </c>
      <c r="T182" s="269">
        <f>ROUND(S182*I182,2)</f>
        <v>0</v>
      </c>
      <c r="U182" s="269">
        <f>H182-S182</f>
        <v>1</v>
      </c>
      <c r="V182" s="269">
        <f>ROUND(U182*I182,2)</f>
        <v>603.20000000000005</v>
      </c>
      <c r="W182" s="269"/>
      <c r="X182" s="269"/>
      <c r="Y182" s="269"/>
      <c r="Z182" s="269"/>
      <c r="AA182" s="269"/>
      <c r="AB182" s="269"/>
      <c r="AC182" s="269"/>
      <c r="AD182" s="269"/>
      <c r="AR182" s="132" t="s">
        <v>1</v>
      </c>
      <c r="AS182" s="133" t="s">
        <v>40</v>
      </c>
      <c r="AU182" s="134">
        <f>AT182*H182</f>
        <v>0</v>
      </c>
      <c r="AV182" s="134">
        <v>0</v>
      </c>
      <c r="AW182" s="134">
        <f>AV182*H182</f>
        <v>0</v>
      </c>
      <c r="AX182" s="134">
        <v>0</v>
      </c>
      <c r="AY182" s="135">
        <f>AX182*H182</f>
        <v>0</v>
      </c>
      <c r="BW182" s="136" t="s">
        <v>95</v>
      </c>
      <c r="BY182" s="136" t="s">
        <v>284</v>
      </c>
      <c r="BZ182" s="136" t="s">
        <v>83</v>
      </c>
      <c r="CD182" s="16" t="s">
        <v>282</v>
      </c>
      <c r="CJ182" s="137">
        <f>IF(AS182="základní",J182,0)</f>
        <v>603.20000000000005</v>
      </c>
      <c r="CK182" s="137">
        <f>IF(AS182="snížená",J182,0)</f>
        <v>0</v>
      </c>
      <c r="CL182" s="137">
        <f>IF(AS182="zákl. přenesená",J182,0)</f>
        <v>0</v>
      </c>
      <c r="CM182" s="137">
        <f>IF(AS182="sníž. přenesená",J182,0)</f>
        <v>0</v>
      </c>
      <c r="CN182" s="137">
        <f>IF(AS182="nulová",J182,0)</f>
        <v>0</v>
      </c>
      <c r="CO182" s="16" t="s">
        <v>81</v>
      </c>
      <c r="CP182" s="137">
        <f>ROUND(I182*H182,2)</f>
        <v>603.20000000000005</v>
      </c>
      <c r="CQ182" s="16" t="s">
        <v>95</v>
      </c>
      <c r="CR182" s="136" t="s">
        <v>614</v>
      </c>
    </row>
    <row r="183" spans="2:96" s="1" customFormat="1" x14ac:dyDescent="0.2">
      <c r="B183" s="31"/>
      <c r="D183" s="138" t="s">
        <v>289</v>
      </c>
      <c r="F183" s="139" t="s">
        <v>2920</v>
      </c>
      <c r="I183" s="140"/>
      <c r="L183" s="31"/>
      <c r="N183" s="213"/>
      <c r="O183" s="214"/>
      <c r="Q183" s="229"/>
      <c r="AR183" s="141"/>
      <c r="AY183" s="50"/>
      <c r="BY183" s="16" t="s">
        <v>289</v>
      </c>
      <c r="BZ183" s="16" t="s">
        <v>83</v>
      </c>
    </row>
    <row r="184" spans="2:96" s="1" customFormat="1" ht="14.45" customHeight="1" x14ac:dyDescent="0.2">
      <c r="B184" s="124"/>
      <c r="C184" s="125" t="s">
        <v>470</v>
      </c>
      <c r="D184" s="125" t="s">
        <v>284</v>
      </c>
      <c r="E184" s="126" t="s">
        <v>2921</v>
      </c>
      <c r="F184" s="127" t="s">
        <v>2922</v>
      </c>
      <c r="G184" s="128" t="s">
        <v>315</v>
      </c>
      <c r="H184" s="129">
        <v>2</v>
      </c>
      <c r="I184" s="130">
        <v>603.19642991699993</v>
      </c>
      <c r="J184" s="131">
        <f>ROUND(I184*H184,2)</f>
        <v>1206.3900000000001</v>
      </c>
      <c r="K184" s="127" t="s">
        <v>1</v>
      </c>
      <c r="L184" s="268">
        <f>S184</f>
        <v>0</v>
      </c>
      <c r="M184" s="272">
        <f>ROUND(L184*I184,2)</f>
        <v>0</v>
      </c>
      <c r="N184" s="243"/>
      <c r="O184" s="294">
        <f>ROUND(N184*I184,2)</f>
        <v>0</v>
      </c>
      <c r="P184" s="273">
        <f>H184-L184-N184</f>
        <v>2</v>
      </c>
      <c r="Q184" s="287">
        <f>ROUND(P184*I184,2)</f>
        <v>1206.3900000000001</v>
      </c>
      <c r="R184" s="137"/>
      <c r="S184" s="269">
        <f>W184+Y184+AA184+AC184</f>
        <v>0</v>
      </c>
      <c r="T184" s="269">
        <f>ROUND(S184*I184,2)</f>
        <v>0</v>
      </c>
      <c r="U184" s="269">
        <f>H184-S184</f>
        <v>2</v>
      </c>
      <c r="V184" s="269">
        <f>ROUND(U184*I184,2)</f>
        <v>1206.3900000000001</v>
      </c>
      <c r="W184" s="269"/>
      <c r="X184" s="269"/>
      <c r="Y184" s="269"/>
      <c r="Z184" s="269"/>
      <c r="AA184" s="269"/>
      <c r="AB184" s="269"/>
      <c r="AC184" s="269"/>
      <c r="AD184" s="269"/>
      <c r="AR184" s="132" t="s">
        <v>1</v>
      </c>
      <c r="AS184" s="133" t="s">
        <v>40</v>
      </c>
      <c r="AU184" s="134">
        <f>AT184*H184</f>
        <v>0</v>
      </c>
      <c r="AV184" s="134">
        <v>0</v>
      </c>
      <c r="AW184" s="134">
        <f>AV184*H184</f>
        <v>0</v>
      </c>
      <c r="AX184" s="134">
        <v>0</v>
      </c>
      <c r="AY184" s="135">
        <f>AX184*H184</f>
        <v>0</v>
      </c>
      <c r="BW184" s="136" t="s">
        <v>95</v>
      </c>
      <c r="BY184" s="136" t="s">
        <v>284</v>
      </c>
      <c r="BZ184" s="136" t="s">
        <v>83</v>
      </c>
      <c r="CD184" s="16" t="s">
        <v>282</v>
      </c>
      <c r="CJ184" s="137">
        <f>IF(AS184="základní",J184,0)</f>
        <v>1206.3900000000001</v>
      </c>
      <c r="CK184" s="137">
        <f>IF(AS184="snížená",J184,0)</f>
        <v>0</v>
      </c>
      <c r="CL184" s="137">
        <f>IF(AS184="zákl. přenesená",J184,0)</f>
        <v>0</v>
      </c>
      <c r="CM184" s="137">
        <f>IF(AS184="sníž. přenesená",J184,0)</f>
        <v>0</v>
      </c>
      <c r="CN184" s="137">
        <f>IF(AS184="nulová",J184,0)</f>
        <v>0</v>
      </c>
      <c r="CO184" s="16" t="s">
        <v>81</v>
      </c>
      <c r="CP184" s="137">
        <f>ROUND(I184*H184,2)</f>
        <v>1206.3900000000001</v>
      </c>
      <c r="CQ184" s="16" t="s">
        <v>95</v>
      </c>
      <c r="CR184" s="136" t="s">
        <v>622</v>
      </c>
    </row>
    <row r="185" spans="2:96" s="1" customFormat="1" x14ac:dyDescent="0.2">
      <c r="B185" s="31"/>
      <c r="D185" s="138" t="s">
        <v>289</v>
      </c>
      <c r="F185" s="139" t="s">
        <v>2922</v>
      </c>
      <c r="I185" s="140"/>
      <c r="L185" s="31"/>
      <c r="N185" s="213"/>
      <c r="O185" s="214"/>
      <c r="Q185" s="229"/>
      <c r="AR185" s="141"/>
      <c r="AY185" s="50"/>
      <c r="BY185" s="16" t="s">
        <v>289</v>
      </c>
      <c r="BZ185" s="16" t="s">
        <v>83</v>
      </c>
    </row>
    <row r="186" spans="2:96" s="1" customFormat="1" ht="14.45" customHeight="1" x14ac:dyDescent="0.2">
      <c r="B186" s="124"/>
      <c r="C186" s="125" t="s">
        <v>476</v>
      </c>
      <c r="D186" s="125" t="s">
        <v>284</v>
      </c>
      <c r="E186" s="126" t="s">
        <v>2923</v>
      </c>
      <c r="F186" s="127" t="s">
        <v>2924</v>
      </c>
      <c r="G186" s="128" t="s">
        <v>315</v>
      </c>
      <c r="H186" s="129">
        <v>6</v>
      </c>
      <c r="I186" s="130">
        <v>342.57950221900001</v>
      </c>
      <c r="J186" s="131">
        <f>ROUND(I186*H186,2)</f>
        <v>2055.48</v>
      </c>
      <c r="K186" s="127" t="s">
        <v>1</v>
      </c>
      <c r="L186" s="268">
        <f>S186</f>
        <v>0</v>
      </c>
      <c r="M186" s="272">
        <f>ROUND(L186*I186,2)</f>
        <v>0</v>
      </c>
      <c r="N186" s="243"/>
      <c r="O186" s="294">
        <f>ROUND(N186*I186,2)</f>
        <v>0</v>
      </c>
      <c r="P186" s="273">
        <f>H186-L186-N186</f>
        <v>6</v>
      </c>
      <c r="Q186" s="287">
        <f>ROUND(P186*I186,2)</f>
        <v>2055.48</v>
      </c>
      <c r="R186" s="137"/>
      <c r="S186" s="269">
        <f>W186+Y186+AA186+AC186</f>
        <v>0</v>
      </c>
      <c r="T186" s="269">
        <f>ROUND(S186*I186,2)</f>
        <v>0</v>
      </c>
      <c r="U186" s="269">
        <f>H186-S186</f>
        <v>6</v>
      </c>
      <c r="V186" s="269">
        <f>ROUND(U186*I186,2)</f>
        <v>2055.48</v>
      </c>
      <c r="W186" s="269"/>
      <c r="X186" s="269"/>
      <c r="Y186" s="269"/>
      <c r="Z186" s="269"/>
      <c r="AA186" s="269"/>
      <c r="AB186" s="269"/>
      <c r="AC186" s="269"/>
      <c r="AD186" s="269"/>
      <c r="AR186" s="132" t="s">
        <v>1</v>
      </c>
      <c r="AS186" s="133" t="s">
        <v>40</v>
      </c>
      <c r="AU186" s="134">
        <f>AT186*H186</f>
        <v>0</v>
      </c>
      <c r="AV186" s="134">
        <v>0</v>
      </c>
      <c r="AW186" s="134">
        <f>AV186*H186</f>
        <v>0</v>
      </c>
      <c r="AX186" s="134">
        <v>0</v>
      </c>
      <c r="AY186" s="135">
        <f>AX186*H186</f>
        <v>0</v>
      </c>
      <c r="BW186" s="136" t="s">
        <v>95</v>
      </c>
      <c r="BY186" s="136" t="s">
        <v>284</v>
      </c>
      <c r="BZ186" s="136" t="s">
        <v>83</v>
      </c>
      <c r="CD186" s="16" t="s">
        <v>282</v>
      </c>
      <c r="CJ186" s="137">
        <f>IF(AS186="základní",J186,0)</f>
        <v>2055.48</v>
      </c>
      <c r="CK186" s="137">
        <f>IF(AS186="snížená",J186,0)</f>
        <v>0</v>
      </c>
      <c r="CL186" s="137">
        <f>IF(AS186="zákl. přenesená",J186,0)</f>
        <v>0</v>
      </c>
      <c r="CM186" s="137">
        <f>IF(AS186="sníž. přenesená",J186,0)</f>
        <v>0</v>
      </c>
      <c r="CN186" s="137">
        <f>IF(AS186="nulová",J186,0)</f>
        <v>0</v>
      </c>
      <c r="CO186" s="16" t="s">
        <v>81</v>
      </c>
      <c r="CP186" s="137">
        <f>ROUND(I186*H186,2)</f>
        <v>2055.48</v>
      </c>
      <c r="CQ186" s="16" t="s">
        <v>95</v>
      </c>
      <c r="CR186" s="136" t="s">
        <v>631</v>
      </c>
    </row>
    <row r="187" spans="2:96" s="1" customFormat="1" x14ac:dyDescent="0.2">
      <c r="B187" s="31"/>
      <c r="D187" s="138" t="s">
        <v>289</v>
      </c>
      <c r="F187" s="139" t="s">
        <v>2924</v>
      </c>
      <c r="I187" s="140"/>
      <c r="L187" s="31"/>
      <c r="N187" s="213"/>
      <c r="O187" s="214"/>
      <c r="Q187" s="229"/>
      <c r="AR187" s="141"/>
      <c r="AY187" s="50"/>
      <c r="BY187" s="16" t="s">
        <v>289</v>
      </c>
      <c r="BZ187" s="16" t="s">
        <v>83</v>
      </c>
    </row>
    <row r="188" spans="2:96" s="1" customFormat="1" ht="24.2" customHeight="1" x14ac:dyDescent="0.2">
      <c r="B188" s="124"/>
      <c r="C188" s="125" t="s">
        <v>482</v>
      </c>
      <c r="D188" s="125" t="s">
        <v>284</v>
      </c>
      <c r="E188" s="126" t="s">
        <v>2925</v>
      </c>
      <c r="F188" s="127" t="s">
        <v>2926</v>
      </c>
      <c r="G188" s="128" t="s">
        <v>315</v>
      </c>
      <c r="H188" s="129">
        <v>2</v>
      </c>
      <c r="I188" s="130">
        <v>1591.331848157</v>
      </c>
      <c r="J188" s="131">
        <f>ROUND(I188*H188,2)</f>
        <v>3182.66</v>
      </c>
      <c r="K188" s="127" t="s">
        <v>1</v>
      </c>
      <c r="L188" s="268">
        <f>S188</f>
        <v>0</v>
      </c>
      <c r="M188" s="272">
        <f>ROUND(L188*I188,2)</f>
        <v>0</v>
      </c>
      <c r="N188" s="243"/>
      <c r="O188" s="294">
        <f>ROUND(N188*I188,2)</f>
        <v>0</v>
      </c>
      <c r="P188" s="273">
        <f>H188-L188-N188</f>
        <v>2</v>
      </c>
      <c r="Q188" s="287">
        <f>ROUND(P188*I188,2)</f>
        <v>3182.66</v>
      </c>
      <c r="R188" s="137"/>
      <c r="S188" s="269">
        <f>W188+Y188+AA188+AC188</f>
        <v>0</v>
      </c>
      <c r="T188" s="269">
        <f>ROUND(S188*I188,2)</f>
        <v>0</v>
      </c>
      <c r="U188" s="269">
        <f>H188-S188</f>
        <v>2</v>
      </c>
      <c r="V188" s="269">
        <f>ROUND(U188*I188,2)</f>
        <v>3182.66</v>
      </c>
      <c r="W188" s="269"/>
      <c r="X188" s="269"/>
      <c r="Y188" s="269"/>
      <c r="Z188" s="269"/>
      <c r="AA188" s="269"/>
      <c r="AB188" s="269"/>
      <c r="AC188" s="269"/>
      <c r="AD188" s="269"/>
      <c r="AR188" s="132" t="s">
        <v>1</v>
      </c>
      <c r="AS188" s="133" t="s">
        <v>40</v>
      </c>
      <c r="AU188" s="134">
        <f>AT188*H188</f>
        <v>0</v>
      </c>
      <c r="AV188" s="134">
        <v>0</v>
      </c>
      <c r="AW188" s="134">
        <f>AV188*H188</f>
        <v>0</v>
      </c>
      <c r="AX188" s="134">
        <v>0</v>
      </c>
      <c r="AY188" s="135">
        <f>AX188*H188</f>
        <v>0</v>
      </c>
      <c r="BW188" s="136" t="s">
        <v>95</v>
      </c>
      <c r="BY188" s="136" t="s">
        <v>284</v>
      </c>
      <c r="BZ188" s="136" t="s">
        <v>83</v>
      </c>
      <c r="CD188" s="16" t="s">
        <v>282</v>
      </c>
      <c r="CJ188" s="137">
        <f>IF(AS188="základní",J188,0)</f>
        <v>3182.66</v>
      </c>
      <c r="CK188" s="137">
        <f>IF(AS188="snížená",J188,0)</f>
        <v>0</v>
      </c>
      <c r="CL188" s="137">
        <f>IF(AS188="zákl. přenesená",J188,0)</f>
        <v>0</v>
      </c>
      <c r="CM188" s="137">
        <f>IF(AS188="sníž. přenesená",J188,0)</f>
        <v>0</v>
      </c>
      <c r="CN188" s="137">
        <f>IF(AS188="nulová",J188,0)</f>
        <v>0</v>
      </c>
      <c r="CO188" s="16" t="s">
        <v>81</v>
      </c>
      <c r="CP188" s="137">
        <f>ROUND(I188*H188,2)</f>
        <v>3182.66</v>
      </c>
      <c r="CQ188" s="16" t="s">
        <v>95</v>
      </c>
      <c r="CR188" s="136" t="s">
        <v>639</v>
      </c>
    </row>
    <row r="189" spans="2:96" s="1" customFormat="1" x14ac:dyDescent="0.2">
      <c r="B189" s="31"/>
      <c r="D189" s="138" t="s">
        <v>289</v>
      </c>
      <c r="F189" s="139" t="s">
        <v>2926</v>
      </c>
      <c r="I189" s="140"/>
      <c r="L189" s="31"/>
      <c r="N189" s="213"/>
      <c r="O189" s="214"/>
      <c r="Q189" s="229"/>
      <c r="AR189" s="141"/>
      <c r="AY189" s="50"/>
      <c r="BY189" s="16" t="s">
        <v>289</v>
      </c>
      <c r="BZ189" s="16" t="s">
        <v>83</v>
      </c>
    </row>
    <row r="190" spans="2:96" s="1" customFormat="1" ht="14.45" customHeight="1" x14ac:dyDescent="0.2">
      <c r="B190" s="124"/>
      <c r="C190" s="125" t="s">
        <v>489</v>
      </c>
      <c r="D190" s="125" t="s">
        <v>284</v>
      </c>
      <c r="E190" s="126" t="s">
        <v>2927</v>
      </c>
      <c r="F190" s="127" t="s">
        <v>2928</v>
      </c>
      <c r="G190" s="128" t="s">
        <v>315</v>
      </c>
      <c r="H190" s="129">
        <v>1</v>
      </c>
      <c r="I190" s="130">
        <v>799.72474335300001</v>
      </c>
      <c r="J190" s="131">
        <f>ROUND(I190*H190,2)</f>
        <v>799.72</v>
      </c>
      <c r="K190" s="127" t="s">
        <v>1</v>
      </c>
      <c r="L190" s="268">
        <f>S190</f>
        <v>0</v>
      </c>
      <c r="M190" s="272">
        <f>ROUND(L190*I190,2)</f>
        <v>0</v>
      </c>
      <c r="N190" s="243"/>
      <c r="O190" s="294">
        <f>ROUND(N190*I190,2)</f>
        <v>0</v>
      </c>
      <c r="P190" s="273">
        <f>H190-L190-N190</f>
        <v>1</v>
      </c>
      <c r="Q190" s="287">
        <f>ROUND(P190*I190,2)</f>
        <v>799.72</v>
      </c>
      <c r="R190" s="137"/>
      <c r="S190" s="269">
        <f>W190+Y190+AA190+AC190</f>
        <v>0</v>
      </c>
      <c r="T190" s="269">
        <f>ROUND(S190*I190,2)</f>
        <v>0</v>
      </c>
      <c r="U190" s="269">
        <f>H190-S190</f>
        <v>1</v>
      </c>
      <c r="V190" s="269">
        <f>ROUND(U190*I190,2)</f>
        <v>799.72</v>
      </c>
      <c r="W190" s="269"/>
      <c r="X190" s="269"/>
      <c r="Y190" s="269"/>
      <c r="Z190" s="269"/>
      <c r="AA190" s="269"/>
      <c r="AB190" s="269"/>
      <c r="AC190" s="269"/>
      <c r="AD190" s="269"/>
      <c r="AR190" s="132" t="s">
        <v>1</v>
      </c>
      <c r="AS190" s="133" t="s">
        <v>40</v>
      </c>
      <c r="AU190" s="134">
        <f>AT190*H190</f>
        <v>0</v>
      </c>
      <c r="AV190" s="134">
        <v>0</v>
      </c>
      <c r="AW190" s="134">
        <f>AV190*H190</f>
        <v>0</v>
      </c>
      <c r="AX190" s="134">
        <v>0</v>
      </c>
      <c r="AY190" s="135">
        <f>AX190*H190</f>
        <v>0</v>
      </c>
      <c r="BW190" s="136" t="s">
        <v>95</v>
      </c>
      <c r="BY190" s="136" t="s">
        <v>284</v>
      </c>
      <c r="BZ190" s="136" t="s">
        <v>83</v>
      </c>
      <c r="CD190" s="16" t="s">
        <v>282</v>
      </c>
      <c r="CJ190" s="137">
        <f>IF(AS190="základní",J190,0)</f>
        <v>799.72</v>
      </c>
      <c r="CK190" s="137">
        <f>IF(AS190="snížená",J190,0)</f>
        <v>0</v>
      </c>
      <c r="CL190" s="137">
        <f>IF(AS190="zákl. přenesená",J190,0)</f>
        <v>0</v>
      </c>
      <c r="CM190" s="137">
        <f>IF(AS190="sníž. přenesená",J190,0)</f>
        <v>0</v>
      </c>
      <c r="CN190" s="137">
        <f>IF(AS190="nulová",J190,0)</f>
        <v>0</v>
      </c>
      <c r="CO190" s="16" t="s">
        <v>81</v>
      </c>
      <c r="CP190" s="137">
        <f>ROUND(I190*H190,2)</f>
        <v>799.72</v>
      </c>
      <c r="CQ190" s="16" t="s">
        <v>95</v>
      </c>
      <c r="CR190" s="136" t="s">
        <v>650</v>
      </c>
    </row>
    <row r="191" spans="2:96" s="1" customFormat="1" x14ac:dyDescent="0.2">
      <c r="B191" s="31"/>
      <c r="D191" s="138" t="s">
        <v>289</v>
      </c>
      <c r="F191" s="139" t="s">
        <v>2928</v>
      </c>
      <c r="I191" s="140"/>
      <c r="L191" s="31"/>
      <c r="N191" s="213"/>
      <c r="O191" s="214"/>
      <c r="Q191" s="229"/>
      <c r="AR191" s="141"/>
      <c r="AY191" s="50"/>
      <c r="BY191" s="16" t="s">
        <v>289</v>
      </c>
      <c r="BZ191" s="16" t="s">
        <v>83</v>
      </c>
    </row>
    <row r="192" spans="2:96" s="1" customFormat="1" ht="14.45" customHeight="1" x14ac:dyDescent="0.2">
      <c r="B192" s="124"/>
      <c r="C192" s="125" t="s">
        <v>493</v>
      </c>
      <c r="D192" s="125" t="s">
        <v>284</v>
      </c>
      <c r="E192" s="126" t="s">
        <v>2929</v>
      </c>
      <c r="F192" s="127" t="s">
        <v>2930</v>
      </c>
      <c r="G192" s="128" t="s">
        <v>315</v>
      </c>
      <c r="H192" s="129">
        <v>1</v>
      </c>
      <c r="I192" s="130">
        <v>1911.1308127910002</v>
      </c>
      <c r="J192" s="131">
        <f>ROUND(I192*H192,2)</f>
        <v>1911.13</v>
      </c>
      <c r="K192" s="127" t="s">
        <v>1</v>
      </c>
      <c r="L192" s="268">
        <f>S192</f>
        <v>0</v>
      </c>
      <c r="M192" s="272">
        <f>ROUND(L192*I192,2)</f>
        <v>0</v>
      </c>
      <c r="N192" s="243"/>
      <c r="O192" s="294">
        <f>ROUND(N192*I192,2)</f>
        <v>0</v>
      </c>
      <c r="P192" s="273">
        <f>H192-L192-N192</f>
        <v>1</v>
      </c>
      <c r="Q192" s="287">
        <f>ROUND(P192*I192,2)</f>
        <v>1911.13</v>
      </c>
      <c r="R192" s="137"/>
      <c r="S192" s="269">
        <f>W192+Y192+AA192+AC192</f>
        <v>0</v>
      </c>
      <c r="T192" s="269">
        <f>ROUND(S192*I192,2)</f>
        <v>0</v>
      </c>
      <c r="U192" s="269">
        <f>H192-S192</f>
        <v>1</v>
      </c>
      <c r="V192" s="269">
        <f>ROUND(U192*I192,2)</f>
        <v>1911.13</v>
      </c>
      <c r="W192" s="269"/>
      <c r="X192" s="269"/>
      <c r="Y192" s="269"/>
      <c r="Z192" s="269"/>
      <c r="AA192" s="269"/>
      <c r="AB192" s="269"/>
      <c r="AC192" s="269"/>
      <c r="AD192" s="269"/>
      <c r="AR192" s="132" t="s">
        <v>1</v>
      </c>
      <c r="AS192" s="133" t="s">
        <v>40</v>
      </c>
      <c r="AU192" s="134">
        <f>AT192*H192</f>
        <v>0</v>
      </c>
      <c r="AV192" s="134">
        <v>0</v>
      </c>
      <c r="AW192" s="134">
        <f>AV192*H192</f>
        <v>0</v>
      </c>
      <c r="AX192" s="134">
        <v>0</v>
      </c>
      <c r="AY192" s="135">
        <f>AX192*H192</f>
        <v>0</v>
      </c>
      <c r="BW192" s="136" t="s">
        <v>95</v>
      </c>
      <c r="BY192" s="136" t="s">
        <v>284</v>
      </c>
      <c r="BZ192" s="136" t="s">
        <v>83</v>
      </c>
      <c r="CD192" s="16" t="s">
        <v>282</v>
      </c>
      <c r="CJ192" s="137">
        <f>IF(AS192="základní",J192,0)</f>
        <v>1911.13</v>
      </c>
      <c r="CK192" s="137">
        <f>IF(AS192="snížená",J192,0)</f>
        <v>0</v>
      </c>
      <c r="CL192" s="137">
        <f>IF(AS192="zákl. přenesená",J192,0)</f>
        <v>0</v>
      </c>
      <c r="CM192" s="137">
        <f>IF(AS192="sníž. přenesená",J192,0)</f>
        <v>0</v>
      </c>
      <c r="CN192" s="137">
        <f>IF(AS192="nulová",J192,0)</f>
        <v>0</v>
      </c>
      <c r="CO192" s="16" t="s">
        <v>81</v>
      </c>
      <c r="CP192" s="137">
        <f>ROUND(I192*H192,2)</f>
        <v>1911.13</v>
      </c>
      <c r="CQ192" s="16" t="s">
        <v>95</v>
      </c>
      <c r="CR192" s="136" t="s">
        <v>660</v>
      </c>
    </row>
    <row r="193" spans="2:96" s="1" customFormat="1" x14ac:dyDescent="0.2">
      <c r="B193" s="31"/>
      <c r="D193" s="138" t="s">
        <v>289</v>
      </c>
      <c r="F193" s="139" t="s">
        <v>2930</v>
      </c>
      <c r="I193" s="140"/>
      <c r="L193" s="31"/>
      <c r="N193" s="213"/>
      <c r="O193" s="214"/>
      <c r="Q193" s="229"/>
      <c r="AR193" s="141"/>
      <c r="AY193" s="50"/>
      <c r="BY193" s="16" t="s">
        <v>289</v>
      </c>
      <c r="BZ193" s="16" t="s">
        <v>83</v>
      </c>
    </row>
    <row r="194" spans="2:96" s="1" customFormat="1" ht="14.45" customHeight="1" x14ac:dyDescent="0.2">
      <c r="B194" s="124"/>
      <c r="C194" s="125" t="s">
        <v>497</v>
      </c>
      <c r="D194" s="125" t="s">
        <v>284</v>
      </c>
      <c r="E194" s="126" t="s">
        <v>2931</v>
      </c>
      <c r="F194" s="127" t="s">
        <v>2932</v>
      </c>
      <c r="G194" s="128" t="s">
        <v>315</v>
      </c>
      <c r="H194" s="129">
        <v>1</v>
      </c>
      <c r="I194" s="130">
        <v>550.33232169999997</v>
      </c>
      <c r="J194" s="131">
        <f>ROUND(I194*H194,2)</f>
        <v>550.33000000000004</v>
      </c>
      <c r="K194" s="127" t="s">
        <v>1</v>
      </c>
      <c r="L194" s="268">
        <f>S194</f>
        <v>0</v>
      </c>
      <c r="M194" s="272">
        <f>ROUND(L194*I194,2)</f>
        <v>0</v>
      </c>
      <c r="N194" s="243"/>
      <c r="O194" s="294">
        <f>ROUND(N194*I194,2)</f>
        <v>0</v>
      </c>
      <c r="P194" s="273">
        <f>H194-L194-N194</f>
        <v>1</v>
      </c>
      <c r="Q194" s="287">
        <f>ROUND(P194*I194,2)</f>
        <v>550.33000000000004</v>
      </c>
      <c r="R194" s="137"/>
      <c r="S194" s="269">
        <f>W194+Y194+AA194+AC194</f>
        <v>0</v>
      </c>
      <c r="T194" s="269">
        <f>ROUND(S194*I194,2)</f>
        <v>0</v>
      </c>
      <c r="U194" s="269">
        <f>H194-S194</f>
        <v>1</v>
      </c>
      <c r="V194" s="269">
        <f>ROUND(U194*I194,2)</f>
        <v>550.33000000000004</v>
      </c>
      <c r="W194" s="269"/>
      <c r="X194" s="269"/>
      <c r="Y194" s="269"/>
      <c r="Z194" s="269"/>
      <c r="AA194" s="269"/>
      <c r="AB194" s="269"/>
      <c r="AC194" s="269"/>
      <c r="AD194" s="269"/>
      <c r="AR194" s="132" t="s">
        <v>1</v>
      </c>
      <c r="AS194" s="133" t="s">
        <v>40</v>
      </c>
      <c r="AU194" s="134">
        <f>AT194*H194</f>
        <v>0</v>
      </c>
      <c r="AV194" s="134">
        <v>0</v>
      </c>
      <c r="AW194" s="134">
        <f>AV194*H194</f>
        <v>0</v>
      </c>
      <c r="AX194" s="134">
        <v>0</v>
      </c>
      <c r="AY194" s="135">
        <f>AX194*H194</f>
        <v>0</v>
      </c>
      <c r="BW194" s="136" t="s">
        <v>95</v>
      </c>
      <c r="BY194" s="136" t="s">
        <v>284</v>
      </c>
      <c r="BZ194" s="136" t="s">
        <v>83</v>
      </c>
      <c r="CD194" s="16" t="s">
        <v>282</v>
      </c>
      <c r="CJ194" s="137">
        <f>IF(AS194="základní",J194,0)</f>
        <v>550.33000000000004</v>
      </c>
      <c r="CK194" s="137">
        <f>IF(AS194="snížená",J194,0)</f>
        <v>0</v>
      </c>
      <c r="CL194" s="137">
        <f>IF(AS194="zákl. přenesená",J194,0)</f>
        <v>0</v>
      </c>
      <c r="CM194" s="137">
        <f>IF(AS194="sníž. přenesená",J194,0)</f>
        <v>0</v>
      </c>
      <c r="CN194" s="137">
        <f>IF(AS194="nulová",J194,0)</f>
        <v>0</v>
      </c>
      <c r="CO194" s="16" t="s">
        <v>81</v>
      </c>
      <c r="CP194" s="137">
        <f>ROUND(I194*H194,2)</f>
        <v>550.33000000000004</v>
      </c>
      <c r="CQ194" s="16" t="s">
        <v>95</v>
      </c>
      <c r="CR194" s="136" t="s">
        <v>670</v>
      </c>
    </row>
    <row r="195" spans="2:96" s="1" customFormat="1" x14ac:dyDescent="0.2">
      <c r="B195" s="31"/>
      <c r="D195" s="138" t="s">
        <v>289</v>
      </c>
      <c r="F195" s="139" t="s">
        <v>2932</v>
      </c>
      <c r="I195" s="140"/>
      <c r="L195" s="31"/>
      <c r="N195" s="213"/>
      <c r="O195" s="214"/>
      <c r="Q195" s="229"/>
      <c r="AR195" s="141"/>
      <c r="AY195" s="50"/>
      <c r="BY195" s="16" t="s">
        <v>289</v>
      </c>
      <c r="BZ195" s="16" t="s">
        <v>83</v>
      </c>
    </row>
    <row r="196" spans="2:96" s="1" customFormat="1" ht="14.45" customHeight="1" x14ac:dyDescent="0.2">
      <c r="B196" s="124"/>
      <c r="C196" s="125" t="s">
        <v>501</v>
      </c>
      <c r="D196" s="125" t="s">
        <v>284</v>
      </c>
      <c r="E196" s="126" t="s">
        <v>2933</v>
      </c>
      <c r="F196" s="127" t="s">
        <v>2934</v>
      </c>
      <c r="G196" s="128" t="s">
        <v>315</v>
      </c>
      <c r="H196" s="129">
        <v>25</v>
      </c>
      <c r="I196" s="130">
        <v>47.853337164000003</v>
      </c>
      <c r="J196" s="131">
        <f>ROUND(I196*H196,2)</f>
        <v>1196.33</v>
      </c>
      <c r="K196" s="127" t="s">
        <v>1</v>
      </c>
      <c r="L196" s="268">
        <f>S196</f>
        <v>0</v>
      </c>
      <c r="M196" s="272">
        <f>ROUND(L196*I196,2)</f>
        <v>0</v>
      </c>
      <c r="N196" s="243"/>
      <c r="O196" s="294">
        <f>ROUND(N196*I196,2)</f>
        <v>0</v>
      </c>
      <c r="P196" s="273">
        <f>H196-L196-N196</f>
        <v>25</v>
      </c>
      <c r="Q196" s="287">
        <f>ROUND(P196*I196,2)</f>
        <v>1196.33</v>
      </c>
      <c r="R196" s="137"/>
      <c r="S196" s="269">
        <f>W196+Y196+AA196+AC196</f>
        <v>0</v>
      </c>
      <c r="T196" s="269">
        <f>ROUND(S196*I196,2)</f>
        <v>0</v>
      </c>
      <c r="U196" s="269">
        <f>H196-S196</f>
        <v>25</v>
      </c>
      <c r="V196" s="269">
        <f>ROUND(U196*I196,2)</f>
        <v>1196.33</v>
      </c>
      <c r="W196" s="269"/>
      <c r="X196" s="269"/>
      <c r="Y196" s="269"/>
      <c r="Z196" s="269"/>
      <c r="AA196" s="269"/>
      <c r="AB196" s="269"/>
      <c r="AC196" s="269"/>
      <c r="AD196" s="269"/>
      <c r="AR196" s="132" t="s">
        <v>1</v>
      </c>
      <c r="AS196" s="133" t="s">
        <v>40</v>
      </c>
      <c r="AU196" s="134">
        <f>AT196*H196</f>
        <v>0</v>
      </c>
      <c r="AV196" s="134">
        <v>0</v>
      </c>
      <c r="AW196" s="134">
        <f>AV196*H196</f>
        <v>0</v>
      </c>
      <c r="AX196" s="134">
        <v>0</v>
      </c>
      <c r="AY196" s="135">
        <f>AX196*H196</f>
        <v>0</v>
      </c>
      <c r="BW196" s="136" t="s">
        <v>95</v>
      </c>
      <c r="BY196" s="136" t="s">
        <v>284</v>
      </c>
      <c r="BZ196" s="136" t="s">
        <v>83</v>
      </c>
      <c r="CD196" s="16" t="s">
        <v>282</v>
      </c>
      <c r="CJ196" s="137">
        <f>IF(AS196="základní",J196,0)</f>
        <v>1196.33</v>
      </c>
      <c r="CK196" s="137">
        <f>IF(AS196="snížená",J196,0)</f>
        <v>0</v>
      </c>
      <c r="CL196" s="137">
        <f>IF(AS196="zákl. přenesená",J196,0)</f>
        <v>0</v>
      </c>
      <c r="CM196" s="137">
        <f>IF(AS196="sníž. přenesená",J196,0)</f>
        <v>0</v>
      </c>
      <c r="CN196" s="137">
        <f>IF(AS196="nulová",J196,0)</f>
        <v>0</v>
      </c>
      <c r="CO196" s="16" t="s">
        <v>81</v>
      </c>
      <c r="CP196" s="137">
        <f>ROUND(I196*H196,2)</f>
        <v>1196.33</v>
      </c>
      <c r="CQ196" s="16" t="s">
        <v>95</v>
      </c>
      <c r="CR196" s="136" t="s">
        <v>681</v>
      </c>
    </row>
    <row r="197" spans="2:96" s="1" customFormat="1" x14ac:dyDescent="0.2">
      <c r="B197" s="31"/>
      <c r="D197" s="138" t="s">
        <v>289</v>
      </c>
      <c r="F197" s="139" t="s">
        <v>2934</v>
      </c>
      <c r="I197" s="140"/>
      <c r="L197" s="31"/>
      <c r="N197" s="213"/>
      <c r="O197" s="214"/>
      <c r="Q197" s="229"/>
      <c r="AR197" s="141"/>
      <c r="AY197" s="50"/>
      <c r="BY197" s="16" t="s">
        <v>289</v>
      </c>
      <c r="BZ197" s="16" t="s">
        <v>83</v>
      </c>
    </row>
    <row r="198" spans="2:96" s="1" customFormat="1" ht="14.45" customHeight="1" x14ac:dyDescent="0.2">
      <c r="B198" s="124"/>
      <c r="C198" s="125" t="s">
        <v>505</v>
      </c>
      <c r="D198" s="125" t="s">
        <v>284</v>
      </c>
      <c r="E198" s="126" t="s">
        <v>2935</v>
      </c>
      <c r="F198" s="127" t="s">
        <v>2936</v>
      </c>
      <c r="G198" s="128" t="s">
        <v>315</v>
      </c>
      <c r="H198" s="129">
        <v>4</v>
      </c>
      <c r="I198" s="130">
        <v>52.096863499999998</v>
      </c>
      <c r="J198" s="131">
        <f>ROUND(I198*H198,2)</f>
        <v>208.39</v>
      </c>
      <c r="K198" s="127" t="s">
        <v>1</v>
      </c>
      <c r="L198" s="268">
        <f>S198</f>
        <v>0</v>
      </c>
      <c r="M198" s="272">
        <f>ROUND(L198*I198,2)</f>
        <v>0</v>
      </c>
      <c r="N198" s="243"/>
      <c r="O198" s="294">
        <f>ROUND(N198*I198,2)</f>
        <v>0</v>
      </c>
      <c r="P198" s="273">
        <f>H198-L198-N198</f>
        <v>4</v>
      </c>
      <c r="Q198" s="287">
        <f>ROUND(P198*I198,2)</f>
        <v>208.39</v>
      </c>
      <c r="R198" s="137"/>
      <c r="S198" s="269">
        <f>W198+Y198+AA198+AC198</f>
        <v>0</v>
      </c>
      <c r="T198" s="269">
        <f>ROUND(S198*I198,2)</f>
        <v>0</v>
      </c>
      <c r="U198" s="269">
        <f>H198-S198</f>
        <v>4</v>
      </c>
      <c r="V198" s="269">
        <f>ROUND(U198*I198,2)</f>
        <v>208.39</v>
      </c>
      <c r="W198" s="269"/>
      <c r="X198" s="269"/>
      <c r="Y198" s="269"/>
      <c r="Z198" s="269"/>
      <c r="AA198" s="269"/>
      <c r="AB198" s="269"/>
      <c r="AC198" s="269"/>
      <c r="AD198" s="269"/>
      <c r="AR198" s="132" t="s">
        <v>1</v>
      </c>
      <c r="AS198" s="133" t="s">
        <v>40</v>
      </c>
      <c r="AU198" s="134">
        <f>AT198*H198</f>
        <v>0</v>
      </c>
      <c r="AV198" s="134">
        <v>0</v>
      </c>
      <c r="AW198" s="134">
        <f>AV198*H198</f>
        <v>0</v>
      </c>
      <c r="AX198" s="134">
        <v>0</v>
      </c>
      <c r="AY198" s="135">
        <f>AX198*H198</f>
        <v>0</v>
      </c>
      <c r="BW198" s="136" t="s">
        <v>95</v>
      </c>
      <c r="BY198" s="136" t="s">
        <v>284</v>
      </c>
      <c r="BZ198" s="136" t="s">
        <v>83</v>
      </c>
      <c r="CD198" s="16" t="s">
        <v>282</v>
      </c>
      <c r="CJ198" s="137">
        <f>IF(AS198="základní",J198,0)</f>
        <v>208.39</v>
      </c>
      <c r="CK198" s="137">
        <f>IF(AS198="snížená",J198,0)</f>
        <v>0</v>
      </c>
      <c r="CL198" s="137">
        <f>IF(AS198="zákl. přenesená",J198,0)</f>
        <v>0</v>
      </c>
      <c r="CM198" s="137">
        <f>IF(AS198="sníž. přenesená",J198,0)</f>
        <v>0</v>
      </c>
      <c r="CN198" s="137">
        <f>IF(AS198="nulová",J198,0)</f>
        <v>0</v>
      </c>
      <c r="CO198" s="16" t="s">
        <v>81</v>
      </c>
      <c r="CP198" s="137">
        <f>ROUND(I198*H198,2)</f>
        <v>208.39</v>
      </c>
      <c r="CQ198" s="16" t="s">
        <v>95</v>
      </c>
      <c r="CR198" s="136" t="s">
        <v>697</v>
      </c>
    </row>
    <row r="199" spans="2:96" s="1" customFormat="1" x14ac:dyDescent="0.2">
      <c r="B199" s="31"/>
      <c r="D199" s="138" t="s">
        <v>289</v>
      </c>
      <c r="F199" s="139" t="s">
        <v>2936</v>
      </c>
      <c r="I199" s="140"/>
      <c r="L199" s="31"/>
      <c r="N199" s="213"/>
      <c r="O199" s="214"/>
      <c r="Q199" s="229"/>
      <c r="AR199" s="141"/>
      <c r="AY199" s="50"/>
      <c r="BY199" s="16" t="s">
        <v>289</v>
      </c>
      <c r="BZ199" s="16" t="s">
        <v>83</v>
      </c>
    </row>
    <row r="200" spans="2:96" s="1" customFormat="1" ht="14.45" customHeight="1" x14ac:dyDescent="0.2">
      <c r="B200" s="124"/>
      <c r="C200" s="125" t="s">
        <v>510</v>
      </c>
      <c r="D200" s="125" t="s">
        <v>284</v>
      </c>
      <c r="E200" s="126" t="s">
        <v>2937</v>
      </c>
      <c r="F200" s="127" t="s">
        <v>2938</v>
      </c>
      <c r="G200" s="128" t="s">
        <v>315</v>
      </c>
      <c r="H200" s="129">
        <v>5</v>
      </c>
      <c r="I200" s="130">
        <v>77.823241912</v>
      </c>
      <c r="J200" s="131">
        <f>ROUND(I200*H200,2)</f>
        <v>389.12</v>
      </c>
      <c r="K200" s="127" t="s">
        <v>1</v>
      </c>
      <c r="L200" s="268">
        <f>S200</f>
        <v>0</v>
      </c>
      <c r="M200" s="272">
        <f>ROUND(L200*I200,2)</f>
        <v>0</v>
      </c>
      <c r="N200" s="243"/>
      <c r="O200" s="294">
        <f>ROUND(N200*I200,2)</f>
        <v>0</v>
      </c>
      <c r="P200" s="273">
        <f>H200-L200-N200</f>
        <v>5</v>
      </c>
      <c r="Q200" s="287">
        <f>ROUND(P200*I200,2)</f>
        <v>389.12</v>
      </c>
      <c r="R200" s="137"/>
      <c r="S200" s="269">
        <f>W200+Y200+AA200+AC200</f>
        <v>0</v>
      </c>
      <c r="T200" s="269">
        <f>ROUND(S200*I200,2)</f>
        <v>0</v>
      </c>
      <c r="U200" s="269">
        <f>H200-S200</f>
        <v>5</v>
      </c>
      <c r="V200" s="269">
        <f>ROUND(U200*I200,2)</f>
        <v>389.12</v>
      </c>
      <c r="W200" s="269"/>
      <c r="X200" s="269"/>
      <c r="Y200" s="269"/>
      <c r="Z200" s="269"/>
      <c r="AA200" s="269"/>
      <c r="AB200" s="269"/>
      <c r="AC200" s="269"/>
      <c r="AD200" s="269"/>
      <c r="AR200" s="132" t="s">
        <v>1</v>
      </c>
      <c r="AS200" s="133" t="s">
        <v>40</v>
      </c>
      <c r="AU200" s="134">
        <f>AT200*H200</f>
        <v>0</v>
      </c>
      <c r="AV200" s="134">
        <v>0</v>
      </c>
      <c r="AW200" s="134">
        <f>AV200*H200</f>
        <v>0</v>
      </c>
      <c r="AX200" s="134">
        <v>0</v>
      </c>
      <c r="AY200" s="135">
        <f>AX200*H200</f>
        <v>0</v>
      </c>
      <c r="BW200" s="136" t="s">
        <v>95</v>
      </c>
      <c r="BY200" s="136" t="s">
        <v>284</v>
      </c>
      <c r="BZ200" s="136" t="s">
        <v>83</v>
      </c>
      <c r="CD200" s="16" t="s">
        <v>282</v>
      </c>
      <c r="CJ200" s="137">
        <f>IF(AS200="základní",J200,0)</f>
        <v>389.12</v>
      </c>
      <c r="CK200" s="137">
        <f>IF(AS200="snížená",J200,0)</f>
        <v>0</v>
      </c>
      <c r="CL200" s="137">
        <f>IF(AS200="zákl. přenesená",J200,0)</f>
        <v>0</v>
      </c>
      <c r="CM200" s="137">
        <f>IF(AS200="sníž. přenesená",J200,0)</f>
        <v>0</v>
      </c>
      <c r="CN200" s="137">
        <f>IF(AS200="nulová",J200,0)</f>
        <v>0</v>
      </c>
      <c r="CO200" s="16" t="s">
        <v>81</v>
      </c>
      <c r="CP200" s="137">
        <f>ROUND(I200*H200,2)</f>
        <v>389.12</v>
      </c>
      <c r="CQ200" s="16" t="s">
        <v>95</v>
      </c>
      <c r="CR200" s="136" t="s">
        <v>710</v>
      </c>
    </row>
    <row r="201" spans="2:96" s="1" customFormat="1" x14ac:dyDescent="0.2">
      <c r="B201" s="31"/>
      <c r="D201" s="138" t="s">
        <v>289</v>
      </c>
      <c r="F201" s="139" t="s">
        <v>2938</v>
      </c>
      <c r="I201" s="140"/>
      <c r="L201" s="31"/>
      <c r="N201" s="213"/>
      <c r="O201" s="214"/>
      <c r="Q201" s="229"/>
      <c r="AR201" s="141"/>
      <c r="AY201" s="50"/>
      <c r="BY201" s="16" t="s">
        <v>289</v>
      </c>
      <c r="BZ201" s="16" t="s">
        <v>83</v>
      </c>
    </row>
    <row r="202" spans="2:96" s="1" customFormat="1" ht="14.45" customHeight="1" x14ac:dyDescent="0.2">
      <c r="B202" s="124"/>
      <c r="C202" s="125" t="s">
        <v>514</v>
      </c>
      <c r="D202" s="125" t="s">
        <v>284</v>
      </c>
      <c r="E202" s="126" t="s">
        <v>2939</v>
      </c>
      <c r="F202" s="127" t="s">
        <v>2940</v>
      </c>
      <c r="G202" s="128" t="s">
        <v>315</v>
      </c>
      <c r="H202" s="129">
        <v>1</v>
      </c>
      <c r="I202" s="130">
        <v>84.851582405999991</v>
      </c>
      <c r="J202" s="131">
        <f>ROUND(I202*H202,2)</f>
        <v>84.85</v>
      </c>
      <c r="K202" s="127" t="s">
        <v>1</v>
      </c>
      <c r="L202" s="268">
        <f>S202</f>
        <v>0</v>
      </c>
      <c r="M202" s="272">
        <f>ROUND(L202*I202,2)</f>
        <v>0</v>
      </c>
      <c r="N202" s="243"/>
      <c r="O202" s="294">
        <f>ROUND(N202*I202,2)</f>
        <v>0</v>
      </c>
      <c r="P202" s="273">
        <f>H202-L202-N202</f>
        <v>1</v>
      </c>
      <c r="Q202" s="287">
        <f>ROUND(P202*I202,2)</f>
        <v>84.85</v>
      </c>
      <c r="R202" s="137"/>
      <c r="S202" s="269">
        <f>W202+Y202+AA202+AC202</f>
        <v>0</v>
      </c>
      <c r="T202" s="269">
        <f>ROUND(S202*I202,2)</f>
        <v>0</v>
      </c>
      <c r="U202" s="269">
        <f>H202-S202</f>
        <v>1</v>
      </c>
      <c r="V202" s="269">
        <f>ROUND(U202*I202,2)</f>
        <v>84.85</v>
      </c>
      <c r="W202" s="269"/>
      <c r="X202" s="269"/>
      <c r="Y202" s="269"/>
      <c r="Z202" s="269"/>
      <c r="AA202" s="269"/>
      <c r="AB202" s="269"/>
      <c r="AC202" s="269"/>
      <c r="AD202" s="269"/>
      <c r="AR202" s="132" t="s">
        <v>1</v>
      </c>
      <c r="AS202" s="133" t="s">
        <v>40</v>
      </c>
      <c r="AU202" s="134">
        <f>AT202*H202</f>
        <v>0</v>
      </c>
      <c r="AV202" s="134">
        <v>0</v>
      </c>
      <c r="AW202" s="134">
        <f>AV202*H202</f>
        <v>0</v>
      </c>
      <c r="AX202" s="134">
        <v>0</v>
      </c>
      <c r="AY202" s="135">
        <f>AX202*H202</f>
        <v>0</v>
      </c>
      <c r="BW202" s="136" t="s">
        <v>95</v>
      </c>
      <c r="BY202" s="136" t="s">
        <v>284</v>
      </c>
      <c r="BZ202" s="136" t="s">
        <v>83</v>
      </c>
      <c r="CD202" s="16" t="s">
        <v>282</v>
      </c>
      <c r="CJ202" s="137">
        <f>IF(AS202="základní",J202,0)</f>
        <v>84.85</v>
      </c>
      <c r="CK202" s="137">
        <f>IF(AS202="snížená",J202,0)</f>
        <v>0</v>
      </c>
      <c r="CL202" s="137">
        <f>IF(AS202="zákl. přenesená",J202,0)</f>
        <v>0</v>
      </c>
      <c r="CM202" s="137">
        <f>IF(AS202="sníž. přenesená",J202,0)</f>
        <v>0</v>
      </c>
      <c r="CN202" s="137">
        <f>IF(AS202="nulová",J202,0)</f>
        <v>0</v>
      </c>
      <c r="CO202" s="16" t="s">
        <v>81</v>
      </c>
      <c r="CP202" s="137">
        <f>ROUND(I202*H202,2)</f>
        <v>84.85</v>
      </c>
      <c r="CQ202" s="16" t="s">
        <v>95</v>
      </c>
      <c r="CR202" s="136" t="s">
        <v>718</v>
      </c>
    </row>
    <row r="203" spans="2:96" s="1" customFormat="1" x14ac:dyDescent="0.2">
      <c r="B203" s="31"/>
      <c r="D203" s="138" t="s">
        <v>289</v>
      </c>
      <c r="F203" s="139" t="s">
        <v>2940</v>
      </c>
      <c r="I203" s="140"/>
      <c r="L203" s="31"/>
      <c r="N203" s="213"/>
      <c r="O203" s="214"/>
      <c r="Q203" s="229"/>
      <c r="AR203" s="141"/>
      <c r="AY203" s="50"/>
      <c r="BY203" s="16" t="s">
        <v>289</v>
      </c>
      <c r="BZ203" s="16" t="s">
        <v>83</v>
      </c>
    </row>
    <row r="204" spans="2:96" s="1" customFormat="1" ht="14.45" customHeight="1" x14ac:dyDescent="0.2">
      <c r="B204" s="124"/>
      <c r="C204" s="125" t="s">
        <v>521</v>
      </c>
      <c r="D204" s="125" t="s">
        <v>284</v>
      </c>
      <c r="E204" s="126" t="s">
        <v>2941</v>
      </c>
      <c r="F204" s="127" t="s">
        <v>2942</v>
      </c>
      <c r="G204" s="128" t="s">
        <v>315</v>
      </c>
      <c r="H204" s="129">
        <v>4</v>
      </c>
      <c r="I204" s="130">
        <v>109.469718449</v>
      </c>
      <c r="J204" s="131">
        <f>ROUND(I204*H204,2)</f>
        <v>437.88</v>
      </c>
      <c r="K204" s="127" t="s">
        <v>1</v>
      </c>
      <c r="L204" s="268">
        <f>S204</f>
        <v>0</v>
      </c>
      <c r="M204" s="272">
        <f>ROUND(L204*I204,2)</f>
        <v>0</v>
      </c>
      <c r="N204" s="243"/>
      <c r="O204" s="294">
        <f>ROUND(N204*I204,2)</f>
        <v>0</v>
      </c>
      <c r="P204" s="273">
        <f>H204-L204-N204</f>
        <v>4</v>
      </c>
      <c r="Q204" s="287">
        <f>ROUND(P204*I204,2)</f>
        <v>437.88</v>
      </c>
      <c r="R204" s="137"/>
      <c r="S204" s="269">
        <f>W204+Y204+AA204+AC204</f>
        <v>0</v>
      </c>
      <c r="T204" s="269">
        <f>ROUND(S204*I204,2)</f>
        <v>0</v>
      </c>
      <c r="U204" s="269">
        <f>H204-S204</f>
        <v>4</v>
      </c>
      <c r="V204" s="269">
        <f>ROUND(U204*I204,2)</f>
        <v>437.88</v>
      </c>
      <c r="W204" s="269"/>
      <c r="X204" s="269"/>
      <c r="Y204" s="269"/>
      <c r="Z204" s="269"/>
      <c r="AA204" s="269"/>
      <c r="AB204" s="269"/>
      <c r="AC204" s="269"/>
      <c r="AD204" s="269"/>
      <c r="AR204" s="132" t="s">
        <v>1</v>
      </c>
      <c r="AS204" s="133" t="s">
        <v>40</v>
      </c>
      <c r="AU204" s="134">
        <f>AT204*H204</f>
        <v>0</v>
      </c>
      <c r="AV204" s="134">
        <v>0</v>
      </c>
      <c r="AW204" s="134">
        <f>AV204*H204</f>
        <v>0</v>
      </c>
      <c r="AX204" s="134">
        <v>0</v>
      </c>
      <c r="AY204" s="135">
        <f>AX204*H204</f>
        <v>0</v>
      </c>
      <c r="BW204" s="136" t="s">
        <v>95</v>
      </c>
      <c r="BY204" s="136" t="s">
        <v>284</v>
      </c>
      <c r="BZ204" s="136" t="s">
        <v>83</v>
      </c>
      <c r="CD204" s="16" t="s">
        <v>282</v>
      </c>
      <c r="CJ204" s="137">
        <f>IF(AS204="základní",J204,0)</f>
        <v>437.88</v>
      </c>
      <c r="CK204" s="137">
        <f>IF(AS204="snížená",J204,0)</f>
        <v>0</v>
      </c>
      <c r="CL204" s="137">
        <f>IF(AS204="zákl. přenesená",J204,0)</f>
        <v>0</v>
      </c>
      <c r="CM204" s="137">
        <f>IF(AS204="sníž. přenesená",J204,0)</f>
        <v>0</v>
      </c>
      <c r="CN204" s="137">
        <f>IF(AS204="nulová",J204,0)</f>
        <v>0</v>
      </c>
      <c r="CO204" s="16" t="s">
        <v>81</v>
      </c>
      <c r="CP204" s="137">
        <f>ROUND(I204*H204,2)</f>
        <v>437.88</v>
      </c>
      <c r="CQ204" s="16" t="s">
        <v>95</v>
      </c>
      <c r="CR204" s="136" t="s">
        <v>1544</v>
      </c>
    </row>
    <row r="205" spans="2:96" s="1" customFormat="1" x14ac:dyDescent="0.2">
      <c r="B205" s="31"/>
      <c r="D205" s="138" t="s">
        <v>289</v>
      </c>
      <c r="F205" s="139" t="s">
        <v>2942</v>
      </c>
      <c r="I205" s="140"/>
      <c r="L205" s="31"/>
      <c r="N205" s="213"/>
      <c r="O205" s="214"/>
      <c r="Q205" s="229"/>
      <c r="AR205" s="141"/>
      <c r="AY205" s="50"/>
      <c r="BY205" s="16" t="s">
        <v>289</v>
      </c>
      <c r="BZ205" s="16" t="s">
        <v>83</v>
      </c>
    </row>
    <row r="206" spans="2:96" s="1" customFormat="1" ht="14.45" customHeight="1" x14ac:dyDescent="0.2">
      <c r="B206" s="124"/>
      <c r="C206" s="125" t="s">
        <v>526</v>
      </c>
      <c r="D206" s="125" t="s">
        <v>284</v>
      </c>
      <c r="E206" s="126" t="s">
        <v>2943</v>
      </c>
      <c r="F206" s="127" t="s">
        <v>2944</v>
      </c>
      <c r="G206" s="128" t="s">
        <v>315</v>
      </c>
      <c r="H206" s="129">
        <v>1</v>
      </c>
      <c r="I206" s="130">
        <v>872.92557264900006</v>
      </c>
      <c r="J206" s="131">
        <f>ROUND(I206*H206,2)</f>
        <v>872.93</v>
      </c>
      <c r="K206" s="127" t="s">
        <v>1</v>
      </c>
      <c r="L206" s="268">
        <f>S206</f>
        <v>0</v>
      </c>
      <c r="M206" s="272">
        <f>ROUND(L206*I206,2)</f>
        <v>0</v>
      </c>
      <c r="N206" s="243"/>
      <c r="O206" s="294">
        <f>ROUND(N206*I206,2)</f>
        <v>0</v>
      </c>
      <c r="P206" s="273">
        <f>H206-L206-N206</f>
        <v>1</v>
      </c>
      <c r="Q206" s="287">
        <f>ROUND(P206*I206,2)</f>
        <v>872.93</v>
      </c>
      <c r="R206" s="137"/>
      <c r="S206" s="269">
        <f>W206+Y206+AA206+AC206</f>
        <v>0</v>
      </c>
      <c r="T206" s="269">
        <f>ROUND(S206*I206,2)</f>
        <v>0</v>
      </c>
      <c r="U206" s="269">
        <f>H206-S206</f>
        <v>1</v>
      </c>
      <c r="V206" s="269">
        <f>ROUND(U206*I206,2)</f>
        <v>872.93</v>
      </c>
      <c r="W206" s="269"/>
      <c r="X206" s="269"/>
      <c r="Y206" s="269"/>
      <c r="Z206" s="269"/>
      <c r="AA206" s="269"/>
      <c r="AB206" s="269"/>
      <c r="AC206" s="269"/>
      <c r="AD206" s="269"/>
      <c r="AR206" s="132" t="s">
        <v>1</v>
      </c>
      <c r="AS206" s="133" t="s">
        <v>40</v>
      </c>
      <c r="AU206" s="134">
        <f>AT206*H206</f>
        <v>0</v>
      </c>
      <c r="AV206" s="134">
        <v>0</v>
      </c>
      <c r="AW206" s="134">
        <f>AV206*H206</f>
        <v>0</v>
      </c>
      <c r="AX206" s="134">
        <v>0</v>
      </c>
      <c r="AY206" s="135">
        <f>AX206*H206</f>
        <v>0</v>
      </c>
      <c r="BW206" s="136" t="s">
        <v>95</v>
      </c>
      <c r="BY206" s="136" t="s">
        <v>284</v>
      </c>
      <c r="BZ206" s="136" t="s">
        <v>83</v>
      </c>
      <c r="CD206" s="16" t="s">
        <v>282</v>
      </c>
      <c r="CJ206" s="137">
        <f>IF(AS206="základní",J206,0)</f>
        <v>872.93</v>
      </c>
      <c r="CK206" s="137">
        <f>IF(AS206="snížená",J206,0)</f>
        <v>0</v>
      </c>
      <c r="CL206" s="137">
        <f>IF(AS206="zákl. přenesená",J206,0)</f>
        <v>0</v>
      </c>
      <c r="CM206" s="137">
        <f>IF(AS206="sníž. přenesená",J206,0)</f>
        <v>0</v>
      </c>
      <c r="CN206" s="137">
        <f>IF(AS206="nulová",J206,0)</f>
        <v>0</v>
      </c>
      <c r="CO206" s="16" t="s">
        <v>81</v>
      </c>
      <c r="CP206" s="137">
        <f>ROUND(I206*H206,2)</f>
        <v>872.93</v>
      </c>
      <c r="CQ206" s="16" t="s">
        <v>95</v>
      </c>
      <c r="CR206" s="136" t="s">
        <v>1551</v>
      </c>
    </row>
    <row r="207" spans="2:96" s="1" customFormat="1" x14ac:dyDescent="0.2">
      <c r="B207" s="31"/>
      <c r="D207" s="138" t="s">
        <v>289</v>
      </c>
      <c r="F207" s="139" t="s">
        <v>2944</v>
      </c>
      <c r="I207" s="140"/>
      <c r="L207" s="31"/>
      <c r="N207" s="213"/>
      <c r="O207" s="214"/>
      <c r="Q207" s="229"/>
      <c r="AR207" s="141"/>
      <c r="AY207" s="50"/>
      <c r="BY207" s="16" t="s">
        <v>289</v>
      </c>
      <c r="BZ207" s="16" t="s">
        <v>83</v>
      </c>
    </row>
    <row r="208" spans="2:96" s="1" customFormat="1" ht="14.45" customHeight="1" x14ac:dyDescent="0.2">
      <c r="B208" s="124"/>
      <c r="C208" s="125" t="s">
        <v>531</v>
      </c>
      <c r="D208" s="125" t="s">
        <v>284</v>
      </c>
      <c r="E208" s="126" t="s">
        <v>2945</v>
      </c>
      <c r="F208" s="127" t="s">
        <v>2946</v>
      </c>
      <c r="G208" s="128" t="s">
        <v>315</v>
      </c>
      <c r="H208" s="129">
        <v>1</v>
      </c>
      <c r="I208" s="130">
        <v>944.18460975999994</v>
      </c>
      <c r="J208" s="131">
        <f>ROUND(I208*H208,2)</f>
        <v>944.18</v>
      </c>
      <c r="K208" s="127" t="s">
        <v>1</v>
      </c>
      <c r="L208" s="268">
        <f>S208</f>
        <v>0</v>
      </c>
      <c r="M208" s="272">
        <f>ROUND(L208*I208,2)</f>
        <v>0</v>
      </c>
      <c r="N208" s="243"/>
      <c r="O208" s="294">
        <f>ROUND(N208*I208,2)</f>
        <v>0</v>
      </c>
      <c r="P208" s="273">
        <f>H208-L208-N208</f>
        <v>1</v>
      </c>
      <c r="Q208" s="287">
        <f>ROUND(P208*I208,2)</f>
        <v>944.18</v>
      </c>
      <c r="R208" s="137"/>
      <c r="S208" s="269">
        <f>W208+Y208+AA208+AC208</f>
        <v>0</v>
      </c>
      <c r="T208" s="269">
        <f>ROUND(S208*I208,2)</f>
        <v>0</v>
      </c>
      <c r="U208" s="269">
        <f>H208-S208</f>
        <v>1</v>
      </c>
      <c r="V208" s="269">
        <f>ROUND(U208*I208,2)</f>
        <v>944.18</v>
      </c>
      <c r="W208" s="269"/>
      <c r="X208" s="269"/>
      <c r="Y208" s="269"/>
      <c r="Z208" s="269"/>
      <c r="AA208" s="269"/>
      <c r="AB208" s="269"/>
      <c r="AC208" s="269"/>
      <c r="AD208" s="269"/>
      <c r="AR208" s="132" t="s">
        <v>1</v>
      </c>
      <c r="AS208" s="133" t="s">
        <v>40</v>
      </c>
      <c r="AU208" s="134">
        <f>AT208*H208</f>
        <v>0</v>
      </c>
      <c r="AV208" s="134">
        <v>0</v>
      </c>
      <c r="AW208" s="134">
        <f>AV208*H208</f>
        <v>0</v>
      </c>
      <c r="AX208" s="134">
        <v>0</v>
      </c>
      <c r="AY208" s="135">
        <f>AX208*H208</f>
        <v>0</v>
      </c>
      <c r="BW208" s="136" t="s">
        <v>95</v>
      </c>
      <c r="BY208" s="136" t="s">
        <v>284</v>
      </c>
      <c r="BZ208" s="136" t="s">
        <v>83</v>
      </c>
      <c r="CD208" s="16" t="s">
        <v>282</v>
      </c>
      <c r="CJ208" s="137">
        <f>IF(AS208="základní",J208,0)</f>
        <v>944.18</v>
      </c>
      <c r="CK208" s="137">
        <f>IF(AS208="snížená",J208,0)</f>
        <v>0</v>
      </c>
      <c r="CL208" s="137">
        <f>IF(AS208="zákl. přenesená",J208,0)</f>
        <v>0</v>
      </c>
      <c r="CM208" s="137">
        <f>IF(AS208="sníž. přenesená",J208,0)</f>
        <v>0</v>
      </c>
      <c r="CN208" s="137">
        <f>IF(AS208="nulová",J208,0)</f>
        <v>0</v>
      </c>
      <c r="CO208" s="16" t="s">
        <v>81</v>
      </c>
      <c r="CP208" s="137">
        <f>ROUND(I208*H208,2)</f>
        <v>944.18</v>
      </c>
      <c r="CQ208" s="16" t="s">
        <v>95</v>
      </c>
      <c r="CR208" s="136" t="s">
        <v>1555</v>
      </c>
    </row>
    <row r="209" spans="2:96" s="1" customFormat="1" x14ac:dyDescent="0.2">
      <c r="B209" s="31"/>
      <c r="D209" s="138" t="s">
        <v>289</v>
      </c>
      <c r="F209" s="139" t="s">
        <v>2946</v>
      </c>
      <c r="I209" s="140"/>
      <c r="L209" s="31"/>
      <c r="N209" s="213"/>
      <c r="O209" s="214"/>
      <c r="Q209" s="229"/>
      <c r="AR209" s="141"/>
      <c r="AY209" s="50"/>
      <c r="BY209" s="16" t="s">
        <v>289</v>
      </c>
      <c r="BZ209" s="16" t="s">
        <v>83</v>
      </c>
    </row>
    <row r="210" spans="2:96" s="1" customFormat="1" ht="14.45" customHeight="1" x14ac:dyDescent="0.2">
      <c r="B210" s="124"/>
      <c r="C210" s="125" t="s">
        <v>536</v>
      </c>
      <c r="D210" s="125" t="s">
        <v>284</v>
      </c>
      <c r="E210" s="126" t="s">
        <v>2947</v>
      </c>
      <c r="F210" s="127" t="s">
        <v>2948</v>
      </c>
      <c r="G210" s="128" t="s">
        <v>344</v>
      </c>
      <c r="H210" s="129">
        <v>35</v>
      </c>
      <c r="I210" s="130">
        <v>21.946987769</v>
      </c>
      <c r="J210" s="131">
        <f>ROUND(I210*H210,2)</f>
        <v>768.14</v>
      </c>
      <c r="K210" s="127" t="s">
        <v>1</v>
      </c>
      <c r="L210" s="268">
        <f>S210</f>
        <v>0</v>
      </c>
      <c r="M210" s="272">
        <f>ROUND(L210*I210,2)</f>
        <v>0</v>
      </c>
      <c r="N210" s="243"/>
      <c r="O210" s="294">
        <f>ROUND(N210*I210,2)</f>
        <v>0</v>
      </c>
      <c r="P210" s="273">
        <f>H210-L210-N210</f>
        <v>35</v>
      </c>
      <c r="Q210" s="287">
        <f>ROUND(P210*I210,2)</f>
        <v>768.14</v>
      </c>
      <c r="R210" s="137"/>
      <c r="S210" s="269">
        <f>W210+Y210+AA210+AC210</f>
        <v>0</v>
      </c>
      <c r="T210" s="269">
        <f>ROUND(S210*I210,2)</f>
        <v>0</v>
      </c>
      <c r="U210" s="269">
        <f>H210-S210</f>
        <v>35</v>
      </c>
      <c r="V210" s="269">
        <f>ROUND(U210*I210,2)</f>
        <v>768.14</v>
      </c>
      <c r="W210" s="269"/>
      <c r="X210" s="269"/>
      <c r="Y210" s="269"/>
      <c r="Z210" s="269"/>
      <c r="AA210" s="269"/>
      <c r="AB210" s="269"/>
      <c r="AC210" s="269"/>
      <c r="AD210" s="269"/>
      <c r="AR210" s="132" t="s">
        <v>1</v>
      </c>
      <c r="AS210" s="133" t="s">
        <v>40</v>
      </c>
      <c r="AU210" s="134">
        <f>AT210*H210</f>
        <v>0</v>
      </c>
      <c r="AV210" s="134">
        <v>0</v>
      </c>
      <c r="AW210" s="134">
        <f>AV210*H210</f>
        <v>0</v>
      </c>
      <c r="AX210" s="134">
        <v>0</v>
      </c>
      <c r="AY210" s="135">
        <f>AX210*H210</f>
        <v>0</v>
      </c>
      <c r="BW210" s="136" t="s">
        <v>95</v>
      </c>
      <c r="BY210" s="136" t="s">
        <v>284</v>
      </c>
      <c r="BZ210" s="136" t="s">
        <v>83</v>
      </c>
      <c r="CD210" s="16" t="s">
        <v>282</v>
      </c>
      <c r="CJ210" s="137">
        <f>IF(AS210="základní",J210,0)</f>
        <v>768.14</v>
      </c>
      <c r="CK210" s="137">
        <f>IF(AS210="snížená",J210,0)</f>
        <v>0</v>
      </c>
      <c r="CL210" s="137">
        <f>IF(AS210="zákl. přenesená",J210,0)</f>
        <v>0</v>
      </c>
      <c r="CM210" s="137">
        <f>IF(AS210="sníž. přenesená",J210,0)</f>
        <v>0</v>
      </c>
      <c r="CN210" s="137">
        <f>IF(AS210="nulová",J210,0)</f>
        <v>0</v>
      </c>
      <c r="CO210" s="16" t="s">
        <v>81</v>
      </c>
      <c r="CP210" s="137">
        <f>ROUND(I210*H210,2)</f>
        <v>768.14</v>
      </c>
      <c r="CQ210" s="16" t="s">
        <v>95</v>
      </c>
      <c r="CR210" s="136" t="s">
        <v>1559</v>
      </c>
    </row>
    <row r="211" spans="2:96" s="1" customFormat="1" x14ac:dyDescent="0.2">
      <c r="B211" s="31"/>
      <c r="D211" s="138" t="s">
        <v>289</v>
      </c>
      <c r="F211" s="139" t="s">
        <v>2948</v>
      </c>
      <c r="I211" s="140"/>
      <c r="L211" s="31"/>
      <c r="N211" s="213"/>
      <c r="O211" s="214"/>
      <c r="Q211" s="229"/>
      <c r="AR211" s="141"/>
      <c r="AY211" s="50"/>
      <c r="BY211" s="16" t="s">
        <v>289</v>
      </c>
      <c r="BZ211" s="16" t="s">
        <v>83</v>
      </c>
    </row>
    <row r="212" spans="2:96" s="1" customFormat="1" ht="14.45" customHeight="1" x14ac:dyDescent="0.2">
      <c r="B212" s="124"/>
      <c r="C212" s="125" t="s">
        <v>543</v>
      </c>
      <c r="D212" s="125" t="s">
        <v>284</v>
      </c>
      <c r="E212" s="126" t="s">
        <v>2949</v>
      </c>
      <c r="F212" s="127" t="s">
        <v>2950</v>
      </c>
      <c r="G212" s="128" t="s">
        <v>344</v>
      </c>
      <c r="H212" s="129">
        <v>20</v>
      </c>
      <c r="I212" s="130">
        <v>24.997022322999999</v>
      </c>
      <c r="J212" s="131">
        <f>ROUND(I212*H212,2)</f>
        <v>499.94</v>
      </c>
      <c r="K212" s="127" t="s">
        <v>1</v>
      </c>
      <c r="L212" s="268">
        <f>S212</f>
        <v>0</v>
      </c>
      <c r="M212" s="272">
        <f>ROUND(L212*I212,2)</f>
        <v>0</v>
      </c>
      <c r="N212" s="243"/>
      <c r="O212" s="294">
        <f>ROUND(N212*I212,2)</f>
        <v>0</v>
      </c>
      <c r="P212" s="273">
        <f>H212-L212-N212</f>
        <v>20</v>
      </c>
      <c r="Q212" s="287">
        <f>ROUND(P212*I212,2)</f>
        <v>499.94</v>
      </c>
      <c r="R212" s="137"/>
      <c r="S212" s="269">
        <f>W212+Y212+AA212+AC212</f>
        <v>0</v>
      </c>
      <c r="T212" s="269">
        <f>ROUND(S212*I212,2)</f>
        <v>0</v>
      </c>
      <c r="U212" s="269">
        <f>H212-S212</f>
        <v>20</v>
      </c>
      <c r="V212" s="269">
        <f>ROUND(U212*I212,2)</f>
        <v>499.94</v>
      </c>
      <c r="W212" s="269"/>
      <c r="X212" s="269"/>
      <c r="Y212" s="269"/>
      <c r="Z212" s="269"/>
      <c r="AA212" s="269"/>
      <c r="AB212" s="269"/>
      <c r="AC212" s="269"/>
      <c r="AD212" s="269"/>
      <c r="AR212" s="132" t="s">
        <v>1</v>
      </c>
      <c r="AS212" s="133" t="s">
        <v>40</v>
      </c>
      <c r="AU212" s="134">
        <f>AT212*H212</f>
        <v>0</v>
      </c>
      <c r="AV212" s="134">
        <v>0</v>
      </c>
      <c r="AW212" s="134">
        <f>AV212*H212</f>
        <v>0</v>
      </c>
      <c r="AX212" s="134">
        <v>0</v>
      </c>
      <c r="AY212" s="135">
        <f>AX212*H212</f>
        <v>0</v>
      </c>
      <c r="BW212" s="136" t="s">
        <v>95</v>
      </c>
      <c r="BY212" s="136" t="s">
        <v>284</v>
      </c>
      <c r="BZ212" s="136" t="s">
        <v>83</v>
      </c>
      <c r="CD212" s="16" t="s">
        <v>282</v>
      </c>
      <c r="CJ212" s="137">
        <f>IF(AS212="základní",J212,0)</f>
        <v>499.94</v>
      </c>
      <c r="CK212" s="137">
        <f>IF(AS212="snížená",J212,0)</f>
        <v>0</v>
      </c>
      <c r="CL212" s="137">
        <f>IF(AS212="zákl. přenesená",J212,0)</f>
        <v>0</v>
      </c>
      <c r="CM212" s="137">
        <f>IF(AS212="sníž. přenesená",J212,0)</f>
        <v>0</v>
      </c>
      <c r="CN212" s="137">
        <f>IF(AS212="nulová",J212,0)</f>
        <v>0</v>
      </c>
      <c r="CO212" s="16" t="s">
        <v>81</v>
      </c>
      <c r="CP212" s="137">
        <f>ROUND(I212*H212,2)</f>
        <v>499.94</v>
      </c>
      <c r="CQ212" s="16" t="s">
        <v>95</v>
      </c>
      <c r="CR212" s="136" t="s">
        <v>1561</v>
      </c>
    </row>
    <row r="213" spans="2:96" s="1" customFormat="1" x14ac:dyDescent="0.2">
      <c r="B213" s="31"/>
      <c r="D213" s="138" t="s">
        <v>289</v>
      </c>
      <c r="F213" s="139" t="s">
        <v>2950</v>
      </c>
      <c r="I213" s="140"/>
      <c r="L213" s="31"/>
      <c r="N213" s="213"/>
      <c r="O213" s="214"/>
      <c r="Q213" s="229"/>
      <c r="AR213" s="141"/>
      <c r="AY213" s="50"/>
      <c r="BY213" s="16" t="s">
        <v>289</v>
      </c>
      <c r="BZ213" s="16" t="s">
        <v>83</v>
      </c>
    </row>
    <row r="214" spans="2:96" s="1" customFormat="1" ht="14.45" customHeight="1" x14ac:dyDescent="0.2">
      <c r="B214" s="124"/>
      <c r="C214" s="125" t="s">
        <v>548</v>
      </c>
      <c r="D214" s="125" t="s">
        <v>284</v>
      </c>
      <c r="E214" s="126" t="s">
        <v>2951</v>
      </c>
      <c r="F214" s="127" t="s">
        <v>2952</v>
      </c>
      <c r="G214" s="128" t="s">
        <v>344</v>
      </c>
      <c r="H214" s="129">
        <v>10</v>
      </c>
      <c r="I214" s="130">
        <v>29.524713369000001</v>
      </c>
      <c r="J214" s="131">
        <f>ROUND(I214*H214,2)</f>
        <v>295.25</v>
      </c>
      <c r="K214" s="127" t="s">
        <v>1</v>
      </c>
      <c r="L214" s="268">
        <f>S214</f>
        <v>0</v>
      </c>
      <c r="M214" s="272">
        <f>ROUND(L214*I214,2)</f>
        <v>0</v>
      </c>
      <c r="N214" s="243"/>
      <c r="O214" s="294">
        <f>ROUND(N214*I214,2)</f>
        <v>0</v>
      </c>
      <c r="P214" s="273">
        <f>H214-L214-N214</f>
        <v>10</v>
      </c>
      <c r="Q214" s="287">
        <f>ROUND(P214*I214,2)</f>
        <v>295.25</v>
      </c>
      <c r="R214" s="137"/>
      <c r="S214" s="269">
        <f>W214+Y214+AA214+AC214</f>
        <v>0</v>
      </c>
      <c r="T214" s="269">
        <f>ROUND(S214*I214,2)</f>
        <v>0</v>
      </c>
      <c r="U214" s="269">
        <f>H214-S214</f>
        <v>10</v>
      </c>
      <c r="V214" s="269">
        <f>ROUND(U214*I214,2)</f>
        <v>295.25</v>
      </c>
      <c r="W214" s="269"/>
      <c r="X214" s="269"/>
      <c r="Y214" s="269"/>
      <c r="Z214" s="269"/>
      <c r="AA214" s="269"/>
      <c r="AB214" s="269"/>
      <c r="AC214" s="269"/>
      <c r="AD214" s="269"/>
      <c r="AR214" s="132" t="s">
        <v>1</v>
      </c>
      <c r="AS214" s="133" t="s">
        <v>40</v>
      </c>
      <c r="AU214" s="134">
        <f>AT214*H214</f>
        <v>0</v>
      </c>
      <c r="AV214" s="134">
        <v>0</v>
      </c>
      <c r="AW214" s="134">
        <f>AV214*H214</f>
        <v>0</v>
      </c>
      <c r="AX214" s="134">
        <v>0</v>
      </c>
      <c r="AY214" s="135">
        <f>AX214*H214</f>
        <v>0</v>
      </c>
      <c r="BW214" s="136" t="s">
        <v>95</v>
      </c>
      <c r="BY214" s="136" t="s">
        <v>284</v>
      </c>
      <c r="BZ214" s="136" t="s">
        <v>83</v>
      </c>
      <c r="CD214" s="16" t="s">
        <v>282</v>
      </c>
      <c r="CJ214" s="137">
        <f>IF(AS214="základní",J214,0)</f>
        <v>295.25</v>
      </c>
      <c r="CK214" s="137">
        <f>IF(AS214="snížená",J214,0)</f>
        <v>0</v>
      </c>
      <c r="CL214" s="137">
        <f>IF(AS214="zákl. přenesená",J214,0)</f>
        <v>0</v>
      </c>
      <c r="CM214" s="137">
        <f>IF(AS214="sníž. přenesená",J214,0)</f>
        <v>0</v>
      </c>
      <c r="CN214" s="137">
        <f>IF(AS214="nulová",J214,0)</f>
        <v>0</v>
      </c>
      <c r="CO214" s="16" t="s">
        <v>81</v>
      </c>
      <c r="CP214" s="137">
        <f>ROUND(I214*H214,2)</f>
        <v>295.25</v>
      </c>
      <c r="CQ214" s="16" t="s">
        <v>95</v>
      </c>
      <c r="CR214" s="136" t="s">
        <v>1563</v>
      </c>
    </row>
    <row r="215" spans="2:96" s="1" customFormat="1" x14ac:dyDescent="0.2">
      <c r="B215" s="31"/>
      <c r="D215" s="138" t="s">
        <v>289</v>
      </c>
      <c r="F215" s="139" t="s">
        <v>2952</v>
      </c>
      <c r="I215" s="140"/>
      <c r="L215" s="31"/>
      <c r="N215" s="213"/>
      <c r="O215" s="214"/>
      <c r="Q215" s="229"/>
      <c r="AR215" s="141"/>
      <c r="AY215" s="50"/>
      <c r="BY215" s="16" t="s">
        <v>289</v>
      </c>
      <c r="BZ215" s="16" t="s">
        <v>83</v>
      </c>
    </row>
    <row r="216" spans="2:96" s="1" customFormat="1" ht="14.45" customHeight="1" x14ac:dyDescent="0.2">
      <c r="B216" s="124"/>
      <c r="C216" s="125" t="s">
        <v>556</v>
      </c>
      <c r="D216" s="125" t="s">
        <v>284</v>
      </c>
      <c r="E216" s="126" t="s">
        <v>2953</v>
      </c>
      <c r="F216" s="127" t="s">
        <v>2954</v>
      </c>
      <c r="G216" s="128" t="s">
        <v>344</v>
      </c>
      <c r="H216" s="129">
        <v>5</v>
      </c>
      <c r="I216" s="130">
        <v>30.680316523000002</v>
      </c>
      <c r="J216" s="131">
        <f>ROUND(I216*H216,2)</f>
        <v>153.4</v>
      </c>
      <c r="K216" s="127" t="s">
        <v>1</v>
      </c>
      <c r="L216" s="268">
        <f>S216</f>
        <v>0</v>
      </c>
      <c r="M216" s="272">
        <f>ROUND(L216*I216,2)</f>
        <v>0</v>
      </c>
      <c r="N216" s="243"/>
      <c r="O216" s="294">
        <f>ROUND(N216*I216,2)</f>
        <v>0</v>
      </c>
      <c r="P216" s="273">
        <f>H216-L216-N216</f>
        <v>5</v>
      </c>
      <c r="Q216" s="287">
        <f>ROUND(P216*I216,2)</f>
        <v>153.4</v>
      </c>
      <c r="R216" s="137"/>
      <c r="S216" s="269">
        <f>W216+Y216+AA216+AC216</f>
        <v>0</v>
      </c>
      <c r="T216" s="269">
        <f>ROUND(S216*I216,2)</f>
        <v>0</v>
      </c>
      <c r="U216" s="269">
        <f>H216-S216</f>
        <v>5</v>
      </c>
      <c r="V216" s="269">
        <f>ROUND(U216*I216,2)</f>
        <v>153.4</v>
      </c>
      <c r="W216" s="269"/>
      <c r="X216" s="269"/>
      <c r="Y216" s="269"/>
      <c r="Z216" s="269"/>
      <c r="AA216" s="269"/>
      <c r="AB216" s="269"/>
      <c r="AC216" s="269"/>
      <c r="AD216" s="269"/>
      <c r="AR216" s="132" t="s">
        <v>1</v>
      </c>
      <c r="AS216" s="133" t="s">
        <v>40</v>
      </c>
      <c r="AU216" s="134">
        <f>AT216*H216</f>
        <v>0</v>
      </c>
      <c r="AV216" s="134">
        <v>0</v>
      </c>
      <c r="AW216" s="134">
        <f>AV216*H216</f>
        <v>0</v>
      </c>
      <c r="AX216" s="134">
        <v>0</v>
      </c>
      <c r="AY216" s="135">
        <f>AX216*H216</f>
        <v>0</v>
      </c>
      <c r="BW216" s="136" t="s">
        <v>95</v>
      </c>
      <c r="BY216" s="136" t="s">
        <v>284</v>
      </c>
      <c r="BZ216" s="136" t="s">
        <v>83</v>
      </c>
      <c r="CD216" s="16" t="s">
        <v>282</v>
      </c>
      <c r="CJ216" s="137">
        <f>IF(AS216="základní",J216,0)</f>
        <v>153.4</v>
      </c>
      <c r="CK216" s="137">
        <f>IF(AS216="snížená",J216,0)</f>
        <v>0</v>
      </c>
      <c r="CL216" s="137">
        <f>IF(AS216="zákl. přenesená",J216,0)</f>
        <v>0</v>
      </c>
      <c r="CM216" s="137">
        <f>IF(AS216="sníž. přenesená",J216,0)</f>
        <v>0</v>
      </c>
      <c r="CN216" s="137">
        <f>IF(AS216="nulová",J216,0)</f>
        <v>0</v>
      </c>
      <c r="CO216" s="16" t="s">
        <v>81</v>
      </c>
      <c r="CP216" s="137">
        <f>ROUND(I216*H216,2)</f>
        <v>153.4</v>
      </c>
      <c r="CQ216" s="16" t="s">
        <v>95</v>
      </c>
      <c r="CR216" s="136" t="s">
        <v>1568</v>
      </c>
    </row>
    <row r="217" spans="2:96" s="1" customFormat="1" x14ac:dyDescent="0.2">
      <c r="B217" s="31"/>
      <c r="D217" s="138" t="s">
        <v>289</v>
      </c>
      <c r="F217" s="139" t="s">
        <v>2954</v>
      </c>
      <c r="I217" s="140"/>
      <c r="L217" s="31"/>
      <c r="N217" s="213"/>
      <c r="O217" s="214"/>
      <c r="Q217" s="229"/>
      <c r="AR217" s="141"/>
      <c r="AY217" s="50"/>
      <c r="BY217" s="16" t="s">
        <v>289</v>
      </c>
      <c r="BZ217" s="16" t="s">
        <v>83</v>
      </c>
    </row>
    <row r="218" spans="2:96" s="1" customFormat="1" ht="14.45" customHeight="1" x14ac:dyDescent="0.2">
      <c r="B218" s="124"/>
      <c r="C218" s="125" t="s">
        <v>562</v>
      </c>
      <c r="D218" s="125" t="s">
        <v>284</v>
      </c>
      <c r="E218" s="126" t="s">
        <v>2955</v>
      </c>
      <c r="F218" s="127" t="s">
        <v>2956</v>
      </c>
      <c r="G218" s="128" t="s">
        <v>344</v>
      </c>
      <c r="H218" s="129">
        <v>5</v>
      </c>
      <c r="I218" s="130">
        <v>50.145599157999996</v>
      </c>
      <c r="J218" s="131">
        <f>ROUND(I218*H218,2)</f>
        <v>250.73</v>
      </c>
      <c r="K218" s="127" t="s">
        <v>1</v>
      </c>
      <c r="L218" s="268">
        <f>S218</f>
        <v>0</v>
      </c>
      <c r="M218" s="272">
        <f>ROUND(L218*I218,2)</f>
        <v>0</v>
      </c>
      <c r="N218" s="243"/>
      <c r="O218" s="294">
        <f>ROUND(N218*I218,2)</f>
        <v>0</v>
      </c>
      <c r="P218" s="273">
        <f>H218-L218-N218</f>
        <v>5</v>
      </c>
      <c r="Q218" s="287">
        <f>ROUND(P218*I218,2)</f>
        <v>250.73</v>
      </c>
      <c r="R218" s="137"/>
      <c r="S218" s="269">
        <f>W218+Y218+AA218+AC218</f>
        <v>0</v>
      </c>
      <c r="T218" s="269">
        <f>ROUND(S218*I218,2)</f>
        <v>0</v>
      </c>
      <c r="U218" s="269">
        <f>H218-S218</f>
        <v>5</v>
      </c>
      <c r="V218" s="269">
        <f>ROUND(U218*I218,2)</f>
        <v>250.73</v>
      </c>
      <c r="W218" s="269"/>
      <c r="X218" s="269"/>
      <c r="Y218" s="269"/>
      <c r="Z218" s="269"/>
      <c r="AA218" s="269"/>
      <c r="AB218" s="269"/>
      <c r="AC218" s="269"/>
      <c r="AD218" s="269"/>
      <c r="AR218" s="132" t="s">
        <v>1</v>
      </c>
      <c r="AS218" s="133" t="s">
        <v>40</v>
      </c>
      <c r="AU218" s="134">
        <f>AT218*H218</f>
        <v>0</v>
      </c>
      <c r="AV218" s="134">
        <v>0</v>
      </c>
      <c r="AW218" s="134">
        <f>AV218*H218</f>
        <v>0</v>
      </c>
      <c r="AX218" s="134">
        <v>0</v>
      </c>
      <c r="AY218" s="135">
        <f>AX218*H218</f>
        <v>0</v>
      </c>
      <c r="BW218" s="136" t="s">
        <v>95</v>
      </c>
      <c r="BY218" s="136" t="s">
        <v>284</v>
      </c>
      <c r="BZ218" s="136" t="s">
        <v>83</v>
      </c>
      <c r="CD218" s="16" t="s">
        <v>282</v>
      </c>
      <c r="CJ218" s="137">
        <f>IF(AS218="základní",J218,0)</f>
        <v>250.73</v>
      </c>
      <c r="CK218" s="137">
        <f>IF(AS218="snížená",J218,0)</f>
        <v>0</v>
      </c>
      <c r="CL218" s="137">
        <f>IF(AS218="zákl. přenesená",J218,0)</f>
        <v>0</v>
      </c>
      <c r="CM218" s="137">
        <f>IF(AS218="sníž. přenesená",J218,0)</f>
        <v>0</v>
      </c>
      <c r="CN218" s="137">
        <f>IF(AS218="nulová",J218,0)</f>
        <v>0</v>
      </c>
      <c r="CO218" s="16" t="s">
        <v>81</v>
      </c>
      <c r="CP218" s="137">
        <f>ROUND(I218*H218,2)</f>
        <v>250.73</v>
      </c>
      <c r="CQ218" s="16" t="s">
        <v>95</v>
      </c>
      <c r="CR218" s="136" t="s">
        <v>1570</v>
      </c>
    </row>
    <row r="219" spans="2:96" s="1" customFormat="1" x14ac:dyDescent="0.2">
      <c r="B219" s="31"/>
      <c r="D219" s="138" t="s">
        <v>289</v>
      </c>
      <c r="F219" s="139" t="s">
        <v>2956</v>
      </c>
      <c r="I219" s="140"/>
      <c r="L219" s="31"/>
      <c r="N219" s="213"/>
      <c r="O219" s="214"/>
      <c r="Q219" s="229"/>
      <c r="AR219" s="141"/>
      <c r="AY219" s="50"/>
      <c r="BY219" s="16" t="s">
        <v>289</v>
      </c>
      <c r="BZ219" s="16" t="s">
        <v>83</v>
      </c>
    </row>
    <row r="220" spans="2:96" s="1" customFormat="1" ht="14.45" customHeight="1" x14ac:dyDescent="0.2">
      <c r="B220" s="124"/>
      <c r="C220" s="125" t="s">
        <v>568</v>
      </c>
      <c r="D220" s="125" t="s">
        <v>284</v>
      </c>
      <c r="E220" s="126" t="s">
        <v>2957</v>
      </c>
      <c r="F220" s="127" t="s">
        <v>2958</v>
      </c>
      <c r="G220" s="128" t="s">
        <v>344</v>
      </c>
      <c r="H220" s="129">
        <v>8</v>
      </c>
      <c r="I220" s="130">
        <v>324.31718352299998</v>
      </c>
      <c r="J220" s="131">
        <f>ROUND(I220*H220,2)</f>
        <v>2594.54</v>
      </c>
      <c r="K220" s="127" t="s">
        <v>1</v>
      </c>
      <c r="L220" s="268">
        <f>S220</f>
        <v>0</v>
      </c>
      <c r="M220" s="272">
        <f>ROUND(L220*I220,2)</f>
        <v>0</v>
      </c>
      <c r="N220" s="243"/>
      <c r="O220" s="294">
        <f>ROUND(N220*I220,2)</f>
        <v>0</v>
      </c>
      <c r="P220" s="273">
        <f>H220-L220-N220</f>
        <v>8</v>
      </c>
      <c r="Q220" s="287">
        <f>ROUND(P220*I220,2)</f>
        <v>2594.54</v>
      </c>
      <c r="R220" s="137"/>
      <c r="S220" s="269">
        <f>W220+Y220+AA220+AC220</f>
        <v>0</v>
      </c>
      <c r="T220" s="269">
        <f>ROUND(S220*I220,2)</f>
        <v>0</v>
      </c>
      <c r="U220" s="269">
        <f>H220-S220</f>
        <v>8</v>
      </c>
      <c r="V220" s="269">
        <f>ROUND(U220*I220,2)</f>
        <v>2594.54</v>
      </c>
      <c r="W220" s="269"/>
      <c r="X220" s="269"/>
      <c r="Y220" s="269"/>
      <c r="Z220" s="269"/>
      <c r="AA220" s="269"/>
      <c r="AB220" s="269"/>
      <c r="AC220" s="269"/>
      <c r="AD220" s="269"/>
      <c r="AR220" s="132" t="s">
        <v>1</v>
      </c>
      <c r="AS220" s="133" t="s">
        <v>40</v>
      </c>
      <c r="AU220" s="134">
        <f>AT220*H220</f>
        <v>0</v>
      </c>
      <c r="AV220" s="134">
        <v>0</v>
      </c>
      <c r="AW220" s="134">
        <f>AV220*H220</f>
        <v>0</v>
      </c>
      <c r="AX220" s="134">
        <v>0</v>
      </c>
      <c r="AY220" s="135">
        <f>AX220*H220</f>
        <v>0</v>
      </c>
      <c r="BW220" s="136" t="s">
        <v>95</v>
      </c>
      <c r="BY220" s="136" t="s">
        <v>284</v>
      </c>
      <c r="BZ220" s="136" t="s">
        <v>83</v>
      </c>
      <c r="CD220" s="16" t="s">
        <v>282</v>
      </c>
      <c r="CJ220" s="137">
        <f>IF(AS220="základní",J220,0)</f>
        <v>2594.54</v>
      </c>
      <c r="CK220" s="137">
        <f>IF(AS220="snížená",J220,0)</f>
        <v>0</v>
      </c>
      <c r="CL220" s="137">
        <f>IF(AS220="zákl. přenesená",J220,0)</f>
        <v>0</v>
      </c>
      <c r="CM220" s="137">
        <f>IF(AS220="sníž. přenesená",J220,0)</f>
        <v>0</v>
      </c>
      <c r="CN220" s="137">
        <f>IF(AS220="nulová",J220,0)</f>
        <v>0</v>
      </c>
      <c r="CO220" s="16" t="s">
        <v>81</v>
      </c>
      <c r="CP220" s="137">
        <f>ROUND(I220*H220,2)</f>
        <v>2594.54</v>
      </c>
      <c r="CQ220" s="16" t="s">
        <v>95</v>
      </c>
      <c r="CR220" s="136" t="s">
        <v>2606</v>
      </c>
    </row>
    <row r="221" spans="2:96" s="1" customFormat="1" x14ac:dyDescent="0.2">
      <c r="B221" s="31"/>
      <c r="D221" s="138" t="s">
        <v>289</v>
      </c>
      <c r="F221" s="139" t="s">
        <v>2958</v>
      </c>
      <c r="I221" s="140"/>
      <c r="L221" s="31"/>
      <c r="N221" s="213"/>
      <c r="O221" s="214"/>
      <c r="Q221" s="229"/>
      <c r="AR221" s="141"/>
      <c r="AY221" s="50"/>
      <c r="BY221" s="16" t="s">
        <v>289</v>
      </c>
      <c r="BZ221" s="16" t="s">
        <v>83</v>
      </c>
    </row>
    <row r="222" spans="2:96" s="1" customFormat="1" ht="14.45" customHeight="1" x14ac:dyDescent="0.2">
      <c r="B222" s="124"/>
      <c r="C222" s="125" t="s">
        <v>572</v>
      </c>
      <c r="D222" s="125" t="s">
        <v>284</v>
      </c>
      <c r="E222" s="126" t="s">
        <v>2959</v>
      </c>
      <c r="F222" s="127" t="s">
        <v>2960</v>
      </c>
      <c r="G222" s="128" t="s">
        <v>315</v>
      </c>
      <c r="H222" s="129">
        <v>4</v>
      </c>
      <c r="I222" s="130">
        <v>240.895896824</v>
      </c>
      <c r="J222" s="131">
        <f>ROUND(I222*H222,2)</f>
        <v>963.58</v>
      </c>
      <c r="K222" s="127" t="s">
        <v>1</v>
      </c>
      <c r="L222" s="268">
        <f>S222</f>
        <v>0</v>
      </c>
      <c r="M222" s="272">
        <f>ROUND(L222*I222,2)</f>
        <v>0</v>
      </c>
      <c r="N222" s="243"/>
      <c r="O222" s="294">
        <f>ROUND(N222*I222,2)</f>
        <v>0</v>
      </c>
      <c r="P222" s="273">
        <f>H222-L222-N222</f>
        <v>4</v>
      </c>
      <c r="Q222" s="287">
        <f>ROUND(P222*I222,2)</f>
        <v>963.58</v>
      </c>
      <c r="R222" s="137"/>
      <c r="S222" s="269">
        <f>W222+Y222+AA222+AC222</f>
        <v>0</v>
      </c>
      <c r="T222" s="269">
        <f>ROUND(S222*I222,2)</f>
        <v>0</v>
      </c>
      <c r="U222" s="269">
        <f>H222-S222</f>
        <v>4</v>
      </c>
      <c r="V222" s="269">
        <f>ROUND(U222*I222,2)</f>
        <v>963.58</v>
      </c>
      <c r="W222" s="269"/>
      <c r="X222" s="269"/>
      <c r="Y222" s="269"/>
      <c r="Z222" s="269"/>
      <c r="AA222" s="269"/>
      <c r="AB222" s="269"/>
      <c r="AC222" s="269"/>
      <c r="AD222" s="269"/>
      <c r="AR222" s="132" t="s">
        <v>1</v>
      </c>
      <c r="AS222" s="133" t="s">
        <v>40</v>
      </c>
      <c r="AU222" s="134">
        <f>AT222*H222</f>
        <v>0</v>
      </c>
      <c r="AV222" s="134">
        <v>0</v>
      </c>
      <c r="AW222" s="134">
        <f>AV222*H222</f>
        <v>0</v>
      </c>
      <c r="AX222" s="134">
        <v>0</v>
      </c>
      <c r="AY222" s="135">
        <f>AX222*H222</f>
        <v>0</v>
      </c>
      <c r="BW222" s="136" t="s">
        <v>95</v>
      </c>
      <c r="BY222" s="136" t="s">
        <v>284</v>
      </c>
      <c r="BZ222" s="136" t="s">
        <v>83</v>
      </c>
      <c r="CD222" s="16" t="s">
        <v>282</v>
      </c>
      <c r="CJ222" s="137">
        <f>IF(AS222="základní",J222,0)</f>
        <v>963.58</v>
      </c>
      <c r="CK222" s="137">
        <f>IF(AS222="snížená",J222,0)</f>
        <v>0</v>
      </c>
      <c r="CL222" s="137">
        <f>IF(AS222="zákl. přenesená",J222,0)</f>
        <v>0</v>
      </c>
      <c r="CM222" s="137">
        <f>IF(AS222="sníž. přenesená",J222,0)</f>
        <v>0</v>
      </c>
      <c r="CN222" s="137">
        <f>IF(AS222="nulová",J222,0)</f>
        <v>0</v>
      </c>
      <c r="CO222" s="16" t="s">
        <v>81</v>
      </c>
      <c r="CP222" s="137">
        <f>ROUND(I222*H222,2)</f>
        <v>963.58</v>
      </c>
      <c r="CQ222" s="16" t="s">
        <v>95</v>
      </c>
      <c r="CR222" s="136" t="s">
        <v>2610</v>
      </c>
    </row>
    <row r="223" spans="2:96" s="1" customFormat="1" x14ac:dyDescent="0.2">
      <c r="B223" s="31"/>
      <c r="D223" s="138" t="s">
        <v>289</v>
      </c>
      <c r="F223" s="139" t="s">
        <v>2960</v>
      </c>
      <c r="I223" s="140"/>
      <c r="L223" s="31"/>
      <c r="N223" s="213"/>
      <c r="O223" s="214"/>
      <c r="Q223" s="229"/>
      <c r="AR223" s="141"/>
      <c r="AY223" s="50"/>
      <c r="BY223" s="16" t="s">
        <v>289</v>
      </c>
      <c r="BZ223" s="16" t="s">
        <v>83</v>
      </c>
    </row>
    <row r="224" spans="2:96" s="1" customFormat="1" ht="14.45" customHeight="1" x14ac:dyDescent="0.2">
      <c r="B224" s="124"/>
      <c r="C224" s="125" t="s">
        <v>576</v>
      </c>
      <c r="D224" s="125" t="s">
        <v>284</v>
      </c>
      <c r="E224" s="126" t="s">
        <v>2961</v>
      </c>
      <c r="F224" s="127" t="s">
        <v>2962</v>
      </c>
      <c r="G224" s="128" t="s">
        <v>315</v>
      </c>
      <c r="H224" s="129">
        <v>6</v>
      </c>
      <c r="I224" s="130">
        <v>241.89047330900001</v>
      </c>
      <c r="J224" s="131">
        <f>ROUND(I224*H224,2)</f>
        <v>1451.34</v>
      </c>
      <c r="K224" s="127" t="s">
        <v>1</v>
      </c>
      <c r="L224" s="268">
        <f>S224</f>
        <v>0</v>
      </c>
      <c r="M224" s="272">
        <f>ROUND(L224*I224,2)</f>
        <v>0</v>
      </c>
      <c r="N224" s="243"/>
      <c r="O224" s="294">
        <f>ROUND(N224*I224,2)</f>
        <v>0</v>
      </c>
      <c r="P224" s="273">
        <f>H224-L224-N224</f>
        <v>6</v>
      </c>
      <c r="Q224" s="287">
        <f>ROUND(P224*I224,2)</f>
        <v>1451.34</v>
      </c>
      <c r="R224" s="137"/>
      <c r="S224" s="269">
        <f>W224+Y224+AA224+AC224</f>
        <v>0</v>
      </c>
      <c r="T224" s="269">
        <f>ROUND(S224*I224,2)</f>
        <v>0</v>
      </c>
      <c r="U224" s="269">
        <f>H224-S224</f>
        <v>6</v>
      </c>
      <c r="V224" s="269">
        <f>ROUND(U224*I224,2)</f>
        <v>1451.34</v>
      </c>
      <c r="W224" s="269"/>
      <c r="X224" s="269"/>
      <c r="Y224" s="269"/>
      <c r="Z224" s="269"/>
      <c r="AA224" s="269"/>
      <c r="AB224" s="269"/>
      <c r="AC224" s="269"/>
      <c r="AD224" s="269"/>
      <c r="AR224" s="132" t="s">
        <v>1</v>
      </c>
      <c r="AS224" s="133" t="s">
        <v>40</v>
      </c>
      <c r="AU224" s="134">
        <f>AT224*H224</f>
        <v>0</v>
      </c>
      <c r="AV224" s="134">
        <v>0</v>
      </c>
      <c r="AW224" s="134">
        <f>AV224*H224</f>
        <v>0</v>
      </c>
      <c r="AX224" s="134">
        <v>0</v>
      </c>
      <c r="AY224" s="135">
        <f>AX224*H224</f>
        <v>0</v>
      </c>
      <c r="BW224" s="136" t="s">
        <v>95</v>
      </c>
      <c r="BY224" s="136" t="s">
        <v>284</v>
      </c>
      <c r="BZ224" s="136" t="s">
        <v>83</v>
      </c>
      <c r="CD224" s="16" t="s">
        <v>282</v>
      </c>
      <c r="CJ224" s="137">
        <f>IF(AS224="základní",J224,0)</f>
        <v>1451.34</v>
      </c>
      <c r="CK224" s="137">
        <f>IF(AS224="snížená",J224,0)</f>
        <v>0</v>
      </c>
      <c r="CL224" s="137">
        <f>IF(AS224="zákl. přenesená",J224,0)</f>
        <v>0</v>
      </c>
      <c r="CM224" s="137">
        <f>IF(AS224="sníž. přenesená",J224,0)</f>
        <v>0</v>
      </c>
      <c r="CN224" s="137">
        <f>IF(AS224="nulová",J224,0)</f>
        <v>0</v>
      </c>
      <c r="CO224" s="16" t="s">
        <v>81</v>
      </c>
      <c r="CP224" s="137">
        <f>ROUND(I224*H224,2)</f>
        <v>1451.34</v>
      </c>
      <c r="CQ224" s="16" t="s">
        <v>95</v>
      </c>
      <c r="CR224" s="136" t="s">
        <v>2613</v>
      </c>
    </row>
    <row r="225" spans="2:96" s="1" customFormat="1" x14ac:dyDescent="0.2">
      <c r="B225" s="31"/>
      <c r="D225" s="138" t="s">
        <v>289</v>
      </c>
      <c r="F225" s="139" t="s">
        <v>2962</v>
      </c>
      <c r="I225" s="140"/>
      <c r="L225" s="31"/>
      <c r="N225" s="213"/>
      <c r="O225" s="214"/>
      <c r="Q225" s="229"/>
      <c r="AR225" s="141"/>
      <c r="AY225" s="50"/>
      <c r="BY225" s="16" t="s">
        <v>289</v>
      </c>
      <c r="BZ225" s="16" t="s">
        <v>83</v>
      </c>
    </row>
    <row r="226" spans="2:96" s="1" customFormat="1" ht="14.45" customHeight="1" x14ac:dyDescent="0.2">
      <c r="B226" s="124"/>
      <c r="C226" s="125" t="s">
        <v>581</v>
      </c>
      <c r="D226" s="125" t="s">
        <v>284</v>
      </c>
      <c r="E226" s="126" t="s">
        <v>2963</v>
      </c>
      <c r="F226" s="127" t="s">
        <v>2964</v>
      </c>
      <c r="G226" s="128" t="s">
        <v>315</v>
      </c>
      <c r="H226" s="129">
        <v>1</v>
      </c>
      <c r="I226" s="130">
        <v>273.31909023500003</v>
      </c>
      <c r="J226" s="131">
        <f>ROUND(I226*H226,2)</f>
        <v>273.32</v>
      </c>
      <c r="K226" s="127" t="s">
        <v>1</v>
      </c>
      <c r="L226" s="268">
        <f>S226</f>
        <v>0</v>
      </c>
      <c r="M226" s="272">
        <f>ROUND(L226*I226,2)</f>
        <v>0</v>
      </c>
      <c r="N226" s="243"/>
      <c r="O226" s="294">
        <f>ROUND(N226*I226,2)</f>
        <v>0</v>
      </c>
      <c r="P226" s="273">
        <f>H226-L226-N226</f>
        <v>1</v>
      </c>
      <c r="Q226" s="287">
        <f>ROUND(P226*I226,2)</f>
        <v>273.32</v>
      </c>
      <c r="R226" s="137"/>
      <c r="S226" s="269">
        <f>W226+Y226+AA226+AC226</f>
        <v>0</v>
      </c>
      <c r="T226" s="269">
        <f>ROUND(S226*I226,2)</f>
        <v>0</v>
      </c>
      <c r="U226" s="269">
        <f>H226-S226</f>
        <v>1</v>
      </c>
      <c r="V226" s="269">
        <f>ROUND(U226*I226,2)</f>
        <v>273.32</v>
      </c>
      <c r="W226" s="269"/>
      <c r="X226" s="269"/>
      <c r="Y226" s="269"/>
      <c r="Z226" s="269"/>
      <c r="AA226" s="269"/>
      <c r="AB226" s="269"/>
      <c r="AC226" s="269"/>
      <c r="AD226" s="269"/>
      <c r="AR226" s="132" t="s">
        <v>1</v>
      </c>
      <c r="AS226" s="133" t="s">
        <v>40</v>
      </c>
      <c r="AU226" s="134">
        <f>AT226*H226</f>
        <v>0</v>
      </c>
      <c r="AV226" s="134">
        <v>0</v>
      </c>
      <c r="AW226" s="134">
        <f>AV226*H226</f>
        <v>0</v>
      </c>
      <c r="AX226" s="134">
        <v>0</v>
      </c>
      <c r="AY226" s="135">
        <f>AX226*H226</f>
        <v>0</v>
      </c>
      <c r="BW226" s="136" t="s">
        <v>95</v>
      </c>
      <c r="BY226" s="136" t="s">
        <v>284</v>
      </c>
      <c r="BZ226" s="136" t="s">
        <v>83</v>
      </c>
      <c r="CD226" s="16" t="s">
        <v>282</v>
      </c>
      <c r="CJ226" s="137">
        <f>IF(AS226="základní",J226,0)</f>
        <v>273.32</v>
      </c>
      <c r="CK226" s="137">
        <f>IF(AS226="snížená",J226,0)</f>
        <v>0</v>
      </c>
      <c r="CL226" s="137">
        <f>IF(AS226="zákl. přenesená",J226,0)</f>
        <v>0</v>
      </c>
      <c r="CM226" s="137">
        <f>IF(AS226="sníž. přenesená",J226,0)</f>
        <v>0</v>
      </c>
      <c r="CN226" s="137">
        <f>IF(AS226="nulová",J226,0)</f>
        <v>0</v>
      </c>
      <c r="CO226" s="16" t="s">
        <v>81</v>
      </c>
      <c r="CP226" s="137">
        <f>ROUND(I226*H226,2)</f>
        <v>273.32</v>
      </c>
      <c r="CQ226" s="16" t="s">
        <v>95</v>
      </c>
      <c r="CR226" s="136" t="s">
        <v>2618</v>
      </c>
    </row>
    <row r="227" spans="2:96" s="1" customFormat="1" x14ac:dyDescent="0.2">
      <c r="B227" s="31"/>
      <c r="D227" s="138" t="s">
        <v>289</v>
      </c>
      <c r="F227" s="139" t="s">
        <v>2964</v>
      </c>
      <c r="I227" s="140"/>
      <c r="L227" s="31"/>
      <c r="N227" s="213"/>
      <c r="O227" s="214"/>
      <c r="Q227" s="229"/>
      <c r="AR227" s="141"/>
      <c r="AY227" s="50"/>
      <c r="BY227" s="16" t="s">
        <v>289</v>
      </c>
      <c r="BZ227" s="16" t="s">
        <v>83</v>
      </c>
    </row>
    <row r="228" spans="2:96" s="1" customFormat="1" ht="24.2" customHeight="1" x14ac:dyDescent="0.2">
      <c r="B228" s="124"/>
      <c r="C228" s="125" t="s">
        <v>589</v>
      </c>
      <c r="D228" s="125" t="s">
        <v>284</v>
      </c>
      <c r="E228" s="126" t="s">
        <v>2965</v>
      </c>
      <c r="F228" s="127" t="s">
        <v>2966</v>
      </c>
      <c r="G228" s="128" t="s">
        <v>485</v>
      </c>
      <c r="H228" s="129">
        <v>116</v>
      </c>
      <c r="I228" s="130">
        <v>61.881601680999999</v>
      </c>
      <c r="J228" s="131">
        <f>ROUND(I228*H228,2)</f>
        <v>7178.27</v>
      </c>
      <c r="K228" s="127" t="s">
        <v>1</v>
      </c>
      <c r="L228" s="268">
        <f>S228</f>
        <v>0</v>
      </c>
      <c r="M228" s="272">
        <f>ROUND(L228*I228,2)</f>
        <v>0</v>
      </c>
      <c r="N228" s="243"/>
      <c r="O228" s="294">
        <f>ROUND(N228*I228,2)</f>
        <v>0</v>
      </c>
      <c r="P228" s="273">
        <f>H228-L228-N228</f>
        <v>116</v>
      </c>
      <c r="Q228" s="287">
        <f>ROUND(P228*I228,2)</f>
        <v>7178.27</v>
      </c>
      <c r="R228" s="137"/>
      <c r="S228" s="269">
        <f>W228+Y228+AA228+AC228</f>
        <v>0</v>
      </c>
      <c r="T228" s="269">
        <f>ROUND(S228*I228,2)</f>
        <v>0</v>
      </c>
      <c r="U228" s="269">
        <f>H228-S228</f>
        <v>116</v>
      </c>
      <c r="V228" s="269">
        <f>ROUND(U228*I228,2)</f>
        <v>7178.27</v>
      </c>
      <c r="W228" s="269"/>
      <c r="X228" s="269"/>
      <c r="Y228" s="269"/>
      <c r="Z228" s="269"/>
      <c r="AA228" s="269"/>
      <c r="AB228" s="269"/>
      <c r="AC228" s="269"/>
      <c r="AD228" s="269"/>
      <c r="AR228" s="132" t="s">
        <v>1</v>
      </c>
      <c r="AS228" s="133" t="s">
        <v>40</v>
      </c>
      <c r="AU228" s="134">
        <f>AT228*H228</f>
        <v>0</v>
      </c>
      <c r="AV228" s="134">
        <v>0</v>
      </c>
      <c r="AW228" s="134">
        <f>AV228*H228</f>
        <v>0</v>
      </c>
      <c r="AX228" s="134">
        <v>0</v>
      </c>
      <c r="AY228" s="135">
        <f>AX228*H228</f>
        <v>0</v>
      </c>
      <c r="BW228" s="136" t="s">
        <v>95</v>
      </c>
      <c r="BY228" s="136" t="s">
        <v>284</v>
      </c>
      <c r="BZ228" s="136" t="s">
        <v>83</v>
      </c>
      <c r="CD228" s="16" t="s">
        <v>282</v>
      </c>
      <c r="CJ228" s="137">
        <f>IF(AS228="základní",J228,0)</f>
        <v>7178.27</v>
      </c>
      <c r="CK228" s="137">
        <f>IF(AS228="snížená",J228,0)</f>
        <v>0</v>
      </c>
      <c r="CL228" s="137">
        <f>IF(AS228="zákl. přenesená",J228,0)</f>
        <v>0</v>
      </c>
      <c r="CM228" s="137">
        <f>IF(AS228="sníž. přenesená",J228,0)</f>
        <v>0</v>
      </c>
      <c r="CN228" s="137">
        <f>IF(AS228="nulová",J228,0)</f>
        <v>0</v>
      </c>
      <c r="CO228" s="16" t="s">
        <v>81</v>
      </c>
      <c r="CP228" s="137">
        <f>ROUND(I228*H228,2)</f>
        <v>7178.27</v>
      </c>
      <c r="CQ228" s="16" t="s">
        <v>95</v>
      </c>
      <c r="CR228" s="136" t="s">
        <v>2622</v>
      </c>
    </row>
    <row r="229" spans="2:96" s="1" customFormat="1" x14ac:dyDescent="0.2">
      <c r="B229" s="31"/>
      <c r="D229" s="138" t="s">
        <v>289</v>
      </c>
      <c r="F229" s="139" t="s">
        <v>2966</v>
      </c>
      <c r="I229" s="140"/>
      <c r="L229" s="31"/>
      <c r="N229" s="213"/>
      <c r="O229" s="214"/>
      <c r="Q229" s="229"/>
      <c r="AR229" s="141"/>
      <c r="AY229" s="50"/>
      <c r="BY229" s="16" t="s">
        <v>289</v>
      </c>
      <c r="BZ229" s="16" t="s">
        <v>83</v>
      </c>
    </row>
    <row r="230" spans="2:96" s="1" customFormat="1" ht="14.45" customHeight="1" x14ac:dyDescent="0.2">
      <c r="B230" s="124"/>
      <c r="C230" s="125" t="s">
        <v>594</v>
      </c>
      <c r="D230" s="125" t="s">
        <v>284</v>
      </c>
      <c r="E230" s="126" t="s">
        <v>2967</v>
      </c>
      <c r="F230" s="127" t="s">
        <v>2968</v>
      </c>
      <c r="G230" s="128" t="s">
        <v>315</v>
      </c>
      <c r="H230" s="129">
        <v>1</v>
      </c>
      <c r="I230" s="130">
        <v>3001.4139721189999</v>
      </c>
      <c r="J230" s="131">
        <f>ROUND(I230*H230,2)</f>
        <v>3001.41</v>
      </c>
      <c r="K230" s="127" t="s">
        <v>1</v>
      </c>
      <c r="L230" s="268">
        <f>S230</f>
        <v>0</v>
      </c>
      <c r="M230" s="272">
        <f>ROUND(L230*I230,2)</f>
        <v>0</v>
      </c>
      <c r="N230" s="243"/>
      <c r="O230" s="294">
        <f>ROUND(N230*I230,2)</f>
        <v>0</v>
      </c>
      <c r="P230" s="273">
        <f>H230-L230-N230</f>
        <v>1</v>
      </c>
      <c r="Q230" s="287">
        <f>ROUND(P230*I230,2)</f>
        <v>3001.41</v>
      </c>
      <c r="R230" s="137"/>
      <c r="S230" s="269">
        <f>W230+Y230+AA230+AC230</f>
        <v>0</v>
      </c>
      <c r="T230" s="269">
        <f>ROUND(S230*I230,2)</f>
        <v>0</v>
      </c>
      <c r="U230" s="269">
        <f>H230-S230</f>
        <v>1</v>
      </c>
      <c r="V230" s="269">
        <f>ROUND(U230*I230,2)</f>
        <v>3001.41</v>
      </c>
      <c r="W230" s="269"/>
      <c r="X230" s="269"/>
      <c r="Y230" s="269"/>
      <c r="Z230" s="269"/>
      <c r="AA230" s="269"/>
      <c r="AB230" s="269"/>
      <c r="AC230" s="269"/>
      <c r="AD230" s="269"/>
      <c r="AR230" s="132" t="s">
        <v>1</v>
      </c>
      <c r="AS230" s="133" t="s">
        <v>40</v>
      </c>
      <c r="AU230" s="134">
        <f>AT230*H230</f>
        <v>0</v>
      </c>
      <c r="AV230" s="134">
        <v>0</v>
      </c>
      <c r="AW230" s="134">
        <f>AV230*H230</f>
        <v>0</v>
      </c>
      <c r="AX230" s="134">
        <v>0</v>
      </c>
      <c r="AY230" s="135">
        <f>AX230*H230</f>
        <v>0</v>
      </c>
      <c r="BW230" s="136" t="s">
        <v>95</v>
      </c>
      <c r="BY230" s="136" t="s">
        <v>284</v>
      </c>
      <c r="BZ230" s="136" t="s">
        <v>83</v>
      </c>
      <c r="CD230" s="16" t="s">
        <v>282</v>
      </c>
      <c r="CJ230" s="137">
        <f>IF(AS230="základní",J230,0)</f>
        <v>3001.41</v>
      </c>
      <c r="CK230" s="137">
        <f>IF(AS230="snížená",J230,0)</f>
        <v>0</v>
      </c>
      <c r="CL230" s="137">
        <f>IF(AS230="zákl. přenesená",J230,0)</f>
        <v>0</v>
      </c>
      <c r="CM230" s="137">
        <f>IF(AS230="sníž. přenesená",J230,0)</f>
        <v>0</v>
      </c>
      <c r="CN230" s="137">
        <f>IF(AS230="nulová",J230,0)</f>
        <v>0</v>
      </c>
      <c r="CO230" s="16" t="s">
        <v>81</v>
      </c>
      <c r="CP230" s="137">
        <f>ROUND(I230*H230,2)</f>
        <v>3001.41</v>
      </c>
      <c r="CQ230" s="16" t="s">
        <v>95</v>
      </c>
      <c r="CR230" s="136" t="s">
        <v>2631</v>
      </c>
    </row>
    <row r="231" spans="2:96" s="1" customFormat="1" x14ac:dyDescent="0.2">
      <c r="B231" s="31"/>
      <c r="D231" s="138" t="s">
        <v>289</v>
      </c>
      <c r="F231" s="139" t="s">
        <v>2968</v>
      </c>
      <c r="I231" s="140"/>
      <c r="L231" s="31"/>
      <c r="N231" s="213"/>
      <c r="O231" s="214"/>
      <c r="Q231" s="229"/>
      <c r="AR231" s="141"/>
      <c r="AY231" s="50"/>
      <c r="BY231" s="16" t="s">
        <v>289</v>
      </c>
      <c r="BZ231" s="16" t="s">
        <v>83</v>
      </c>
    </row>
    <row r="232" spans="2:96" s="10" customFormat="1" ht="22.9" customHeight="1" x14ac:dyDescent="0.2">
      <c r="B232" s="112"/>
      <c r="D232" s="113" t="s">
        <v>73</v>
      </c>
      <c r="E232" s="122" t="s">
        <v>1985</v>
      </c>
      <c r="F232" s="122" t="s">
        <v>2969</v>
      </c>
      <c r="I232" s="115"/>
      <c r="J232" s="123">
        <f>CP232</f>
        <v>130728.38999999998</v>
      </c>
      <c r="L232" s="112"/>
      <c r="N232" s="356"/>
      <c r="O232" s="357"/>
      <c r="Q232" s="289"/>
      <c r="AR232" s="117"/>
      <c r="AU232" s="118">
        <f>AU233+AU244</f>
        <v>0</v>
      </c>
      <c r="AW232" s="118">
        <f>AW233+AW244</f>
        <v>0</v>
      </c>
      <c r="AY232" s="119">
        <f>AY233+AY244</f>
        <v>0</v>
      </c>
      <c r="BW232" s="113" t="s">
        <v>81</v>
      </c>
      <c r="BY232" s="120" t="s">
        <v>73</v>
      </c>
      <c r="BZ232" s="120" t="s">
        <v>81</v>
      </c>
      <c r="CD232" s="113" t="s">
        <v>282</v>
      </c>
      <c r="CP232" s="121">
        <f>CP233+CP244</f>
        <v>130728.38999999998</v>
      </c>
    </row>
    <row r="233" spans="2:96" s="10" customFormat="1" ht="20.85" customHeight="1" x14ac:dyDescent="0.2">
      <c r="B233" s="112"/>
      <c r="D233" s="113" t="s">
        <v>73</v>
      </c>
      <c r="E233" s="122" t="s">
        <v>2970</v>
      </c>
      <c r="F233" s="122" t="s">
        <v>2971</v>
      </c>
      <c r="I233" s="115"/>
      <c r="J233" s="123">
        <f>CP233</f>
        <v>18063.07</v>
      </c>
      <c r="L233" s="112"/>
      <c r="M233" s="270">
        <f>SUM(M234:M242)</f>
        <v>0</v>
      </c>
      <c r="N233" s="301"/>
      <c r="O233" s="302">
        <f t="shared" ref="O233:V233" si="3">SUM(O234:O242)</f>
        <v>0</v>
      </c>
      <c r="P233" s="270"/>
      <c r="Q233" s="288">
        <f t="shared" si="3"/>
        <v>18063.07</v>
      </c>
      <c r="R233" s="270"/>
      <c r="S233" s="270"/>
      <c r="T233" s="270">
        <f t="shared" si="3"/>
        <v>0</v>
      </c>
      <c r="U233" s="270"/>
      <c r="V233" s="270">
        <f t="shared" si="3"/>
        <v>18063.07</v>
      </c>
      <c r="AR233" s="117"/>
      <c r="AU233" s="118">
        <f>SUM(AU234:AU243)</f>
        <v>0</v>
      </c>
      <c r="AW233" s="118">
        <f>SUM(AW234:AW243)</f>
        <v>0</v>
      </c>
      <c r="AY233" s="119">
        <f>SUM(AY234:AY243)</f>
        <v>0</v>
      </c>
      <c r="BW233" s="113" t="s">
        <v>81</v>
      </c>
      <c r="BY233" s="120" t="s">
        <v>73</v>
      </c>
      <c r="BZ233" s="120" t="s">
        <v>83</v>
      </c>
      <c r="CD233" s="113" t="s">
        <v>282</v>
      </c>
      <c r="CP233" s="121">
        <f>SUM(CP234:CP243)</f>
        <v>18063.07</v>
      </c>
    </row>
    <row r="234" spans="2:96" s="1" customFormat="1" ht="14.45" customHeight="1" x14ac:dyDescent="0.2">
      <c r="B234" s="124"/>
      <c r="C234" s="125" t="s">
        <v>599</v>
      </c>
      <c r="D234" s="125" t="s">
        <v>284</v>
      </c>
      <c r="E234" s="126" t="s">
        <v>2972</v>
      </c>
      <c r="F234" s="127" t="s">
        <v>2973</v>
      </c>
      <c r="G234" s="128" t="s">
        <v>315</v>
      </c>
      <c r="H234" s="129">
        <v>1</v>
      </c>
      <c r="I234" s="130">
        <v>7738.2502446790004</v>
      </c>
      <c r="J234" s="131">
        <f>ROUND(I234*H234,2)</f>
        <v>7738.25</v>
      </c>
      <c r="K234" s="127" t="s">
        <v>1</v>
      </c>
      <c r="L234" s="268">
        <f>S234</f>
        <v>0</v>
      </c>
      <c r="M234" s="272">
        <f>ROUND(L234*I234,2)</f>
        <v>0</v>
      </c>
      <c r="N234" s="243"/>
      <c r="O234" s="294">
        <f>ROUND(N234*I234,2)</f>
        <v>0</v>
      </c>
      <c r="P234" s="273">
        <f>H234-L234-N234</f>
        <v>1</v>
      </c>
      <c r="Q234" s="287">
        <f>ROUND(P234*I234,2)</f>
        <v>7738.25</v>
      </c>
      <c r="R234" s="137"/>
      <c r="S234" s="269">
        <f>W234+Y234+AA234+AC234</f>
        <v>0</v>
      </c>
      <c r="T234" s="269">
        <f>ROUND(S234*I234,2)</f>
        <v>0</v>
      </c>
      <c r="U234" s="269">
        <f>H234-S234</f>
        <v>1</v>
      </c>
      <c r="V234" s="269">
        <f>ROUND(U234*I234,2)</f>
        <v>7738.25</v>
      </c>
      <c r="W234" s="269"/>
      <c r="X234" s="269"/>
      <c r="Y234" s="269"/>
      <c r="Z234" s="269"/>
      <c r="AA234" s="269"/>
      <c r="AB234" s="269"/>
      <c r="AC234" s="269"/>
      <c r="AD234" s="269"/>
      <c r="AR234" s="132" t="s">
        <v>1</v>
      </c>
      <c r="AS234" s="133" t="s">
        <v>40</v>
      </c>
      <c r="AU234" s="134">
        <f>AT234*H234</f>
        <v>0</v>
      </c>
      <c r="AV234" s="134">
        <v>0</v>
      </c>
      <c r="AW234" s="134">
        <f>AV234*H234</f>
        <v>0</v>
      </c>
      <c r="AX234" s="134">
        <v>0</v>
      </c>
      <c r="AY234" s="135">
        <f>AX234*H234</f>
        <v>0</v>
      </c>
      <c r="BW234" s="136" t="s">
        <v>95</v>
      </c>
      <c r="BY234" s="136" t="s">
        <v>284</v>
      </c>
      <c r="BZ234" s="136" t="s">
        <v>90</v>
      </c>
      <c r="CD234" s="16" t="s">
        <v>282</v>
      </c>
      <c r="CJ234" s="137">
        <f>IF(AS234="základní",J234,0)</f>
        <v>7738.25</v>
      </c>
      <c r="CK234" s="137">
        <f>IF(AS234="snížená",J234,0)</f>
        <v>0</v>
      </c>
      <c r="CL234" s="137">
        <f>IF(AS234="zákl. přenesená",J234,0)</f>
        <v>0</v>
      </c>
      <c r="CM234" s="137">
        <f>IF(AS234="sníž. přenesená",J234,0)</f>
        <v>0</v>
      </c>
      <c r="CN234" s="137">
        <f>IF(AS234="nulová",J234,0)</f>
        <v>0</v>
      </c>
      <c r="CO234" s="16" t="s">
        <v>81</v>
      </c>
      <c r="CP234" s="137">
        <f>ROUND(I234*H234,2)</f>
        <v>7738.25</v>
      </c>
      <c r="CQ234" s="16" t="s">
        <v>95</v>
      </c>
      <c r="CR234" s="136" t="s">
        <v>2636</v>
      </c>
    </row>
    <row r="235" spans="2:96" s="1" customFormat="1" x14ac:dyDescent="0.2">
      <c r="B235" s="31"/>
      <c r="D235" s="138" t="s">
        <v>289</v>
      </c>
      <c r="F235" s="139" t="s">
        <v>2973</v>
      </c>
      <c r="I235" s="140"/>
      <c r="L235" s="31"/>
      <c r="N235" s="213"/>
      <c r="O235" s="214"/>
      <c r="Q235" s="229"/>
      <c r="AR235" s="141"/>
      <c r="AY235" s="50"/>
      <c r="BY235" s="16" t="s">
        <v>289</v>
      </c>
      <c r="BZ235" s="16" t="s">
        <v>90</v>
      </c>
    </row>
    <row r="236" spans="2:96" s="1" customFormat="1" ht="14.45" customHeight="1" x14ac:dyDescent="0.2">
      <c r="B236" s="124"/>
      <c r="C236" s="125" t="s">
        <v>604</v>
      </c>
      <c r="D236" s="125" t="s">
        <v>284</v>
      </c>
      <c r="E236" s="126" t="s">
        <v>2974</v>
      </c>
      <c r="F236" s="127" t="s">
        <v>2975</v>
      </c>
      <c r="G236" s="128" t="s">
        <v>1948</v>
      </c>
      <c r="H236" s="129">
        <v>1</v>
      </c>
      <c r="I236" s="130">
        <v>3574.953078469</v>
      </c>
      <c r="J236" s="131">
        <f>ROUND(I236*H236,2)</f>
        <v>3574.95</v>
      </c>
      <c r="K236" s="127" t="s">
        <v>1</v>
      </c>
      <c r="L236" s="268">
        <f>S236</f>
        <v>0</v>
      </c>
      <c r="M236" s="272">
        <f>ROUND(L236*I236,2)</f>
        <v>0</v>
      </c>
      <c r="N236" s="243"/>
      <c r="O236" s="294">
        <f>ROUND(N236*I236,2)</f>
        <v>0</v>
      </c>
      <c r="P236" s="273">
        <f>H236-L236-N236</f>
        <v>1</v>
      </c>
      <c r="Q236" s="287">
        <f>ROUND(P236*I236,2)</f>
        <v>3574.95</v>
      </c>
      <c r="R236" s="137"/>
      <c r="S236" s="269">
        <f>W236+Y236+AA236+AC236</f>
        <v>0</v>
      </c>
      <c r="T236" s="269">
        <f>ROUND(S236*I236,2)</f>
        <v>0</v>
      </c>
      <c r="U236" s="269">
        <f>H236-S236</f>
        <v>1</v>
      </c>
      <c r="V236" s="269">
        <f>ROUND(U236*I236,2)</f>
        <v>3574.95</v>
      </c>
      <c r="W236" s="269"/>
      <c r="X236" s="269"/>
      <c r="Y236" s="269"/>
      <c r="Z236" s="269"/>
      <c r="AA236" s="269"/>
      <c r="AB236" s="269"/>
      <c r="AC236" s="269"/>
      <c r="AD236" s="269"/>
      <c r="AR236" s="132" t="s">
        <v>1</v>
      </c>
      <c r="AS236" s="133" t="s">
        <v>40</v>
      </c>
      <c r="AU236" s="134">
        <f>AT236*H236</f>
        <v>0</v>
      </c>
      <c r="AV236" s="134">
        <v>0</v>
      </c>
      <c r="AW236" s="134">
        <f>AV236*H236</f>
        <v>0</v>
      </c>
      <c r="AX236" s="134">
        <v>0</v>
      </c>
      <c r="AY236" s="135">
        <f>AX236*H236</f>
        <v>0</v>
      </c>
      <c r="BW236" s="136" t="s">
        <v>95</v>
      </c>
      <c r="BY236" s="136" t="s">
        <v>284</v>
      </c>
      <c r="BZ236" s="136" t="s">
        <v>90</v>
      </c>
      <c r="CD236" s="16" t="s">
        <v>282</v>
      </c>
      <c r="CJ236" s="137">
        <f>IF(AS236="základní",J236,0)</f>
        <v>3574.95</v>
      </c>
      <c r="CK236" s="137">
        <f>IF(AS236="snížená",J236,0)</f>
        <v>0</v>
      </c>
      <c r="CL236" s="137">
        <f>IF(AS236="zákl. přenesená",J236,0)</f>
        <v>0</v>
      </c>
      <c r="CM236" s="137">
        <f>IF(AS236="sníž. přenesená",J236,0)</f>
        <v>0</v>
      </c>
      <c r="CN236" s="137">
        <f>IF(AS236="nulová",J236,0)</f>
        <v>0</v>
      </c>
      <c r="CO236" s="16" t="s">
        <v>81</v>
      </c>
      <c r="CP236" s="137">
        <f>ROUND(I236*H236,2)</f>
        <v>3574.95</v>
      </c>
      <c r="CQ236" s="16" t="s">
        <v>95</v>
      </c>
      <c r="CR236" s="136" t="s">
        <v>2639</v>
      </c>
    </row>
    <row r="237" spans="2:96" s="1" customFormat="1" x14ac:dyDescent="0.2">
      <c r="B237" s="31"/>
      <c r="D237" s="138" t="s">
        <v>289</v>
      </c>
      <c r="F237" s="139" t="s">
        <v>2975</v>
      </c>
      <c r="I237" s="140"/>
      <c r="L237" s="31"/>
      <c r="N237" s="213"/>
      <c r="O237" s="214"/>
      <c r="Q237" s="229"/>
      <c r="AR237" s="141"/>
      <c r="AY237" s="50"/>
      <c r="BY237" s="16" t="s">
        <v>289</v>
      </c>
      <c r="BZ237" s="16" t="s">
        <v>90</v>
      </c>
    </row>
    <row r="238" spans="2:96" s="1" customFormat="1" ht="14.45" customHeight="1" x14ac:dyDescent="0.2">
      <c r="B238" s="124"/>
      <c r="C238" s="125" t="s">
        <v>609</v>
      </c>
      <c r="D238" s="125" t="s">
        <v>284</v>
      </c>
      <c r="E238" s="126" t="s">
        <v>2976</v>
      </c>
      <c r="F238" s="127" t="s">
        <v>1986</v>
      </c>
      <c r="G238" s="128" t="s">
        <v>1948</v>
      </c>
      <c r="H238" s="129">
        <v>1</v>
      </c>
      <c r="I238" s="130">
        <v>1385.7765691</v>
      </c>
      <c r="J238" s="131">
        <f>ROUND(I238*H238,2)</f>
        <v>1385.78</v>
      </c>
      <c r="K238" s="127" t="s">
        <v>1</v>
      </c>
      <c r="L238" s="268">
        <f>S238</f>
        <v>0</v>
      </c>
      <c r="M238" s="272">
        <f>ROUND(L238*I238,2)</f>
        <v>0</v>
      </c>
      <c r="N238" s="243"/>
      <c r="O238" s="294">
        <f>ROUND(N238*I238,2)</f>
        <v>0</v>
      </c>
      <c r="P238" s="273">
        <f>H238-L238-N238</f>
        <v>1</v>
      </c>
      <c r="Q238" s="287">
        <f>ROUND(P238*I238,2)</f>
        <v>1385.78</v>
      </c>
      <c r="R238" s="137"/>
      <c r="S238" s="269">
        <f>W238+Y238+AA238+AC238</f>
        <v>0</v>
      </c>
      <c r="T238" s="269">
        <f>ROUND(S238*I238,2)</f>
        <v>0</v>
      </c>
      <c r="U238" s="269">
        <f>H238-S238</f>
        <v>1</v>
      </c>
      <c r="V238" s="269">
        <f>ROUND(U238*I238,2)</f>
        <v>1385.78</v>
      </c>
      <c r="W238" s="269"/>
      <c r="X238" s="269"/>
      <c r="Y238" s="269"/>
      <c r="Z238" s="269"/>
      <c r="AA238" s="269"/>
      <c r="AB238" s="269"/>
      <c r="AC238" s="269"/>
      <c r="AD238" s="269"/>
      <c r="AR238" s="132" t="s">
        <v>1</v>
      </c>
      <c r="AS238" s="133" t="s">
        <v>40</v>
      </c>
      <c r="AU238" s="134">
        <f>AT238*H238</f>
        <v>0</v>
      </c>
      <c r="AV238" s="134">
        <v>0</v>
      </c>
      <c r="AW238" s="134">
        <f>AV238*H238</f>
        <v>0</v>
      </c>
      <c r="AX238" s="134">
        <v>0</v>
      </c>
      <c r="AY238" s="135">
        <f>AX238*H238</f>
        <v>0</v>
      </c>
      <c r="BW238" s="136" t="s">
        <v>95</v>
      </c>
      <c r="BY238" s="136" t="s">
        <v>284</v>
      </c>
      <c r="BZ238" s="136" t="s">
        <v>90</v>
      </c>
      <c r="CD238" s="16" t="s">
        <v>282</v>
      </c>
      <c r="CJ238" s="137">
        <f>IF(AS238="základní",J238,0)</f>
        <v>1385.78</v>
      </c>
      <c r="CK238" s="137">
        <f>IF(AS238="snížená",J238,0)</f>
        <v>0</v>
      </c>
      <c r="CL238" s="137">
        <f>IF(AS238="zákl. přenesená",J238,0)</f>
        <v>0</v>
      </c>
      <c r="CM238" s="137">
        <f>IF(AS238="sníž. přenesená",J238,0)</f>
        <v>0</v>
      </c>
      <c r="CN238" s="137">
        <f>IF(AS238="nulová",J238,0)</f>
        <v>0</v>
      </c>
      <c r="CO238" s="16" t="s">
        <v>81</v>
      </c>
      <c r="CP238" s="137">
        <f>ROUND(I238*H238,2)</f>
        <v>1385.78</v>
      </c>
      <c r="CQ238" s="16" t="s">
        <v>95</v>
      </c>
      <c r="CR238" s="136" t="s">
        <v>2385</v>
      </c>
    </row>
    <row r="239" spans="2:96" s="1" customFormat="1" x14ac:dyDescent="0.2">
      <c r="B239" s="31"/>
      <c r="D239" s="138" t="s">
        <v>289</v>
      </c>
      <c r="F239" s="139" t="s">
        <v>1986</v>
      </c>
      <c r="I239" s="140"/>
      <c r="L239" s="31"/>
      <c r="N239" s="213"/>
      <c r="O239" s="214"/>
      <c r="Q239" s="229"/>
      <c r="AR239" s="141"/>
      <c r="AY239" s="50"/>
      <c r="BY239" s="16" t="s">
        <v>289</v>
      </c>
      <c r="BZ239" s="16" t="s">
        <v>90</v>
      </c>
    </row>
    <row r="240" spans="2:96" s="1" customFormat="1" ht="14.45" customHeight="1" x14ac:dyDescent="0.2">
      <c r="B240" s="124"/>
      <c r="C240" s="125" t="s">
        <v>614</v>
      </c>
      <c r="D240" s="125" t="s">
        <v>284</v>
      </c>
      <c r="E240" s="126" t="s">
        <v>2977</v>
      </c>
      <c r="F240" s="127" t="s">
        <v>2978</v>
      </c>
      <c r="G240" s="128" t="s">
        <v>1948</v>
      </c>
      <c r="H240" s="129">
        <v>1</v>
      </c>
      <c r="I240" s="130">
        <v>1650.9969650999999</v>
      </c>
      <c r="J240" s="131">
        <f>ROUND(I240*H240,2)</f>
        <v>1651</v>
      </c>
      <c r="K240" s="127" t="s">
        <v>1</v>
      </c>
      <c r="L240" s="268">
        <f>S240</f>
        <v>0</v>
      </c>
      <c r="M240" s="272">
        <f>ROUND(L240*I240,2)</f>
        <v>0</v>
      </c>
      <c r="N240" s="243"/>
      <c r="O240" s="294">
        <f>ROUND(N240*I240,2)</f>
        <v>0</v>
      </c>
      <c r="P240" s="273">
        <f>H240-L240-N240</f>
        <v>1</v>
      </c>
      <c r="Q240" s="287">
        <f>ROUND(P240*I240,2)</f>
        <v>1651</v>
      </c>
      <c r="R240" s="137"/>
      <c r="S240" s="269">
        <f>W240+Y240+AA240+AC240</f>
        <v>0</v>
      </c>
      <c r="T240" s="269">
        <f>ROUND(S240*I240,2)</f>
        <v>0</v>
      </c>
      <c r="U240" s="269">
        <f>H240-S240</f>
        <v>1</v>
      </c>
      <c r="V240" s="269">
        <f>ROUND(U240*I240,2)</f>
        <v>1651</v>
      </c>
      <c r="W240" s="269"/>
      <c r="X240" s="269"/>
      <c r="Y240" s="269"/>
      <c r="Z240" s="269"/>
      <c r="AA240" s="269"/>
      <c r="AB240" s="269"/>
      <c r="AC240" s="269"/>
      <c r="AD240" s="269"/>
      <c r="AR240" s="132" t="s">
        <v>1</v>
      </c>
      <c r="AS240" s="133" t="s">
        <v>40</v>
      </c>
      <c r="AU240" s="134">
        <f>AT240*H240</f>
        <v>0</v>
      </c>
      <c r="AV240" s="134">
        <v>0</v>
      </c>
      <c r="AW240" s="134">
        <f>AV240*H240</f>
        <v>0</v>
      </c>
      <c r="AX240" s="134">
        <v>0</v>
      </c>
      <c r="AY240" s="135">
        <f>AX240*H240</f>
        <v>0</v>
      </c>
      <c r="BW240" s="136" t="s">
        <v>95</v>
      </c>
      <c r="BY240" s="136" t="s">
        <v>284</v>
      </c>
      <c r="BZ240" s="136" t="s">
        <v>90</v>
      </c>
      <c r="CD240" s="16" t="s">
        <v>282</v>
      </c>
      <c r="CJ240" s="137">
        <f>IF(AS240="základní",J240,0)</f>
        <v>1651</v>
      </c>
      <c r="CK240" s="137">
        <f>IF(AS240="snížená",J240,0)</f>
        <v>0</v>
      </c>
      <c r="CL240" s="137">
        <f>IF(AS240="zákl. přenesená",J240,0)</f>
        <v>0</v>
      </c>
      <c r="CM240" s="137">
        <f>IF(AS240="sníž. přenesená",J240,0)</f>
        <v>0</v>
      </c>
      <c r="CN240" s="137">
        <f>IF(AS240="nulová",J240,0)</f>
        <v>0</v>
      </c>
      <c r="CO240" s="16" t="s">
        <v>81</v>
      </c>
      <c r="CP240" s="137">
        <f>ROUND(I240*H240,2)</f>
        <v>1651</v>
      </c>
      <c r="CQ240" s="16" t="s">
        <v>95</v>
      </c>
      <c r="CR240" s="136" t="s">
        <v>2645</v>
      </c>
    </row>
    <row r="241" spans="2:96" s="1" customFormat="1" x14ac:dyDescent="0.2">
      <c r="B241" s="31"/>
      <c r="D241" s="138" t="s">
        <v>289</v>
      </c>
      <c r="F241" s="139" t="s">
        <v>2978</v>
      </c>
      <c r="I241" s="140"/>
      <c r="L241" s="31"/>
      <c r="N241" s="213"/>
      <c r="O241" s="214"/>
      <c r="Q241" s="229"/>
      <c r="AR241" s="141"/>
      <c r="AY241" s="50"/>
      <c r="BY241" s="16" t="s">
        <v>289</v>
      </c>
      <c r="BZ241" s="16" t="s">
        <v>90</v>
      </c>
    </row>
    <row r="242" spans="2:96" s="1" customFormat="1" ht="14.45" customHeight="1" x14ac:dyDescent="0.2">
      <c r="B242" s="124"/>
      <c r="C242" s="125" t="s">
        <v>618</v>
      </c>
      <c r="D242" s="125" t="s">
        <v>284</v>
      </c>
      <c r="E242" s="126" t="s">
        <v>2979</v>
      </c>
      <c r="F242" s="127" t="s">
        <v>2980</v>
      </c>
      <c r="G242" s="128" t="s">
        <v>1948</v>
      </c>
      <c r="H242" s="129">
        <v>1</v>
      </c>
      <c r="I242" s="130">
        <v>3713.085544</v>
      </c>
      <c r="J242" s="131">
        <f>ROUND(I242*H242,2)</f>
        <v>3713.09</v>
      </c>
      <c r="K242" s="127" t="s">
        <v>1</v>
      </c>
      <c r="L242" s="268">
        <f>S242</f>
        <v>0</v>
      </c>
      <c r="M242" s="272">
        <f>ROUND(L242*I242,2)</f>
        <v>0</v>
      </c>
      <c r="N242" s="243"/>
      <c r="O242" s="294">
        <f>ROUND(N242*I242,2)</f>
        <v>0</v>
      </c>
      <c r="P242" s="273">
        <f>H242-L242-N242</f>
        <v>1</v>
      </c>
      <c r="Q242" s="287">
        <f>ROUND(P242*I242,2)</f>
        <v>3713.09</v>
      </c>
      <c r="R242" s="137"/>
      <c r="S242" s="269">
        <f>W242+Y242+AA242+AC242</f>
        <v>0</v>
      </c>
      <c r="T242" s="269">
        <f>ROUND(S242*I242,2)</f>
        <v>0</v>
      </c>
      <c r="U242" s="269">
        <f>H242-S242</f>
        <v>1</v>
      </c>
      <c r="V242" s="269">
        <f>ROUND(U242*I242,2)</f>
        <v>3713.09</v>
      </c>
      <c r="W242" s="269"/>
      <c r="X242" s="269"/>
      <c r="Y242" s="269"/>
      <c r="Z242" s="269"/>
      <c r="AA242" s="269"/>
      <c r="AB242" s="269"/>
      <c r="AC242" s="269"/>
      <c r="AD242" s="269"/>
      <c r="AR242" s="132" t="s">
        <v>1</v>
      </c>
      <c r="AS242" s="133" t="s">
        <v>40</v>
      </c>
      <c r="AU242" s="134">
        <f>AT242*H242</f>
        <v>0</v>
      </c>
      <c r="AV242" s="134">
        <v>0</v>
      </c>
      <c r="AW242" s="134">
        <f>AV242*H242</f>
        <v>0</v>
      </c>
      <c r="AX242" s="134">
        <v>0</v>
      </c>
      <c r="AY242" s="135">
        <f>AX242*H242</f>
        <v>0</v>
      </c>
      <c r="BW242" s="136" t="s">
        <v>95</v>
      </c>
      <c r="BY242" s="136" t="s">
        <v>284</v>
      </c>
      <c r="BZ242" s="136" t="s">
        <v>90</v>
      </c>
      <c r="CD242" s="16" t="s">
        <v>282</v>
      </c>
      <c r="CJ242" s="137">
        <f>IF(AS242="základní",J242,0)</f>
        <v>3713.09</v>
      </c>
      <c r="CK242" s="137">
        <f>IF(AS242="snížená",J242,0)</f>
        <v>0</v>
      </c>
      <c r="CL242" s="137">
        <f>IF(AS242="zákl. přenesená",J242,0)</f>
        <v>0</v>
      </c>
      <c r="CM242" s="137">
        <f>IF(AS242="sníž. přenesená",J242,0)</f>
        <v>0</v>
      </c>
      <c r="CN242" s="137">
        <f>IF(AS242="nulová",J242,0)</f>
        <v>0</v>
      </c>
      <c r="CO242" s="16" t="s">
        <v>81</v>
      </c>
      <c r="CP242" s="137">
        <f>ROUND(I242*H242,2)</f>
        <v>3713.09</v>
      </c>
      <c r="CQ242" s="16" t="s">
        <v>95</v>
      </c>
      <c r="CR242" s="136" t="s">
        <v>2981</v>
      </c>
    </row>
    <row r="243" spans="2:96" s="1" customFormat="1" x14ac:dyDescent="0.2">
      <c r="B243" s="31"/>
      <c r="D243" s="138" t="s">
        <v>289</v>
      </c>
      <c r="F243" s="139" t="s">
        <v>2980</v>
      </c>
      <c r="I243" s="140"/>
      <c r="L243" s="31"/>
      <c r="N243" s="213"/>
      <c r="O243" s="214"/>
      <c r="Q243" s="229"/>
      <c r="AR243" s="141"/>
      <c r="AY243" s="50"/>
      <c r="BY243" s="16" t="s">
        <v>289</v>
      </c>
      <c r="BZ243" s="16" t="s">
        <v>90</v>
      </c>
    </row>
    <row r="244" spans="2:96" s="10" customFormat="1" ht="20.85" customHeight="1" x14ac:dyDescent="0.2">
      <c r="B244" s="112"/>
      <c r="D244" s="113" t="s">
        <v>73</v>
      </c>
      <c r="E244" s="122" t="s">
        <v>2982</v>
      </c>
      <c r="F244" s="122" t="s">
        <v>2983</v>
      </c>
      <c r="I244" s="115"/>
      <c r="J244" s="123">
        <f>CP244</f>
        <v>112665.31999999999</v>
      </c>
      <c r="L244" s="112"/>
      <c r="M244" s="270">
        <f>SUM(M245:M273)</f>
        <v>0</v>
      </c>
      <c r="N244" s="301"/>
      <c r="O244" s="302">
        <f t="shared" ref="O244:V244" si="4">SUM(O245:O273)</f>
        <v>0</v>
      </c>
      <c r="P244" s="270"/>
      <c r="Q244" s="288">
        <f t="shared" si="4"/>
        <v>112665.31999999999</v>
      </c>
      <c r="R244" s="270"/>
      <c r="S244" s="270"/>
      <c r="T244" s="270">
        <f t="shared" si="4"/>
        <v>0</v>
      </c>
      <c r="U244" s="270"/>
      <c r="V244" s="270">
        <f t="shared" si="4"/>
        <v>112665.31999999999</v>
      </c>
      <c r="AR244" s="117"/>
      <c r="AU244" s="118">
        <f>SUM(AU245:AU274)</f>
        <v>0</v>
      </c>
      <c r="AW244" s="118">
        <f>SUM(AW245:AW274)</f>
        <v>0</v>
      </c>
      <c r="AY244" s="119">
        <f>SUM(AY245:AY274)</f>
        <v>0</v>
      </c>
      <c r="BW244" s="113" t="s">
        <v>81</v>
      </c>
      <c r="BY244" s="120" t="s">
        <v>73</v>
      </c>
      <c r="BZ244" s="120" t="s">
        <v>83</v>
      </c>
      <c r="CD244" s="113" t="s">
        <v>282</v>
      </c>
      <c r="CP244" s="121">
        <f>SUM(CP245:CP274)</f>
        <v>112665.31999999999</v>
      </c>
    </row>
    <row r="245" spans="2:96" s="1" customFormat="1" ht="37.9" customHeight="1" x14ac:dyDescent="0.2">
      <c r="B245" s="124"/>
      <c r="C245" s="125" t="s">
        <v>622</v>
      </c>
      <c r="D245" s="125" t="s">
        <v>284</v>
      </c>
      <c r="E245" s="126" t="s">
        <v>2984</v>
      </c>
      <c r="F245" s="127" t="s">
        <v>2985</v>
      </c>
      <c r="G245" s="128" t="s">
        <v>1948</v>
      </c>
      <c r="H245" s="129">
        <v>1</v>
      </c>
      <c r="I245" s="130">
        <v>78358.257755831</v>
      </c>
      <c r="J245" s="131">
        <f>ROUND(I245*H245,2)</f>
        <v>78358.259999999995</v>
      </c>
      <c r="K245" s="127" t="s">
        <v>1</v>
      </c>
      <c r="L245" s="268">
        <f>S245</f>
        <v>0</v>
      </c>
      <c r="M245" s="272">
        <f>ROUND(L245*I245,2)</f>
        <v>0</v>
      </c>
      <c r="N245" s="243"/>
      <c r="O245" s="294">
        <f>ROUND(N245*I245,2)</f>
        <v>0</v>
      </c>
      <c r="P245" s="273">
        <f>H245-L245-N245</f>
        <v>1</v>
      </c>
      <c r="Q245" s="287">
        <f>ROUND(P245*I245,2)</f>
        <v>78358.259999999995</v>
      </c>
      <c r="R245" s="137"/>
      <c r="S245" s="269">
        <f>W245+Y245+AA245+AC245</f>
        <v>0</v>
      </c>
      <c r="T245" s="269">
        <f>ROUND(S245*I245,2)</f>
        <v>0</v>
      </c>
      <c r="U245" s="269">
        <f>H245-S245</f>
        <v>1</v>
      </c>
      <c r="V245" s="269">
        <f>ROUND(U245*I245,2)</f>
        <v>78358.259999999995</v>
      </c>
      <c r="W245" s="269"/>
      <c r="X245" s="269"/>
      <c r="Y245" s="269"/>
      <c r="Z245" s="269"/>
      <c r="AA245" s="269"/>
      <c r="AB245" s="269"/>
      <c r="AC245" s="269"/>
      <c r="AD245" s="269"/>
      <c r="AR245" s="132" t="s">
        <v>1</v>
      </c>
      <c r="AS245" s="133" t="s">
        <v>40</v>
      </c>
      <c r="AU245" s="134">
        <f>AT245*H245</f>
        <v>0</v>
      </c>
      <c r="AV245" s="134">
        <v>0</v>
      </c>
      <c r="AW245" s="134">
        <f>AV245*H245</f>
        <v>0</v>
      </c>
      <c r="AX245" s="134">
        <v>0</v>
      </c>
      <c r="AY245" s="135">
        <f>AX245*H245</f>
        <v>0</v>
      </c>
      <c r="BW245" s="136" t="s">
        <v>95</v>
      </c>
      <c r="BY245" s="136" t="s">
        <v>284</v>
      </c>
      <c r="BZ245" s="136" t="s">
        <v>90</v>
      </c>
      <c r="CD245" s="16" t="s">
        <v>282</v>
      </c>
      <c r="CJ245" s="137">
        <f>IF(AS245="základní",J245,0)</f>
        <v>78358.259999999995</v>
      </c>
      <c r="CK245" s="137">
        <f>IF(AS245="snížená",J245,0)</f>
        <v>0</v>
      </c>
      <c r="CL245" s="137">
        <f>IF(AS245="zákl. přenesená",J245,0)</f>
        <v>0</v>
      </c>
      <c r="CM245" s="137">
        <f>IF(AS245="sníž. přenesená",J245,0)</f>
        <v>0</v>
      </c>
      <c r="CN245" s="137">
        <f>IF(AS245="nulová",J245,0)</f>
        <v>0</v>
      </c>
      <c r="CO245" s="16" t="s">
        <v>81</v>
      </c>
      <c r="CP245" s="137">
        <f>ROUND(I245*H245,2)</f>
        <v>78358.259999999995</v>
      </c>
      <c r="CQ245" s="16" t="s">
        <v>95</v>
      </c>
      <c r="CR245" s="136" t="s">
        <v>2986</v>
      </c>
    </row>
    <row r="246" spans="2:96" s="1" customFormat="1" ht="19.5" x14ac:dyDescent="0.2">
      <c r="B246" s="31"/>
      <c r="D246" s="138" t="s">
        <v>289</v>
      </c>
      <c r="F246" s="139" t="s">
        <v>2985</v>
      </c>
      <c r="I246" s="140"/>
      <c r="L246" s="31"/>
      <c r="N246" s="213"/>
      <c r="O246" s="214"/>
      <c r="Q246" s="229"/>
      <c r="AR246" s="141"/>
      <c r="AY246" s="50"/>
      <c r="BY246" s="16" t="s">
        <v>289</v>
      </c>
      <c r="BZ246" s="16" t="s">
        <v>90</v>
      </c>
    </row>
    <row r="247" spans="2:96" s="1" customFormat="1" ht="24.2" customHeight="1" x14ac:dyDescent="0.2">
      <c r="B247" s="124"/>
      <c r="C247" s="125" t="s">
        <v>627</v>
      </c>
      <c r="D247" s="125" t="s">
        <v>284</v>
      </c>
      <c r="E247" s="126" t="s">
        <v>2987</v>
      </c>
      <c r="F247" s="127" t="s">
        <v>2988</v>
      </c>
      <c r="G247" s="128" t="s">
        <v>315</v>
      </c>
      <c r="H247" s="129">
        <v>1</v>
      </c>
      <c r="I247" s="130">
        <v>4985.9918902879999</v>
      </c>
      <c r="J247" s="131">
        <f>ROUND(I247*H247,2)</f>
        <v>4985.99</v>
      </c>
      <c r="K247" s="127" t="s">
        <v>1</v>
      </c>
      <c r="L247" s="268">
        <f>S247</f>
        <v>0</v>
      </c>
      <c r="M247" s="272">
        <f>ROUND(L247*I247,2)</f>
        <v>0</v>
      </c>
      <c r="N247" s="243"/>
      <c r="O247" s="294">
        <f>ROUND(N247*I247,2)</f>
        <v>0</v>
      </c>
      <c r="P247" s="273">
        <f>H247-L247-N247</f>
        <v>1</v>
      </c>
      <c r="Q247" s="287">
        <f>ROUND(P247*I247,2)</f>
        <v>4985.99</v>
      </c>
      <c r="R247" s="137"/>
      <c r="S247" s="269">
        <f>W247+Y247+AA247+AC247</f>
        <v>0</v>
      </c>
      <c r="T247" s="269">
        <f>ROUND(S247*I247,2)</f>
        <v>0</v>
      </c>
      <c r="U247" s="269">
        <f>H247-S247</f>
        <v>1</v>
      </c>
      <c r="V247" s="269">
        <f>ROUND(U247*I247,2)</f>
        <v>4985.99</v>
      </c>
      <c r="W247" s="269"/>
      <c r="X247" s="269"/>
      <c r="Y247" s="269"/>
      <c r="Z247" s="269"/>
      <c r="AA247" s="269"/>
      <c r="AB247" s="269"/>
      <c r="AC247" s="269"/>
      <c r="AD247" s="269"/>
      <c r="AR247" s="132" t="s">
        <v>1</v>
      </c>
      <c r="AS247" s="133" t="s">
        <v>40</v>
      </c>
      <c r="AU247" s="134">
        <f>AT247*H247</f>
        <v>0</v>
      </c>
      <c r="AV247" s="134">
        <v>0</v>
      </c>
      <c r="AW247" s="134">
        <f>AV247*H247</f>
        <v>0</v>
      </c>
      <c r="AX247" s="134">
        <v>0</v>
      </c>
      <c r="AY247" s="135">
        <f>AX247*H247</f>
        <v>0</v>
      </c>
      <c r="BW247" s="136" t="s">
        <v>95</v>
      </c>
      <c r="BY247" s="136" t="s">
        <v>284</v>
      </c>
      <c r="BZ247" s="136" t="s">
        <v>90</v>
      </c>
      <c r="CD247" s="16" t="s">
        <v>282</v>
      </c>
      <c r="CJ247" s="137">
        <f>IF(AS247="základní",J247,0)</f>
        <v>4985.99</v>
      </c>
      <c r="CK247" s="137">
        <f>IF(AS247="snížená",J247,0)</f>
        <v>0</v>
      </c>
      <c r="CL247" s="137">
        <f>IF(AS247="zákl. přenesená",J247,0)</f>
        <v>0</v>
      </c>
      <c r="CM247" s="137">
        <f>IF(AS247="sníž. přenesená",J247,0)</f>
        <v>0</v>
      </c>
      <c r="CN247" s="137">
        <f>IF(AS247="nulová",J247,0)</f>
        <v>0</v>
      </c>
      <c r="CO247" s="16" t="s">
        <v>81</v>
      </c>
      <c r="CP247" s="137">
        <f>ROUND(I247*H247,2)</f>
        <v>4985.99</v>
      </c>
      <c r="CQ247" s="16" t="s">
        <v>95</v>
      </c>
      <c r="CR247" s="136" t="s">
        <v>2989</v>
      </c>
    </row>
    <row r="248" spans="2:96" s="1" customFormat="1" x14ac:dyDescent="0.2">
      <c r="B248" s="31"/>
      <c r="D248" s="138" t="s">
        <v>289</v>
      </c>
      <c r="F248" s="139" t="s">
        <v>2988</v>
      </c>
      <c r="I248" s="140"/>
      <c r="L248" s="31"/>
      <c r="N248" s="213"/>
      <c r="O248" s="214"/>
      <c r="Q248" s="229"/>
      <c r="AR248" s="141"/>
      <c r="AY248" s="50"/>
      <c r="BY248" s="16" t="s">
        <v>289</v>
      </c>
      <c r="BZ248" s="16" t="s">
        <v>90</v>
      </c>
    </row>
    <row r="249" spans="2:96" s="1" customFormat="1" ht="14.45" customHeight="1" x14ac:dyDescent="0.2">
      <c r="B249" s="124"/>
      <c r="C249" s="125" t="s">
        <v>631</v>
      </c>
      <c r="D249" s="125" t="s">
        <v>284</v>
      </c>
      <c r="E249" s="126" t="s">
        <v>2990</v>
      </c>
      <c r="F249" s="127" t="s">
        <v>2991</v>
      </c>
      <c r="G249" s="128" t="s">
        <v>315</v>
      </c>
      <c r="H249" s="129">
        <v>1</v>
      </c>
      <c r="I249" s="130">
        <v>4438.4633270599998</v>
      </c>
      <c r="J249" s="131">
        <f>ROUND(I249*H249,2)</f>
        <v>4438.46</v>
      </c>
      <c r="K249" s="127" t="s">
        <v>1</v>
      </c>
      <c r="L249" s="268">
        <f>S249</f>
        <v>0</v>
      </c>
      <c r="M249" s="272">
        <f>ROUND(L249*I249,2)</f>
        <v>0</v>
      </c>
      <c r="N249" s="243"/>
      <c r="O249" s="294">
        <f>ROUND(N249*I249,2)</f>
        <v>0</v>
      </c>
      <c r="P249" s="273">
        <f>H249-L249-N249</f>
        <v>1</v>
      </c>
      <c r="Q249" s="287">
        <f>ROUND(P249*I249,2)</f>
        <v>4438.46</v>
      </c>
      <c r="R249" s="137"/>
      <c r="S249" s="269">
        <f>W249+Y249+AA249+AC249</f>
        <v>0</v>
      </c>
      <c r="T249" s="269">
        <f>ROUND(S249*I249,2)</f>
        <v>0</v>
      </c>
      <c r="U249" s="269">
        <f>H249-S249</f>
        <v>1</v>
      </c>
      <c r="V249" s="269">
        <f>ROUND(U249*I249,2)</f>
        <v>4438.46</v>
      </c>
      <c r="W249" s="269"/>
      <c r="X249" s="269"/>
      <c r="Y249" s="269"/>
      <c r="Z249" s="269"/>
      <c r="AA249" s="269"/>
      <c r="AB249" s="269"/>
      <c r="AC249" s="269"/>
      <c r="AD249" s="269"/>
      <c r="AR249" s="132" t="s">
        <v>1</v>
      </c>
      <c r="AS249" s="133" t="s">
        <v>40</v>
      </c>
      <c r="AU249" s="134">
        <f>AT249*H249</f>
        <v>0</v>
      </c>
      <c r="AV249" s="134">
        <v>0</v>
      </c>
      <c r="AW249" s="134">
        <f>AV249*H249</f>
        <v>0</v>
      </c>
      <c r="AX249" s="134">
        <v>0</v>
      </c>
      <c r="AY249" s="135">
        <f>AX249*H249</f>
        <v>0</v>
      </c>
      <c r="BW249" s="136" t="s">
        <v>95</v>
      </c>
      <c r="BY249" s="136" t="s">
        <v>284</v>
      </c>
      <c r="BZ249" s="136" t="s">
        <v>90</v>
      </c>
      <c r="CD249" s="16" t="s">
        <v>282</v>
      </c>
      <c r="CJ249" s="137">
        <f>IF(AS249="základní",J249,0)</f>
        <v>4438.46</v>
      </c>
      <c r="CK249" s="137">
        <f>IF(AS249="snížená",J249,0)</f>
        <v>0</v>
      </c>
      <c r="CL249" s="137">
        <f>IF(AS249="zákl. přenesená",J249,0)</f>
        <v>0</v>
      </c>
      <c r="CM249" s="137">
        <f>IF(AS249="sníž. přenesená",J249,0)</f>
        <v>0</v>
      </c>
      <c r="CN249" s="137">
        <f>IF(AS249="nulová",J249,0)</f>
        <v>0</v>
      </c>
      <c r="CO249" s="16" t="s">
        <v>81</v>
      </c>
      <c r="CP249" s="137">
        <f>ROUND(I249*H249,2)</f>
        <v>4438.46</v>
      </c>
      <c r="CQ249" s="16" t="s">
        <v>95</v>
      </c>
      <c r="CR249" s="136" t="s">
        <v>2992</v>
      </c>
    </row>
    <row r="250" spans="2:96" s="1" customFormat="1" x14ac:dyDescent="0.2">
      <c r="B250" s="31"/>
      <c r="D250" s="138" t="s">
        <v>289</v>
      </c>
      <c r="F250" s="139" t="s">
        <v>2991</v>
      </c>
      <c r="I250" s="140"/>
      <c r="L250" s="31"/>
      <c r="N250" s="213"/>
      <c r="O250" s="214"/>
      <c r="Q250" s="229"/>
      <c r="AR250" s="141"/>
      <c r="AY250" s="50"/>
      <c r="BY250" s="16" t="s">
        <v>289</v>
      </c>
      <c r="BZ250" s="16" t="s">
        <v>90</v>
      </c>
    </row>
    <row r="251" spans="2:96" s="1" customFormat="1" ht="14.45" customHeight="1" x14ac:dyDescent="0.2">
      <c r="B251" s="124"/>
      <c r="C251" s="125" t="s">
        <v>635</v>
      </c>
      <c r="D251" s="125" t="s">
        <v>284</v>
      </c>
      <c r="E251" s="126" t="s">
        <v>2993</v>
      </c>
      <c r="F251" s="127" t="s">
        <v>2994</v>
      </c>
      <c r="G251" s="128" t="s">
        <v>315</v>
      </c>
      <c r="H251" s="129">
        <v>1</v>
      </c>
      <c r="I251" s="130">
        <v>6035.9994380519993</v>
      </c>
      <c r="J251" s="131">
        <f>ROUND(I251*H251,2)</f>
        <v>6036</v>
      </c>
      <c r="K251" s="127" t="s">
        <v>1</v>
      </c>
      <c r="L251" s="268">
        <f>S251</f>
        <v>0</v>
      </c>
      <c r="M251" s="272">
        <f>ROUND(L251*I251,2)</f>
        <v>0</v>
      </c>
      <c r="N251" s="243"/>
      <c r="O251" s="294">
        <f>ROUND(N251*I251,2)</f>
        <v>0</v>
      </c>
      <c r="P251" s="273">
        <f>H251-L251-N251</f>
        <v>1</v>
      </c>
      <c r="Q251" s="287">
        <f>ROUND(P251*I251,2)</f>
        <v>6036</v>
      </c>
      <c r="R251" s="137"/>
      <c r="S251" s="269">
        <f>W251+Y251+AA251+AC251</f>
        <v>0</v>
      </c>
      <c r="T251" s="269">
        <f>ROUND(S251*I251,2)</f>
        <v>0</v>
      </c>
      <c r="U251" s="269">
        <f>H251-S251</f>
        <v>1</v>
      </c>
      <c r="V251" s="269">
        <f>ROUND(U251*I251,2)</f>
        <v>6036</v>
      </c>
      <c r="W251" s="269"/>
      <c r="X251" s="269"/>
      <c r="Y251" s="269"/>
      <c r="Z251" s="269"/>
      <c r="AA251" s="269"/>
      <c r="AB251" s="269"/>
      <c r="AC251" s="269"/>
      <c r="AD251" s="269"/>
      <c r="AR251" s="132" t="s">
        <v>1</v>
      </c>
      <c r="AS251" s="133" t="s">
        <v>40</v>
      </c>
      <c r="AU251" s="134">
        <f>AT251*H251</f>
        <v>0</v>
      </c>
      <c r="AV251" s="134">
        <v>0</v>
      </c>
      <c r="AW251" s="134">
        <f>AV251*H251</f>
        <v>0</v>
      </c>
      <c r="AX251" s="134">
        <v>0</v>
      </c>
      <c r="AY251" s="135">
        <f>AX251*H251</f>
        <v>0</v>
      </c>
      <c r="BW251" s="136" t="s">
        <v>95</v>
      </c>
      <c r="BY251" s="136" t="s">
        <v>284</v>
      </c>
      <c r="BZ251" s="136" t="s">
        <v>90</v>
      </c>
      <c r="CD251" s="16" t="s">
        <v>282</v>
      </c>
      <c r="CJ251" s="137">
        <f>IF(AS251="základní",J251,0)</f>
        <v>6036</v>
      </c>
      <c r="CK251" s="137">
        <f>IF(AS251="snížená",J251,0)</f>
        <v>0</v>
      </c>
      <c r="CL251" s="137">
        <f>IF(AS251="zákl. přenesená",J251,0)</f>
        <v>0</v>
      </c>
      <c r="CM251" s="137">
        <f>IF(AS251="sníž. přenesená",J251,0)</f>
        <v>0</v>
      </c>
      <c r="CN251" s="137">
        <f>IF(AS251="nulová",J251,0)</f>
        <v>0</v>
      </c>
      <c r="CO251" s="16" t="s">
        <v>81</v>
      </c>
      <c r="CP251" s="137">
        <f>ROUND(I251*H251,2)</f>
        <v>6036</v>
      </c>
      <c r="CQ251" s="16" t="s">
        <v>95</v>
      </c>
      <c r="CR251" s="136" t="s">
        <v>2995</v>
      </c>
    </row>
    <row r="252" spans="2:96" s="1" customFormat="1" x14ac:dyDescent="0.2">
      <c r="B252" s="31"/>
      <c r="D252" s="138" t="s">
        <v>289</v>
      </c>
      <c r="F252" s="139" t="s">
        <v>2994</v>
      </c>
      <c r="I252" s="140"/>
      <c r="L252" s="31"/>
      <c r="N252" s="213"/>
      <c r="O252" s="214"/>
      <c r="Q252" s="229"/>
      <c r="AR252" s="141"/>
      <c r="AY252" s="50"/>
      <c r="BY252" s="16" t="s">
        <v>289</v>
      </c>
      <c r="BZ252" s="16" t="s">
        <v>90</v>
      </c>
    </row>
    <row r="253" spans="2:96" s="1" customFormat="1" ht="14.45" customHeight="1" x14ac:dyDescent="0.2">
      <c r="B253" s="124"/>
      <c r="C253" s="125" t="s">
        <v>639</v>
      </c>
      <c r="D253" s="125" t="s">
        <v>284</v>
      </c>
      <c r="E253" s="126" t="s">
        <v>2996</v>
      </c>
      <c r="F253" s="127" t="s">
        <v>2873</v>
      </c>
      <c r="G253" s="128" t="s">
        <v>315</v>
      </c>
      <c r="H253" s="129">
        <v>2</v>
      </c>
      <c r="I253" s="130">
        <v>338.42122529599999</v>
      </c>
      <c r="J253" s="131">
        <f>ROUND(I253*H253,2)</f>
        <v>676.84</v>
      </c>
      <c r="K253" s="127" t="s">
        <v>1</v>
      </c>
      <c r="L253" s="268">
        <f>S253</f>
        <v>0</v>
      </c>
      <c r="M253" s="272">
        <f>ROUND(L253*I253,2)</f>
        <v>0</v>
      </c>
      <c r="N253" s="243"/>
      <c r="O253" s="294">
        <f>ROUND(N253*I253,2)</f>
        <v>0</v>
      </c>
      <c r="P253" s="273">
        <f>H253-L253-N253</f>
        <v>2</v>
      </c>
      <c r="Q253" s="287">
        <f>ROUND(P253*I253,2)</f>
        <v>676.84</v>
      </c>
      <c r="R253" s="137"/>
      <c r="S253" s="269">
        <f>W253+Y253+AA253+AC253</f>
        <v>0</v>
      </c>
      <c r="T253" s="269">
        <f>ROUND(S253*I253,2)</f>
        <v>0</v>
      </c>
      <c r="U253" s="269">
        <f>H253-S253</f>
        <v>2</v>
      </c>
      <c r="V253" s="269">
        <f>ROUND(U253*I253,2)</f>
        <v>676.84</v>
      </c>
      <c r="W253" s="269"/>
      <c r="X253" s="269"/>
      <c r="Y253" s="269"/>
      <c r="Z253" s="269"/>
      <c r="AA253" s="269"/>
      <c r="AB253" s="269"/>
      <c r="AC253" s="269"/>
      <c r="AD253" s="269"/>
      <c r="AR253" s="132" t="s">
        <v>1</v>
      </c>
      <c r="AS253" s="133" t="s">
        <v>40</v>
      </c>
      <c r="AU253" s="134">
        <f>AT253*H253</f>
        <v>0</v>
      </c>
      <c r="AV253" s="134">
        <v>0</v>
      </c>
      <c r="AW253" s="134">
        <f>AV253*H253</f>
        <v>0</v>
      </c>
      <c r="AX253" s="134">
        <v>0</v>
      </c>
      <c r="AY253" s="135">
        <f>AX253*H253</f>
        <v>0</v>
      </c>
      <c r="BW253" s="136" t="s">
        <v>95</v>
      </c>
      <c r="BY253" s="136" t="s">
        <v>284</v>
      </c>
      <c r="BZ253" s="136" t="s">
        <v>90</v>
      </c>
      <c r="CD253" s="16" t="s">
        <v>282</v>
      </c>
      <c r="CJ253" s="137">
        <f>IF(AS253="základní",J253,0)</f>
        <v>676.84</v>
      </c>
      <c r="CK253" s="137">
        <f>IF(AS253="snížená",J253,0)</f>
        <v>0</v>
      </c>
      <c r="CL253" s="137">
        <f>IF(AS253="zákl. přenesená",J253,0)</f>
        <v>0</v>
      </c>
      <c r="CM253" s="137">
        <f>IF(AS253="sníž. přenesená",J253,0)</f>
        <v>0</v>
      </c>
      <c r="CN253" s="137">
        <f>IF(AS253="nulová",J253,0)</f>
        <v>0</v>
      </c>
      <c r="CO253" s="16" t="s">
        <v>81</v>
      </c>
      <c r="CP253" s="137">
        <f>ROUND(I253*H253,2)</f>
        <v>676.84</v>
      </c>
      <c r="CQ253" s="16" t="s">
        <v>95</v>
      </c>
      <c r="CR253" s="136" t="s">
        <v>2997</v>
      </c>
    </row>
    <row r="254" spans="2:96" s="1" customFormat="1" x14ac:dyDescent="0.2">
      <c r="B254" s="31"/>
      <c r="D254" s="138" t="s">
        <v>289</v>
      </c>
      <c r="F254" s="139" t="s">
        <v>2873</v>
      </c>
      <c r="I254" s="140"/>
      <c r="L254" s="31"/>
      <c r="N254" s="213"/>
      <c r="O254" s="214"/>
      <c r="Q254" s="229"/>
      <c r="AR254" s="141"/>
      <c r="AY254" s="50"/>
      <c r="BY254" s="16" t="s">
        <v>289</v>
      </c>
      <c r="BZ254" s="16" t="s">
        <v>90</v>
      </c>
    </row>
    <row r="255" spans="2:96" s="1" customFormat="1" ht="14.45" customHeight="1" x14ac:dyDescent="0.2">
      <c r="B255" s="124"/>
      <c r="C255" s="125" t="s">
        <v>643</v>
      </c>
      <c r="D255" s="125" t="s">
        <v>284</v>
      </c>
      <c r="E255" s="126" t="s">
        <v>3097</v>
      </c>
      <c r="F255" s="127" t="s">
        <v>2876</v>
      </c>
      <c r="G255" s="128" t="s">
        <v>2874</v>
      </c>
      <c r="H255" s="129">
        <v>1</v>
      </c>
      <c r="I255" s="130">
        <v>193.2320028</v>
      </c>
      <c r="J255" s="131">
        <f>ROUND(I255*H255,2)</f>
        <v>193.23</v>
      </c>
      <c r="K255" s="127" t="s">
        <v>1</v>
      </c>
      <c r="L255" s="268">
        <f>S255</f>
        <v>0</v>
      </c>
      <c r="M255" s="272">
        <f>ROUND(L255*I255,2)</f>
        <v>0</v>
      </c>
      <c r="N255" s="243"/>
      <c r="O255" s="294">
        <f>ROUND(N255*I255,2)</f>
        <v>0</v>
      </c>
      <c r="P255" s="273">
        <f>H255-L255-N255</f>
        <v>1</v>
      </c>
      <c r="Q255" s="287">
        <f>ROUND(P255*I255,2)</f>
        <v>193.23</v>
      </c>
      <c r="R255" s="137"/>
      <c r="S255" s="269">
        <f>W255+Y255+AA255+AC255</f>
        <v>0</v>
      </c>
      <c r="T255" s="269">
        <f>ROUND(S255*I255,2)</f>
        <v>0</v>
      </c>
      <c r="U255" s="269">
        <f>H255-S255</f>
        <v>1</v>
      </c>
      <c r="V255" s="269">
        <f>ROUND(U255*I255,2)</f>
        <v>193.23</v>
      </c>
      <c r="W255" s="269"/>
      <c r="X255" s="269"/>
      <c r="Y255" s="269"/>
      <c r="Z255" s="269"/>
      <c r="AA255" s="269"/>
      <c r="AB255" s="269"/>
      <c r="AC255" s="269"/>
      <c r="AD255" s="269"/>
      <c r="AR255" s="132" t="s">
        <v>1</v>
      </c>
      <c r="AS255" s="133" t="s">
        <v>40</v>
      </c>
      <c r="AU255" s="134">
        <f>AT255*H255</f>
        <v>0</v>
      </c>
      <c r="AV255" s="134">
        <v>0</v>
      </c>
      <c r="AW255" s="134">
        <f>AV255*H255</f>
        <v>0</v>
      </c>
      <c r="AX255" s="134">
        <v>0</v>
      </c>
      <c r="AY255" s="135">
        <f>AX255*H255</f>
        <v>0</v>
      </c>
      <c r="BW255" s="136" t="s">
        <v>95</v>
      </c>
      <c r="BY255" s="136" t="s">
        <v>284</v>
      </c>
      <c r="BZ255" s="136" t="s">
        <v>90</v>
      </c>
      <c r="CD255" s="16" t="s">
        <v>282</v>
      </c>
      <c r="CJ255" s="137">
        <f>IF(AS255="základní",J255,0)</f>
        <v>193.23</v>
      </c>
      <c r="CK255" s="137">
        <f>IF(AS255="snížená",J255,0)</f>
        <v>0</v>
      </c>
      <c r="CL255" s="137">
        <f>IF(AS255="zákl. přenesená",J255,0)</f>
        <v>0</v>
      </c>
      <c r="CM255" s="137">
        <f>IF(AS255="sníž. přenesená",J255,0)</f>
        <v>0</v>
      </c>
      <c r="CN255" s="137">
        <f>IF(AS255="nulová",J255,0)</f>
        <v>0</v>
      </c>
      <c r="CO255" s="16" t="s">
        <v>81</v>
      </c>
      <c r="CP255" s="137">
        <f>ROUND(I255*H255,2)</f>
        <v>193.23</v>
      </c>
      <c r="CQ255" s="16" t="s">
        <v>95</v>
      </c>
      <c r="CR255" s="136" t="s">
        <v>2999</v>
      </c>
    </row>
    <row r="256" spans="2:96" s="1" customFormat="1" x14ac:dyDescent="0.2">
      <c r="B256" s="31"/>
      <c r="D256" s="138" t="s">
        <v>289</v>
      </c>
      <c r="F256" s="139" t="s">
        <v>2876</v>
      </c>
      <c r="I256" s="140"/>
      <c r="L256" s="31"/>
      <c r="N256" s="213"/>
      <c r="O256" s="214"/>
      <c r="Q256" s="229"/>
      <c r="AR256" s="141"/>
      <c r="AY256" s="50"/>
      <c r="BY256" s="16" t="s">
        <v>289</v>
      </c>
      <c r="BZ256" s="16" t="s">
        <v>90</v>
      </c>
    </row>
    <row r="257" spans="2:96" s="1" customFormat="1" ht="14.45" customHeight="1" x14ac:dyDescent="0.2">
      <c r="B257" s="124"/>
      <c r="C257" s="125" t="s">
        <v>650</v>
      </c>
      <c r="D257" s="125" t="s">
        <v>284</v>
      </c>
      <c r="E257" s="126" t="s">
        <v>3000</v>
      </c>
      <c r="F257" s="127" t="s">
        <v>3001</v>
      </c>
      <c r="G257" s="128" t="s">
        <v>2874</v>
      </c>
      <c r="H257" s="129">
        <v>1</v>
      </c>
      <c r="I257" s="130">
        <v>745.95130806399993</v>
      </c>
      <c r="J257" s="131">
        <f>ROUND(I257*H257,2)</f>
        <v>745.95</v>
      </c>
      <c r="K257" s="127" t="s">
        <v>1</v>
      </c>
      <c r="L257" s="268">
        <f>S257</f>
        <v>0</v>
      </c>
      <c r="M257" s="272">
        <f>ROUND(L257*I257,2)</f>
        <v>0</v>
      </c>
      <c r="N257" s="243"/>
      <c r="O257" s="294">
        <f>ROUND(N257*I257,2)</f>
        <v>0</v>
      </c>
      <c r="P257" s="273">
        <f>H257-L257-N257</f>
        <v>1</v>
      </c>
      <c r="Q257" s="287">
        <f>ROUND(P257*I257,2)</f>
        <v>745.95</v>
      </c>
      <c r="R257" s="137"/>
      <c r="S257" s="269">
        <f>W257+Y257+AA257+AC257</f>
        <v>0</v>
      </c>
      <c r="T257" s="269">
        <f>ROUND(S257*I257,2)</f>
        <v>0</v>
      </c>
      <c r="U257" s="269">
        <f>H257-S257</f>
        <v>1</v>
      </c>
      <c r="V257" s="269">
        <f>ROUND(U257*I257,2)</f>
        <v>745.95</v>
      </c>
      <c r="W257" s="269"/>
      <c r="X257" s="269"/>
      <c r="Y257" s="269"/>
      <c r="Z257" s="269"/>
      <c r="AA257" s="269"/>
      <c r="AB257" s="269"/>
      <c r="AC257" s="269"/>
      <c r="AD257" s="269"/>
      <c r="AR257" s="132" t="s">
        <v>1</v>
      </c>
      <c r="AS257" s="133" t="s">
        <v>40</v>
      </c>
      <c r="AU257" s="134">
        <f>AT257*H257</f>
        <v>0</v>
      </c>
      <c r="AV257" s="134">
        <v>0</v>
      </c>
      <c r="AW257" s="134">
        <f>AV257*H257</f>
        <v>0</v>
      </c>
      <c r="AX257" s="134">
        <v>0</v>
      </c>
      <c r="AY257" s="135">
        <f>AX257*H257</f>
        <v>0</v>
      </c>
      <c r="BW257" s="136" t="s">
        <v>95</v>
      </c>
      <c r="BY257" s="136" t="s">
        <v>284</v>
      </c>
      <c r="BZ257" s="136" t="s">
        <v>90</v>
      </c>
      <c r="CD257" s="16" t="s">
        <v>282</v>
      </c>
      <c r="CJ257" s="137">
        <f>IF(AS257="základní",J257,0)</f>
        <v>745.95</v>
      </c>
      <c r="CK257" s="137">
        <f>IF(AS257="snížená",J257,0)</f>
        <v>0</v>
      </c>
      <c r="CL257" s="137">
        <f>IF(AS257="zákl. přenesená",J257,0)</f>
        <v>0</v>
      </c>
      <c r="CM257" s="137">
        <f>IF(AS257="sníž. přenesená",J257,0)</f>
        <v>0</v>
      </c>
      <c r="CN257" s="137">
        <f>IF(AS257="nulová",J257,0)</f>
        <v>0</v>
      </c>
      <c r="CO257" s="16" t="s">
        <v>81</v>
      </c>
      <c r="CP257" s="137">
        <f>ROUND(I257*H257,2)</f>
        <v>745.95</v>
      </c>
      <c r="CQ257" s="16" t="s">
        <v>95</v>
      </c>
      <c r="CR257" s="136" t="s">
        <v>3002</v>
      </c>
    </row>
    <row r="258" spans="2:96" s="1" customFormat="1" x14ac:dyDescent="0.2">
      <c r="B258" s="31"/>
      <c r="D258" s="138" t="s">
        <v>289</v>
      </c>
      <c r="F258" s="139" t="s">
        <v>3001</v>
      </c>
      <c r="I258" s="140"/>
      <c r="L258" s="31"/>
      <c r="N258" s="213"/>
      <c r="O258" s="214"/>
      <c r="Q258" s="229"/>
      <c r="AR258" s="141"/>
      <c r="AY258" s="50"/>
      <c r="BY258" s="16" t="s">
        <v>289</v>
      </c>
      <c r="BZ258" s="16" t="s">
        <v>90</v>
      </c>
    </row>
    <row r="259" spans="2:96" s="1" customFormat="1" ht="14.45" customHeight="1" x14ac:dyDescent="0.2">
      <c r="B259" s="124"/>
      <c r="C259" s="125" t="s">
        <v>655</v>
      </c>
      <c r="D259" s="125" t="s">
        <v>284</v>
      </c>
      <c r="E259" s="126" t="s">
        <v>2933</v>
      </c>
      <c r="F259" s="127" t="s">
        <v>2934</v>
      </c>
      <c r="G259" s="128" t="s">
        <v>315</v>
      </c>
      <c r="H259" s="129">
        <v>40</v>
      </c>
      <c r="I259" s="130">
        <v>47.853337164000003</v>
      </c>
      <c r="J259" s="131">
        <f>ROUND(I259*H259,2)</f>
        <v>1914.13</v>
      </c>
      <c r="K259" s="127" t="s">
        <v>1</v>
      </c>
      <c r="L259" s="268">
        <f>S259</f>
        <v>0</v>
      </c>
      <c r="M259" s="272">
        <f>ROUND(L259*I259,2)</f>
        <v>0</v>
      </c>
      <c r="N259" s="243"/>
      <c r="O259" s="294">
        <f>ROUND(N259*I259,2)</f>
        <v>0</v>
      </c>
      <c r="P259" s="273">
        <f>H259-L259-N259</f>
        <v>40</v>
      </c>
      <c r="Q259" s="287">
        <f>ROUND(P259*I259,2)</f>
        <v>1914.13</v>
      </c>
      <c r="R259" s="137"/>
      <c r="S259" s="269">
        <f>W259+Y259+AA259+AC259</f>
        <v>0</v>
      </c>
      <c r="T259" s="269">
        <f>ROUND(S259*I259,2)</f>
        <v>0</v>
      </c>
      <c r="U259" s="269">
        <f>H259-S259</f>
        <v>40</v>
      </c>
      <c r="V259" s="269">
        <f>ROUND(U259*I259,2)</f>
        <v>1914.13</v>
      </c>
      <c r="W259" s="269"/>
      <c r="X259" s="269"/>
      <c r="Y259" s="269"/>
      <c r="Z259" s="269"/>
      <c r="AA259" s="269"/>
      <c r="AB259" s="269"/>
      <c r="AC259" s="269"/>
      <c r="AD259" s="269"/>
      <c r="AR259" s="132" t="s">
        <v>1</v>
      </c>
      <c r="AS259" s="133" t="s">
        <v>40</v>
      </c>
      <c r="AU259" s="134">
        <f>AT259*H259</f>
        <v>0</v>
      </c>
      <c r="AV259" s="134">
        <v>0</v>
      </c>
      <c r="AW259" s="134">
        <f>AV259*H259</f>
        <v>0</v>
      </c>
      <c r="AX259" s="134">
        <v>0</v>
      </c>
      <c r="AY259" s="135">
        <f>AX259*H259</f>
        <v>0</v>
      </c>
      <c r="BW259" s="136" t="s">
        <v>95</v>
      </c>
      <c r="BY259" s="136" t="s">
        <v>284</v>
      </c>
      <c r="BZ259" s="136" t="s">
        <v>90</v>
      </c>
      <c r="CD259" s="16" t="s">
        <v>282</v>
      </c>
      <c r="CJ259" s="137">
        <f>IF(AS259="základní",J259,0)</f>
        <v>1914.13</v>
      </c>
      <c r="CK259" s="137">
        <f>IF(AS259="snížená",J259,0)</f>
        <v>0</v>
      </c>
      <c r="CL259" s="137">
        <f>IF(AS259="zákl. přenesená",J259,0)</f>
        <v>0</v>
      </c>
      <c r="CM259" s="137">
        <f>IF(AS259="sníž. přenesená",J259,0)</f>
        <v>0</v>
      </c>
      <c r="CN259" s="137">
        <f>IF(AS259="nulová",J259,0)</f>
        <v>0</v>
      </c>
      <c r="CO259" s="16" t="s">
        <v>81</v>
      </c>
      <c r="CP259" s="137">
        <f>ROUND(I259*H259,2)</f>
        <v>1914.13</v>
      </c>
      <c r="CQ259" s="16" t="s">
        <v>95</v>
      </c>
      <c r="CR259" s="136" t="s">
        <v>3003</v>
      </c>
    </row>
    <row r="260" spans="2:96" s="1" customFormat="1" x14ac:dyDescent="0.2">
      <c r="B260" s="31"/>
      <c r="D260" s="138" t="s">
        <v>289</v>
      </c>
      <c r="F260" s="139" t="s">
        <v>2934</v>
      </c>
      <c r="I260" s="140"/>
      <c r="L260" s="31"/>
      <c r="N260" s="213"/>
      <c r="O260" s="214"/>
      <c r="Q260" s="229"/>
      <c r="AR260" s="141"/>
      <c r="AY260" s="50"/>
      <c r="BY260" s="16" t="s">
        <v>289</v>
      </c>
      <c r="BZ260" s="16" t="s">
        <v>90</v>
      </c>
    </row>
    <row r="261" spans="2:96" s="1" customFormat="1" ht="14.45" customHeight="1" x14ac:dyDescent="0.2">
      <c r="B261" s="124"/>
      <c r="C261" s="125" t="s">
        <v>660</v>
      </c>
      <c r="D261" s="125" t="s">
        <v>284</v>
      </c>
      <c r="E261" s="126" t="s">
        <v>2937</v>
      </c>
      <c r="F261" s="127" t="s">
        <v>2938</v>
      </c>
      <c r="G261" s="128" t="s">
        <v>315</v>
      </c>
      <c r="H261" s="129">
        <v>5</v>
      </c>
      <c r="I261" s="130">
        <v>77.823241912</v>
      </c>
      <c r="J261" s="131">
        <f>ROUND(I261*H261,2)</f>
        <v>389.12</v>
      </c>
      <c r="K261" s="127" t="s">
        <v>1</v>
      </c>
      <c r="L261" s="268">
        <f>S261</f>
        <v>0</v>
      </c>
      <c r="M261" s="272">
        <f>ROUND(L261*I261,2)</f>
        <v>0</v>
      </c>
      <c r="N261" s="243"/>
      <c r="O261" s="294">
        <f>ROUND(N261*I261,2)</f>
        <v>0</v>
      </c>
      <c r="P261" s="273">
        <f>H261-L261-N261</f>
        <v>5</v>
      </c>
      <c r="Q261" s="287">
        <f>ROUND(P261*I261,2)</f>
        <v>389.12</v>
      </c>
      <c r="R261" s="137"/>
      <c r="S261" s="269">
        <f>W261+Y261+AA261+AC261</f>
        <v>0</v>
      </c>
      <c r="T261" s="269">
        <f>ROUND(S261*I261,2)</f>
        <v>0</v>
      </c>
      <c r="U261" s="269">
        <f>H261-S261</f>
        <v>5</v>
      </c>
      <c r="V261" s="269">
        <f>ROUND(U261*I261,2)</f>
        <v>389.12</v>
      </c>
      <c r="W261" s="269"/>
      <c r="X261" s="269"/>
      <c r="Y261" s="269"/>
      <c r="Z261" s="269"/>
      <c r="AA261" s="269"/>
      <c r="AB261" s="269"/>
      <c r="AC261" s="269"/>
      <c r="AD261" s="269"/>
      <c r="AR261" s="132" t="s">
        <v>1</v>
      </c>
      <c r="AS261" s="133" t="s">
        <v>40</v>
      </c>
      <c r="AU261" s="134">
        <f>AT261*H261</f>
        <v>0</v>
      </c>
      <c r="AV261" s="134">
        <v>0</v>
      </c>
      <c r="AW261" s="134">
        <f>AV261*H261</f>
        <v>0</v>
      </c>
      <c r="AX261" s="134">
        <v>0</v>
      </c>
      <c r="AY261" s="135">
        <f>AX261*H261</f>
        <v>0</v>
      </c>
      <c r="BW261" s="136" t="s">
        <v>95</v>
      </c>
      <c r="BY261" s="136" t="s">
        <v>284</v>
      </c>
      <c r="BZ261" s="136" t="s">
        <v>90</v>
      </c>
      <c r="CD261" s="16" t="s">
        <v>282</v>
      </c>
      <c r="CJ261" s="137">
        <f>IF(AS261="základní",J261,0)</f>
        <v>389.12</v>
      </c>
      <c r="CK261" s="137">
        <f>IF(AS261="snížená",J261,0)</f>
        <v>0</v>
      </c>
      <c r="CL261" s="137">
        <f>IF(AS261="zákl. přenesená",J261,0)</f>
        <v>0</v>
      </c>
      <c r="CM261" s="137">
        <f>IF(AS261="sníž. přenesená",J261,0)</f>
        <v>0</v>
      </c>
      <c r="CN261" s="137">
        <f>IF(AS261="nulová",J261,0)</f>
        <v>0</v>
      </c>
      <c r="CO261" s="16" t="s">
        <v>81</v>
      </c>
      <c r="CP261" s="137">
        <f>ROUND(I261*H261,2)</f>
        <v>389.12</v>
      </c>
      <c r="CQ261" s="16" t="s">
        <v>95</v>
      </c>
      <c r="CR261" s="136" t="s">
        <v>3004</v>
      </c>
    </row>
    <row r="262" spans="2:96" s="1" customFormat="1" x14ac:dyDescent="0.2">
      <c r="B262" s="31"/>
      <c r="D262" s="138" t="s">
        <v>289</v>
      </c>
      <c r="F262" s="139" t="s">
        <v>2938</v>
      </c>
      <c r="I262" s="140"/>
      <c r="L262" s="31"/>
      <c r="N262" s="213"/>
      <c r="O262" s="214"/>
      <c r="Q262" s="229"/>
      <c r="AR262" s="141"/>
      <c r="AY262" s="50"/>
      <c r="BY262" s="16" t="s">
        <v>289</v>
      </c>
      <c r="BZ262" s="16" t="s">
        <v>90</v>
      </c>
    </row>
    <row r="263" spans="2:96" s="1" customFormat="1" ht="14.45" customHeight="1" x14ac:dyDescent="0.2">
      <c r="B263" s="124"/>
      <c r="C263" s="125" t="s">
        <v>666</v>
      </c>
      <c r="D263" s="125" t="s">
        <v>284</v>
      </c>
      <c r="E263" s="126" t="s">
        <v>2941</v>
      </c>
      <c r="F263" s="127" t="s">
        <v>2942</v>
      </c>
      <c r="G263" s="128" t="s">
        <v>315</v>
      </c>
      <c r="H263" s="129">
        <v>8</v>
      </c>
      <c r="I263" s="130">
        <v>109.469718449</v>
      </c>
      <c r="J263" s="131">
        <f>ROUND(I263*H263,2)</f>
        <v>875.76</v>
      </c>
      <c r="K263" s="127" t="s">
        <v>1</v>
      </c>
      <c r="L263" s="268">
        <f>S263</f>
        <v>0</v>
      </c>
      <c r="M263" s="272">
        <f>ROUND(L263*I263,2)</f>
        <v>0</v>
      </c>
      <c r="N263" s="243"/>
      <c r="O263" s="294">
        <f>ROUND(N263*I263,2)</f>
        <v>0</v>
      </c>
      <c r="P263" s="273">
        <f>H263-L263-N263</f>
        <v>8</v>
      </c>
      <c r="Q263" s="287">
        <f>ROUND(P263*I263,2)</f>
        <v>875.76</v>
      </c>
      <c r="R263" s="137"/>
      <c r="S263" s="269">
        <f>W263+Y263+AA263+AC263</f>
        <v>0</v>
      </c>
      <c r="T263" s="269">
        <f>ROUND(S263*I263,2)</f>
        <v>0</v>
      </c>
      <c r="U263" s="269">
        <f>H263-S263</f>
        <v>8</v>
      </c>
      <c r="V263" s="269">
        <f>ROUND(U263*I263,2)</f>
        <v>875.76</v>
      </c>
      <c r="W263" s="269"/>
      <c r="X263" s="269"/>
      <c r="Y263" s="269"/>
      <c r="Z263" s="269"/>
      <c r="AA263" s="269"/>
      <c r="AB263" s="269"/>
      <c r="AC263" s="269"/>
      <c r="AD263" s="269"/>
      <c r="AR263" s="132" t="s">
        <v>1</v>
      </c>
      <c r="AS263" s="133" t="s">
        <v>40</v>
      </c>
      <c r="AU263" s="134">
        <f>AT263*H263</f>
        <v>0</v>
      </c>
      <c r="AV263" s="134">
        <v>0</v>
      </c>
      <c r="AW263" s="134">
        <f>AV263*H263</f>
        <v>0</v>
      </c>
      <c r="AX263" s="134">
        <v>0</v>
      </c>
      <c r="AY263" s="135">
        <f>AX263*H263</f>
        <v>0</v>
      </c>
      <c r="BW263" s="136" t="s">
        <v>95</v>
      </c>
      <c r="BY263" s="136" t="s">
        <v>284</v>
      </c>
      <c r="BZ263" s="136" t="s">
        <v>90</v>
      </c>
      <c r="CD263" s="16" t="s">
        <v>282</v>
      </c>
      <c r="CJ263" s="137">
        <f>IF(AS263="základní",J263,0)</f>
        <v>875.76</v>
      </c>
      <c r="CK263" s="137">
        <f>IF(AS263="snížená",J263,0)</f>
        <v>0</v>
      </c>
      <c r="CL263" s="137">
        <f>IF(AS263="zákl. přenesená",J263,0)</f>
        <v>0</v>
      </c>
      <c r="CM263" s="137">
        <f>IF(AS263="sníž. přenesená",J263,0)</f>
        <v>0</v>
      </c>
      <c r="CN263" s="137">
        <f>IF(AS263="nulová",J263,0)</f>
        <v>0</v>
      </c>
      <c r="CO263" s="16" t="s">
        <v>81</v>
      </c>
      <c r="CP263" s="137">
        <f>ROUND(I263*H263,2)</f>
        <v>875.76</v>
      </c>
      <c r="CQ263" s="16" t="s">
        <v>95</v>
      </c>
      <c r="CR263" s="136" t="s">
        <v>3005</v>
      </c>
    </row>
    <row r="264" spans="2:96" s="1" customFormat="1" x14ac:dyDescent="0.2">
      <c r="B264" s="31"/>
      <c r="D264" s="138" t="s">
        <v>289</v>
      </c>
      <c r="F264" s="139" t="s">
        <v>2942</v>
      </c>
      <c r="I264" s="140"/>
      <c r="L264" s="31"/>
      <c r="N264" s="213"/>
      <c r="O264" s="214"/>
      <c r="Q264" s="229"/>
      <c r="AR264" s="141"/>
      <c r="AY264" s="50"/>
      <c r="BY264" s="16" t="s">
        <v>289</v>
      </c>
      <c r="BZ264" s="16" t="s">
        <v>90</v>
      </c>
    </row>
    <row r="265" spans="2:96" s="1" customFormat="1" ht="14.45" customHeight="1" x14ac:dyDescent="0.2">
      <c r="B265" s="124"/>
      <c r="C265" s="125" t="s">
        <v>670</v>
      </c>
      <c r="D265" s="125" t="s">
        <v>284</v>
      </c>
      <c r="E265" s="126" t="s">
        <v>2947</v>
      </c>
      <c r="F265" s="127" t="s">
        <v>2948</v>
      </c>
      <c r="G265" s="128" t="s">
        <v>344</v>
      </c>
      <c r="H265" s="129">
        <v>100</v>
      </c>
      <c r="I265" s="130">
        <v>21.946987769</v>
      </c>
      <c r="J265" s="131">
        <f>ROUND(I265*H265,2)</f>
        <v>2194.6999999999998</v>
      </c>
      <c r="K265" s="127" t="s">
        <v>1</v>
      </c>
      <c r="L265" s="268">
        <f>S265</f>
        <v>0</v>
      </c>
      <c r="M265" s="272">
        <f>ROUND(L265*I265,2)</f>
        <v>0</v>
      </c>
      <c r="N265" s="243"/>
      <c r="O265" s="294">
        <f>ROUND(N265*I265,2)</f>
        <v>0</v>
      </c>
      <c r="P265" s="273">
        <f>H265-L265-N265</f>
        <v>100</v>
      </c>
      <c r="Q265" s="287">
        <f>ROUND(P265*I265,2)</f>
        <v>2194.6999999999998</v>
      </c>
      <c r="R265" s="137"/>
      <c r="S265" s="269">
        <f>W265+Y265+AA265+AC265</f>
        <v>0</v>
      </c>
      <c r="T265" s="269">
        <f>ROUND(S265*I265,2)</f>
        <v>0</v>
      </c>
      <c r="U265" s="269">
        <f>H265-S265</f>
        <v>100</v>
      </c>
      <c r="V265" s="269">
        <f>ROUND(U265*I265,2)</f>
        <v>2194.6999999999998</v>
      </c>
      <c r="W265" s="269"/>
      <c r="X265" s="269"/>
      <c r="Y265" s="269"/>
      <c r="Z265" s="269"/>
      <c r="AA265" s="269"/>
      <c r="AB265" s="269"/>
      <c r="AC265" s="269"/>
      <c r="AD265" s="269"/>
      <c r="AR265" s="132" t="s">
        <v>1</v>
      </c>
      <c r="AS265" s="133" t="s">
        <v>40</v>
      </c>
      <c r="AU265" s="134">
        <f>AT265*H265</f>
        <v>0</v>
      </c>
      <c r="AV265" s="134">
        <v>0</v>
      </c>
      <c r="AW265" s="134">
        <f>AV265*H265</f>
        <v>0</v>
      </c>
      <c r="AX265" s="134">
        <v>0</v>
      </c>
      <c r="AY265" s="135">
        <f>AX265*H265</f>
        <v>0</v>
      </c>
      <c r="BW265" s="136" t="s">
        <v>95</v>
      </c>
      <c r="BY265" s="136" t="s">
        <v>284</v>
      </c>
      <c r="BZ265" s="136" t="s">
        <v>90</v>
      </c>
      <c r="CD265" s="16" t="s">
        <v>282</v>
      </c>
      <c r="CJ265" s="137">
        <f>IF(AS265="základní",J265,0)</f>
        <v>2194.6999999999998</v>
      </c>
      <c r="CK265" s="137">
        <f>IF(AS265="snížená",J265,0)</f>
        <v>0</v>
      </c>
      <c r="CL265" s="137">
        <f>IF(AS265="zákl. přenesená",J265,0)</f>
        <v>0</v>
      </c>
      <c r="CM265" s="137">
        <f>IF(AS265="sníž. přenesená",J265,0)</f>
        <v>0</v>
      </c>
      <c r="CN265" s="137">
        <f>IF(AS265="nulová",J265,0)</f>
        <v>0</v>
      </c>
      <c r="CO265" s="16" t="s">
        <v>81</v>
      </c>
      <c r="CP265" s="137">
        <f>ROUND(I265*H265,2)</f>
        <v>2194.6999999999998</v>
      </c>
      <c r="CQ265" s="16" t="s">
        <v>95</v>
      </c>
      <c r="CR265" s="136" t="s">
        <v>3006</v>
      </c>
    </row>
    <row r="266" spans="2:96" s="1" customFormat="1" x14ac:dyDescent="0.2">
      <c r="B266" s="31"/>
      <c r="D266" s="138" t="s">
        <v>289</v>
      </c>
      <c r="F266" s="139" t="s">
        <v>2948</v>
      </c>
      <c r="I266" s="140"/>
      <c r="L266" s="31"/>
      <c r="N266" s="213"/>
      <c r="O266" s="214"/>
      <c r="Q266" s="229"/>
      <c r="AR266" s="141"/>
      <c r="AY266" s="50"/>
      <c r="BY266" s="16" t="s">
        <v>289</v>
      </c>
      <c r="BZ266" s="16" t="s">
        <v>90</v>
      </c>
    </row>
    <row r="267" spans="2:96" s="1" customFormat="1" ht="14.45" customHeight="1" x14ac:dyDescent="0.2">
      <c r="B267" s="124"/>
      <c r="C267" s="125" t="s">
        <v>675</v>
      </c>
      <c r="D267" s="125" t="s">
        <v>284</v>
      </c>
      <c r="E267" s="126" t="s">
        <v>2949</v>
      </c>
      <c r="F267" s="127" t="s">
        <v>2950</v>
      </c>
      <c r="G267" s="128" t="s">
        <v>344</v>
      </c>
      <c r="H267" s="129">
        <v>50</v>
      </c>
      <c r="I267" s="130">
        <v>24.997022322999999</v>
      </c>
      <c r="J267" s="131">
        <f>ROUND(I267*H267,2)</f>
        <v>1249.8499999999999</v>
      </c>
      <c r="K267" s="127" t="s">
        <v>1</v>
      </c>
      <c r="L267" s="268">
        <f>S267</f>
        <v>0</v>
      </c>
      <c r="M267" s="272">
        <f>ROUND(L267*I267,2)</f>
        <v>0</v>
      </c>
      <c r="N267" s="243"/>
      <c r="O267" s="294">
        <f>ROUND(N267*I267,2)</f>
        <v>0</v>
      </c>
      <c r="P267" s="273">
        <f>H267-L267-N267</f>
        <v>50</v>
      </c>
      <c r="Q267" s="287">
        <f>ROUND(P267*I267,2)</f>
        <v>1249.8499999999999</v>
      </c>
      <c r="R267" s="137"/>
      <c r="S267" s="269">
        <f>W267+Y267+AA267+AC267</f>
        <v>0</v>
      </c>
      <c r="T267" s="269">
        <f>ROUND(S267*I267,2)</f>
        <v>0</v>
      </c>
      <c r="U267" s="269">
        <f>H267-S267</f>
        <v>50</v>
      </c>
      <c r="V267" s="269">
        <f>ROUND(U267*I267,2)</f>
        <v>1249.8499999999999</v>
      </c>
      <c r="W267" s="269"/>
      <c r="X267" s="269"/>
      <c r="Y267" s="269"/>
      <c r="Z267" s="269"/>
      <c r="AA267" s="269"/>
      <c r="AB267" s="269"/>
      <c r="AC267" s="269"/>
      <c r="AD267" s="269"/>
      <c r="AR267" s="132" t="s">
        <v>1</v>
      </c>
      <c r="AS267" s="133" t="s">
        <v>40</v>
      </c>
      <c r="AU267" s="134">
        <f>AT267*H267</f>
        <v>0</v>
      </c>
      <c r="AV267" s="134">
        <v>0</v>
      </c>
      <c r="AW267" s="134">
        <f>AV267*H267</f>
        <v>0</v>
      </c>
      <c r="AX267" s="134">
        <v>0</v>
      </c>
      <c r="AY267" s="135">
        <f>AX267*H267</f>
        <v>0</v>
      </c>
      <c r="BW267" s="136" t="s">
        <v>95</v>
      </c>
      <c r="BY267" s="136" t="s">
        <v>284</v>
      </c>
      <c r="BZ267" s="136" t="s">
        <v>90</v>
      </c>
      <c r="CD267" s="16" t="s">
        <v>282</v>
      </c>
      <c r="CJ267" s="137">
        <f>IF(AS267="základní",J267,0)</f>
        <v>1249.8499999999999</v>
      </c>
      <c r="CK267" s="137">
        <f>IF(AS267="snížená",J267,0)</f>
        <v>0</v>
      </c>
      <c r="CL267" s="137">
        <f>IF(AS267="zákl. přenesená",J267,0)</f>
        <v>0</v>
      </c>
      <c r="CM267" s="137">
        <f>IF(AS267="sníž. přenesená",J267,0)</f>
        <v>0</v>
      </c>
      <c r="CN267" s="137">
        <f>IF(AS267="nulová",J267,0)</f>
        <v>0</v>
      </c>
      <c r="CO267" s="16" t="s">
        <v>81</v>
      </c>
      <c r="CP267" s="137">
        <f>ROUND(I267*H267,2)</f>
        <v>1249.8499999999999</v>
      </c>
      <c r="CQ267" s="16" t="s">
        <v>95</v>
      </c>
      <c r="CR267" s="136" t="s">
        <v>3007</v>
      </c>
    </row>
    <row r="268" spans="2:96" s="1" customFormat="1" x14ac:dyDescent="0.2">
      <c r="B268" s="31"/>
      <c r="D268" s="138" t="s">
        <v>289</v>
      </c>
      <c r="F268" s="139" t="s">
        <v>2950</v>
      </c>
      <c r="I268" s="140"/>
      <c r="L268" s="31"/>
      <c r="N268" s="213"/>
      <c r="O268" s="214"/>
      <c r="Q268" s="229"/>
      <c r="AR268" s="141"/>
      <c r="AY268" s="50"/>
      <c r="BY268" s="16" t="s">
        <v>289</v>
      </c>
      <c r="BZ268" s="16" t="s">
        <v>90</v>
      </c>
    </row>
    <row r="269" spans="2:96" s="1" customFormat="1" ht="14.45" customHeight="1" x14ac:dyDescent="0.2">
      <c r="B269" s="124"/>
      <c r="C269" s="125" t="s">
        <v>681</v>
      </c>
      <c r="D269" s="125" t="s">
        <v>284</v>
      </c>
      <c r="E269" s="126" t="s">
        <v>2957</v>
      </c>
      <c r="F269" s="127" t="s">
        <v>2958</v>
      </c>
      <c r="G269" s="128" t="s">
        <v>344</v>
      </c>
      <c r="H269" s="129">
        <v>0.5</v>
      </c>
      <c r="I269" s="130">
        <v>324.31718352299998</v>
      </c>
      <c r="J269" s="131">
        <f>ROUND(I269*H269,2)</f>
        <v>162.16</v>
      </c>
      <c r="K269" s="127" t="s">
        <v>1</v>
      </c>
      <c r="L269" s="268">
        <f>S269</f>
        <v>0</v>
      </c>
      <c r="M269" s="272">
        <f>ROUND(L269*I269,2)</f>
        <v>0</v>
      </c>
      <c r="N269" s="243"/>
      <c r="O269" s="294">
        <f>ROUND(N269*I269,2)</f>
        <v>0</v>
      </c>
      <c r="P269" s="273">
        <f>H269-L269-N269</f>
        <v>0.5</v>
      </c>
      <c r="Q269" s="287">
        <f>ROUND(P269*I269,2)</f>
        <v>162.16</v>
      </c>
      <c r="R269" s="137"/>
      <c r="S269" s="269">
        <f>W269+Y269+AA269+AC269</f>
        <v>0</v>
      </c>
      <c r="T269" s="269">
        <f>ROUND(S269*I269,2)</f>
        <v>0</v>
      </c>
      <c r="U269" s="269">
        <f>H269-S269</f>
        <v>0.5</v>
      </c>
      <c r="V269" s="269">
        <f>ROUND(U269*I269,2)</f>
        <v>162.16</v>
      </c>
      <c r="W269" s="269"/>
      <c r="X269" s="269"/>
      <c r="Y269" s="269"/>
      <c r="Z269" s="269"/>
      <c r="AA269" s="269"/>
      <c r="AB269" s="269"/>
      <c r="AC269" s="269"/>
      <c r="AD269" s="269"/>
      <c r="AR269" s="132" t="s">
        <v>1</v>
      </c>
      <c r="AS269" s="133" t="s">
        <v>40</v>
      </c>
      <c r="AU269" s="134">
        <f>AT269*H269</f>
        <v>0</v>
      </c>
      <c r="AV269" s="134">
        <v>0</v>
      </c>
      <c r="AW269" s="134">
        <f>AV269*H269</f>
        <v>0</v>
      </c>
      <c r="AX269" s="134">
        <v>0</v>
      </c>
      <c r="AY269" s="135">
        <f>AX269*H269</f>
        <v>0</v>
      </c>
      <c r="BW269" s="136" t="s">
        <v>95</v>
      </c>
      <c r="BY269" s="136" t="s">
        <v>284</v>
      </c>
      <c r="BZ269" s="136" t="s">
        <v>90</v>
      </c>
      <c r="CD269" s="16" t="s">
        <v>282</v>
      </c>
      <c r="CJ269" s="137">
        <f>IF(AS269="základní",J269,0)</f>
        <v>162.16</v>
      </c>
      <c r="CK269" s="137">
        <f>IF(AS269="snížená",J269,0)</f>
        <v>0</v>
      </c>
      <c r="CL269" s="137">
        <f>IF(AS269="zákl. přenesená",J269,0)</f>
        <v>0</v>
      </c>
      <c r="CM269" s="137">
        <f>IF(AS269="sníž. přenesená",J269,0)</f>
        <v>0</v>
      </c>
      <c r="CN269" s="137">
        <f>IF(AS269="nulová",J269,0)</f>
        <v>0</v>
      </c>
      <c r="CO269" s="16" t="s">
        <v>81</v>
      </c>
      <c r="CP269" s="137">
        <f>ROUND(I269*H269,2)</f>
        <v>162.16</v>
      </c>
      <c r="CQ269" s="16" t="s">
        <v>95</v>
      </c>
      <c r="CR269" s="136" t="s">
        <v>3008</v>
      </c>
    </row>
    <row r="270" spans="2:96" s="1" customFormat="1" x14ac:dyDescent="0.2">
      <c r="B270" s="31"/>
      <c r="D270" s="138" t="s">
        <v>289</v>
      </c>
      <c r="F270" s="139" t="s">
        <v>2958</v>
      </c>
      <c r="I270" s="140"/>
      <c r="L270" s="31"/>
      <c r="N270" s="213"/>
      <c r="O270" s="214"/>
      <c r="Q270" s="229"/>
      <c r="AR270" s="141"/>
      <c r="AY270" s="50"/>
      <c r="BY270" s="16" t="s">
        <v>289</v>
      </c>
      <c r="BZ270" s="16" t="s">
        <v>90</v>
      </c>
    </row>
    <row r="271" spans="2:96" s="1" customFormat="1" ht="24.2" customHeight="1" x14ac:dyDescent="0.2">
      <c r="B271" s="124"/>
      <c r="C271" s="125" t="s">
        <v>688</v>
      </c>
      <c r="D271" s="125" t="s">
        <v>284</v>
      </c>
      <c r="E271" s="126" t="s">
        <v>2965</v>
      </c>
      <c r="F271" s="127" t="s">
        <v>2966</v>
      </c>
      <c r="G271" s="128" t="s">
        <v>485</v>
      </c>
      <c r="H271" s="129">
        <v>125</v>
      </c>
      <c r="I271" s="130">
        <v>61.881601680999999</v>
      </c>
      <c r="J271" s="131">
        <f>ROUND(I271*H271,2)</f>
        <v>7735.2</v>
      </c>
      <c r="K271" s="127" t="s">
        <v>1</v>
      </c>
      <c r="L271" s="268">
        <f>S271</f>
        <v>0</v>
      </c>
      <c r="M271" s="272">
        <f>ROUND(L271*I271,2)</f>
        <v>0</v>
      </c>
      <c r="N271" s="243"/>
      <c r="O271" s="294">
        <f>ROUND(N271*I271,2)</f>
        <v>0</v>
      </c>
      <c r="P271" s="273">
        <f>H271-L271-N271</f>
        <v>125</v>
      </c>
      <c r="Q271" s="287">
        <f>ROUND(P271*I271,2)</f>
        <v>7735.2</v>
      </c>
      <c r="R271" s="137"/>
      <c r="S271" s="269">
        <f>W271+Y271+AA271+AC271</f>
        <v>0</v>
      </c>
      <c r="T271" s="269">
        <f>ROUND(S271*I271,2)</f>
        <v>0</v>
      </c>
      <c r="U271" s="269">
        <f>H271-S271</f>
        <v>125</v>
      </c>
      <c r="V271" s="269">
        <f>ROUND(U271*I271,2)</f>
        <v>7735.2</v>
      </c>
      <c r="W271" s="269"/>
      <c r="X271" s="269"/>
      <c r="Y271" s="269"/>
      <c r="Z271" s="269"/>
      <c r="AA271" s="269"/>
      <c r="AB271" s="269"/>
      <c r="AC271" s="269"/>
      <c r="AD271" s="269"/>
      <c r="AR271" s="132" t="s">
        <v>1</v>
      </c>
      <c r="AS271" s="133" t="s">
        <v>40</v>
      </c>
      <c r="AU271" s="134">
        <f>AT271*H271</f>
        <v>0</v>
      </c>
      <c r="AV271" s="134">
        <v>0</v>
      </c>
      <c r="AW271" s="134">
        <f>AV271*H271</f>
        <v>0</v>
      </c>
      <c r="AX271" s="134">
        <v>0</v>
      </c>
      <c r="AY271" s="135">
        <f>AX271*H271</f>
        <v>0</v>
      </c>
      <c r="BW271" s="136" t="s">
        <v>95</v>
      </c>
      <c r="BY271" s="136" t="s">
        <v>284</v>
      </c>
      <c r="BZ271" s="136" t="s">
        <v>90</v>
      </c>
      <c r="CD271" s="16" t="s">
        <v>282</v>
      </c>
      <c r="CJ271" s="137">
        <f>IF(AS271="základní",J271,0)</f>
        <v>7735.2</v>
      </c>
      <c r="CK271" s="137">
        <f>IF(AS271="snížená",J271,0)</f>
        <v>0</v>
      </c>
      <c r="CL271" s="137">
        <f>IF(AS271="zákl. přenesená",J271,0)</f>
        <v>0</v>
      </c>
      <c r="CM271" s="137">
        <f>IF(AS271="sníž. přenesená",J271,0)</f>
        <v>0</v>
      </c>
      <c r="CN271" s="137">
        <f>IF(AS271="nulová",J271,0)</f>
        <v>0</v>
      </c>
      <c r="CO271" s="16" t="s">
        <v>81</v>
      </c>
      <c r="CP271" s="137">
        <f>ROUND(I271*H271,2)</f>
        <v>7735.2</v>
      </c>
      <c r="CQ271" s="16" t="s">
        <v>95</v>
      </c>
      <c r="CR271" s="136" t="s">
        <v>3009</v>
      </c>
    </row>
    <row r="272" spans="2:96" s="1" customFormat="1" x14ac:dyDescent="0.2">
      <c r="B272" s="31"/>
      <c r="D272" s="138" t="s">
        <v>289</v>
      </c>
      <c r="F272" s="139" t="s">
        <v>2966</v>
      </c>
      <c r="I272" s="140"/>
      <c r="L272" s="31"/>
      <c r="N272" s="213"/>
      <c r="O272" s="214"/>
      <c r="Q272" s="229"/>
      <c r="AR272" s="141"/>
      <c r="AY272" s="50"/>
      <c r="BY272" s="16" t="s">
        <v>289</v>
      </c>
      <c r="BZ272" s="16" t="s">
        <v>90</v>
      </c>
    </row>
    <row r="273" spans="2:96" s="1" customFormat="1" ht="14.45" customHeight="1" x14ac:dyDescent="0.2">
      <c r="B273" s="124"/>
      <c r="C273" s="125" t="s">
        <v>697</v>
      </c>
      <c r="D273" s="125" t="s">
        <v>284</v>
      </c>
      <c r="E273" s="126" t="s">
        <v>3010</v>
      </c>
      <c r="F273" s="127" t="s">
        <v>2968</v>
      </c>
      <c r="G273" s="128" t="s">
        <v>315</v>
      </c>
      <c r="H273" s="129">
        <v>1</v>
      </c>
      <c r="I273" s="130">
        <v>2709.6715365190003</v>
      </c>
      <c r="J273" s="131">
        <f>ROUND(I273*H273,2)</f>
        <v>2709.67</v>
      </c>
      <c r="K273" s="127" t="s">
        <v>1</v>
      </c>
      <c r="L273" s="268">
        <f>S273</f>
        <v>0</v>
      </c>
      <c r="M273" s="272">
        <f>ROUND(L273*I273,2)</f>
        <v>0</v>
      </c>
      <c r="N273" s="243"/>
      <c r="O273" s="294">
        <f>ROUND(N273*I273,2)</f>
        <v>0</v>
      </c>
      <c r="P273" s="273">
        <f>H273-L273-N273</f>
        <v>1</v>
      </c>
      <c r="Q273" s="287">
        <f>ROUND(P273*I273,2)</f>
        <v>2709.67</v>
      </c>
      <c r="R273" s="137"/>
      <c r="S273" s="269">
        <f>W273+Y273+AA273+AC273</f>
        <v>0</v>
      </c>
      <c r="T273" s="269">
        <f>ROUND(S273*I273,2)</f>
        <v>0</v>
      </c>
      <c r="U273" s="269">
        <f>H273-S273</f>
        <v>1</v>
      </c>
      <c r="V273" s="269">
        <f>ROUND(U273*I273,2)</f>
        <v>2709.67</v>
      </c>
      <c r="W273" s="269"/>
      <c r="X273" s="269"/>
      <c r="Y273" s="269"/>
      <c r="Z273" s="269"/>
      <c r="AA273" s="269"/>
      <c r="AB273" s="269"/>
      <c r="AC273" s="269"/>
      <c r="AD273" s="269"/>
      <c r="AR273" s="132" t="s">
        <v>1</v>
      </c>
      <c r="AS273" s="133" t="s">
        <v>40</v>
      </c>
      <c r="AU273" s="134">
        <f>AT273*H273</f>
        <v>0</v>
      </c>
      <c r="AV273" s="134">
        <v>0</v>
      </c>
      <c r="AW273" s="134">
        <f>AV273*H273</f>
        <v>0</v>
      </c>
      <c r="AX273" s="134">
        <v>0</v>
      </c>
      <c r="AY273" s="135">
        <f>AX273*H273</f>
        <v>0</v>
      </c>
      <c r="BW273" s="136" t="s">
        <v>95</v>
      </c>
      <c r="BY273" s="136" t="s">
        <v>284</v>
      </c>
      <c r="BZ273" s="136" t="s">
        <v>90</v>
      </c>
      <c r="CD273" s="16" t="s">
        <v>282</v>
      </c>
      <c r="CJ273" s="137">
        <f>IF(AS273="základní",J273,0)</f>
        <v>2709.67</v>
      </c>
      <c r="CK273" s="137">
        <f>IF(AS273="snížená",J273,0)</f>
        <v>0</v>
      </c>
      <c r="CL273" s="137">
        <f>IF(AS273="zákl. přenesená",J273,0)</f>
        <v>0</v>
      </c>
      <c r="CM273" s="137">
        <f>IF(AS273="sníž. přenesená",J273,0)</f>
        <v>0</v>
      </c>
      <c r="CN273" s="137">
        <f>IF(AS273="nulová",J273,0)</f>
        <v>0</v>
      </c>
      <c r="CO273" s="16" t="s">
        <v>81</v>
      </c>
      <c r="CP273" s="137">
        <f>ROUND(I273*H273,2)</f>
        <v>2709.67</v>
      </c>
      <c r="CQ273" s="16" t="s">
        <v>95</v>
      </c>
      <c r="CR273" s="136" t="s">
        <v>3011</v>
      </c>
    </row>
    <row r="274" spans="2:96" s="1" customFormat="1" x14ac:dyDescent="0.2">
      <c r="B274" s="31"/>
      <c r="D274" s="138" t="s">
        <v>289</v>
      </c>
      <c r="F274" s="139" t="s">
        <v>2968</v>
      </c>
      <c r="I274" s="140"/>
      <c r="L274" s="31"/>
      <c r="N274" s="213"/>
      <c r="O274" s="214"/>
      <c r="Q274" s="229"/>
      <c r="AR274" s="141"/>
      <c r="AY274" s="50"/>
      <c r="BY274" s="16" t="s">
        <v>289</v>
      </c>
      <c r="BZ274" s="16" t="s">
        <v>90</v>
      </c>
    </row>
    <row r="275" spans="2:96" s="10" customFormat="1" ht="22.9" customHeight="1" x14ac:dyDescent="0.2">
      <c r="B275" s="112"/>
      <c r="D275" s="113" t="s">
        <v>73</v>
      </c>
      <c r="E275" s="122" t="s">
        <v>3055</v>
      </c>
      <c r="F275" s="122" t="s">
        <v>3012</v>
      </c>
      <c r="I275" s="115"/>
      <c r="J275" s="123">
        <f>CP275</f>
        <v>16976.859999999997</v>
      </c>
      <c r="L275" s="112"/>
      <c r="M275" s="270">
        <f>SUM(M276:M294)</f>
        <v>0</v>
      </c>
      <c r="N275" s="301"/>
      <c r="O275" s="302">
        <f t="shared" ref="O275:V275" si="5">SUM(O276:O294)</f>
        <v>0</v>
      </c>
      <c r="P275" s="270"/>
      <c r="Q275" s="288">
        <f t="shared" si="5"/>
        <v>16976.859999999997</v>
      </c>
      <c r="R275" s="270"/>
      <c r="S275" s="270"/>
      <c r="T275" s="270">
        <f t="shared" si="5"/>
        <v>0</v>
      </c>
      <c r="U275" s="270"/>
      <c r="V275" s="270">
        <f t="shared" si="5"/>
        <v>16976.859999999997</v>
      </c>
      <c r="AR275" s="117"/>
      <c r="AU275" s="118">
        <f>SUM(AU276:AU295)</f>
        <v>0</v>
      </c>
      <c r="AW275" s="118">
        <f>SUM(AW276:AW295)</f>
        <v>0</v>
      </c>
      <c r="AY275" s="119">
        <f>SUM(AY276:AY295)</f>
        <v>0</v>
      </c>
      <c r="BW275" s="113" t="s">
        <v>81</v>
      </c>
      <c r="BY275" s="120" t="s">
        <v>73</v>
      </c>
      <c r="BZ275" s="120" t="s">
        <v>81</v>
      </c>
      <c r="CD275" s="113" t="s">
        <v>282</v>
      </c>
      <c r="CP275" s="121">
        <f>SUM(CP276:CP295)</f>
        <v>16976.859999999997</v>
      </c>
    </row>
    <row r="276" spans="2:96" s="1" customFormat="1" ht="14.45" customHeight="1" x14ac:dyDescent="0.2">
      <c r="B276" s="124"/>
      <c r="C276" s="125" t="s">
        <v>704</v>
      </c>
      <c r="D276" s="125" t="s">
        <v>284</v>
      </c>
      <c r="E276" s="126" t="s">
        <v>3013</v>
      </c>
      <c r="F276" s="127" t="s">
        <v>3014</v>
      </c>
      <c r="G276" s="128" t="s">
        <v>344</v>
      </c>
      <c r="H276" s="129">
        <v>15</v>
      </c>
      <c r="I276" s="130">
        <v>84.539001224999993</v>
      </c>
      <c r="J276" s="131">
        <f>ROUND(I276*H276,2)</f>
        <v>1268.0899999999999</v>
      </c>
      <c r="K276" s="127" t="s">
        <v>1</v>
      </c>
      <c r="L276" s="268">
        <f>S276</f>
        <v>0</v>
      </c>
      <c r="M276" s="272">
        <f>ROUND(L276*I276,2)</f>
        <v>0</v>
      </c>
      <c r="N276" s="243"/>
      <c r="O276" s="294">
        <f>ROUND(N276*I276,2)</f>
        <v>0</v>
      </c>
      <c r="P276" s="273">
        <f>H276-L276-N276</f>
        <v>15</v>
      </c>
      <c r="Q276" s="287">
        <f>ROUND(P276*I276,2)</f>
        <v>1268.0899999999999</v>
      </c>
      <c r="R276" s="137"/>
      <c r="S276" s="269">
        <f>W276+Y276+AA276+AC276</f>
        <v>0</v>
      </c>
      <c r="T276" s="269">
        <f>ROUND(S276*I276,2)</f>
        <v>0</v>
      </c>
      <c r="U276" s="269">
        <f>H276-S276</f>
        <v>15</v>
      </c>
      <c r="V276" s="269">
        <f>ROUND(U276*I276,2)</f>
        <v>1268.0899999999999</v>
      </c>
      <c r="W276" s="269"/>
      <c r="X276" s="269"/>
      <c r="Y276" s="269"/>
      <c r="Z276" s="269"/>
      <c r="AA276" s="269"/>
      <c r="AB276" s="269"/>
      <c r="AC276" s="269"/>
      <c r="AD276" s="269"/>
      <c r="AR276" s="132" t="s">
        <v>1</v>
      </c>
      <c r="AS276" s="133" t="s">
        <v>40</v>
      </c>
      <c r="AU276" s="134">
        <f>AT276*H276</f>
        <v>0</v>
      </c>
      <c r="AV276" s="134">
        <v>0</v>
      </c>
      <c r="AW276" s="134">
        <f>AV276*H276</f>
        <v>0</v>
      </c>
      <c r="AX276" s="134">
        <v>0</v>
      </c>
      <c r="AY276" s="135">
        <f>AX276*H276</f>
        <v>0</v>
      </c>
      <c r="BW276" s="136" t="s">
        <v>95</v>
      </c>
      <c r="BY276" s="136" t="s">
        <v>284</v>
      </c>
      <c r="BZ276" s="136" t="s">
        <v>83</v>
      </c>
      <c r="CD276" s="16" t="s">
        <v>282</v>
      </c>
      <c r="CJ276" s="137">
        <f>IF(AS276="základní",J276,0)</f>
        <v>1268.0899999999999</v>
      </c>
      <c r="CK276" s="137">
        <f>IF(AS276="snížená",J276,0)</f>
        <v>0</v>
      </c>
      <c r="CL276" s="137">
        <f>IF(AS276="zákl. přenesená",J276,0)</f>
        <v>0</v>
      </c>
      <c r="CM276" s="137">
        <f>IF(AS276="sníž. přenesená",J276,0)</f>
        <v>0</v>
      </c>
      <c r="CN276" s="137">
        <f>IF(AS276="nulová",J276,0)</f>
        <v>0</v>
      </c>
      <c r="CO276" s="16" t="s">
        <v>81</v>
      </c>
      <c r="CP276" s="137">
        <f>ROUND(I276*H276,2)</f>
        <v>1268.0899999999999</v>
      </c>
      <c r="CQ276" s="16" t="s">
        <v>95</v>
      </c>
      <c r="CR276" s="136" t="s">
        <v>3015</v>
      </c>
    </row>
    <row r="277" spans="2:96" s="1" customFormat="1" x14ac:dyDescent="0.2">
      <c r="B277" s="31"/>
      <c r="D277" s="138" t="s">
        <v>289</v>
      </c>
      <c r="F277" s="139" t="s">
        <v>3014</v>
      </c>
      <c r="I277" s="140"/>
      <c r="L277" s="31"/>
      <c r="N277" s="213"/>
      <c r="O277" s="214"/>
      <c r="Q277" s="229"/>
      <c r="AR277" s="141"/>
      <c r="AY277" s="50"/>
      <c r="BY277" s="16" t="s">
        <v>289</v>
      </c>
      <c r="BZ277" s="16" t="s">
        <v>83</v>
      </c>
    </row>
    <row r="278" spans="2:96" s="1" customFormat="1" ht="14.45" customHeight="1" x14ac:dyDescent="0.2">
      <c r="B278" s="124"/>
      <c r="C278" s="125" t="s">
        <v>710</v>
      </c>
      <c r="D278" s="125" t="s">
        <v>284</v>
      </c>
      <c r="E278" s="126" t="s">
        <v>3016</v>
      </c>
      <c r="F278" s="127" t="s">
        <v>3017</v>
      </c>
      <c r="G278" s="128" t="s">
        <v>344</v>
      </c>
      <c r="H278" s="129">
        <v>15</v>
      </c>
      <c r="I278" s="130">
        <v>72.604083405000011</v>
      </c>
      <c r="J278" s="131">
        <f>ROUND(I278*H278,2)</f>
        <v>1089.06</v>
      </c>
      <c r="K278" s="127" t="s">
        <v>1</v>
      </c>
      <c r="L278" s="268">
        <f>S278</f>
        <v>0</v>
      </c>
      <c r="M278" s="272">
        <f>ROUND(L278*I278,2)</f>
        <v>0</v>
      </c>
      <c r="N278" s="243"/>
      <c r="O278" s="294">
        <f>ROUND(N278*I278,2)</f>
        <v>0</v>
      </c>
      <c r="P278" s="273">
        <f>H278-L278-N278</f>
        <v>15</v>
      </c>
      <c r="Q278" s="287">
        <f>ROUND(P278*I278,2)</f>
        <v>1089.06</v>
      </c>
      <c r="R278" s="137"/>
      <c r="S278" s="269">
        <f>W278+Y278+AA278+AC278</f>
        <v>0</v>
      </c>
      <c r="T278" s="269">
        <f>ROUND(S278*I278,2)</f>
        <v>0</v>
      </c>
      <c r="U278" s="269">
        <f>H278-S278</f>
        <v>15</v>
      </c>
      <c r="V278" s="269">
        <f>ROUND(U278*I278,2)</f>
        <v>1089.06</v>
      </c>
      <c r="W278" s="269"/>
      <c r="X278" s="269"/>
      <c r="Y278" s="269"/>
      <c r="Z278" s="269"/>
      <c r="AA278" s="269"/>
      <c r="AB278" s="269"/>
      <c r="AC278" s="269"/>
      <c r="AD278" s="269"/>
      <c r="AR278" s="132" t="s">
        <v>1</v>
      </c>
      <c r="AS278" s="133" t="s">
        <v>40</v>
      </c>
      <c r="AU278" s="134">
        <f>AT278*H278</f>
        <v>0</v>
      </c>
      <c r="AV278" s="134">
        <v>0</v>
      </c>
      <c r="AW278" s="134">
        <f>AV278*H278</f>
        <v>0</v>
      </c>
      <c r="AX278" s="134">
        <v>0</v>
      </c>
      <c r="AY278" s="135">
        <f>AX278*H278</f>
        <v>0</v>
      </c>
      <c r="BW278" s="136" t="s">
        <v>95</v>
      </c>
      <c r="BY278" s="136" t="s">
        <v>284</v>
      </c>
      <c r="BZ278" s="136" t="s">
        <v>83</v>
      </c>
      <c r="CD278" s="16" t="s">
        <v>282</v>
      </c>
      <c r="CJ278" s="137">
        <f>IF(AS278="základní",J278,0)</f>
        <v>1089.06</v>
      </c>
      <c r="CK278" s="137">
        <f>IF(AS278="snížená",J278,0)</f>
        <v>0</v>
      </c>
      <c r="CL278" s="137">
        <f>IF(AS278="zákl. přenesená",J278,0)</f>
        <v>0</v>
      </c>
      <c r="CM278" s="137">
        <f>IF(AS278="sníž. přenesená",J278,0)</f>
        <v>0</v>
      </c>
      <c r="CN278" s="137">
        <f>IF(AS278="nulová",J278,0)</f>
        <v>0</v>
      </c>
      <c r="CO278" s="16" t="s">
        <v>81</v>
      </c>
      <c r="CP278" s="137">
        <f>ROUND(I278*H278,2)</f>
        <v>1089.06</v>
      </c>
      <c r="CQ278" s="16" t="s">
        <v>95</v>
      </c>
      <c r="CR278" s="136" t="s">
        <v>3018</v>
      </c>
    </row>
    <row r="279" spans="2:96" s="1" customFormat="1" x14ac:dyDescent="0.2">
      <c r="B279" s="31"/>
      <c r="D279" s="138" t="s">
        <v>289</v>
      </c>
      <c r="F279" s="139" t="s">
        <v>3017</v>
      </c>
      <c r="I279" s="140"/>
      <c r="L279" s="31"/>
      <c r="N279" s="213"/>
      <c r="O279" s="214"/>
      <c r="Q279" s="229"/>
      <c r="AR279" s="141"/>
      <c r="AY279" s="50"/>
      <c r="BY279" s="16" t="s">
        <v>289</v>
      </c>
      <c r="BZ279" s="16" t="s">
        <v>83</v>
      </c>
    </row>
    <row r="280" spans="2:96" s="1" customFormat="1" ht="14.45" customHeight="1" x14ac:dyDescent="0.2">
      <c r="B280" s="124"/>
      <c r="C280" s="125" t="s">
        <v>715</v>
      </c>
      <c r="D280" s="125" t="s">
        <v>284</v>
      </c>
      <c r="E280" s="126" t="s">
        <v>3019</v>
      </c>
      <c r="F280" s="127" t="s">
        <v>3020</v>
      </c>
      <c r="G280" s="128" t="s">
        <v>315</v>
      </c>
      <c r="H280" s="129">
        <v>1</v>
      </c>
      <c r="I280" s="130">
        <v>1079.532261133</v>
      </c>
      <c r="J280" s="131">
        <f>ROUND(I280*H280,2)</f>
        <v>1079.53</v>
      </c>
      <c r="K280" s="127" t="s">
        <v>1</v>
      </c>
      <c r="L280" s="268">
        <f>S280</f>
        <v>0</v>
      </c>
      <c r="M280" s="272">
        <f>ROUND(L280*I280,2)</f>
        <v>0</v>
      </c>
      <c r="N280" s="243"/>
      <c r="O280" s="294">
        <f>ROUND(N280*I280,2)</f>
        <v>0</v>
      </c>
      <c r="P280" s="273">
        <f>H280-L280-N280</f>
        <v>1</v>
      </c>
      <c r="Q280" s="287">
        <f>ROUND(P280*I280,2)</f>
        <v>1079.53</v>
      </c>
      <c r="R280" s="137"/>
      <c r="S280" s="269">
        <f>W280+Y280+AA280+AC280</f>
        <v>0</v>
      </c>
      <c r="T280" s="269">
        <f>ROUND(S280*I280,2)</f>
        <v>0</v>
      </c>
      <c r="U280" s="269">
        <f>H280-S280</f>
        <v>1</v>
      </c>
      <c r="V280" s="269">
        <f>ROUND(U280*I280,2)</f>
        <v>1079.53</v>
      </c>
      <c r="W280" s="269"/>
      <c r="X280" s="269"/>
      <c r="Y280" s="269"/>
      <c r="Z280" s="269"/>
      <c r="AA280" s="269"/>
      <c r="AB280" s="269"/>
      <c r="AC280" s="269"/>
      <c r="AD280" s="269"/>
      <c r="AR280" s="132" t="s">
        <v>1</v>
      </c>
      <c r="AS280" s="133" t="s">
        <v>40</v>
      </c>
      <c r="AU280" s="134">
        <f>AT280*H280</f>
        <v>0</v>
      </c>
      <c r="AV280" s="134">
        <v>0</v>
      </c>
      <c r="AW280" s="134">
        <f>AV280*H280</f>
        <v>0</v>
      </c>
      <c r="AX280" s="134">
        <v>0</v>
      </c>
      <c r="AY280" s="135">
        <f>AX280*H280</f>
        <v>0</v>
      </c>
      <c r="BW280" s="136" t="s">
        <v>95</v>
      </c>
      <c r="BY280" s="136" t="s">
        <v>284</v>
      </c>
      <c r="BZ280" s="136" t="s">
        <v>83</v>
      </c>
      <c r="CD280" s="16" t="s">
        <v>282</v>
      </c>
      <c r="CJ280" s="137">
        <f>IF(AS280="základní",J280,0)</f>
        <v>1079.53</v>
      </c>
      <c r="CK280" s="137">
        <f>IF(AS280="snížená",J280,0)</f>
        <v>0</v>
      </c>
      <c r="CL280" s="137">
        <f>IF(AS280="zákl. přenesená",J280,0)</f>
        <v>0</v>
      </c>
      <c r="CM280" s="137">
        <f>IF(AS280="sníž. přenesená",J280,0)</f>
        <v>0</v>
      </c>
      <c r="CN280" s="137">
        <f>IF(AS280="nulová",J280,0)</f>
        <v>0</v>
      </c>
      <c r="CO280" s="16" t="s">
        <v>81</v>
      </c>
      <c r="CP280" s="137">
        <f>ROUND(I280*H280,2)</f>
        <v>1079.53</v>
      </c>
      <c r="CQ280" s="16" t="s">
        <v>95</v>
      </c>
      <c r="CR280" s="136" t="s">
        <v>3021</v>
      </c>
    </row>
    <row r="281" spans="2:96" s="1" customFormat="1" x14ac:dyDescent="0.2">
      <c r="B281" s="31"/>
      <c r="D281" s="138" t="s">
        <v>289</v>
      </c>
      <c r="F281" s="139" t="s">
        <v>3020</v>
      </c>
      <c r="I281" s="140"/>
      <c r="L281" s="31"/>
      <c r="N281" s="213"/>
      <c r="O281" s="214"/>
      <c r="Q281" s="229"/>
      <c r="AR281" s="141"/>
      <c r="AY281" s="50"/>
      <c r="BY281" s="16" t="s">
        <v>289</v>
      </c>
      <c r="BZ281" s="16" t="s">
        <v>83</v>
      </c>
    </row>
    <row r="282" spans="2:96" s="1" customFormat="1" ht="14.45" customHeight="1" x14ac:dyDescent="0.2">
      <c r="B282" s="124"/>
      <c r="C282" s="125" t="s">
        <v>718</v>
      </c>
      <c r="D282" s="125" t="s">
        <v>284</v>
      </c>
      <c r="E282" s="126" t="s">
        <v>3022</v>
      </c>
      <c r="F282" s="127" t="s">
        <v>3023</v>
      </c>
      <c r="G282" s="128" t="s">
        <v>315</v>
      </c>
      <c r="H282" s="129">
        <v>2</v>
      </c>
      <c r="I282" s="130">
        <v>2851.1192569999998</v>
      </c>
      <c r="J282" s="131">
        <f>ROUND(I282*H282,2)</f>
        <v>5702.24</v>
      </c>
      <c r="K282" s="127" t="s">
        <v>1</v>
      </c>
      <c r="L282" s="268">
        <f>S282</f>
        <v>0</v>
      </c>
      <c r="M282" s="272">
        <f>ROUND(L282*I282,2)</f>
        <v>0</v>
      </c>
      <c r="N282" s="243"/>
      <c r="O282" s="294">
        <f>ROUND(N282*I282,2)</f>
        <v>0</v>
      </c>
      <c r="P282" s="273">
        <f>H282-L282-N282</f>
        <v>2</v>
      </c>
      <c r="Q282" s="287">
        <f>ROUND(P282*I282,2)</f>
        <v>5702.24</v>
      </c>
      <c r="R282" s="137"/>
      <c r="S282" s="269">
        <f>W282+Y282+AA282+AC282</f>
        <v>0</v>
      </c>
      <c r="T282" s="269">
        <f>ROUND(S282*I282,2)</f>
        <v>0</v>
      </c>
      <c r="U282" s="269">
        <f>H282-S282</f>
        <v>2</v>
      </c>
      <c r="V282" s="269">
        <f>ROUND(U282*I282,2)</f>
        <v>5702.24</v>
      </c>
      <c r="W282" s="269"/>
      <c r="X282" s="269"/>
      <c r="Y282" s="269"/>
      <c r="Z282" s="269"/>
      <c r="AA282" s="269"/>
      <c r="AB282" s="269"/>
      <c r="AC282" s="269"/>
      <c r="AD282" s="269"/>
      <c r="AR282" s="132" t="s">
        <v>1</v>
      </c>
      <c r="AS282" s="133" t="s">
        <v>40</v>
      </c>
      <c r="AU282" s="134">
        <f>AT282*H282</f>
        <v>0</v>
      </c>
      <c r="AV282" s="134">
        <v>0</v>
      </c>
      <c r="AW282" s="134">
        <f>AV282*H282</f>
        <v>0</v>
      </c>
      <c r="AX282" s="134">
        <v>0</v>
      </c>
      <c r="AY282" s="135">
        <f>AX282*H282</f>
        <v>0</v>
      </c>
      <c r="BW282" s="136" t="s">
        <v>95</v>
      </c>
      <c r="BY282" s="136" t="s">
        <v>284</v>
      </c>
      <c r="BZ282" s="136" t="s">
        <v>83</v>
      </c>
      <c r="CD282" s="16" t="s">
        <v>282</v>
      </c>
      <c r="CJ282" s="137">
        <f>IF(AS282="základní",J282,0)</f>
        <v>5702.24</v>
      </c>
      <c r="CK282" s="137">
        <f>IF(AS282="snížená",J282,0)</f>
        <v>0</v>
      </c>
      <c r="CL282" s="137">
        <f>IF(AS282="zákl. přenesená",J282,0)</f>
        <v>0</v>
      </c>
      <c r="CM282" s="137">
        <f>IF(AS282="sníž. přenesená",J282,0)</f>
        <v>0</v>
      </c>
      <c r="CN282" s="137">
        <f>IF(AS282="nulová",J282,0)</f>
        <v>0</v>
      </c>
      <c r="CO282" s="16" t="s">
        <v>81</v>
      </c>
      <c r="CP282" s="137">
        <f>ROUND(I282*H282,2)</f>
        <v>5702.24</v>
      </c>
      <c r="CQ282" s="16" t="s">
        <v>95</v>
      </c>
      <c r="CR282" s="136" t="s">
        <v>3024</v>
      </c>
    </row>
    <row r="283" spans="2:96" s="1" customFormat="1" x14ac:dyDescent="0.2">
      <c r="B283" s="31"/>
      <c r="D283" s="138" t="s">
        <v>289</v>
      </c>
      <c r="F283" s="139" t="s">
        <v>3023</v>
      </c>
      <c r="I283" s="140"/>
      <c r="L283" s="31"/>
      <c r="N283" s="213"/>
      <c r="O283" s="214"/>
      <c r="Q283" s="229"/>
      <c r="AR283" s="141"/>
      <c r="AY283" s="50"/>
      <c r="BY283" s="16" t="s">
        <v>289</v>
      </c>
      <c r="BZ283" s="16" t="s">
        <v>83</v>
      </c>
    </row>
    <row r="284" spans="2:96" s="1" customFormat="1" ht="14.45" customHeight="1" x14ac:dyDescent="0.2">
      <c r="B284" s="124"/>
      <c r="C284" s="125" t="s">
        <v>724</v>
      </c>
      <c r="D284" s="125" t="s">
        <v>284</v>
      </c>
      <c r="E284" s="126" t="s">
        <v>3025</v>
      </c>
      <c r="F284" s="127" t="s">
        <v>3026</v>
      </c>
      <c r="G284" s="128" t="s">
        <v>315</v>
      </c>
      <c r="H284" s="129">
        <v>4</v>
      </c>
      <c r="I284" s="130">
        <v>646.25685563899992</v>
      </c>
      <c r="J284" s="131">
        <f>ROUND(I284*H284,2)</f>
        <v>2585.0300000000002</v>
      </c>
      <c r="K284" s="127" t="s">
        <v>1</v>
      </c>
      <c r="L284" s="268">
        <f>S284</f>
        <v>0</v>
      </c>
      <c r="M284" s="272">
        <f>ROUND(L284*I284,2)</f>
        <v>0</v>
      </c>
      <c r="N284" s="243"/>
      <c r="O284" s="294">
        <f>ROUND(N284*I284,2)</f>
        <v>0</v>
      </c>
      <c r="P284" s="273">
        <f>H284-L284-N284</f>
        <v>4</v>
      </c>
      <c r="Q284" s="287">
        <f>ROUND(P284*I284,2)</f>
        <v>2585.0300000000002</v>
      </c>
      <c r="R284" s="137"/>
      <c r="S284" s="269">
        <f>W284+Y284+AA284+AC284</f>
        <v>0</v>
      </c>
      <c r="T284" s="269">
        <f>ROUND(S284*I284,2)</f>
        <v>0</v>
      </c>
      <c r="U284" s="269">
        <f>H284-S284</f>
        <v>4</v>
      </c>
      <c r="V284" s="269">
        <f>ROUND(U284*I284,2)</f>
        <v>2585.0300000000002</v>
      </c>
      <c r="W284" s="269"/>
      <c r="X284" s="269"/>
      <c r="Y284" s="269"/>
      <c r="Z284" s="269"/>
      <c r="AA284" s="269"/>
      <c r="AB284" s="269"/>
      <c r="AC284" s="269"/>
      <c r="AD284" s="269"/>
      <c r="AR284" s="132" t="s">
        <v>1</v>
      </c>
      <c r="AS284" s="133" t="s">
        <v>40</v>
      </c>
      <c r="AU284" s="134">
        <f>AT284*H284</f>
        <v>0</v>
      </c>
      <c r="AV284" s="134">
        <v>0</v>
      </c>
      <c r="AW284" s="134">
        <f>AV284*H284</f>
        <v>0</v>
      </c>
      <c r="AX284" s="134">
        <v>0</v>
      </c>
      <c r="AY284" s="135">
        <f>AX284*H284</f>
        <v>0</v>
      </c>
      <c r="BW284" s="136" t="s">
        <v>95</v>
      </c>
      <c r="BY284" s="136" t="s">
        <v>284</v>
      </c>
      <c r="BZ284" s="136" t="s">
        <v>83</v>
      </c>
      <c r="CD284" s="16" t="s">
        <v>282</v>
      </c>
      <c r="CJ284" s="137">
        <f>IF(AS284="základní",J284,0)</f>
        <v>2585.0300000000002</v>
      </c>
      <c r="CK284" s="137">
        <f>IF(AS284="snížená",J284,0)</f>
        <v>0</v>
      </c>
      <c r="CL284" s="137">
        <f>IF(AS284="zákl. přenesená",J284,0)</f>
        <v>0</v>
      </c>
      <c r="CM284" s="137">
        <f>IF(AS284="sníž. přenesená",J284,0)</f>
        <v>0</v>
      </c>
      <c r="CN284" s="137">
        <f>IF(AS284="nulová",J284,0)</f>
        <v>0</v>
      </c>
      <c r="CO284" s="16" t="s">
        <v>81</v>
      </c>
      <c r="CP284" s="137">
        <f>ROUND(I284*H284,2)</f>
        <v>2585.0300000000002</v>
      </c>
      <c r="CQ284" s="16" t="s">
        <v>95</v>
      </c>
      <c r="CR284" s="136" t="s">
        <v>3027</v>
      </c>
    </row>
    <row r="285" spans="2:96" s="1" customFormat="1" x14ac:dyDescent="0.2">
      <c r="B285" s="31"/>
      <c r="D285" s="138" t="s">
        <v>289</v>
      </c>
      <c r="F285" s="139" t="s">
        <v>3026</v>
      </c>
      <c r="I285" s="140"/>
      <c r="L285" s="31"/>
      <c r="N285" s="213"/>
      <c r="O285" s="214"/>
      <c r="Q285" s="229"/>
      <c r="AR285" s="141"/>
      <c r="AY285" s="50"/>
      <c r="BY285" s="16" t="s">
        <v>289</v>
      </c>
      <c r="BZ285" s="16" t="s">
        <v>83</v>
      </c>
    </row>
    <row r="286" spans="2:96" s="1" customFormat="1" ht="14.45" customHeight="1" x14ac:dyDescent="0.2">
      <c r="B286" s="124"/>
      <c r="C286" s="125" t="s">
        <v>1544</v>
      </c>
      <c r="D286" s="125" t="s">
        <v>284</v>
      </c>
      <c r="E286" s="126" t="s">
        <v>3028</v>
      </c>
      <c r="F286" s="127" t="s">
        <v>3029</v>
      </c>
      <c r="G286" s="128" t="s">
        <v>315</v>
      </c>
      <c r="H286" s="129">
        <v>8</v>
      </c>
      <c r="I286" s="130">
        <v>100.622723811</v>
      </c>
      <c r="J286" s="131">
        <f>ROUND(I286*H286,2)</f>
        <v>804.98</v>
      </c>
      <c r="K286" s="127" t="s">
        <v>1</v>
      </c>
      <c r="L286" s="268">
        <f>S286</f>
        <v>0</v>
      </c>
      <c r="M286" s="272">
        <f>ROUND(L286*I286,2)</f>
        <v>0</v>
      </c>
      <c r="N286" s="243"/>
      <c r="O286" s="294">
        <f>ROUND(N286*I286,2)</f>
        <v>0</v>
      </c>
      <c r="P286" s="273">
        <f>H286-L286-N286</f>
        <v>8</v>
      </c>
      <c r="Q286" s="287">
        <f>ROUND(P286*I286,2)</f>
        <v>804.98</v>
      </c>
      <c r="R286" s="137"/>
      <c r="S286" s="269">
        <f>W286+Y286+AA286+AC286</f>
        <v>0</v>
      </c>
      <c r="T286" s="269">
        <f>ROUND(S286*I286,2)</f>
        <v>0</v>
      </c>
      <c r="U286" s="269">
        <f>H286-S286</f>
        <v>8</v>
      </c>
      <c r="V286" s="269">
        <f>ROUND(U286*I286,2)</f>
        <v>804.98</v>
      </c>
      <c r="W286" s="269"/>
      <c r="X286" s="269"/>
      <c r="Y286" s="269"/>
      <c r="Z286" s="269"/>
      <c r="AA286" s="269"/>
      <c r="AB286" s="269"/>
      <c r="AC286" s="269"/>
      <c r="AD286" s="269"/>
      <c r="AR286" s="132" t="s">
        <v>1</v>
      </c>
      <c r="AS286" s="133" t="s">
        <v>40</v>
      </c>
      <c r="AU286" s="134">
        <f>AT286*H286</f>
        <v>0</v>
      </c>
      <c r="AV286" s="134">
        <v>0</v>
      </c>
      <c r="AW286" s="134">
        <f>AV286*H286</f>
        <v>0</v>
      </c>
      <c r="AX286" s="134">
        <v>0</v>
      </c>
      <c r="AY286" s="135">
        <f>AX286*H286</f>
        <v>0</v>
      </c>
      <c r="BW286" s="136" t="s">
        <v>95</v>
      </c>
      <c r="BY286" s="136" t="s">
        <v>284</v>
      </c>
      <c r="BZ286" s="136" t="s">
        <v>83</v>
      </c>
      <c r="CD286" s="16" t="s">
        <v>282</v>
      </c>
      <c r="CJ286" s="137">
        <f>IF(AS286="základní",J286,0)</f>
        <v>804.98</v>
      </c>
      <c r="CK286" s="137">
        <f>IF(AS286="snížená",J286,0)</f>
        <v>0</v>
      </c>
      <c r="CL286" s="137">
        <f>IF(AS286="zákl. přenesená",J286,0)</f>
        <v>0</v>
      </c>
      <c r="CM286" s="137">
        <f>IF(AS286="sníž. přenesená",J286,0)</f>
        <v>0</v>
      </c>
      <c r="CN286" s="137">
        <f>IF(AS286="nulová",J286,0)</f>
        <v>0</v>
      </c>
      <c r="CO286" s="16" t="s">
        <v>81</v>
      </c>
      <c r="CP286" s="137">
        <f>ROUND(I286*H286,2)</f>
        <v>804.98</v>
      </c>
      <c r="CQ286" s="16" t="s">
        <v>95</v>
      </c>
      <c r="CR286" s="136" t="s">
        <v>3030</v>
      </c>
    </row>
    <row r="287" spans="2:96" s="1" customFormat="1" x14ac:dyDescent="0.2">
      <c r="B287" s="31"/>
      <c r="D287" s="138" t="s">
        <v>289</v>
      </c>
      <c r="F287" s="139" t="s">
        <v>3029</v>
      </c>
      <c r="I287" s="140"/>
      <c r="L287" s="31"/>
      <c r="N287" s="213"/>
      <c r="O287" s="214"/>
      <c r="Q287" s="229"/>
      <c r="AR287" s="141"/>
      <c r="AY287" s="50"/>
      <c r="BY287" s="16" t="s">
        <v>289</v>
      </c>
      <c r="BZ287" s="16" t="s">
        <v>83</v>
      </c>
    </row>
    <row r="288" spans="2:96" s="1" customFormat="1" ht="14.45" customHeight="1" x14ac:dyDescent="0.2">
      <c r="B288" s="124"/>
      <c r="C288" s="125" t="s">
        <v>1546</v>
      </c>
      <c r="D288" s="125" t="s">
        <v>284</v>
      </c>
      <c r="E288" s="126" t="s">
        <v>3031</v>
      </c>
      <c r="F288" s="127" t="s">
        <v>3032</v>
      </c>
      <c r="G288" s="128" t="s">
        <v>344</v>
      </c>
      <c r="H288" s="129">
        <v>10</v>
      </c>
      <c r="I288" s="130">
        <v>95.015206867000003</v>
      </c>
      <c r="J288" s="131">
        <f>ROUND(I288*H288,2)</f>
        <v>950.15</v>
      </c>
      <c r="K288" s="127" t="s">
        <v>1</v>
      </c>
      <c r="L288" s="268">
        <f>S288</f>
        <v>0</v>
      </c>
      <c r="M288" s="272">
        <f>ROUND(L288*I288,2)</f>
        <v>0</v>
      </c>
      <c r="N288" s="243"/>
      <c r="O288" s="294">
        <f>ROUND(N288*I288,2)</f>
        <v>0</v>
      </c>
      <c r="P288" s="273">
        <f>H288-L288-N288</f>
        <v>10</v>
      </c>
      <c r="Q288" s="287">
        <f>ROUND(P288*I288,2)</f>
        <v>950.15</v>
      </c>
      <c r="R288" s="137"/>
      <c r="S288" s="269">
        <f>W288+Y288+AA288+AC288</f>
        <v>0</v>
      </c>
      <c r="T288" s="269">
        <f>ROUND(S288*I288,2)</f>
        <v>0</v>
      </c>
      <c r="U288" s="269">
        <f>H288-S288</f>
        <v>10</v>
      </c>
      <c r="V288" s="269">
        <f>ROUND(U288*I288,2)</f>
        <v>950.15</v>
      </c>
      <c r="W288" s="269"/>
      <c r="X288" s="269"/>
      <c r="Y288" s="269"/>
      <c r="Z288" s="269"/>
      <c r="AA288" s="269"/>
      <c r="AB288" s="269"/>
      <c r="AC288" s="269"/>
      <c r="AD288" s="269"/>
      <c r="AR288" s="132" t="s">
        <v>1</v>
      </c>
      <c r="AS288" s="133" t="s">
        <v>40</v>
      </c>
      <c r="AU288" s="134">
        <f>AT288*H288</f>
        <v>0</v>
      </c>
      <c r="AV288" s="134">
        <v>0</v>
      </c>
      <c r="AW288" s="134">
        <f>AV288*H288</f>
        <v>0</v>
      </c>
      <c r="AX288" s="134">
        <v>0</v>
      </c>
      <c r="AY288" s="135">
        <f>AX288*H288</f>
        <v>0</v>
      </c>
      <c r="BW288" s="136" t="s">
        <v>95</v>
      </c>
      <c r="BY288" s="136" t="s">
        <v>284</v>
      </c>
      <c r="BZ288" s="136" t="s">
        <v>83</v>
      </c>
      <c r="CD288" s="16" t="s">
        <v>282</v>
      </c>
      <c r="CJ288" s="137">
        <f>IF(AS288="základní",J288,0)</f>
        <v>950.15</v>
      </c>
      <c r="CK288" s="137">
        <f>IF(AS288="snížená",J288,0)</f>
        <v>0</v>
      </c>
      <c r="CL288" s="137">
        <f>IF(AS288="zákl. přenesená",J288,0)</f>
        <v>0</v>
      </c>
      <c r="CM288" s="137">
        <f>IF(AS288="sníž. přenesená",J288,0)</f>
        <v>0</v>
      </c>
      <c r="CN288" s="137">
        <f>IF(AS288="nulová",J288,0)</f>
        <v>0</v>
      </c>
      <c r="CO288" s="16" t="s">
        <v>81</v>
      </c>
      <c r="CP288" s="137">
        <f>ROUND(I288*H288,2)</f>
        <v>950.15</v>
      </c>
      <c r="CQ288" s="16" t="s">
        <v>95</v>
      </c>
      <c r="CR288" s="136" t="s">
        <v>3033</v>
      </c>
    </row>
    <row r="289" spans="2:96" s="1" customFormat="1" x14ac:dyDescent="0.2">
      <c r="B289" s="31"/>
      <c r="D289" s="138" t="s">
        <v>289</v>
      </c>
      <c r="F289" s="139" t="s">
        <v>3032</v>
      </c>
      <c r="I289" s="140"/>
      <c r="L289" s="31"/>
      <c r="N289" s="213"/>
      <c r="O289" s="214"/>
      <c r="Q289" s="229"/>
      <c r="AR289" s="141"/>
      <c r="AY289" s="50"/>
      <c r="BY289" s="16" t="s">
        <v>289</v>
      </c>
      <c r="BZ289" s="16" t="s">
        <v>83</v>
      </c>
    </row>
    <row r="290" spans="2:96" s="1" customFormat="1" ht="14.45" customHeight="1" x14ac:dyDescent="0.2">
      <c r="B290" s="124"/>
      <c r="C290" s="125" t="s">
        <v>1551</v>
      </c>
      <c r="D290" s="125" t="s">
        <v>284</v>
      </c>
      <c r="E290" s="126" t="s">
        <v>3034</v>
      </c>
      <c r="F290" s="127" t="s">
        <v>3035</v>
      </c>
      <c r="G290" s="128" t="s">
        <v>344</v>
      </c>
      <c r="H290" s="129">
        <v>20</v>
      </c>
      <c r="I290" s="130">
        <v>73.267134394999999</v>
      </c>
      <c r="J290" s="131">
        <f>ROUND(I290*H290,2)</f>
        <v>1465.34</v>
      </c>
      <c r="K290" s="127" t="s">
        <v>1</v>
      </c>
      <c r="L290" s="268">
        <f>S290</f>
        <v>0</v>
      </c>
      <c r="M290" s="272">
        <f>ROUND(L290*I290,2)</f>
        <v>0</v>
      </c>
      <c r="N290" s="243"/>
      <c r="O290" s="294">
        <f>ROUND(N290*I290,2)</f>
        <v>0</v>
      </c>
      <c r="P290" s="273">
        <f>H290-L290-N290</f>
        <v>20</v>
      </c>
      <c r="Q290" s="287">
        <f>ROUND(P290*I290,2)</f>
        <v>1465.34</v>
      </c>
      <c r="R290" s="137"/>
      <c r="S290" s="269">
        <f>W290+Y290+AA290+AC290</f>
        <v>0</v>
      </c>
      <c r="T290" s="269">
        <f>ROUND(S290*I290,2)</f>
        <v>0</v>
      </c>
      <c r="U290" s="269">
        <f>H290-S290</f>
        <v>20</v>
      </c>
      <c r="V290" s="269">
        <f>ROUND(U290*I290,2)</f>
        <v>1465.34</v>
      </c>
      <c r="W290" s="269"/>
      <c r="X290" s="269"/>
      <c r="Y290" s="269"/>
      <c r="Z290" s="269"/>
      <c r="AA290" s="269"/>
      <c r="AB290" s="269"/>
      <c r="AC290" s="269"/>
      <c r="AD290" s="269"/>
      <c r="AR290" s="132" t="s">
        <v>1</v>
      </c>
      <c r="AS290" s="133" t="s">
        <v>40</v>
      </c>
      <c r="AU290" s="134">
        <f>AT290*H290</f>
        <v>0</v>
      </c>
      <c r="AV290" s="134">
        <v>0</v>
      </c>
      <c r="AW290" s="134">
        <f>AV290*H290</f>
        <v>0</v>
      </c>
      <c r="AX290" s="134">
        <v>0</v>
      </c>
      <c r="AY290" s="135">
        <f>AX290*H290</f>
        <v>0</v>
      </c>
      <c r="BW290" s="136" t="s">
        <v>95</v>
      </c>
      <c r="BY290" s="136" t="s">
        <v>284</v>
      </c>
      <c r="BZ290" s="136" t="s">
        <v>83</v>
      </c>
      <c r="CD290" s="16" t="s">
        <v>282</v>
      </c>
      <c r="CJ290" s="137">
        <f>IF(AS290="základní",J290,0)</f>
        <v>1465.34</v>
      </c>
      <c r="CK290" s="137">
        <f>IF(AS290="snížená",J290,0)</f>
        <v>0</v>
      </c>
      <c r="CL290" s="137">
        <f>IF(AS290="zákl. přenesená",J290,0)</f>
        <v>0</v>
      </c>
      <c r="CM290" s="137">
        <f>IF(AS290="sníž. přenesená",J290,0)</f>
        <v>0</v>
      </c>
      <c r="CN290" s="137">
        <f>IF(AS290="nulová",J290,0)</f>
        <v>0</v>
      </c>
      <c r="CO290" s="16" t="s">
        <v>81</v>
      </c>
      <c r="CP290" s="137">
        <f>ROUND(I290*H290,2)</f>
        <v>1465.34</v>
      </c>
      <c r="CQ290" s="16" t="s">
        <v>95</v>
      </c>
      <c r="CR290" s="136" t="s">
        <v>3036</v>
      </c>
    </row>
    <row r="291" spans="2:96" s="1" customFormat="1" x14ac:dyDescent="0.2">
      <c r="B291" s="31"/>
      <c r="D291" s="138" t="s">
        <v>289</v>
      </c>
      <c r="F291" s="139" t="s">
        <v>3035</v>
      </c>
      <c r="I291" s="140"/>
      <c r="L291" s="31"/>
      <c r="N291" s="213"/>
      <c r="O291" s="214"/>
      <c r="Q291" s="229"/>
      <c r="AR291" s="141"/>
      <c r="AY291" s="50"/>
      <c r="BY291" s="16" t="s">
        <v>289</v>
      </c>
      <c r="BZ291" s="16" t="s">
        <v>83</v>
      </c>
    </row>
    <row r="292" spans="2:96" s="1" customFormat="1" ht="14.45" customHeight="1" x14ac:dyDescent="0.2">
      <c r="B292" s="124"/>
      <c r="C292" s="125" t="s">
        <v>1069</v>
      </c>
      <c r="D292" s="125" t="s">
        <v>284</v>
      </c>
      <c r="E292" s="126" t="s">
        <v>3037</v>
      </c>
      <c r="F292" s="127" t="s">
        <v>3038</v>
      </c>
      <c r="G292" s="128" t="s">
        <v>315</v>
      </c>
      <c r="H292" s="129">
        <v>1</v>
      </c>
      <c r="I292" s="130">
        <v>586.98956929000008</v>
      </c>
      <c r="J292" s="131">
        <f>ROUND(I292*H292,2)</f>
        <v>586.99</v>
      </c>
      <c r="K292" s="127" t="s">
        <v>1</v>
      </c>
      <c r="L292" s="268">
        <f>S292</f>
        <v>0</v>
      </c>
      <c r="M292" s="272">
        <f>ROUND(L292*I292,2)</f>
        <v>0</v>
      </c>
      <c r="N292" s="243"/>
      <c r="O292" s="294">
        <f>ROUND(N292*I292,2)</f>
        <v>0</v>
      </c>
      <c r="P292" s="273">
        <f>H292-L292-N292</f>
        <v>1</v>
      </c>
      <c r="Q292" s="287">
        <f>ROUND(P292*I292,2)</f>
        <v>586.99</v>
      </c>
      <c r="R292" s="137"/>
      <c r="S292" s="269">
        <f>W292+Y292+AA292+AC292</f>
        <v>0</v>
      </c>
      <c r="T292" s="269">
        <f>ROUND(S292*I292,2)</f>
        <v>0</v>
      </c>
      <c r="U292" s="269">
        <f>H292-S292</f>
        <v>1</v>
      </c>
      <c r="V292" s="269">
        <f>ROUND(U292*I292,2)</f>
        <v>586.99</v>
      </c>
      <c r="W292" s="269"/>
      <c r="X292" s="269"/>
      <c r="Y292" s="269"/>
      <c r="Z292" s="269"/>
      <c r="AA292" s="269"/>
      <c r="AB292" s="269"/>
      <c r="AC292" s="269"/>
      <c r="AD292" s="269"/>
      <c r="AR292" s="132" t="s">
        <v>1</v>
      </c>
      <c r="AS292" s="133" t="s">
        <v>40</v>
      </c>
      <c r="AU292" s="134">
        <f>AT292*H292</f>
        <v>0</v>
      </c>
      <c r="AV292" s="134">
        <v>0</v>
      </c>
      <c r="AW292" s="134">
        <f>AV292*H292</f>
        <v>0</v>
      </c>
      <c r="AX292" s="134">
        <v>0</v>
      </c>
      <c r="AY292" s="135">
        <f>AX292*H292</f>
        <v>0</v>
      </c>
      <c r="BW292" s="136" t="s">
        <v>95</v>
      </c>
      <c r="BY292" s="136" t="s">
        <v>284</v>
      </c>
      <c r="BZ292" s="136" t="s">
        <v>83</v>
      </c>
      <c r="CD292" s="16" t="s">
        <v>282</v>
      </c>
      <c r="CJ292" s="137">
        <f>IF(AS292="základní",J292,0)</f>
        <v>586.99</v>
      </c>
      <c r="CK292" s="137">
        <f>IF(AS292="snížená",J292,0)</f>
        <v>0</v>
      </c>
      <c r="CL292" s="137">
        <f>IF(AS292="zákl. přenesená",J292,0)</f>
        <v>0</v>
      </c>
      <c r="CM292" s="137">
        <f>IF(AS292="sníž. přenesená",J292,0)</f>
        <v>0</v>
      </c>
      <c r="CN292" s="137">
        <f>IF(AS292="nulová",J292,0)</f>
        <v>0</v>
      </c>
      <c r="CO292" s="16" t="s">
        <v>81</v>
      </c>
      <c r="CP292" s="137">
        <f>ROUND(I292*H292,2)</f>
        <v>586.99</v>
      </c>
      <c r="CQ292" s="16" t="s">
        <v>95</v>
      </c>
      <c r="CR292" s="136" t="s">
        <v>3039</v>
      </c>
    </row>
    <row r="293" spans="2:96" s="1" customFormat="1" x14ac:dyDescent="0.2">
      <c r="B293" s="31"/>
      <c r="D293" s="138" t="s">
        <v>289</v>
      </c>
      <c r="F293" s="139" t="s">
        <v>3038</v>
      </c>
      <c r="I293" s="140"/>
      <c r="L293" s="31"/>
      <c r="N293" s="213"/>
      <c r="O293" s="214"/>
      <c r="Q293" s="229"/>
      <c r="AR293" s="141"/>
      <c r="AY293" s="50"/>
      <c r="BY293" s="16" t="s">
        <v>289</v>
      </c>
      <c r="BZ293" s="16" t="s">
        <v>83</v>
      </c>
    </row>
    <row r="294" spans="2:96" s="1" customFormat="1" ht="14.45" customHeight="1" x14ac:dyDescent="0.2">
      <c r="B294" s="124"/>
      <c r="C294" s="125" t="s">
        <v>1555</v>
      </c>
      <c r="D294" s="125" t="s">
        <v>284</v>
      </c>
      <c r="E294" s="126" t="s">
        <v>3040</v>
      </c>
      <c r="F294" s="127" t="s">
        <v>2009</v>
      </c>
      <c r="G294" s="128" t="s">
        <v>315</v>
      </c>
      <c r="H294" s="129">
        <v>40</v>
      </c>
      <c r="I294" s="130">
        <v>36.136278955000002</v>
      </c>
      <c r="J294" s="131">
        <f>ROUND(I294*H294,2)</f>
        <v>1445.45</v>
      </c>
      <c r="K294" s="127" t="s">
        <v>1</v>
      </c>
      <c r="L294" s="268">
        <f>S294</f>
        <v>0</v>
      </c>
      <c r="M294" s="272">
        <f>ROUND(L294*I294,2)</f>
        <v>0</v>
      </c>
      <c r="N294" s="243"/>
      <c r="O294" s="294">
        <f>ROUND(N294*I294,2)</f>
        <v>0</v>
      </c>
      <c r="P294" s="273">
        <f>H294-L294-N294</f>
        <v>40</v>
      </c>
      <c r="Q294" s="287">
        <f>ROUND(P294*I294,2)</f>
        <v>1445.45</v>
      </c>
      <c r="R294" s="137"/>
      <c r="S294" s="269">
        <f>W294+Y294+AA294+AC294</f>
        <v>0</v>
      </c>
      <c r="T294" s="269">
        <f>ROUND(S294*I294,2)</f>
        <v>0</v>
      </c>
      <c r="U294" s="269">
        <f>H294-S294</f>
        <v>40</v>
      </c>
      <c r="V294" s="269">
        <f>ROUND(U294*I294,2)</f>
        <v>1445.45</v>
      </c>
      <c r="W294" s="269"/>
      <c r="X294" s="269"/>
      <c r="Y294" s="269"/>
      <c r="Z294" s="269"/>
      <c r="AA294" s="269"/>
      <c r="AB294" s="269"/>
      <c r="AC294" s="269"/>
      <c r="AD294" s="269"/>
      <c r="AR294" s="132" t="s">
        <v>1</v>
      </c>
      <c r="AS294" s="133" t="s">
        <v>40</v>
      </c>
      <c r="AU294" s="134">
        <f>AT294*H294</f>
        <v>0</v>
      </c>
      <c r="AV294" s="134">
        <v>0</v>
      </c>
      <c r="AW294" s="134">
        <f>AV294*H294</f>
        <v>0</v>
      </c>
      <c r="AX294" s="134">
        <v>0</v>
      </c>
      <c r="AY294" s="135">
        <f>AX294*H294</f>
        <v>0</v>
      </c>
      <c r="BW294" s="136" t="s">
        <v>95</v>
      </c>
      <c r="BY294" s="136" t="s">
        <v>284</v>
      </c>
      <c r="BZ294" s="136" t="s">
        <v>83</v>
      </c>
      <c r="CD294" s="16" t="s">
        <v>282</v>
      </c>
      <c r="CJ294" s="137">
        <f>IF(AS294="základní",J294,0)</f>
        <v>1445.45</v>
      </c>
      <c r="CK294" s="137">
        <f>IF(AS294="snížená",J294,0)</f>
        <v>0</v>
      </c>
      <c r="CL294" s="137">
        <f>IF(AS294="zákl. přenesená",J294,0)</f>
        <v>0</v>
      </c>
      <c r="CM294" s="137">
        <f>IF(AS294="sníž. přenesená",J294,0)</f>
        <v>0</v>
      </c>
      <c r="CN294" s="137">
        <f>IF(AS294="nulová",J294,0)</f>
        <v>0</v>
      </c>
      <c r="CO294" s="16" t="s">
        <v>81</v>
      </c>
      <c r="CP294" s="137">
        <f>ROUND(I294*H294,2)</f>
        <v>1445.45</v>
      </c>
      <c r="CQ294" s="16" t="s">
        <v>95</v>
      </c>
      <c r="CR294" s="136" t="s">
        <v>3041</v>
      </c>
    </row>
    <row r="295" spans="2:96" s="1" customFormat="1" x14ac:dyDescent="0.2">
      <c r="B295" s="31"/>
      <c r="D295" s="138" t="s">
        <v>289</v>
      </c>
      <c r="F295" s="139" t="s">
        <v>2009</v>
      </c>
      <c r="I295" s="140"/>
      <c r="L295" s="31"/>
      <c r="N295" s="213"/>
      <c r="O295" s="214"/>
      <c r="Q295" s="229"/>
      <c r="AR295" s="141"/>
      <c r="AY295" s="50"/>
      <c r="BY295" s="16" t="s">
        <v>289</v>
      </c>
      <c r="BZ295" s="16" t="s">
        <v>83</v>
      </c>
    </row>
    <row r="296" spans="2:96" s="10" customFormat="1" ht="22.9" customHeight="1" x14ac:dyDescent="0.2">
      <c r="B296" s="112"/>
      <c r="D296" s="113" t="s">
        <v>73</v>
      </c>
      <c r="E296" s="122" t="s">
        <v>3090</v>
      </c>
      <c r="F296" s="122" t="s">
        <v>3042</v>
      </c>
      <c r="I296" s="115"/>
      <c r="J296" s="123">
        <f>CP296</f>
        <v>5755.2900000000009</v>
      </c>
      <c r="L296" s="112"/>
      <c r="M296" s="270">
        <f>SUM(M297:M305)</f>
        <v>0</v>
      </c>
      <c r="N296" s="301"/>
      <c r="O296" s="302">
        <f t="shared" ref="O296:V296" si="6">SUM(O297:O305)</f>
        <v>0</v>
      </c>
      <c r="P296" s="270"/>
      <c r="Q296" s="288">
        <f t="shared" si="6"/>
        <v>5755.2900000000009</v>
      </c>
      <c r="R296" s="270"/>
      <c r="S296" s="270"/>
      <c r="T296" s="270">
        <f t="shared" si="6"/>
        <v>0</v>
      </c>
      <c r="U296" s="270"/>
      <c r="V296" s="270">
        <f t="shared" si="6"/>
        <v>5755.2900000000009</v>
      </c>
      <c r="AR296" s="117"/>
      <c r="AU296" s="118">
        <f>SUM(AU297:AU306)</f>
        <v>0</v>
      </c>
      <c r="AW296" s="118">
        <f>SUM(AW297:AW306)</f>
        <v>0</v>
      </c>
      <c r="AY296" s="119">
        <f>SUM(AY297:AY306)</f>
        <v>0</v>
      </c>
      <c r="BW296" s="113" t="s">
        <v>81</v>
      </c>
      <c r="BY296" s="120" t="s">
        <v>73</v>
      </c>
      <c r="BZ296" s="120" t="s">
        <v>81</v>
      </c>
      <c r="CD296" s="113" t="s">
        <v>282</v>
      </c>
      <c r="CP296" s="121">
        <f>SUM(CP297:CP306)</f>
        <v>5755.2900000000009</v>
      </c>
    </row>
    <row r="297" spans="2:96" s="1" customFormat="1" ht="24.2" customHeight="1" x14ac:dyDescent="0.2">
      <c r="B297" s="124"/>
      <c r="C297" s="125" t="s">
        <v>1557</v>
      </c>
      <c r="D297" s="125" t="s">
        <v>284</v>
      </c>
      <c r="E297" s="126" t="s">
        <v>3043</v>
      </c>
      <c r="F297" s="127" t="s">
        <v>3044</v>
      </c>
      <c r="G297" s="128" t="s">
        <v>315</v>
      </c>
      <c r="H297" s="129">
        <v>1</v>
      </c>
      <c r="I297" s="130">
        <v>994.57648500000005</v>
      </c>
      <c r="J297" s="131">
        <f>ROUND(I297*H297,2)</f>
        <v>994.58</v>
      </c>
      <c r="K297" s="127" t="s">
        <v>1</v>
      </c>
      <c r="L297" s="268">
        <f>S297</f>
        <v>0</v>
      </c>
      <c r="M297" s="272">
        <f>ROUND(L297*I297,2)</f>
        <v>0</v>
      </c>
      <c r="N297" s="243"/>
      <c r="O297" s="294">
        <f>ROUND(N297*I297,2)</f>
        <v>0</v>
      </c>
      <c r="P297" s="273">
        <f>H297-L297-N297</f>
        <v>1</v>
      </c>
      <c r="Q297" s="287">
        <f>ROUND(P297*I297,2)</f>
        <v>994.58</v>
      </c>
      <c r="R297" s="137"/>
      <c r="S297" s="269">
        <f>W297+Y297+AA297+AC297</f>
        <v>0</v>
      </c>
      <c r="T297" s="269">
        <f>ROUND(S297*I297,2)</f>
        <v>0</v>
      </c>
      <c r="U297" s="269">
        <f>H297-S297</f>
        <v>1</v>
      </c>
      <c r="V297" s="269">
        <f>ROUND(U297*I297,2)</f>
        <v>994.58</v>
      </c>
      <c r="W297" s="269"/>
      <c r="X297" s="269"/>
      <c r="Y297" s="269"/>
      <c r="Z297" s="269"/>
      <c r="AA297" s="269"/>
      <c r="AB297" s="269"/>
      <c r="AC297" s="269"/>
      <c r="AD297" s="269"/>
      <c r="AR297" s="132" t="s">
        <v>1</v>
      </c>
      <c r="AS297" s="133" t="s">
        <v>40</v>
      </c>
      <c r="AU297" s="134">
        <f>AT297*H297</f>
        <v>0</v>
      </c>
      <c r="AV297" s="134">
        <v>0</v>
      </c>
      <c r="AW297" s="134">
        <f>AV297*H297</f>
        <v>0</v>
      </c>
      <c r="AX297" s="134">
        <v>0</v>
      </c>
      <c r="AY297" s="135">
        <f>AX297*H297</f>
        <v>0</v>
      </c>
      <c r="BW297" s="136" t="s">
        <v>95</v>
      </c>
      <c r="BY297" s="136" t="s">
        <v>284</v>
      </c>
      <c r="BZ297" s="136" t="s">
        <v>83</v>
      </c>
      <c r="CD297" s="16" t="s">
        <v>282</v>
      </c>
      <c r="CJ297" s="137">
        <f>IF(AS297="základní",J297,0)</f>
        <v>994.58</v>
      </c>
      <c r="CK297" s="137">
        <f>IF(AS297="snížená",J297,0)</f>
        <v>0</v>
      </c>
      <c r="CL297" s="137">
        <f>IF(AS297="zákl. přenesená",J297,0)</f>
        <v>0</v>
      </c>
      <c r="CM297" s="137">
        <f>IF(AS297="sníž. přenesená",J297,0)</f>
        <v>0</v>
      </c>
      <c r="CN297" s="137">
        <f>IF(AS297="nulová",J297,0)</f>
        <v>0</v>
      </c>
      <c r="CO297" s="16" t="s">
        <v>81</v>
      </c>
      <c r="CP297" s="137">
        <f>ROUND(I297*H297,2)</f>
        <v>994.58</v>
      </c>
      <c r="CQ297" s="16" t="s">
        <v>95</v>
      </c>
      <c r="CR297" s="136" t="s">
        <v>3045</v>
      </c>
    </row>
    <row r="298" spans="2:96" s="1" customFormat="1" ht="19.5" x14ac:dyDescent="0.2">
      <c r="B298" s="31"/>
      <c r="D298" s="138" t="s">
        <v>289</v>
      </c>
      <c r="F298" s="139" t="s">
        <v>3044</v>
      </c>
      <c r="I298" s="140"/>
      <c r="L298" s="31"/>
      <c r="N298" s="213"/>
      <c r="O298" s="214"/>
      <c r="Q298" s="229"/>
      <c r="AR298" s="141"/>
      <c r="AY298" s="50"/>
      <c r="BY298" s="16" t="s">
        <v>289</v>
      </c>
      <c r="BZ298" s="16" t="s">
        <v>83</v>
      </c>
    </row>
    <row r="299" spans="2:96" s="1" customFormat="1" ht="24.2" customHeight="1" x14ac:dyDescent="0.2">
      <c r="B299" s="124"/>
      <c r="C299" s="125" t="s">
        <v>1559</v>
      </c>
      <c r="D299" s="125" t="s">
        <v>284</v>
      </c>
      <c r="E299" s="126" t="s">
        <v>3098</v>
      </c>
      <c r="F299" s="127" t="s">
        <v>3099</v>
      </c>
      <c r="G299" s="128" t="s">
        <v>3100</v>
      </c>
      <c r="H299" s="129">
        <v>1</v>
      </c>
      <c r="I299" s="130">
        <v>993.46824263099995</v>
      </c>
      <c r="J299" s="131">
        <f>ROUND(I299*H299,2)</f>
        <v>993.47</v>
      </c>
      <c r="K299" s="127" t="s">
        <v>1</v>
      </c>
      <c r="L299" s="268">
        <f>S299</f>
        <v>0</v>
      </c>
      <c r="M299" s="272">
        <f>ROUND(L299*I299,2)</f>
        <v>0</v>
      </c>
      <c r="N299" s="243"/>
      <c r="O299" s="294">
        <f>ROUND(N299*I299,2)</f>
        <v>0</v>
      </c>
      <c r="P299" s="273">
        <f>H299-L299-N299</f>
        <v>1</v>
      </c>
      <c r="Q299" s="287">
        <f>ROUND(P299*I299,2)</f>
        <v>993.47</v>
      </c>
      <c r="R299" s="137"/>
      <c r="S299" s="269">
        <f>W299+Y299+AA299+AC299</f>
        <v>0</v>
      </c>
      <c r="T299" s="269">
        <f>ROUND(S299*I299,2)</f>
        <v>0</v>
      </c>
      <c r="U299" s="269">
        <f>H299-S299</f>
        <v>1</v>
      </c>
      <c r="V299" s="269">
        <f>ROUND(U299*I299,2)</f>
        <v>993.47</v>
      </c>
      <c r="W299" s="269"/>
      <c r="X299" s="269"/>
      <c r="Y299" s="269"/>
      <c r="Z299" s="269"/>
      <c r="AA299" s="269"/>
      <c r="AB299" s="269"/>
      <c r="AC299" s="269"/>
      <c r="AD299" s="269"/>
      <c r="AR299" s="132" t="s">
        <v>1</v>
      </c>
      <c r="AS299" s="133" t="s">
        <v>40</v>
      </c>
      <c r="AU299" s="134">
        <f>AT299*H299</f>
        <v>0</v>
      </c>
      <c r="AV299" s="134">
        <v>0</v>
      </c>
      <c r="AW299" s="134">
        <f>AV299*H299</f>
        <v>0</v>
      </c>
      <c r="AX299" s="134">
        <v>0</v>
      </c>
      <c r="AY299" s="135">
        <f>AX299*H299</f>
        <v>0</v>
      </c>
      <c r="BW299" s="136" t="s">
        <v>95</v>
      </c>
      <c r="BY299" s="136" t="s">
        <v>284</v>
      </c>
      <c r="BZ299" s="136" t="s">
        <v>83</v>
      </c>
      <c r="CD299" s="16" t="s">
        <v>282</v>
      </c>
      <c r="CJ299" s="137">
        <f>IF(AS299="základní",J299,0)</f>
        <v>993.47</v>
      </c>
      <c r="CK299" s="137">
        <f>IF(AS299="snížená",J299,0)</f>
        <v>0</v>
      </c>
      <c r="CL299" s="137">
        <f>IF(AS299="zákl. přenesená",J299,0)</f>
        <v>0</v>
      </c>
      <c r="CM299" s="137">
        <f>IF(AS299="sníž. přenesená",J299,0)</f>
        <v>0</v>
      </c>
      <c r="CN299" s="137">
        <f>IF(AS299="nulová",J299,0)</f>
        <v>0</v>
      </c>
      <c r="CO299" s="16" t="s">
        <v>81</v>
      </c>
      <c r="CP299" s="137">
        <f>ROUND(I299*H299,2)</f>
        <v>993.47</v>
      </c>
      <c r="CQ299" s="16" t="s">
        <v>95</v>
      </c>
      <c r="CR299" s="136" t="s">
        <v>3048</v>
      </c>
    </row>
    <row r="300" spans="2:96" s="1" customFormat="1" ht="19.5" x14ac:dyDescent="0.2">
      <c r="B300" s="31"/>
      <c r="D300" s="138" t="s">
        <v>289</v>
      </c>
      <c r="F300" s="139" t="s">
        <v>3099</v>
      </c>
      <c r="I300" s="140"/>
      <c r="L300" s="31"/>
      <c r="N300" s="213"/>
      <c r="O300" s="214"/>
      <c r="Q300" s="229"/>
      <c r="AR300" s="141"/>
      <c r="AY300" s="50"/>
      <c r="BY300" s="16" t="s">
        <v>289</v>
      </c>
      <c r="BZ300" s="16" t="s">
        <v>83</v>
      </c>
    </row>
    <row r="301" spans="2:96" s="1" customFormat="1" ht="14.45" customHeight="1" x14ac:dyDescent="0.2">
      <c r="B301" s="124"/>
      <c r="C301" s="125" t="s">
        <v>1560</v>
      </c>
      <c r="D301" s="125" t="s">
        <v>284</v>
      </c>
      <c r="E301" s="126" t="s">
        <v>3046</v>
      </c>
      <c r="F301" s="127" t="s">
        <v>3047</v>
      </c>
      <c r="G301" s="128" t="s">
        <v>315</v>
      </c>
      <c r="H301" s="129">
        <v>1</v>
      </c>
      <c r="I301" s="130">
        <v>563.59334149999995</v>
      </c>
      <c r="J301" s="131">
        <f>ROUND(I301*H301,2)</f>
        <v>563.59</v>
      </c>
      <c r="K301" s="127" t="s">
        <v>1</v>
      </c>
      <c r="L301" s="268">
        <f>S301</f>
        <v>0</v>
      </c>
      <c r="M301" s="272">
        <f>ROUND(L301*I301,2)</f>
        <v>0</v>
      </c>
      <c r="N301" s="243"/>
      <c r="O301" s="294">
        <f>ROUND(N301*I301,2)</f>
        <v>0</v>
      </c>
      <c r="P301" s="273">
        <f>H301-L301-N301</f>
        <v>1</v>
      </c>
      <c r="Q301" s="287">
        <f>ROUND(P301*I301,2)</f>
        <v>563.59</v>
      </c>
      <c r="R301" s="137"/>
      <c r="S301" s="269">
        <f>W301+Y301+AA301+AC301</f>
        <v>0</v>
      </c>
      <c r="T301" s="269">
        <f>ROUND(S301*I301,2)</f>
        <v>0</v>
      </c>
      <c r="U301" s="269">
        <f>H301-S301</f>
        <v>1</v>
      </c>
      <c r="V301" s="269">
        <f>ROUND(U301*I301,2)</f>
        <v>563.59</v>
      </c>
      <c r="W301" s="269"/>
      <c r="X301" s="269"/>
      <c r="Y301" s="269"/>
      <c r="Z301" s="269"/>
      <c r="AA301" s="269"/>
      <c r="AB301" s="269"/>
      <c r="AC301" s="269"/>
      <c r="AD301" s="269"/>
      <c r="AR301" s="132" t="s">
        <v>1</v>
      </c>
      <c r="AS301" s="133" t="s">
        <v>40</v>
      </c>
      <c r="AU301" s="134">
        <f>AT301*H301</f>
        <v>0</v>
      </c>
      <c r="AV301" s="134">
        <v>0</v>
      </c>
      <c r="AW301" s="134">
        <f>AV301*H301</f>
        <v>0</v>
      </c>
      <c r="AX301" s="134">
        <v>0</v>
      </c>
      <c r="AY301" s="135">
        <f>AX301*H301</f>
        <v>0</v>
      </c>
      <c r="BW301" s="136" t="s">
        <v>95</v>
      </c>
      <c r="BY301" s="136" t="s">
        <v>284</v>
      </c>
      <c r="BZ301" s="136" t="s">
        <v>83</v>
      </c>
      <c r="CD301" s="16" t="s">
        <v>282</v>
      </c>
      <c r="CJ301" s="137">
        <f>IF(AS301="základní",J301,0)</f>
        <v>563.59</v>
      </c>
      <c r="CK301" s="137">
        <f>IF(AS301="snížená",J301,0)</f>
        <v>0</v>
      </c>
      <c r="CL301" s="137">
        <f>IF(AS301="zákl. přenesená",J301,0)</f>
        <v>0</v>
      </c>
      <c r="CM301" s="137">
        <f>IF(AS301="sníž. přenesená",J301,0)</f>
        <v>0</v>
      </c>
      <c r="CN301" s="137">
        <f>IF(AS301="nulová",J301,0)</f>
        <v>0</v>
      </c>
      <c r="CO301" s="16" t="s">
        <v>81</v>
      </c>
      <c r="CP301" s="137">
        <f>ROUND(I301*H301,2)</f>
        <v>563.59</v>
      </c>
      <c r="CQ301" s="16" t="s">
        <v>95</v>
      </c>
      <c r="CR301" s="136" t="s">
        <v>3051</v>
      </c>
    </row>
    <row r="302" spans="2:96" s="1" customFormat="1" x14ac:dyDescent="0.2">
      <c r="B302" s="31"/>
      <c r="D302" s="138" t="s">
        <v>289</v>
      </c>
      <c r="F302" s="139" t="s">
        <v>3047</v>
      </c>
      <c r="I302" s="140"/>
      <c r="L302" s="31"/>
      <c r="N302" s="213"/>
      <c r="O302" s="214"/>
      <c r="Q302" s="229"/>
      <c r="AR302" s="141"/>
      <c r="AY302" s="50"/>
      <c r="BY302" s="16" t="s">
        <v>289</v>
      </c>
      <c r="BZ302" s="16" t="s">
        <v>83</v>
      </c>
    </row>
    <row r="303" spans="2:96" s="1" customFormat="1" ht="14.45" customHeight="1" x14ac:dyDescent="0.2">
      <c r="B303" s="124"/>
      <c r="C303" s="125" t="s">
        <v>1561</v>
      </c>
      <c r="D303" s="125" t="s">
        <v>284</v>
      </c>
      <c r="E303" s="126" t="s">
        <v>3049</v>
      </c>
      <c r="F303" s="127" t="s">
        <v>3050</v>
      </c>
      <c r="G303" s="128" t="s">
        <v>315</v>
      </c>
      <c r="H303" s="129">
        <v>1</v>
      </c>
      <c r="I303" s="130">
        <v>805.60695284999997</v>
      </c>
      <c r="J303" s="131">
        <f>ROUND(I303*H303,2)</f>
        <v>805.61</v>
      </c>
      <c r="K303" s="127" t="s">
        <v>1</v>
      </c>
      <c r="L303" s="268">
        <f>S303</f>
        <v>0</v>
      </c>
      <c r="M303" s="272">
        <f>ROUND(L303*I303,2)</f>
        <v>0</v>
      </c>
      <c r="N303" s="243"/>
      <c r="O303" s="294">
        <f>ROUND(N303*I303,2)</f>
        <v>0</v>
      </c>
      <c r="P303" s="273">
        <f>H303-L303-N303</f>
        <v>1</v>
      </c>
      <c r="Q303" s="287">
        <f>ROUND(P303*I303,2)</f>
        <v>805.61</v>
      </c>
      <c r="R303" s="137"/>
      <c r="S303" s="269">
        <f>W303+Y303+AA303+AC303</f>
        <v>0</v>
      </c>
      <c r="T303" s="269">
        <f>ROUND(S303*I303,2)</f>
        <v>0</v>
      </c>
      <c r="U303" s="269">
        <f>H303-S303</f>
        <v>1</v>
      </c>
      <c r="V303" s="269">
        <f>ROUND(U303*I303,2)</f>
        <v>805.61</v>
      </c>
      <c r="W303" s="269"/>
      <c r="X303" s="269"/>
      <c r="Y303" s="269"/>
      <c r="Z303" s="269"/>
      <c r="AA303" s="269"/>
      <c r="AB303" s="269"/>
      <c r="AC303" s="269"/>
      <c r="AD303" s="269"/>
      <c r="AR303" s="132" t="s">
        <v>1</v>
      </c>
      <c r="AS303" s="133" t="s">
        <v>40</v>
      </c>
      <c r="AU303" s="134">
        <f>AT303*H303</f>
        <v>0</v>
      </c>
      <c r="AV303" s="134">
        <v>0</v>
      </c>
      <c r="AW303" s="134">
        <f>AV303*H303</f>
        <v>0</v>
      </c>
      <c r="AX303" s="134">
        <v>0</v>
      </c>
      <c r="AY303" s="135">
        <f>AX303*H303</f>
        <v>0</v>
      </c>
      <c r="BW303" s="136" t="s">
        <v>95</v>
      </c>
      <c r="BY303" s="136" t="s">
        <v>284</v>
      </c>
      <c r="BZ303" s="136" t="s">
        <v>83</v>
      </c>
      <c r="CD303" s="16" t="s">
        <v>282</v>
      </c>
      <c r="CJ303" s="137">
        <f>IF(AS303="základní",J303,0)</f>
        <v>805.61</v>
      </c>
      <c r="CK303" s="137">
        <f>IF(AS303="snížená",J303,0)</f>
        <v>0</v>
      </c>
      <c r="CL303" s="137">
        <f>IF(AS303="zákl. přenesená",J303,0)</f>
        <v>0</v>
      </c>
      <c r="CM303" s="137">
        <f>IF(AS303="sníž. přenesená",J303,0)</f>
        <v>0</v>
      </c>
      <c r="CN303" s="137">
        <f>IF(AS303="nulová",J303,0)</f>
        <v>0</v>
      </c>
      <c r="CO303" s="16" t="s">
        <v>81</v>
      </c>
      <c r="CP303" s="137">
        <f>ROUND(I303*H303,2)</f>
        <v>805.61</v>
      </c>
      <c r="CQ303" s="16" t="s">
        <v>95</v>
      </c>
      <c r="CR303" s="136" t="s">
        <v>3054</v>
      </c>
    </row>
    <row r="304" spans="2:96" s="1" customFormat="1" x14ac:dyDescent="0.2">
      <c r="B304" s="31"/>
      <c r="D304" s="138" t="s">
        <v>289</v>
      </c>
      <c r="F304" s="139" t="s">
        <v>3050</v>
      </c>
      <c r="I304" s="140"/>
      <c r="L304" s="31"/>
      <c r="N304" s="213"/>
      <c r="O304" s="214"/>
      <c r="Q304" s="229"/>
      <c r="AR304" s="141"/>
      <c r="AY304" s="50"/>
      <c r="BY304" s="16" t="s">
        <v>289</v>
      </c>
      <c r="BZ304" s="16" t="s">
        <v>83</v>
      </c>
    </row>
    <row r="305" spans="2:96" s="1" customFormat="1" ht="14.45" customHeight="1" x14ac:dyDescent="0.2">
      <c r="B305" s="124"/>
      <c r="C305" s="125" t="s">
        <v>1562</v>
      </c>
      <c r="D305" s="125" t="s">
        <v>284</v>
      </c>
      <c r="E305" s="126" t="s">
        <v>3052</v>
      </c>
      <c r="F305" s="127" t="s">
        <v>3053</v>
      </c>
      <c r="G305" s="128" t="s">
        <v>315</v>
      </c>
      <c r="H305" s="129">
        <v>1</v>
      </c>
      <c r="I305" s="130">
        <v>2398.0375712190003</v>
      </c>
      <c r="J305" s="131">
        <f>ROUND(I305*H305,2)</f>
        <v>2398.04</v>
      </c>
      <c r="K305" s="127" t="s">
        <v>1</v>
      </c>
      <c r="L305" s="268">
        <f>S305</f>
        <v>0</v>
      </c>
      <c r="M305" s="272">
        <f>ROUND(L305*I305,2)</f>
        <v>0</v>
      </c>
      <c r="N305" s="243"/>
      <c r="O305" s="294">
        <f>ROUND(N305*I305,2)</f>
        <v>0</v>
      </c>
      <c r="P305" s="273">
        <f>H305-L305-N305</f>
        <v>1</v>
      </c>
      <c r="Q305" s="287">
        <f>ROUND(P305*I305,2)</f>
        <v>2398.04</v>
      </c>
      <c r="R305" s="137"/>
      <c r="S305" s="269">
        <f>W305+Y305+AA305+AC305</f>
        <v>0</v>
      </c>
      <c r="T305" s="269">
        <f>ROUND(S305*I305,2)</f>
        <v>0</v>
      </c>
      <c r="U305" s="269">
        <f>H305-S305</f>
        <v>1</v>
      </c>
      <c r="V305" s="269">
        <f>ROUND(U305*I305,2)</f>
        <v>2398.04</v>
      </c>
      <c r="W305" s="269"/>
      <c r="X305" s="269"/>
      <c r="Y305" s="269"/>
      <c r="Z305" s="269"/>
      <c r="AA305" s="269"/>
      <c r="AB305" s="269"/>
      <c r="AC305" s="269"/>
      <c r="AD305" s="269"/>
      <c r="AR305" s="132" t="s">
        <v>1</v>
      </c>
      <c r="AS305" s="133" t="s">
        <v>40</v>
      </c>
      <c r="AU305" s="134">
        <f>AT305*H305</f>
        <v>0</v>
      </c>
      <c r="AV305" s="134">
        <v>0</v>
      </c>
      <c r="AW305" s="134">
        <f>AV305*H305</f>
        <v>0</v>
      </c>
      <c r="AX305" s="134">
        <v>0</v>
      </c>
      <c r="AY305" s="135">
        <f>AX305*H305</f>
        <v>0</v>
      </c>
      <c r="BW305" s="136" t="s">
        <v>95</v>
      </c>
      <c r="BY305" s="136" t="s">
        <v>284</v>
      </c>
      <c r="BZ305" s="136" t="s">
        <v>83</v>
      </c>
      <c r="CD305" s="16" t="s">
        <v>282</v>
      </c>
      <c r="CJ305" s="137">
        <f>IF(AS305="základní",J305,0)</f>
        <v>2398.04</v>
      </c>
      <c r="CK305" s="137">
        <f>IF(AS305="snížená",J305,0)</f>
        <v>0</v>
      </c>
      <c r="CL305" s="137">
        <f>IF(AS305="zákl. přenesená",J305,0)</f>
        <v>0</v>
      </c>
      <c r="CM305" s="137">
        <f>IF(AS305="sníž. přenesená",J305,0)</f>
        <v>0</v>
      </c>
      <c r="CN305" s="137">
        <f>IF(AS305="nulová",J305,0)</f>
        <v>0</v>
      </c>
      <c r="CO305" s="16" t="s">
        <v>81</v>
      </c>
      <c r="CP305" s="137">
        <f>ROUND(I305*H305,2)</f>
        <v>2398.04</v>
      </c>
      <c r="CQ305" s="16" t="s">
        <v>95</v>
      </c>
      <c r="CR305" s="136" t="s">
        <v>3058</v>
      </c>
    </row>
    <row r="306" spans="2:96" s="1" customFormat="1" x14ac:dyDescent="0.2">
      <c r="B306" s="31"/>
      <c r="D306" s="138" t="s">
        <v>289</v>
      </c>
      <c r="F306" s="139" t="s">
        <v>3053</v>
      </c>
      <c r="I306" s="140"/>
      <c r="L306" s="31"/>
      <c r="N306" s="213"/>
      <c r="O306" s="214"/>
      <c r="Q306" s="229"/>
      <c r="AR306" s="141"/>
      <c r="AY306" s="50"/>
      <c r="BY306" s="16" t="s">
        <v>289</v>
      </c>
      <c r="BZ306" s="16" t="s">
        <v>83</v>
      </c>
    </row>
    <row r="307" spans="2:96" s="10" customFormat="1" ht="22.9" customHeight="1" x14ac:dyDescent="0.2">
      <c r="B307" s="112"/>
      <c r="D307" s="113" t="s">
        <v>73</v>
      </c>
      <c r="E307" s="122" t="s">
        <v>3091</v>
      </c>
      <c r="F307" s="122" t="s">
        <v>2035</v>
      </c>
      <c r="I307" s="115"/>
      <c r="J307" s="123">
        <f>CP307</f>
        <v>105131.48000000001</v>
      </c>
      <c r="L307" s="112"/>
      <c r="M307" s="270">
        <f>SUM(M308:M316)</f>
        <v>0</v>
      </c>
      <c r="N307" s="301"/>
      <c r="O307" s="302">
        <f t="shared" ref="O307:V307" si="7">SUM(O308:O316)</f>
        <v>0</v>
      </c>
      <c r="P307" s="270"/>
      <c r="Q307" s="288">
        <f t="shared" si="7"/>
        <v>105131.48000000001</v>
      </c>
      <c r="R307" s="270"/>
      <c r="S307" s="270"/>
      <c r="T307" s="270">
        <f t="shared" si="7"/>
        <v>0</v>
      </c>
      <c r="U307" s="270"/>
      <c r="V307" s="270">
        <f t="shared" si="7"/>
        <v>105131.48000000001</v>
      </c>
      <c r="AR307" s="117"/>
      <c r="AU307" s="118">
        <f>SUM(AU308:AU317)</f>
        <v>0</v>
      </c>
      <c r="AW307" s="118">
        <f>SUM(AW308:AW317)</f>
        <v>0</v>
      </c>
      <c r="AY307" s="119">
        <f>SUM(AY308:AY317)</f>
        <v>0</v>
      </c>
      <c r="BW307" s="113" t="s">
        <v>81</v>
      </c>
      <c r="BY307" s="120" t="s">
        <v>73</v>
      </c>
      <c r="BZ307" s="120" t="s">
        <v>81</v>
      </c>
      <c r="CD307" s="113" t="s">
        <v>282</v>
      </c>
      <c r="CP307" s="121">
        <f>SUM(CP308:CP317)</f>
        <v>105131.48000000001</v>
      </c>
    </row>
    <row r="308" spans="2:96" s="1" customFormat="1" ht="14.45" customHeight="1" x14ac:dyDescent="0.2">
      <c r="B308" s="124"/>
      <c r="C308" s="125" t="s">
        <v>1563</v>
      </c>
      <c r="D308" s="125" t="s">
        <v>284</v>
      </c>
      <c r="E308" s="126" t="s">
        <v>3056</v>
      </c>
      <c r="F308" s="127" t="s">
        <v>3057</v>
      </c>
      <c r="G308" s="128" t="s">
        <v>331</v>
      </c>
      <c r="H308" s="129">
        <v>46</v>
      </c>
      <c r="I308" s="130">
        <v>909.32707200000004</v>
      </c>
      <c r="J308" s="131">
        <f>ROUND(I308*H308,2)</f>
        <v>41829.050000000003</v>
      </c>
      <c r="K308" s="127" t="s">
        <v>1</v>
      </c>
      <c r="L308" s="268">
        <f>S308</f>
        <v>0</v>
      </c>
      <c r="M308" s="272">
        <f>ROUND(L308*I308,2)</f>
        <v>0</v>
      </c>
      <c r="N308" s="243"/>
      <c r="O308" s="294">
        <f>ROUND(N308*I308,2)</f>
        <v>0</v>
      </c>
      <c r="P308" s="273">
        <f>H308-L308-N308</f>
        <v>46</v>
      </c>
      <c r="Q308" s="287">
        <f>ROUND(P308*I308,2)</f>
        <v>41829.050000000003</v>
      </c>
      <c r="R308" s="137"/>
      <c r="S308" s="269">
        <f>W308+Y308+AA308+AC308</f>
        <v>0</v>
      </c>
      <c r="T308" s="269">
        <f>ROUND(S308*I308,2)</f>
        <v>0</v>
      </c>
      <c r="U308" s="269">
        <f>H308-S308</f>
        <v>46</v>
      </c>
      <c r="V308" s="269">
        <f>ROUND(U308*I308,2)</f>
        <v>41829.050000000003</v>
      </c>
      <c r="W308" s="269"/>
      <c r="X308" s="269"/>
      <c r="Y308" s="269"/>
      <c r="Z308" s="269"/>
      <c r="AA308" s="269"/>
      <c r="AB308" s="269"/>
      <c r="AC308" s="269"/>
      <c r="AD308" s="269"/>
      <c r="AR308" s="132" t="s">
        <v>1</v>
      </c>
      <c r="AS308" s="133" t="s">
        <v>40</v>
      </c>
      <c r="AU308" s="134">
        <f>AT308*H308</f>
        <v>0</v>
      </c>
      <c r="AV308" s="134">
        <v>0</v>
      </c>
      <c r="AW308" s="134">
        <f>AV308*H308</f>
        <v>0</v>
      </c>
      <c r="AX308" s="134">
        <v>0</v>
      </c>
      <c r="AY308" s="135">
        <f>AX308*H308</f>
        <v>0</v>
      </c>
      <c r="BW308" s="136" t="s">
        <v>95</v>
      </c>
      <c r="BY308" s="136" t="s">
        <v>284</v>
      </c>
      <c r="BZ308" s="136" t="s">
        <v>83</v>
      </c>
      <c r="CD308" s="16" t="s">
        <v>282</v>
      </c>
      <c r="CJ308" s="137">
        <f>IF(AS308="základní",J308,0)</f>
        <v>41829.050000000003</v>
      </c>
      <c r="CK308" s="137">
        <f>IF(AS308="snížená",J308,0)</f>
        <v>0</v>
      </c>
      <c r="CL308" s="137">
        <f>IF(AS308="zákl. přenesená",J308,0)</f>
        <v>0</v>
      </c>
      <c r="CM308" s="137">
        <f>IF(AS308="sníž. přenesená",J308,0)</f>
        <v>0</v>
      </c>
      <c r="CN308" s="137">
        <f>IF(AS308="nulová",J308,0)</f>
        <v>0</v>
      </c>
      <c r="CO308" s="16" t="s">
        <v>81</v>
      </c>
      <c r="CP308" s="137">
        <f>ROUND(I308*H308,2)</f>
        <v>41829.050000000003</v>
      </c>
      <c r="CQ308" s="16" t="s">
        <v>95</v>
      </c>
      <c r="CR308" s="136" t="s">
        <v>3061</v>
      </c>
    </row>
    <row r="309" spans="2:96" s="1" customFormat="1" x14ac:dyDescent="0.2">
      <c r="B309" s="31"/>
      <c r="D309" s="138" t="s">
        <v>289</v>
      </c>
      <c r="F309" s="139" t="s">
        <v>3057</v>
      </c>
      <c r="I309" s="140"/>
      <c r="L309" s="31"/>
      <c r="N309" s="213"/>
      <c r="O309" s="214"/>
      <c r="Q309" s="229"/>
      <c r="AR309" s="141"/>
      <c r="AY309" s="50"/>
      <c r="BY309" s="16" t="s">
        <v>289</v>
      </c>
      <c r="BZ309" s="16" t="s">
        <v>83</v>
      </c>
    </row>
    <row r="310" spans="2:96" s="1" customFormat="1" ht="14.45" customHeight="1" x14ac:dyDescent="0.2">
      <c r="B310" s="124"/>
      <c r="C310" s="125" t="s">
        <v>1566</v>
      </c>
      <c r="D310" s="125" t="s">
        <v>284</v>
      </c>
      <c r="E310" s="126" t="s">
        <v>3059</v>
      </c>
      <c r="F310" s="127" t="s">
        <v>3060</v>
      </c>
      <c r="G310" s="128" t="s">
        <v>331</v>
      </c>
      <c r="H310" s="129">
        <v>26</v>
      </c>
      <c r="I310" s="130">
        <v>1136.6588400000001</v>
      </c>
      <c r="J310" s="131">
        <f>ROUND(I310*H310,2)</f>
        <v>29553.13</v>
      </c>
      <c r="K310" s="127" t="s">
        <v>1</v>
      </c>
      <c r="L310" s="268">
        <f>S310</f>
        <v>0</v>
      </c>
      <c r="M310" s="272">
        <f>ROUND(L310*I310,2)</f>
        <v>0</v>
      </c>
      <c r="N310" s="243"/>
      <c r="O310" s="294">
        <f>ROUND(N310*I310,2)</f>
        <v>0</v>
      </c>
      <c r="P310" s="273">
        <f>H310-L310-N310</f>
        <v>26</v>
      </c>
      <c r="Q310" s="287">
        <f>ROUND(P310*I310,2)</f>
        <v>29553.13</v>
      </c>
      <c r="R310" s="137"/>
      <c r="S310" s="269">
        <f>W310+Y310+AA310+AC310</f>
        <v>0</v>
      </c>
      <c r="T310" s="269">
        <f>ROUND(S310*I310,2)</f>
        <v>0</v>
      </c>
      <c r="U310" s="269">
        <f>H310-S310</f>
        <v>26</v>
      </c>
      <c r="V310" s="269">
        <f>ROUND(U310*I310,2)</f>
        <v>29553.13</v>
      </c>
      <c r="W310" s="269"/>
      <c r="X310" s="269"/>
      <c r="Y310" s="269"/>
      <c r="Z310" s="269"/>
      <c r="AA310" s="269"/>
      <c r="AB310" s="269"/>
      <c r="AC310" s="269"/>
      <c r="AD310" s="269"/>
      <c r="AR310" s="132" t="s">
        <v>1</v>
      </c>
      <c r="AS310" s="133" t="s">
        <v>40</v>
      </c>
      <c r="AU310" s="134">
        <f>AT310*H310</f>
        <v>0</v>
      </c>
      <c r="AV310" s="134">
        <v>0</v>
      </c>
      <c r="AW310" s="134">
        <f>AV310*H310</f>
        <v>0</v>
      </c>
      <c r="AX310" s="134">
        <v>0</v>
      </c>
      <c r="AY310" s="135">
        <f>AX310*H310</f>
        <v>0</v>
      </c>
      <c r="BW310" s="136" t="s">
        <v>95</v>
      </c>
      <c r="BY310" s="136" t="s">
        <v>284</v>
      </c>
      <c r="BZ310" s="136" t="s">
        <v>83</v>
      </c>
      <c r="CD310" s="16" t="s">
        <v>282</v>
      </c>
      <c r="CJ310" s="137">
        <f>IF(AS310="základní",J310,0)</f>
        <v>29553.13</v>
      </c>
      <c r="CK310" s="137">
        <f>IF(AS310="snížená",J310,0)</f>
        <v>0</v>
      </c>
      <c r="CL310" s="137">
        <f>IF(AS310="zákl. přenesená",J310,0)</f>
        <v>0</v>
      </c>
      <c r="CM310" s="137">
        <f>IF(AS310="sníž. přenesená",J310,0)</f>
        <v>0</v>
      </c>
      <c r="CN310" s="137">
        <f>IF(AS310="nulová",J310,0)</f>
        <v>0</v>
      </c>
      <c r="CO310" s="16" t="s">
        <v>81</v>
      </c>
      <c r="CP310" s="137">
        <f>ROUND(I310*H310,2)</f>
        <v>29553.13</v>
      </c>
      <c r="CQ310" s="16" t="s">
        <v>95</v>
      </c>
      <c r="CR310" s="136" t="s">
        <v>3064</v>
      </c>
    </row>
    <row r="311" spans="2:96" s="1" customFormat="1" x14ac:dyDescent="0.2">
      <c r="B311" s="31"/>
      <c r="D311" s="138" t="s">
        <v>289</v>
      </c>
      <c r="F311" s="139" t="s">
        <v>3060</v>
      </c>
      <c r="I311" s="140"/>
      <c r="L311" s="31"/>
      <c r="N311" s="213"/>
      <c r="O311" s="214"/>
      <c r="Q311" s="229"/>
      <c r="AR311" s="141"/>
      <c r="AY311" s="50"/>
      <c r="BY311" s="16" t="s">
        <v>289</v>
      </c>
      <c r="BZ311" s="16" t="s">
        <v>83</v>
      </c>
    </row>
    <row r="312" spans="2:96" s="1" customFormat="1" ht="14.45" customHeight="1" x14ac:dyDescent="0.2">
      <c r="B312" s="124"/>
      <c r="C312" s="125" t="s">
        <v>1568</v>
      </c>
      <c r="D312" s="125" t="s">
        <v>284</v>
      </c>
      <c r="E312" s="126" t="s">
        <v>3062</v>
      </c>
      <c r="F312" s="127" t="s">
        <v>3063</v>
      </c>
      <c r="G312" s="128" t="s">
        <v>1948</v>
      </c>
      <c r="H312" s="129">
        <v>1</v>
      </c>
      <c r="I312" s="130">
        <v>7890.3067810000002</v>
      </c>
      <c r="J312" s="131">
        <f>ROUND(I312*H312,2)</f>
        <v>7890.31</v>
      </c>
      <c r="K312" s="127" t="s">
        <v>1</v>
      </c>
      <c r="L312" s="268">
        <f>S312</f>
        <v>0</v>
      </c>
      <c r="M312" s="272">
        <f>ROUND(L312*I312,2)</f>
        <v>0</v>
      </c>
      <c r="N312" s="243"/>
      <c r="O312" s="294">
        <f>ROUND(N312*I312,2)</f>
        <v>0</v>
      </c>
      <c r="P312" s="273">
        <f>H312-L312-N312</f>
        <v>1</v>
      </c>
      <c r="Q312" s="287">
        <f>ROUND(P312*I312,2)</f>
        <v>7890.31</v>
      </c>
      <c r="R312" s="137"/>
      <c r="S312" s="269">
        <f>W312+Y312+AA312+AC312</f>
        <v>0</v>
      </c>
      <c r="T312" s="269">
        <f>ROUND(S312*I312,2)</f>
        <v>0</v>
      </c>
      <c r="U312" s="269">
        <f>H312-S312</f>
        <v>1</v>
      </c>
      <c r="V312" s="269">
        <f>ROUND(U312*I312,2)</f>
        <v>7890.31</v>
      </c>
      <c r="W312" s="269"/>
      <c r="X312" s="269"/>
      <c r="Y312" s="269"/>
      <c r="Z312" s="269"/>
      <c r="AA312" s="269"/>
      <c r="AB312" s="269"/>
      <c r="AC312" s="269"/>
      <c r="AD312" s="269"/>
      <c r="AR312" s="132" t="s">
        <v>1</v>
      </c>
      <c r="AS312" s="133" t="s">
        <v>40</v>
      </c>
      <c r="AU312" s="134">
        <f>AT312*H312</f>
        <v>0</v>
      </c>
      <c r="AV312" s="134">
        <v>0</v>
      </c>
      <c r="AW312" s="134">
        <f>AV312*H312</f>
        <v>0</v>
      </c>
      <c r="AX312" s="134">
        <v>0</v>
      </c>
      <c r="AY312" s="135">
        <f>AX312*H312</f>
        <v>0</v>
      </c>
      <c r="BW312" s="136" t="s">
        <v>95</v>
      </c>
      <c r="BY312" s="136" t="s">
        <v>284</v>
      </c>
      <c r="BZ312" s="136" t="s">
        <v>83</v>
      </c>
      <c r="CD312" s="16" t="s">
        <v>282</v>
      </c>
      <c r="CJ312" s="137">
        <f>IF(AS312="základní",J312,0)</f>
        <v>7890.31</v>
      </c>
      <c r="CK312" s="137">
        <f>IF(AS312="snížená",J312,0)</f>
        <v>0</v>
      </c>
      <c r="CL312" s="137">
        <f>IF(AS312="zákl. přenesená",J312,0)</f>
        <v>0</v>
      </c>
      <c r="CM312" s="137">
        <f>IF(AS312="sníž. přenesená",J312,0)</f>
        <v>0</v>
      </c>
      <c r="CN312" s="137">
        <f>IF(AS312="nulová",J312,0)</f>
        <v>0</v>
      </c>
      <c r="CO312" s="16" t="s">
        <v>81</v>
      </c>
      <c r="CP312" s="137">
        <f>ROUND(I312*H312,2)</f>
        <v>7890.31</v>
      </c>
      <c r="CQ312" s="16" t="s">
        <v>95</v>
      </c>
      <c r="CR312" s="136" t="s">
        <v>3066</v>
      </c>
    </row>
    <row r="313" spans="2:96" s="1" customFormat="1" x14ac:dyDescent="0.2">
      <c r="B313" s="31"/>
      <c r="D313" s="138" t="s">
        <v>289</v>
      </c>
      <c r="F313" s="139" t="s">
        <v>3063</v>
      </c>
      <c r="I313" s="140"/>
      <c r="L313" s="31"/>
      <c r="N313" s="213"/>
      <c r="O313" s="214"/>
      <c r="Q313" s="229"/>
      <c r="AR313" s="141"/>
      <c r="AY313" s="50"/>
      <c r="BY313" s="16" t="s">
        <v>289</v>
      </c>
      <c r="BZ313" s="16" t="s">
        <v>83</v>
      </c>
    </row>
    <row r="314" spans="2:96" s="1" customFormat="1" ht="14.45" customHeight="1" x14ac:dyDescent="0.2">
      <c r="B314" s="124"/>
      <c r="C314" s="125" t="s">
        <v>1569</v>
      </c>
      <c r="D314" s="125" t="s">
        <v>284</v>
      </c>
      <c r="E314" s="126" t="s">
        <v>3065</v>
      </c>
      <c r="F314" s="127" t="s">
        <v>2037</v>
      </c>
      <c r="G314" s="128" t="s">
        <v>331</v>
      </c>
      <c r="H314" s="129">
        <v>12</v>
      </c>
      <c r="I314" s="130">
        <v>615.69020499999999</v>
      </c>
      <c r="J314" s="131">
        <f>ROUND(I314*H314,2)</f>
        <v>7388.28</v>
      </c>
      <c r="K314" s="127" t="s">
        <v>1</v>
      </c>
      <c r="L314" s="268">
        <f>S314</f>
        <v>0</v>
      </c>
      <c r="M314" s="272">
        <f>ROUND(L314*I314,2)</f>
        <v>0</v>
      </c>
      <c r="N314" s="243"/>
      <c r="O314" s="294">
        <f>ROUND(N314*I314,2)</f>
        <v>0</v>
      </c>
      <c r="P314" s="273">
        <f>H314-L314-N314</f>
        <v>12</v>
      </c>
      <c r="Q314" s="287">
        <f>ROUND(P314*I314,2)</f>
        <v>7388.28</v>
      </c>
      <c r="R314" s="137"/>
      <c r="S314" s="269">
        <f>W314+Y314+AA314+AC314</f>
        <v>0</v>
      </c>
      <c r="T314" s="269">
        <f>ROUND(S314*I314,2)</f>
        <v>0</v>
      </c>
      <c r="U314" s="269">
        <f>H314-S314</f>
        <v>12</v>
      </c>
      <c r="V314" s="269">
        <f>ROUND(U314*I314,2)</f>
        <v>7388.28</v>
      </c>
      <c r="W314" s="269"/>
      <c r="X314" s="269"/>
      <c r="Y314" s="269"/>
      <c r="Z314" s="269"/>
      <c r="AA314" s="269"/>
      <c r="AB314" s="269"/>
      <c r="AC314" s="269"/>
      <c r="AD314" s="269"/>
      <c r="AR314" s="132" t="s">
        <v>1</v>
      </c>
      <c r="AS314" s="133" t="s">
        <v>40</v>
      </c>
      <c r="AU314" s="134">
        <f>AT314*H314</f>
        <v>0</v>
      </c>
      <c r="AV314" s="134">
        <v>0</v>
      </c>
      <c r="AW314" s="134">
        <f>AV314*H314</f>
        <v>0</v>
      </c>
      <c r="AX314" s="134">
        <v>0</v>
      </c>
      <c r="AY314" s="135">
        <f>AX314*H314</f>
        <v>0</v>
      </c>
      <c r="BW314" s="136" t="s">
        <v>95</v>
      </c>
      <c r="BY314" s="136" t="s">
        <v>284</v>
      </c>
      <c r="BZ314" s="136" t="s">
        <v>83</v>
      </c>
      <c r="CD314" s="16" t="s">
        <v>282</v>
      </c>
      <c r="CJ314" s="137">
        <f>IF(AS314="základní",J314,0)</f>
        <v>7388.28</v>
      </c>
      <c r="CK314" s="137">
        <f>IF(AS314="snížená",J314,0)</f>
        <v>0</v>
      </c>
      <c r="CL314" s="137">
        <f>IF(AS314="zákl. přenesená",J314,0)</f>
        <v>0</v>
      </c>
      <c r="CM314" s="137">
        <f>IF(AS314="sníž. přenesená",J314,0)</f>
        <v>0</v>
      </c>
      <c r="CN314" s="137">
        <f>IF(AS314="nulová",J314,0)</f>
        <v>0</v>
      </c>
      <c r="CO314" s="16" t="s">
        <v>81</v>
      </c>
      <c r="CP314" s="137">
        <f>ROUND(I314*H314,2)</f>
        <v>7388.28</v>
      </c>
      <c r="CQ314" s="16" t="s">
        <v>95</v>
      </c>
      <c r="CR314" s="136" t="s">
        <v>3068</v>
      </c>
    </row>
    <row r="315" spans="2:96" s="1" customFormat="1" x14ac:dyDescent="0.2">
      <c r="B315" s="31"/>
      <c r="D315" s="138" t="s">
        <v>289</v>
      </c>
      <c r="F315" s="139" t="s">
        <v>2037</v>
      </c>
      <c r="I315" s="140"/>
      <c r="L315" s="31"/>
      <c r="N315" s="213"/>
      <c r="O315" s="214"/>
      <c r="Q315" s="229"/>
      <c r="AR315" s="141"/>
      <c r="AY315" s="50"/>
      <c r="BY315" s="16" t="s">
        <v>289</v>
      </c>
      <c r="BZ315" s="16" t="s">
        <v>83</v>
      </c>
    </row>
    <row r="316" spans="2:96" s="1" customFormat="1" ht="14.45" customHeight="1" x14ac:dyDescent="0.2">
      <c r="B316" s="124"/>
      <c r="C316" s="125" t="s">
        <v>1570</v>
      </c>
      <c r="D316" s="125" t="s">
        <v>284</v>
      </c>
      <c r="E316" s="126" t="s">
        <v>3067</v>
      </c>
      <c r="F316" s="127" t="s">
        <v>2039</v>
      </c>
      <c r="G316" s="128" t="s">
        <v>331</v>
      </c>
      <c r="H316" s="129">
        <v>30</v>
      </c>
      <c r="I316" s="130">
        <v>615.69020499999999</v>
      </c>
      <c r="J316" s="131">
        <f>ROUND(I316*H316,2)</f>
        <v>18470.71</v>
      </c>
      <c r="K316" s="127" t="s">
        <v>1</v>
      </c>
      <c r="L316" s="268">
        <f>S316</f>
        <v>0</v>
      </c>
      <c r="M316" s="272">
        <f>ROUND(L316*I316,2)</f>
        <v>0</v>
      </c>
      <c r="N316" s="243"/>
      <c r="O316" s="294">
        <f>ROUND(N316*I316,2)</f>
        <v>0</v>
      </c>
      <c r="P316" s="273">
        <f>H316-L316-N316</f>
        <v>30</v>
      </c>
      <c r="Q316" s="287">
        <f>ROUND(P316*I316,2)</f>
        <v>18470.71</v>
      </c>
      <c r="R316" s="137"/>
      <c r="S316" s="269">
        <f>W316+Y316+AA316+AC316</f>
        <v>0</v>
      </c>
      <c r="T316" s="269">
        <f>ROUND(S316*I316,2)</f>
        <v>0</v>
      </c>
      <c r="U316" s="269">
        <f>H316-S316</f>
        <v>30</v>
      </c>
      <c r="V316" s="269">
        <f>ROUND(U316*I316,2)</f>
        <v>18470.71</v>
      </c>
      <c r="W316" s="269"/>
      <c r="X316" s="269"/>
      <c r="Y316" s="269"/>
      <c r="Z316" s="269"/>
      <c r="AA316" s="269"/>
      <c r="AB316" s="269"/>
      <c r="AC316" s="269"/>
      <c r="AD316" s="269"/>
      <c r="AR316" s="132" t="s">
        <v>1</v>
      </c>
      <c r="AS316" s="133" t="s">
        <v>40</v>
      </c>
      <c r="AU316" s="134">
        <f>AT316*H316</f>
        <v>0</v>
      </c>
      <c r="AV316" s="134">
        <v>0</v>
      </c>
      <c r="AW316" s="134">
        <f>AV316*H316</f>
        <v>0</v>
      </c>
      <c r="AX316" s="134">
        <v>0</v>
      </c>
      <c r="AY316" s="135">
        <f>AX316*H316</f>
        <v>0</v>
      </c>
      <c r="BW316" s="136" t="s">
        <v>95</v>
      </c>
      <c r="BY316" s="136" t="s">
        <v>284</v>
      </c>
      <c r="BZ316" s="136" t="s">
        <v>83</v>
      </c>
      <c r="CD316" s="16" t="s">
        <v>282</v>
      </c>
      <c r="CJ316" s="137">
        <f>IF(AS316="základní",J316,0)</f>
        <v>18470.71</v>
      </c>
      <c r="CK316" s="137">
        <f>IF(AS316="snížená",J316,0)</f>
        <v>0</v>
      </c>
      <c r="CL316" s="137">
        <f>IF(AS316="zákl. přenesená",J316,0)</f>
        <v>0</v>
      </c>
      <c r="CM316" s="137">
        <f>IF(AS316="sníž. přenesená",J316,0)</f>
        <v>0</v>
      </c>
      <c r="CN316" s="137">
        <f>IF(AS316="nulová",J316,0)</f>
        <v>0</v>
      </c>
      <c r="CO316" s="16" t="s">
        <v>81</v>
      </c>
      <c r="CP316" s="137">
        <f>ROUND(I316*H316,2)</f>
        <v>18470.71</v>
      </c>
      <c r="CQ316" s="16" t="s">
        <v>95</v>
      </c>
      <c r="CR316" s="136" t="s">
        <v>3101</v>
      </c>
    </row>
    <row r="317" spans="2:96" s="1" customFormat="1" x14ac:dyDescent="0.2">
      <c r="B317" s="31"/>
      <c r="D317" s="138" t="s">
        <v>289</v>
      </c>
      <c r="F317" s="139" t="s">
        <v>2039</v>
      </c>
      <c r="I317" s="140"/>
      <c r="L317" s="31"/>
      <c r="N317" s="213"/>
      <c r="O317" s="214"/>
      <c r="Q317" s="229"/>
      <c r="AR317" s="141"/>
      <c r="AY317" s="50"/>
      <c r="BY317" s="16" t="s">
        <v>289</v>
      </c>
      <c r="BZ317" s="16" t="s">
        <v>83</v>
      </c>
    </row>
    <row r="318" spans="2:96" s="10" customFormat="1" ht="22.9" customHeight="1" x14ac:dyDescent="0.2">
      <c r="B318" s="112"/>
      <c r="D318" s="113" t="s">
        <v>73</v>
      </c>
      <c r="E318" s="122" t="s">
        <v>3069</v>
      </c>
      <c r="F318" s="122" t="s">
        <v>3070</v>
      </c>
      <c r="I318" s="115"/>
      <c r="J318" s="123">
        <f>CP318</f>
        <v>14094.57</v>
      </c>
      <c r="L318" s="112"/>
      <c r="M318" s="270">
        <f>SUM(M319:M323)</f>
        <v>0</v>
      </c>
      <c r="N318" s="301"/>
      <c r="O318" s="302">
        <f t="shared" ref="O318:V318" si="8">SUM(O319:O323)</f>
        <v>0</v>
      </c>
      <c r="P318" s="270"/>
      <c r="Q318" s="288">
        <f t="shared" si="8"/>
        <v>14094.57</v>
      </c>
      <c r="R318" s="270"/>
      <c r="S318" s="270"/>
      <c r="T318" s="270">
        <f t="shared" si="8"/>
        <v>0</v>
      </c>
      <c r="U318" s="270"/>
      <c r="V318" s="270">
        <f t="shared" si="8"/>
        <v>14094.57</v>
      </c>
      <c r="AR318" s="117"/>
      <c r="AU318" s="118">
        <f>SUM(AU319:AU324)</f>
        <v>0</v>
      </c>
      <c r="AW318" s="118">
        <f>SUM(AW319:AW324)</f>
        <v>0</v>
      </c>
      <c r="AY318" s="119">
        <f>SUM(AY319:AY324)</f>
        <v>0</v>
      </c>
      <c r="BW318" s="113" t="s">
        <v>95</v>
      </c>
      <c r="BY318" s="120" t="s">
        <v>73</v>
      </c>
      <c r="BZ318" s="120" t="s">
        <v>81</v>
      </c>
      <c r="CD318" s="113" t="s">
        <v>282</v>
      </c>
      <c r="CP318" s="121">
        <f>SUM(CP319:CP324)</f>
        <v>14094.57</v>
      </c>
    </row>
    <row r="319" spans="2:96" s="1" customFormat="1" ht="14.45" customHeight="1" x14ac:dyDescent="0.2">
      <c r="B319" s="124"/>
      <c r="C319" s="125" t="s">
        <v>1571</v>
      </c>
      <c r="D319" s="125" t="s">
        <v>284</v>
      </c>
      <c r="E319" s="126" t="s">
        <v>3071</v>
      </c>
      <c r="F319" s="127" t="s">
        <v>2043</v>
      </c>
      <c r="G319" s="128" t="s">
        <v>1948</v>
      </c>
      <c r="H319" s="129">
        <v>1</v>
      </c>
      <c r="I319" s="130">
        <v>1468.1843349999999</v>
      </c>
      <c r="J319" s="131">
        <f>ROUND(I319*H319,2)</f>
        <v>1468.18</v>
      </c>
      <c r="K319" s="127" t="s">
        <v>1</v>
      </c>
      <c r="L319" s="268">
        <f>S319</f>
        <v>0</v>
      </c>
      <c r="M319" s="272">
        <f>ROUND(L319*I319,2)</f>
        <v>0</v>
      </c>
      <c r="N319" s="243"/>
      <c r="O319" s="294">
        <f>ROUND(N319*I319,2)</f>
        <v>0</v>
      </c>
      <c r="P319" s="273">
        <f>H319-L319-N319</f>
        <v>1</v>
      </c>
      <c r="Q319" s="287">
        <f>ROUND(P319*I319,2)</f>
        <v>1468.18</v>
      </c>
      <c r="R319" s="137"/>
      <c r="S319" s="269">
        <f>W319+Y319+AA319+AC319</f>
        <v>0</v>
      </c>
      <c r="T319" s="269">
        <f>ROUND(S319*I319,2)</f>
        <v>0</v>
      </c>
      <c r="U319" s="269">
        <f>H319-S319</f>
        <v>1</v>
      </c>
      <c r="V319" s="269">
        <f>ROUND(U319*I319,2)</f>
        <v>1468.18</v>
      </c>
      <c r="W319" s="269"/>
      <c r="X319" s="269"/>
      <c r="Y319" s="269"/>
      <c r="Z319" s="269"/>
      <c r="AA319" s="269"/>
      <c r="AB319" s="269"/>
      <c r="AC319" s="269"/>
      <c r="AD319" s="269"/>
      <c r="AR319" s="132" t="s">
        <v>1</v>
      </c>
      <c r="AS319" s="133" t="s">
        <v>40</v>
      </c>
      <c r="AU319" s="134">
        <f>AT319*H319</f>
        <v>0</v>
      </c>
      <c r="AV319" s="134">
        <v>0</v>
      </c>
      <c r="AW319" s="134">
        <f>AV319*H319</f>
        <v>0</v>
      </c>
      <c r="AX319" s="134">
        <v>0</v>
      </c>
      <c r="AY319" s="135">
        <f>AX319*H319</f>
        <v>0</v>
      </c>
      <c r="BW319" s="136" t="s">
        <v>95</v>
      </c>
      <c r="BY319" s="136" t="s">
        <v>284</v>
      </c>
      <c r="BZ319" s="136" t="s">
        <v>83</v>
      </c>
      <c r="CD319" s="16" t="s">
        <v>282</v>
      </c>
      <c r="CJ319" s="137">
        <f>IF(AS319="základní",J319,0)</f>
        <v>1468.18</v>
      </c>
      <c r="CK319" s="137">
        <f>IF(AS319="snížená",J319,0)</f>
        <v>0</v>
      </c>
      <c r="CL319" s="137">
        <f>IF(AS319="zákl. přenesená",J319,0)</f>
        <v>0</v>
      </c>
      <c r="CM319" s="137">
        <f>IF(AS319="sníž. přenesená",J319,0)</f>
        <v>0</v>
      </c>
      <c r="CN319" s="137">
        <f>IF(AS319="nulová",J319,0)</f>
        <v>0</v>
      </c>
      <c r="CO319" s="16" t="s">
        <v>81</v>
      </c>
      <c r="CP319" s="137">
        <f>ROUND(I319*H319,2)</f>
        <v>1468.18</v>
      </c>
      <c r="CQ319" s="16" t="s">
        <v>95</v>
      </c>
      <c r="CR319" s="136" t="s">
        <v>3102</v>
      </c>
    </row>
    <row r="320" spans="2:96" s="1" customFormat="1" x14ac:dyDescent="0.2">
      <c r="B320" s="31"/>
      <c r="D320" s="138" t="s">
        <v>289</v>
      </c>
      <c r="F320" s="139" t="s">
        <v>2043</v>
      </c>
      <c r="I320" s="140"/>
      <c r="L320" s="31"/>
      <c r="N320" s="213"/>
      <c r="O320" s="214"/>
      <c r="Q320" s="229"/>
      <c r="AR320" s="141"/>
      <c r="AY320" s="50"/>
      <c r="BY320" s="16" t="s">
        <v>289</v>
      </c>
      <c r="BZ320" s="16" t="s">
        <v>83</v>
      </c>
    </row>
    <row r="321" spans="2:96" s="1" customFormat="1" ht="14.45" customHeight="1" x14ac:dyDescent="0.2">
      <c r="B321" s="124"/>
      <c r="C321" s="125" t="s">
        <v>2606</v>
      </c>
      <c r="D321" s="125" t="s">
        <v>284</v>
      </c>
      <c r="E321" s="126" t="s">
        <v>3073</v>
      </c>
      <c r="F321" s="127" t="s">
        <v>3074</v>
      </c>
      <c r="G321" s="128" t="s">
        <v>1948</v>
      </c>
      <c r="H321" s="129">
        <v>1</v>
      </c>
      <c r="I321" s="130">
        <v>3362.6157349999999</v>
      </c>
      <c r="J321" s="131">
        <f>ROUND(I321*H321,2)</f>
        <v>3362.62</v>
      </c>
      <c r="K321" s="127" t="s">
        <v>1</v>
      </c>
      <c r="L321" s="268">
        <f>S321</f>
        <v>0</v>
      </c>
      <c r="M321" s="272">
        <f>ROUND(L321*I321,2)</f>
        <v>0</v>
      </c>
      <c r="N321" s="243"/>
      <c r="O321" s="294">
        <f>ROUND(N321*I321,2)</f>
        <v>0</v>
      </c>
      <c r="P321" s="273">
        <f>H321-L321-N321</f>
        <v>1</v>
      </c>
      <c r="Q321" s="287">
        <f>ROUND(P321*I321,2)</f>
        <v>3362.62</v>
      </c>
      <c r="R321" s="137"/>
      <c r="S321" s="269">
        <f>W321+Y321+AA321+AC321</f>
        <v>0</v>
      </c>
      <c r="T321" s="269">
        <f>ROUND(S321*I321,2)</f>
        <v>0</v>
      </c>
      <c r="U321" s="269">
        <f>H321-S321</f>
        <v>1</v>
      </c>
      <c r="V321" s="269">
        <f>ROUND(U321*I321,2)</f>
        <v>3362.62</v>
      </c>
      <c r="W321" s="269"/>
      <c r="X321" s="269"/>
      <c r="Y321" s="269"/>
      <c r="Z321" s="269"/>
      <c r="AA321" s="269"/>
      <c r="AB321" s="269"/>
      <c r="AC321" s="269"/>
      <c r="AD321" s="269"/>
      <c r="AR321" s="132" t="s">
        <v>1</v>
      </c>
      <c r="AS321" s="133" t="s">
        <v>40</v>
      </c>
      <c r="AU321" s="134">
        <f>AT321*H321</f>
        <v>0</v>
      </c>
      <c r="AV321" s="134">
        <v>0</v>
      </c>
      <c r="AW321" s="134">
        <f>AV321*H321</f>
        <v>0</v>
      </c>
      <c r="AX321" s="134">
        <v>0</v>
      </c>
      <c r="AY321" s="135">
        <f>AX321*H321</f>
        <v>0</v>
      </c>
      <c r="BW321" s="136" t="s">
        <v>95</v>
      </c>
      <c r="BY321" s="136" t="s">
        <v>284</v>
      </c>
      <c r="BZ321" s="136" t="s">
        <v>83</v>
      </c>
      <c r="CD321" s="16" t="s">
        <v>282</v>
      </c>
      <c r="CJ321" s="137">
        <f>IF(AS321="základní",J321,0)</f>
        <v>3362.62</v>
      </c>
      <c r="CK321" s="137">
        <f>IF(AS321="snížená",J321,0)</f>
        <v>0</v>
      </c>
      <c r="CL321" s="137">
        <f>IF(AS321="zákl. přenesená",J321,0)</f>
        <v>0</v>
      </c>
      <c r="CM321" s="137">
        <f>IF(AS321="sníž. přenesená",J321,0)</f>
        <v>0</v>
      </c>
      <c r="CN321" s="137">
        <f>IF(AS321="nulová",J321,0)</f>
        <v>0</v>
      </c>
      <c r="CO321" s="16" t="s">
        <v>81</v>
      </c>
      <c r="CP321" s="137">
        <f>ROUND(I321*H321,2)</f>
        <v>3362.62</v>
      </c>
      <c r="CQ321" s="16" t="s">
        <v>95</v>
      </c>
      <c r="CR321" s="136" t="s">
        <v>3103</v>
      </c>
    </row>
    <row r="322" spans="2:96" s="1" customFormat="1" x14ac:dyDescent="0.2">
      <c r="B322" s="31"/>
      <c r="D322" s="138" t="s">
        <v>289</v>
      </c>
      <c r="F322" s="139" t="s">
        <v>3074</v>
      </c>
      <c r="I322" s="140"/>
      <c r="L322" s="31"/>
      <c r="N322" s="213"/>
      <c r="O322" s="214"/>
      <c r="Q322" s="229"/>
      <c r="AR322" s="141"/>
      <c r="AY322" s="50"/>
      <c r="BY322" s="16" t="s">
        <v>289</v>
      </c>
      <c r="BZ322" s="16" t="s">
        <v>83</v>
      </c>
    </row>
    <row r="323" spans="2:96" s="1" customFormat="1" ht="14.45" customHeight="1" x14ac:dyDescent="0.2">
      <c r="B323" s="124"/>
      <c r="C323" s="125" t="s">
        <v>2608</v>
      </c>
      <c r="D323" s="125" t="s">
        <v>284</v>
      </c>
      <c r="E323" s="126" t="s">
        <v>3076</v>
      </c>
      <c r="F323" s="127" t="s">
        <v>3077</v>
      </c>
      <c r="G323" s="128" t="s">
        <v>1948</v>
      </c>
      <c r="H323" s="129">
        <v>1</v>
      </c>
      <c r="I323" s="130">
        <v>9263.7695459999995</v>
      </c>
      <c r="J323" s="131">
        <f>ROUND(I323*H323,2)</f>
        <v>9263.77</v>
      </c>
      <c r="K323" s="127" t="s">
        <v>1</v>
      </c>
      <c r="L323" s="268">
        <f>S323</f>
        <v>0</v>
      </c>
      <c r="M323" s="272">
        <f>ROUND(L323*I323,2)</f>
        <v>0</v>
      </c>
      <c r="N323" s="243"/>
      <c r="O323" s="294">
        <f>ROUND(N323*I323,2)</f>
        <v>0</v>
      </c>
      <c r="P323" s="273">
        <f>H323-L323-N323</f>
        <v>1</v>
      </c>
      <c r="Q323" s="287">
        <f>ROUND(P323*I323,2)</f>
        <v>9263.77</v>
      </c>
      <c r="R323" s="137"/>
      <c r="S323" s="269">
        <f>W323+Y323+AA323+AC323</f>
        <v>0</v>
      </c>
      <c r="T323" s="269">
        <f>ROUND(S323*I323,2)</f>
        <v>0</v>
      </c>
      <c r="U323" s="269">
        <f>H323-S323</f>
        <v>1</v>
      </c>
      <c r="V323" s="269">
        <f>ROUND(U323*I323,2)</f>
        <v>9263.77</v>
      </c>
      <c r="W323" s="269"/>
      <c r="X323" s="269"/>
      <c r="Y323" s="269"/>
      <c r="Z323" s="269"/>
      <c r="AA323" s="269"/>
      <c r="AB323" s="269"/>
      <c r="AC323" s="269"/>
      <c r="AD323" s="269"/>
      <c r="AR323" s="132" t="s">
        <v>1</v>
      </c>
      <c r="AS323" s="133" t="s">
        <v>40</v>
      </c>
      <c r="AU323" s="134">
        <f>AT323*H323</f>
        <v>0</v>
      </c>
      <c r="AV323" s="134">
        <v>0</v>
      </c>
      <c r="AW323" s="134">
        <f>AV323*H323</f>
        <v>0</v>
      </c>
      <c r="AX323" s="134">
        <v>0</v>
      </c>
      <c r="AY323" s="135">
        <f>AX323*H323</f>
        <v>0</v>
      </c>
      <c r="BW323" s="136" t="s">
        <v>95</v>
      </c>
      <c r="BY323" s="136" t="s">
        <v>284</v>
      </c>
      <c r="BZ323" s="136" t="s">
        <v>83</v>
      </c>
      <c r="CD323" s="16" t="s">
        <v>282</v>
      </c>
      <c r="CJ323" s="137">
        <f>IF(AS323="základní",J323,0)</f>
        <v>9263.77</v>
      </c>
      <c r="CK323" s="137">
        <f>IF(AS323="snížená",J323,0)</f>
        <v>0</v>
      </c>
      <c r="CL323" s="137">
        <f>IF(AS323="zákl. přenesená",J323,0)</f>
        <v>0</v>
      </c>
      <c r="CM323" s="137">
        <f>IF(AS323="sníž. přenesená",J323,0)</f>
        <v>0</v>
      </c>
      <c r="CN323" s="137">
        <f>IF(AS323="nulová",J323,0)</f>
        <v>0</v>
      </c>
      <c r="CO323" s="16" t="s">
        <v>81</v>
      </c>
      <c r="CP323" s="137">
        <f>ROUND(I323*H323,2)</f>
        <v>9263.77</v>
      </c>
      <c r="CQ323" s="16" t="s">
        <v>95</v>
      </c>
      <c r="CR323" s="136" t="s">
        <v>3104</v>
      </c>
    </row>
    <row r="324" spans="2:96" s="1" customFormat="1" x14ac:dyDescent="0.2">
      <c r="B324" s="31"/>
      <c r="D324" s="138" t="s">
        <v>289</v>
      </c>
      <c r="F324" s="139" t="s">
        <v>3077</v>
      </c>
      <c r="I324" s="140"/>
      <c r="L324" s="31"/>
      <c r="N324" s="213"/>
      <c r="O324" s="214"/>
      <c r="Q324" s="229"/>
      <c r="AR324" s="187"/>
      <c r="AS324" s="184"/>
      <c r="AT324" s="184"/>
      <c r="AU324" s="184"/>
      <c r="AV324" s="184"/>
      <c r="AW324" s="184"/>
      <c r="AX324" s="184"/>
      <c r="AY324" s="188"/>
      <c r="BY324" s="16" t="s">
        <v>289</v>
      </c>
      <c r="BZ324" s="16" t="s">
        <v>83</v>
      </c>
    </row>
    <row r="325" spans="2:96" s="1" customFormat="1" ht="6.95" customHeight="1" thickBot="1" x14ac:dyDescent="0.25">
      <c r="B325" s="43"/>
      <c r="C325" s="44"/>
      <c r="D325" s="44"/>
      <c r="E325" s="44"/>
      <c r="F325" s="44"/>
      <c r="G325" s="44"/>
      <c r="H325" s="44"/>
      <c r="I325" s="44"/>
      <c r="J325" s="44"/>
      <c r="K325" s="44"/>
      <c r="L325" s="235"/>
      <c r="M325" s="237"/>
      <c r="N325" s="239"/>
      <c r="O325" s="240"/>
      <c r="P325" s="238"/>
      <c r="Q325" s="241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</row>
  </sheetData>
  <autoFilter ref="C123:K324"/>
  <mergeCells count="23">
    <mergeCell ref="U124:V124"/>
    <mergeCell ref="W124:X124"/>
    <mergeCell ref="Y124:Z124"/>
    <mergeCell ref="AA124:AB124"/>
    <mergeCell ref="AC124:AD124"/>
    <mergeCell ref="L123:Q123"/>
    <mergeCell ref="L124:M124"/>
    <mergeCell ref="N124:O124"/>
    <mergeCell ref="P124:Q124"/>
    <mergeCell ref="S124:T124"/>
    <mergeCell ref="G122:K122"/>
    <mergeCell ref="E119:H119"/>
    <mergeCell ref="L2:BA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H322"/>
  <sheetViews>
    <sheetView windowProtection="1" showGridLines="0" topLeftCell="K114" zoomScale="80" zoomScaleNormal="80" workbookViewId="0">
      <selection activeCell="W126" sqref="W126:AD32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7.1640625" customWidth="1"/>
    <col min="7" max="7" width="7.5" customWidth="1"/>
    <col min="8" max="8" width="11.5" customWidth="1"/>
    <col min="9" max="11" width="20.1640625" customWidth="1"/>
    <col min="12" max="12" width="12.33203125" customWidth="1"/>
    <col min="13" max="13" width="15.6640625" customWidth="1"/>
    <col min="14" max="14" width="12.33203125" customWidth="1"/>
    <col min="15" max="15" width="19.1640625" customWidth="1"/>
    <col min="16" max="16" width="12.33203125" customWidth="1"/>
    <col min="17" max="17" width="16.1640625" customWidth="1"/>
    <col min="18" max="69" width="12.33203125" customWidth="1"/>
    <col min="70" max="70" width="16.33203125" customWidth="1"/>
    <col min="71" max="71" width="12.33203125" customWidth="1"/>
    <col min="72" max="72" width="15" customWidth="1"/>
    <col min="73" max="73" width="11" customWidth="1"/>
    <col min="74" max="74" width="15" customWidth="1"/>
    <col min="75" max="75" width="16.33203125" customWidth="1"/>
    <col min="76" max="76" width="11" customWidth="1"/>
    <col min="77" max="77" width="15" customWidth="1"/>
    <col min="78" max="78" width="16.33203125" customWidth="1"/>
    <col min="91" max="112" width="9.33203125" hidden="1"/>
  </cols>
  <sheetData>
    <row r="1" spans="2:93" hidden="1" x14ac:dyDescent="0.2"/>
    <row r="2" spans="2:93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CO2" s="16" t="s">
        <v>231</v>
      </c>
    </row>
    <row r="3" spans="2:93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CO3" s="16" t="s">
        <v>83</v>
      </c>
    </row>
    <row r="4" spans="2:93" ht="24.95" hidden="1" customHeight="1" x14ac:dyDescent="0.2">
      <c r="B4" s="19"/>
      <c r="D4" s="20" t="s">
        <v>243</v>
      </c>
      <c r="L4" s="19"/>
      <c r="BH4" s="79" t="s">
        <v>10</v>
      </c>
      <c r="CO4" s="16" t="s">
        <v>3</v>
      </c>
    </row>
    <row r="5" spans="2:93" ht="6.95" hidden="1" customHeight="1" x14ac:dyDescent="0.2">
      <c r="B5" s="19"/>
      <c r="L5" s="19"/>
    </row>
    <row r="6" spans="2:93" ht="12" hidden="1" customHeight="1" x14ac:dyDescent="0.2">
      <c r="B6" s="19"/>
      <c r="D6" s="26" t="s">
        <v>16</v>
      </c>
      <c r="L6" s="19"/>
    </row>
    <row r="7" spans="2:93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93" ht="12.75" hidden="1" x14ac:dyDescent="0.2">
      <c r="B8" s="19"/>
      <c r="D8" s="26" t="s">
        <v>244</v>
      </c>
      <c r="L8" s="19"/>
    </row>
    <row r="9" spans="2:93" ht="16.5" hidden="1" customHeight="1" x14ac:dyDescent="0.2">
      <c r="B9" s="19"/>
      <c r="E9" s="434" t="s">
        <v>245</v>
      </c>
      <c r="F9" s="399"/>
      <c r="G9" s="399"/>
      <c r="H9" s="399"/>
      <c r="L9" s="19"/>
    </row>
    <row r="10" spans="2:93" ht="12" hidden="1" customHeight="1" x14ac:dyDescent="0.2">
      <c r="B10" s="19"/>
      <c r="D10" s="26" t="s">
        <v>246</v>
      </c>
      <c r="L10" s="19"/>
    </row>
    <row r="11" spans="2:93" s="1" customFormat="1" ht="16.5" hidden="1" customHeight="1" x14ac:dyDescent="0.2">
      <c r="B11" s="31"/>
      <c r="E11" s="401" t="s">
        <v>3105</v>
      </c>
      <c r="F11" s="433"/>
      <c r="G11" s="433"/>
      <c r="H11" s="433"/>
      <c r="L11" s="31"/>
    </row>
    <row r="12" spans="2:93" s="1" customFormat="1" ht="12" hidden="1" customHeight="1" x14ac:dyDescent="0.2">
      <c r="B12" s="31"/>
      <c r="D12" s="26" t="s">
        <v>1790</v>
      </c>
      <c r="L12" s="31"/>
    </row>
    <row r="13" spans="2:93" s="1" customFormat="1" ht="16.5" hidden="1" customHeight="1" x14ac:dyDescent="0.2">
      <c r="B13" s="31"/>
      <c r="E13" s="432" t="s">
        <v>3106</v>
      </c>
      <c r="F13" s="433"/>
      <c r="G13" s="433"/>
      <c r="H13" s="433"/>
      <c r="L13" s="31"/>
    </row>
    <row r="14" spans="2:93" s="1" customFormat="1" hidden="1" x14ac:dyDescent="0.2">
      <c r="B14" s="31"/>
      <c r="L14" s="31"/>
    </row>
    <row r="15" spans="2:93" s="1" customFormat="1" ht="12" hidden="1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93" s="1" customFormat="1" ht="12" hidden="1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hidden="1" customHeight="1" x14ac:dyDescent="0.2">
      <c r="B17" s="31"/>
      <c r="L17" s="31"/>
    </row>
    <row r="18" spans="2:12" s="1" customFormat="1" ht="12" hidden="1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hidden="1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hidden="1" customHeight="1" x14ac:dyDescent="0.2">
      <c r="B20" s="31"/>
      <c r="L20" s="31"/>
    </row>
    <row r="21" spans="2:12" s="1" customFormat="1" ht="12" hidden="1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hidden="1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hidden="1" customHeight="1" x14ac:dyDescent="0.2">
      <c r="B23" s="31"/>
      <c r="L23" s="31"/>
    </row>
    <row r="24" spans="2:12" s="1" customFormat="1" ht="12" hidden="1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hidden="1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hidden="1" customHeight="1" x14ac:dyDescent="0.2">
      <c r="B26" s="31"/>
      <c r="L26" s="31"/>
    </row>
    <row r="27" spans="2:12" s="1" customFormat="1" ht="12" hidden="1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hidden="1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hidden="1" customHeight="1" x14ac:dyDescent="0.2">
      <c r="B29" s="31"/>
      <c r="L29" s="31"/>
    </row>
    <row r="30" spans="2:12" s="1" customFormat="1" ht="12" hidden="1" customHeight="1" x14ac:dyDescent="0.2">
      <c r="B30" s="31"/>
      <c r="D30" s="26" t="s">
        <v>34</v>
      </c>
      <c r="L30" s="31"/>
    </row>
    <row r="31" spans="2:12" s="6" customFormat="1" ht="16.5" hidden="1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hidden="1" customHeight="1" x14ac:dyDescent="0.2">
      <c r="B32" s="31"/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hidden="1" customHeight="1" x14ac:dyDescent="0.2">
      <c r="B34" s="31"/>
      <c r="D34" s="83" t="s">
        <v>35</v>
      </c>
      <c r="J34" s="58">
        <f>ROUND(J123, 2)</f>
        <v>430527.14</v>
      </c>
      <c r="L34" s="31"/>
    </row>
    <row r="35" spans="2:12" s="1" customFormat="1" ht="6.95" hidden="1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hidden="1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hidden="1" customHeight="1" x14ac:dyDescent="0.2">
      <c r="B37" s="31"/>
      <c r="D37" s="80" t="s">
        <v>39</v>
      </c>
      <c r="E37" s="26" t="s">
        <v>40</v>
      </c>
      <c r="F37" s="71">
        <f>ROUND((SUM(CZ123:CZ321)),  2)</f>
        <v>430527.14</v>
      </c>
      <c r="I37" s="84">
        <v>0.21</v>
      </c>
      <c r="J37" s="71">
        <f>ROUND(((SUM(CZ123:CZ321))*I37),  2)</f>
        <v>90410.7</v>
      </c>
      <c r="L37" s="31"/>
    </row>
    <row r="38" spans="2:12" s="1" customFormat="1" ht="14.45" hidden="1" customHeight="1" x14ac:dyDescent="0.2">
      <c r="B38" s="31"/>
      <c r="E38" s="26" t="s">
        <v>41</v>
      </c>
      <c r="F38" s="71">
        <f>ROUND((SUM(DA123:DA321)),  2)</f>
        <v>0</v>
      </c>
      <c r="I38" s="84">
        <v>0.15</v>
      </c>
      <c r="J38" s="71">
        <f>ROUND(((SUM(DA123:DA321))*I38),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ROUND((SUM(DB123:DB321)),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ROUND((SUM(DC123:DC321)),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ROUND((SUM(DD123:DD321)),  2)</f>
        <v>0</v>
      </c>
      <c r="I41" s="84">
        <v>0</v>
      </c>
      <c r="J41" s="71">
        <f>0</f>
        <v>0</v>
      </c>
      <c r="L41" s="31"/>
    </row>
    <row r="42" spans="2:12" s="1" customFormat="1" ht="6.95" hidden="1" customHeight="1" x14ac:dyDescent="0.2">
      <c r="B42" s="31"/>
      <c r="L42" s="31"/>
    </row>
    <row r="43" spans="2:12" s="1" customFormat="1" ht="25.35" hidden="1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520937.84</v>
      </c>
      <c r="K43" s="90"/>
      <c r="L43" s="31"/>
    </row>
    <row r="44" spans="2:12" s="1" customFormat="1" ht="14.45" hidden="1" customHeight="1" x14ac:dyDescent="0.2">
      <c r="B44" s="31"/>
      <c r="L44" s="31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ht="16.5" hidden="1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hidden="1" customHeight="1" x14ac:dyDescent="0.2">
      <c r="B88" s="19"/>
      <c r="C88" s="26" t="s">
        <v>246</v>
      </c>
      <c r="L88" s="19"/>
    </row>
    <row r="89" spans="2:12" s="1" customFormat="1" ht="16.5" hidden="1" customHeight="1" x14ac:dyDescent="0.2">
      <c r="B89" s="31"/>
      <c r="E89" s="401" t="s">
        <v>3105</v>
      </c>
      <c r="F89" s="433"/>
      <c r="G89" s="433"/>
      <c r="H89" s="433"/>
      <c r="L89" s="31"/>
    </row>
    <row r="90" spans="2:12" s="1" customFormat="1" ht="12" hidden="1" customHeight="1" x14ac:dyDescent="0.2">
      <c r="B90" s="31"/>
      <c r="C90" s="26" t="s">
        <v>1790</v>
      </c>
      <c r="L90" s="31"/>
    </row>
    <row r="91" spans="2:12" s="1" customFormat="1" ht="16.5" hidden="1" customHeight="1" x14ac:dyDescent="0.2">
      <c r="B91" s="31"/>
      <c r="E91" s="432" t="str">
        <f>E13</f>
        <v>0001 - PS 08.1 ČS11 - elektro, SŘTP, MaR</v>
      </c>
      <c r="F91" s="433"/>
      <c r="G91" s="433"/>
      <c r="H91" s="433"/>
      <c r="L91" s="31"/>
    </row>
    <row r="92" spans="2:12" s="1" customFormat="1" ht="6.95" hidden="1" customHeight="1" x14ac:dyDescent="0.2">
      <c r="B92" s="31"/>
      <c r="L92" s="31"/>
    </row>
    <row r="93" spans="2:12" s="1" customFormat="1" ht="12" hidden="1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hidden="1" customHeight="1" x14ac:dyDescent="0.2">
      <c r="B94" s="31"/>
      <c r="L94" s="31"/>
    </row>
    <row r="95" spans="2:12" s="1" customFormat="1" ht="40.15" hidden="1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hidden="1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94" s="1" customFormat="1" ht="10.35" hidden="1" customHeight="1" x14ac:dyDescent="0.2">
      <c r="B97" s="31"/>
      <c r="L97" s="31"/>
    </row>
    <row r="98" spans="2:94" s="1" customFormat="1" ht="29.25" hidden="1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94" s="1" customFormat="1" ht="10.35" hidden="1" customHeight="1" x14ac:dyDescent="0.2">
      <c r="B99" s="31"/>
      <c r="L99" s="31"/>
    </row>
    <row r="100" spans="2:94" s="1" customFormat="1" ht="22.9" hidden="1" customHeight="1" x14ac:dyDescent="0.2">
      <c r="B100" s="31"/>
      <c r="C100" s="95" t="s">
        <v>256</v>
      </c>
      <c r="J100" s="58">
        <f>J123</f>
        <v>430527.14</v>
      </c>
      <c r="L100" s="31"/>
      <c r="CP100" s="16" t="s">
        <v>257</v>
      </c>
    </row>
    <row r="101" spans="2:94" s="7" customFormat="1" ht="24.95" hidden="1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J124</f>
        <v>430527.14</v>
      </c>
      <c r="L101" s="96"/>
    </row>
    <row r="102" spans="2:94" s="8" customFormat="1" ht="19.899999999999999" hidden="1" customHeight="1" x14ac:dyDescent="0.2">
      <c r="B102" s="100"/>
      <c r="D102" s="101" t="s">
        <v>2854</v>
      </c>
      <c r="E102" s="102"/>
      <c r="F102" s="102"/>
      <c r="G102" s="102"/>
      <c r="H102" s="102"/>
      <c r="I102" s="102"/>
      <c r="J102" s="103">
        <f>J126</f>
        <v>158862.44</v>
      </c>
      <c r="L102" s="100"/>
    </row>
    <row r="103" spans="2:94" s="8" customFormat="1" ht="19.899999999999999" hidden="1" customHeight="1" x14ac:dyDescent="0.2">
      <c r="B103" s="100"/>
      <c r="D103" s="101" t="s">
        <v>2855</v>
      </c>
      <c r="E103" s="102"/>
      <c r="F103" s="102"/>
      <c r="G103" s="102"/>
      <c r="H103" s="102"/>
      <c r="I103" s="102"/>
      <c r="J103" s="103">
        <f>J231</f>
        <v>130728.38999999998</v>
      </c>
      <c r="L103" s="100"/>
    </row>
    <row r="104" spans="2:94" s="8" customFormat="1" ht="14.85" hidden="1" customHeight="1" x14ac:dyDescent="0.2">
      <c r="B104" s="100"/>
      <c r="D104" s="101" t="s">
        <v>2856</v>
      </c>
      <c r="E104" s="102"/>
      <c r="F104" s="102"/>
      <c r="G104" s="102"/>
      <c r="H104" s="102"/>
      <c r="I104" s="102"/>
      <c r="J104" s="103">
        <f>J232</f>
        <v>18063.07</v>
      </c>
      <c r="L104" s="100"/>
    </row>
    <row r="105" spans="2:94" s="8" customFormat="1" ht="14.85" hidden="1" customHeight="1" x14ac:dyDescent="0.2">
      <c r="B105" s="100"/>
      <c r="D105" s="101" t="s">
        <v>2857</v>
      </c>
      <c r="E105" s="102"/>
      <c r="F105" s="102"/>
      <c r="G105" s="102"/>
      <c r="H105" s="102"/>
      <c r="I105" s="102"/>
      <c r="J105" s="103">
        <f>J243</f>
        <v>112665.31999999999</v>
      </c>
      <c r="L105" s="100"/>
    </row>
    <row r="106" spans="2:94" s="8" customFormat="1" ht="19.899999999999999" hidden="1" customHeight="1" x14ac:dyDescent="0.2">
      <c r="B106" s="100"/>
      <c r="D106" s="101" t="s">
        <v>3081</v>
      </c>
      <c r="E106" s="102"/>
      <c r="F106" s="102"/>
      <c r="G106" s="102"/>
      <c r="H106" s="102"/>
      <c r="I106" s="102"/>
      <c r="J106" s="103">
        <f>J274</f>
        <v>16976.859999999997</v>
      </c>
      <c r="L106" s="100"/>
    </row>
    <row r="107" spans="2:94" s="8" customFormat="1" ht="19.899999999999999" hidden="1" customHeight="1" x14ac:dyDescent="0.2">
      <c r="B107" s="100"/>
      <c r="D107" s="101" t="s">
        <v>3082</v>
      </c>
      <c r="E107" s="102"/>
      <c r="F107" s="102"/>
      <c r="G107" s="102"/>
      <c r="H107" s="102"/>
      <c r="I107" s="102"/>
      <c r="J107" s="103">
        <f>J295</f>
        <v>4761.82</v>
      </c>
      <c r="L107" s="100"/>
    </row>
    <row r="108" spans="2:94" s="8" customFormat="1" ht="19.899999999999999" hidden="1" customHeight="1" x14ac:dyDescent="0.2">
      <c r="B108" s="100"/>
      <c r="D108" s="101" t="s">
        <v>3083</v>
      </c>
      <c r="E108" s="102"/>
      <c r="F108" s="102"/>
      <c r="G108" s="102"/>
      <c r="H108" s="102"/>
      <c r="I108" s="102"/>
      <c r="J108" s="103">
        <f>J304</f>
        <v>105131.48000000001</v>
      </c>
      <c r="L108" s="100"/>
    </row>
    <row r="109" spans="2:94" s="8" customFormat="1" ht="19.899999999999999" hidden="1" customHeight="1" x14ac:dyDescent="0.2">
      <c r="B109" s="100"/>
      <c r="D109" s="101" t="s">
        <v>2861</v>
      </c>
      <c r="E109" s="102"/>
      <c r="F109" s="102"/>
      <c r="G109" s="102"/>
      <c r="H109" s="102"/>
      <c r="I109" s="102"/>
      <c r="J109" s="103">
        <f>J315</f>
        <v>14066.150000000001</v>
      </c>
      <c r="L109" s="100"/>
    </row>
    <row r="110" spans="2:94" s="1" customFormat="1" ht="21.75" hidden="1" customHeight="1" x14ac:dyDescent="0.2">
      <c r="B110" s="31"/>
      <c r="L110" s="31"/>
    </row>
    <row r="111" spans="2:94" s="1" customFormat="1" ht="6.95" hidden="1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2" spans="2:94" hidden="1" x14ac:dyDescent="0.2"/>
    <row r="113" spans="2:112" hidden="1" x14ac:dyDescent="0.2"/>
    <row r="115" spans="2:112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112" s="1" customFormat="1" ht="24.95" customHeight="1" x14ac:dyDescent="0.2">
      <c r="B116" s="31"/>
      <c r="C116" s="20" t="s">
        <v>267</v>
      </c>
      <c r="L116" s="31"/>
    </row>
    <row r="117" spans="2:112" s="1" customFormat="1" ht="6.95" customHeight="1" x14ac:dyDescent="0.2">
      <c r="B117" s="31"/>
      <c r="L117" s="31"/>
    </row>
    <row r="118" spans="2:112" s="1" customFormat="1" ht="16.5" customHeight="1" x14ac:dyDescent="0.2">
      <c r="B118" s="31"/>
      <c r="E118" s="432" t="str">
        <f>E13</f>
        <v>0001 - PS 08.1 ČS11 - elektro, SŘTP, MaR</v>
      </c>
      <c r="F118" s="433"/>
      <c r="G118" s="433"/>
      <c r="H118" s="433"/>
      <c r="L118" s="31"/>
    </row>
    <row r="119" spans="2:112" s="1" customFormat="1" ht="6.95" customHeight="1" x14ac:dyDescent="0.2">
      <c r="B119" s="31"/>
      <c r="L119" s="31"/>
    </row>
    <row r="120" spans="2:112" s="1" customFormat="1" ht="15.2" customHeight="1" x14ac:dyDescent="0.2">
      <c r="B120" s="31"/>
      <c r="C120" s="26"/>
      <c r="F120" s="24"/>
      <c r="I120" s="26"/>
      <c r="J120" s="29"/>
      <c r="L120" s="31"/>
    </row>
    <row r="121" spans="2:112" s="1" customFormat="1" ht="24" customHeight="1" x14ac:dyDescent="0.2">
      <c r="B121" s="31"/>
      <c r="G121" s="446" t="s">
        <v>3305</v>
      </c>
      <c r="H121" s="446"/>
      <c r="I121" s="446"/>
      <c r="J121" s="446"/>
      <c r="K121" s="447"/>
      <c r="L121" s="31"/>
    </row>
    <row r="122" spans="2:112" s="9" customFormat="1" ht="29.25" customHeight="1" thickBot="1" x14ac:dyDescent="0.25">
      <c r="B122" s="104"/>
      <c r="C122" s="105" t="s">
        <v>268</v>
      </c>
      <c r="D122" s="106" t="s">
        <v>59</v>
      </c>
      <c r="E122" s="106" t="s">
        <v>55</v>
      </c>
      <c r="F122" s="106" t="s">
        <v>56</v>
      </c>
      <c r="G122" s="106" t="s">
        <v>269</v>
      </c>
      <c r="H122" s="106" t="s">
        <v>270</v>
      </c>
      <c r="I122" s="106" t="s">
        <v>271</v>
      </c>
      <c r="J122" s="106" t="s">
        <v>255</v>
      </c>
      <c r="K122" s="107" t="s">
        <v>272</v>
      </c>
      <c r="L122" s="437" t="s">
        <v>3307</v>
      </c>
      <c r="M122" s="438"/>
      <c r="N122" s="438"/>
      <c r="O122" s="438"/>
      <c r="P122" s="438"/>
      <c r="Q122" s="439"/>
      <c r="BH122" s="52" t="s">
        <v>1</v>
      </c>
      <c r="BI122" s="53" t="s">
        <v>39</v>
      </c>
      <c r="BJ122" s="53" t="s">
        <v>273</v>
      </c>
      <c r="BK122" s="53" t="s">
        <v>274</v>
      </c>
      <c r="BL122" s="53" t="s">
        <v>275</v>
      </c>
      <c r="BM122" s="53" t="s">
        <v>276</v>
      </c>
      <c r="BN122" s="53" t="s">
        <v>277</v>
      </c>
      <c r="BO122" s="54" t="s">
        <v>278</v>
      </c>
    </row>
    <row r="123" spans="2:112" s="1" customFormat="1" ht="22.9" customHeight="1" x14ac:dyDescent="0.25">
      <c r="B123" s="31"/>
      <c r="C123" s="57" t="s">
        <v>279</v>
      </c>
      <c r="G123" s="1" t="s">
        <v>3306</v>
      </c>
      <c r="J123" s="108">
        <f>DF123</f>
        <v>430527.14</v>
      </c>
      <c r="L123" s="440" t="s">
        <v>3308</v>
      </c>
      <c r="M123" s="441"/>
      <c r="N123" s="440" t="s">
        <v>3347</v>
      </c>
      <c r="O123" s="441"/>
      <c r="P123" s="440" t="s">
        <v>3309</v>
      </c>
      <c r="Q123" s="441"/>
      <c r="S123" s="442" t="s">
        <v>3312</v>
      </c>
      <c r="T123" s="443"/>
      <c r="U123" s="443" t="s">
        <v>3313</v>
      </c>
      <c r="V123" s="443"/>
      <c r="W123" s="444" t="s">
        <v>3324</v>
      </c>
      <c r="X123" s="444"/>
      <c r="Y123" s="444" t="s">
        <v>3325</v>
      </c>
      <c r="Z123" s="444"/>
      <c r="AA123" s="444" t="s">
        <v>3326</v>
      </c>
      <c r="AB123" s="444"/>
      <c r="AC123" s="444" t="s">
        <v>3327</v>
      </c>
      <c r="AD123" s="445"/>
      <c r="BH123" s="55"/>
      <c r="BI123" s="49"/>
      <c r="BJ123" s="49"/>
      <c r="BK123" s="109">
        <f>BK124</f>
        <v>0</v>
      </c>
      <c r="BL123" s="49"/>
      <c r="BM123" s="109">
        <f>BM124</f>
        <v>0</v>
      </c>
      <c r="BN123" s="49"/>
      <c r="BO123" s="110">
        <f>BO124</f>
        <v>0</v>
      </c>
      <c r="CO123" s="16" t="s">
        <v>73</v>
      </c>
      <c r="CP123" s="16" t="s">
        <v>257</v>
      </c>
      <c r="DF123" s="111">
        <f>DF124</f>
        <v>430527.14</v>
      </c>
    </row>
    <row r="124" spans="2:112" s="10" customFormat="1" ht="25.9" customHeight="1" thickBot="1" x14ac:dyDescent="0.25">
      <c r="B124" s="112"/>
      <c r="D124" s="113" t="s">
        <v>73</v>
      </c>
      <c r="E124" s="114" t="s">
        <v>439</v>
      </c>
      <c r="F124" s="114" t="s">
        <v>1979</v>
      </c>
      <c r="G124" s="10" t="s">
        <v>3306</v>
      </c>
      <c r="I124" s="115"/>
      <c r="J124" s="116">
        <f>DF124</f>
        <v>430527.14</v>
      </c>
      <c r="L124" s="190" t="s">
        <v>270</v>
      </c>
      <c r="M124" s="190" t="s">
        <v>3310</v>
      </c>
      <c r="N124" s="190" t="s">
        <v>270</v>
      </c>
      <c r="O124" s="190" t="s">
        <v>3310</v>
      </c>
      <c r="P124" s="190" t="s">
        <v>3311</v>
      </c>
      <c r="Q124" s="190" t="s">
        <v>3310</v>
      </c>
      <c r="S124" s="193" t="s">
        <v>270</v>
      </c>
      <c r="T124" s="194" t="s">
        <v>3310</v>
      </c>
      <c r="U124" s="194" t="s">
        <v>270</v>
      </c>
      <c r="V124" s="194" t="s">
        <v>3310</v>
      </c>
      <c r="W124" s="194" t="s">
        <v>270</v>
      </c>
      <c r="X124" s="194" t="s">
        <v>3328</v>
      </c>
      <c r="Y124" s="194" t="s">
        <v>270</v>
      </c>
      <c r="Z124" s="194" t="s">
        <v>3328</v>
      </c>
      <c r="AA124" s="194" t="s">
        <v>270</v>
      </c>
      <c r="AB124" s="194" t="s">
        <v>3328</v>
      </c>
      <c r="AC124" s="194" t="s">
        <v>270</v>
      </c>
      <c r="AD124" s="195" t="s">
        <v>3328</v>
      </c>
      <c r="BH124" s="117"/>
      <c r="BK124" s="118">
        <f>BK126+BK231+BK274+BK295+BK304+BK315</f>
        <v>0</v>
      </c>
      <c r="BM124" s="118">
        <f>BM126+BM231+BM274+BM295+BM304+BM315</f>
        <v>0</v>
      </c>
      <c r="BO124" s="119">
        <f>BO126+BO231+BO274+BO295+BO304+BO315</f>
        <v>0</v>
      </c>
      <c r="CM124" s="113" t="s">
        <v>90</v>
      </c>
      <c r="CO124" s="120" t="s">
        <v>73</v>
      </c>
      <c r="CP124" s="120" t="s">
        <v>74</v>
      </c>
      <c r="CT124" s="113" t="s">
        <v>282</v>
      </c>
      <c r="DF124" s="121">
        <f>DF126+DF231+DF274+DF295+DF304+DF315</f>
        <v>430527.14</v>
      </c>
    </row>
    <row r="125" spans="2:112" s="10" customFormat="1" ht="25.9" customHeight="1" thickBot="1" x14ac:dyDescent="0.25">
      <c r="B125" s="112"/>
      <c r="D125" s="113"/>
      <c r="E125" s="114"/>
      <c r="F125" s="114"/>
      <c r="G125" s="10" t="s">
        <v>3306</v>
      </c>
      <c r="I125" s="115"/>
      <c r="J125" s="116" t="s">
        <v>3306</v>
      </c>
      <c r="L125" s="191"/>
      <c r="M125" s="192">
        <f>M126+M232+M243+M274+M295+M304+M315</f>
        <v>0</v>
      </c>
      <c r="N125" s="208"/>
      <c r="O125" s="208">
        <f t="shared" ref="O125:Q125" si="0">O126+O232+O243+O274+O295+O304+O315</f>
        <v>0</v>
      </c>
      <c r="P125" s="192"/>
      <c r="Q125" s="192">
        <f t="shared" si="0"/>
        <v>430527.14</v>
      </c>
      <c r="S125" s="196"/>
      <c r="T125" s="197">
        <f>T126+T232+T243+T274+T295+T304+T315</f>
        <v>0</v>
      </c>
      <c r="U125" s="197"/>
      <c r="V125" s="197">
        <f t="shared" ref="V125:AD125" si="1">V126+V232+V243+V274+V295+V304+V315</f>
        <v>430527.14</v>
      </c>
      <c r="W125" s="197"/>
      <c r="X125" s="197">
        <f t="shared" si="1"/>
        <v>0</v>
      </c>
      <c r="Y125" s="197"/>
      <c r="Z125" s="197">
        <f t="shared" si="1"/>
        <v>0</v>
      </c>
      <c r="AA125" s="197"/>
      <c r="AB125" s="197">
        <f t="shared" si="1"/>
        <v>0</v>
      </c>
      <c r="AC125" s="197"/>
      <c r="AD125" s="197">
        <f t="shared" si="1"/>
        <v>0</v>
      </c>
      <c r="BH125" s="117"/>
      <c r="BK125" s="118"/>
      <c r="BM125" s="118"/>
      <c r="BO125" s="119"/>
      <c r="CM125" s="113"/>
      <c r="CO125" s="120"/>
      <c r="CP125" s="120"/>
      <c r="CT125" s="113"/>
      <c r="DF125" s="121"/>
    </row>
    <row r="126" spans="2:112" s="10" customFormat="1" ht="22.9" customHeight="1" x14ac:dyDescent="0.2">
      <c r="B126" s="112"/>
      <c r="D126" s="113" t="s">
        <v>73</v>
      </c>
      <c r="E126" s="122" t="s">
        <v>1980</v>
      </c>
      <c r="F126" s="122" t="s">
        <v>2862</v>
      </c>
      <c r="G126" s="10" t="s">
        <v>3306</v>
      </c>
      <c r="I126" s="115"/>
      <c r="J126" s="123">
        <f>DF126</f>
        <v>158862.44</v>
      </c>
      <c r="L126" s="112"/>
      <c r="M126" s="270">
        <f>SUM(M127:M229)</f>
        <v>0</v>
      </c>
      <c r="N126" s="299"/>
      <c r="O126" s="300">
        <f t="shared" ref="O126:V126" si="2">SUM(O127:O229)</f>
        <v>0</v>
      </c>
      <c r="P126" s="270"/>
      <c r="Q126" s="286">
        <f t="shared" si="2"/>
        <v>158862.44</v>
      </c>
      <c r="R126" s="270"/>
      <c r="S126" s="270"/>
      <c r="T126" s="270">
        <f t="shared" si="2"/>
        <v>0</v>
      </c>
      <c r="U126" s="270"/>
      <c r="V126" s="270">
        <f t="shared" si="2"/>
        <v>158862.44</v>
      </c>
      <c r="W126" s="270"/>
      <c r="BH126" s="117"/>
      <c r="BK126" s="118">
        <f>SUM(BK127:BK230)</f>
        <v>0</v>
      </c>
      <c r="BM126" s="118">
        <f>SUM(BM127:BM230)</f>
        <v>0</v>
      </c>
      <c r="BO126" s="119">
        <f>SUM(BO127:BO230)</f>
        <v>0</v>
      </c>
      <c r="CM126" s="113" t="s">
        <v>81</v>
      </c>
      <c r="CO126" s="120" t="s">
        <v>73</v>
      </c>
      <c r="CP126" s="120" t="s">
        <v>81</v>
      </c>
      <c r="CT126" s="113" t="s">
        <v>282</v>
      </c>
      <c r="DF126" s="121">
        <f>SUM(DF127:DF230)</f>
        <v>158862.44</v>
      </c>
    </row>
    <row r="127" spans="2:112" s="1" customFormat="1" ht="24.2" customHeight="1" x14ac:dyDescent="0.2">
      <c r="B127" s="124"/>
      <c r="C127" s="125" t="s">
        <v>81</v>
      </c>
      <c r="D127" s="125" t="s">
        <v>284</v>
      </c>
      <c r="E127" s="126" t="s">
        <v>2863</v>
      </c>
      <c r="F127" s="127" t="s">
        <v>2864</v>
      </c>
      <c r="G127" s="128" t="s">
        <v>315</v>
      </c>
      <c r="H127" s="129">
        <v>1</v>
      </c>
      <c r="I127" s="130">
        <v>59317.204616389994</v>
      </c>
      <c r="J127" s="131">
        <f>ROUND(I127*H127,2)</f>
        <v>59317.2</v>
      </c>
      <c r="K127" s="127" t="s">
        <v>1</v>
      </c>
      <c r="L127" s="268">
        <f>S127</f>
        <v>0</v>
      </c>
      <c r="M127" s="272">
        <f>ROUND(L127*I127,2)</f>
        <v>0</v>
      </c>
      <c r="N127" s="243"/>
      <c r="O127" s="294">
        <f>ROUND(N127*I127,2)</f>
        <v>0</v>
      </c>
      <c r="P127" s="273">
        <f>H127-L127-N127</f>
        <v>1</v>
      </c>
      <c r="Q127" s="287">
        <f>ROUND(P127*I127,2)</f>
        <v>59317.2</v>
      </c>
      <c r="R127" s="137"/>
      <c r="S127" s="269">
        <f>W127+Y127+AA127+AC127</f>
        <v>0</v>
      </c>
      <c r="T127" s="269">
        <f>ROUND(S127*I127,2)</f>
        <v>0</v>
      </c>
      <c r="U127" s="269">
        <f>H127-S127</f>
        <v>1</v>
      </c>
      <c r="V127" s="269">
        <f>ROUND(U127*I127,2)</f>
        <v>59317.2</v>
      </c>
      <c r="W127" s="269"/>
      <c r="X127" s="269"/>
      <c r="Y127" s="269"/>
      <c r="Z127" s="269"/>
      <c r="AA127" s="269"/>
      <c r="AB127" s="269"/>
      <c r="AC127" s="269"/>
      <c r="AD127" s="269"/>
      <c r="BH127" s="132" t="s">
        <v>1</v>
      </c>
      <c r="BI127" s="133" t="s">
        <v>40</v>
      </c>
      <c r="BK127" s="134">
        <f>BJ127*H127</f>
        <v>0</v>
      </c>
      <c r="BL127" s="134">
        <v>0</v>
      </c>
      <c r="BM127" s="134">
        <f>BL127*H127</f>
        <v>0</v>
      </c>
      <c r="BN127" s="134">
        <v>0</v>
      </c>
      <c r="BO127" s="135">
        <f>BN127*H127</f>
        <v>0</v>
      </c>
      <c r="CM127" s="136" t="s">
        <v>95</v>
      </c>
      <c r="CO127" s="136" t="s">
        <v>284</v>
      </c>
      <c r="CP127" s="136" t="s">
        <v>83</v>
      </c>
      <c r="CT127" s="16" t="s">
        <v>282</v>
      </c>
      <c r="CZ127" s="137">
        <f>IF(BI127="základní",J127,0)</f>
        <v>59317.2</v>
      </c>
      <c r="DA127" s="137">
        <f>IF(BI127="snížená",J127,0)</f>
        <v>0</v>
      </c>
      <c r="DB127" s="137">
        <f>IF(BI127="zákl. přenesená",J127,0)</f>
        <v>0</v>
      </c>
      <c r="DC127" s="137">
        <f>IF(BI127="sníž. přenesená",J127,0)</f>
        <v>0</v>
      </c>
      <c r="DD127" s="137">
        <f>IF(BI127="nulová",J127,0)</f>
        <v>0</v>
      </c>
      <c r="DE127" s="16" t="s">
        <v>81</v>
      </c>
      <c r="DF127" s="137">
        <f>ROUND(I127*H127,2)</f>
        <v>59317.2</v>
      </c>
      <c r="DG127" s="16" t="s">
        <v>95</v>
      </c>
      <c r="DH127" s="136" t="s">
        <v>83</v>
      </c>
    </row>
    <row r="128" spans="2:112" s="1" customFormat="1" ht="19.5" x14ac:dyDescent="0.2">
      <c r="B128" s="31"/>
      <c r="D128" s="138" t="s">
        <v>289</v>
      </c>
      <c r="F128" s="139" t="s">
        <v>2864</v>
      </c>
      <c r="I128" s="140"/>
      <c r="L128" s="31"/>
      <c r="N128" s="213"/>
      <c r="O128" s="214"/>
      <c r="Q128" s="229"/>
      <c r="BH128" s="141"/>
      <c r="BO128" s="50"/>
      <c r="CO128" s="16" t="s">
        <v>289</v>
      </c>
      <c r="CP128" s="16" t="s">
        <v>83</v>
      </c>
    </row>
    <row r="129" spans="2:112" s="1" customFormat="1" ht="24.2" customHeight="1" x14ac:dyDescent="0.2">
      <c r="B129" s="124"/>
      <c r="C129" s="125" t="s">
        <v>83</v>
      </c>
      <c r="D129" s="125" t="s">
        <v>284</v>
      </c>
      <c r="E129" s="126" t="s">
        <v>2865</v>
      </c>
      <c r="F129" s="127" t="s">
        <v>2866</v>
      </c>
      <c r="G129" s="128" t="s">
        <v>315</v>
      </c>
      <c r="H129" s="129">
        <v>1</v>
      </c>
      <c r="I129" s="130">
        <v>2315.3740570800001</v>
      </c>
      <c r="J129" s="131">
        <f>ROUND(I129*H129,2)</f>
        <v>2315.37</v>
      </c>
      <c r="K129" s="127" t="s">
        <v>1</v>
      </c>
      <c r="L129" s="268">
        <f>S129</f>
        <v>0</v>
      </c>
      <c r="M129" s="272">
        <f>ROUND(L129*I129,2)</f>
        <v>0</v>
      </c>
      <c r="N129" s="243"/>
      <c r="O129" s="294">
        <f>ROUND(N129*I129,2)</f>
        <v>0</v>
      </c>
      <c r="P129" s="273">
        <f>H129-L129-N129</f>
        <v>1</v>
      </c>
      <c r="Q129" s="287">
        <f>ROUND(P129*I129,2)</f>
        <v>2315.37</v>
      </c>
      <c r="R129" s="137"/>
      <c r="S129" s="269">
        <f>W129+Y129+AA129+AC129</f>
        <v>0</v>
      </c>
      <c r="T129" s="269">
        <f>ROUND(S129*I129,2)</f>
        <v>0</v>
      </c>
      <c r="U129" s="269">
        <f>H129-S129</f>
        <v>1</v>
      </c>
      <c r="V129" s="269">
        <f>ROUND(U129*I129,2)</f>
        <v>2315.37</v>
      </c>
      <c r="W129" s="269"/>
      <c r="X129" s="269"/>
      <c r="Y129" s="269"/>
      <c r="Z129" s="269"/>
      <c r="AA129" s="269"/>
      <c r="AB129" s="269"/>
      <c r="AC129" s="269"/>
      <c r="AD129" s="269"/>
      <c r="BH129" s="132" t="s">
        <v>1</v>
      </c>
      <c r="BI129" s="133" t="s">
        <v>40</v>
      </c>
      <c r="BK129" s="134">
        <f>BJ129*H129</f>
        <v>0</v>
      </c>
      <c r="BL129" s="134">
        <v>0</v>
      </c>
      <c r="BM129" s="134">
        <f>BL129*H129</f>
        <v>0</v>
      </c>
      <c r="BN129" s="134">
        <v>0</v>
      </c>
      <c r="BO129" s="135">
        <f>BN129*H129</f>
        <v>0</v>
      </c>
      <c r="CM129" s="136" t="s">
        <v>95</v>
      </c>
      <c r="CO129" s="136" t="s">
        <v>284</v>
      </c>
      <c r="CP129" s="136" t="s">
        <v>83</v>
      </c>
      <c r="CT129" s="16" t="s">
        <v>282</v>
      </c>
      <c r="CZ129" s="137">
        <f>IF(BI129="základní",J129,0)</f>
        <v>2315.37</v>
      </c>
      <c r="DA129" s="137">
        <f>IF(BI129="snížená",J129,0)</f>
        <v>0</v>
      </c>
      <c r="DB129" s="137">
        <f>IF(BI129="zákl. přenesená",J129,0)</f>
        <v>0</v>
      </c>
      <c r="DC129" s="137">
        <f>IF(BI129="sníž. přenesená",J129,0)</f>
        <v>0</v>
      </c>
      <c r="DD129" s="137">
        <f>IF(BI129="nulová",J129,0)</f>
        <v>0</v>
      </c>
      <c r="DE129" s="16" t="s">
        <v>81</v>
      </c>
      <c r="DF129" s="137">
        <f>ROUND(I129*H129,2)</f>
        <v>2315.37</v>
      </c>
      <c r="DG129" s="16" t="s">
        <v>95</v>
      </c>
      <c r="DH129" s="136" t="s">
        <v>95</v>
      </c>
    </row>
    <row r="130" spans="2:112" s="1" customFormat="1" ht="19.5" x14ac:dyDescent="0.2">
      <c r="B130" s="31"/>
      <c r="D130" s="138" t="s">
        <v>289</v>
      </c>
      <c r="F130" s="139" t="s">
        <v>2866</v>
      </c>
      <c r="I130" s="140"/>
      <c r="L130" s="31"/>
      <c r="N130" s="213"/>
      <c r="O130" s="214"/>
      <c r="Q130" s="229"/>
      <c r="BH130" s="141"/>
      <c r="BO130" s="50"/>
      <c r="CO130" s="16" t="s">
        <v>289</v>
      </c>
      <c r="CP130" s="16" t="s">
        <v>83</v>
      </c>
    </row>
    <row r="131" spans="2:112" s="1" customFormat="1" ht="14.45" customHeight="1" x14ac:dyDescent="0.2">
      <c r="B131" s="124"/>
      <c r="C131" s="125" t="s">
        <v>90</v>
      </c>
      <c r="D131" s="125" t="s">
        <v>284</v>
      </c>
      <c r="E131" s="126" t="s">
        <v>2867</v>
      </c>
      <c r="F131" s="127" t="s">
        <v>2868</v>
      </c>
      <c r="G131" s="128" t="s">
        <v>315</v>
      </c>
      <c r="H131" s="129">
        <v>1</v>
      </c>
      <c r="I131" s="130">
        <v>3469.9636902809998</v>
      </c>
      <c r="J131" s="131">
        <f>ROUND(I131*H131,2)</f>
        <v>3469.96</v>
      </c>
      <c r="K131" s="127" t="s">
        <v>1</v>
      </c>
      <c r="L131" s="268">
        <f>S131</f>
        <v>0</v>
      </c>
      <c r="M131" s="272">
        <f>ROUND(L131*I131,2)</f>
        <v>0</v>
      </c>
      <c r="N131" s="243"/>
      <c r="O131" s="294">
        <f>ROUND(N131*I131,2)</f>
        <v>0</v>
      </c>
      <c r="P131" s="273">
        <f>H131-L131-N131</f>
        <v>1</v>
      </c>
      <c r="Q131" s="287">
        <f>ROUND(P131*I131,2)</f>
        <v>3469.96</v>
      </c>
      <c r="R131" s="137"/>
      <c r="S131" s="269">
        <f>W131+Y131+AA131+AC131</f>
        <v>0</v>
      </c>
      <c r="T131" s="269">
        <f>ROUND(S131*I131,2)</f>
        <v>0</v>
      </c>
      <c r="U131" s="269">
        <f>H131-S131</f>
        <v>1</v>
      </c>
      <c r="V131" s="269">
        <f>ROUND(U131*I131,2)</f>
        <v>3469.96</v>
      </c>
      <c r="W131" s="269"/>
      <c r="X131" s="269"/>
      <c r="Y131" s="269"/>
      <c r="Z131" s="269"/>
      <c r="AA131" s="269"/>
      <c r="AB131" s="269"/>
      <c r="AC131" s="269"/>
      <c r="AD131" s="269"/>
      <c r="BH131" s="132" t="s">
        <v>1</v>
      </c>
      <c r="BI131" s="133" t="s">
        <v>40</v>
      </c>
      <c r="BK131" s="134">
        <f>BJ131*H131</f>
        <v>0</v>
      </c>
      <c r="BL131" s="134">
        <v>0</v>
      </c>
      <c r="BM131" s="134">
        <f>BL131*H131</f>
        <v>0</v>
      </c>
      <c r="BN131" s="134">
        <v>0</v>
      </c>
      <c r="BO131" s="135">
        <f>BN131*H131</f>
        <v>0</v>
      </c>
      <c r="CM131" s="136" t="s">
        <v>95</v>
      </c>
      <c r="CO131" s="136" t="s">
        <v>284</v>
      </c>
      <c r="CP131" s="136" t="s">
        <v>83</v>
      </c>
      <c r="CT131" s="16" t="s">
        <v>282</v>
      </c>
      <c r="CZ131" s="137">
        <f>IF(BI131="základní",J131,0)</f>
        <v>3469.96</v>
      </c>
      <c r="DA131" s="137">
        <f>IF(BI131="snížená",J131,0)</f>
        <v>0</v>
      </c>
      <c r="DB131" s="137">
        <f>IF(BI131="zákl. přenesená",J131,0)</f>
        <v>0</v>
      </c>
      <c r="DC131" s="137">
        <f>IF(BI131="sníž. přenesená",J131,0)</f>
        <v>0</v>
      </c>
      <c r="DD131" s="137">
        <f>IF(BI131="nulová",J131,0)</f>
        <v>0</v>
      </c>
      <c r="DE131" s="16" t="s">
        <v>81</v>
      </c>
      <c r="DF131" s="137">
        <f>ROUND(I131*H131,2)</f>
        <v>3469.96</v>
      </c>
      <c r="DG131" s="16" t="s">
        <v>95</v>
      </c>
      <c r="DH131" s="136" t="s">
        <v>318</v>
      </c>
    </row>
    <row r="132" spans="2:112" s="1" customFormat="1" x14ac:dyDescent="0.2">
      <c r="B132" s="31"/>
      <c r="D132" s="138" t="s">
        <v>289</v>
      </c>
      <c r="F132" s="139" t="s">
        <v>2868</v>
      </c>
      <c r="I132" s="140"/>
      <c r="L132" s="31"/>
      <c r="N132" s="213"/>
      <c r="O132" s="214"/>
      <c r="Q132" s="229"/>
      <c r="BH132" s="141"/>
      <c r="BO132" s="50"/>
      <c r="CO132" s="16" t="s">
        <v>289</v>
      </c>
      <c r="CP132" s="16" t="s">
        <v>83</v>
      </c>
    </row>
    <row r="133" spans="2:112" s="1" customFormat="1" ht="24.2" customHeight="1" x14ac:dyDescent="0.2">
      <c r="B133" s="124"/>
      <c r="C133" s="125" t="s">
        <v>95</v>
      </c>
      <c r="D133" s="125" t="s">
        <v>284</v>
      </c>
      <c r="E133" s="126" t="s">
        <v>2869</v>
      </c>
      <c r="F133" s="127" t="s">
        <v>2870</v>
      </c>
      <c r="G133" s="128" t="s">
        <v>2871</v>
      </c>
      <c r="H133" s="129">
        <v>1</v>
      </c>
      <c r="I133" s="130">
        <v>16625.340523259998</v>
      </c>
      <c r="J133" s="131">
        <f>ROUND(I133*H133,2)</f>
        <v>16625.34</v>
      </c>
      <c r="K133" s="127" t="s">
        <v>1</v>
      </c>
      <c r="L133" s="268">
        <f>S133</f>
        <v>0</v>
      </c>
      <c r="M133" s="272">
        <f>ROUND(L133*I133,2)</f>
        <v>0</v>
      </c>
      <c r="N133" s="243"/>
      <c r="O133" s="294">
        <f>ROUND(N133*I133,2)</f>
        <v>0</v>
      </c>
      <c r="P133" s="273">
        <f>H133-L133-N133</f>
        <v>1</v>
      </c>
      <c r="Q133" s="287">
        <f>ROUND(P133*I133,2)</f>
        <v>16625.34</v>
      </c>
      <c r="R133" s="137"/>
      <c r="S133" s="269">
        <f>W133+Y133+AA133+AC133</f>
        <v>0</v>
      </c>
      <c r="T133" s="269">
        <f>ROUND(S133*I133,2)</f>
        <v>0</v>
      </c>
      <c r="U133" s="269">
        <f>H133-S133</f>
        <v>1</v>
      </c>
      <c r="V133" s="269">
        <f>ROUND(U133*I133,2)</f>
        <v>16625.34</v>
      </c>
      <c r="W133" s="269"/>
      <c r="X133" s="269"/>
      <c r="Y133" s="269"/>
      <c r="Z133" s="269"/>
      <c r="AA133" s="269"/>
      <c r="AB133" s="269"/>
      <c r="AC133" s="269"/>
      <c r="AD133" s="269"/>
      <c r="BH133" s="132" t="s">
        <v>1</v>
      </c>
      <c r="BI133" s="133" t="s">
        <v>40</v>
      </c>
      <c r="BK133" s="134">
        <f>BJ133*H133</f>
        <v>0</v>
      </c>
      <c r="BL133" s="134">
        <v>0</v>
      </c>
      <c r="BM133" s="134">
        <f>BL133*H133</f>
        <v>0</v>
      </c>
      <c r="BN133" s="134">
        <v>0</v>
      </c>
      <c r="BO133" s="135">
        <f>BN133*H133</f>
        <v>0</v>
      </c>
      <c r="CM133" s="136" t="s">
        <v>95</v>
      </c>
      <c r="CO133" s="136" t="s">
        <v>284</v>
      </c>
      <c r="CP133" s="136" t="s">
        <v>83</v>
      </c>
      <c r="CT133" s="16" t="s">
        <v>282</v>
      </c>
      <c r="CZ133" s="137">
        <f>IF(BI133="základní",J133,0)</f>
        <v>16625.34</v>
      </c>
      <c r="DA133" s="137">
        <f>IF(BI133="snížená",J133,0)</f>
        <v>0</v>
      </c>
      <c r="DB133" s="137">
        <f>IF(BI133="zákl. přenesená",J133,0)</f>
        <v>0</v>
      </c>
      <c r="DC133" s="137">
        <f>IF(BI133="sníž. přenesená",J133,0)</f>
        <v>0</v>
      </c>
      <c r="DD133" s="137">
        <f>IF(BI133="nulová",J133,0)</f>
        <v>0</v>
      </c>
      <c r="DE133" s="16" t="s">
        <v>81</v>
      </c>
      <c r="DF133" s="137">
        <f>ROUND(I133*H133,2)</f>
        <v>16625.34</v>
      </c>
      <c r="DG133" s="16" t="s">
        <v>95</v>
      </c>
      <c r="DH133" s="136" t="s">
        <v>328</v>
      </c>
    </row>
    <row r="134" spans="2:112" s="1" customFormat="1" ht="19.5" x14ac:dyDescent="0.2">
      <c r="B134" s="31"/>
      <c r="D134" s="138" t="s">
        <v>289</v>
      </c>
      <c r="F134" s="139" t="s">
        <v>2870</v>
      </c>
      <c r="I134" s="140"/>
      <c r="L134" s="31"/>
      <c r="N134" s="213"/>
      <c r="O134" s="214"/>
      <c r="Q134" s="229"/>
      <c r="BH134" s="141"/>
      <c r="BO134" s="50"/>
      <c r="CO134" s="16" t="s">
        <v>289</v>
      </c>
      <c r="CP134" s="16" t="s">
        <v>83</v>
      </c>
    </row>
    <row r="135" spans="2:112" s="1" customFormat="1" ht="14.45" customHeight="1" x14ac:dyDescent="0.2">
      <c r="B135" s="124"/>
      <c r="C135" s="125" t="s">
        <v>312</v>
      </c>
      <c r="D135" s="125" t="s">
        <v>284</v>
      </c>
      <c r="E135" s="126" t="s">
        <v>2872</v>
      </c>
      <c r="F135" s="127" t="s">
        <v>2873</v>
      </c>
      <c r="G135" s="128" t="s">
        <v>2874</v>
      </c>
      <c r="H135" s="129">
        <v>6</v>
      </c>
      <c r="I135" s="130">
        <v>338.42122529599999</v>
      </c>
      <c r="J135" s="131">
        <f>ROUND(I135*H135,2)</f>
        <v>2030.53</v>
      </c>
      <c r="K135" s="127" t="s">
        <v>1</v>
      </c>
      <c r="L135" s="268">
        <f>S135</f>
        <v>0</v>
      </c>
      <c r="M135" s="272">
        <f>ROUND(L135*I135,2)</f>
        <v>0</v>
      </c>
      <c r="N135" s="243"/>
      <c r="O135" s="294">
        <f>ROUND(N135*I135,2)</f>
        <v>0</v>
      </c>
      <c r="P135" s="273">
        <f>H135-L135-N135</f>
        <v>6</v>
      </c>
      <c r="Q135" s="287">
        <f>ROUND(P135*I135,2)</f>
        <v>2030.53</v>
      </c>
      <c r="R135" s="137"/>
      <c r="S135" s="269">
        <f>W135+Y135+AA135+AC135</f>
        <v>0</v>
      </c>
      <c r="T135" s="269">
        <f>ROUND(S135*I135,2)</f>
        <v>0</v>
      </c>
      <c r="U135" s="269">
        <f>H135-S135</f>
        <v>6</v>
      </c>
      <c r="V135" s="269">
        <f>ROUND(U135*I135,2)</f>
        <v>2030.53</v>
      </c>
      <c r="W135" s="269"/>
      <c r="X135" s="269"/>
      <c r="Y135" s="269"/>
      <c r="Z135" s="269"/>
      <c r="AA135" s="269"/>
      <c r="AB135" s="269"/>
      <c r="AC135" s="269"/>
      <c r="AD135" s="269"/>
      <c r="BH135" s="132" t="s">
        <v>1</v>
      </c>
      <c r="BI135" s="133" t="s">
        <v>40</v>
      </c>
      <c r="BK135" s="134">
        <f>BJ135*H135</f>
        <v>0</v>
      </c>
      <c r="BL135" s="134">
        <v>0</v>
      </c>
      <c r="BM135" s="134">
        <f>BL135*H135</f>
        <v>0</v>
      </c>
      <c r="BN135" s="134">
        <v>0</v>
      </c>
      <c r="BO135" s="135">
        <f>BN135*H135</f>
        <v>0</v>
      </c>
      <c r="CM135" s="136" t="s">
        <v>95</v>
      </c>
      <c r="CO135" s="136" t="s">
        <v>284</v>
      </c>
      <c r="CP135" s="136" t="s">
        <v>83</v>
      </c>
      <c r="CT135" s="16" t="s">
        <v>282</v>
      </c>
      <c r="CZ135" s="137">
        <f>IF(BI135="základní",J135,0)</f>
        <v>2030.53</v>
      </c>
      <c r="DA135" s="137">
        <f>IF(BI135="snížená",J135,0)</f>
        <v>0</v>
      </c>
      <c r="DB135" s="137">
        <f>IF(BI135="zákl. přenesená",J135,0)</f>
        <v>0</v>
      </c>
      <c r="DC135" s="137">
        <f>IF(BI135="sníž. přenesená",J135,0)</f>
        <v>0</v>
      </c>
      <c r="DD135" s="137">
        <f>IF(BI135="nulová",J135,0)</f>
        <v>0</v>
      </c>
      <c r="DE135" s="16" t="s">
        <v>81</v>
      </c>
      <c r="DF135" s="137">
        <f>ROUND(I135*H135,2)</f>
        <v>2030.53</v>
      </c>
      <c r="DG135" s="16" t="s">
        <v>95</v>
      </c>
      <c r="DH135" s="136" t="s">
        <v>341</v>
      </c>
    </row>
    <row r="136" spans="2:112" s="1" customFormat="1" x14ac:dyDescent="0.2">
      <c r="B136" s="31"/>
      <c r="D136" s="138" t="s">
        <v>289</v>
      </c>
      <c r="F136" s="139" t="s">
        <v>2873</v>
      </c>
      <c r="I136" s="140"/>
      <c r="L136" s="31"/>
      <c r="N136" s="213"/>
      <c r="O136" s="214"/>
      <c r="Q136" s="229"/>
      <c r="BH136" s="141"/>
      <c r="BO136" s="50"/>
      <c r="CO136" s="16" t="s">
        <v>289</v>
      </c>
      <c r="CP136" s="16" t="s">
        <v>83</v>
      </c>
    </row>
    <row r="137" spans="2:112" s="1" customFormat="1" ht="14.45" customHeight="1" x14ac:dyDescent="0.2">
      <c r="B137" s="124"/>
      <c r="C137" s="125" t="s">
        <v>318</v>
      </c>
      <c r="D137" s="125" t="s">
        <v>284</v>
      </c>
      <c r="E137" s="126" t="s">
        <v>2875</v>
      </c>
      <c r="F137" s="127" t="s">
        <v>2876</v>
      </c>
      <c r="G137" s="128" t="s">
        <v>2874</v>
      </c>
      <c r="H137" s="129">
        <v>2</v>
      </c>
      <c r="I137" s="130">
        <v>303.94257381599999</v>
      </c>
      <c r="J137" s="131">
        <f>ROUND(I137*H137,2)</f>
        <v>607.89</v>
      </c>
      <c r="K137" s="127" t="s">
        <v>1</v>
      </c>
      <c r="L137" s="268">
        <f>S137</f>
        <v>0</v>
      </c>
      <c r="M137" s="272">
        <f>ROUND(L137*I137,2)</f>
        <v>0</v>
      </c>
      <c r="N137" s="243"/>
      <c r="O137" s="294">
        <f>ROUND(N137*I137,2)</f>
        <v>0</v>
      </c>
      <c r="P137" s="273">
        <f>H137-L137-N137</f>
        <v>2</v>
      </c>
      <c r="Q137" s="287">
        <f>ROUND(P137*I137,2)</f>
        <v>607.89</v>
      </c>
      <c r="R137" s="137"/>
      <c r="S137" s="269">
        <f>W137+Y137+AA137+AC137</f>
        <v>0</v>
      </c>
      <c r="T137" s="269">
        <f>ROUND(S137*I137,2)</f>
        <v>0</v>
      </c>
      <c r="U137" s="269">
        <f>H137-S137</f>
        <v>2</v>
      </c>
      <c r="V137" s="269">
        <f>ROUND(U137*I137,2)</f>
        <v>607.89</v>
      </c>
      <c r="W137" s="269"/>
      <c r="X137" s="269"/>
      <c r="Y137" s="269"/>
      <c r="Z137" s="269"/>
      <c r="AA137" s="269"/>
      <c r="AB137" s="269"/>
      <c r="AC137" s="269"/>
      <c r="AD137" s="269"/>
      <c r="BH137" s="132" t="s">
        <v>1</v>
      </c>
      <c r="BI137" s="133" t="s">
        <v>40</v>
      </c>
      <c r="BK137" s="134">
        <f>BJ137*H137</f>
        <v>0</v>
      </c>
      <c r="BL137" s="134">
        <v>0</v>
      </c>
      <c r="BM137" s="134">
        <f>BL137*H137</f>
        <v>0</v>
      </c>
      <c r="BN137" s="134">
        <v>0</v>
      </c>
      <c r="BO137" s="135">
        <f>BN137*H137</f>
        <v>0</v>
      </c>
      <c r="CM137" s="136" t="s">
        <v>95</v>
      </c>
      <c r="CO137" s="136" t="s">
        <v>284</v>
      </c>
      <c r="CP137" s="136" t="s">
        <v>83</v>
      </c>
      <c r="CT137" s="16" t="s">
        <v>282</v>
      </c>
      <c r="CZ137" s="137">
        <f>IF(BI137="základní",J137,0)</f>
        <v>607.89</v>
      </c>
      <c r="DA137" s="137">
        <f>IF(BI137="snížená",J137,0)</f>
        <v>0</v>
      </c>
      <c r="DB137" s="137">
        <f>IF(BI137="zákl. přenesená",J137,0)</f>
        <v>0</v>
      </c>
      <c r="DC137" s="137">
        <f>IF(BI137="sníž. přenesená",J137,0)</f>
        <v>0</v>
      </c>
      <c r="DD137" s="137">
        <f>IF(BI137="nulová",J137,0)</f>
        <v>0</v>
      </c>
      <c r="DE137" s="16" t="s">
        <v>81</v>
      </c>
      <c r="DF137" s="137">
        <f>ROUND(I137*H137,2)</f>
        <v>607.89</v>
      </c>
      <c r="DG137" s="16" t="s">
        <v>95</v>
      </c>
      <c r="DH137" s="136" t="s">
        <v>327</v>
      </c>
    </row>
    <row r="138" spans="2:112" s="1" customFormat="1" x14ac:dyDescent="0.2">
      <c r="B138" s="31"/>
      <c r="D138" s="138" t="s">
        <v>289</v>
      </c>
      <c r="F138" s="139" t="s">
        <v>2876</v>
      </c>
      <c r="I138" s="140"/>
      <c r="L138" s="31"/>
      <c r="N138" s="213"/>
      <c r="O138" s="214"/>
      <c r="Q138" s="229"/>
      <c r="BH138" s="141"/>
      <c r="BO138" s="50"/>
      <c r="CO138" s="16" t="s">
        <v>289</v>
      </c>
      <c r="CP138" s="16" t="s">
        <v>83</v>
      </c>
    </row>
    <row r="139" spans="2:112" s="1" customFormat="1" ht="14.45" customHeight="1" x14ac:dyDescent="0.2">
      <c r="B139" s="124"/>
      <c r="C139" s="125" t="s">
        <v>323</v>
      </c>
      <c r="D139" s="125" t="s">
        <v>284</v>
      </c>
      <c r="E139" s="126" t="s">
        <v>2877</v>
      </c>
      <c r="F139" s="127" t="s">
        <v>2878</v>
      </c>
      <c r="G139" s="128" t="s">
        <v>2874</v>
      </c>
      <c r="H139" s="129">
        <v>1</v>
      </c>
      <c r="I139" s="130">
        <v>1092.9732519160002</v>
      </c>
      <c r="J139" s="131">
        <f>ROUND(I139*H139,2)</f>
        <v>1092.97</v>
      </c>
      <c r="K139" s="127" t="s">
        <v>1</v>
      </c>
      <c r="L139" s="268">
        <f>S139</f>
        <v>0</v>
      </c>
      <c r="M139" s="272">
        <f>ROUND(L139*I139,2)</f>
        <v>0</v>
      </c>
      <c r="N139" s="243"/>
      <c r="O139" s="294">
        <f>ROUND(N139*I139,2)</f>
        <v>0</v>
      </c>
      <c r="P139" s="273">
        <f>H139-L139-N139</f>
        <v>1</v>
      </c>
      <c r="Q139" s="287">
        <f>ROUND(P139*I139,2)</f>
        <v>1092.97</v>
      </c>
      <c r="R139" s="137"/>
      <c r="S139" s="269">
        <f>W139+Y139+AA139+AC139</f>
        <v>0</v>
      </c>
      <c r="T139" s="269">
        <f>ROUND(S139*I139,2)</f>
        <v>0</v>
      </c>
      <c r="U139" s="269">
        <f>H139-S139</f>
        <v>1</v>
      </c>
      <c r="V139" s="269">
        <f>ROUND(U139*I139,2)</f>
        <v>1092.97</v>
      </c>
      <c r="W139" s="269"/>
      <c r="X139" s="269"/>
      <c r="Y139" s="269"/>
      <c r="Z139" s="269"/>
      <c r="AA139" s="269"/>
      <c r="AB139" s="269"/>
      <c r="AC139" s="269"/>
      <c r="AD139" s="269"/>
      <c r="BH139" s="132" t="s">
        <v>1</v>
      </c>
      <c r="BI139" s="133" t="s">
        <v>40</v>
      </c>
      <c r="BK139" s="134">
        <f>BJ139*H139</f>
        <v>0</v>
      </c>
      <c r="BL139" s="134">
        <v>0</v>
      </c>
      <c r="BM139" s="134">
        <f>BL139*H139</f>
        <v>0</v>
      </c>
      <c r="BN139" s="134">
        <v>0</v>
      </c>
      <c r="BO139" s="135">
        <f>BN139*H139</f>
        <v>0</v>
      </c>
      <c r="CM139" s="136" t="s">
        <v>95</v>
      </c>
      <c r="CO139" s="136" t="s">
        <v>284</v>
      </c>
      <c r="CP139" s="136" t="s">
        <v>83</v>
      </c>
      <c r="CT139" s="16" t="s">
        <v>282</v>
      </c>
      <c r="CZ139" s="137">
        <f>IF(BI139="základní",J139,0)</f>
        <v>1092.97</v>
      </c>
      <c r="DA139" s="137">
        <f>IF(BI139="snížená",J139,0)</f>
        <v>0</v>
      </c>
      <c r="DB139" s="137">
        <f>IF(BI139="zákl. přenesená",J139,0)</f>
        <v>0</v>
      </c>
      <c r="DC139" s="137">
        <f>IF(BI139="sníž. přenesená",J139,0)</f>
        <v>0</v>
      </c>
      <c r="DD139" s="137">
        <f>IF(BI139="nulová",J139,0)</f>
        <v>0</v>
      </c>
      <c r="DE139" s="16" t="s">
        <v>81</v>
      </c>
      <c r="DF139" s="137">
        <f>ROUND(I139*H139,2)</f>
        <v>1092.97</v>
      </c>
      <c r="DG139" s="16" t="s">
        <v>95</v>
      </c>
      <c r="DH139" s="136" t="s">
        <v>363</v>
      </c>
    </row>
    <row r="140" spans="2:112" s="1" customFormat="1" x14ac:dyDescent="0.2">
      <c r="B140" s="31"/>
      <c r="D140" s="138" t="s">
        <v>289</v>
      </c>
      <c r="F140" s="139" t="s">
        <v>2878</v>
      </c>
      <c r="I140" s="140"/>
      <c r="L140" s="31"/>
      <c r="N140" s="213"/>
      <c r="O140" s="214"/>
      <c r="Q140" s="229"/>
      <c r="BH140" s="141"/>
      <c r="BO140" s="50"/>
      <c r="CO140" s="16" t="s">
        <v>289</v>
      </c>
      <c r="CP140" s="16" t="s">
        <v>83</v>
      </c>
    </row>
    <row r="141" spans="2:112" s="1" customFormat="1" ht="14.45" customHeight="1" x14ac:dyDescent="0.2">
      <c r="B141" s="124"/>
      <c r="C141" s="125" t="s">
        <v>328</v>
      </c>
      <c r="D141" s="125" t="s">
        <v>284</v>
      </c>
      <c r="E141" s="126" t="s">
        <v>2879</v>
      </c>
      <c r="F141" s="127" t="s">
        <v>2880</v>
      </c>
      <c r="G141" s="128" t="s">
        <v>2874</v>
      </c>
      <c r="H141" s="129">
        <v>1</v>
      </c>
      <c r="I141" s="130">
        <v>1199.3929358109999</v>
      </c>
      <c r="J141" s="131">
        <f>ROUND(I141*H141,2)</f>
        <v>1199.3900000000001</v>
      </c>
      <c r="K141" s="127" t="s">
        <v>1</v>
      </c>
      <c r="L141" s="268">
        <f>S141</f>
        <v>0</v>
      </c>
      <c r="M141" s="272">
        <f>ROUND(L141*I141,2)</f>
        <v>0</v>
      </c>
      <c r="N141" s="243"/>
      <c r="O141" s="294">
        <f>ROUND(N141*I141,2)</f>
        <v>0</v>
      </c>
      <c r="P141" s="273">
        <f>H141-L141-N141</f>
        <v>1</v>
      </c>
      <c r="Q141" s="287">
        <f>ROUND(P141*I141,2)</f>
        <v>1199.3900000000001</v>
      </c>
      <c r="R141" s="137"/>
      <c r="S141" s="269">
        <f>W141+Y141+AA141+AC141</f>
        <v>0</v>
      </c>
      <c r="T141" s="269">
        <f>ROUND(S141*I141,2)</f>
        <v>0</v>
      </c>
      <c r="U141" s="269">
        <f>H141-S141</f>
        <v>1</v>
      </c>
      <c r="V141" s="269">
        <f>ROUND(U141*I141,2)</f>
        <v>1199.3900000000001</v>
      </c>
      <c r="W141" s="269"/>
      <c r="X141" s="269"/>
      <c r="Y141" s="269"/>
      <c r="Z141" s="269"/>
      <c r="AA141" s="269"/>
      <c r="AB141" s="269"/>
      <c r="AC141" s="269"/>
      <c r="AD141" s="269"/>
      <c r="BH141" s="132" t="s">
        <v>1</v>
      </c>
      <c r="BI141" s="133" t="s">
        <v>40</v>
      </c>
      <c r="BK141" s="134">
        <f>BJ141*H141</f>
        <v>0</v>
      </c>
      <c r="BL141" s="134">
        <v>0</v>
      </c>
      <c r="BM141" s="134">
        <f>BL141*H141</f>
        <v>0</v>
      </c>
      <c r="BN141" s="134">
        <v>0</v>
      </c>
      <c r="BO141" s="135">
        <f>BN141*H141</f>
        <v>0</v>
      </c>
      <c r="CM141" s="136" t="s">
        <v>95</v>
      </c>
      <c r="CO141" s="136" t="s">
        <v>284</v>
      </c>
      <c r="CP141" s="136" t="s">
        <v>83</v>
      </c>
      <c r="CT141" s="16" t="s">
        <v>282</v>
      </c>
      <c r="CZ141" s="137">
        <f>IF(BI141="základní",J141,0)</f>
        <v>1199.3900000000001</v>
      </c>
      <c r="DA141" s="137">
        <f>IF(BI141="snížená",J141,0)</f>
        <v>0</v>
      </c>
      <c r="DB141" s="137">
        <f>IF(BI141="zákl. přenesená",J141,0)</f>
        <v>0</v>
      </c>
      <c r="DC141" s="137">
        <f>IF(BI141="sníž. přenesená",J141,0)</f>
        <v>0</v>
      </c>
      <c r="DD141" s="137">
        <f>IF(BI141="nulová",J141,0)</f>
        <v>0</v>
      </c>
      <c r="DE141" s="16" t="s">
        <v>81</v>
      </c>
      <c r="DF141" s="137">
        <f>ROUND(I141*H141,2)</f>
        <v>1199.3900000000001</v>
      </c>
      <c r="DG141" s="16" t="s">
        <v>95</v>
      </c>
      <c r="DH141" s="136" t="s">
        <v>379</v>
      </c>
    </row>
    <row r="142" spans="2:112" s="1" customFormat="1" x14ac:dyDescent="0.2">
      <c r="B142" s="31"/>
      <c r="D142" s="138" t="s">
        <v>289</v>
      </c>
      <c r="F142" s="139" t="s">
        <v>2880</v>
      </c>
      <c r="I142" s="140"/>
      <c r="L142" s="31"/>
      <c r="N142" s="213"/>
      <c r="O142" s="214"/>
      <c r="Q142" s="229"/>
      <c r="BH142" s="141"/>
      <c r="BO142" s="50"/>
      <c r="CO142" s="16" t="s">
        <v>289</v>
      </c>
      <c r="CP142" s="16" t="s">
        <v>83</v>
      </c>
    </row>
    <row r="143" spans="2:112" s="1" customFormat="1" ht="14.45" customHeight="1" x14ac:dyDescent="0.2">
      <c r="B143" s="124"/>
      <c r="C143" s="125" t="s">
        <v>335</v>
      </c>
      <c r="D143" s="125" t="s">
        <v>284</v>
      </c>
      <c r="E143" s="126" t="s">
        <v>2881</v>
      </c>
      <c r="F143" s="127" t="s">
        <v>2882</v>
      </c>
      <c r="G143" s="128" t="s">
        <v>2874</v>
      </c>
      <c r="H143" s="129">
        <v>1</v>
      </c>
      <c r="I143" s="130">
        <v>2164.1984313600001</v>
      </c>
      <c r="J143" s="131">
        <f>ROUND(I143*H143,2)</f>
        <v>2164.1999999999998</v>
      </c>
      <c r="K143" s="127" t="s">
        <v>1</v>
      </c>
      <c r="L143" s="268">
        <f>S143</f>
        <v>0</v>
      </c>
      <c r="M143" s="272">
        <f>ROUND(L143*I143,2)</f>
        <v>0</v>
      </c>
      <c r="N143" s="243"/>
      <c r="O143" s="294">
        <f>ROUND(N143*I143,2)</f>
        <v>0</v>
      </c>
      <c r="P143" s="273">
        <f>H143-L143-N143</f>
        <v>1</v>
      </c>
      <c r="Q143" s="287">
        <f>ROUND(P143*I143,2)</f>
        <v>2164.1999999999998</v>
      </c>
      <c r="R143" s="137"/>
      <c r="S143" s="269">
        <f>W143+Y143+AA143+AC143</f>
        <v>0</v>
      </c>
      <c r="T143" s="269">
        <f>ROUND(S143*I143,2)</f>
        <v>0</v>
      </c>
      <c r="U143" s="269">
        <f>H143-S143</f>
        <v>1</v>
      </c>
      <c r="V143" s="269">
        <f>ROUND(U143*I143,2)</f>
        <v>2164.1999999999998</v>
      </c>
      <c r="W143" s="269"/>
      <c r="X143" s="269"/>
      <c r="Y143" s="269"/>
      <c r="Z143" s="269"/>
      <c r="AA143" s="269"/>
      <c r="AB143" s="269"/>
      <c r="AC143" s="269"/>
      <c r="AD143" s="269"/>
      <c r="BH143" s="132" t="s">
        <v>1</v>
      </c>
      <c r="BI143" s="133" t="s">
        <v>40</v>
      </c>
      <c r="BK143" s="134">
        <f>BJ143*H143</f>
        <v>0</v>
      </c>
      <c r="BL143" s="134">
        <v>0</v>
      </c>
      <c r="BM143" s="134">
        <f>BL143*H143</f>
        <v>0</v>
      </c>
      <c r="BN143" s="134">
        <v>0</v>
      </c>
      <c r="BO143" s="135">
        <f>BN143*H143</f>
        <v>0</v>
      </c>
      <c r="CM143" s="136" t="s">
        <v>95</v>
      </c>
      <c r="CO143" s="136" t="s">
        <v>284</v>
      </c>
      <c r="CP143" s="136" t="s">
        <v>83</v>
      </c>
      <c r="CT143" s="16" t="s">
        <v>282</v>
      </c>
      <c r="CZ143" s="137">
        <f>IF(BI143="základní",J143,0)</f>
        <v>2164.1999999999998</v>
      </c>
      <c r="DA143" s="137">
        <f>IF(BI143="snížená",J143,0)</f>
        <v>0</v>
      </c>
      <c r="DB143" s="137">
        <f>IF(BI143="zákl. přenesená",J143,0)</f>
        <v>0</v>
      </c>
      <c r="DC143" s="137">
        <f>IF(BI143="sníž. přenesená",J143,0)</f>
        <v>0</v>
      </c>
      <c r="DD143" s="137">
        <f>IF(BI143="nulová",J143,0)</f>
        <v>0</v>
      </c>
      <c r="DE143" s="16" t="s">
        <v>81</v>
      </c>
      <c r="DF143" s="137">
        <f>ROUND(I143*H143,2)</f>
        <v>2164.1999999999998</v>
      </c>
      <c r="DG143" s="16" t="s">
        <v>95</v>
      </c>
      <c r="DH143" s="136" t="s">
        <v>392</v>
      </c>
    </row>
    <row r="144" spans="2:112" s="1" customFormat="1" x14ac:dyDescent="0.2">
      <c r="B144" s="31"/>
      <c r="D144" s="138" t="s">
        <v>289</v>
      </c>
      <c r="F144" s="139" t="s">
        <v>2882</v>
      </c>
      <c r="I144" s="140"/>
      <c r="L144" s="31"/>
      <c r="N144" s="213"/>
      <c r="O144" s="214"/>
      <c r="Q144" s="229"/>
      <c r="BH144" s="141"/>
      <c r="BO144" s="50"/>
      <c r="CO144" s="16" t="s">
        <v>289</v>
      </c>
      <c r="CP144" s="16" t="s">
        <v>83</v>
      </c>
    </row>
    <row r="145" spans="2:112" s="1" customFormat="1" ht="14.45" customHeight="1" x14ac:dyDescent="0.2">
      <c r="B145" s="124"/>
      <c r="C145" s="125" t="s">
        <v>341</v>
      </c>
      <c r="D145" s="125" t="s">
        <v>284</v>
      </c>
      <c r="E145" s="126" t="s">
        <v>2883</v>
      </c>
      <c r="F145" s="127" t="s">
        <v>2884</v>
      </c>
      <c r="G145" s="128" t="s">
        <v>2874</v>
      </c>
      <c r="H145" s="129">
        <v>1</v>
      </c>
      <c r="I145" s="130">
        <v>715.03418761599994</v>
      </c>
      <c r="J145" s="131">
        <f>ROUND(I145*H145,2)</f>
        <v>715.03</v>
      </c>
      <c r="K145" s="127" t="s">
        <v>1</v>
      </c>
      <c r="L145" s="268">
        <f>S145</f>
        <v>0</v>
      </c>
      <c r="M145" s="272">
        <f>ROUND(L145*I145,2)</f>
        <v>0</v>
      </c>
      <c r="N145" s="243"/>
      <c r="O145" s="294">
        <f>ROUND(N145*I145,2)</f>
        <v>0</v>
      </c>
      <c r="P145" s="273">
        <f>H145-L145-N145</f>
        <v>1</v>
      </c>
      <c r="Q145" s="287">
        <f>ROUND(P145*I145,2)</f>
        <v>715.03</v>
      </c>
      <c r="R145" s="137"/>
      <c r="S145" s="269">
        <f>W145+Y145+AA145+AC145</f>
        <v>0</v>
      </c>
      <c r="T145" s="269">
        <f>ROUND(S145*I145,2)</f>
        <v>0</v>
      </c>
      <c r="U145" s="269">
        <f>H145-S145</f>
        <v>1</v>
      </c>
      <c r="V145" s="269">
        <f>ROUND(U145*I145,2)</f>
        <v>715.03</v>
      </c>
      <c r="W145" s="269"/>
      <c r="X145" s="269"/>
      <c r="Y145" s="269"/>
      <c r="Z145" s="269"/>
      <c r="AA145" s="269"/>
      <c r="AB145" s="269"/>
      <c r="AC145" s="269"/>
      <c r="AD145" s="269"/>
      <c r="BH145" s="132" t="s">
        <v>1</v>
      </c>
      <c r="BI145" s="133" t="s">
        <v>40</v>
      </c>
      <c r="BK145" s="134">
        <f>BJ145*H145</f>
        <v>0</v>
      </c>
      <c r="BL145" s="134">
        <v>0</v>
      </c>
      <c r="BM145" s="134">
        <f>BL145*H145</f>
        <v>0</v>
      </c>
      <c r="BN145" s="134">
        <v>0</v>
      </c>
      <c r="BO145" s="135">
        <f>BN145*H145</f>
        <v>0</v>
      </c>
      <c r="CM145" s="136" t="s">
        <v>95</v>
      </c>
      <c r="CO145" s="136" t="s">
        <v>284</v>
      </c>
      <c r="CP145" s="136" t="s">
        <v>83</v>
      </c>
      <c r="CT145" s="16" t="s">
        <v>282</v>
      </c>
      <c r="CZ145" s="137">
        <f>IF(BI145="základní",J145,0)</f>
        <v>715.03</v>
      </c>
      <c r="DA145" s="137">
        <f>IF(BI145="snížená",J145,0)</f>
        <v>0</v>
      </c>
      <c r="DB145" s="137">
        <f>IF(BI145="zákl. přenesená",J145,0)</f>
        <v>0</v>
      </c>
      <c r="DC145" s="137">
        <f>IF(BI145="sníž. přenesená",J145,0)</f>
        <v>0</v>
      </c>
      <c r="DD145" s="137">
        <f>IF(BI145="nulová",J145,0)</f>
        <v>0</v>
      </c>
      <c r="DE145" s="16" t="s">
        <v>81</v>
      </c>
      <c r="DF145" s="137">
        <f>ROUND(I145*H145,2)</f>
        <v>715.03</v>
      </c>
      <c r="DG145" s="16" t="s">
        <v>95</v>
      </c>
      <c r="DH145" s="136" t="s">
        <v>404</v>
      </c>
    </row>
    <row r="146" spans="2:112" s="1" customFormat="1" x14ac:dyDescent="0.2">
      <c r="B146" s="31"/>
      <c r="D146" s="138" t="s">
        <v>289</v>
      </c>
      <c r="F146" s="139" t="s">
        <v>2884</v>
      </c>
      <c r="I146" s="140"/>
      <c r="L146" s="31"/>
      <c r="N146" s="213"/>
      <c r="O146" s="214"/>
      <c r="Q146" s="229"/>
      <c r="BH146" s="141"/>
      <c r="BO146" s="50"/>
      <c r="CO146" s="16" t="s">
        <v>289</v>
      </c>
      <c r="CP146" s="16" t="s">
        <v>83</v>
      </c>
    </row>
    <row r="147" spans="2:112" s="1" customFormat="1" ht="14.45" customHeight="1" x14ac:dyDescent="0.2">
      <c r="B147" s="124"/>
      <c r="C147" s="125" t="s">
        <v>348</v>
      </c>
      <c r="D147" s="125" t="s">
        <v>284</v>
      </c>
      <c r="E147" s="126" t="s">
        <v>2885</v>
      </c>
      <c r="F147" s="127" t="s">
        <v>2886</v>
      </c>
      <c r="G147" s="128" t="s">
        <v>2874</v>
      </c>
      <c r="H147" s="129">
        <v>1</v>
      </c>
      <c r="I147" s="130">
        <v>1030.7127639550001</v>
      </c>
      <c r="J147" s="131">
        <f>ROUND(I147*H147,2)</f>
        <v>1030.71</v>
      </c>
      <c r="K147" s="127" t="s">
        <v>1</v>
      </c>
      <c r="L147" s="268">
        <f>S147</f>
        <v>0</v>
      </c>
      <c r="M147" s="272">
        <f>ROUND(L147*I147,2)</f>
        <v>0</v>
      </c>
      <c r="N147" s="243"/>
      <c r="O147" s="294">
        <f>ROUND(N147*I147,2)</f>
        <v>0</v>
      </c>
      <c r="P147" s="273">
        <f>H147-L147-N147</f>
        <v>1</v>
      </c>
      <c r="Q147" s="287">
        <f>ROUND(P147*I147,2)</f>
        <v>1030.71</v>
      </c>
      <c r="R147" s="137"/>
      <c r="S147" s="269">
        <f>W147+Y147+AA147+AC147</f>
        <v>0</v>
      </c>
      <c r="T147" s="269">
        <f>ROUND(S147*I147,2)</f>
        <v>0</v>
      </c>
      <c r="U147" s="269">
        <f>H147-S147</f>
        <v>1</v>
      </c>
      <c r="V147" s="269">
        <f>ROUND(U147*I147,2)</f>
        <v>1030.71</v>
      </c>
      <c r="W147" s="269"/>
      <c r="X147" s="269"/>
      <c r="Y147" s="269"/>
      <c r="Z147" s="269"/>
      <c r="AA147" s="269"/>
      <c r="AB147" s="269"/>
      <c r="AC147" s="269"/>
      <c r="AD147" s="269"/>
      <c r="BH147" s="132" t="s">
        <v>1</v>
      </c>
      <c r="BI147" s="133" t="s">
        <v>40</v>
      </c>
      <c r="BK147" s="134">
        <f>BJ147*H147</f>
        <v>0</v>
      </c>
      <c r="BL147" s="134">
        <v>0</v>
      </c>
      <c r="BM147" s="134">
        <f>BL147*H147</f>
        <v>0</v>
      </c>
      <c r="BN147" s="134">
        <v>0</v>
      </c>
      <c r="BO147" s="135">
        <f>BN147*H147</f>
        <v>0</v>
      </c>
      <c r="CM147" s="136" t="s">
        <v>95</v>
      </c>
      <c r="CO147" s="136" t="s">
        <v>284</v>
      </c>
      <c r="CP147" s="136" t="s">
        <v>83</v>
      </c>
      <c r="CT147" s="16" t="s">
        <v>282</v>
      </c>
      <c r="CZ147" s="137">
        <f>IF(BI147="základní",J147,0)</f>
        <v>1030.71</v>
      </c>
      <c r="DA147" s="137">
        <f>IF(BI147="snížená",J147,0)</f>
        <v>0</v>
      </c>
      <c r="DB147" s="137">
        <f>IF(BI147="zákl. přenesená",J147,0)</f>
        <v>0</v>
      </c>
      <c r="DC147" s="137">
        <f>IF(BI147="sníž. přenesená",J147,0)</f>
        <v>0</v>
      </c>
      <c r="DD147" s="137">
        <f>IF(BI147="nulová",J147,0)</f>
        <v>0</v>
      </c>
      <c r="DE147" s="16" t="s">
        <v>81</v>
      </c>
      <c r="DF147" s="137">
        <f>ROUND(I147*H147,2)</f>
        <v>1030.71</v>
      </c>
      <c r="DG147" s="16" t="s">
        <v>95</v>
      </c>
      <c r="DH147" s="136" t="s">
        <v>415</v>
      </c>
    </row>
    <row r="148" spans="2:112" s="1" customFormat="1" x14ac:dyDescent="0.2">
      <c r="B148" s="31"/>
      <c r="D148" s="138" t="s">
        <v>289</v>
      </c>
      <c r="F148" s="139" t="s">
        <v>2886</v>
      </c>
      <c r="I148" s="140"/>
      <c r="L148" s="31"/>
      <c r="N148" s="213"/>
      <c r="O148" s="214"/>
      <c r="Q148" s="229"/>
      <c r="BH148" s="141"/>
      <c r="BO148" s="50"/>
      <c r="CO148" s="16" t="s">
        <v>289</v>
      </c>
      <c r="CP148" s="16" t="s">
        <v>83</v>
      </c>
    </row>
    <row r="149" spans="2:112" s="1" customFormat="1" ht="14.45" customHeight="1" x14ac:dyDescent="0.2">
      <c r="B149" s="124"/>
      <c r="C149" s="125" t="s">
        <v>327</v>
      </c>
      <c r="D149" s="125" t="s">
        <v>284</v>
      </c>
      <c r="E149" s="126" t="s">
        <v>2887</v>
      </c>
      <c r="F149" s="127" t="s">
        <v>2888</v>
      </c>
      <c r="G149" s="128" t="s">
        <v>2874</v>
      </c>
      <c r="H149" s="129">
        <v>1</v>
      </c>
      <c r="I149" s="130">
        <v>3265.9239563440001</v>
      </c>
      <c r="J149" s="131">
        <f>ROUND(I149*H149,2)</f>
        <v>3265.92</v>
      </c>
      <c r="K149" s="127" t="s">
        <v>1</v>
      </c>
      <c r="L149" s="268">
        <f>S149</f>
        <v>0</v>
      </c>
      <c r="M149" s="272">
        <f>ROUND(L149*I149,2)</f>
        <v>0</v>
      </c>
      <c r="N149" s="243"/>
      <c r="O149" s="294">
        <f>ROUND(N149*I149,2)</f>
        <v>0</v>
      </c>
      <c r="P149" s="273">
        <f>H149-L149-N149</f>
        <v>1</v>
      </c>
      <c r="Q149" s="287">
        <f>ROUND(P149*I149,2)</f>
        <v>3265.92</v>
      </c>
      <c r="R149" s="137"/>
      <c r="S149" s="269">
        <f>W149+Y149+AA149+AC149</f>
        <v>0</v>
      </c>
      <c r="T149" s="269">
        <f>ROUND(S149*I149,2)</f>
        <v>0</v>
      </c>
      <c r="U149" s="269">
        <f>H149-S149</f>
        <v>1</v>
      </c>
      <c r="V149" s="269">
        <f>ROUND(U149*I149,2)</f>
        <v>3265.92</v>
      </c>
      <c r="W149" s="269"/>
      <c r="X149" s="269"/>
      <c r="Y149" s="269"/>
      <c r="Z149" s="269"/>
      <c r="AA149" s="269"/>
      <c r="AB149" s="269"/>
      <c r="AC149" s="269"/>
      <c r="AD149" s="269"/>
      <c r="BH149" s="132" t="s">
        <v>1</v>
      </c>
      <c r="BI149" s="133" t="s">
        <v>40</v>
      </c>
      <c r="BK149" s="134">
        <f>BJ149*H149</f>
        <v>0</v>
      </c>
      <c r="BL149" s="134">
        <v>0</v>
      </c>
      <c r="BM149" s="134">
        <f>BL149*H149</f>
        <v>0</v>
      </c>
      <c r="BN149" s="134">
        <v>0</v>
      </c>
      <c r="BO149" s="135">
        <f>BN149*H149</f>
        <v>0</v>
      </c>
      <c r="CM149" s="136" t="s">
        <v>95</v>
      </c>
      <c r="CO149" s="136" t="s">
        <v>284</v>
      </c>
      <c r="CP149" s="136" t="s">
        <v>83</v>
      </c>
      <c r="CT149" s="16" t="s">
        <v>282</v>
      </c>
      <c r="CZ149" s="137">
        <f>IF(BI149="základní",J149,0)</f>
        <v>3265.92</v>
      </c>
      <c r="DA149" s="137">
        <f>IF(BI149="snížená",J149,0)</f>
        <v>0</v>
      </c>
      <c r="DB149" s="137">
        <f>IF(BI149="zákl. přenesená",J149,0)</f>
        <v>0</v>
      </c>
      <c r="DC149" s="137">
        <f>IF(BI149="sníž. přenesená",J149,0)</f>
        <v>0</v>
      </c>
      <c r="DD149" s="137">
        <f>IF(BI149="nulová",J149,0)</f>
        <v>0</v>
      </c>
      <c r="DE149" s="16" t="s">
        <v>81</v>
      </c>
      <c r="DF149" s="137">
        <f>ROUND(I149*H149,2)</f>
        <v>3265.92</v>
      </c>
      <c r="DG149" s="16" t="s">
        <v>95</v>
      </c>
      <c r="DH149" s="136" t="s">
        <v>438</v>
      </c>
    </row>
    <row r="150" spans="2:112" s="1" customFormat="1" x14ac:dyDescent="0.2">
      <c r="B150" s="31"/>
      <c r="D150" s="138" t="s">
        <v>289</v>
      </c>
      <c r="F150" s="139" t="s">
        <v>2888</v>
      </c>
      <c r="I150" s="140"/>
      <c r="L150" s="31"/>
      <c r="N150" s="213"/>
      <c r="O150" s="214"/>
      <c r="Q150" s="229"/>
      <c r="BH150" s="141"/>
      <c r="BO150" s="50"/>
      <c r="CO150" s="16" t="s">
        <v>289</v>
      </c>
      <c r="CP150" s="16" t="s">
        <v>83</v>
      </c>
    </row>
    <row r="151" spans="2:112" s="1" customFormat="1" ht="24.2" customHeight="1" x14ac:dyDescent="0.2">
      <c r="B151" s="124"/>
      <c r="C151" s="125" t="s">
        <v>359</v>
      </c>
      <c r="D151" s="125" t="s">
        <v>284</v>
      </c>
      <c r="E151" s="126" t="s">
        <v>2889</v>
      </c>
      <c r="F151" s="127" t="s">
        <v>2890</v>
      </c>
      <c r="G151" s="128" t="s">
        <v>315</v>
      </c>
      <c r="H151" s="129">
        <v>2</v>
      </c>
      <c r="I151" s="130">
        <v>329.22376084899997</v>
      </c>
      <c r="J151" s="131">
        <f>ROUND(I151*H151,2)</f>
        <v>658.45</v>
      </c>
      <c r="K151" s="127" t="s">
        <v>1</v>
      </c>
      <c r="L151" s="268">
        <f>S151</f>
        <v>0</v>
      </c>
      <c r="M151" s="272">
        <f>ROUND(L151*I151,2)</f>
        <v>0</v>
      </c>
      <c r="N151" s="243"/>
      <c r="O151" s="294">
        <f>ROUND(N151*I151,2)</f>
        <v>0</v>
      </c>
      <c r="P151" s="273">
        <f>H151-L151-N151</f>
        <v>2</v>
      </c>
      <c r="Q151" s="287">
        <f>ROUND(P151*I151,2)</f>
        <v>658.45</v>
      </c>
      <c r="R151" s="137"/>
      <c r="S151" s="269">
        <f>W151+Y151+AA151+AC151</f>
        <v>0</v>
      </c>
      <c r="T151" s="269">
        <f>ROUND(S151*I151,2)</f>
        <v>0</v>
      </c>
      <c r="U151" s="269">
        <f>H151-S151</f>
        <v>2</v>
      </c>
      <c r="V151" s="269">
        <f>ROUND(U151*I151,2)</f>
        <v>658.45</v>
      </c>
      <c r="W151" s="269"/>
      <c r="X151" s="269"/>
      <c r="Y151" s="269"/>
      <c r="Z151" s="269"/>
      <c r="AA151" s="269"/>
      <c r="AB151" s="269"/>
      <c r="AC151" s="269"/>
      <c r="AD151" s="269"/>
      <c r="BH151" s="132" t="s">
        <v>1</v>
      </c>
      <c r="BI151" s="133" t="s">
        <v>40</v>
      </c>
      <c r="BK151" s="134">
        <f>BJ151*H151</f>
        <v>0</v>
      </c>
      <c r="BL151" s="134">
        <v>0</v>
      </c>
      <c r="BM151" s="134">
        <f>BL151*H151</f>
        <v>0</v>
      </c>
      <c r="BN151" s="134">
        <v>0</v>
      </c>
      <c r="BO151" s="135">
        <f>BN151*H151</f>
        <v>0</v>
      </c>
      <c r="CM151" s="136" t="s">
        <v>95</v>
      </c>
      <c r="CO151" s="136" t="s">
        <v>284</v>
      </c>
      <c r="CP151" s="136" t="s">
        <v>83</v>
      </c>
      <c r="CT151" s="16" t="s">
        <v>282</v>
      </c>
      <c r="CZ151" s="137">
        <f>IF(BI151="základní",J151,0)</f>
        <v>658.45</v>
      </c>
      <c r="DA151" s="137">
        <f>IF(BI151="snížená",J151,0)</f>
        <v>0</v>
      </c>
      <c r="DB151" s="137">
        <f>IF(BI151="zákl. přenesená",J151,0)</f>
        <v>0</v>
      </c>
      <c r="DC151" s="137">
        <f>IF(BI151="sníž. přenesená",J151,0)</f>
        <v>0</v>
      </c>
      <c r="DD151" s="137">
        <f>IF(BI151="nulová",J151,0)</f>
        <v>0</v>
      </c>
      <c r="DE151" s="16" t="s">
        <v>81</v>
      </c>
      <c r="DF151" s="137">
        <f>ROUND(I151*H151,2)</f>
        <v>658.45</v>
      </c>
      <c r="DG151" s="16" t="s">
        <v>95</v>
      </c>
      <c r="DH151" s="136" t="s">
        <v>451</v>
      </c>
    </row>
    <row r="152" spans="2:112" s="1" customFormat="1" x14ac:dyDescent="0.2">
      <c r="B152" s="31"/>
      <c r="D152" s="138" t="s">
        <v>289</v>
      </c>
      <c r="F152" s="139" t="s">
        <v>2890</v>
      </c>
      <c r="I152" s="140"/>
      <c r="L152" s="31"/>
      <c r="N152" s="213"/>
      <c r="O152" s="214"/>
      <c r="Q152" s="229"/>
      <c r="BH152" s="141"/>
      <c r="BO152" s="50"/>
      <c r="CO152" s="16" t="s">
        <v>289</v>
      </c>
      <c r="CP152" s="16" t="s">
        <v>83</v>
      </c>
    </row>
    <row r="153" spans="2:112" s="1" customFormat="1" ht="24.2" customHeight="1" x14ac:dyDescent="0.2">
      <c r="B153" s="124"/>
      <c r="C153" s="125" t="s">
        <v>363</v>
      </c>
      <c r="D153" s="125" t="s">
        <v>284</v>
      </c>
      <c r="E153" s="126" t="s">
        <v>2891</v>
      </c>
      <c r="F153" s="127" t="s">
        <v>2892</v>
      </c>
      <c r="G153" s="128" t="s">
        <v>315</v>
      </c>
      <c r="H153" s="129">
        <v>2</v>
      </c>
      <c r="I153" s="130">
        <v>329.22376084899997</v>
      </c>
      <c r="J153" s="131">
        <f>ROUND(I153*H153,2)</f>
        <v>658.45</v>
      </c>
      <c r="K153" s="127" t="s">
        <v>1</v>
      </c>
      <c r="L153" s="268">
        <f>S153</f>
        <v>0</v>
      </c>
      <c r="M153" s="272">
        <f>ROUND(L153*I153,2)</f>
        <v>0</v>
      </c>
      <c r="N153" s="243"/>
      <c r="O153" s="294">
        <f>ROUND(N153*I153,2)</f>
        <v>0</v>
      </c>
      <c r="P153" s="273">
        <f>H153-L153-N153</f>
        <v>2</v>
      </c>
      <c r="Q153" s="287">
        <f>ROUND(P153*I153,2)</f>
        <v>658.45</v>
      </c>
      <c r="R153" s="137"/>
      <c r="S153" s="269">
        <f>W153+Y153+AA153+AC153</f>
        <v>0</v>
      </c>
      <c r="T153" s="269">
        <f>ROUND(S153*I153,2)</f>
        <v>0</v>
      </c>
      <c r="U153" s="269">
        <f>H153-S153</f>
        <v>2</v>
      </c>
      <c r="V153" s="269">
        <f>ROUND(U153*I153,2)</f>
        <v>658.45</v>
      </c>
      <c r="W153" s="269"/>
      <c r="X153" s="269"/>
      <c r="Y153" s="269"/>
      <c r="Z153" s="269"/>
      <c r="AA153" s="269"/>
      <c r="AB153" s="269"/>
      <c r="AC153" s="269"/>
      <c r="AD153" s="269"/>
      <c r="BH153" s="132" t="s">
        <v>1</v>
      </c>
      <c r="BI153" s="133" t="s">
        <v>40</v>
      </c>
      <c r="BK153" s="134">
        <f>BJ153*H153</f>
        <v>0</v>
      </c>
      <c r="BL153" s="134">
        <v>0</v>
      </c>
      <c r="BM153" s="134">
        <f>BL153*H153</f>
        <v>0</v>
      </c>
      <c r="BN153" s="134">
        <v>0</v>
      </c>
      <c r="BO153" s="135">
        <f>BN153*H153</f>
        <v>0</v>
      </c>
      <c r="CM153" s="136" t="s">
        <v>95</v>
      </c>
      <c r="CO153" s="136" t="s">
        <v>284</v>
      </c>
      <c r="CP153" s="136" t="s">
        <v>83</v>
      </c>
      <c r="CT153" s="16" t="s">
        <v>282</v>
      </c>
      <c r="CZ153" s="137">
        <f>IF(BI153="základní",J153,0)</f>
        <v>658.45</v>
      </c>
      <c r="DA153" s="137">
        <f>IF(BI153="snížená",J153,0)</f>
        <v>0</v>
      </c>
      <c r="DB153" s="137">
        <f>IF(BI153="zákl. přenesená",J153,0)</f>
        <v>0</v>
      </c>
      <c r="DC153" s="137">
        <f>IF(BI153="sníž. přenesená",J153,0)</f>
        <v>0</v>
      </c>
      <c r="DD153" s="137">
        <f>IF(BI153="nulová",J153,0)</f>
        <v>0</v>
      </c>
      <c r="DE153" s="16" t="s">
        <v>81</v>
      </c>
      <c r="DF153" s="137">
        <f>ROUND(I153*H153,2)</f>
        <v>658.45</v>
      </c>
      <c r="DG153" s="16" t="s">
        <v>95</v>
      </c>
      <c r="DH153" s="136" t="s">
        <v>463</v>
      </c>
    </row>
    <row r="154" spans="2:112" s="1" customFormat="1" x14ac:dyDescent="0.2">
      <c r="B154" s="31"/>
      <c r="D154" s="138" t="s">
        <v>289</v>
      </c>
      <c r="F154" s="139" t="s">
        <v>2892</v>
      </c>
      <c r="I154" s="140"/>
      <c r="L154" s="31"/>
      <c r="N154" s="213"/>
      <c r="O154" s="214"/>
      <c r="Q154" s="229"/>
      <c r="BH154" s="141"/>
      <c r="BO154" s="50"/>
      <c r="CO154" s="16" t="s">
        <v>289</v>
      </c>
      <c r="CP154" s="16" t="s">
        <v>83</v>
      </c>
    </row>
    <row r="155" spans="2:112" s="1" customFormat="1" ht="24.2" customHeight="1" x14ac:dyDescent="0.2">
      <c r="B155" s="124"/>
      <c r="C155" s="125" t="s">
        <v>8</v>
      </c>
      <c r="D155" s="125" t="s">
        <v>284</v>
      </c>
      <c r="E155" s="126" t="s">
        <v>2893</v>
      </c>
      <c r="F155" s="127" t="s">
        <v>2894</v>
      </c>
      <c r="G155" s="128" t="s">
        <v>315</v>
      </c>
      <c r="H155" s="129">
        <v>2</v>
      </c>
      <c r="I155" s="130">
        <v>5342.4196860410002</v>
      </c>
      <c r="J155" s="131">
        <f>ROUND(I155*H155,2)</f>
        <v>10684.84</v>
      </c>
      <c r="K155" s="127" t="s">
        <v>1</v>
      </c>
      <c r="L155" s="268">
        <f>S155</f>
        <v>0</v>
      </c>
      <c r="M155" s="272">
        <f>ROUND(L155*I155,2)</f>
        <v>0</v>
      </c>
      <c r="N155" s="243"/>
      <c r="O155" s="294">
        <f>ROUND(N155*I155,2)</f>
        <v>0</v>
      </c>
      <c r="P155" s="273">
        <f>H155-L155-N155</f>
        <v>2</v>
      </c>
      <c r="Q155" s="287">
        <f>ROUND(P155*I155,2)</f>
        <v>10684.84</v>
      </c>
      <c r="R155" s="137"/>
      <c r="S155" s="269">
        <f>W155+Y155+AA155+AC155</f>
        <v>0</v>
      </c>
      <c r="T155" s="269">
        <f>ROUND(S155*I155,2)</f>
        <v>0</v>
      </c>
      <c r="U155" s="269">
        <f>H155-S155</f>
        <v>2</v>
      </c>
      <c r="V155" s="269">
        <f>ROUND(U155*I155,2)</f>
        <v>10684.84</v>
      </c>
      <c r="W155" s="269"/>
      <c r="X155" s="269"/>
      <c r="Y155" s="269"/>
      <c r="Z155" s="269"/>
      <c r="AA155" s="269"/>
      <c r="AB155" s="269"/>
      <c r="AC155" s="269"/>
      <c r="AD155" s="269"/>
      <c r="BH155" s="132" t="s">
        <v>1</v>
      </c>
      <c r="BI155" s="133" t="s">
        <v>40</v>
      </c>
      <c r="BK155" s="134">
        <f>BJ155*H155</f>
        <v>0</v>
      </c>
      <c r="BL155" s="134">
        <v>0</v>
      </c>
      <c r="BM155" s="134">
        <f>BL155*H155</f>
        <v>0</v>
      </c>
      <c r="BN155" s="134">
        <v>0</v>
      </c>
      <c r="BO155" s="135">
        <f>BN155*H155</f>
        <v>0</v>
      </c>
      <c r="CM155" s="136" t="s">
        <v>95</v>
      </c>
      <c r="CO155" s="136" t="s">
        <v>284</v>
      </c>
      <c r="CP155" s="136" t="s">
        <v>83</v>
      </c>
      <c r="CT155" s="16" t="s">
        <v>282</v>
      </c>
      <c r="CZ155" s="137">
        <f>IF(BI155="základní",J155,0)</f>
        <v>10684.84</v>
      </c>
      <c r="DA155" s="137">
        <f>IF(BI155="snížená",J155,0)</f>
        <v>0</v>
      </c>
      <c r="DB155" s="137">
        <f>IF(BI155="zákl. přenesená",J155,0)</f>
        <v>0</v>
      </c>
      <c r="DC155" s="137">
        <f>IF(BI155="sníž. přenesená",J155,0)</f>
        <v>0</v>
      </c>
      <c r="DD155" s="137">
        <f>IF(BI155="nulová",J155,0)</f>
        <v>0</v>
      </c>
      <c r="DE155" s="16" t="s">
        <v>81</v>
      </c>
      <c r="DF155" s="137">
        <f>ROUND(I155*H155,2)</f>
        <v>10684.84</v>
      </c>
      <c r="DG155" s="16" t="s">
        <v>95</v>
      </c>
      <c r="DH155" s="136" t="s">
        <v>476</v>
      </c>
    </row>
    <row r="156" spans="2:112" s="1" customFormat="1" ht="19.5" x14ac:dyDescent="0.2">
      <c r="B156" s="31"/>
      <c r="D156" s="138" t="s">
        <v>289</v>
      </c>
      <c r="F156" s="139" t="s">
        <v>2894</v>
      </c>
      <c r="I156" s="140"/>
      <c r="L156" s="31"/>
      <c r="N156" s="213"/>
      <c r="O156" s="214"/>
      <c r="Q156" s="229"/>
      <c r="BH156" s="141"/>
      <c r="BO156" s="50"/>
      <c r="CO156" s="16" t="s">
        <v>289</v>
      </c>
      <c r="CP156" s="16" t="s">
        <v>83</v>
      </c>
    </row>
    <row r="157" spans="2:112" s="1" customFormat="1" ht="14.45" customHeight="1" x14ac:dyDescent="0.2">
      <c r="B157" s="124"/>
      <c r="C157" s="125" t="s">
        <v>379</v>
      </c>
      <c r="D157" s="125" t="s">
        <v>284</v>
      </c>
      <c r="E157" s="126" t="s">
        <v>2895</v>
      </c>
      <c r="F157" s="127" t="s">
        <v>2896</v>
      </c>
      <c r="G157" s="128" t="s">
        <v>315</v>
      </c>
      <c r="H157" s="129">
        <v>2</v>
      </c>
      <c r="I157" s="130">
        <v>1606.7904083809999</v>
      </c>
      <c r="J157" s="131">
        <f>ROUND(I157*H157,2)</f>
        <v>3213.58</v>
      </c>
      <c r="K157" s="127" t="s">
        <v>1</v>
      </c>
      <c r="L157" s="268">
        <f>S157</f>
        <v>0</v>
      </c>
      <c r="M157" s="272">
        <f>ROUND(L157*I157,2)</f>
        <v>0</v>
      </c>
      <c r="N157" s="243"/>
      <c r="O157" s="294">
        <f>ROUND(N157*I157,2)</f>
        <v>0</v>
      </c>
      <c r="P157" s="273">
        <f>H157-L157-N157</f>
        <v>2</v>
      </c>
      <c r="Q157" s="287">
        <f>ROUND(P157*I157,2)</f>
        <v>3213.58</v>
      </c>
      <c r="R157" s="137"/>
      <c r="S157" s="269">
        <f>W157+Y157+AA157+AC157</f>
        <v>0</v>
      </c>
      <c r="T157" s="269">
        <f>ROUND(S157*I157,2)</f>
        <v>0</v>
      </c>
      <c r="U157" s="269">
        <f>H157-S157</f>
        <v>2</v>
      </c>
      <c r="V157" s="269">
        <f>ROUND(U157*I157,2)</f>
        <v>3213.58</v>
      </c>
      <c r="W157" s="269"/>
      <c r="X157" s="269"/>
      <c r="Y157" s="269"/>
      <c r="Z157" s="269"/>
      <c r="AA157" s="269"/>
      <c r="AB157" s="269"/>
      <c r="AC157" s="269"/>
      <c r="AD157" s="269"/>
      <c r="BH157" s="132" t="s">
        <v>1</v>
      </c>
      <c r="BI157" s="133" t="s">
        <v>40</v>
      </c>
      <c r="BK157" s="134">
        <f>BJ157*H157</f>
        <v>0</v>
      </c>
      <c r="BL157" s="134">
        <v>0</v>
      </c>
      <c r="BM157" s="134">
        <f>BL157*H157</f>
        <v>0</v>
      </c>
      <c r="BN157" s="134">
        <v>0</v>
      </c>
      <c r="BO157" s="135">
        <f>BN157*H157</f>
        <v>0</v>
      </c>
      <c r="CM157" s="136" t="s">
        <v>95</v>
      </c>
      <c r="CO157" s="136" t="s">
        <v>284</v>
      </c>
      <c r="CP157" s="136" t="s">
        <v>83</v>
      </c>
      <c r="CT157" s="16" t="s">
        <v>282</v>
      </c>
      <c r="CZ157" s="137">
        <f>IF(BI157="základní",J157,0)</f>
        <v>3213.58</v>
      </c>
      <c r="DA157" s="137">
        <f>IF(BI157="snížená",J157,0)</f>
        <v>0</v>
      </c>
      <c r="DB157" s="137">
        <f>IF(BI157="zákl. přenesená",J157,0)</f>
        <v>0</v>
      </c>
      <c r="DC157" s="137">
        <f>IF(BI157="sníž. přenesená",J157,0)</f>
        <v>0</v>
      </c>
      <c r="DD157" s="137">
        <f>IF(BI157="nulová",J157,0)</f>
        <v>0</v>
      </c>
      <c r="DE157" s="16" t="s">
        <v>81</v>
      </c>
      <c r="DF157" s="137">
        <f>ROUND(I157*H157,2)</f>
        <v>3213.58</v>
      </c>
      <c r="DG157" s="16" t="s">
        <v>95</v>
      </c>
      <c r="DH157" s="136" t="s">
        <v>489</v>
      </c>
    </row>
    <row r="158" spans="2:112" s="1" customFormat="1" x14ac:dyDescent="0.2">
      <c r="B158" s="31"/>
      <c r="D158" s="138" t="s">
        <v>289</v>
      </c>
      <c r="F158" s="139" t="s">
        <v>2896</v>
      </c>
      <c r="I158" s="140"/>
      <c r="L158" s="31"/>
      <c r="N158" s="213"/>
      <c r="O158" s="214"/>
      <c r="Q158" s="229"/>
      <c r="BH158" s="141"/>
      <c r="BO158" s="50"/>
      <c r="CO158" s="16" t="s">
        <v>289</v>
      </c>
      <c r="CP158" s="16" t="s">
        <v>83</v>
      </c>
    </row>
    <row r="159" spans="2:112" s="1" customFormat="1" ht="24.2" customHeight="1" x14ac:dyDescent="0.2">
      <c r="B159" s="124"/>
      <c r="C159" s="125" t="s">
        <v>386</v>
      </c>
      <c r="D159" s="125" t="s">
        <v>284</v>
      </c>
      <c r="E159" s="126" t="s">
        <v>2897</v>
      </c>
      <c r="F159" s="127" t="s">
        <v>2898</v>
      </c>
      <c r="G159" s="128" t="s">
        <v>315</v>
      </c>
      <c r="H159" s="129">
        <v>2</v>
      </c>
      <c r="I159" s="130">
        <v>451.31986457900001</v>
      </c>
      <c r="J159" s="131">
        <f>ROUND(I159*H159,2)</f>
        <v>902.64</v>
      </c>
      <c r="K159" s="127" t="s">
        <v>1</v>
      </c>
      <c r="L159" s="268">
        <f>S159</f>
        <v>0</v>
      </c>
      <c r="M159" s="272">
        <f>ROUND(L159*I159,2)</f>
        <v>0</v>
      </c>
      <c r="N159" s="243"/>
      <c r="O159" s="294">
        <f>ROUND(N159*I159,2)</f>
        <v>0</v>
      </c>
      <c r="P159" s="273">
        <f>H159-L159-N159</f>
        <v>2</v>
      </c>
      <c r="Q159" s="287">
        <f>ROUND(P159*I159,2)</f>
        <v>902.64</v>
      </c>
      <c r="R159" s="137"/>
      <c r="S159" s="269">
        <f>W159+Y159+AA159+AC159</f>
        <v>0</v>
      </c>
      <c r="T159" s="269">
        <f>ROUND(S159*I159,2)</f>
        <v>0</v>
      </c>
      <c r="U159" s="269">
        <f>H159-S159</f>
        <v>2</v>
      </c>
      <c r="V159" s="269">
        <f>ROUND(U159*I159,2)</f>
        <v>902.64</v>
      </c>
      <c r="W159" s="269"/>
      <c r="X159" s="269"/>
      <c r="Y159" s="269"/>
      <c r="Z159" s="269"/>
      <c r="AA159" s="269"/>
      <c r="AB159" s="269"/>
      <c r="AC159" s="269"/>
      <c r="AD159" s="269"/>
      <c r="BH159" s="132" t="s">
        <v>1</v>
      </c>
      <c r="BI159" s="133" t="s">
        <v>40</v>
      </c>
      <c r="BK159" s="134">
        <f>BJ159*H159</f>
        <v>0</v>
      </c>
      <c r="BL159" s="134">
        <v>0</v>
      </c>
      <c r="BM159" s="134">
        <f>BL159*H159</f>
        <v>0</v>
      </c>
      <c r="BN159" s="134">
        <v>0</v>
      </c>
      <c r="BO159" s="135">
        <f>BN159*H159</f>
        <v>0</v>
      </c>
      <c r="CM159" s="136" t="s">
        <v>95</v>
      </c>
      <c r="CO159" s="136" t="s">
        <v>284</v>
      </c>
      <c r="CP159" s="136" t="s">
        <v>83</v>
      </c>
      <c r="CT159" s="16" t="s">
        <v>282</v>
      </c>
      <c r="CZ159" s="137">
        <f>IF(BI159="základní",J159,0)</f>
        <v>902.64</v>
      </c>
      <c r="DA159" s="137">
        <f>IF(BI159="snížená",J159,0)</f>
        <v>0</v>
      </c>
      <c r="DB159" s="137">
        <f>IF(BI159="zákl. přenesená",J159,0)</f>
        <v>0</v>
      </c>
      <c r="DC159" s="137">
        <f>IF(BI159="sníž. přenesená",J159,0)</f>
        <v>0</v>
      </c>
      <c r="DD159" s="137">
        <f>IF(BI159="nulová",J159,0)</f>
        <v>0</v>
      </c>
      <c r="DE159" s="16" t="s">
        <v>81</v>
      </c>
      <c r="DF159" s="137">
        <f>ROUND(I159*H159,2)</f>
        <v>902.64</v>
      </c>
      <c r="DG159" s="16" t="s">
        <v>95</v>
      </c>
      <c r="DH159" s="136" t="s">
        <v>497</v>
      </c>
    </row>
    <row r="160" spans="2:112" s="1" customFormat="1" x14ac:dyDescent="0.2">
      <c r="B160" s="31"/>
      <c r="D160" s="138" t="s">
        <v>289</v>
      </c>
      <c r="F160" s="139" t="s">
        <v>2898</v>
      </c>
      <c r="I160" s="140"/>
      <c r="L160" s="31"/>
      <c r="N160" s="213"/>
      <c r="O160" s="214"/>
      <c r="Q160" s="229"/>
      <c r="BH160" s="141"/>
      <c r="BO160" s="50"/>
      <c r="CO160" s="16" t="s">
        <v>289</v>
      </c>
      <c r="CP160" s="16" t="s">
        <v>83</v>
      </c>
    </row>
    <row r="161" spans="2:112" s="1" customFormat="1" ht="14.45" customHeight="1" x14ac:dyDescent="0.2">
      <c r="B161" s="124"/>
      <c r="C161" s="125" t="s">
        <v>392</v>
      </c>
      <c r="D161" s="125" t="s">
        <v>284</v>
      </c>
      <c r="E161" s="126" t="s">
        <v>2899</v>
      </c>
      <c r="F161" s="127" t="s">
        <v>2900</v>
      </c>
      <c r="G161" s="128" t="s">
        <v>315</v>
      </c>
      <c r="H161" s="129">
        <v>2</v>
      </c>
      <c r="I161" s="130">
        <v>978.218069861</v>
      </c>
      <c r="J161" s="131">
        <f>ROUND(I161*H161,2)</f>
        <v>1956.44</v>
      </c>
      <c r="K161" s="127" t="s">
        <v>1</v>
      </c>
      <c r="L161" s="268">
        <f>S161</f>
        <v>0</v>
      </c>
      <c r="M161" s="272">
        <f>ROUND(L161*I161,2)</f>
        <v>0</v>
      </c>
      <c r="N161" s="243"/>
      <c r="O161" s="294">
        <f>ROUND(N161*I161,2)</f>
        <v>0</v>
      </c>
      <c r="P161" s="273">
        <f>H161-L161-N161</f>
        <v>2</v>
      </c>
      <c r="Q161" s="287">
        <f>ROUND(P161*I161,2)</f>
        <v>1956.44</v>
      </c>
      <c r="R161" s="137"/>
      <c r="S161" s="269">
        <f>W161+Y161+AA161+AC161</f>
        <v>0</v>
      </c>
      <c r="T161" s="269">
        <f>ROUND(S161*I161,2)</f>
        <v>0</v>
      </c>
      <c r="U161" s="269">
        <f>H161-S161</f>
        <v>2</v>
      </c>
      <c r="V161" s="269">
        <f>ROUND(U161*I161,2)</f>
        <v>1956.44</v>
      </c>
      <c r="W161" s="269"/>
      <c r="X161" s="269"/>
      <c r="Y161" s="269"/>
      <c r="Z161" s="269"/>
      <c r="AA161" s="269"/>
      <c r="AB161" s="269"/>
      <c r="AC161" s="269"/>
      <c r="AD161" s="269"/>
      <c r="BH161" s="132" t="s">
        <v>1</v>
      </c>
      <c r="BI161" s="133" t="s">
        <v>40</v>
      </c>
      <c r="BK161" s="134">
        <f>BJ161*H161</f>
        <v>0</v>
      </c>
      <c r="BL161" s="134">
        <v>0</v>
      </c>
      <c r="BM161" s="134">
        <f>BL161*H161</f>
        <v>0</v>
      </c>
      <c r="BN161" s="134">
        <v>0</v>
      </c>
      <c r="BO161" s="135">
        <f>BN161*H161</f>
        <v>0</v>
      </c>
      <c r="CM161" s="136" t="s">
        <v>95</v>
      </c>
      <c r="CO161" s="136" t="s">
        <v>284</v>
      </c>
      <c r="CP161" s="136" t="s">
        <v>83</v>
      </c>
      <c r="CT161" s="16" t="s">
        <v>282</v>
      </c>
      <c r="CZ161" s="137">
        <f>IF(BI161="základní",J161,0)</f>
        <v>1956.44</v>
      </c>
      <c r="DA161" s="137">
        <f>IF(BI161="snížená",J161,0)</f>
        <v>0</v>
      </c>
      <c r="DB161" s="137">
        <f>IF(BI161="zákl. přenesená",J161,0)</f>
        <v>0</v>
      </c>
      <c r="DC161" s="137">
        <f>IF(BI161="sníž. přenesená",J161,0)</f>
        <v>0</v>
      </c>
      <c r="DD161" s="137">
        <f>IF(BI161="nulová",J161,0)</f>
        <v>0</v>
      </c>
      <c r="DE161" s="16" t="s">
        <v>81</v>
      </c>
      <c r="DF161" s="137">
        <f>ROUND(I161*H161,2)</f>
        <v>1956.44</v>
      </c>
      <c r="DG161" s="16" t="s">
        <v>95</v>
      </c>
      <c r="DH161" s="136" t="s">
        <v>505</v>
      </c>
    </row>
    <row r="162" spans="2:112" s="1" customFormat="1" x14ac:dyDescent="0.2">
      <c r="B162" s="31"/>
      <c r="D162" s="138" t="s">
        <v>289</v>
      </c>
      <c r="F162" s="139" t="s">
        <v>2900</v>
      </c>
      <c r="I162" s="140"/>
      <c r="L162" s="31"/>
      <c r="N162" s="213"/>
      <c r="O162" s="214"/>
      <c r="Q162" s="229"/>
      <c r="BH162" s="141"/>
      <c r="BO162" s="50"/>
      <c r="CO162" s="16" t="s">
        <v>289</v>
      </c>
      <c r="CP162" s="16" t="s">
        <v>83</v>
      </c>
    </row>
    <row r="163" spans="2:112" s="1" customFormat="1" ht="24.2" customHeight="1" x14ac:dyDescent="0.2">
      <c r="B163" s="124"/>
      <c r="C163" s="125" t="s">
        <v>397</v>
      </c>
      <c r="D163" s="125" t="s">
        <v>284</v>
      </c>
      <c r="E163" s="126" t="s">
        <v>2901</v>
      </c>
      <c r="F163" s="127" t="s">
        <v>2902</v>
      </c>
      <c r="G163" s="128" t="s">
        <v>315</v>
      </c>
      <c r="H163" s="129">
        <v>1</v>
      </c>
      <c r="I163" s="130">
        <v>1714.204668761</v>
      </c>
      <c r="J163" s="131">
        <f>ROUND(I163*H163,2)</f>
        <v>1714.2</v>
      </c>
      <c r="K163" s="127" t="s">
        <v>1</v>
      </c>
      <c r="L163" s="268">
        <f>S163</f>
        <v>0</v>
      </c>
      <c r="M163" s="272">
        <f>ROUND(L163*I163,2)</f>
        <v>0</v>
      </c>
      <c r="N163" s="243"/>
      <c r="O163" s="294">
        <f>ROUND(N163*I163,2)</f>
        <v>0</v>
      </c>
      <c r="P163" s="273">
        <f>H163-L163-N163</f>
        <v>1</v>
      </c>
      <c r="Q163" s="287">
        <f>ROUND(P163*I163,2)</f>
        <v>1714.2</v>
      </c>
      <c r="R163" s="137"/>
      <c r="S163" s="269">
        <f>W163+Y163+AA163+AC163</f>
        <v>0</v>
      </c>
      <c r="T163" s="269">
        <f>ROUND(S163*I163,2)</f>
        <v>0</v>
      </c>
      <c r="U163" s="269">
        <f>H163-S163</f>
        <v>1</v>
      </c>
      <c r="V163" s="269">
        <f>ROUND(U163*I163,2)</f>
        <v>1714.2</v>
      </c>
      <c r="W163" s="269"/>
      <c r="X163" s="269"/>
      <c r="Y163" s="269"/>
      <c r="Z163" s="269"/>
      <c r="AA163" s="269"/>
      <c r="AB163" s="269"/>
      <c r="AC163" s="269"/>
      <c r="AD163" s="269"/>
      <c r="BH163" s="132" t="s">
        <v>1</v>
      </c>
      <c r="BI163" s="133" t="s">
        <v>40</v>
      </c>
      <c r="BK163" s="134">
        <f>BJ163*H163</f>
        <v>0</v>
      </c>
      <c r="BL163" s="134">
        <v>0</v>
      </c>
      <c r="BM163" s="134">
        <f>BL163*H163</f>
        <v>0</v>
      </c>
      <c r="BN163" s="134">
        <v>0</v>
      </c>
      <c r="BO163" s="135">
        <f>BN163*H163</f>
        <v>0</v>
      </c>
      <c r="CM163" s="136" t="s">
        <v>95</v>
      </c>
      <c r="CO163" s="136" t="s">
        <v>284</v>
      </c>
      <c r="CP163" s="136" t="s">
        <v>83</v>
      </c>
      <c r="CT163" s="16" t="s">
        <v>282</v>
      </c>
      <c r="CZ163" s="137">
        <f>IF(BI163="základní",J163,0)</f>
        <v>1714.2</v>
      </c>
      <c r="DA163" s="137">
        <f>IF(BI163="snížená",J163,0)</f>
        <v>0</v>
      </c>
      <c r="DB163" s="137">
        <f>IF(BI163="zákl. přenesená",J163,0)</f>
        <v>0</v>
      </c>
      <c r="DC163" s="137">
        <f>IF(BI163="sníž. přenesená",J163,0)</f>
        <v>0</v>
      </c>
      <c r="DD163" s="137">
        <f>IF(BI163="nulová",J163,0)</f>
        <v>0</v>
      </c>
      <c r="DE163" s="16" t="s">
        <v>81</v>
      </c>
      <c r="DF163" s="137">
        <f>ROUND(I163*H163,2)</f>
        <v>1714.2</v>
      </c>
      <c r="DG163" s="16" t="s">
        <v>95</v>
      </c>
      <c r="DH163" s="136" t="s">
        <v>514</v>
      </c>
    </row>
    <row r="164" spans="2:112" s="1" customFormat="1" x14ac:dyDescent="0.2">
      <c r="B164" s="31"/>
      <c r="D164" s="138" t="s">
        <v>289</v>
      </c>
      <c r="F164" s="139" t="s">
        <v>2902</v>
      </c>
      <c r="I164" s="140"/>
      <c r="L164" s="31"/>
      <c r="N164" s="213"/>
      <c r="O164" s="214"/>
      <c r="Q164" s="229"/>
      <c r="BH164" s="141"/>
      <c r="BO164" s="50"/>
      <c r="CO164" s="16" t="s">
        <v>289</v>
      </c>
      <c r="CP164" s="16" t="s">
        <v>83</v>
      </c>
    </row>
    <row r="165" spans="2:112" s="1" customFormat="1" ht="14.45" customHeight="1" x14ac:dyDescent="0.2">
      <c r="B165" s="124"/>
      <c r="C165" s="125" t="s">
        <v>404</v>
      </c>
      <c r="D165" s="125" t="s">
        <v>284</v>
      </c>
      <c r="E165" s="126" t="s">
        <v>2903</v>
      </c>
      <c r="F165" s="127" t="s">
        <v>2904</v>
      </c>
      <c r="G165" s="128" t="s">
        <v>315</v>
      </c>
      <c r="H165" s="129">
        <v>1</v>
      </c>
      <c r="I165" s="130">
        <v>1565.2171113080001</v>
      </c>
      <c r="J165" s="131">
        <f>ROUND(I165*H165,2)</f>
        <v>1565.22</v>
      </c>
      <c r="K165" s="127" t="s">
        <v>1</v>
      </c>
      <c r="L165" s="268">
        <f>S165</f>
        <v>0</v>
      </c>
      <c r="M165" s="272">
        <f>ROUND(L165*I165,2)</f>
        <v>0</v>
      </c>
      <c r="N165" s="243"/>
      <c r="O165" s="294">
        <f>ROUND(N165*I165,2)</f>
        <v>0</v>
      </c>
      <c r="P165" s="273">
        <f>H165-L165-N165</f>
        <v>1</v>
      </c>
      <c r="Q165" s="287">
        <f>ROUND(P165*I165,2)</f>
        <v>1565.22</v>
      </c>
      <c r="R165" s="137"/>
      <c r="S165" s="269">
        <f>W165+Y165+AA165+AC165</f>
        <v>0</v>
      </c>
      <c r="T165" s="269">
        <f>ROUND(S165*I165,2)</f>
        <v>0</v>
      </c>
      <c r="U165" s="269">
        <f>H165-S165</f>
        <v>1</v>
      </c>
      <c r="V165" s="269">
        <f>ROUND(U165*I165,2)</f>
        <v>1565.22</v>
      </c>
      <c r="W165" s="269"/>
      <c r="X165" s="269"/>
      <c r="Y165" s="269"/>
      <c r="Z165" s="269"/>
      <c r="AA165" s="269"/>
      <c r="AB165" s="269"/>
      <c r="AC165" s="269"/>
      <c r="AD165" s="269"/>
      <c r="BH165" s="132" t="s">
        <v>1</v>
      </c>
      <c r="BI165" s="133" t="s">
        <v>40</v>
      </c>
      <c r="BK165" s="134">
        <f>BJ165*H165</f>
        <v>0</v>
      </c>
      <c r="BL165" s="134">
        <v>0</v>
      </c>
      <c r="BM165" s="134">
        <f>BL165*H165</f>
        <v>0</v>
      </c>
      <c r="BN165" s="134">
        <v>0</v>
      </c>
      <c r="BO165" s="135">
        <f>BN165*H165</f>
        <v>0</v>
      </c>
      <c r="CM165" s="136" t="s">
        <v>95</v>
      </c>
      <c r="CO165" s="136" t="s">
        <v>284</v>
      </c>
      <c r="CP165" s="136" t="s">
        <v>83</v>
      </c>
      <c r="CT165" s="16" t="s">
        <v>282</v>
      </c>
      <c r="CZ165" s="137">
        <f>IF(BI165="základní",J165,0)</f>
        <v>1565.22</v>
      </c>
      <c r="DA165" s="137">
        <f>IF(BI165="snížená",J165,0)</f>
        <v>0</v>
      </c>
      <c r="DB165" s="137">
        <f>IF(BI165="zákl. přenesená",J165,0)</f>
        <v>0</v>
      </c>
      <c r="DC165" s="137">
        <f>IF(BI165="sníž. přenesená",J165,0)</f>
        <v>0</v>
      </c>
      <c r="DD165" s="137">
        <f>IF(BI165="nulová",J165,0)</f>
        <v>0</v>
      </c>
      <c r="DE165" s="16" t="s">
        <v>81</v>
      </c>
      <c r="DF165" s="137">
        <f>ROUND(I165*H165,2)</f>
        <v>1565.22</v>
      </c>
      <c r="DG165" s="16" t="s">
        <v>95</v>
      </c>
      <c r="DH165" s="136" t="s">
        <v>526</v>
      </c>
    </row>
    <row r="166" spans="2:112" s="1" customFormat="1" x14ac:dyDescent="0.2">
      <c r="B166" s="31"/>
      <c r="D166" s="138" t="s">
        <v>289</v>
      </c>
      <c r="F166" s="139" t="s">
        <v>2904</v>
      </c>
      <c r="I166" s="140"/>
      <c r="L166" s="31"/>
      <c r="N166" s="213"/>
      <c r="O166" s="214"/>
      <c r="Q166" s="229"/>
      <c r="BH166" s="141"/>
      <c r="BO166" s="50"/>
      <c r="CO166" s="16" t="s">
        <v>289</v>
      </c>
      <c r="CP166" s="16" t="s">
        <v>83</v>
      </c>
    </row>
    <row r="167" spans="2:112" s="1" customFormat="1" ht="14.45" customHeight="1" x14ac:dyDescent="0.2">
      <c r="B167" s="124"/>
      <c r="C167" s="125" t="s">
        <v>7</v>
      </c>
      <c r="D167" s="125" t="s">
        <v>284</v>
      </c>
      <c r="E167" s="126" t="s">
        <v>2905</v>
      </c>
      <c r="F167" s="127" t="s">
        <v>2906</v>
      </c>
      <c r="G167" s="128" t="s">
        <v>315</v>
      </c>
      <c r="H167" s="129">
        <v>6</v>
      </c>
      <c r="I167" s="130">
        <v>879.12036332700006</v>
      </c>
      <c r="J167" s="131">
        <f>ROUND(I167*H167,2)</f>
        <v>5274.72</v>
      </c>
      <c r="K167" s="127" t="s">
        <v>1</v>
      </c>
      <c r="L167" s="268">
        <f>S167</f>
        <v>0</v>
      </c>
      <c r="M167" s="272">
        <f>ROUND(L167*I167,2)</f>
        <v>0</v>
      </c>
      <c r="N167" s="243"/>
      <c r="O167" s="294">
        <f>ROUND(N167*I167,2)</f>
        <v>0</v>
      </c>
      <c r="P167" s="273">
        <f>H167-L167-N167</f>
        <v>6</v>
      </c>
      <c r="Q167" s="287">
        <f>ROUND(P167*I167,2)</f>
        <v>5274.72</v>
      </c>
      <c r="R167" s="137"/>
      <c r="S167" s="269">
        <f>W167+Y167+AA167+AC167</f>
        <v>0</v>
      </c>
      <c r="T167" s="269">
        <f>ROUND(S167*I167,2)</f>
        <v>0</v>
      </c>
      <c r="U167" s="269">
        <f>H167-S167</f>
        <v>6</v>
      </c>
      <c r="V167" s="269">
        <f>ROUND(U167*I167,2)</f>
        <v>5274.72</v>
      </c>
      <c r="W167" s="269"/>
      <c r="X167" s="269"/>
      <c r="Y167" s="269"/>
      <c r="Z167" s="269"/>
      <c r="AA167" s="269"/>
      <c r="AB167" s="269"/>
      <c r="AC167" s="269"/>
      <c r="AD167" s="269"/>
      <c r="BH167" s="132" t="s">
        <v>1</v>
      </c>
      <c r="BI167" s="133" t="s">
        <v>40</v>
      </c>
      <c r="BK167" s="134">
        <f>BJ167*H167</f>
        <v>0</v>
      </c>
      <c r="BL167" s="134">
        <v>0</v>
      </c>
      <c r="BM167" s="134">
        <f>BL167*H167</f>
        <v>0</v>
      </c>
      <c r="BN167" s="134">
        <v>0</v>
      </c>
      <c r="BO167" s="135">
        <f>BN167*H167</f>
        <v>0</v>
      </c>
      <c r="CM167" s="136" t="s">
        <v>95</v>
      </c>
      <c r="CO167" s="136" t="s">
        <v>284</v>
      </c>
      <c r="CP167" s="136" t="s">
        <v>83</v>
      </c>
      <c r="CT167" s="16" t="s">
        <v>282</v>
      </c>
      <c r="CZ167" s="137">
        <f>IF(BI167="základní",J167,0)</f>
        <v>5274.72</v>
      </c>
      <c r="DA167" s="137">
        <f>IF(BI167="snížená",J167,0)</f>
        <v>0</v>
      </c>
      <c r="DB167" s="137">
        <f>IF(BI167="zákl. přenesená",J167,0)</f>
        <v>0</v>
      </c>
      <c r="DC167" s="137">
        <f>IF(BI167="sníž. přenesená",J167,0)</f>
        <v>0</v>
      </c>
      <c r="DD167" s="137">
        <f>IF(BI167="nulová",J167,0)</f>
        <v>0</v>
      </c>
      <c r="DE167" s="16" t="s">
        <v>81</v>
      </c>
      <c r="DF167" s="137">
        <f>ROUND(I167*H167,2)</f>
        <v>5274.72</v>
      </c>
      <c r="DG167" s="16" t="s">
        <v>95</v>
      </c>
      <c r="DH167" s="136" t="s">
        <v>536</v>
      </c>
    </row>
    <row r="168" spans="2:112" s="1" customFormat="1" x14ac:dyDescent="0.2">
      <c r="B168" s="31"/>
      <c r="D168" s="138" t="s">
        <v>289</v>
      </c>
      <c r="F168" s="139" t="s">
        <v>2906</v>
      </c>
      <c r="I168" s="140"/>
      <c r="L168" s="31"/>
      <c r="N168" s="213"/>
      <c r="O168" s="214"/>
      <c r="Q168" s="229"/>
      <c r="BH168" s="141"/>
      <c r="BO168" s="50"/>
      <c r="CO168" s="16" t="s">
        <v>289</v>
      </c>
      <c r="CP168" s="16" t="s">
        <v>83</v>
      </c>
    </row>
    <row r="169" spans="2:112" s="1" customFormat="1" ht="14.45" customHeight="1" x14ac:dyDescent="0.2">
      <c r="B169" s="124"/>
      <c r="C169" s="125" t="s">
        <v>415</v>
      </c>
      <c r="D169" s="125" t="s">
        <v>284</v>
      </c>
      <c r="E169" s="126" t="s">
        <v>2907</v>
      </c>
      <c r="F169" s="127" t="s">
        <v>2908</v>
      </c>
      <c r="G169" s="128" t="s">
        <v>315</v>
      </c>
      <c r="H169" s="129">
        <v>2</v>
      </c>
      <c r="I169" s="130">
        <v>819.31316402900006</v>
      </c>
      <c r="J169" s="131">
        <f>ROUND(I169*H169,2)</f>
        <v>1638.63</v>
      </c>
      <c r="K169" s="127" t="s">
        <v>1</v>
      </c>
      <c r="L169" s="268">
        <f>S169</f>
        <v>0</v>
      </c>
      <c r="M169" s="272">
        <f>ROUND(L169*I169,2)</f>
        <v>0</v>
      </c>
      <c r="N169" s="243"/>
      <c r="O169" s="294">
        <f>ROUND(N169*I169,2)</f>
        <v>0</v>
      </c>
      <c r="P169" s="273">
        <f>H169-L169-N169</f>
        <v>2</v>
      </c>
      <c r="Q169" s="287">
        <f>ROUND(P169*I169,2)</f>
        <v>1638.63</v>
      </c>
      <c r="R169" s="137"/>
      <c r="S169" s="269">
        <f>W169+Y169+AA169+AC169</f>
        <v>0</v>
      </c>
      <c r="T169" s="269">
        <f>ROUND(S169*I169,2)</f>
        <v>0</v>
      </c>
      <c r="U169" s="269">
        <f>H169-S169</f>
        <v>2</v>
      </c>
      <c r="V169" s="269">
        <f>ROUND(U169*I169,2)</f>
        <v>1638.63</v>
      </c>
      <c r="W169" s="269"/>
      <c r="X169" s="269"/>
      <c r="Y169" s="269"/>
      <c r="Z169" s="269"/>
      <c r="AA169" s="269"/>
      <c r="AB169" s="269"/>
      <c r="AC169" s="269"/>
      <c r="AD169" s="269"/>
      <c r="BH169" s="132" t="s">
        <v>1</v>
      </c>
      <c r="BI169" s="133" t="s">
        <v>40</v>
      </c>
      <c r="BK169" s="134">
        <f>BJ169*H169</f>
        <v>0</v>
      </c>
      <c r="BL169" s="134">
        <v>0</v>
      </c>
      <c r="BM169" s="134">
        <f>BL169*H169</f>
        <v>0</v>
      </c>
      <c r="BN169" s="134">
        <v>0</v>
      </c>
      <c r="BO169" s="135">
        <f>BN169*H169</f>
        <v>0</v>
      </c>
      <c r="CM169" s="136" t="s">
        <v>95</v>
      </c>
      <c r="CO169" s="136" t="s">
        <v>284</v>
      </c>
      <c r="CP169" s="136" t="s">
        <v>83</v>
      </c>
      <c r="CT169" s="16" t="s">
        <v>282</v>
      </c>
      <c r="CZ169" s="137">
        <f>IF(BI169="základní",J169,0)</f>
        <v>1638.63</v>
      </c>
      <c r="DA169" s="137">
        <f>IF(BI169="snížená",J169,0)</f>
        <v>0</v>
      </c>
      <c r="DB169" s="137">
        <f>IF(BI169="zákl. přenesená",J169,0)</f>
        <v>0</v>
      </c>
      <c r="DC169" s="137">
        <f>IF(BI169="sníž. přenesená",J169,0)</f>
        <v>0</v>
      </c>
      <c r="DD169" s="137">
        <f>IF(BI169="nulová",J169,0)</f>
        <v>0</v>
      </c>
      <c r="DE169" s="16" t="s">
        <v>81</v>
      </c>
      <c r="DF169" s="137">
        <f>ROUND(I169*H169,2)</f>
        <v>1638.63</v>
      </c>
      <c r="DG169" s="16" t="s">
        <v>95</v>
      </c>
      <c r="DH169" s="136" t="s">
        <v>548</v>
      </c>
    </row>
    <row r="170" spans="2:112" s="1" customFormat="1" x14ac:dyDescent="0.2">
      <c r="B170" s="31"/>
      <c r="D170" s="138" t="s">
        <v>289</v>
      </c>
      <c r="F170" s="139" t="s">
        <v>2908</v>
      </c>
      <c r="I170" s="140"/>
      <c r="L170" s="31"/>
      <c r="N170" s="213"/>
      <c r="O170" s="214"/>
      <c r="Q170" s="229"/>
      <c r="BH170" s="141"/>
      <c r="BO170" s="50"/>
      <c r="CO170" s="16" t="s">
        <v>289</v>
      </c>
      <c r="CP170" s="16" t="s">
        <v>83</v>
      </c>
    </row>
    <row r="171" spans="2:112" s="1" customFormat="1" ht="14.45" customHeight="1" x14ac:dyDescent="0.2">
      <c r="B171" s="124"/>
      <c r="C171" s="125" t="s">
        <v>422</v>
      </c>
      <c r="D171" s="125" t="s">
        <v>284</v>
      </c>
      <c r="E171" s="126" t="s">
        <v>2909</v>
      </c>
      <c r="F171" s="127" t="s">
        <v>2910</v>
      </c>
      <c r="G171" s="128" t="s">
        <v>315</v>
      </c>
      <c r="H171" s="129">
        <v>8</v>
      </c>
      <c r="I171" s="130">
        <v>199.59729230400001</v>
      </c>
      <c r="J171" s="131">
        <f>ROUND(I171*H171,2)</f>
        <v>1596.78</v>
      </c>
      <c r="K171" s="127" t="s">
        <v>1</v>
      </c>
      <c r="L171" s="268">
        <f>S171</f>
        <v>0</v>
      </c>
      <c r="M171" s="272">
        <f>ROUND(L171*I171,2)</f>
        <v>0</v>
      </c>
      <c r="N171" s="243"/>
      <c r="O171" s="294">
        <f>ROUND(N171*I171,2)</f>
        <v>0</v>
      </c>
      <c r="P171" s="273">
        <f>H171-L171-N171</f>
        <v>8</v>
      </c>
      <c r="Q171" s="287">
        <f>ROUND(P171*I171,2)</f>
        <v>1596.78</v>
      </c>
      <c r="R171" s="137"/>
      <c r="S171" s="269">
        <f>W171+Y171+AA171+AC171</f>
        <v>0</v>
      </c>
      <c r="T171" s="269">
        <f>ROUND(S171*I171,2)</f>
        <v>0</v>
      </c>
      <c r="U171" s="269">
        <f>H171-S171</f>
        <v>8</v>
      </c>
      <c r="V171" s="269">
        <f>ROUND(U171*I171,2)</f>
        <v>1596.78</v>
      </c>
      <c r="W171" s="269"/>
      <c r="X171" s="269"/>
      <c r="Y171" s="269"/>
      <c r="Z171" s="269"/>
      <c r="AA171" s="269"/>
      <c r="AB171" s="269"/>
      <c r="AC171" s="269"/>
      <c r="AD171" s="269"/>
      <c r="BH171" s="132" t="s">
        <v>1</v>
      </c>
      <c r="BI171" s="133" t="s">
        <v>40</v>
      </c>
      <c r="BK171" s="134">
        <f>BJ171*H171</f>
        <v>0</v>
      </c>
      <c r="BL171" s="134">
        <v>0</v>
      </c>
      <c r="BM171" s="134">
        <f>BL171*H171</f>
        <v>0</v>
      </c>
      <c r="BN171" s="134">
        <v>0</v>
      </c>
      <c r="BO171" s="135">
        <f>BN171*H171</f>
        <v>0</v>
      </c>
      <c r="CM171" s="136" t="s">
        <v>95</v>
      </c>
      <c r="CO171" s="136" t="s">
        <v>284</v>
      </c>
      <c r="CP171" s="136" t="s">
        <v>83</v>
      </c>
      <c r="CT171" s="16" t="s">
        <v>282</v>
      </c>
      <c r="CZ171" s="137">
        <f>IF(BI171="základní",J171,0)</f>
        <v>1596.78</v>
      </c>
      <c r="DA171" s="137">
        <f>IF(BI171="snížená",J171,0)</f>
        <v>0</v>
      </c>
      <c r="DB171" s="137">
        <f>IF(BI171="zákl. přenesená",J171,0)</f>
        <v>0</v>
      </c>
      <c r="DC171" s="137">
        <f>IF(BI171="sníž. přenesená",J171,0)</f>
        <v>0</v>
      </c>
      <c r="DD171" s="137">
        <f>IF(BI171="nulová",J171,0)</f>
        <v>0</v>
      </c>
      <c r="DE171" s="16" t="s">
        <v>81</v>
      </c>
      <c r="DF171" s="137">
        <f>ROUND(I171*H171,2)</f>
        <v>1596.78</v>
      </c>
      <c r="DG171" s="16" t="s">
        <v>95</v>
      </c>
      <c r="DH171" s="136" t="s">
        <v>562</v>
      </c>
    </row>
    <row r="172" spans="2:112" s="1" customFormat="1" x14ac:dyDescent="0.2">
      <c r="B172" s="31"/>
      <c r="D172" s="138" t="s">
        <v>289</v>
      </c>
      <c r="F172" s="139" t="s">
        <v>2910</v>
      </c>
      <c r="I172" s="140"/>
      <c r="L172" s="31"/>
      <c r="N172" s="213"/>
      <c r="O172" s="214"/>
      <c r="Q172" s="229"/>
      <c r="BH172" s="141"/>
      <c r="BO172" s="50"/>
      <c r="CO172" s="16" t="s">
        <v>289</v>
      </c>
      <c r="CP172" s="16" t="s">
        <v>83</v>
      </c>
    </row>
    <row r="173" spans="2:112" s="1" customFormat="1" ht="14.45" customHeight="1" x14ac:dyDescent="0.2">
      <c r="B173" s="124"/>
      <c r="C173" s="125" t="s">
        <v>438</v>
      </c>
      <c r="D173" s="125" t="s">
        <v>284</v>
      </c>
      <c r="E173" s="126" t="s">
        <v>2911</v>
      </c>
      <c r="F173" s="127" t="s">
        <v>2912</v>
      </c>
      <c r="G173" s="128" t="s">
        <v>315</v>
      </c>
      <c r="H173" s="129">
        <v>8</v>
      </c>
      <c r="I173" s="130">
        <v>23.064702295</v>
      </c>
      <c r="J173" s="131">
        <f>ROUND(I173*H173,2)</f>
        <v>184.52</v>
      </c>
      <c r="K173" s="127" t="s">
        <v>1</v>
      </c>
      <c r="L173" s="268">
        <f>S173</f>
        <v>0</v>
      </c>
      <c r="M173" s="272">
        <f>ROUND(L173*I173,2)</f>
        <v>0</v>
      </c>
      <c r="N173" s="243"/>
      <c r="O173" s="294">
        <f>ROUND(N173*I173,2)</f>
        <v>0</v>
      </c>
      <c r="P173" s="273">
        <f>H173-L173-N173</f>
        <v>8</v>
      </c>
      <c r="Q173" s="287">
        <f>ROUND(P173*I173,2)</f>
        <v>184.52</v>
      </c>
      <c r="R173" s="137"/>
      <c r="S173" s="269">
        <f>W173+Y173+AA173+AC173</f>
        <v>0</v>
      </c>
      <c r="T173" s="269">
        <f>ROUND(S173*I173,2)</f>
        <v>0</v>
      </c>
      <c r="U173" s="269">
        <f>H173-S173</f>
        <v>8</v>
      </c>
      <c r="V173" s="269">
        <f>ROUND(U173*I173,2)</f>
        <v>184.52</v>
      </c>
      <c r="W173" s="269"/>
      <c r="X173" s="269"/>
      <c r="Y173" s="269"/>
      <c r="Z173" s="269"/>
      <c r="AA173" s="269"/>
      <c r="AB173" s="269"/>
      <c r="AC173" s="269"/>
      <c r="AD173" s="269"/>
      <c r="BH173" s="132" t="s">
        <v>1</v>
      </c>
      <c r="BI173" s="133" t="s">
        <v>40</v>
      </c>
      <c r="BK173" s="134">
        <f>BJ173*H173</f>
        <v>0</v>
      </c>
      <c r="BL173" s="134">
        <v>0</v>
      </c>
      <c r="BM173" s="134">
        <f>BL173*H173</f>
        <v>0</v>
      </c>
      <c r="BN173" s="134">
        <v>0</v>
      </c>
      <c r="BO173" s="135">
        <f>BN173*H173</f>
        <v>0</v>
      </c>
      <c r="CM173" s="136" t="s">
        <v>95</v>
      </c>
      <c r="CO173" s="136" t="s">
        <v>284</v>
      </c>
      <c r="CP173" s="136" t="s">
        <v>83</v>
      </c>
      <c r="CT173" s="16" t="s">
        <v>282</v>
      </c>
      <c r="CZ173" s="137">
        <f>IF(BI173="základní",J173,0)</f>
        <v>184.52</v>
      </c>
      <c r="DA173" s="137">
        <f>IF(BI173="snížená",J173,0)</f>
        <v>0</v>
      </c>
      <c r="DB173" s="137">
        <f>IF(BI173="zákl. přenesená",J173,0)</f>
        <v>0</v>
      </c>
      <c r="DC173" s="137">
        <f>IF(BI173="sníž. přenesená",J173,0)</f>
        <v>0</v>
      </c>
      <c r="DD173" s="137">
        <f>IF(BI173="nulová",J173,0)</f>
        <v>0</v>
      </c>
      <c r="DE173" s="16" t="s">
        <v>81</v>
      </c>
      <c r="DF173" s="137">
        <f>ROUND(I173*H173,2)</f>
        <v>184.52</v>
      </c>
      <c r="DG173" s="16" t="s">
        <v>95</v>
      </c>
      <c r="DH173" s="136" t="s">
        <v>572</v>
      </c>
    </row>
    <row r="174" spans="2:112" s="1" customFormat="1" x14ac:dyDescent="0.2">
      <c r="B174" s="31"/>
      <c r="D174" s="138" t="s">
        <v>289</v>
      </c>
      <c r="F174" s="139" t="s">
        <v>2912</v>
      </c>
      <c r="I174" s="140"/>
      <c r="L174" s="31"/>
      <c r="N174" s="213"/>
      <c r="O174" s="214"/>
      <c r="Q174" s="229"/>
      <c r="BH174" s="141"/>
      <c r="BO174" s="50"/>
      <c r="CO174" s="16" t="s">
        <v>289</v>
      </c>
      <c r="CP174" s="16" t="s">
        <v>83</v>
      </c>
    </row>
    <row r="175" spans="2:112" s="1" customFormat="1" ht="14.45" customHeight="1" x14ac:dyDescent="0.2">
      <c r="B175" s="124"/>
      <c r="C175" s="125" t="s">
        <v>445</v>
      </c>
      <c r="D175" s="125" t="s">
        <v>284</v>
      </c>
      <c r="E175" s="126" t="s">
        <v>2913</v>
      </c>
      <c r="F175" s="127" t="s">
        <v>2914</v>
      </c>
      <c r="G175" s="128" t="s">
        <v>315</v>
      </c>
      <c r="H175" s="129">
        <v>1</v>
      </c>
      <c r="I175" s="130">
        <v>431.06839291299997</v>
      </c>
      <c r="J175" s="131">
        <f>ROUND(I175*H175,2)</f>
        <v>431.07</v>
      </c>
      <c r="K175" s="127" t="s">
        <v>1</v>
      </c>
      <c r="L175" s="268">
        <f>S175</f>
        <v>0</v>
      </c>
      <c r="M175" s="272">
        <f>ROUND(L175*I175,2)</f>
        <v>0</v>
      </c>
      <c r="N175" s="243"/>
      <c r="O175" s="294">
        <f>ROUND(N175*I175,2)</f>
        <v>0</v>
      </c>
      <c r="P175" s="273">
        <f>H175-L175-N175</f>
        <v>1</v>
      </c>
      <c r="Q175" s="287">
        <f>ROUND(P175*I175,2)</f>
        <v>431.07</v>
      </c>
      <c r="R175" s="137"/>
      <c r="S175" s="269">
        <f>W175+Y175+AA175+AC175</f>
        <v>0</v>
      </c>
      <c r="T175" s="269">
        <f>ROUND(S175*I175,2)</f>
        <v>0</v>
      </c>
      <c r="U175" s="269">
        <f>H175-S175</f>
        <v>1</v>
      </c>
      <c r="V175" s="269">
        <f>ROUND(U175*I175,2)</f>
        <v>431.07</v>
      </c>
      <c r="W175" s="269"/>
      <c r="X175" s="269"/>
      <c r="Y175" s="269"/>
      <c r="Z175" s="269"/>
      <c r="AA175" s="269"/>
      <c r="AB175" s="269"/>
      <c r="AC175" s="269"/>
      <c r="AD175" s="269"/>
      <c r="BH175" s="132" t="s">
        <v>1</v>
      </c>
      <c r="BI175" s="133" t="s">
        <v>40</v>
      </c>
      <c r="BK175" s="134">
        <f>BJ175*H175</f>
        <v>0</v>
      </c>
      <c r="BL175" s="134">
        <v>0</v>
      </c>
      <c r="BM175" s="134">
        <f>BL175*H175</f>
        <v>0</v>
      </c>
      <c r="BN175" s="134">
        <v>0</v>
      </c>
      <c r="BO175" s="135">
        <f>BN175*H175</f>
        <v>0</v>
      </c>
      <c r="CM175" s="136" t="s">
        <v>95</v>
      </c>
      <c r="CO175" s="136" t="s">
        <v>284</v>
      </c>
      <c r="CP175" s="136" t="s">
        <v>83</v>
      </c>
      <c r="CT175" s="16" t="s">
        <v>282</v>
      </c>
      <c r="CZ175" s="137">
        <f>IF(BI175="základní",J175,0)</f>
        <v>431.07</v>
      </c>
      <c r="DA175" s="137">
        <f>IF(BI175="snížená",J175,0)</f>
        <v>0</v>
      </c>
      <c r="DB175" s="137">
        <f>IF(BI175="zákl. přenesená",J175,0)</f>
        <v>0</v>
      </c>
      <c r="DC175" s="137">
        <f>IF(BI175="sníž. přenesená",J175,0)</f>
        <v>0</v>
      </c>
      <c r="DD175" s="137">
        <f>IF(BI175="nulová",J175,0)</f>
        <v>0</v>
      </c>
      <c r="DE175" s="16" t="s">
        <v>81</v>
      </c>
      <c r="DF175" s="137">
        <f>ROUND(I175*H175,2)</f>
        <v>431.07</v>
      </c>
      <c r="DG175" s="16" t="s">
        <v>95</v>
      </c>
      <c r="DH175" s="136" t="s">
        <v>581</v>
      </c>
    </row>
    <row r="176" spans="2:112" s="1" customFormat="1" x14ac:dyDescent="0.2">
      <c r="B176" s="31"/>
      <c r="D176" s="138" t="s">
        <v>289</v>
      </c>
      <c r="F176" s="139" t="s">
        <v>2914</v>
      </c>
      <c r="I176" s="140"/>
      <c r="L176" s="31"/>
      <c r="N176" s="213"/>
      <c r="O176" s="214"/>
      <c r="Q176" s="229"/>
      <c r="BH176" s="141"/>
      <c r="BO176" s="50"/>
      <c r="CO176" s="16" t="s">
        <v>289</v>
      </c>
      <c r="CP176" s="16" t="s">
        <v>83</v>
      </c>
    </row>
    <row r="177" spans="2:112" s="1" customFormat="1" ht="14.45" customHeight="1" x14ac:dyDescent="0.2">
      <c r="B177" s="124"/>
      <c r="C177" s="125" t="s">
        <v>451</v>
      </c>
      <c r="D177" s="125" t="s">
        <v>284</v>
      </c>
      <c r="E177" s="126" t="s">
        <v>2915</v>
      </c>
      <c r="F177" s="127" t="s">
        <v>2916</v>
      </c>
      <c r="G177" s="128" t="s">
        <v>315</v>
      </c>
      <c r="H177" s="129">
        <v>2</v>
      </c>
      <c r="I177" s="130">
        <v>734.74574633300006</v>
      </c>
      <c r="J177" s="131">
        <f>ROUND(I177*H177,2)</f>
        <v>1469.49</v>
      </c>
      <c r="K177" s="127" t="s">
        <v>1</v>
      </c>
      <c r="L177" s="268">
        <f>S177</f>
        <v>0</v>
      </c>
      <c r="M177" s="272">
        <f>ROUND(L177*I177,2)</f>
        <v>0</v>
      </c>
      <c r="N177" s="243"/>
      <c r="O177" s="294">
        <f>ROUND(N177*I177,2)</f>
        <v>0</v>
      </c>
      <c r="P177" s="273">
        <f>H177-L177-N177</f>
        <v>2</v>
      </c>
      <c r="Q177" s="287">
        <f>ROUND(P177*I177,2)</f>
        <v>1469.49</v>
      </c>
      <c r="R177" s="137"/>
      <c r="S177" s="269">
        <f>W177+Y177+AA177+AC177</f>
        <v>0</v>
      </c>
      <c r="T177" s="269">
        <f>ROUND(S177*I177,2)</f>
        <v>0</v>
      </c>
      <c r="U177" s="269">
        <f>H177-S177</f>
        <v>2</v>
      </c>
      <c r="V177" s="269">
        <f>ROUND(U177*I177,2)</f>
        <v>1469.49</v>
      </c>
      <c r="W177" s="269"/>
      <c r="X177" s="269"/>
      <c r="Y177" s="269"/>
      <c r="Z177" s="269"/>
      <c r="AA177" s="269"/>
      <c r="AB177" s="269"/>
      <c r="AC177" s="269"/>
      <c r="AD177" s="269"/>
      <c r="BH177" s="132" t="s">
        <v>1</v>
      </c>
      <c r="BI177" s="133" t="s">
        <v>40</v>
      </c>
      <c r="BK177" s="134">
        <f>BJ177*H177</f>
        <v>0</v>
      </c>
      <c r="BL177" s="134">
        <v>0</v>
      </c>
      <c r="BM177" s="134">
        <f>BL177*H177</f>
        <v>0</v>
      </c>
      <c r="BN177" s="134">
        <v>0</v>
      </c>
      <c r="BO177" s="135">
        <f>BN177*H177</f>
        <v>0</v>
      </c>
      <c r="CM177" s="136" t="s">
        <v>95</v>
      </c>
      <c r="CO177" s="136" t="s">
        <v>284</v>
      </c>
      <c r="CP177" s="136" t="s">
        <v>83</v>
      </c>
      <c r="CT177" s="16" t="s">
        <v>282</v>
      </c>
      <c r="CZ177" s="137">
        <f>IF(BI177="základní",J177,0)</f>
        <v>1469.49</v>
      </c>
      <c r="DA177" s="137">
        <f>IF(BI177="snížená",J177,0)</f>
        <v>0</v>
      </c>
      <c r="DB177" s="137">
        <f>IF(BI177="zákl. přenesená",J177,0)</f>
        <v>0</v>
      </c>
      <c r="DC177" s="137">
        <f>IF(BI177="sníž. přenesená",J177,0)</f>
        <v>0</v>
      </c>
      <c r="DD177" s="137">
        <f>IF(BI177="nulová",J177,0)</f>
        <v>0</v>
      </c>
      <c r="DE177" s="16" t="s">
        <v>81</v>
      </c>
      <c r="DF177" s="137">
        <f>ROUND(I177*H177,2)</f>
        <v>1469.49</v>
      </c>
      <c r="DG177" s="16" t="s">
        <v>95</v>
      </c>
      <c r="DH177" s="136" t="s">
        <v>594</v>
      </c>
    </row>
    <row r="178" spans="2:112" s="1" customFormat="1" x14ac:dyDescent="0.2">
      <c r="B178" s="31"/>
      <c r="D178" s="138" t="s">
        <v>289</v>
      </c>
      <c r="F178" s="139" t="s">
        <v>2916</v>
      </c>
      <c r="I178" s="140"/>
      <c r="L178" s="31"/>
      <c r="N178" s="213"/>
      <c r="O178" s="214"/>
      <c r="Q178" s="229"/>
      <c r="BH178" s="141"/>
      <c r="BO178" s="50"/>
      <c r="CO178" s="16" t="s">
        <v>289</v>
      </c>
      <c r="CP178" s="16" t="s">
        <v>83</v>
      </c>
    </row>
    <row r="179" spans="2:112" s="1" customFormat="1" ht="14.45" customHeight="1" x14ac:dyDescent="0.2">
      <c r="B179" s="124"/>
      <c r="C179" s="125" t="s">
        <v>456</v>
      </c>
      <c r="D179" s="125" t="s">
        <v>284</v>
      </c>
      <c r="E179" s="126" t="s">
        <v>2917</v>
      </c>
      <c r="F179" s="127" t="s">
        <v>2918</v>
      </c>
      <c r="G179" s="128" t="s">
        <v>315</v>
      </c>
      <c r="H179" s="129">
        <v>2</v>
      </c>
      <c r="I179" s="130">
        <v>603.19642991699993</v>
      </c>
      <c r="J179" s="131">
        <f>ROUND(I179*H179,2)</f>
        <v>1206.3900000000001</v>
      </c>
      <c r="K179" s="127" t="s">
        <v>1</v>
      </c>
      <c r="L179" s="268">
        <f>S179</f>
        <v>0</v>
      </c>
      <c r="M179" s="272">
        <f>ROUND(L179*I179,2)</f>
        <v>0</v>
      </c>
      <c r="N179" s="243"/>
      <c r="O179" s="294">
        <f>ROUND(N179*I179,2)</f>
        <v>0</v>
      </c>
      <c r="P179" s="273">
        <f>H179-L179-N179</f>
        <v>2</v>
      </c>
      <c r="Q179" s="287">
        <f>ROUND(P179*I179,2)</f>
        <v>1206.3900000000001</v>
      </c>
      <c r="R179" s="137"/>
      <c r="S179" s="269">
        <f>W179+Y179+AA179+AC179</f>
        <v>0</v>
      </c>
      <c r="T179" s="269">
        <f>ROUND(S179*I179,2)</f>
        <v>0</v>
      </c>
      <c r="U179" s="269">
        <f>H179-S179</f>
        <v>2</v>
      </c>
      <c r="V179" s="269">
        <f>ROUND(U179*I179,2)</f>
        <v>1206.3900000000001</v>
      </c>
      <c r="W179" s="269"/>
      <c r="X179" s="269"/>
      <c r="Y179" s="269"/>
      <c r="Z179" s="269"/>
      <c r="AA179" s="269"/>
      <c r="AB179" s="269"/>
      <c r="AC179" s="269"/>
      <c r="AD179" s="269"/>
      <c r="BH179" s="132" t="s">
        <v>1</v>
      </c>
      <c r="BI179" s="133" t="s">
        <v>40</v>
      </c>
      <c r="BK179" s="134">
        <f>BJ179*H179</f>
        <v>0</v>
      </c>
      <c r="BL179" s="134">
        <v>0</v>
      </c>
      <c r="BM179" s="134">
        <f>BL179*H179</f>
        <v>0</v>
      </c>
      <c r="BN179" s="134">
        <v>0</v>
      </c>
      <c r="BO179" s="135">
        <f>BN179*H179</f>
        <v>0</v>
      </c>
      <c r="CM179" s="136" t="s">
        <v>95</v>
      </c>
      <c r="CO179" s="136" t="s">
        <v>284</v>
      </c>
      <c r="CP179" s="136" t="s">
        <v>83</v>
      </c>
      <c r="CT179" s="16" t="s">
        <v>282</v>
      </c>
      <c r="CZ179" s="137">
        <f>IF(BI179="základní",J179,0)</f>
        <v>1206.3900000000001</v>
      </c>
      <c r="DA179" s="137">
        <f>IF(BI179="snížená",J179,0)</f>
        <v>0</v>
      </c>
      <c r="DB179" s="137">
        <f>IF(BI179="zákl. přenesená",J179,0)</f>
        <v>0</v>
      </c>
      <c r="DC179" s="137">
        <f>IF(BI179="sníž. přenesená",J179,0)</f>
        <v>0</v>
      </c>
      <c r="DD179" s="137">
        <f>IF(BI179="nulová",J179,0)</f>
        <v>0</v>
      </c>
      <c r="DE179" s="16" t="s">
        <v>81</v>
      </c>
      <c r="DF179" s="137">
        <f>ROUND(I179*H179,2)</f>
        <v>1206.3900000000001</v>
      </c>
      <c r="DG179" s="16" t="s">
        <v>95</v>
      </c>
      <c r="DH179" s="136" t="s">
        <v>604</v>
      </c>
    </row>
    <row r="180" spans="2:112" s="1" customFormat="1" x14ac:dyDescent="0.2">
      <c r="B180" s="31"/>
      <c r="D180" s="138" t="s">
        <v>289</v>
      </c>
      <c r="F180" s="139" t="s">
        <v>2918</v>
      </c>
      <c r="I180" s="140"/>
      <c r="L180" s="31"/>
      <c r="N180" s="213"/>
      <c r="O180" s="214"/>
      <c r="Q180" s="229"/>
      <c r="BH180" s="141"/>
      <c r="BO180" s="50"/>
      <c r="CO180" s="16" t="s">
        <v>289</v>
      </c>
      <c r="CP180" s="16" t="s">
        <v>83</v>
      </c>
    </row>
    <row r="181" spans="2:112" s="1" customFormat="1" ht="14.45" customHeight="1" x14ac:dyDescent="0.2">
      <c r="B181" s="124"/>
      <c r="C181" s="125" t="s">
        <v>463</v>
      </c>
      <c r="D181" s="125" t="s">
        <v>284</v>
      </c>
      <c r="E181" s="126" t="s">
        <v>2919</v>
      </c>
      <c r="F181" s="127" t="s">
        <v>2920</v>
      </c>
      <c r="G181" s="128" t="s">
        <v>315</v>
      </c>
      <c r="H181" s="129">
        <v>1</v>
      </c>
      <c r="I181" s="130">
        <v>603.19642991699993</v>
      </c>
      <c r="J181" s="131">
        <f>ROUND(I181*H181,2)</f>
        <v>603.20000000000005</v>
      </c>
      <c r="K181" s="127" t="s">
        <v>1</v>
      </c>
      <c r="L181" s="268">
        <f>S181</f>
        <v>0</v>
      </c>
      <c r="M181" s="272">
        <f>ROUND(L181*I181,2)</f>
        <v>0</v>
      </c>
      <c r="N181" s="243"/>
      <c r="O181" s="294">
        <f>ROUND(N181*I181,2)</f>
        <v>0</v>
      </c>
      <c r="P181" s="273">
        <f>H181-L181-N181</f>
        <v>1</v>
      </c>
      <c r="Q181" s="287">
        <f>ROUND(P181*I181,2)</f>
        <v>603.20000000000005</v>
      </c>
      <c r="R181" s="137"/>
      <c r="S181" s="269">
        <f>W181+Y181+AA181+AC181</f>
        <v>0</v>
      </c>
      <c r="T181" s="269">
        <f>ROUND(S181*I181,2)</f>
        <v>0</v>
      </c>
      <c r="U181" s="269">
        <f>H181-S181</f>
        <v>1</v>
      </c>
      <c r="V181" s="269">
        <f>ROUND(U181*I181,2)</f>
        <v>603.20000000000005</v>
      </c>
      <c r="W181" s="269"/>
      <c r="X181" s="269"/>
      <c r="Y181" s="269"/>
      <c r="Z181" s="269"/>
      <c r="AA181" s="269"/>
      <c r="AB181" s="269"/>
      <c r="AC181" s="269"/>
      <c r="AD181" s="269"/>
      <c r="BH181" s="132" t="s">
        <v>1</v>
      </c>
      <c r="BI181" s="133" t="s">
        <v>40</v>
      </c>
      <c r="BK181" s="134">
        <f>BJ181*H181</f>
        <v>0</v>
      </c>
      <c r="BL181" s="134">
        <v>0</v>
      </c>
      <c r="BM181" s="134">
        <f>BL181*H181</f>
        <v>0</v>
      </c>
      <c r="BN181" s="134">
        <v>0</v>
      </c>
      <c r="BO181" s="135">
        <f>BN181*H181</f>
        <v>0</v>
      </c>
      <c r="CM181" s="136" t="s">
        <v>95</v>
      </c>
      <c r="CO181" s="136" t="s">
        <v>284</v>
      </c>
      <c r="CP181" s="136" t="s">
        <v>83</v>
      </c>
      <c r="CT181" s="16" t="s">
        <v>282</v>
      </c>
      <c r="CZ181" s="137">
        <f>IF(BI181="základní",J181,0)</f>
        <v>603.20000000000005</v>
      </c>
      <c r="DA181" s="137">
        <f>IF(BI181="snížená",J181,0)</f>
        <v>0</v>
      </c>
      <c r="DB181" s="137">
        <f>IF(BI181="zákl. přenesená",J181,0)</f>
        <v>0</v>
      </c>
      <c r="DC181" s="137">
        <f>IF(BI181="sníž. přenesená",J181,0)</f>
        <v>0</v>
      </c>
      <c r="DD181" s="137">
        <f>IF(BI181="nulová",J181,0)</f>
        <v>0</v>
      </c>
      <c r="DE181" s="16" t="s">
        <v>81</v>
      </c>
      <c r="DF181" s="137">
        <f>ROUND(I181*H181,2)</f>
        <v>603.20000000000005</v>
      </c>
      <c r="DG181" s="16" t="s">
        <v>95</v>
      </c>
      <c r="DH181" s="136" t="s">
        <v>614</v>
      </c>
    </row>
    <row r="182" spans="2:112" s="1" customFormat="1" x14ac:dyDescent="0.2">
      <c r="B182" s="31"/>
      <c r="D182" s="138" t="s">
        <v>289</v>
      </c>
      <c r="F182" s="139" t="s">
        <v>2920</v>
      </c>
      <c r="I182" s="140"/>
      <c r="L182" s="31"/>
      <c r="N182" s="213"/>
      <c r="O182" s="214"/>
      <c r="Q182" s="229"/>
      <c r="BH182" s="141"/>
      <c r="BO182" s="50"/>
      <c r="CO182" s="16" t="s">
        <v>289</v>
      </c>
      <c r="CP182" s="16" t="s">
        <v>83</v>
      </c>
    </row>
    <row r="183" spans="2:112" s="1" customFormat="1" ht="14.45" customHeight="1" x14ac:dyDescent="0.2">
      <c r="B183" s="124"/>
      <c r="C183" s="125" t="s">
        <v>470</v>
      </c>
      <c r="D183" s="125" t="s">
        <v>284</v>
      </c>
      <c r="E183" s="126" t="s">
        <v>2921</v>
      </c>
      <c r="F183" s="127" t="s">
        <v>2922</v>
      </c>
      <c r="G183" s="128" t="s">
        <v>315</v>
      </c>
      <c r="H183" s="129">
        <v>2</v>
      </c>
      <c r="I183" s="130">
        <v>603.19642991699993</v>
      </c>
      <c r="J183" s="131">
        <f>ROUND(I183*H183,2)</f>
        <v>1206.3900000000001</v>
      </c>
      <c r="K183" s="127" t="s">
        <v>1</v>
      </c>
      <c r="L183" s="268">
        <f>S183</f>
        <v>0</v>
      </c>
      <c r="M183" s="272">
        <f>ROUND(L183*I183,2)</f>
        <v>0</v>
      </c>
      <c r="N183" s="243"/>
      <c r="O183" s="294">
        <f>ROUND(N183*I183,2)</f>
        <v>0</v>
      </c>
      <c r="P183" s="273">
        <f>H183-L183-N183</f>
        <v>2</v>
      </c>
      <c r="Q183" s="287">
        <f>ROUND(P183*I183,2)</f>
        <v>1206.3900000000001</v>
      </c>
      <c r="R183" s="137"/>
      <c r="S183" s="269">
        <f>W183+Y183+AA183+AC183</f>
        <v>0</v>
      </c>
      <c r="T183" s="269">
        <f>ROUND(S183*I183,2)</f>
        <v>0</v>
      </c>
      <c r="U183" s="269">
        <f>H183-S183</f>
        <v>2</v>
      </c>
      <c r="V183" s="269">
        <f>ROUND(U183*I183,2)</f>
        <v>1206.3900000000001</v>
      </c>
      <c r="W183" s="269"/>
      <c r="X183" s="269"/>
      <c r="Y183" s="269"/>
      <c r="Z183" s="269"/>
      <c r="AA183" s="269"/>
      <c r="AB183" s="269"/>
      <c r="AC183" s="269"/>
      <c r="AD183" s="269"/>
      <c r="BH183" s="132" t="s">
        <v>1</v>
      </c>
      <c r="BI183" s="133" t="s">
        <v>40</v>
      </c>
      <c r="BK183" s="134">
        <f>BJ183*H183</f>
        <v>0</v>
      </c>
      <c r="BL183" s="134">
        <v>0</v>
      </c>
      <c r="BM183" s="134">
        <f>BL183*H183</f>
        <v>0</v>
      </c>
      <c r="BN183" s="134">
        <v>0</v>
      </c>
      <c r="BO183" s="135">
        <f>BN183*H183</f>
        <v>0</v>
      </c>
      <c r="CM183" s="136" t="s">
        <v>95</v>
      </c>
      <c r="CO183" s="136" t="s">
        <v>284</v>
      </c>
      <c r="CP183" s="136" t="s">
        <v>83</v>
      </c>
      <c r="CT183" s="16" t="s">
        <v>282</v>
      </c>
      <c r="CZ183" s="137">
        <f>IF(BI183="základní",J183,0)</f>
        <v>1206.3900000000001</v>
      </c>
      <c r="DA183" s="137">
        <f>IF(BI183="snížená",J183,0)</f>
        <v>0</v>
      </c>
      <c r="DB183" s="137">
        <f>IF(BI183="zákl. přenesená",J183,0)</f>
        <v>0</v>
      </c>
      <c r="DC183" s="137">
        <f>IF(BI183="sníž. přenesená",J183,0)</f>
        <v>0</v>
      </c>
      <c r="DD183" s="137">
        <f>IF(BI183="nulová",J183,0)</f>
        <v>0</v>
      </c>
      <c r="DE183" s="16" t="s">
        <v>81</v>
      </c>
      <c r="DF183" s="137">
        <f>ROUND(I183*H183,2)</f>
        <v>1206.3900000000001</v>
      </c>
      <c r="DG183" s="16" t="s">
        <v>95</v>
      </c>
      <c r="DH183" s="136" t="s">
        <v>622</v>
      </c>
    </row>
    <row r="184" spans="2:112" s="1" customFormat="1" x14ac:dyDescent="0.2">
      <c r="B184" s="31"/>
      <c r="D184" s="138" t="s">
        <v>289</v>
      </c>
      <c r="F184" s="139" t="s">
        <v>2922</v>
      </c>
      <c r="I184" s="140"/>
      <c r="L184" s="31"/>
      <c r="N184" s="213"/>
      <c r="O184" s="214"/>
      <c r="Q184" s="229"/>
      <c r="BH184" s="141"/>
      <c r="BO184" s="50"/>
      <c r="CO184" s="16" t="s">
        <v>289</v>
      </c>
      <c r="CP184" s="16" t="s">
        <v>83</v>
      </c>
    </row>
    <row r="185" spans="2:112" s="1" customFormat="1" ht="14.45" customHeight="1" x14ac:dyDescent="0.2">
      <c r="B185" s="124"/>
      <c r="C185" s="125" t="s">
        <v>476</v>
      </c>
      <c r="D185" s="125" t="s">
        <v>284</v>
      </c>
      <c r="E185" s="126" t="s">
        <v>2923</v>
      </c>
      <c r="F185" s="127" t="s">
        <v>2924</v>
      </c>
      <c r="G185" s="128" t="s">
        <v>315</v>
      </c>
      <c r="H185" s="129">
        <v>6</v>
      </c>
      <c r="I185" s="130">
        <v>342.57950221900001</v>
      </c>
      <c r="J185" s="131">
        <f>ROUND(I185*H185,2)</f>
        <v>2055.48</v>
      </c>
      <c r="K185" s="127" t="s">
        <v>1</v>
      </c>
      <c r="L185" s="268">
        <f>S185</f>
        <v>0</v>
      </c>
      <c r="M185" s="272">
        <f>ROUND(L185*I185,2)</f>
        <v>0</v>
      </c>
      <c r="N185" s="243"/>
      <c r="O185" s="294">
        <f>ROUND(N185*I185,2)</f>
        <v>0</v>
      </c>
      <c r="P185" s="273">
        <f>H185-L185-N185</f>
        <v>6</v>
      </c>
      <c r="Q185" s="287">
        <f>ROUND(P185*I185,2)</f>
        <v>2055.48</v>
      </c>
      <c r="R185" s="137"/>
      <c r="S185" s="269">
        <f>W185+Y185+AA185+AC185</f>
        <v>0</v>
      </c>
      <c r="T185" s="269">
        <f>ROUND(S185*I185,2)</f>
        <v>0</v>
      </c>
      <c r="U185" s="269">
        <f>H185-S185</f>
        <v>6</v>
      </c>
      <c r="V185" s="269">
        <f>ROUND(U185*I185,2)</f>
        <v>2055.48</v>
      </c>
      <c r="W185" s="269"/>
      <c r="X185" s="269"/>
      <c r="Y185" s="269"/>
      <c r="Z185" s="269"/>
      <c r="AA185" s="269"/>
      <c r="AB185" s="269"/>
      <c r="AC185" s="269"/>
      <c r="AD185" s="269"/>
      <c r="BH185" s="132" t="s">
        <v>1</v>
      </c>
      <c r="BI185" s="133" t="s">
        <v>40</v>
      </c>
      <c r="BK185" s="134">
        <f>BJ185*H185</f>
        <v>0</v>
      </c>
      <c r="BL185" s="134">
        <v>0</v>
      </c>
      <c r="BM185" s="134">
        <f>BL185*H185</f>
        <v>0</v>
      </c>
      <c r="BN185" s="134">
        <v>0</v>
      </c>
      <c r="BO185" s="135">
        <f>BN185*H185</f>
        <v>0</v>
      </c>
      <c r="CM185" s="136" t="s">
        <v>95</v>
      </c>
      <c r="CO185" s="136" t="s">
        <v>284</v>
      </c>
      <c r="CP185" s="136" t="s">
        <v>83</v>
      </c>
      <c r="CT185" s="16" t="s">
        <v>282</v>
      </c>
      <c r="CZ185" s="137">
        <f>IF(BI185="základní",J185,0)</f>
        <v>2055.48</v>
      </c>
      <c r="DA185" s="137">
        <f>IF(BI185="snížená",J185,0)</f>
        <v>0</v>
      </c>
      <c r="DB185" s="137">
        <f>IF(BI185="zákl. přenesená",J185,0)</f>
        <v>0</v>
      </c>
      <c r="DC185" s="137">
        <f>IF(BI185="sníž. přenesená",J185,0)</f>
        <v>0</v>
      </c>
      <c r="DD185" s="137">
        <f>IF(BI185="nulová",J185,0)</f>
        <v>0</v>
      </c>
      <c r="DE185" s="16" t="s">
        <v>81</v>
      </c>
      <c r="DF185" s="137">
        <f>ROUND(I185*H185,2)</f>
        <v>2055.48</v>
      </c>
      <c r="DG185" s="16" t="s">
        <v>95</v>
      </c>
      <c r="DH185" s="136" t="s">
        <v>631</v>
      </c>
    </row>
    <row r="186" spans="2:112" s="1" customFormat="1" x14ac:dyDescent="0.2">
      <c r="B186" s="31"/>
      <c r="D186" s="138" t="s">
        <v>289</v>
      </c>
      <c r="F186" s="139" t="s">
        <v>2924</v>
      </c>
      <c r="I186" s="140"/>
      <c r="L186" s="31"/>
      <c r="N186" s="213"/>
      <c r="O186" s="214"/>
      <c r="Q186" s="229"/>
      <c r="BH186" s="141"/>
      <c r="BO186" s="50"/>
      <c r="CO186" s="16" t="s">
        <v>289</v>
      </c>
      <c r="CP186" s="16" t="s">
        <v>83</v>
      </c>
    </row>
    <row r="187" spans="2:112" s="1" customFormat="1" ht="24.2" customHeight="1" x14ac:dyDescent="0.2">
      <c r="B187" s="124"/>
      <c r="C187" s="125" t="s">
        <v>482</v>
      </c>
      <c r="D187" s="125" t="s">
        <v>284</v>
      </c>
      <c r="E187" s="126" t="s">
        <v>2925</v>
      </c>
      <c r="F187" s="127" t="s">
        <v>2926</v>
      </c>
      <c r="G187" s="128" t="s">
        <v>315</v>
      </c>
      <c r="H187" s="129">
        <v>2</v>
      </c>
      <c r="I187" s="130">
        <v>1591.331848157</v>
      </c>
      <c r="J187" s="131">
        <f>ROUND(I187*H187,2)</f>
        <v>3182.66</v>
      </c>
      <c r="K187" s="127" t="s">
        <v>1</v>
      </c>
      <c r="L187" s="268">
        <f>S187</f>
        <v>0</v>
      </c>
      <c r="M187" s="272">
        <f>ROUND(L187*I187,2)</f>
        <v>0</v>
      </c>
      <c r="N187" s="243"/>
      <c r="O187" s="294">
        <f>ROUND(N187*I187,2)</f>
        <v>0</v>
      </c>
      <c r="P187" s="273">
        <f>H187-L187-N187</f>
        <v>2</v>
      </c>
      <c r="Q187" s="287">
        <f>ROUND(P187*I187,2)</f>
        <v>3182.66</v>
      </c>
      <c r="R187" s="137"/>
      <c r="S187" s="269">
        <f>W187+Y187+AA187+AC187</f>
        <v>0</v>
      </c>
      <c r="T187" s="269">
        <f>ROUND(S187*I187,2)</f>
        <v>0</v>
      </c>
      <c r="U187" s="269">
        <f>H187-S187</f>
        <v>2</v>
      </c>
      <c r="V187" s="269">
        <f>ROUND(U187*I187,2)</f>
        <v>3182.66</v>
      </c>
      <c r="W187" s="269"/>
      <c r="X187" s="269"/>
      <c r="Y187" s="269"/>
      <c r="Z187" s="269"/>
      <c r="AA187" s="269"/>
      <c r="AB187" s="269"/>
      <c r="AC187" s="269"/>
      <c r="AD187" s="269"/>
      <c r="BH187" s="132" t="s">
        <v>1</v>
      </c>
      <c r="BI187" s="133" t="s">
        <v>40</v>
      </c>
      <c r="BK187" s="134">
        <f>BJ187*H187</f>
        <v>0</v>
      </c>
      <c r="BL187" s="134">
        <v>0</v>
      </c>
      <c r="BM187" s="134">
        <f>BL187*H187</f>
        <v>0</v>
      </c>
      <c r="BN187" s="134">
        <v>0</v>
      </c>
      <c r="BO187" s="135">
        <f>BN187*H187</f>
        <v>0</v>
      </c>
      <c r="CM187" s="136" t="s">
        <v>95</v>
      </c>
      <c r="CO187" s="136" t="s">
        <v>284</v>
      </c>
      <c r="CP187" s="136" t="s">
        <v>83</v>
      </c>
      <c r="CT187" s="16" t="s">
        <v>282</v>
      </c>
      <c r="CZ187" s="137">
        <f>IF(BI187="základní",J187,0)</f>
        <v>3182.66</v>
      </c>
      <c r="DA187" s="137">
        <f>IF(BI187="snížená",J187,0)</f>
        <v>0</v>
      </c>
      <c r="DB187" s="137">
        <f>IF(BI187="zákl. přenesená",J187,0)</f>
        <v>0</v>
      </c>
      <c r="DC187" s="137">
        <f>IF(BI187="sníž. přenesená",J187,0)</f>
        <v>0</v>
      </c>
      <c r="DD187" s="137">
        <f>IF(BI187="nulová",J187,0)</f>
        <v>0</v>
      </c>
      <c r="DE187" s="16" t="s">
        <v>81</v>
      </c>
      <c r="DF187" s="137">
        <f>ROUND(I187*H187,2)</f>
        <v>3182.66</v>
      </c>
      <c r="DG187" s="16" t="s">
        <v>95</v>
      </c>
      <c r="DH187" s="136" t="s">
        <v>639</v>
      </c>
    </row>
    <row r="188" spans="2:112" s="1" customFormat="1" x14ac:dyDescent="0.2">
      <c r="B188" s="31"/>
      <c r="D188" s="138" t="s">
        <v>289</v>
      </c>
      <c r="F188" s="139" t="s">
        <v>2926</v>
      </c>
      <c r="I188" s="140"/>
      <c r="L188" s="31"/>
      <c r="N188" s="213"/>
      <c r="O188" s="214"/>
      <c r="Q188" s="229"/>
      <c r="BH188" s="141"/>
      <c r="BO188" s="50"/>
      <c r="CO188" s="16" t="s">
        <v>289</v>
      </c>
      <c r="CP188" s="16" t="s">
        <v>83</v>
      </c>
    </row>
    <row r="189" spans="2:112" s="1" customFormat="1" ht="14.45" customHeight="1" x14ac:dyDescent="0.2">
      <c r="B189" s="124"/>
      <c r="C189" s="125" t="s">
        <v>489</v>
      </c>
      <c r="D189" s="125" t="s">
        <v>284</v>
      </c>
      <c r="E189" s="126" t="s">
        <v>2927</v>
      </c>
      <c r="F189" s="127" t="s">
        <v>2928</v>
      </c>
      <c r="G189" s="128" t="s">
        <v>315</v>
      </c>
      <c r="H189" s="129">
        <v>1</v>
      </c>
      <c r="I189" s="130">
        <v>799.72474335300001</v>
      </c>
      <c r="J189" s="131">
        <f>ROUND(I189*H189,2)</f>
        <v>799.72</v>
      </c>
      <c r="K189" s="127" t="s">
        <v>1</v>
      </c>
      <c r="L189" s="268">
        <f>S189</f>
        <v>0</v>
      </c>
      <c r="M189" s="272">
        <f>ROUND(L189*I189,2)</f>
        <v>0</v>
      </c>
      <c r="N189" s="243"/>
      <c r="O189" s="294">
        <f>ROUND(N189*I189,2)</f>
        <v>0</v>
      </c>
      <c r="P189" s="273">
        <f>H189-L189-N189</f>
        <v>1</v>
      </c>
      <c r="Q189" s="287">
        <f>ROUND(P189*I189,2)</f>
        <v>799.72</v>
      </c>
      <c r="R189" s="137"/>
      <c r="S189" s="269">
        <f>W189+Y189+AA189+AC189</f>
        <v>0</v>
      </c>
      <c r="T189" s="269">
        <f>ROUND(S189*I189,2)</f>
        <v>0</v>
      </c>
      <c r="U189" s="269">
        <f>H189-S189</f>
        <v>1</v>
      </c>
      <c r="V189" s="269">
        <f>ROUND(U189*I189,2)</f>
        <v>799.72</v>
      </c>
      <c r="W189" s="269"/>
      <c r="X189" s="269"/>
      <c r="Y189" s="269"/>
      <c r="Z189" s="269"/>
      <c r="AA189" s="269"/>
      <c r="AB189" s="269"/>
      <c r="AC189" s="269"/>
      <c r="AD189" s="269"/>
      <c r="BH189" s="132" t="s">
        <v>1</v>
      </c>
      <c r="BI189" s="133" t="s">
        <v>40</v>
      </c>
      <c r="BK189" s="134">
        <f>BJ189*H189</f>
        <v>0</v>
      </c>
      <c r="BL189" s="134">
        <v>0</v>
      </c>
      <c r="BM189" s="134">
        <f>BL189*H189</f>
        <v>0</v>
      </c>
      <c r="BN189" s="134">
        <v>0</v>
      </c>
      <c r="BO189" s="135">
        <f>BN189*H189</f>
        <v>0</v>
      </c>
      <c r="CM189" s="136" t="s">
        <v>95</v>
      </c>
      <c r="CO189" s="136" t="s">
        <v>284</v>
      </c>
      <c r="CP189" s="136" t="s">
        <v>83</v>
      </c>
      <c r="CT189" s="16" t="s">
        <v>282</v>
      </c>
      <c r="CZ189" s="137">
        <f>IF(BI189="základní",J189,0)</f>
        <v>799.72</v>
      </c>
      <c r="DA189" s="137">
        <f>IF(BI189="snížená",J189,0)</f>
        <v>0</v>
      </c>
      <c r="DB189" s="137">
        <f>IF(BI189="zákl. přenesená",J189,0)</f>
        <v>0</v>
      </c>
      <c r="DC189" s="137">
        <f>IF(BI189="sníž. přenesená",J189,0)</f>
        <v>0</v>
      </c>
      <c r="DD189" s="137">
        <f>IF(BI189="nulová",J189,0)</f>
        <v>0</v>
      </c>
      <c r="DE189" s="16" t="s">
        <v>81</v>
      </c>
      <c r="DF189" s="137">
        <f>ROUND(I189*H189,2)</f>
        <v>799.72</v>
      </c>
      <c r="DG189" s="16" t="s">
        <v>95</v>
      </c>
      <c r="DH189" s="136" t="s">
        <v>650</v>
      </c>
    </row>
    <row r="190" spans="2:112" s="1" customFormat="1" x14ac:dyDescent="0.2">
      <c r="B190" s="31"/>
      <c r="D190" s="138" t="s">
        <v>289</v>
      </c>
      <c r="F190" s="139" t="s">
        <v>2928</v>
      </c>
      <c r="I190" s="140"/>
      <c r="L190" s="31"/>
      <c r="N190" s="213"/>
      <c r="O190" s="214"/>
      <c r="Q190" s="229"/>
      <c r="BH190" s="141"/>
      <c r="BO190" s="50"/>
      <c r="CO190" s="16" t="s">
        <v>289</v>
      </c>
      <c r="CP190" s="16" t="s">
        <v>83</v>
      </c>
    </row>
    <row r="191" spans="2:112" s="1" customFormat="1" ht="14.45" customHeight="1" x14ac:dyDescent="0.2">
      <c r="B191" s="124"/>
      <c r="C191" s="125" t="s">
        <v>493</v>
      </c>
      <c r="D191" s="125" t="s">
        <v>284</v>
      </c>
      <c r="E191" s="126" t="s">
        <v>2929</v>
      </c>
      <c r="F191" s="127" t="s">
        <v>2930</v>
      </c>
      <c r="G191" s="128" t="s">
        <v>315</v>
      </c>
      <c r="H191" s="129">
        <v>1</v>
      </c>
      <c r="I191" s="130">
        <v>1911.1308127910002</v>
      </c>
      <c r="J191" s="131">
        <f>ROUND(I191*H191,2)</f>
        <v>1911.13</v>
      </c>
      <c r="K191" s="127" t="s">
        <v>1</v>
      </c>
      <c r="L191" s="268">
        <f>S191</f>
        <v>0</v>
      </c>
      <c r="M191" s="272">
        <f>ROUND(L191*I191,2)</f>
        <v>0</v>
      </c>
      <c r="N191" s="243"/>
      <c r="O191" s="294">
        <f>ROUND(N191*I191,2)</f>
        <v>0</v>
      </c>
      <c r="P191" s="273">
        <f>H191-L191-N191</f>
        <v>1</v>
      </c>
      <c r="Q191" s="287">
        <f>ROUND(P191*I191,2)</f>
        <v>1911.13</v>
      </c>
      <c r="R191" s="137"/>
      <c r="S191" s="269">
        <f>W191+Y191+AA191+AC191</f>
        <v>0</v>
      </c>
      <c r="T191" s="269">
        <f>ROUND(S191*I191,2)</f>
        <v>0</v>
      </c>
      <c r="U191" s="269">
        <f>H191-S191</f>
        <v>1</v>
      </c>
      <c r="V191" s="269">
        <f>ROUND(U191*I191,2)</f>
        <v>1911.13</v>
      </c>
      <c r="W191" s="269"/>
      <c r="X191" s="269"/>
      <c r="Y191" s="269"/>
      <c r="Z191" s="269"/>
      <c r="AA191" s="269"/>
      <c r="AB191" s="269"/>
      <c r="AC191" s="269"/>
      <c r="AD191" s="269"/>
      <c r="BH191" s="132" t="s">
        <v>1</v>
      </c>
      <c r="BI191" s="133" t="s">
        <v>40</v>
      </c>
      <c r="BK191" s="134">
        <f>BJ191*H191</f>
        <v>0</v>
      </c>
      <c r="BL191" s="134">
        <v>0</v>
      </c>
      <c r="BM191" s="134">
        <f>BL191*H191</f>
        <v>0</v>
      </c>
      <c r="BN191" s="134">
        <v>0</v>
      </c>
      <c r="BO191" s="135">
        <f>BN191*H191</f>
        <v>0</v>
      </c>
      <c r="CM191" s="136" t="s">
        <v>95</v>
      </c>
      <c r="CO191" s="136" t="s">
        <v>284</v>
      </c>
      <c r="CP191" s="136" t="s">
        <v>83</v>
      </c>
      <c r="CT191" s="16" t="s">
        <v>282</v>
      </c>
      <c r="CZ191" s="137">
        <f>IF(BI191="základní",J191,0)</f>
        <v>1911.13</v>
      </c>
      <c r="DA191" s="137">
        <f>IF(BI191="snížená",J191,0)</f>
        <v>0</v>
      </c>
      <c r="DB191" s="137">
        <f>IF(BI191="zákl. přenesená",J191,0)</f>
        <v>0</v>
      </c>
      <c r="DC191" s="137">
        <f>IF(BI191="sníž. přenesená",J191,0)</f>
        <v>0</v>
      </c>
      <c r="DD191" s="137">
        <f>IF(BI191="nulová",J191,0)</f>
        <v>0</v>
      </c>
      <c r="DE191" s="16" t="s">
        <v>81</v>
      </c>
      <c r="DF191" s="137">
        <f>ROUND(I191*H191,2)</f>
        <v>1911.13</v>
      </c>
      <c r="DG191" s="16" t="s">
        <v>95</v>
      </c>
      <c r="DH191" s="136" t="s">
        <v>660</v>
      </c>
    </row>
    <row r="192" spans="2:112" s="1" customFormat="1" x14ac:dyDescent="0.2">
      <c r="B192" s="31"/>
      <c r="D192" s="138" t="s">
        <v>289</v>
      </c>
      <c r="F192" s="139" t="s">
        <v>2930</v>
      </c>
      <c r="I192" s="140"/>
      <c r="L192" s="31"/>
      <c r="N192" s="213"/>
      <c r="O192" s="214"/>
      <c r="Q192" s="229"/>
      <c r="BH192" s="141"/>
      <c r="BO192" s="50"/>
      <c r="CO192" s="16" t="s">
        <v>289</v>
      </c>
      <c r="CP192" s="16" t="s">
        <v>83</v>
      </c>
    </row>
    <row r="193" spans="2:112" s="1" customFormat="1" ht="14.45" customHeight="1" x14ac:dyDescent="0.2">
      <c r="B193" s="124"/>
      <c r="C193" s="125" t="s">
        <v>497</v>
      </c>
      <c r="D193" s="125" t="s">
        <v>284</v>
      </c>
      <c r="E193" s="126" t="s">
        <v>2931</v>
      </c>
      <c r="F193" s="127" t="s">
        <v>2932</v>
      </c>
      <c r="G193" s="128" t="s">
        <v>315</v>
      </c>
      <c r="H193" s="129">
        <v>1</v>
      </c>
      <c r="I193" s="130">
        <v>550.33232169999997</v>
      </c>
      <c r="J193" s="131">
        <f>ROUND(I193*H193,2)</f>
        <v>550.33000000000004</v>
      </c>
      <c r="K193" s="127" t="s">
        <v>1</v>
      </c>
      <c r="L193" s="268">
        <f>S193</f>
        <v>0</v>
      </c>
      <c r="M193" s="272">
        <f>ROUND(L193*I193,2)</f>
        <v>0</v>
      </c>
      <c r="N193" s="243"/>
      <c r="O193" s="294">
        <f>ROUND(N193*I193,2)</f>
        <v>0</v>
      </c>
      <c r="P193" s="273">
        <f>H193-L193-N193</f>
        <v>1</v>
      </c>
      <c r="Q193" s="287">
        <f>ROUND(P193*I193,2)</f>
        <v>550.33000000000004</v>
      </c>
      <c r="R193" s="137"/>
      <c r="S193" s="269">
        <f>W193+Y193+AA193+AC193</f>
        <v>0</v>
      </c>
      <c r="T193" s="269">
        <f>ROUND(S193*I193,2)</f>
        <v>0</v>
      </c>
      <c r="U193" s="269">
        <f>H193-S193</f>
        <v>1</v>
      </c>
      <c r="V193" s="269">
        <f>ROUND(U193*I193,2)</f>
        <v>550.33000000000004</v>
      </c>
      <c r="W193" s="269"/>
      <c r="X193" s="269"/>
      <c r="Y193" s="269"/>
      <c r="Z193" s="269"/>
      <c r="AA193" s="269"/>
      <c r="AB193" s="269"/>
      <c r="AC193" s="269"/>
      <c r="AD193" s="269"/>
      <c r="BH193" s="132" t="s">
        <v>1</v>
      </c>
      <c r="BI193" s="133" t="s">
        <v>40</v>
      </c>
      <c r="BK193" s="134">
        <f>BJ193*H193</f>
        <v>0</v>
      </c>
      <c r="BL193" s="134">
        <v>0</v>
      </c>
      <c r="BM193" s="134">
        <f>BL193*H193</f>
        <v>0</v>
      </c>
      <c r="BN193" s="134">
        <v>0</v>
      </c>
      <c r="BO193" s="135">
        <f>BN193*H193</f>
        <v>0</v>
      </c>
      <c r="CM193" s="136" t="s">
        <v>95</v>
      </c>
      <c r="CO193" s="136" t="s">
        <v>284</v>
      </c>
      <c r="CP193" s="136" t="s">
        <v>83</v>
      </c>
      <c r="CT193" s="16" t="s">
        <v>282</v>
      </c>
      <c r="CZ193" s="137">
        <f>IF(BI193="základní",J193,0)</f>
        <v>550.33000000000004</v>
      </c>
      <c r="DA193" s="137">
        <f>IF(BI193="snížená",J193,0)</f>
        <v>0</v>
      </c>
      <c r="DB193" s="137">
        <f>IF(BI193="zákl. přenesená",J193,0)</f>
        <v>0</v>
      </c>
      <c r="DC193" s="137">
        <f>IF(BI193="sníž. přenesená",J193,0)</f>
        <v>0</v>
      </c>
      <c r="DD193" s="137">
        <f>IF(BI193="nulová",J193,0)</f>
        <v>0</v>
      </c>
      <c r="DE193" s="16" t="s">
        <v>81</v>
      </c>
      <c r="DF193" s="137">
        <f>ROUND(I193*H193,2)</f>
        <v>550.33000000000004</v>
      </c>
      <c r="DG193" s="16" t="s">
        <v>95</v>
      </c>
      <c r="DH193" s="136" t="s">
        <v>670</v>
      </c>
    </row>
    <row r="194" spans="2:112" s="1" customFormat="1" x14ac:dyDescent="0.2">
      <c r="B194" s="31"/>
      <c r="D194" s="138" t="s">
        <v>289</v>
      </c>
      <c r="F194" s="139" t="s">
        <v>2932</v>
      </c>
      <c r="I194" s="140"/>
      <c r="L194" s="31"/>
      <c r="N194" s="213"/>
      <c r="O194" s="214"/>
      <c r="Q194" s="229"/>
      <c r="BH194" s="141"/>
      <c r="BO194" s="50"/>
      <c r="CO194" s="16" t="s">
        <v>289</v>
      </c>
      <c r="CP194" s="16" t="s">
        <v>83</v>
      </c>
    </row>
    <row r="195" spans="2:112" s="1" customFormat="1" ht="14.45" customHeight="1" x14ac:dyDescent="0.2">
      <c r="B195" s="124"/>
      <c r="C195" s="125" t="s">
        <v>501</v>
      </c>
      <c r="D195" s="125" t="s">
        <v>284</v>
      </c>
      <c r="E195" s="126" t="s">
        <v>2933</v>
      </c>
      <c r="F195" s="127" t="s">
        <v>2934</v>
      </c>
      <c r="G195" s="128" t="s">
        <v>315</v>
      </c>
      <c r="H195" s="129">
        <v>25</v>
      </c>
      <c r="I195" s="130">
        <v>47.853337164000003</v>
      </c>
      <c r="J195" s="131">
        <f>ROUND(I195*H195,2)</f>
        <v>1196.33</v>
      </c>
      <c r="K195" s="127" t="s">
        <v>1</v>
      </c>
      <c r="L195" s="268">
        <f>S195</f>
        <v>0</v>
      </c>
      <c r="M195" s="272">
        <f>ROUND(L195*I195,2)</f>
        <v>0</v>
      </c>
      <c r="N195" s="243"/>
      <c r="O195" s="294">
        <f>ROUND(N195*I195,2)</f>
        <v>0</v>
      </c>
      <c r="P195" s="273">
        <f>H195-L195-N195</f>
        <v>25</v>
      </c>
      <c r="Q195" s="287">
        <f>ROUND(P195*I195,2)</f>
        <v>1196.33</v>
      </c>
      <c r="R195" s="137"/>
      <c r="S195" s="269">
        <f>W195+Y195+AA195+AC195</f>
        <v>0</v>
      </c>
      <c r="T195" s="269">
        <f>ROUND(S195*I195,2)</f>
        <v>0</v>
      </c>
      <c r="U195" s="269">
        <f>H195-S195</f>
        <v>25</v>
      </c>
      <c r="V195" s="269">
        <f>ROUND(U195*I195,2)</f>
        <v>1196.33</v>
      </c>
      <c r="W195" s="269"/>
      <c r="X195" s="269"/>
      <c r="Y195" s="269"/>
      <c r="Z195" s="269"/>
      <c r="AA195" s="269"/>
      <c r="AB195" s="269"/>
      <c r="AC195" s="269"/>
      <c r="AD195" s="269"/>
      <c r="BH195" s="132" t="s">
        <v>1</v>
      </c>
      <c r="BI195" s="133" t="s">
        <v>40</v>
      </c>
      <c r="BK195" s="134">
        <f>BJ195*H195</f>
        <v>0</v>
      </c>
      <c r="BL195" s="134">
        <v>0</v>
      </c>
      <c r="BM195" s="134">
        <f>BL195*H195</f>
        <v>0</v>
      </c>
      <c r="BN195" s="134">
        <v>0</v>
      </c>
      <c r="BO195" s="135">
        <f>BN195*H195</f>
        <v>0</v>
      </c>
      <c r="CM195" s="136" t="s">
        <v>95</v>
      </c>
      <c r="CO195" s="136" t="s">
        <v>284</v>
      </c>
      <c r="CP195" s="136" t="s">
        <v>83</v>
      </c>
      <c r="CT195" s="16" t="s">
        <v>282</v>
      </c>
      <c r="CZ195" s="137">
        <f>IF(BI195="základní",J195,0)</f>
        <v>1196.33</v>
      </c>
      <c r="DA195" s="137">
        <f>IF(BI195="snížená",J195,0)</f>
        <v>0</v>
      </c>
      <c r="DB195" s="137">
        <f>IF(BI195="zákl. přenesená",J195,0)</f>
        <v>0</v>
      </c>
      <c r="DC195" s="137">
        <f>IF(BI195="sníž. přenesená",J195,0)</f>
        <v>0</v>
      </c>
      <c r="DD195" s="137">
        <f>IF(BI195="nulová",J195,0)</f>
        <v>0</v>
      </c>
      <c r="DE195" s="16" t="s">
        <v>81</v>
      </c>
      <c r="DF195" s="137">
        <f>ROUND(I195*H195,2)</f>
        <v>1196.33</v>
      </c>
      <c r="DG195" s="16" t="s">
        <v>95</v>
      </c>
      <c r="DH195" s="136" t="s">
        <v>681</v>
      </c>
    </row>
    <row r="196" spans="2:112" s="1" customFormat="1" x14ac:dyDescent="0.2">
      <c r="B196" s="31"/>
      <c r="D196" s="138" t="s">
        <v>289</v>
      </c>
      <c r="F196" s="139" t="s">
        <v>2934</v>
      </c>
      <c r="I196" s="140"/>
      <c r="L196" s="31"/>
      <c r="N196" s="213"/>
      <c r="O196" s="214"/>
      <c r="Q196" s="229"/>
      <c r="BH196" s="141"/>
      <c r="BO196" s="50"/>
      <c r="CO196" s="16" t="s">
        <v>289</v>
      </c>
      <c r="CP196" s="16" t="s">
        <v>83</v>
      </c>
    </row>
    <row r="197" spans="2:112" s="1" customFormat="1" ht="14.45" customHeight="1" x14ac:dyDescent="0.2">
      <c r="B197" s="124"/>
      <c r="C197" s="125" t="s">
        <v>505</v>
      </c>
      <c r="D197" s="125" t="s">
        <v>284</v>
      </c>
      <c r="E197" s="126" t="s">
        <v>2935</v>
      </c>
      <c r="F197" s="127" t="s">
        <v>2936</v>
      </c>
      <c r="G197" s="128" t="s">
        <v>315</v>
      </c>
      <c r="H197" s="129">
        <v>4</v>
      </c>
      <c r="I197" s="130">
        <v>52.096863499999998</v>
      </c>
      <c r="J197" s="131">
        <f>ROUND(I197*H197,2)</f>
        <v>208.39</v>
      </c>
      <c r="K197" s="127" t="s">
        <v>1</v>
      </c>
      <c r="L197" s="268">
        <f>S197</f>
        <v>0</v>
      </c>
      <c r="M197" s="272">
        <f>ROUND(L197*I197,2)</f>
        <v>0</v>
      </c>
      <c r="N197" s="243"/>
      <c r="O197" s="294">
        <f>ROUND(N197*I197,2)</f>
        <v>0</v>
      </c>
      <c r="P197" s="273">
        <f>H197-L197-N197</f>
        <v>4</v>
      </c>
      <c r="Q197" s="287">
        <f>ROUND(P197*I197,2)</f>
        <v>208.39</v>
      </c>
      <c r="R197" s="137"/>
      <c r="S197" s="269">
        <f>W197+Y197+AA197+AC197</f>
        <v>0</v>
      </c>
      <c r="T197" s="269">
        <f>ROUND(S197*I197,2)</f>
        <v>0</v>
      </c>
      <c r="U197" s="269">
        <f>H197-S197</f>
        <v>4</v>
      </c>
      <c r="V197" s="269">
        <f>ROUND(U197*I197,2)</f>
        <v>208.39</v>
      </c>
      <c r="W197" s="269"/>
      <c r="X197" s="269"/>
      <c r="Y197" s="269"/>
      <c r="Z197" s="269"/>
      <c r="AA197" s="269"/>
      <c r="AB197" s="269"/>
      <c r="AC197" s="269"/>
      <c r="AD197" s="269"/>
      <c r="BH197" s="132" t="s">
        <v>1</v>
      </c>
      <c r="BI197" s="133" t="s">
        <v>40</v>
      </c>
      <c r="BK197" s="134">
        <f>BJ197*H197</f>
        <v>0</v>
      </c>
      <c r="BL197" s="134">
        <v>0</v>
      </c>
      <c r="BM197" s="134">
        <f>BL197*H197</f>
        <v>0</v>
      </c>
      <c r="BN197" s="134">
        <v>0</v>
      </c>
      <c r="BO197" s="135">
        <f>BN197*H197</f>
        <v>0</v>
      </c>
      <c r="CM197" s="136" t="s">
        <v>95</v>
      </c>
      <c r="CO197" s="136" t="s">
        <v>284</v>
      </c>
      <c r="CP197" s="136" t="s">
        <v>83</v>
      </c>
      <c r="CT197" s="16" t="s">
        <v>282</v>
      </c>
      <c r="CZ197" s="137">
        <f>IF(BI197="základní",J197,0)</f>
        <v>208.39</v>
      </c>
      <c r="DA197" s="137">
        <f>IF(BI197="snížená",J197,0)</f>
        <v>0</v>
      </c>
      <c r="DB197" s="137">
        <f>IF(BI197="zákl. přenesená",J197,0)</f>
        <v>0</v>
      </c>
      <c r="DC197" s="137">
        <f>IF(BI197="sníž. přenesená",J197,0)</f>
        <v>0</v>
      </c>
      <c r="DD197" s="137">
        <f>IF(BI197="nulová",J197,0)</f>
        <v>0</v>
      </c>
      <c r="DE197" s="16" t="s">
        <v>81</v>
      </c>
      <c r="DF197" s="137">
        <f>ROUND(I197*H197,2)</f>
        <v>208.39</v>
      </c>
      <c r="DG197" s="16" t="s">
        <v>95</v>
      </c>
      <c r="DH197" s="136" t="s">
        <v>697</v>
      </c>
    </row>
    <row r="198" spans="2:112" s="1" customFormat="1" x14ac:dyDescent="0.2">
      <c r="B198" s="31"/>
      <c r="D198" s="138" t="s">
        <v>289</v>
      </c>
      <c r="F198" s="139" t="s">
        <v>2936</v>
      </c>
      <c r="I198" s="140"/>
      <c r="L198" s="31"/>
      <c r="N198" s="213"/>
      <c r="O198" s="214"/>
      <c r="Q198" s="229"/>
      <c r="BH198" s="141"/>
      <c r="BO198" s="50"/>
      <c r="CO198" s="16" t="s">
        <v>289</v>
      </c>
      <c r="CP198" s="16" t="s">
        <v>83</v>
      </c>
    </row>
    <row r="199" spans="2:112" s="1" customFormat="1" ht="14.45" customHeight="1" x14ac:dyDescent="0.2">
      <c r="B199" s="124"/>
      <c r="C199" s="125" t="s">
        <v>510</v>
      </c>
      <c r="D199" s="125" t="s">
        <v>284</v>
      </c>
      <c r="E199" s="126" t="s">
        <v>2937</v>
      </c>
      <c r="F199" s="127" t="s">
        <v>2938</v>
      </c>
      <c r="G199" s="128" t="s">
        <v>315</v>
      </c>
      <c r="H199" s="129">
        <v>5</v>
      </c>
      <c r="I199" s="130">
        <v>77.823241912</v>
      </c>
      <c r="J199" s="131">
        <f>ROUND(I199*H199,2)</f>
        <v>389.12</v>
      </c>
      <c r="K199" s="127" t="s">
        <v>1</v>
      </c>
      <c r="L199" s="268">
        <f>S199</f>
        <v>0</v>
      </c>
      <c r="M199" s="272">
        <f>ROUND(L199*I199,2)</f>
        <v>0</v>
      </c>
      <c r="N199" s="243"/>
      <c r="O199" s="294">
        <f>ROUND(N199*I199,2)</f>
        <v>0</v>
      </c>
      <c r="P199" s="273">
        <f>H199-L199-N199</f>
        <v>5</v>
      </c>
      <c r="Q199" s="287">
        <f>ROUND(P199*I199,2)</f>
        <v>389.12</v>
      </c>
      <c r="R199" s="137"/>
      <c r="S199" s="269">
        <f>W199+Y199+AA199+AC199</f>
        <v>0</v>
      </c>
      <c r="T199" s="269">
        <f>ROUND(S199*I199,2)</f>
        <v>0</v>
      </c>
      <c r="U199" s="269">
        <f>H199-S199</f>
        <v>5</v>
      </c>
      <c r="V199" s="269">
        <f>ROUND(U199*I199,2)</f>
        <v>389.12</v>
      </c>
      <c r="W199" s="269"/>
      <c r="X199" s="269"/>
      <c r="Y199" s="269"/>
      <c r="Z199" s="269"/>
      <c r="AA199" s="269"/>
      <c r="AB199" s="269"/>
      <c r="AC199" s="269"/>
      <c r="AD199" s="269"/>
      <c r="BH199" s="132" t="s">
        <v>1</v>
      </c>
      <c r="BI199" s="133" t="s">
        <v>40</v>
      </c>
      <c r="BK199" s="134">
        <f>BJ199*H199</f>
        <v>0</v>
      </c>
      <c r="BL199" s="134">
        <v>0</v>
      </c>
      <c r="BM199" s="134">
        <f>BL199*H199</f>
        <v>0</v>
      </c>
      <c r="BN199" s="134">
        <v>0</v>
      </c>
      <c r="BO199" s="135">
        <f>BN199*H199</f>
        <v>0</v>
      </c>
      <c r="CM199" s="136" t="s">
        <v>95</v>
      </c>
      <c r="CO199" s="136" t="s">
        <v>284</v>
      </c>
      <c r="CP199" s="136" t="s">
        <v>83</v>
      </c>
      <c r="CT199" s="16" t="s">
        <v>282</v>
      </c>
      <c r="CZ199" s="137">
        <f>IF(BI199="základní",J199,0)</f>
        <v>389.12</v>
      </c>
      <c r="DA199" s="137">
        <f>IF(BI199="snížená",J199,0)</f>
        <v>0</v>
      </c>
      <c r="DB199" s="137">
        <f>IF(BI199="zákl. přenesená",J199,0)</f>
        <v>0</v>
      </c>
      <c r="DC199" s="137">
        <f>IF(BI199="sníž. přenesená",J199,0)</f>
        <v>0</v>
      </c>
      <c r="DD199" s="137">
        <f>IF(BI199="nulová",J199,0)</f>
        <v>0</v>
      </c>
      <c r="DE199" s="16" t="s">
        <v>81</v>
      </c>
      <c r="DF199" s="137">
        <f>ROUND(I199*H199,2)</f>
        <v>389.12</v>
      </c>
      <c r="DG199" s="16" t="s">
        <v>95</v>
      </c>
      <c r="DH199" s="136" t="s">
        <v>710</v>
      </c>
    </row>
    <row r="200" spans="2:112" s="1" customFormat="1" x14ac:dyDescent="0.2">
      <c r="B200" s="31"/>
      <c r="D200" s="138" t="s">
        <v>289</v>
      </c>
      <c r="F200" s="139" t="s">
        <v>2938</v>
      </c>
      <c r="I200" s="140"/>
      <c r="L200" s="31"/>
      <c r="N200" s="213"/>
      <c r="O200" s="214"/>
      <c r="Q200" s="229"/>
      <c r="BH200" s="141"/>
      <c r="BO200" s="50"/>
      <c r="CO200" s="16" t="s">
        <v>289</v>
      </c>
      <c r="CP200" s="16" t="s">
        <v>83</v>
      </c>
    </row>
    <row r="201" spans="2:112" s="1" customFormat="1" ht="14.45" customHeight="1" x14ac:dyDescent="0.2">
      <c r="B201" s="124"/>
      <c r="C201" s="125" t="s">
        <v>514</v>
      </c>
      <c r="D201" s="125" t="s">
        <v>284</v>
      </c>
      <c r="E201" s="126" t="s">
        <v>2939</v>
      </c>
      <c r="F201" s="127" t="s">
        <v>2940</v>
      </c>
      <c r="G201" s="128" t="s">
        <v>315</v>
      </c>
      <c r="H201" s="129">
        <v>1</v>
      </c>
      <c r="I201" s="130">
        <v>84.851582405999991</v>
      </c>
      <c r="J201" s="131">
        <f>ROUND(I201*H201,2)</f>
        <v>84.85</v>
      </c>
      <c r="K201" s="127" t="s">
        <v>1</v>
      </c>
      <c r="L201" s="268">
        <f>S201</f>
        <v>0</v>
      </c>
      <c r="M201" s="272">
        <f>ROUND(L201*I201,2)</f>
        <v>0</v>
      </c>
      <c r="N201" s="243"/>
      <c r="O201" s="294">
        <f>ROUND(N201*I201,2)</f>
        <v>0</v>
      </c>
      <c r="P201" s="273">
        <f>H201-L201-N201</f>
        <v>1</v>
      </c>
      <c r="Q201" s="287">
        <f>ROUND(P201*I201,2)</f>
        <v>84.85</v>
      </c>
      <c r="R201" s="137"/>
      <c r="S201" s="269">
        <f>W201+Y201+AA201+AC201</f>
        <v>0</v>
      </c>
      <c r="T201" s="269">
        <f>ROUND(S201*I201,2)</f>
        <v>0</v>
      </c>
      <c r="U201" s="269">
        <f>H201-S201</f>
        <v>1</v>
      </c>
      <c r="V201" s="269">
        <f>ROUND(U201*I201,2)</f>
        <v>84.85</v>
      </c>
      <c r="W201" s="269"/>
      <c r="X201" s="269"/>
      <c r="Y201" s="269"/>
      <c r="Z201" s="269"/>
      <c r="AA201" s="269"/>
      <c r="AB201" s="269"/>
      <c r="AC201" s="269"/>
      <c r="AD201" s="269"/>
      <c r="BH201" s="132" t="s">
        <v>1</v>
      </c>
      <c r="BI201" s="133" t="s">
        <v>40</v>
      </c>
      <c r="BK201" s="134">
        <f>BJ201*H201</f>
        <v>0</v>
      </c>
      <c r="BL201" s="134">
        <v>0</v>
      </c>
      <c r="BM201" s="134">
        <f>BL201*H201</f>
        <v>0</v>
      </c>
      <c r="BN201" s="134">
        <v>0</v>
      </c>
      <c r="BO201" s="135">
        <f>BN201*H201</f>
        <v>0</v>
      </c>
      <c r="CM201" s="136" t="s">
        <v>95</v>
      </c>
      <c r="CO201" s="136" t="s">
        <v>284</v>
      </c>
      <c r="CP201" s="136" t="s">
        <v>83</v>
      </c>
      <c r="CT201" s="16" t="s">
        <v>282</v>
      </c>
      <c r="CZ201" s="137">
        <f>IF(BI201="základní",J201,0)</f>
        <v>84.85</v>
      </c>
      <c r="DA201" s="137">
        <f>IF(BI201="snížená",J201,0)</f>
        <v>0</v>
      </c>
      <c r="DB201" s="137">
        <f>IF(BI201="zákl. přenesená",J201,0)</f>
        <v>0</v>
      </c>
      <c r="DC201" s="137">
        <f>IF(BI201="sníž. přenesená",J201,0)</f>
        <v>0</v>
      </c>
      <c r="DD201" s="137">
        <f>IF(BI201="nulová",J201,0)</f>
        <v>0</v>
      </c>
      <c r="DE201" s="16" t="s">
        <v>81</v>
      </c>
      <c r="DF201" s="137">
        <f>ROUND(I201*H201,2)</f>
        <v>84.85</v>
      </c>
      <c r="DG201" s="16" t="s">
        <v>95</v>
      </c>
      <c r="DH201" s="136" t="s">
        <v>718</v>
      </c>
    </row>
    <row r="202" spans="2:112" s="1" customFormat="1" x14ac:dyDescent="0.2">
      <c r="B202" s="31"/>
      <c r="D202" s="138" t="s">
        <v>289</v>
      </c>
      <c r="F202" s="139" t="s">
        <v>2940</v>
      </c>
      <c r="I202" s="140"/>
      <c r="L202" s="31"/>
      <c r="N202" s="213"/>
      <c r="O202" s="214"/>
      <c r="Q202" s="229"/>
      <c r="BH202" s="141"/>
      <c r="BO202" s="50"/>
      <c r="CO202" s="16" t="s">
        <v>289</v>
      </c>
      <c r="CP202" s="16" t="s">
        <v>83</v>
      </c>
    </row>
    <row r="203" spans="2:112" s="1" customFormat="1" ht="14.45" customHeight="1" x14ac:dyDescent="0.2">
      <c r="B203" s="124"/>
      <c r="C203" s="125" t="s">
        <v>521</v>
      </c>
      <c r="D203" s="125" t="s">
        <v>284</v>
      </c>
      <c r="E203" s="126" t="s">
        <v>2941</v>
      </c>
      <c r="F203" s="127" t="s">
        <v>2942</v>
      </c>
      <c r="G203" s="128" t="s">
        <v>315</v>
      </c>
      <c r="H203" s="129">
        <v>4</v>
      </c>
      <c r="I203" s="130">
        <v>109.469718449</v>
      </c>
      <c r="J203" s="131">
        <f>ROUND(I203*H203,2)</f>
        <v>437.88</v>
      </c>
      <c r="K203" s="127" t="s">
        <v>1</v>
      </c>
      <c r="L203" s="268">
        <f>S203</f>
        <v>0</v>
      </c>
      <c r="M203" s="272">
        <f>ROUND(L203*I203,2)</f>
        <v>0</v>
      </c>
      <c r="N203" s="243"/>
      <c r="O203" s="294">
        <f>ROUND(N203*I203,2)</f>
        <v>0</v>
      </c>
      <c r="P203" s="273">
        <f>H203-L203-N203</f>
        <v>4</v>
      </c>
      <c r="Q203" s="287">
        <f>ROUND(P203*I203,2)</f>
        <v>437.88</v>
      </c>
      <c r="R203" s="137"/>
      <c r="S203" s="269">
        <f>W203+Y203+AA203+AC203</f>
        <v>0</v>
      </c>
      <c r="T203" s="269">
        <f>ROUND(S203*I203,2)</f>
        <v>0</v>
      </c>
      <c r="U203" s="269">
        <f>H203-S203</f>
        <v>4</v>
      </c>
      <c r="V203" s="269">
        <f>ROUND(U203*I203,2)</f>
        <v>437.88</v>
      </c>
      <c r="W203" s="269"/>
      <c r="X203" s="269"/>
      <c r="Y203" s="269"/>
      <c r="Z203" s="269"/>
      <c r="AA203" s="269"/>
      <c r="AB203" s="269"/>
      <c r="AC203" s="269"/>
      <c r="AD203" s="269"/>
      <c r="BH203" s="132" t="s">
        <v>1</v>
      </c>
      <c r="BI203" s="133" t="s">
        <v>40</v>
      </c>
      <c r="BK203" s="134">
        <f>BJ203*H203</f>
        <v>0</v>
      </c>
      <c r="BL203" s="134">
        <v>0</v>
      </c>
      <c r="BM203" s="134">
        <f>BL203*H203</f>
        <v>0</v>
      </c>
      <c r="BN203" s="134">
        <v>0</v>
      </c>
      <c r="BO203" s="135">
        <f>BN203*H203</f>
        <v>0</v>
      </c>
      <c r="CM203" s="136" t="s">
        <v>95</v>
      </c>
      <c r="CO203" s="136" t="s">
        <v>284</v>
      </c>
      <c r="CP203" s="136" t="s">
        <v>83</v>
      </c>
      <c r="CT203" s="16" t="s">
        <v>282</v>
      </c>
      <c r="CZ203" s="137">
        <f>IF(BI203="základní",J203,0)</f>
        <v>437.88</v>
      </c>
      <c r="DA203" s="137">
        <f>IF(BI203="snížená",J203,0)</f>
        <v>0</v>
      </c>
      <c r="DB203" s="137">
        <f>IF(BI203="zákl. přenesená",J203,0)</f>
        <v>0</v>
      </c>
      <c r="DC203" s="137">
        <f>IF(BI203="sníž. přenesená",J203,0)</f>
        <v>0</v>
      </c>
      <c r="DD203" s="137">
        <f>IF(BI203="nulová",J203,0)</f>
        <v>0</v>
      </c>
      <c r="DE203" s="16" t="s">
        <v>81</v>
      </c>
      <c r="DF203" s="137">
        <f>ROUND(I203*H203,2)</f>
        <v>437.88</v>
      </c>
      <c r="DG203" s="16" t="s">
        <v>95</v>
      </c>
      <c r="DH203" s="136" t="s">
        <v>1544</v>
      </c>
    </row>
    <row r="204" spans="2:112" s="1" customFormat="1" x14ac:dyDescent="0.2">
      <c r="B204" s="31"/>
      <c r="D204" s="138" t="s">
        <v>289</v>
      </c>
      <c r="F204" s="139" t="s">
        <v>2942</v>
      </c>
      <c r="I204" s="140"/>
      <c r="L204" s="31"/>
      <c r="N204" s="213"/>
      <c r="O204" s="214"/>
      <c r="Q204" s="229"/>
      <c r="BH204" s="141"/>
      <c r="BO204" s="50"/>
      <c r="CO204" s="16" t="s">
        <v>289</v>
      </c>
      <c r="CP204" s="16" t="s">
        <v>83</v>
      </c>
    </row>
    <row r="205" spans="2:112" s="1" customFormat="1" ht="14.45" customHeight="1" x14ac:dyDescent="0.2">
      <c r="B205" s="124"/>
      <c r="C205" s="125" t="s">
        <v>526</v>
      </c>
      <c r="D205" s="125" t="s">
        <v>284</v>
      </c>
      <c r="E205" s="126" t="s">
        <v>2943</v>
      </c>
      <c r="F205" s="127" t="s">
        <v>2944</v>
      </c>
      <c r="G205" s="128" t="s">
        <v>315</v>
      </c>
      <c r="H205" s="129">
        <v>1</v>
      </c>
      <c r="I205" s="130">
        <v>872.92557264900006</v>
      </c>
      <c r="J205" s="131">
        <f>ROUND(I205*H205,2)</f>
        <v>872.93</v>
      </c>
      <c r="K205" s="127" t="s">
        <v>1</v>
      </c>
      <c r="L205" s="268">
        <f>S205</f>
        <v>0</v>
      </c>
      <c r="M205" s="272">
        <f>ROUND(L205*I205,2)</f>
        <v>0</v>
      </c>
      <c r="N205" s="243"/>
      <c r="O205" s="294">
        <f>ROUND(N205*I205,2)</f>
        <v>0</v>
      </c>
      <c r="P205" s="273">
        <f>H205-L205-N205</f>
        <v>1</v>
      </c>
      <c r="Q205" s="287">
        <f>ROUND(P205*I205,2)</f>
        <v>872.93</v>
      </c>
      <c r="R205" s="137"/>
      <c r="S205" s="269">
        <f>W205+Y205+AA205+AC205</f>
        <v>0</v>
      </c>
      <c r="T205" s="269">
        <f>ROUND(S205*I205,2)</f>
        <v>0</v>
      </c>
      <c r="U205" s="269">
        <f>H205-S205</f>
        <v>1</v>
      </c>
      <c r="V205" s="269">
        <f>ROUND(U205*I205,2)</f>
        <v>872.93</v>
      </c>
      <c r="W205" s="269"/>
      <c r="X205" s="269"/>
      <c r="Y205" s="269"/>
      <c r="Z205" s="269"/>
      <c r="AA205" s="269"/>
      <c r="AB205" s="269"/>
      <c r="AC205" s="269"/>
      <c r="AD205" s="269"/>
      <c r="BH205" s="132" t="s">
        <v>1</v>
      </c>
      <c r="BI205" s="133" t="s">
        <v>40</v>
      </c>
      <c r="BK205" s="134">
        <f>BJ205*H205</f>
        <v>0</v>
      </c>
      <c r="BL205" s="134">
        <v>0</v>
      </c>
      <c r="BM205" s="134">
        <f>BL205*H205</f>
        <v>0</v>
      </c>
      <c r="BN205" s="134">
        <v>0</v>
      </c>
      <c r="BO205" s="135">
        <f>BN205*H205</f>
        <v>0</v>
      </c>
      <c r="CM205" s="136" t="s">
        <v>95</v>
      </c>
      <c r="CO205" s="136" t="s">
        <v>284</v>
      </c>
      <c r="CP205" s="136" t="s">
        <v>83</v>
      </c>
      <c r="CT205" s="16" t="s">
        <v>282</v>
      </c>
      <c r="CZ205" s="137">
        <f>IF(BI205="základní",J205,0)</f>
        <v>872.93</v>
      </c>
      <c r="DA205" s="137">
        <f>IF(BI205="snížená",J205,0)</f>
        <v>0</v>
      </c>
      <c r="DB205" s="137">
        <f>IF(BI205="zákl. přenesená",J205,0)</f>
        <v>0</v>
      </c>
      <c r="DC205" s="137">
        <f>IF(BI205="sníž. přenesená",J205,0)</f>
        <v>0</v>
      </c>
      <c r="DD205" s="137">
        <f>IF(BI205="nulová",J205,0)</f>
        <v>0</v>
      </c>
      <c r="DE205" s="16" t="s">
        <v>81</v>
      </c>
      <c r="DF205" s="137">
        <f>ROUND(I205*H205,2)</f>
        <v>872.93</v>
      </c>
      <c r="DG205" s="16" t="s">
        <v>95</v>
      </c>
      <c r="DH205" s="136" t="s">
        <v>1551</v>
      </c>
    </row>
    <row r="206" spans="2:112" s="1" customFormat="1" x14ac:dyDescent="0.2">
      <c r="B206" s="31"/>
      <c r="D206" s="138" t="s">
        <v>289</v>
      </c>
      <c r="F206" s="139" t="s">
        <v>2944</v>
      </c>
      <c r="I206" s="140"/>
      <c r="L206" s="31"/>
      <c r="N206" s="213"/>
      <c r="O206" s="214"/>
      <c r="Q206" s="229"/>
      <c r="BH206" s="141"/>
      <c r="BO206" s="50"/>
      <c r="CO206" s="16" t="s">
        <v>289</v>
      </c>
      <c r="CP206" s="16" t="s">
        <v>83</v>
      </c>
    </row>
    <row r="207" spans="2:112" s="1" customFormat="1" ht="14.45" customHeight="1" x14ac:dyDescent="0.2">
      <c r="B207" s="124"/>
      <c r="C207" s="125" t="s">
        <v>531</v>
      </c>
      <c r="D207" s="125" t="s">
        <v>284</v>
      </c>
      <c r="E207" s="126" t="s">
        <v>2945</v>
      </c>
      <c r="F207" s="127" t="s">
        <v>2946</v>
      </c>
      <c r="G207" s="128" t="s">
        <v>315</v>
      </c>
      <c r="H207" s="129">
        <v>1</v>
      </c>
      <c r="I207" s="130">
        <v>944.18460975999994</v>
      </c>
      <c r="J207" s="131">
        <f>ROUND(I207*H207,2)</f>
        <v>944.18</v>
      </c>
      <c r="K207" s="127" t="s">
        <v>1</v>
      </c>
      <c r="L207" s="268">
        <f>S207</f>
        <v>0</v>
      </c>
      <c r="M207" s="272">
        <f>ROUND(L207*I207,2)</f>
        <v>0</v>
      </c>
      <c r="N207" s="243"/>
      <c r="O207" s="294">
        <f>ROUND(N207*I207,2)</f>
        <v>0</v>
      </c>
      <c r="P207" s="273">
        <f>H207-L207-N207</f>
        <v>1</v>
      </c>
      <c r="Q207" s="287">
        <f>ROUND(P207*I207,2)</f>
        <v>944.18</v>
      </c>
      <c r="R207" s="137"/>
      <c r="S207" s="269">
        <f>W207+Y207+AA207+AC207</f>
        <v>0</v>
      </c>
      <c r="T207" s="269">
        <f>ROUND(S207*I207,2)</f>
        <v>0</v>
      </c>
      <c r="U207" s="269">
        <f>H207-S207</f>
        <v>1</v>
      </c>
      <c r="V207" s="269">
        <f>ROUND(U207*I207,2)</f>
        <v>944.18</v>
      </c>
      <c r="W207" s="269"/>
      <c r="X207" s="269"/>
      <c r="Y207" s="269"/>
      <c r="Z207" s="269"/>
      <c r="AA207" s="269"/>
      <c r="AB207" s="269"/>
      <c r="AC207" s="269"/>
      <c r="AD207" s="269"/>
      <c r="BH207" s="132" t="s">
        <v>1</v>
      </c>
      <c r="BI207" s="133" t="s">
        <v>40</v>
      </c>
      <c r="BK207" s="134">
        <f>BJ207*H207</f>
        <v>0</v>
      </c>
      <c r="BL207" s="134">
        <v>0</v>
      </c>
      <c r="BM207" s="134">
        <f>BL207*H207</f>
        <v>0</v>
      </c>
      <c r="BN207" s="134">
        <v>0</v>
      </c>
      <c r="BO207" s="135">
        <f>BN207*H207</f>
        <v>0</v>
      </c>
      <c r="CM207" s="136" t="s">
        <v>95</v>
      </c>
      <c r="CO207" s="136" t="s">
        <v>284</v>
      </c>
      <c r="CP207" s="136" t="s">
        <v>83</v>
      </c>
      <c r="CT207" s="16" t="s">
        <v>282</v>
      </c>
      <c r="CZ207" s="137">
        <f>IF(BI207="základní",J207,0)</f>
        <v>944.18</v>
      </c>
      <c r="DA207" s="137">
        <f>IF(BI207="snížená",J207,0)</f>
        <v>0</v>
      </c>
      <c r="DB207" s="137">
        <f>IF(BI207="zákl. přenesená",J207,0)</f>
        <v>0</v>
      </c>
      <c r="DC207" s="137">
        <f>IF(BI207="sníž. přenesená",J207,0)</f>
        <v>0</v>
      </c>
      <c r="DD207" s="137">
        <f>IF(BI207="nulová",J207,0)</f>
        <v>0</v>
      </c>
      <c r="DE207" s="16" t="s">
        <v>81</v>
      </c>
      <c r="DF207" s="137">
        <f>ROUND(I207*H207,2)</f>
        <v>944.18</v>
      </c>
      <c r="DG207" s="16" t="s">
        <v>95</v>
      </c>
      <c r="DH207" s="136" t="s">
        <v>1555</v>
      </c>
    </row>
    <row r="208" spans="2:112" s="1" customFormat="1" x14ac:dyDescent="0.2">
      <c r="B208" s="31"/>
      <c r="D208" s="138" t="s">
        <v>289</v>
      </c>
      <c r="F208" s="139" t="s">
        <v>2946</v>
      </c>
      <c r="I208" s="140"/>
      <c r="L208" s="31"/>
      <c r="N208" s="213"/>
      <c r="O208" s="214"/>
      <c r="Q208" s="229"/>
      <c r="BH208" s="141"/>
      <c r="BO208" s="50"/>
      <c r="CO208" s="16" t="s">
        <v>289</v>
      </c>
      <c r="CP208" s="16" t="s">
        <v>83</v>
      </c>
    </row>
    <row r="209" spans="2:112" s="1" customFormat="1" ht="14.45" customHeight="1" x14ac:dyDescent="0.2">
      <c r="B209" s="124"/>
      <c r="C209" s="125" t="s">
        <v>536</v>
      </c>
      <c r="D209" s="125" t="s">
        <v>284</v>
      </c>
      <c r="E209" s="126" t="s">
        <v>2947</v>
      </c>
      <c r="F209" s="127" t="s">
        <v>2948</v>
      </c>
      <c r="G209" s="128" t="s">
        <v>344</v>
      </c>
      <c r="H209" s="129">
        <v>35</v>
      </c>
      <c r="I209" s="130">
        <v>21.946987769</v>
      </c>
      <c r="J209" s="131">
        <f>ROUND(I209*H209,2)</f>
        <v>768.14</v>
      </c>
      <c r="K209" s="127" t="s">
        <v>1</v>
      </c>
      <c r="L209" s="268">
        <f>S209</f>
        <v>0</v>
      </c>
      <c r="M209" s="272">
        <f>ROUND(L209*I209,2)</f>
        <v>0</v>
      </c>
      <c r="N209" s="243"/>
      <c r="O209" s="294">
        <f>ROUND(N209*I209,2)</f>
        <v>0</v>
      </c>
      <c r="P209" s="273">
        <f>H209-L209-N209</f>
        <v>35</v>
      </c>
      <c r="Q209" s="287">
        <f>ROUND(P209*I209,2)</f>
        <v>768.14</v>
      </c>
      <c r="R209" s="137"/>
      <c r="S209" s="269">
        <f>W209+Y209+AA209+AC209</f>
        <v>0</v>
      </c>
      <c r="T209" s="269">
        <f>ROUND(S209*I209,2)</f>
        <v>0</v>
      </c>
      <c r="U209" s="269">
        <f>H209-S209</f>
        <v>35</v>
      </c>
      <c r="V209" s="269">
        <f>ROUND(U209*I209,2)</f>
        <v>768.14</v>
      </c>
      <c r="W209" s="269"/>
      <c r="X209" s="269"/>
      <c r="Y209" s="269"/>
      <c r="Z209" s="269"/>
      <c r="AA209" s="269"/>
      <c r="AB209" s="269"/>
      <c r="AC209" s="269"/>
      <c r="AD209" s="269"/>
      <c r="BH209" s="132" t="s">
        <v>1</v>
      </c>
      <c r="BI209" s="133" t="s">
        <v>40</v>
      </c>
      <c r="BK209" s="134">
        <f>BJ209*H209</f>
        <v>0</v>
      </c>
      <c r="BL209" s="134">
        <v>0</v>
      </c>
      <c r="BM209" s="134">
        <f>BL209*H209</f>
        <v>0</v>
      </c>
      <c r="BN209" s="134">
        <v>0</v>
      </c>
      <c r="BO209" s="135">
        <f>BN209*H209</f>
        <v>0</v>
      </c>
      <c r="CM209" s="136" t="s">
        <v>95</v>
      </c>
      <c r="CO209" s="136" t="s">
        <v>284</v>
      </c>
      <c r="CP209" s="136" t="s">
        <v>83</v>
      </c>
      <c r="CT209" s="16" t="s">
        <v>282</v>
      </c>
      <c r="CZ209" s="137">
        <f>IF(BI209="základní",J209,0)</f>
        <v>768.14</v>
      </c>
      <c r="DA209" s="137">
        <f>IF(BI209="snížená",J209,0)</f>
        <v>0</v>
      </c>
      <c r="DB209" s="137">
        <f>IF(BI209="zákl. přenesená",J209,0)</f>
        <v>0</v>
      </c>
      <c r="DC209" s="137">
        <f>IF(BI209="sníž. přenesená",J209,0)</f>
        <v>0</v>
      </c>
      <c r="DD209" s="137">
        <f>IF(BI209="nulová",J209,0)</f>
        <v>0</v>
      </c>
      <c r="DE209" s="16" t="s">
        <v>81</v>
      </c>
      <c r="DF209" s="137">
        <f>ROUND(I209*H209,2)</f>
        <v>768.14</v>
      </c>
      <c r="DG209" s="16" t="s">
        <v>95</v>
      </c>
      <c r="DH209" s="136" t="s">
        <v>1559</v>
      </c>
    </row>
    <row r="210" spans="2:112" s="1" customFormat="1" x14ac:dyDescent="0.2">
      <c r="B210" s="31"/>
      <c r="D210" s="138" t="s">
        <v>289</v>
      </c>
      <c r="F210" s="139" t="s">
        <v>2948</v>
      </c>
      <c r="I210" s="140"/>
      <c r="L210" s="31"/>
      <c r="N210" s="213"/>
      <c r="O210" s="214"/>
      <c r="Q210" s="229"/>
      <c r="BH210" s="141"/>
      <c r="BO210" s="50"/>
      <c r="CO210" s="16" t="s">
        <v>289</v>
      </c>
      <c r="CP210" s="16" t="s">
        <v>83</v>
      </c>
    </row>
    <row r="211" spans="2:112" s="1" customFormat="1" ht="14.45" customHeight="1" x14ac:dyDescent="0.2">
      <c r="B211" s="124"/>
      <c r="C211" s="125" t="s">
        <v>543</v>
      </c>
      <c r="D211" s="125" t="s">
        <v>284</v>
      </c>
      <c r="E211" s="126" t="s">
        <v>2949</v>
      </c>
      <c r="F211" s="127" t="s">
        <v>2950</v>
      </c>
      <c r="G211" s="128" t="s">
        <v>344</v>
      </c>
      <c r="H211" s="129">
        <v>20</v>
      </c>
      <c r="I211" s="130">
        <v>24.997022322999999</v>
      </c>
      <c r="J211" s="131">
        <f>ROUND(I211*H211,2)</f>
        <v>499.94</v>
      </c>
      <c r="K211" s="127" t="s">
        <v>1</v>
      </c>
      <c r="L211" s="268">
        <f>S211</f>
        <v>0</v>
      </c>
      <c r="M211" s="272">
        <f>ROUND(L211*I211,2)</f>
        <v>0</v>
      </c>
      <c r="N211" s="243"/>
      <c r="O211" s="294">
        <f>ROUND(N211*I211,2)</f>
        <v>0</v>
      </c>
      <c r="P211" s="273">
        <f>H211-L211-N211</f>
        <v>20</v>
      </c>
      <c r="Q211" s="287">
        <f>ROUND(P211*I211,2)</f>
        <v>499.94</v>
      </c>
      <c r="R211" s="137"/>
      <c r="S211" s="269">
        <f>W211+Y211+AA211+AC211</f>
        <v>0</v>
      </c>
      <c r="T211" s="269">
        <f>ROUND(S211*I211,2)</f>
        <v>0</v>
      </c>
      <c r="U211" s="269">
        <f>H211-S211</f>
        <v>20</v>
      </c>
      <c r="V211" s="269">
        <f>ROUND(U211*I211,2)</f>
        <v>499.94</v>
      </c>
      <c r="W211" s="269"/>
      <c r="X211" s="269"/>
      <c r="Y211" s="269"/>
      <c r="Z211" s="269"/>
      <c r="AA211" s="269"/>
      <c r="AB211" s="269"/>
      <c r="AC211" s="269"/>
      <c r="AD211" s="269"/>
      <c r="BH211" s="132" t="s">
        <v>1</v>
      </c>
      <c r="BI211" s="133" t="s">
        <v>40</v>
      </c>
      <c r="BK211" s="134">
        <f>BJ211*H211</f>
        <v>0</v>
      </c>
      <c r="BL211" s="134">
        <v>0</v>
      </c>
      <c r="BM211" s="134">
        <f>BL211*H211</f>
        <v>0</v>
      </c>
      <c r="BN211" s="134">
        <v>0</v>
      </c>
      <c r="BO211" s="135">
        <f>BN211*H211</f>
        <v>0</v>
      </c>
      <c r="CM211" s="136" t="s">
        <v>95</v>
      </c>
      <c r="CO211" s="136" t="s">
        <v>284</v>
      </c>
      <c r="CP211" s="136" t="s">
        <v>83</v>
      </c>
      <c r="CT211" s="16" t="s">
        <v>282</v>
      </c>
      <c r="CZ211" s="137">
        <f>IF(BI211="základní",J211,0)</f>
        <v>499.94</v>
      </c>
      <c r="DA211" s="137">
        <f>IF(BI211="snížená",J211,0)</f>
        <v>0</v>
      </c>
      <c r="DB211" s="137">
        <f>IF(BI211="zákl. přenesená",J211,0)</f>
        <v>0</v>
      </c>
      <c r="DC211" s="137">
        <f>IF(BI211="sníž. přenesená",J211,0)</f>
        <v>0</v>
      </c>
      <c r="DD211" s="137">
        <f>IF(BI211="nulová",J211,0)</f>
        <v>0</v>
      </c>
      <c r="DE211" s="16" t="s">
        <v>81</v>
      </c>
      <c r="DF211" s="137">
        <f>ROUND(I211*H211,2)</f>
        <v>499.94</v>
      </c>
      <c r="DG211" s="16" t="s">
        <v>95</v>
      </c>
      <c r="DH211" s="136" t="s">
        <v>1561</v>
      </c>
    </row>
    <row r="212" spans="2:112" s="1" customFormat="1" x14ac:dyDescent="0.2">
      <c r="B212" s="31"/>
      <c r="D212" s="138" t="s">
        <v>289</v>
      </c>
      <c r="F212" s="139" t="s">
        <v>2950</v>
      </c>
      <c r="I212" s="140"/>
      <c r="L212" s="31"/>
      <c r="N212" s="213"/>
      <c r="O212" s="214"/>
      <c r="Q212" s="229"/>
      <c r="BH212" s="141"/>
      <c r="BO212" s="50"/>
      <c r="CO212" s="16" t="s">
        <v>289</v>
      </c>
      <c r="CP212" s="16" t="s">
        <v>83</v>
      </c>
    </row>
    <row r="213" spans="2:112" s="1" customFormat="1" ht="14.45" customHeight="1" x14ac:dyDescent="0.2">
      <c r="B213" s="124"/>
      <c r="C213" s="125" t="s">
        <v>548</v>
      </c>
      <c r="D213" s="125" t="s">
        <v>284</v>
      </c>
      <c r="E213" s="126" t="s">
        <v>2951</v>
      </c>
      <c r="F213" s="127" t="s">
        <v>2952</v>
      </c>
      <c r="G213" s="128" t="s">
        <v>344</v>
      </c>
      <c r="H213" s="129">
        <v>10</v>
      </c>
      <c r="I213" s="130">
        <v>29.524713369000001</v>
      </c>
      <c r="J213" s="131">
        <f>ROUND(I213*H213,2)</f>
        <v>295.25</v>
      </c>
      <c r="K213" s="127" t="s">
        <v>1</v>
      </c>
      <c r="L213" s="268">
        <f>S213</f>
        <v>0</v>
      </c>
      <c r="M213" s="272">
        <f>ROUND(L213*I213,2)</f>
        <v>0</v>
      </c>
      <c r="N213" s="243"/>
      <c r="O213" s="294">
        <f>ROUND(N213*I213,2)</f>
        <v>0</v>
      </c>
      <c r="P213" s="273">
        <f>H213-L213-N213</f>
        <v>10</v>
      </c>
      <c r="Q213" s="287">
        <f>ROUND(P213*I213,2)</f>
        <v>295.25</v>
      </c>
      <c r="R213" s="137"/>
      <c r="S213" s="269">
        <f>W213+Y213+AA213+AC213</f>
        <v>0</v>
      </c>
      <c r="T213" s="269">
        <f>ROUND(S213*I213,2)</f>
        <v>0</v>
      </c>
      <c r="U213" s="269">
        <f>H213-S213</f>
        <v>10</v>
      </c>
      <c r="V213" s="269">
        <f>ROUND(U213*I213,2)</f>
        <v>295.25</v>
      </c>
      <c r="W213" s="269"/>
      <c r="X213" s="269"/>
      <c r="Y213" s="269"/>
      <c r="Z213" s="269"/>
      <c r="AA213" s="269"/>
      <c r="AB213" s="269"/>
      <c r="AC213" s="269"/>
      <c r="AD213" s="269"/>
      <c r="BH213" s="132" t="s">
        <v>1</v>
      </c>
      <c r="BI213" s="133" t="s">
        <v>40</v>
      </c>
      <c r="BK213" s="134">
        <f>BJ213*H213</f>
        <v>0</v>
      </c>
      <c r="BL213" s="134">
        <v>0</v>
      </c>
      <c r="BM213" s="134">
        <f>BL213*H213</f>
        <v>0</v>
      </c>
      <c r="BN213" s="134">
        <v>0</v>
      </c>
      <c r="BO213" s="135">
        <f>BN213*H213</f>
        <v>0</v>
      </c>
      <c r="CM213" s="136" t="s">
        <v>95</v>
      </c>
      <c r="CO213" s="136" t="s">
        <v>284</v>
      </c>
      <c r="CP213" s="136" t="s">
        <v>83</v>
      </c>
      <c r="CT213" s="16" t="s">
        <v>282</v>
      </c>
      <c r="CZ213" s="137">
        <f>IF(BI213="základní",J213,0)</f>
        <v>295.25</v>
      </c>
      <c r="DA213" s="137">
        <f>IF(BI213="snížená",J213,0)</f>
        <v>0</v>
      </c>
      <c r="DB213" s="137">
        <f>IF(BI213="zákl. přenesená",J213,0)</f>
        <v>0</v>
      </c>
      <c r="DC213" s="137">
        <f>IF(BI213="sníž. přenesená",J213,0)</f>
        <v>0</v>
      </c>
      <c r="DD213" s="137">
        <f>IF(BI213="nulová",J213,0)</f>
        <v>0</v>
      </c>
      <c r="DE213" s="16" t="s">
        <v>81</v>
      </c>
      <c r="DF213" s="137">
        <f>ROUND(I213*H213,2)</f>
        <v>295.25</v>
      </c>
      <c r="DG213" s="16" t="s">
        <v>95</v>
      </c>
      <c r="DH213" s="136" t="s">
        <v>1563</v>
      </c>
    </row>
    <row r="214" spans="2:112" s="1" customFormat="1" x14ac:dyDescent="0.2">
      <c r="B214" s="31"/>
      <c r="D214" s="138" t="s">
        <v>289</v>
      </c>
      <c r="F214" s="139" t="s">
        <v>2952</v>
      </c>
      <c r="I214" s="140"/>
      <c r="L214" s="31"/>
      <c r="N214" s="213"/>
      <c r="O214" s="214"/>
      <c r="Q214" s="229"/>
      <c r="BH214" s="141"/>
      <c r="BO214" s="50"/>
      <c r="CO214" s="16" t="s">
        <v>289</v>
      </c>
      <c r="CP214" s="16" t="s">
        <v>83</v>
      </c>
    </row>
    <row r="215" spans="2:112" s="1" customFormat="1" ht="14.45" customHeight="1" x14ac:dyDescent="0.2">
      <c r="B215" s="124"/>
      <c r="C215" s="125" t="s">
        <v>556</v>
      </c>
      <c r="D215" s="125" t="s">
        <v>284</v>
      </c>
      <c r="E215" s="126" t="s">
        <v>2953</v>
      </c>
      <c r="F215" s="127" t="s">
        <v>2954</v>
      </c>
      <c r="G215" s="128" t="s">
        <v>344</v>
      </c>
      <c r="H215" s="129">
        <v>5</v>
      </c>
      <c r="I215" s="130">
        <v>30.680316523000002</v>
      </c>
      <c r="J215" s="131">
        <f>ROUND(I215*H215,2)</f>
        <v>153.4</v>
      </c>
      <c r="K215" s="127" t="s">
        <v>1</v>
      </c>
      <c r="L215" s="268">
        <f>S215</f>
        <v>0</v>
      </c>
      <c r="M215" s="272">
        <f>ROUND(L215*I215,2)</f>
        <v>0</v>
      </c>
      <c r="N215" s="243"/>
      <c r="O215" s="294">
        <f>ROUND(N215*I215,2)</f>
        <v>0</v>
      </c>
      <c r="P215" s="273">
        <f>H215-L215-N215</f>
        <v>5</v>
      </c>
      <c r="Q215" s="287">
        <f>ROUND(P215*I215,2)</f>
        <v>153.4</v>
      </c>
      <c r="R215" s="137"/>
      <c r="S215" s="269">
        <f>W215+Y215+AA215+AC215</f>
        <v>0</v>
      </c>
      <c r="T215" s="269">
        <f>ROUND(S215*I215,2)</f>
        <v>0</v>
      </c>
      <c r="U215" s="269">
        <f>H215-S215</f>
        <v>5</v>
      </c>
      <c r="V215" s="269">
        <f>ROUND(U215*I215,2)</f>
        <v>153.4</v>
      </c>
      <c r="W215" s="269"/>
      <c r="X215" s="269"/>
      <c r="Y215" s="269"/>
      <c r="Z215" s="269"/>
      <c r="AA215" s="269"/>
      <c r="AB215" s="269"/>
      <c r="AC215" s="269"/>
      <c r="AD215" s="269"/>
      <c r="BH215" s="132" t="s">
        <v>1</v>
      </c>
      <c r="BI215" s="133" t="s">
        <v>40</v>
      </c>
      <c r="BK215" s="134">
        <f>BJ215*H215</f>
        <v>0</v>
      </c>
      <c r="BL215" s="134">
        <v>0</v>
      </c>
      <c r="BM215" s="134">
        <f>BL215*H215</f>
        <v>0</v>
      </c>
      <c r="BN215" s="134">
        <v>0</v>
      </c>
      <c r="BO215" s="135">
        <f>BN215*H215</f>
        <v>0</v>
      </c>
      <c r="CM215" s="136" t="s">
        <v>95</v>
      </c>
      <c r="CO215" s="136" t="s">
        <v>284</v>
      </c>
      <c r="CP215" s="136" t="s">
        <v>83</v>
      </c>
      <c r="CT215" s="16" t="s">
        <v>282</v>
      </c>
      <c r="CZ215" s="137">
        <f>IF(BI215="základní",J215,0)</f>
        <v>153.4</v>
      </c>
      <c r="DA215" s="137">
        <f>IF(BI215="snížená",J215,0)</f>
        <v>0</v>
      </c>
      <c r="DB215" s="137">
        <f>IF(BI215="zákl. přenesená",J215,0)</f>
        <v>0</v>
      </c>
      <c r="DC215" s="137">
        <f>IF(BI215="sníž. přenesená",J215,0)</f>
        <v>0</v>
      </c>
      <c r="DD215" s="137">
        <f>IF(BI215="nulová",J215,0)</f>
        <v>0</v>
      </c>
      <c r="DE215" s="16" t="s">
        <v>81</v>
      </c>
      <c r="DF215" s="137">
        <f>ROUND(I215*H215,2)</f>
        <v>153.4</v>
      </c>
      <c r="DG215" s="16" t="s">
        <v>95</v>
      </c>
      <c r="DH215" s="136" t="s">
        <v>1568</v>
      </c>
    </row>
    <row r="216" spans="2:112" s="1" customFormat="1" x14ac:dyDescent="0.2">
      <c r="B216" s="31"/>
      <c r="D216" s="138" t="s">
        <v>289</v>
      </c>
      <c r="F216" s="139" t="s">
        <v>2954</v>
      </c>
      <c r="I216" s="140"/>
      <c r="L216" s="31"/>
      <c r="N216" s="213"/>
      <c r="O216" s="214"/>
      <c r="Q216" s="229"/>
      <c r="BH216" s="141"/>
      <c r="BO216" s="50"/>
      <c r="CO216" s="16" t="s">
        <v>289</v>
      </c>
      <c r="CP216" s="16" t="s">
        <v>83</v>
      </c>
    </row>
    <row r="217" spans="2:112" s="1" customFormat="1" ht="14.45" customHeight="1" x14ac:dyDescent="0.2">
      <c r="B217" s="124"/>
      <c r="C217" s="125" t="s">
        <v>562</v>
      </c>
      <c r="D217" s="125" t="s">
        <v>284</v>
      </c>
      <c r="E217" s="126" t="s">
        <v>2955</v>
      </c>
      <c r="F217" s="127" t="s">
        <v>2956</v>
      </c>
      <c r="G217" s="128" t="s">
        <v>344</v>
      </c>
      <c r="H217" s="129">
        <v>5</v>
      </c>
      <c r="I217" s="130">
        <v>50.145599157999996</v>
      </c>
      <c r="J217" s="131">
        <f>ROUND(I217*H217,2)</f>
        <v>250.73</v>
      </c>
      <c r="K217" s="127" t="s">
        <v>1</v>
      </c>
      <c r="L217" s="268">
        <f>S217</f>
        <v>0</v>
      </c>
      <c r="M217" s="272">
        <f>ROUND(L217*I217,2)</f>
        <v>0</v>
      </c>
      <c r="N217" s="243"/>
      <c r="O217" s="294">
        <f>ROUND(N217*I217,2)</f>
        <v>0</v>
      </c>
      <c r="P217" s="273">
        <f>H217-L217-N217</f>
        <v>5</v>
      </c>
      <c r="Q217" s="287">
        <f>ROUND(P217*I217,2)</f>
        <v>250.73</v>
      </c>
      <c r="R217" s="137"/>
      <c r="S217" s="269">
        <f>W217+Y217+AA217+AC217</f>
        <v>0</v>
      </c>
      <c r="T217" s="269">
        <f>ROUND(S217*I217,2)</f>
        <v>0</v>
      </c>
      <c r="U217" s="269">
        <f>H217-S217</f>
        <v>5</v>
      </c>
      <c r="V217" s="269">
        <f>ROUND(U217*I217,2)</f>
        <v>250.73</v>
      </c>
      <c r="W217" s="269"/>
      <c r="X217" s="269"/>
      <c r="Y217" s="269"/>
      <c r="Z217" s="269"/>
      <c r="AA217" s="269"/>
      <c r="AB217" s="269"/>
      <c r="AC217" s="269"/>
      <c r="AD217" s="269"/>
      <c r="BH217" s="132" t="s">
        <v>1</v>
      </c>
      <c r="BI217" s="133" t="s">
        <v>40</v>
      </c>
      <c r="BK217" s="134">
        <f>BJ217*H217</f>
        <v>0</v>
      </c>
      <c r="BL217" s="134">
        <v>0</v>
      </c>
      <c r="BM217" s="134">
        <f>BL217*H217</f>
        <v>0</v>
      </c>
      <c r="BN217" s="134">
        <v>0</v>
      </c>
      <c r="BO217" s="135">
        <f>BN217*H217</f>
        <v>0</v>
      </c>
      <c r="CM217" s="136" t="s">
        <v>95</v>
      </c>
      <c r="CO217" s="136" t="s">
        <v>284</v>
      </c>
      <c r="CP217" s="136" t="s">
        <v>83</v>
      </c>
      <c r="CT217" s="16" t="s">
        <v>282</v>
      </c>
      <c r="CZ217" s="137">
        <f>IF(BI217="základní",J217,0)</f>
        <v>250.73</v>
      </c>
      <c r="DA217" s="137">
        <f>IF(BI217="snížená",J217,0)</f>
        <v>0</v>
      </c>
      <c r="DB217" s="137">
        <f>IF(BI217="zákl. přenesená",J217,0)</f>
        <v>0</v>
      </c>
      <c r="DC217" s="137">
        <f>IF(BI217="sníž. přenesená",J217,0)</f>
        <v>0</v>
      </c>
      <c r="DD217" s="137">
        <f>IF(BI217="nulová",J217,0)</f>
        <v>0</v>
      </c>
      <c r="DE217" s="16" t="s">
        <v>81</v>
      </c>
      <c r="DF217" s="137">
        <f>ROUND(I217*H217,2)</f>
        <v>250.73</v>
      </c>
      <c r="DG217" s="16" t="s">
        <v>95</v>
      </c>
      <c r="DH217" s="136" t="s">
        <v>1570</v>
      </c>
    </row>
    <row r="218" spans="2:112" s="1" customFormat="1" x14ac:dyDescent="0.2">
      <c r="B218" s="31"/>
      <c r="D218" s="138" t="s">
        <v>289</v>
      </c>
      <c r="F218" s="139" t="s">
        <v>2956</v>
      </c>
      <c r="I218" s="140"/>
      <c r="L218" s="31"/>
      <c r="N218" s="213"/>
      <c r="O218" s="214"/>
      <c r="Q218" s="229"/>
      <c r="BH218" s="141"/>
      <c r="BO218" s="50"/>
      <c r="CO218" s="16" t="s">
        <v>289</v>
      </c>
      <c r="CP218" s="16" t="s">
        <v>83</v>
      </c>
    </row>
    <row r="219" spans="2:112" s="1" customFormat="1" ht="14.45" customHeight="1" x14ac:dyDescent="0.2">
      <c r="B219" s="124"/>
      <c r="C219" s="125" t="s">
        <v>568</v>
      </c>
      <c r="D219" s="125" t="s">
        <v>284</v>
      </c>
      <c r="E219" s="126" t="s">
        <v>2957</v>
      </c>
      <c r="F219" s="127" t="s">
        <v>2958</v>
      </c>
      <c r="G219" s="128" t="s">
        <v>344</v>
      </c>
      <c r="H219" s="129">
        <v>8</v>
      </c>
      <c r="I219" s="130">
        <v>324.31718352299998</v>
      </c>
      <c r="J219" s="131">
        <f>ROUND(I219*H219,2)</f>
        <v>2594.54</v>
      </c>
      <c r="K219" s="127" t="s">
        <v>1</v>
      </c>
      <c r="L219" s="268">
        <f>S219</f>
        <v>0</v>
      </c>
      <c r="M219" s="272">
        <f>ROUND(L219*I219,2)</f>
        <v>0</v>
      </c>
      <c r="N219" s="243"/>
      <c r="O219" s="294">
        <f>ROUND(N219*I219,2)</f>
        <v>0</v>
      </c>
      <c r="P219" s="273">
        <f>H219-L219-N219</f>
        <v>8</v>
      </c>
      <c r="Q219" s="287">
        <f>ROUND(P219*I219,2)</f>
        <v>2594.54</v>
      </c>
      <c r="R219" s="137"/>
      <c r="S219" s="269">
        <f>W219+Y219+AA219+AC219</f>
        <v>0</v>
      </c>
      <c r="T219" s="269">
        <f>ROUND(S219*I219,2)</f>
        <v>0</v>
      </c>
      <c r="U219" s="269">
        <f>H219-S219</f>
        <v>8</v>
      </c>
      <c r="V219" s="269">
        <f>ROUND(U219*I219,2)</f>
        <v>2594.54</v>
      </c>
      <c r="W219" s="269"/>
      <c r="X219" s="269"/>
      <c r="Y219" s="269"/>
      <c r="Z219" s="269"/>
      <c r="AA219" s="269"/>
      <c r="AB219" s="269"/>
      <c r="AC219" s="269"/>
      <c r="AD219" s="269"/>
      <c r="BH219" s="132" t="s">
        <v>1</v>
      </c>
      <c r="BI219" s="133" t="s">
        <v>40</v>
      </c>
      <c r="BK219" s="134">
        <f>BJ219*H219</f>
        <v>0</v>
      </c>
      <c r="BL219" s="134">
        <v>0</v>
      </c>
      <c r="BM219" s="134">
        <f>BL219*H219</f>
        <v>0</v>
      </c>
      <c r="BN219" s="134">
        <v>0</v>
      </c>
      <c r="BO219" s="135">
        <f>BN219*H219</f>
        <v>0</v>
      </c>
      <c r="CM219" s="136" t="s">
        <v>95</v>
      </c>
      <c r="CO219" s="136" t="s">
        <v>284</v>
      </c>
      <c r="CP219" s="136" t="s">
        <v>83</v>
      </c>
      <c r="CT219" s="16" t="s">
        <v>282</v>
      </c>
      <c r="CZ219" s="137">
        <f>IF(BI219="základní",J219,0)</f>
        <v>2594.54</v>
      </c>
      <c r="DA219" s="137">
        <f>IF(BI219="snížená",J219,0)</f>
        <v>0</v>
      </c>
      <c r="DB219" s="137">
        <f>IF(BI219="zákl. přenesená",J219,0)</f>
        <v>0</v>
      </c>
      <c r="DC219" s="137">
        <f>IF(BI219="sníž. přenesená",J219,0)</f>
        <v>0</v>
      </c>
      <c r="DD219" s="137">
        <f>IF(BI219="nulová",J219,0)</f>
        <v>0</v>
      </c>
      <c r="DE219" s="16" t="s">
        <v>81</v>
      </c>
      <c r="DF219" s="137">
        <f>ROUND(I219*H219,2)</f>
        <v>2594.54</v>
      </c>
      <c r="DG219" s="16" t="s">
        <v>95</v>
      </c>
      <c r="DH219" s="136" t="s">
        <v>2606</v>
      </c>
    </row>
    <row r="220" spans="2:112" s="1" customFormat="1" x14ac:dyDescent="0.2">
      <c r="B220" s="31"/>
      <c r="D220" s="138" t="s">
        <v>289</v>
      </c>
      <c r="F220" s="139" t="s">
        <v>2958</v>
      </c>
      <c r="I220" s="140"/>
      <c r="L220" s="31"/>
      <c r="N220" s="213"/>
      <c r="O220" s="214"/>
      <c r="Q220" s="229"/>
      <c r="BH220" s="141"/>
      <c r="BO220" s="50"/>
      <c r="CO220" s="16" t="s">
        <v>289</v>
      </c>
      <c r="CP220" s="16" t="s">
        <v>83</v>
      </c>
    </row>
    <row r="221" spans="2:112" s="1" customFormat="1" ht="14.45" customHeight="1" x14ac:dyDescent="0.2">
      <c r="B221" s="124"/>
      <c r="C221" s="125" t="s">
        <v>572</v>
      </c>
      <c r="D221" s="125" t="s">
        <v>284</v>
      </c>
      <c r="E221" s="126" t="s">
        <v>2959</v>
      </c>
      <c r="F221" s="127" t="s">
        <v>2960</v>
      </c>
      <c r="G221" s="128" t="s">
        <v>315</v>
      </c>
      <c r="H221" s="129">
        <v>4</v>
      </c>
      <c r="I221" s="130">
        <v>240.895896824</v>
      </c>
      <c r="J221" s="131">
        <f>ROUND(I221*H221,2)</f>
        <v>963.58</v>
      </c>
      <c r="K221" s="127" t="s">
        <v>1</v>
      </c>
      <c r="L221" s="268">
        <f>S221</f>
        <v>0</v>
      </c>
      <c r="M221" s="272">
        <f>ROUND(L221*I221,2)</f>
        <v>0</v>
      </c>
      <c r="N221" s="243"/>
      <c r="O221" s="294">
        <f>ROUND(N221*I221,2)</f>
        <v>0</v>
      </c>
      <c r="P221" s="273">
        <f>H221-L221-N221</f>
        <v>4</v>
      </c>
      <c r="Q221" s="287">
        <f>ROUND(P221*I221,2)</f>
        <v>963.58</v>
      </c>
      <c r="R221" s="137"/>
      <c r="S221" s="269">
        <f>W221+Y221+AA221+AC221</f>
        <v>0</v>
      </c>
      <c r="T221" s="269">
        <f>ROUND(S221*I221,2)</f>
        <v>0</v>
      </c>
      <c r="U221" s="269">
        <f>H221-S221</f>
        <v>4</v>
      </c>
      <c r="V221" s="269">
        <f>ROUND(U221*I221,2)</f>
        <v>963.58</v>
      </c>
      <c r="W221" s="269"/>
      <c r="X221" s="269"/>
      <c r="Y221" s="269"/>
      <c r="Z221" s="269"/>
      <c r="AA221" s="269"/>
      <c r="AB221" s="269"/>
      <c r="AC221" s="269"/>
      <c r="AD221" s="269"/>
      <c r="BH221" s="132" t="s">
        <v>1</v>
      </c>
      <c r="BI221" s="133" t="s">
        <v>40</v>
      </c>
      <c r="BK221" s="134">
        <f>BJ221*H221</f>
        <v>0</v>
      </c>
      <c r="BL221" s="134">
        <v>0</v>
      </c>
      <c r="BM221" s="134">
        <f>BL221*H221</f>
        <v>0</v>
      </c>
      <c r="BN221" s="134">
        <v>0</v>
      </c>
      <c r="BO221" s="135">
        <f>BN221*H221</f>
        <v>0</v>
      </c>
      <c r="CM221" s="136" t="s">
        <v>95</v>
      </c>
      <c r="CO221" s="136" t="s">
        <v>284</v>
      </c>
      <c r="CP221" s="136" t="s">
        <v>83</v>
      </c>
      <c r="CT221" s="16" t="s">
        <v>282</v>
      </c>
      <c r="CZ221" s="137">
        <f>IF(BI221="základní",J221,0)</f>
        <v>963.58</v>
      </c>
      <c r="DA221" s="137">
        <f>IF(BI221="snížená",J221,0)</f>
        <v>0</v>
      </c>
      <c r="DB221" s="137">
        <f>IF(BI221="zákl. přenesená",J221,0)</f>
        <v>0</v>
      </c>
      <c r="DC221" s="137">
        <f>IF(BI221="sníž. přenesená",J221,0)</f>
        <v>0</v>
      </c>
      <c r="DD221" s="137">
        <f>IF(BI221="nulová",J221,0)</f>
        <v>0</v>
      </c>
      <c r="DE221" s="16" t="s">
        <v>81</v>
      </c>
      <c r="DF221" s="137">
        <f>ROUND(I221*H221,2)</f>
        <v>963.58</v>
      </c>
      <c r="DG221" s="16" t="s">
        <v>95</v>
      </c>
      <c r="DH221" s="136" t="s">
        <v>2610</v>
      </c>
    </row>
    <row r="222" spans="2:112" s="1" customFormat="1" x14ac:dyDescent="0.2">
      <c r="B222" s="31"/>
      <c r="D222" s="138" t="s">
        <v>289</v>
      </c>
      <c r="F222" s="139" t="s">
        <v>2960</v>
      </c>
      <c r="I222" s="140"/>
      <c r="L222" s="31"/>
      <c r="N222" s="213"/>
      <c r="O222" s="214"/>
      <c r="Q222" s="229"/>
      <c r="BH222" s="141"/>
      <c r="BO222" s="50"/>
      <c r="CO222" s="16" t="s">
        <v>289</v>
      </c>
      <c r="CP222" s="16" t="s">
        <v>83</v>
      </c>
    </row>
    <row r="223" spans="2:112" s="1" customFormat="1" ht="14.45" customHeight="1" x14ac:dyDescent="0.2">
      <c r="B223" s="124"/>
      <c r="C223" s="125" t="s">
        <v>576</v>
      </c>
      <c r="D223" s="125" t="s">
        <v>284</v>
      </c>
      <c r="E223" s="126" t="s">
        <v>2961</v>
      </c>
      <c r="F223" s="127" t="s">
        <v>2962</v>
      </c>
      <c r="G223" s="128" t="s">
        <v>315</v>
      </c>
      <c r="H223" s="129">
        <v>6</v>
      </c>
      <c r="I223" s="130">
        <v>241.89047330900001</v>
      </c>
      <c r="J223" s="131">
        <f>ROUND(I223*H223,2)</f>
        <v>1451.34</v>
      </c>
      <c r="K223" s="127" t="s">
        <v>1</v>
      </c>
      <c r="L223" s="268">
        <f>S223</f>
        <v>0</v>
      </c>
      <c r="M223" s="272">
        <f>ROUND(L223*I223,2)</f>
        <v>0</v>
      </c>
      <c r="N223" s="243"/>
      <c r="O223" s="294">
        <f>ROUND(N223*I223,2)</f>
        <v>0</v>
      </c>
      <c r="P223" s="273">
        <f>H223-L223-N223</f>
        <v>6</v>
      </c>
      <c r="Q223" s="287">
        <f>ROUND(P223*I223,2)</f>
        <v>1451.34</v>
      </c>
      <c r="R223" s="137"/>
      <c r="S223" s="269">
        <f>W223+Y223+AA223+AC223</f>
        <v>0</v>
      </c>
      <c r="T223" s="269">
        <f>ROUND(S223*I223,2)</f>
        <v>0</v>
      </c>
      <c r="U223" s="269">
        <f>H223-S223</f>
        <v>6</v>
      </c>
      <c r="V223" s="269">
        <f>ROUND(U223*I223,2)</f>
        <v>1451.34</v>
      </c>
      <c r="W223" s="269"/>
      <c r="X223" s="269"/>
      <c r="Y223" s="269"/>
      <c r="Z223" s="269"/>
      <c r="AA223" s="269"/>
      <c r="AB223" s="269"/>
      <c r="AC223" s="269"/>
      <c r="AD223" s="269"/>
      <c r="BH223" s="132" t="s">
        <v>1</v>
      </c>
      <c r="BI223" s="133" t="s">
        <v>40</v>
      </c>
      <c r="BK223" s="134">
        <f>BJ223*H223</f>
        <v>0</v>
      </c>
      <c r="BL223" s="134">
        <v>0</v>
      </c>
      <c r="BM223" s="134">
        <f>BL223*H223</f>
        <v>0</v>
      </c>
      <c r="BN223" s="134">
        <v>0</v>
      </c>
      <c r="BO223" s="135">
        <f>BN223*H223</f>
        <v>0</v>
      </c>
      <c r="CM223" s="136" t="s">
        <v>95</v>
      </c>
      <c r="CO223" s="136" t="s">
        <v>284</v>
      </c>
      <c r="CP223" s="136" t="s">
        <v>83</v>
      </c>
      <c r="CT223" s="16" t="s">
        <v>282</v>
      </c>
      <c r="CZ223" s="137">
        <f>IF(BI223="základní",J223,0)</f>
        <v>1451.34</v>
      </c>
      <c r="DA223" s="137">
        <f>IF(BI223="snížená",J223,0)</f>
        <v>0</v>
      </c>
      <c r="DB223" s="137">
        <f>IF(BI223="zákl. přenesená",J223,0)</f>
        <v>0</v>
      </c>
      <c r="DC223" s="137">
        <f>IF(BI223="sníž. přenesená",J223,0)</f>
        <v>0</v>
      </c>
      <c r="DD223" s="137">
        <f>IF(BI223="nulová",J223,0)</f>
        <v>0</v>
      </c>
      <c r="DE223" s="16" t="s">
        <v>81</v>
      </c>
      <c r="DF223" s="137">
        <f>ROUND(I223*H223,2)</f>
        <v>1451.34</v>
      </c>
      <c r="DG223" s="16" t="s">
        <v>95</v>
      </c>
      <c r="DH223" s="136" t="s">
        <v>2613</v>
      </c>
    </row>
    <row r="224" spans="2:112" s="1" customFormat="1" x14ac:dyDescent="0.2">
      <c r="B224" s="31"/>
      <c r="D224" s="138" t="s">
        <v>289</v>
      </c>
      <c r="F224" s="139" t="s">
        <v>2962</v>
      </c>
      <c r="I224" s="140"/>
      <c r="L224" s="31"/>
      <c r="N224" s="213"/>
      <c r="O224" s="214"/>
      <c r="Q224" s="229"/>
      <c r="BH224" s="141"/>
      <c r="BO224" s="50"/>
      <c r="CO224" s="16" t="s">
        <v>289</v>
      </c>
      <c r="CP224" s="16" t="s">
        <v>83</v>
      </c>
    </row>
    <row r="225" spans="2:112" s="1" customFormat="1" ht="14.45" customHeight="1" x14ac:dyDescent="0.2">
      <c r="B225" s="124"/>
      <c r="C225" s="125" t="s">
        <v>581</v>
      </c>
      <c r="D225" s="125" t="s">
        <v>284</v>
      </c>
      <c r="E225" s="126" t="s">
        <v>2963</v>
      </c>
      <c r="F225" s="127" t="s">
        <v>2964</v>
      </c>
      <c r="G225" s="128" t="s">
        <v>315</v>
      </c>
      <c r="H225" s="129">
        <v>1</v>
      </c>
      <c r="I225" s="130">
        <v>273.31909023500003</v>
      </c>
      <c r="J225" s="131">
        <f>ROUND(I225*H225,2)</f>
        <v>273.32</v>
      </c>
      <c r="K225" s="127" t="s">
        <v>1</v>
      </c>
      <c r="L225" s="268">
        <f>S225</f>
        <v>0</v>
      </c>
      <c r="M225" s="272">
        <f>ROUND(L225*I225,2)</f>
        <v>0</v>
      </c>
      <c r="N225" s="243"/>
      <c r="O225" s="294">
        <f>ROUND(N225*I225,2)</f>
        <v>0</v>
      </c>
      <c r="P225" s="273">
        <f>H225-L225-N225</f>
        <v>1</v>
      </c>
      <c r="Q225" s="287">
        <f>ROUND(P225*I225,2)</f>
        <v>273.32</v>
      </c>
      <c r="R225" s="137"/>
      <c r="S225" s="269">
        <f>W225+Y225+AA225+AC225</f>
        <v>0</v>
      </c>
      <c r="T225" s="269">
        <f>ROUND(S225*I225,2)</f>
        <v>0</v>
      </c>
      <c r="U225" s="269">
        <f>H225-S225</f>
        <v>1</v>
      </c>
      <c r="V225" s="269">
        <f>ROUND(U225*I225,2)</f>
        <v>273.32</v>
      </c>
      <c r="W225" s="269"/>
      <c r="X225" s="269"/>
      <c r="Y225" s="269"/>
      <c r="Z225" s="269"/>
      <c r="AA225" s="269"/>
      <c r="AB225" s="269"/>
      <c r="AC225" s="269"/>
      <c r="AD225" s="269"/>
      <c r="BH225" s="132" t="s">
        <v>1</v>
      </c>
      <c r="BI225" s="133" t="s">
        <v>40</v>
      </c>
      <c r="BK225" s="134">
        <f>BJ225*H225</f>
        <v>0</v>
      </c>
      <c r="BL225" s="134">
        <v>0</v>
      </c>
      <c r="BM225" s="134">
        <f>BL225*H225</f>
        <v>0</v>
      </c>
      <c r="BN225" s="134">
        <v>0</v>
      </c>
      <c r="BO225" s="135">
        <f>BN225*H225</f>
        <v>0</v>
      </c>
      <c r="CM225" s="136" t="s">
        <v>95</v>
      </c>
      <c r="CO225" s="136" t="s">
        <v>284</v>
      </c>
      <c r="CP225" s="136" t="s">
        <v>83</v>
      </c>
      <c r="CT225" s="16" t="s">
        <v>282</v>
      </c>
      <c r="CZ225" s="137">
        <f>IF(BI225="základní",J225,0)</f>
        <v>273.32</v>
      </c>
      <c r="DA225" s="137">
        <f>IF(BI225="snížená",J225,0)</f>
        <v>0</v>
      </c>
      <c r="DB225" s="137">
        <f>IF(BI225="zákl. přenesená",J225,0)</f>
        <v>0</v>
      </c>
      <c r="DC225" s="137">
        <f>IF(BI225="sníž. přenesená",J225,0)</f>
        <v>0</v>
      </c>
      <c r="DD225" s="137">
        <f>IF(BI225="nulová",J225,0)</f>
        <v>0</v>
      </c>
      <c r="DE225" s="16" t="s">
        <v>81</v>
      </c>
      <c r="DF225" s="137">
        <f>ROUND(I225*H225,2)</f>
        <v>273.32</v>
      </c>
      <c r="DG225" s="16" t="s">
        <v>95</v>
      </c>
      <c r="DH225" s="136" t="s">
        <v>2618</v>
      </c>
    </row>
    <row r="226" spans="2:112" s="1" customFormat="1" x14ac:dyDescent="0.2">
      <c r="B226" s="31"/>
      <c r="D226" s="138" t="s">
        <v>289</v>
      </c>
      <c r="F226" s="139" t="s">
        <v>2964</v>
      </c>
      <c r="I226" s="140"/>
      <c r="L226" s="31"/>
      <c r="N226" s="213"/>
      <c r="O226" s="214"/>
      <c r="Q226" s="229"/>
      <c r="BH226" s="141"/>
      <c r="BO226" s="50"/>
      <c r="CO226" s="16" t="s">
        <v>289</v>
      </c>
      <c r="CP226" s="16" t="s">
        <v>83</v>
      </c>
    </row>
    <row r="227" spans="2:112" s="1" customFormat="1" ht="24.2" customHeight="1" x14ac:dyDescent="0.2">
      <c r="B227" s="124"/>
      <c r="C227" s="125" t="s">
        <v>589</v>
      </c>
      <c r="D227" s="125" t="s">
        <v>284</v>
      </c>
      <c r="E227" s="126" t="s">
        <v>2965</v>
      </c>
      <c r="F227" s="127" t="s">
        <v>2966</v>
      </c>
      <c r="G227" s="128" t="s">
        <v>485</v>
      </c>
      <c r="H227" s="129">
        <v>116</v>
      </c>
      <c r="I227" s="130">
        <v>61.881601680999999</v>
      </c>
      <c r="J227" s="131">
        <f>ROUND(I227*H227,2)</f>
        <v>7178.27</v>
      </c>
      <c r="K227" s="127" t="s">
        <v>1</v>
      </c>
      <c r="L227" s="268">
        <f>S227</f>
        <v>0</v>
      </c>
      <c r="M227" s="272">
        <f>ROUND(L227*I227,2)</f>
        <v>0</v>
      </c>
      <c r="N227" s="243"/>
      <c r="O227" s="294">
        <f>ROUND(N227*I227,2)</f>
        <v>0</v>
      </c>
      <c r="P227" s="273">
        <f>H227-L227-N227</f>
        <v>116</v>
      </c>
      <c r="Q227" s="287">
        <f>ROUND(P227*I227,2)</f>
        <v>7178.27</v>
      </c>
      <c r="R227" s="137"/>
      <c r="S227" s="269">
        <f>W227+Y227+AA227+AC227</f>
        <v>0</v>
      </c>
      <c r="T227" s="269">
        <f>ROUND(S227*I227,2)</f>
        <v>0</v>
      </c>
      <c r="U227" s="269">
        <f>H227-S227</f>
        <v>116</v>
      </c>
      <c r="V227" s="269">
        <f>ROUND(U227*I227,2)</f>
        <v>7178.27</v>
      </c>
      <c r="W227" s="269"/>
      <c r="X227" s="269"/>
      <c r="Y227" s="269"/>
      <c r="Z227" s="269"/>
      <c r="AA227" s="269"/>
      <c r="AB227" s="269"/>
      <c r="AC227" s="269"/>
      <c r="AD227" s="269"/>
      <c r="BH227" s="132" t="s">
        <v>1</v>
      </c>
      <c r="BI227" s="133" t="s">
        <v>40</v>
      </c>
      <c r="BK227" s="134">
        <f>BJ227*H227</f>
        <v>0</v>
      </c>
      <c r="BL227" s="134">
        <v>0</v>
      </c>
      <c r="BM227" s="134">
        <f>BL227*H227</f>
        <v>0</v>
      </c>
      <c r="BN227" s="134">
        <v>0</v>
      </c>
      <c r="BO227" s="135">
        <f>BN227*H227</f>
        <v>0</v>
      </c>
      <c r="CM227" s="136" t="s">
        <v>95</v>
      </c>
      <c r="CO227" s="136" t="s">
        <v>284</v>
      </c>
      <c r="CP227" s="136" t="s">
        <v>83</v>
      </c>
      <c r="CT227" s="16" t="s">
        <v>282</v>
      </c>
      <c r="CZ227" s="137">
        <f>IF(BI227="základní",J227,0)</f>
        <v>7178.27</v>
      </c>
      <c r="DA227" s="137">
        <f>IF(BI227="snížená",J227,0)</f>
        <v>0</v>
      </c>
      <c r="DB227" s="137">
        <f>IF(BI227="zákl. přenesená",J227,0)</f>
        <v>0</v>
      </c>
      <c r="DC227" s="137">
        <f>IF(BI227="sníž. přenesená",J227,0)</f>
        <v>0</v>
      </c>
      <c r="DD227" s="137">
        <f>IF(BI227="nulová",J227,0)</f>
        <v>0</v>
      </c>
      <c r="DE227" s="16" t="s">
        <v>81</v>
      </c>
      <c r="DF227" s="137">
        <f>ROUND(I227*H227,2)</f>
        <v>7178.27</v>
      </c>
      <c r="DG227" s="16" t="s">
        <v>95</v>
      </c>
      <c r="DH227" s="136" t="s">
        <v>2622</v>
      </c>
    </row>
    <row r="228" spans="2:112" s="1" customFormat="1" x14ac:dyDescent="0.2">
      <c r="B228" s="31"/>
      <c r="D228" s="138" t="s">
        <v>289</v>
      </c>
      <c r="F228" s="139" t="s">
        <v>2966</v>
      </c>
      <c r="I228" s="140"/>
      <c r="L228" s="31"/>
      <c r="N228" s="213"/>
      <c r="O228" s="214"/>
      <c r="Q228" s="229"/>
      <c r="BH228" s="141"/>
      <c r="BO228" s="50"/>
      <c r="CO228" s="16" t="s">
        <v>289</v>
      </c>
      <c r="CP228" s="16" t="s">
        <v>83</v>
      </c>
    </row>
    <row r="229" spans="2:112" s="1" customFormat="1" ht="14.45" customHeight="1" x14ac:dyDescent="0.2">
      <c r="B229" s="124"/>
      <c r="C229" s="125" t="s">
        <v>594</v>
      </c>
      <c r="D229" s="125" t="s">
        <v>284</v>
      </c>
      <c r="E229" s="126" t="s">
        <v>2967</v>
      </c>
      <c r="F229" s="127" t="s">
        <v>2968</v>
      </c>
      <c r="G229" s="128" t="s">
        <v>315</v>
      </c>
      <c r="H229" s="129">
        <v>1</v>
      </c>
      <c r="I229" s="130">
        <v>3001.4139721189999</v>
      </c>
      <c r="J229" s="131">
        <f>ROUND(I229*H229,2)</f>
        <v>3001.41</v>
      </c>
      <c r="K229" s="127" t="s">
        <v>1</v>
      </c>
      <c r="L229" s="268">
        <f>S229</f>
        <v>0</v>
      </c>
      <c r="M229" s="272">
        <f>ROUND(L229*I229,2)</f>
        <v>0</v>
      </c>
      <c r="N229" s="243"/>
      <c r="O229" s="294">
        <f>ROUND(N229*I229,2)</f>
        <v>0</v>
      </c>
      <c r="P229" s="273">
        <f>H229-L229-N229</f>
        <v>1</v>
      </c>
      <c r="Q229" s="287">
        <f>ROUND(P229*I229,2)</f>
        <v>3001.41</v>
      </c>
      <c r="R229" s="137"/>
      <c r="S229" s="269">
        <f>W229+Y229+AA229+AC229</f>
        <v>0</v>
      </c>
      <c r="T229" s="269">
        <f>ROUND(S229*I229,2)</f>
        <v>0</v>
      </c>
      <c r="U229" s="269">
        <f>H229-S229</f>
        <v>1</v>
      </c>
      <c r="V229" s="269">
        <f>ROUND(U229*I229,2)</f>
        <v>3001.41</v>
      </c>
      <c r="W229" s="269"/>
      <c r="X229" s="269"/>
      <c r="Y229" s="269"/>
      <c r="Z229" s="269"/>
      <c r="AA229" s="269"/>
      <c r="AB229" s="269"/>
      <c r="AC229" s="269"/>
      <c r="AD229" s="269"/>
      <c r="BH229" s="132" t="s">
        <v>1</v>
      </c>
      <c r="BI229" s="133" t="s">
        <v>40</v>
      </c>
      <c r="BK229" s="134">
        <f>BJ229*H229</f>
        <v>0</v>
      </c>
      <c r="BL229" s="134">
        <v>0</v>
      </c>
      <c r="BM229" s="134">
        <f>BL229*H229</f>
        <v>0</v>
      </c>
      <c r="BN229" s="134">
        <v>0</v>
      </c>
      <c r="BO229" s="135">
        <f>BN229*H229</f>
        <v>0</v>
      </c>
      <c r="CM229" s="136" t="s">
        <v>95</v>
      </c>
      <c r="CO229" s="136" t="s">
        <v>284</v>
      </c>
      <c r="CP229" s="136" t="s">
        <v>83</v>
      </c>
      <c r="CT229" s="16" t="s">
        <v>282</v>
      </c>
      <c r="CZ229" s="137">
        <f>IF(BI229="základní",J229,0)</f>
        <v>3001.41</v>
      </c>
      <c r="DA229" s="137">
        <f>IF(BI229="snížená",J229,0)</f>
        <v>0</v>
      </c>
      <c r="DB229" s="137">
        <f>IF(BI229="zákl. přenesená",J229,0)</f>
        <v>0</v>
      </c>
      <c r="DC229" s="137">
        <f>IF(BI229="sníž. přenesená",J229,0)</f>
        <v>0</v>
      </c>
      <c r="DD229" s="137">
        <f>IF(BI229="nulová",J229,0)</f>
        <v>0</v>
      </c>
      <c r="DE229" s="16" t="s">
        <v>81</v>
      </c>
      <c r="DF229" s="137">
        <f>ROUND(I229*H229,2)</f>
        <v>3001.41</v>
      </c>
      <c r="DG229" s="16" t="s">
        <v>95</v>
      </c>
      <c r="DH229" s="136" t="s">
        <v>2631</v>
      </c>
    </row>
    <row r="230" spans="2:112" s="1" customFormat="1" x14ac:dyDescent="0.2">
      <c r="B230" s="31"/>
      <c r="D230" s="138" t="s">
        <v>289</v>
      </c>
      <c r="F230" s="139" t="s">
        <v>2968</v>
      </c>
      <c r="I230" s="140"/>
      <c r="L230" s="31"/>
      <c r="N230" s="213"/>
      <c r="O230" s="214"/>
      <c r="Q230" s="229"/>
      <c r="BH230" s="141"/>
      <c r="BO230" s="50"/>
      <c r="CO230" s="16" t="s">
        <v>289</v>
      </c>
      <c r="CP230" s="16" t="s">
        <v>83</v>
      </c>
    </row>
    <row r="231" spans="2:112" s="10" customFormat="1" ht="22.9" customHeight="1" x14ac:dyDescent="0.2">
      <c r="B231" s="112"/>
      <c r="D231" s="113" t="s">
        <v>73</v>
      </c>
      <c r="E231" s="122" t="s">
        <v>1985</v>
      </c>
      <c r="F231" s="122" t="s">
        <v>2969</v>
      </c>
      <c r="I231" s="115"/>
      <c r="J231" s="123">
        <f>DF231</f>
        <v>130728.38999999998</v>
      </c>
      <c r="L231" s="112"/>
      <c r="N231" s="356"/>
      <c r="O231" s="357"/>
      <c r="Q231" s="289"/>
      <c r="BH231" s="117"/>
      <c r="BK231" s="118">
        <f>BK232+BK243</f>
        <v>0</v>
      </c>
      <c r="BM231" s="118">
        <f>BM232+BM243</f>
        <v>0</v>
      </c>
      <c r="BO231" s="119">
        <f>BO232+BO243</f>
        <v>0</v>
      </c>
      <c r="CM231" s="113" t="s">
        <v>81</v>
      </c>
      <c r="CO231" s="120" t="s">
        <v>73</v>
      </c>
      <c r="CP231" s="120" t="s">
        <v>81</v>
      </c>
      <c r="CT231" s="113" t="s">
        <v>282</v>
      </c>
      <c r="DF231" s="121">
        <f>DF232+DF243</f>
        <v>130728.38999999998</v>
      </c>
    </row>
    <row r="232" spans="2:112" s="10" customFormat="1" ht="20.85" customHeight="1" x14ac:dyDescent="0.2">
      <c r="B232" s="112"/>
      <c r="D232" s="113" t="s">
        <v>73</v>
      </c>
      <c r="E232" s="122" t="s">
        <v>2970</v>
      </c>
      <c r="F232" s="122" t="s">
        <v>2971</v>
      </c>
      <c r="I232" s="115"/>
      <c r="J232" s="123">
        <f>DF232</f>
        <v>18063.07</v>
      </c>
      <c r="L232" s="112"/>
      <c r="M232" s="270">
        <f>SUM(M233:M241)</f>
        <v>0</v>
      </c>
      <c r="N232" s="301"/>
      <c r="O232" s="302">
        <f t="shared" ref="O232:V232" si="3">SUM(O233:O241)</f>
        <v>0</v>
      </c>
      <c r="P232" s="270"/>
      <c r="Q232" s="288">
        <f t="shared" si="3"/>
        <v>18063.07</v>
      </c>
      <c r="R232" s="270"/>
      <c r="S232" s="270"/>
      <c r="T232" s="270">
        <f t="shared" si="3"/>
        <v>0</v>
      </c>
      <c r="U232" s="270"/>
      <c r="V232" s="270">
        <f t="shared" si="3"/>
        <v>18063.07</v>
      </c>
      <c r="BH232" s="117"/>
      <c r="BK232" s="118">
        <f>SUM(BK233:BK242)</f>
        <v>0</v>
      </c>
      <c r="BM232" s="118">
        <f>SUM(BM233:BM242)</f>
        <v>0</v>
      </c>
      <c r="BO232" s="119">
        <f>SUM(BO233:BO242)</f>
        <v>0</v>
      </c>
      <c r="CM232" s="113" t="s">
        <v>81</v>
      </c>
      <c r="CO232" s="120" t="s">
        <v>73</v>
      </c>
      <c r="CP232" s="120" t="s">
        <v>83</v>
      </c>
      <c r="CT232" s="113" t="s">
        <v>282</v>
      </c>
      <c r="DF232" s="121">
        <f>SUM(DF233:DF242)</f>
        <v>18063.07</v>
      </c>
    </row>
    <row r="233" spans="2:112" s="1" customFormat="1" ht="14.45" customHeight="1" x14ac:dyDescent="0.2">
      <c r="B233" s="124"/>
      <c r="C233" s="125" t="s">
        <v>599</v>
      </c>
      <c r="D233" s="125" t="s">
        <v>284</v>
      </c>
      <c r="E233" s="126" t="s">
        <v>2972</v>
      </c>
      <c r="F233" s="127" t="s">
        <v>2973</v>
      </c>
      <c r="G233" s="128" t="s">
        <v>315</v>
      </c>
      <c r="H233" s="129">
        <v>1</v>
      </c>
      <c r="I233" s="130">
        <v>7738.2502446790004</v>
      </c>
      <c r="J233" s="131">
        <f>ROUND(I233*H233,2)</f>
        <v>7738.25</v>
      </c>
      <c r="K233" s="127" t="s">
        <v>1</v>
      </c>
      <c r="L233" s="268">
        <f>S233</f>
        <v>0</v>
      </c>
      <c r="M233" s="272">
        <f>ROUND(L233*I233,2)</f>
        <v>0</v>
      </c>
      <c r="N233" s="243"/>
      <c r="O233" s="294">
        <f>ROUND(N233*I233,2)</f>
        <v>0</v>
      </c>
      <c r="P233" s="273">
        <f>H233-L233-N233</f>
        <v>1</v>
      </c>
      <c r="Q233" s="287">
        <f>ROUND(P233*I233,2)</f>
        <v>7738.25</v>
      </c>
      <c r="R233" s="137"/>
      <c r="S233" s="269">
        <f>W233+Y233+AA233+AC233</f>
        <v>0</v>
      </c>
      <c r="T233" s="269">
        <f>ROUND(S233*I233,2)</f>
        <v>0</v>
      </c>
      <c r="U233" s="269">
        <f>H233-S233</f>
        <v>1</v>
      </c>
      <c r="V233" s="269">
        <f>ROUND(U233*I233,2)</f>
        <v>7738.25</v>
      </c>
      <c r="W233" s="269"/>
      <c r="X233" s="269"/>
      <c r="Y233" s="269"/>
      <c r="Z233" s="269"/>
      <c r="AA233" s="269"/>
      <c r="AB233" s="269"/>
      <c r="AC233" s="269"/>
      <c r="AD233" s="269"/>
      <c r="BH233" s="132" t="s">
        <v>1</v>
      </c>
      <c r="BI233" s="133" t="s">
        <v>40</v>
      </c>
      <c r="BK233" s="134">
        <f>BJ233*H233</f>
        <v>0</v>
      </c>
      <c r="BL233" s="134">
        <v>0</v>
      </c>
      <c r="BM233" s="134">
        <f>BL233*H233</f>
        <v>0</v>
      </c>
      <c r="BN233" s="134">
        <v>0</v>
      </c>
      <c r="BO233" s="135">
        <f>BN233*H233</f>
        <v>0</v>
      </c>
      <c r="CM233" s="136" t="s">
        <v>95</v>
      </c>
      <c r="CO233" s="136" t="s">
        <v>284</v>
      </c>
      <c r="CP233" s="136" t="s">
        <v>90</v>
      </c>
      <c r="CT233" s="16" t="s">
        <v>282</v>
      </c>
      <c r="CZ233" s="137">
        <f>IF(BI233="základní",J233,0)</f>
        <v>7738.25</v>
      </c>
      <c r="DA233" s="137">
        <f>IF(BI233="snížená",J233,0)</f>
        <v>0</v>
      </c>
      <c r="DB233" s="137">
        <f>IF(BI233="zákl. přenesená",J233,0)</f>
        <v>0</v>
      </c>
      <c r="DC233" s="137">
        <f>IF(BI233="sníž. přenesená",J233,0)</f>
        <v>0</v>
      </c>
      <c r="DD233" s="137">
        <f>IF(BI233="nulová",J233,0)</f>
        <v>0</v>
      </c>
      <c r="DE233" s="16" t="s">
        <v>81</v>
      </c>
      <c r="DF233" s="137">
        <f>ROUND(I233*H233,2)</f>
        <v>7738.25</v>
      </c>
      <c r="DG233" s="16" t="s">
        <v>95</v>
      </c>
      <c r="DH233" s="136" t="s">
        <v>2636</v>
      </c>
    </row>
    <row r="234" spans="2:112" s="1" customFormat="1" x14ac:dyDescent="0.2">
      <c r="B234" s="31"/>
      <c r="D234" s="138" t="s">
        <v>289</v>
      </c>
      <c r="F234" s="139" t="s">
        <v>2973</v>
      </c>
      <c r="I234" s="140"/>
      <c r="L234" s="31"/>
      <c r="N234" s="213"/>
      <c r="O234" s="214"/>
      <c r="Q234" s="229"/>
      <c r="BH234" s="141"/>
      <c r="BO234" s="50"/>
      <c r="CO234" s="16" t="s">
        <v>289</v>
      </c>
      <c r="CP234" s="16" t="s">
        <v>90</v>
      </c>
    </row>
    <row r="235" spans="2:112" s="1" customFormat="1" ht="14.45" customHeight="1" x14ac:dyDescent="0.2">
      <c r="B235" s="124"/>
      <c r="C235" s="125" t="s">
        <v>604</v>
      </c>
      <c r="D235" s="125" t="s">
        <v>284</v>
      </c>
      <c r="E235" s="126" t="s">
        <v>2974</v>
      </c>
      <c r="F235" s="127" t="s">
        <v>2975</v>
      </c>
      <c r="G235" s="128" t="s">
        <v>1948</v>
      </c>
      <c r="H235" s="129">
        <v>1</v>
      </c>
      <c r="I235" s="130">
        <v>3574.953078469</v>
      </c>
      <c r="J235" s="131">
        <f>ROUND(I235*H235,2)</f>
        <v>3574.95</v>
      </c>
      <c r="K235" s="127" t="s">
        <v>1</v>
      </c>
      <c r="L235" s="268">
        <f>S235</f>
        <v>0</v>
      </c>
      <c r="M235" s="272">
        <f>ROUND(L235*I235,2)</f>
        <v>0</v>
      </c>
      <c r="N235" s="243"/>
      <c r="O235" s="294">
        <f>ROUND(N235*I235,2)</f>
        <v>0</v>
      </c>
      <c r="P235" s="273">
        <f>H235-L235-N235</f>
        <v>1</v>
      </c>
      <c r="Q235" s="287">
        <f>ROUND(P235*I235,2)</f>
        <v>3574.95</v>
      </c>
      <c r="R235" s="137"/>
      <c r="S235" s="269">
        <f>W235+Y235+AA235+AC235</f>
        <v>0</v>
      </c>
      <c r="T235" s="269">
        <f>ROUND(S235*I235,2)</f>
        <v>0</v>
      </c>
      <c r="U235" s="269">
        <f>H235-S235</f>
        <v>1</v>
      </c>
      <c r="V235" s="269">
        <f>ROUND(U235*I235,2)</f>
        <v>3574.95</v>
      </c>
      <c r="W235" s="269"/>
      <c r="X235" s="269"/>
      <c r="Y235" s="269"/>
      <c r="Z235" s="269"/>
      <c r="AA235" s="269"/>
      <c r="AB235" s="269"/>
      <c r="AC235" s="269"/>
      <c r="AD235" s="269"/>
      <c r="BH235" s="132" t="s">
        <v>1</v>
      </c>
      <c r="BI235" s="133" t="s">
        <v>40</v>
      </c>
      <c r="BK235" s="134">
        <f>BJ235*H235</f>
        <v>0</v>
      </c>
      <c r="BL235" s="134">
        <v>0</v>
      </c>
      <c r="BM235" s="134">
        <f>BL235*H235</f>
        <v>0</v>
      </c>
      <c r="BN235" s="134">
        <v>0</v>
      </c>
      <c r="BO235" s="135">
        <f>BN235*H235</f>
        <v>0</v>
      </c>
      <c r="CM235" s="136" t="s">
        <v>95</v>
      </c>
      <c r="CO235" s="136" t="s">
        <v>284</v>
      </c>
      <c r="CP235" s="136" t="s">
        <v>90</v>
      </c>
      <c r="CT235" s="16" t="s">
        <v>282</v>
      </c>
      <c r="CZ235" s="137">
        <f>IF(BI235="základní",J235,0)</f>
        <v>3574.95</v>
      </c>
      <c r="DA235" s="137">
        <f>IF(BI235="snížená",J235,0)</f>
        <v>0</v>
      </c>
      <c r="DB235" s="137">
        <f>IF(BI235="zákl. přenesená",J235,0)</f>
        <v>0</v>
      </c>
      <c r="DC235" s="137">
        <f>IF(BI235="sníž. přenesená",J235,0)</f>
        <v>0</v>
      </c>
      <c r="DD235" s="137">
        <f>IF(BI235="nulová",J235,0)</f>
        <v>0</v>
      </c>
      <c r="DE235" s="16" t="s">
        <v>81</v>
      </c>
      <c r="DF235" s="137">
        <f>ROUND(I235*H235,2)</f>
        <v>3574.95</v>
      </c>
      <c r="DG235" s="16" t="s">
        <v>95</v>
      </c>
      <c r="DH235" s="136" t="s">
        <v>2639</v>
      </c>
    </row>
    <row r="236" spans="2:112" s="1" customFormat="1" x14ac:dyDescent="0.2">
      <c r="B236" s="31"/>
      <c r="D236" s="138" t="s">
        <v>289</v>
      </c>
      <c r="F236" s="139" t="s">
        <v>2975</v>
      </c>
      <c r="I236" s="140"/>
      <c r="L236" s="31"/>
      <c r="N236" s="213"/>
      <c r="O236" s="214"/>
      <c r="Q236" s="229"/>
      <c r="BH236" s="141"/>
      <c r="BO236" s="50"/>
      <c r="CO236" s="16" t="s">
        <v>289</v>
      </c>
      <c r="CP236" s="16" t="s">
        <v>90</v>
      </c>
    </row>
    <row r="237" spans="2:112" s="1" customFormat="1" ht="14.45" customHeight="1" x14ac:dyDescent="0.2">
      <c r="B237" s="124"/>
      <c r="C237" s="125" t="s">
        <v>609</v>
      </c>
      <c r="D237" s="125" t="s">
        <v>284</v>
      </c>
      <c r="E237" s="126" t="s">
        <v>2976</v>
      </c>
      <c r="F237" s="127" t="s">
        <v>1986</v>
      </c>
      <c r="G237" s="128" t="s">
        <v>1948</v>
      </c>
      <c r="H237" s="129">
        <v>1</v>
      </c>
      <c r="I237" s="130">
        <v>1385.7765691</v>
      </c>
      <c r="J237" s="131">
        <f>ROUND(I237*H237,2)</f>
        <v>1385.78</v>
      </c>
      <c r="K237" s="127" t="s">
        <v>1</v>
      </c>
      <c r="L237" s="268">
        <f>S237</f>
        <v>0</v>
      </c>
      <c r="M237" s="272">
        <f>ROUND(L237*I237,2)</f>
        <v>0</v>
      </c>
      <c r="N237" s="243"/>
      <c r="O237" s="294">
        <f>ROUND(N237*I237,2)</f>
        <v>0</v>
      </c>
      <c r="P237" s="273">
        <f>H237-L237-N237</f>
        <v>1</v>
      </c>
      <c r="Q237" s="287">
        <f>ROUND(P237*I237,2)</f>
        <v>1385.78</v>
      </c>
      <c r="R237" s="137"/>
      <c r="S237" s="269">
        <f>W237+Y237+AA237+AC237</f>
        <v>0</v>
      </c>
      <c r="T237" s="269">
        <f>ROUND(S237*I237,2)</f>
        <v>0</v>
      </c>
      <c r="U237" s="269">
        <f>H237-S237</f>
        <v>1</v>
      </c>
      <c r="V237" s="269">
        <f>ROUND(U237*I237,2)</f>
        <v>1385.78</v>
      </c>
      <c r="W237" s="269"/>
      <c r="X237" s="269"/>
      <c r="Y237" s="269"/>
      <c r="Z237" s="269"/>
      <c r="AA237" s="269"/>
      <c r="AB237" s="269"/>
      <c r="AC237" s="269"/>
      <c r="AD237" s="269"/>
      <c r="BH237" s="132" t="s">
        <v>1</v>
      </c>
      <c r="BI237" s="133" t="s">
        <v>40</v>
      </c>
      <c r="BK237" s="134">
        <f>BJ237*H237</f>
        <v>0</v>
      </c>
      <c r="BL237" s="134">
        <v>0</v>
      </c>
      <c r="BM237" s="134">
        <f>BL237*H237</f>
        <v>0</v>
      </c>
      <c r="BN237" s="134">
        <v>0</v>
      </c>
      <c r="BO237" s="135">
        <f>BN237*H237</f>
        <v>0</v>
      </c>
      <c r="CM237" s="136" t="s">
        <v>95</v>
      </c>
      <c r="CO237" s="136" t="s">
        <v>284</v>
      </c>
      <c r="CP237" s="136" t="s">
        <v>90</v>
      </c>
      <c r="CT237" s="16" t="s">
        <v>282</v>
      </c>
      <c r="CZ237" s="137">
        <f>IF(BI237="základní",J237,0)</f>
        <v>1385.78</v>
      </c>
      <c r="DA237" s="137">
        <f>IF(BI237="snížená",J237,0)</f>
        <v>0</v>
      </c>
      <c r="DB237" s="137">
        <f>IF(BI237="zákl. přenesená",J237,0)</f>
        <v>0</v>
      </c>
      <c r="DC237" s="137">
        <f>IF(BI237="sníž. přenesená",J237,0)</f>
        <v>0</v>
      </c>
      <c r="DD237" s="137">
        <f>IF(BI237="nulová",J237,0)</f>
        <v>0</v>
      </c>
      <c r="DE237" s="16" t="s">
        <v>81</v>
      </c>
      <c r="DF237" s="137">
        <f>ROUND(I237*H237,2)</f>
        <v>1385.78</v>
      </c>
      <c r="DG237" s="16" t="s">
        <v>95</v>
      </c>
      <c r="DH237" s="136" t="s">
        <v>2385</v>
      </c>
    </row>
    <row r="238" spans="2:112" s="1" customFormat="1" x14ac:dyDescent="0.2">
      <c r="B238" s="31"/>
      <c r="D238" s="138" t="s">
        <v>289</v>
      </c>
      <c r="F238" s="139" t="s">
        <v>1986</v>
      </c>
      <c r="I238" s="140"/>
      <c r="L238" s="31"/>
      <c r="N238" s="213"/>
      <c r="O238" s="214"/>
      <c r="Q238" s="229"/>
      <c r="BH238" s="141"/>
      <c r="BO238" s="50"/>
      <c r="CO238" s="16" t="s">
        <v>289</v>
      </c>
      <c r="CP238" s="16" t="s">
        <v>90</v>
      </c>
    </row>
    <row r="239" spans="2:112" s="1" customFormat="1" ht="14.45" customHeight="1" x14ac:dyDescent="0.2">
      <c r="B239" s="124"/>
      <c r="C239" s="125" t="s">
        <v>614</v>
      </c>
      <c r="D239" s="125" t="s">
        <v>284</v>
      </c>
      <c r="E239" s="126" t="s">
        <v>2977</v>
      </c>
      <c r="F239" s="127" t="s">
        <v>2978</v>
      </c>
      <c r="G239" s="128" t="s">
        <v>1948</v>
      </c>
      <c r="H239" s="129">
        <v>1</v>
      </c>
      <c r="I239" s="130">
        <v>1650.9969650999999</v>
      </c>
      <c r="J239" s="131">
        <f>ROUND(I239*H239,2)</f>
        <v>1651</v>
      </c>
      <c r="K239" s="127" t="s">
        <v>1</v>
      </c>
      <c r="L239" s="268">
        <f>S239</f>
        <v>0</v>
      </c>
      <c r="M239" s="272">
        <f>ROUND(L239*I239,2)</f>
        <v>0</v>
      </c>
      <c r="N239" s="243"/>
      <c r="O239" s="294">
        <f>ROUND(N239*I239,2)</f>
        <v>0</v>
      </c>
      <c r="P239" s="273">
        <f>H239-L239-N239</f>
        <v>1</v>
      </c>
      <c r="Q239" s="287">
        <f>ROUND(P239*I239,2)</f>
        <v>1651</v>
      </c>
      <c r="R239" s="137"/>
      <c r="S239" s="269">
        <f>W239+Y239+AA239+AC239</f>
        <v>0</v>
      </c>
      <c r="T239" s="269">
        <f>ROUND(S239*I239,2)</f>
        <v>0</v>
      </c>
      <c r="U239" s="269">
        <f>H239-S239</f>
        <v>1</v>
      </c>
      <c r="V239" s="269">
        <f>ROUND(U239*I239,2)</f>
        <v>1651</v>
      </c>
      <c r="W239" s="269"/>
      <c r="X239" s="269"/>
      <c r="Y239" s="269"/>
      <c r="Z239" s="269"/>
      <c r="AA239" s="269"/>
      <c r="AB239" s="269"/>
      <c r="AC239" s="269"/>
      <c r="AD239" s="269"/>
      <c r="BH239" s="132" t="s">
        <v>1</v>
      </c>
      <c r="BI239" s="133" t="s">
        <v>40</v>
      </c>
      <c r="BK239" s="134">
        <f>BJ239*H239</f>
        <v>0</v>
      </c>
      <c r="BL239" s="134">
        <v>0</v>
      </c>
      <c r="BM239" s="134">
        <f>BL239*H239</f>
        <v>0</v>
      </c>
      <c r="BN239" s="134">
        <v>0</v>
      </c>
      <c r="BO239" s="135">
        <f>BN239*H239</f>
        <v>0</v>
      </c>
      <c r="CM239" s="136" t="s">
        <v>95</v>
      </c>
      <c r="CO239" s="136" t="s">
        <v>284</v>
      </c>
      <c r="CP239" s="136" t="s">
        <v>90</v>
      </c>
      <c r="CT239" s="16" t="s">
        <v>282</v>
      </c>
      <c r="CZ239" s="137">
        <f>IF(BI239="základní",J239,0)</f>
        <v>1651</v>
      </c>
      <c r="DA239" s="137">
        <f>IF(BI239="snížená",J239,0)</f>
        <v>0</v>
      </c>
      <c r="DB239" s="137">
        <f>IF(BI239="zákl. přenesená",J239,0)</f>
        <v>0</v>
      </c>
      <c r="DC239" s="137">
        <f>IF(BI239="sníž. přenesená",J239,0)</f>
        <v>0</v>
      </c>
      <c r="DD239" s="137">
        <f>IF(BI239="nulová",J239,0)</f>
        <v>0</v>
      </c>
      <c r="DE239" s="16" t="s">
        <v>81</v>
      </c>
      <c r="DF239" s="137">
        <f>ROUND(I239*H239,2)</f>
        <v>1651</v>
      </c>
      <c r="DG239" s="16" t="s">
        <v>95</v>
      </c>
      <c r="DH239" s="136" t="s">
        <v>2645</v>
      </c>
    </row>
    <row r="240" spans="2:112" s="1" customFormat="1" x14ac:dyDescent="0.2">
      <c r="B240" s="31"/>
      <c r="D240" s="138" t="s">
        <v>289</v>
      </c>
      <c r="F240" s="139" t="s">
        <v>2978</v>
      </c>
      <c r="I240" s="140"/>
      <c r="L240" s="31"/>
      <c r="N240" s="213"/>
      <c r="O240" s="214"/>
      <c r="Q240" s="229"/>
      <c r="BH240" s="141"/>
      <c r="BO240" s="50"/>
      <c r="CO240" s="16" t="s">
        <v>289</v>
      </c>
      <c r="CP240" s="16" t="s">
        <v>90</v>
      </c>
    </row>
    <row r="241" spans="2:112" s="1" customFormat="1" ht="14.45" customHeight="1" x14ac:dyDescent="0.2">
      <c r="B241" s="124"/>
      <c r="C241" s="125" t="s">
        <v>618</v>
      </c>
      <c r="D241" s="125" t="s">
        <v>284</v>
      </c>
      <c r="E241" s="126" t="s">
        <v>2979</v>
      </c>
      <c r="F241" s="127" t="s">
        <v>2980</v>
      </c>
      <c r="G241" s="128" t="s">
        <v>1948</v>
      </c>
      <c r="H241" s="129">
        <v>1</v>
      </c>
      <c r="I241" s="130">
        <v>3713.085544</v>
      </c>
      <c r="J241" s="131">
        <f>ROUND(I241*H241,2)</f>
        <v>3713.09</v>
      </c>
      <c r="K241" s="127" t="s">
        <v>1</v>
      </c>
      <c r="L241" s="268">
        <f>S241</f>
        <v>0</v>
      </c>
      <c r="M241" s="272">
        <f>ROUND(L241*I241,2)</f>
        <v>0</v>
      </c>
      <c r="N241" s="243"/>
      <c r="O241" s="294">
        <f>ROUND(N241*I241,2)</f>
        <v>0</v>
      </c>
      <c r="P241" s="273">
        <f>H241-L241-N241</f>
        <v>1</v>
      </c>
      <c r="Q241" s="287">
        <f>ROUND(P241*I241,2)</f>
        <v>3713.09</v>
      </c>
      <c r="R241" s="137"/>
      <c r="S241" s="269">
        <f>W241+Y241+AA241+AC241</f>
        <v>0</v>
      </c>
      <c r="T241" s="269">
        <f>ROUND(S241*I241,2)</f>
        <v>0</v>
      </c>
      <c r="U241" s="269">
        <f>H241-S241</f>
        <v>1</v>
      </c>
      <c r="V241" s="269">
        <f>ROUND(U241*I241,2)</f>
        <v>3713.09</v>
      </c>
      <c r="W241" s="269"/>
      <c r="X241" s="269"/>
      <c r="Y241" s="269"/>
      <c r="Z241" s="269"/>
      <c r="AA241" s="269"/>
      <c r="AB241" s="269"/>
      <c r="AC241" s="269"/>
      <c r="AD241" s="269"/>
      <c r="BH241" s="132" t="s">
        <v>1</v>
      </c>
      <c r="BI241" s="133" t="s">
        <v>40</v>
      </c>
      <c r="BK241" s="134">
        <f>BJ241*H241</f>
        <v>0</v>
      </c>
      <c r="BL241" s="134">
        <v>0</v>
      </c>
      <c r="BM241" s="134">
        <f>BL241*H241</f>
        <v>0</v>
      </c>
      <c r="BN241" s="134">
        <v>0</v>
      </c>
      <c r="BO241" s="135">
        <f>BN241*H241</f>
        <v>0</v>
      </c>
      <c r="CM241" s="136" t="s">
        <v>95</v>
      </c>
      <c r="CO241" s="136" t="s">
        <v>284</v>
      </c>
      <c r="CP241" s="136" t="s">
        <v>90</v>
      </c>
      <c r="CT241" s="16" t="s">
        <v>282</v>
      </c>
      <c r="CZ241" s="137">
        <f>IF(BI241="základní",J241,0)</f>
        <v>3713.09</v>
      </c>
      <c r="DA241" s="137">
        <f>IF(BI241="snížená",J241,0)</f>
        <v>0</v>
      </c>
      <c r="DB241" s="137">
        <f>IF(BI241="zákl. přenesená",J241,0)</f>
        <v>0</v>
      </c>
      <c r="DC241" s="137">
        <f>IF(BI241="sníž. přenesená",J241,0)</f>
        <v>0</v>
      </c>
      <c r="DD241" s="137">
        <f>IF(BI241="nulová",J241,0)</f>
        <v>0</v>
      </c>
      <c r="DE241" s="16" t="s">
        <v>81</v>
      </c>
      <c r="DF241" s="137">
        <f>ROUND(I241*H241,2)</f>
        <v>3713.09</v>
      </c>
      <c r="DG241" s="16" t="s">
        <v>95</v>
      </c>
      <c r="DH241" s="136" t="s">
        <v>2981</v>
      </c>
    </row>
    <row r="242" spans="2:112" s="1" customFormat="1" x14ac:dyDescent="0.2">
      <c r="B242" s="31"/>
      <c r="D242" s="138" t="s">
        <v>289</v>
      </c>
      <c r="F242" s="139" t="s">
        <v>2980</v>
      </c>
      <c r="I242" s="140"/>
      <c r="L242" s="31"/>
      <c r="N242" s="213"/>
      <c r="O242" s="214"/>
      <c r="Q242" s="229"/>
      <c r="BH242" s="141"/>
      <c r="BO242" s="50"/>
      <c r="CO242" s="16" t="s">
        <v>289</v>
      </c>
      <c r="CP242" s="16" t="s">
        <v>90</v>
      </c>
    </row>
    <row r="243" spans="2:112" s="10" customFormat="1" ht="20.85" customHeight="1" x14ac:dyDescent="0.2">
      <c r="B243" s="112"/>
      <c r="D243" s="113" t="s">
        <v>73</v>
      </c>
      <c r="E243" s="122" t="s">
        <v>2982</v>
      </c>
      <c r="F243" s="122" t="s">
        <v>2983</v>
      </c>
      <c r="I243" s="115"/>
      <c r="J243" s="123">
        <f>DF243</f>
        <v>112665.31999999999</v>
      </c>
      <c r="L243" s="112"/>
      <c r="M243" s="270">
        <f>SUM(M244:M272)</f>
        <v>0</v>
      </c>
      <c r="N243" s="301"/>
      <c r="O243" s="302">
        <f t="shared" ref="O243:V243" si="4">SUM(O244:O272)</f>
        <v>0</v>
      </c>
      <c r="P243" s="270"/>
      <c r="Q243" s="288">
        <f t="shared" si="4"/>
        <v>112665.31999999999</v>
      </c>
      <c r="R243" s="270"/>
      <c r="S243" s="270"/>
      <c r="T243" s="270">
        <f t="shared" si="4"/>
        <v>0</v>
      </c>
      <c r="U243" s="270"/>
      <c r="V243" s="270">
        <f t="shared" si="4"/>
        <v>112665.31999999999</v>
      </c>
      <c r="BH243" s="117"/>
      <c r="BK243" s="118">
        <f>SUM(BK244:BK273)</f>
        <v>0</v>
      </c>
      <c r="BM243" s="118">
        <f>SUM(BM244:BM273)</f>
        <v>0</v>
      </c>
      <c r="BO243" s="119">
        <f>SUM(BO244:BO273)</f>
        <v>0</v>
      </c>
      <c r="CM243" s="113" t="s">
        <v>81</v>
      </c>
      <c r="CO243" s="120" t="s">
        <v>73</v>
      </c>
      <c r="CP243" s="120" t="s">
        <v>83</v>
      </c>
      <c r="CT243" s="113" t="s">
        <v>282</v>
      </c>
      <c r="DF243" s="121">
        <f>SUM(DF244:DF273)</f>
        <v>112665.31999999999</v>
      </c>
    </row>
    <row r="244" spans="2:112" s="1" customFormat="1" ht="37.9" customHeight="1" x14ac:dyDescent="0.2">
      <c r="B244" s="124"/>
      <c r="C244" s="125" t="s">
        <v>622</v>
      </c>
      <c r="D244" s="125" t="s">
        <v>284</v>
      </c>
      <c r="E244" s="126" t="s">
        <v>2984</v>
      </c>
      <c r="F244" s="127" t="s">
        <v>2985</v>
      </c>
      <c r="G244" s="128" t="s">
        <v>1948</v>
      </c>
      <c r="H244" s="129">
        <v>1</v>
      </c>
      <c r="I244" s="130">
        <v>78358.257755831</v>
      </c>
      <c r="J244" s="131">
        <f>ROUND(I244*H244,2)</f>
        <v>78358.259999999995</v>
      </c>
      <c r="K244" s="127" t="s">
        <v>1</v>
      </c>
      <c r="L244" s="268">
        <f>S244</f>
        <v>0</v>
      </c>
      <c r="M244" s="272">
        <f>ROUND(L244*I244,2)</f>
        <v>0</v>
      </c>
      <c r="N244" s="243"/>
      <c r="O244" s="294">
        <f>ROUND(N244*I244,2)</f>
        <v>0</v>
      </c>
      <c r="P244" s="273">
        <f>H244-L244-N244</f>
        <v>1</v>
      </c>
      <c r="Q244" s="287">
        <f>ROUND(P244*I244,2)</f>
        <v>78358.259999999995</v>
      </c>
      <c r="R244" s="137"/>
      <c r="S244" s="269">
        <f>W244+Y244+AA244+AC244</f>
        <v>0</v>
      </c>
      <c r="T244" s="269">
        <f>ROUND(S244*I244,2)</f>
        <v>0</v>
      </c>
      <c r="U244" s="269">
        <f>H244-S244</f>
        <v>1</v>
      </c>
      <c r="V244" s="269">
        <f>ROUND(U244*I244,2)</f>
        <v>78358.259999999995</v>
      </c>
      <c r="W244" s="269"/>
      <c r="X244" s="269"/>
      <c r="Y244" s="269"/>
      <c r="Z244" s="269"/>
      <c r="AA244" s="269"/>
      <c r="AB244" s="269"/>
      <c r="AC244" s="269"/>
      <c r="AD244" s="269"/>
      <c r="BH244" s="132" t="s">
        <v>1</v>
      </c>
      <c r="BI244" s="133" t="s">
        <v>40</v>
      </c>
      <c r="BK244" s="134">
        <f>BJ244*H244</f>
        <v>0</v>
      </c>
      <c r="BL244" s="134">
        <v>0</v>
      </c>
      <c r="BM244" s="134">
        <f>BL244*H244</f>
        <v>0</v>
      </c>
      <c r="BN244" s="134">
        <v>0</v>
      </c>
      <c r="BO244" s="135">
        <f>BN244*H244</f>
        <v>0</v>
      </c>
      <c r="CM244" s="136" t="s">
        <v>95</v>
      </c>
      <c r="CO244" s="136" t="s">
        <v>284</v>
      </c>
      <c r="CP244" s="136" t="s">
        <v>90</v>
      </c>
      <c r="CT244" s="16" t="s">
        <v>282</v>
      </c>
      <c r="CZ244" s="137">
        <f>IF(BI244="základní",J244,0)</f>
        <v>78358.259999999995</v>
      </c>
      <c r="DA244" s="137">
        <f>IF(BI244="snížená",J244,0)</f>
        <v>0</v>
      </c>
      <c r="DB244" s="137">
        <f>IF(BI244="zákl. přenesená",J244,0)</f>
        <v>0</v>
      </c>
      <c r="DC244" s="137">
        <f>IF(BI244="sníž. přenesená",J244,0)</f>
        <v>0</v>
      </c>
      <c r="DD244" s="137">
        <f>IF(BI244="nulová",J244,0)</f>
        <v>0</v>
      </c>
      <c r="DE244" s="16" t="s">
        <v>81</v>
      </c>
      <c r="DF244" s="137">
        <f>ROUND(I244*H244,2)</f>
        <v>78358.259999999995</v>
      </c>
      <c r="DG244" s="16" t="s">
        <v>95</v>
      </c>
      <c r="DH244" s="136" t="s">
        <v>2986</v>
      </c>
    </row>
    <row r="245" spans="2:112" s="1" customFormat="1" ht="19.5" x14ac:dyDescent="0.2">
      <c r="B245" s="31"/>
      <c r="D245" s="138" t="s">
        <v>289</v>
      </c>
      <c r="F245" s="139" t="s">
        <v>2985</v>
      </c>
      <c r="I245" s="140"/>
      <c r="L245" s="31"/>
      <c r="N245" s="213"/>
      <c r="O245" s="214"/>
      <c r="Q245" s="229"/>
      <c r="BH245" s="141"/>
      <c r="BO245" s="50"/>
      <c r="CO245" s="16" t="s">
        <v>289</v>
      </c>
      <c r="CP245" s="16" t="s">
        <v>90</v>
      </c>
    </row>
    <row r="246" spans="2:112" s="1" customFormat="1" ht="24.2" customHeight="1" x14ac:dyDescent="0.2">
      <c r="B246" s="124"/>
      <c r="C246" s="125" t="s">
        <v>627</v>
      </c>
      <c r="D246" s="125" t="s">
        <v>284</v>
      </c>
      <c r="E246" s="126" t="s">
        <v>2987</v>
      </c>
      <c r="F246" s="127" t="s">
        <v>2988</v>
      </c>
      <c r="G246" s="128" t="s">
        <v>315</v>
      </c>
      <c r="H246" s="129">
        <v>1</v>
      </c>
      <c r="I246" s="130">
        <v>4985.9918902879999</v>
      </c>
      <c r="J246" s="131">
        <f>ROUND(I246*H246,2)</f>
        <v>4985.99</v>
      </c>
      <c r="K246" s="127" t="s">
        <v>1</v>
      </c>
      <c r="L246" s="268">
        <f>S246</f>
        <v>0</v>
      </c>
      <c r="M246" s="272">
        <f>ROUND(L246*I246,2)</f>
        <v>0</v>
      </c>
      <c r="N246" s="243"/>
      <c r="O246" s="294">
        <f>ROUND(N246*I246,2)</f>
        <v>0</v>
      </c>
      <c r="P246" s="273">
        <f>H246-L246-N246</f>
        <v>1</v>
      </c>
      <c r="Q246" s="287">
        <f>ROUND(P246*I246,2)</f>
        <v>4985.99</v>
      </c>
      <c r="R246" s="137"/>
      <c r="S246" s="269">
        <f>W246+Y246+AA246+AC246</f>
        <v>0</v>
      </c>
      <c r="T246" s="269">
        <f>ROUND(S246*I246,2)</f>
        <v>0</v>
      </c>
      <c r="U246" s="269">
        <f>H246-S246</f>
        <v>1</v>
      </c>
      <c r="V246" s="269">
        <f>ROUND(U246*I246,2)</f>
        <v>4985.99</v>
      </c>
      <c r="W246" s="269"/>
      <c r="X246" s="269"/>
      <c r="Y246" s="269"/>
      <c r="Z246" s="269"/>
      <c r="AA246" s="269"/>
      <c r="AB246" s="269"/>
      <c r="AC246" s="269"/>
      <c r="AD246" s="269"/>
      <c r="BH246" s="132" t="s">
        <v>1</v>
      </c>
      <c r="BI246" s="133" t="s">
        <v>40</v>
      </c>
      <c r="BK246" s="134">
        <f>BJ246*H246</f>
        <v>0</v>
      </c>
      <c r="BL246" s="134">
        <v>0</v>
      </c>
      <c r="BM246" s="134">
        <f>BL246*H246</f>
        <v>0</v>
      </c>
      <c r="BN246" s="134">
        <v>0</v>
      </c>
      <c r="BO246" s="135">
        <f>BN246*H246</f>
        <v>0</v>
      </c>
      <c r="CM246" s="136" t="s">
        <v>95</v>
      </c>
      <c r="CO246" s="136" t="s">
        <v>284</v>
      </c>
      <c r="CP246" s="136" t="s">
        <v>90</v>
      </c>
      <c r="CT246" s="16" t="s">
        <v>282</v>
      </c>
      <c r="CZ246" s="137">
        <f>IF(BI246="základní",J246,0)</f>
        <v>4985.99</v>
      </c>
      <c r="DA246" s="137">
        <f>IF(BI246="snížená",J246,0)</f>
        <v>0</v>
      </c>
      <c r="DB246" s="137">
        <f>IF(BI246="zákl. přenesená",J246,0)</f>
        <v>0</v>
      </c>
      <c r="DC246" s="137">
        <f>IF(BI246="sníž. přenesená",J246,0)</f>
        <v>0</v>
      </c>
      <c r="DD246" s="137">
        <f>IF(BI246="nulová",J246,0)</f>
        <v>0</v>
      </c>
      <c r="DE246" s="16" t="s">
        <v>81</v>
      </c>
      <c r="DF246" s="137">
        <f>ROUND(I246*H246,2)</f>
        <v>4985.99</v>
      </c>
      <c r="DG246" s="16" t="s">
        <v>95</v>
      </c>
      <c r="DH246" s="136" t="s">
        <v>2989</v>
      </c>
    </row>
    <row r="247" spans="2:112" s="1" customFormat="1" x14ac:dyDescent="0.2">
      <c r="B247" s="31"/>
      <c r="D247" s="138" t="s">
        <v>289</v>
      </c>
      <c r="F247" s="139" t="s">
        <v>2988</v>
      </c>
      <c r="I247" s="140"/>
      <c r="L247" s="31"/>
      <c r="N247" s="213"/>
      <c r="O247" s="214"/>
      <c r="Q247" s="229"/>
      <c r="BH247" s="141"/>
      <c r="BO247" s="50"/>
      <c r="CO247" s="16" t="s">
        <v>289</v>
      </c>
      <c r="CP247" s="16" t="s">
        <v>90</v>
      </c>
    </row>
    <row r="248" spans="2:112" s="1" customFormat="1" ht="14.45" customHeight="1" x14ac:dyDescent="0.2">
      <c r="B248" s="124"/>
      <c r="C248" s="125" t="s">
        <v>631</v>
      </c>
      <c r="D248" s="125" t="s">
        <v>284</v>
      </c>
      <c r="E248" s="126" t="s">
        <v>2990</v>
      </c>
      <c r="F248" s="127" t="s">
        <v>2991</v>
      </c>
      <c r="G248" s="128" t="s">
        <v>315</v>
      </c>
      <c r="H248" s="129">
        <v>1</v>
      </c>
      <c r="I248" s="130">
        <v>4438.4633270599998</v>
      </c>
      <c r="J248" s="131">
        <f>ROUND(I248*H248,2)</f>
        <v>4438.46</v>
      </c>
      <c r="K248" s="127" t="s">
        <v>1</v>
      </c>
      <c r="L248" s="268">
        <f>S248</f>
        <v>0</v>
      </c>
      <c r="M248" s="272">
        <f>ROUND(L248*I248,2)</f>
        <v>0</v>
      </c>
      <c r="N248" s="243"/>
      <c r="O248" s="294">
        <f>ROUND(N248*I248,2)</f>
        <v>0</v>
      </c>
      <c r="P248" s="273">
        <f>H248-L248-N248</f>
        <v>1</v>
      </c>
      <c r="Q248" s="287">
        <f>ROUND(P248*I248,2)</f>
        <v>4438.46</v>
      </c>
      <c r="R248" s="137"/>
      <c r="S248" s="269">
        <f>W248+Y248+AA248+AC248</f>
        <v>0</v>
      </c>
      <c r="T248" s="269">
        <f>ROUND(S248*I248,2)</f>
        <v>0</v>
      </c>
      <c r="U248" s="269">
        <f>H248-S248</f>
        <v>1</v>
      </c>
      <c r="V248" s="269">
        <f>ROUND(U248*I248,2)</f>
        <v>4438.46</v>
      </c>
      <c r="W248" s="269"/>
      <c r="X248" s="269"/>
      <c r="Y248" s="269"/>
      <c r="Z248" s="269"/>
      <c r="AA248" s="269"/>
      <c r="AB248" s="269"/>
      <c r="AC248" s="269"/>
      <c r="AD248" s="269"/>
      <c r="BH248" s="132" t="s">
        <v>1</v>
      </c>
      <c r="BI248" s="133" t="s">
        <v>40</v>
      </c>
      <c r="BK248" s="134">
        <f>BJ248*H248</f>
        <v>0</v>
      </c>
      <c r="BL248" s="134">
        <v>0</v>
      </c>
      <c r="BM248" s="134">
        <f>BL248*H248</f>
        <v>0</v>
      </c>
      <c r="BN248" s="134">
        <v>0</v>
      </c>
      <c r="BO248" s="135">
        <f>BN248*H248</f>
        <v>0</v>
      </c>
      <c r="CM248" s="136" t="s">
        <v>95</v>
      </c>
      <c r="CO248" s="136" t="s">
        <v>284</v>
      </c>
      <c r="CP248" s="136" t="s">
        <v>90</v>
      </c>
      <c r="CT248" s="16" t="s">
        <v>282</v>
      </c>
      <c r="CZ248" s="137">
        <f>IF(BI248="základní",J248,0)</f>
        <v>4438.46</v>
      </c>
      <c r="DA248" s="137">
        <f>IF(BI248="snížená",J248,0)</f>
        <v>0</v>
      </c>
      <c r="DB248" s="137">
        <f>IF(BI248="zákl. přenesená",J248,0)</f>
        <v>0</v>
      </c>
      <c r="DC248" s="137">
        <f>IF(BI248="sníž. přenesená",J248,0)</f>
        <v>0</v>
      </c>
      <c r="DD248" s="137">
        <f>IF(BI248="nulová",J248,0)</f>
        <v>0</v>
      </c>
      <c r="DE248" s="16" t="s">
        <v>81</v>
      </c>
      <c r="DF248" s="137">
        <f>ROUND(I248*H248,2)</f>
        <v>4438.46</v>
      </c>
      <c r="DG248" s="16" t="s">
        <v>95</v>
      </c>
      <c r="DH248" s="136" t="s">
        <v>2992</v>
      </c>
    </row>
    <row r="249" spans="2:112" s="1" customFormat="1" x14ac:dyDescent="0.2">
      <c r="B249" s="31"/>
      <c r="D249" s="138" t="s">
        <v>289</v>
      </c>
      <c r="F249" s="139" t="s">
        <v>2991</v>
      </c>
      <c r="I249" s="140"/>
      <c r="L249" s="31"/>
      <c r="N249" s="213"/>
      <c r="O249" s="214"/>
      <c r="Q249" s="229"/>
      <c r="BH249" s="141"/>
      <c r="BO249" s="50"/>
      <c r="CO249" s="16" t="s">
        <v>289</v>
      </c>
      <c r="CP249" s="16" t="s">
        <v>90</v>
      </c>
    </row>
    <row r="250" spans="2:112" s="1" customFormat="1" ht="14.45" customHeight="1" x14ac:dyDescent="0.2">
      <c r="B250" s="124"/>
      <c r="C250" s="125" t="s">
        <v>635</v>
      </c>
      <c r="D250" s="125" t="s">
        <v>284</v>
      </c>
      <c r="E250" s="126" t="s">
        <v>2993</v>
      </c>
      <c r="F250" s="127" t="s">
        <v>2994</v>
      </c>
      <c r="G250" s="128" t="s">
        <v>315</v>
      </c>
      <c r="H250" s="129">
        <v>1</v>
      </c>
      <c r="I250" s="130">
        <v>6035.9994380519993</v>
      </c>
      <c r="J250" s="131">
        <f>ROUND(I250*H250,2)</f>
        <v>6036</v>
      </c>
      <c r="K250" s="127" t="s">
        <v>1</v>
      </c>
      <c r="L250" s="268">
        <f>S250</f>
        <v>0</v>
      </c>
      <c r="M250" s="272">
        <f>ROUND(L250*I250,2)</f>
        <v>0</v>
      </c>
      <c r="N250" s="243"/>
      <c r="O250" s="294">
        <f>ROUND(N250*I250,2)</f>
        <v>0</v>
      </c>
      <c r="P250" s="273">
        <f>H250-L250-N250</f>
        <v>1</v>
      </c>
      <c r="Q250" s="287">
        <f>ROUND(P250*I250,2)</f>
        <v>6036</v>
      </c>
      <c r="R250" s="137"/>
      <c r="S250" s="269">
        <f>W250+Y250+AA250+AC250</f>
        <v>0</v>
      </c>
      <c r="T250" s="269">
        <f>ROUND(S250*I250,2)</f>
        <v>0</v>
      </c>
      <c r="U250" s="269">
        <f>H250-S250</f>
        <v>1</v>
      </c>
      <c r="V250" s="269">
        <f>ROUND(U250*I250,2)</f>
        <v>6036</v>
      </c>
      <c r="W250" s="269"/>
      <c r="X250" s="269"/>
      <c r="Y250" s="269"/>
      <c r="Z250" s="269"/>
      <c r="AA250" s="269"/>
      <c r="AB250" s="269"/>
      <c r="AC250" s="269"/>
      <c r="AD250" s="269"/>
      <c r="BH250" s="132" t="s">
        <v>1</v>
      </c>
      <c r="BI250" s="133" t="s">
        <v>40</v>
      </c>
      <c r="BK250" s="134">
        <f>BJ250*H250</f>
        <v>0</v>
      </c>
      <c r="BL250" s="134">
        <v>0</v>
      </c>
      <c r="BM250" s="134">
        <f>BL250*H250</f>
        <v>0</v>
      </c>
      <c r="BN250" s="134">
        <v>0</v>
      </c>
      <c r="BO250" s="135">
        <f>BN250*H250</f>
        <v>0</v>
      </c>
      <c r="CM250" s="136" t="s">
        <v>95</v>
      </c>
      <c r="CO250" s="136" t="s">
        <v>284</v>
      </c>
      <c r="CP250" s="136" t="s">
        <v>90</v>
      </c>
      <c r="CT250" s="16" t="s">
        <v>282</v>
      </c>
      <c r="CZ250" s="137">
        <f>IF(BI250="základní",J250,0)</f>
        <v>6036</v>
      </c>
      <c r="DA250" s="137">
        <f>IF(BI250="snížená",J250,0)</f>
        <v>0</v>
      </c>
      <c r="DB250" s="137">
        <f>IF(BI250="zákl. přenesená",J250,0)</f>
        <v>0</v>
      </c>
      <c r="DC250" s="137">
        <f>IF(BI250="sníž. přenesená",J250,0)</f>
        <v>0</v>
      </c>
      <c r="DD250" s="137">
        <f>IF(BI250="nulová",J250,0)</f>
        <v>0</v>
      </c>
      <c r="DE250" s="16" t="s">
        <v>81</v>
      </c>
      <c r="DF250" s="137">
        <f>ROUND(I250*H250,2)</f>
        <v>6036</v>
      </c>
      <c r="DG250" s="16" t="s">
        <v>95</v>
      </c>
      <c r="DH250" s="136" t="s">
        <v>2995</v>
      </c>
    </row>
    <row r="251" spans="2:112" s="1" customFormat="1" x14ac:dyDescent="0.2">
      <c r="B251" s="31"/>
      <c r="D251" s="138" t="s">
        <v>289</v>
      </c>
      <c r="F251" s="139" t="s">
        <v>2994</v>
      </c>
      <c r="I251" s="140"/>
      <c r="L251" s="31"/>
      <c r="N251" s="213"/>
      <c r="O251" s="214"/>
      <c r="Q251" s="229"/>
      <c r="BH251" s="141"/>
      <c r="BO251" s="50"/>
      <c r="CO251" s="16" t="s">
        <v>289</v>
      </c>
      <c r="CP251" s="16" t="s">
        <v>90</v>
      </c>
    </row>
    <row r="252" spans="2:112" s="1" customFormat="1" ht="14.45" customHeight="1" x14ac:dyDescent="0.2">
      <c r="B252" s="124"/>
      <c r="C252" s="125" t="s">
        <v>639</v>
      </c>
      <c r="D252" s="125" t="s">
        <v>284</v>
      </c>
      <c r="E252" s="126" t="s">
        <v>2996</v>
      </c>
      <c r="F252" s="127" t="s">
        <v>2873</v>
      </c>
      <c r="G252" s="128" t="s">
        <v>315</v>
      </c>
      <c r="H252" s="129">
        <v>2</v>
      </c>
      <c r="I252" s="130">
        <v>338.42122529599999</v>
      </c>
      <c r="J252" s="131">
        <f>ROUND(I252*H252,2)</f>
        <v>676.84</v>
      </c>
      <c r="K252" s="127" t="s">
        <v>1</v>
      </c>
      <c r="L252" s="268">
        <f>S252</f>
        <v>0</v>
      </c>
      <c r="M252" s="272">
        <f>ROUND(L252*I252,2)</f>
        <v>0</v>
      </c>
      <c r="N252" s="243"/>
      <c r="O252" s="294">
        <f>ROUND(N252*I252,2)</f>
        <v>0</v>
      </c>
      <c r="P252" s="273">
        <f>H252-L252-N252</f>
        <v>2</v>
      </c>
      <c r="Q252" s="287">
        <f>ROUND(P252*I252,2)</f>
        <v>676.84</v>
      </c>
      <c r="R252" s="137"/>
      <c r="S252" s="269">
        <f>W252+Y252+AA252+AC252</f>
        <v>0</v>
      </c>
      <c r="T252" s="269">
        <f>ROUND(S252*I252,2)</f>
        <v>0</v>
      </c>
      <c r="U252" s="269">
        <f>H252-S252</f>
        <v>2</v>
      </c>
      <c r="V252" s="269">
        <f>ROUND(U252*I252,2)</f>
        <v>676.84</v>
      </c>
      <c r="W252" s="269"/>
      <c r="X252" s="269"/>
      <c r="Y252" s="269"/>
      <c r="Z252" s="269"/>
      <c r="AA252" s="269"/>
      <c r="AB252" s="269"/>
      <c r="AC252" s="269"/>
      <c r="AD252" s="269"/>
      <c r="BH252" s="132" t="s">
        <v>1</v>
      </c>
      <c r="BI252" s="133" t="s">
        <v>40</v>
      </c>
      <c r="BK252" s="134">
        <f>BJ252*H252</f>
        <v>0</v>
      </c>
      <c r="BL252" s="134">
        <v>0</v>
      </c>
      <c r="BM252" s="134">
        <f>BL252*H252</f>
        <v>0</v>
      </c>
      <c r="BN252" s="134">
        <v>0</v>
      </c>
      <c r="BO252" s="135">
        <f>BN252*H252</f>
        <v>0</v>
      </c>
      <c r="CM252" s="136" t="s">
        <v>95</v>
      </c>
      <c r="CO252" s="136" t="s">
        <v>284</v>
      </c>
      <c r="CP252" s="136" t="s">
        <v>90</v>
      </c>
      <c r="CT252" s="16" t="s">
        <v>282</v>
      </c>
      <c r="CZ252" s="137">
        <f>IF(BI252="základní",J252,0)</f>
        <v>676.84</v>
      </c>
      <c r="DA252" s="137">
        <f>IF(BI252="snížená",J252,0)</f>
        <v>0</v>
      </c>
      <c r="DB252" s="137">
        <f>IF(BI252="zákl. přenesená",J252,0)</f>
        <v>0</v>
      </c>
      <c r="DC252" s="137">
        <f>IF(BI252="sníž. přenesená",J252,0)</f>
        <v>0</v>
      </c>
      <c r="DD252" s="137">
        <f>IF(BI252="nulová",J252,0)</f>
        <v>0</v>
      </c>
      <c r="DE252" s="16" t="s">
        <v>81</v>
      </c>
      <c r="DF252" s="137">
        <f>ROUND(I252*H252,2)</f>
        <v>676.84</v>
      </c>
      <c r="DG252" s="16" t="s">
        <v>95</v>
      </c>
      <c r="DH252" s="136" t="s">
        <v>2997</v>
      </c>
    </row>
    <row r="253" spans="2:112" s="1" customFormat="1" x14ac:dyDescent="0.2">
      <c r="B253" s="31"/>
      <c r="D253" s="138" t="s">
        <v>289</v>
      </c>
      <c r="F253" s="139" t="s">
        <v>2873</v>
      </c>
      <c r="I253" s="140"/>
      <c r="L253" s="31"/>
      <c r="N253" s="213"/>
      <c r="O253" s="214"/>
      <c r="Q253" s="229"/>
      <c r="BH253" s="141"/>
      <c r="BO253" s="50"/>
      <c r="CO253" s="16" t="s">
        <v>289</v>
      </c>
      <c r="CP253" s="16" t="s">
        <v>90</v>
      </c>
    </row>
    <row r="254" spans="2:112" s="1" customFormat="1" ht="14.45" customHeight="1" x14ac:dyDescent="0.2">
      <c r="B254" s="124"/>
      <c r="C254" s="125" t="s">
        <v>643</v>
      </c>
      <c r="D254" s="125" t="s">
        <v>284</v>
      </c>
      <c r="E254" s="126" t="s">
        <v>3097</v>
      </c>
      <c r="F254" s="127" t="s">
        <v>2876</v>
      </c>
      <c r="G254" s="128" t="s">
        <v>2874</v>
      </c>
      <c r="H254" s="129">
        <v>1</v>
      </c>
      <c r="I254" s="130">
        <v>193.2320028</v>
      </c>
      <c r="J254" s="131">
        <f>ROUND(I254*H254,2)</f>
        <v>193.23</v>
      </c>
      <c r="K254" s="127" t="s">
        <v>1</v>
      </c>
      <c r="L254" s="268">
        <f>S254</f>
        <v>0</v>
      </c>
      <c r="M254" s="272">
        <f>ROUND(L254*I254,2)</f>
        <v>0</v>
      </c>
      <c r="N254" s="243"/>
      <c r="O254" s="294">
        <f>ROUND(N254*I254,2)</f>
        <v>0</v>
      </c>
      <c r="P254" s="273">
        <f>H254-L254-N254</f>
        <v>1</v>
      </c>
      <c r="Q254" s="287">
        <f>ROUND(P254*I254,2)</f>
        <v>193.23</v>
      </c>
      <c r="R254" s="137"/>
      <c r="S254" s="269">
        <f>W254+Y254+AA254+AC254</f>
        <v>0</v>
      </c>
      <c r="T254" s="269">
        <f>ROUND(S254*I254,2)</f>
        <v>0</v>
      </c>
      <c r="U254" s="269">
        <f>H254-S254</f>
        <v>1</v>
      </c>
      <c r="V254" s="269">
        <f>ROUND(U254*I254,2)</f>
        <v>193.23</v>
      </c>
      <c r="W254" s="269"/>
      <c r="X254" s="269"/>
      <c r="Y254" s="269"/>
      <c r="Z254" s="269"/>
      <c r="AA254" s="269"/>
      <c r="AB254" s="269"/>
      <c r="AC254" s="269"/>
      <c r="AD254" s="269"/>
      <c r="BH254" s="132" t="s">
        <v>1</v>
      </c>
      <c r="BI254" s="133" t="s">
        <v>40</v>
      </c>
      <c r="BK254" s="134">
        <f>BJ254*H254</f>
        <v>0</v>
      </c>
      <c r="BL254" s="134">
        <v>0</v>
      </c>
      <c r="BM254" s="134">
        <f>BL254*H254</f>
        <v>0</v>
      </c>
      <c r="BN254" s="134">
        <v>0</v>
      </c>
      <c r="BO254" s="135">
        <f>BN254*H254</f>
        <v>0</v>
      </c>
      <c r="CM254" s="136" t="s">
        <v>95</v>
      </c>
      <c r="CO254" s="136" t="s">
        <v>284</v>
      </c>
      <c r="CP254" s="136" t="s">
        <v>90</v>
      </c>
      <c r="CT254" s="16" t="s">
        <v>282</v>
      </c>
      <c r="CZ254" s="137">
        <f>IF(BI254="základní",J254,0)</f>
        <v>193.23</v>
      </c>
      <c r="DA254" s="137">
        <f>IF(BI254="snížená",J254,0)</f>
        <v>0</v>
      </c>
      <c r="DB254" s="137">
        <f>IF(BI254="zákl. přenesená",J254,0)</f>
        <v>0</v>
      </c>
      <c r="DC254" s="137">
        <f>IF(BI254="sníž. přenesená",J254,0)</f>
        <v>0</v>
      </c>
      <c r="DD254" s="137">
        <f>IF(BI254="nulová",J254,0)</f>
        <v>0</v>
      </c>
      <c r="DE254" s="16" t="s">
        <v>81</v>
      </c>
      <c r="DF254" s="137">
        <f>ROUND(I254*H254,2)</f>
        <v>193.23</v>
      </c>
      <c r="DG254" s="16" t="s">
        <v>95</v>
      </c>
      <c r="DH254" s="136" t="s">
        <v>2999</v>
      </c>
    </row>
    <row r="255" spans="2:112" s="1" customFormat="1" x14ac:dyDescent="0.2">
      <c r="B255" s="31"/>
      <c r="D255" s="138" t="s">
        <v>289</v>
      </c>
      <c r="F255" s="139" t="s">
        <v>2876</v>
      </c>
      <c r="I255" s="140"/>
      <c r="L255" s="31"/>
      <c r="N255" s="213"/>
      <c r="O255" s="214"/>
      <c r="Q255" s="229"/>
      <c r="BH255" s="141"/>
      <c r="BO255" s="50"/>
      <c r="CO255" s="16" t="s">
        <v>289</v>
      </c>
      <c r="CP255" s="16" t="s">
        <v>90</v>
      </c>
    </row>
    <row r="256" spans="2:112" s="1" customFormat="1" ht="14.45" customHeight="1" x14ac:dyDescent="0.2">
      <c r="B256" s="124"/>
      <c r="C256" s="125" t="s">
        <v>650</v>
      </c>
      <c r="D256" s="125" t="s">
        <v>284</v>
      </c>
      <c r="E256" s="126" t="s">
        <v>3000</v>
      </c>
      <c r="F256" s="127" t="s">
        <v>3001</v>
      </c>
      <c r="G256" s="128" t="s">
        <v>2874</v>
      </c>
      <c r="H256" s="129">
        <v>1</v>
      </c>
      <c r="I256" s="130">
        <v>745.95130806399993</v>
      </c>
      <c r="J256" s="131">
        <f>ROUND(I256*H256,2)</f>
        <v>745.95</v>
      </c>
      <c r="K256" s="127" t="s">
        <v>1</v>
      </c>
      <c r="L256" s="268">
        <f>S256</f>
        <v>0</v>
      </c>
      <c r="M256" s="272">
        <f>ROUND(L256*I256,2)</f>
        <v>0</v>
      </c>
      <c r="N256" s="243"/>
      <c r="O256" s="294">
        <f>ROUND(N256*I256,2)</f>
        <v>0</v>
      </c>
      <c r="P256" s="273">
        <f>H256-L256-N256</f>
        <v>1</v>
      </c>
      <c r="Q256" s="287">
        <f>ROUND(P256*I256,2)</f>
        <v>745.95</v>
      </c>
      <c r="R256" s="137"/>
      <c r="S256" s="269">
        <f>W256+Y256+AA256+AC256</f>
        <v>0</v>
      </c>
      <c r="T256" s="269">
        <f>ROUND(S256*I256,2)</f>
        <v>0</v>
      </c>
      <c r="U256" s="269">
        <f>H256-S256</f>
        <v>1</v>
      </c>
      <c r="V256" s="269">
        <f>ROUND(U256*I256,2)</f>
        <v>745.95</v>
      </c>
      <c r="W256" s="269"/>
      <c r="X256" s="269"/>
      <c r="Y256" s="269"/>
      <c r="Z256" s="269"/>
      <c r="AA256" s="269"/>
      <c r="AB256" s="269"/>
      <c r="AC256" s="269"/>
      <c r="AD256" s="269"/>
      <c r="BH256" s="132" t="s">
        <v>1</v>
      </c>
      <c r="BI256" s="133" t="s">
        <v>40</v>
      </c>
      <c r="BK256" s="134">
        <f>BJ256*H256</f>
        <v>0</v>
      </c>
      <c r="BL256" s="134">
        <v>0</v>
      </c>
      <c r="BM256" s="134">
        <f>BL256*H256</f>
        <v>0</v>
      </c>
      <c r="BN256" s="134">
        <v>0</v>
      </c>
      <c r="BO256" s="135">
        <f>BN256*H256</f>
        <v>0</v>
      </c>
      <c r="CM256" s="136" t="s">
        <v>95</v>
      </c>
      <c r="CO256" s="136" t="s">
        <v>284</v>
      </c>
      <c r="CP256" s="136" t="s">
        <v>90</v>
      </c>
      <c r="CT256" s="16" t="s">
        <v>282</v>
      </c>
      <c r="CZ256" s="137">
        <f>IF(BI256="základní",J256,0)</f>
        <v>745.95</v>
      </c>
      <c r="DA256" s="137">
        <f>IF(BI256="snížená",J256,0)</f>
        <v>0</v>
      </c>
      <c r="DB256" s="137">
        <f>IF(BI256="zákl. přenesená",J256,0)</f>
        <v>0</v>
      </c>
      <c r="DC256" s="137">
        <f>IF(BI256="sníž. přenesená",J256,0)</f>
        <v>0</v>
      </c>
      <c r="DD256" s="137">
        <f>IF(BI256="nulová",J256,0)</f>
        <v>0</v>
      </c>
      <c r="DE256" s="16" t="s">
        <v>81</v>
      </c>
      <c r="DF256" s="137">
        <f>ROUND(I256*H256,2)</f>
        <v>745.95</v>
      </c>
      <c r="DG256" s="16" t="s">
        <v>95</v>
      </c>
      <c r="DH256" s="136" t="s">
        <v>3002</v>
      </c>
    </row>
    <row r="257" spans="2:112" s="1" customFormat="1" x14ac:dyDescent="0.2">
      <c r="B257" s="31"/>
      <c r="D257" s="138" t="s">
        <v>289</v>
      </c>
      <c r="F257" s="139" t="s">
        <v>3001</v>
      </c>
      <c r="I257" s="140"/>
      <c r="L257" s="31"/>
      <c r="N257" s="213"/>
      <c r="O257" s="214"/>
      <c r="Q257" s="229"/>
      <c r="BH257" s="141"/>
      <c r="BO257" s="50"/>
      <c r="CO257" s="16" t="s">
        <v>289</v>
      </c>
      <c r="CP257" s="16" t="s">
        <v>90</v>
      </c>
    </row>
    <row r="258" spans="2:112" s="1" customFormat="1" ht="14.45" customHeight="1" x14ac:dyDescent="0.2">
      <c r="B258" s="124"/>
      <c r="C258" s="125" t="s">
        <v>655</v>
      </c>
      <c r="D258" s="125" t="s">
        <v>284</v>
      </c>
      <c r="E258" s="126" t="s">
        <v>2933</v>
      </c>
      <c r="F258" s="127" t="s">
        <v>2934</v>
      </c>
      <c r="G258" s="128" t="s">
        <v>315</v>
      </c>
      <c r="H258" s="129">
        <v>40</v>
      </c>
      <c r="I258" s="130">
        <v>47.853337164000003</v>
      </c>
      <c r="J258" s="131">
        <f>ROUND(I258*H258,2)</f>
        <v>1914.13</v>
      </c>
      <c r="K258" s="127" t="s">
        <v>1</v>
      </c>
      <c r="L258" s="268">
        <f>S258</f>
        <v>0</v>
      </c>
      <c r="M258" s="272">
        <f>ROUND(L258*I258,2)</f>
        <v>0</v>
      </c>
      <c r="N258" s="243"/>
      <c r="O258" s="294">
        <f>ROUND(N258*I258,2)</f>
        <v>0</v>
      </c>
      <c r="P258" s="273">
        <f>H258-L258-N258</f>
        <v>40</v>
      </c>
      <c r="Q258" s="287">
        <f>ROUND(P258*I258,2)</f>
        <v>1914.13</v>
      </c>
      <c r="R258" s="137"/>
      <c r="S258" s="269">
        <f>W258+Y258+AA258+AC258</f>
        <v>0</v>
      </c>
      <c r="T258" s="269">
        <f>ROUND(S258*I258,2)</f>
        <v>0</v>
      </c>
      <c r="U258" s="269">
        <f>H258-S258</f>
        <v>40</v>
      </c>
      <c r="V258" s="269">
        <f>ROUND(U258*I258,2)</f>
        <v>1914.13</v>
      </c>
      <c r="W258" s="269"/>
      <c r="X258" s="269"/>
      <c r="Y258" s="269"/>
      <c r="Z258" s="269"/>
      <c r="AA258" s="269"/>
      <c r="AB258" s="269"/>
      <c r="AC258" s="269"/>
      <c r="AD258" s="269"/>
      <c r="BH258" s="132" t="s">
        <v>1</v>
      </c>
      <c r="BI258" s="133" t="s">
        <v>40</v>
      </c>
      <c r="BK258" s="134">
        <f>BJ258*H258</f>
        <v>0</v>
      </c>
      <c r="BL258" s="134">
        <v>0</v>
      </c>
      <c r="BM258" s="134">
        <f>BL258*H258</f>
        <v>0</v>
      </c>
      <c r="BN258" s="134">
        <v>0</v>
      </c>
      <c r="BO258" s="135">
        <f>BN258*H258</f>
        <v>0</v>
      </c>
      <c r="CM258" s="136" t="s">
        <v>95</v>
      </c>
      <c r="CO258" s="136" t="s">
        <v>284</v>
      </c>
      <c r="CP258" s="136" t="s">
        <v>90</v>
      </c>
      <c r="CT258" s="16" t="s">
        <v>282</v>
      </c>
      <c r="CZ258" s="137">
        <f>IF(BI258="základní",J258,0)</f>
        <v>1914.13</v>
      </c>
      <c r="DA258" s="137">
        <f>IF(BI258="snížená",J258,0)</f>
        <v>0</v>
      </c>
      <c r="DB258" s="137">
        <f>IF(BI258="zákl. přenesená",J258,0)</f>
        <v>0</v>
      </c>
      <c r="DC258" s="137">
        <f>IF(BI258="sníž. přenesená",J258,0)</f>
        <v>0</v>
      </c>
      <c r="DD258" s="137">
        <f>IF(BI258="nulová",J258,0)</f>
        <v>0</v>
      </c>
      <c r="DE258" s="16" t="s">
        <v>81</v>
      </c>
      <c r="DF258" s="137">
        <f>ROUND(I258*H258,2)</f>
        <v>1914.13</v>
      </c>
      <c r="DG258" s="16" t="s">
        <v>95</v>
      </c>
      <c r="DH258" s="136" t="s">
        <v>3003</v>
      </c>
    </row>
    <row r="259" spans="2:112" s="1" customFormat="1" x14ac:dyDescent="0.2">
      <c r="B259" s="31"/>
      <c r="D259" s="138" t="s">
        <v>289</v>
      </c>
      <c r="F259" s="139" t="s">
        <v>2934</v>
      </c>
      <c r="I259" s="140"/>
      <c r="L259" s="31"/>
      <c r="N259" s="213"/>
      <c r="O259" s="214"/>
      <c r="Q259" s="229"/>
      <c r="BH259" s="141"/>
      <c r="BO259" s="50"/>
      <c r="CO259" s="16" t="s">
        <v>289</v>
      </c>
      <c r="CP259" s="16" t="s">
        <v>90</v>
      </c>
    </row>
    <row r="260" spans="2:112" s="1" customFormat="1" ht="14.45" customHeight="1" x14ac:dyDescent="0.2">
      <c r="B260" s="124"/>
      <c r="C260" s="125" t="s">
        <v>660</v>
      </c>
      <c r="D260" s="125" t="s">
        <v>284</v>
      </c>
      <c r="E260" s="126" t="s">
        <v>2937</v>
      </c>
      <c r="F260" s="127" t="s">
        <v>2938</v>
      </c>
      <c r="G260" s="128" t="s">
        <v>315</v>
      </c>
      <c r="H260" s="129">
        <v>5</v>
      </c>
      <c r="I260" s="130">
        <v>77.823241912</v>
      </c>
      <c r="J260" s="131">
        <f>ROUND(I260*H260,2)</f>
        <v>389.12</v>
      </c>
      <c r="K260" s="127" t="s">
        <v>1</v>
      </c>
      <c r="L260" s="268">
        <f>S260</f>
        <v>0</v>
      </c>
      <c r="M260" s="272">
        <f>ROUND(L260*I260,2)</f>
        <v>0</v>
      </c>
      <c r="N260" s="243"/>
      <c r="O260" s="294">
        <f>ROUND(N260*I260,2)</f>
        <v>0</v>
      </c>
      <c r="P260" s="273">
        <f>H260-L260-N260</f>
        <v>5</v>
      </c>
      <c r="Q260" s="287">
        <f>ROUND(P260*I260,2)</f>
        <v>389.12</v>
      </c>
      <c r="R260" s="137"/>
      <c r="S260" s="269">
        <f>W260+Y260+AA260+AC260</f>
        <v>0</v>
      </c>
      <c r="T260" s="269">
        <f>ROUND(S260*I260,2)</f>
        <v>0</v>
      </c>
      <c r="U260" s="269">
        <f>H260-S260</f>
        <v>5</v>
      </c>
      <c r="V260" s="269">
        <f>ROUND(U260*I260,2)</f>
        <v>389.12</v>
      </c>
      <c r="W260" s="269"/>
      <c r="X260" s="269"/>
      <c r="Y260" s="269"/>
      <c r="Z260" s="269"/>
      <c r="AA260" s="269"/>
      <c r="AB260" s="269"/>
      <c r="AC260" s="269"/>
      <c r="AD260" s="269"/>
      <c r="BH260" s="132" t="s">
        <v>1</v>
      </c>
      <c r="BI260" s="133" t="s">
        <v>40</v>
      </c>
      <c r="BK260" s="134">
        <f>BJ260*H260</f>
        <v>0</v>
      </c>
      <c r="BL260" s="134">
        <v>0</v>
      </c>
      <c r="BM260" s="134">
        <f>BL260*H260</f>
        <v>0</v>
      </c>
      <c r="BN260" s="134">
        <v>0</v>
      </c>
      <c r="BO260" s="135">
        <f>BN260*H260</f>
        <v>0</v>
      </c>
      <c r="CM260" s="136" t="s">
        <v>95</v>
      </c>
      <c r="CO260" s="136" t="s">
        <v>284</v>
      </c>
      <c r="CP260" s="136" t="s">
        <v>90</v>
      </c>
      <c r="CT260" s="16" t="s">
        <v>282</v>
      </c>
      <c r="CZ260" s="137">
        <f>IF(BI260="základní",J260,0)</f>
        <v>389.12</v>
      </c>
      <c r="DA260" s="137">
        <f>IF(BI260="snížená",J260,0)</f>
        <v>0</v>
      </c>
      <c r="DB260" s="137">
        <f>IF(BI260="zákl. přenesená",J260,0)</f>
        <v>0</v>
      </c>
      <c r="DC260" s="137">
        <f>IF(BI260="sníž. přenesená",J260,0)</f>
        <v>0</v>
      </c>
      <c r="DD260" s="137">
        <f>IF(BI260="nulová",J260,0)</f>
        <v>0</v>
      </c>
      <c r="DE260" s="16" t="s">
        <v>81</v>
      </c>
      <c r="DF260" s="137">
        <f>ROUND(I260*H260,2)</f>
        <v>389.12</v>
      </c>
      <c r="DG260" s="16" t="s">
        <v>95</v>
      </c>
      <c r="DH260" s="136" t="s">
        <v>3004</v>
      </c>
    </row>
    <row r="261" spans="2:112" s="1" customFormat="1" x14ac:dyDescent="0.2">
      <c r="B261" s="31"/>
      <c r="D261" s="138" t="s">
        <v>289</v>
      </c>
      <c r="F261" s="139" t="s">
        <v>2938</v>
      </c>
      <c r="I261" s="140"/>
      <c r="L261" s="31"/>
      <c r="N261" s="213"/>
      <c r="O261" s="214"/>
      <c r="Q261" s="229"/>
      <c r="BH261" s="141"/>
      <c r="BO261" s="50"/>
      <c r="CO261" s="16" t="s">
        <v>289</v>
      </c>
      <c r="CP261" s="16" t="s">
        <v>90</v>
      </c>
    </row>
    <row r="262" spans="2:112" s="1" customFormat="1" ht="14.45" customHeight="1" x14ac:dyDescent="0.2">
      <c r="B262" s="124"/>
      <c r="C262" s="125" t="s">
        <v>666</v>
      </c>
      <c r="D262" s="125" t="s">
        <v>284</v>
      </c>
      <c r="E262" s="126" t="s">
        <v>2941</v>
      </c>
      <c r="F262" s="127" t="s">
        <v>2942</v>
      </c>
      <c r="G262" s="128" t="s">
        <v>315</v>
      </c>
      <c r="H262" s="129">
        <v>8</v>
      </c>
      <c r="I262" s="130">
        <v>109.469718449</v>
      </c>
      <c r="J262" s="131">
        <f>ROUND(I262*H262,2)</f>
        <v>875.76</v>
      </c>
      <c r="K262" s="127" t="s">
        <v>1</v>
      </c>
      <c r="L262" s="268">
        <f>S262</f>
        <v>0</v>
      </c>
      <c r="M262" s="272">
        <f>ROUND(L262*I262,2)</f>
        <v>0</v>
      </c>
      <c r="N262" s="243"/>
      <c r="O262" s="294">
        <f>ROUND(N262*I262,2)</f>
        <v>0</v>
      </c>
      <c r="P262" s="273">
        <f>H262-L262-N262</f>
        <v>8</v>
      </c>
      <c r="Q262" s="287">
        <f>ROUND(P262*I262,2)</f>
        <v>875.76</v>
      </c>
      <c r="R262" s="137"/>
      <c r="S262" s="269">
        <f>W262+Y262+AA262+AC262</f>
        <v>0</v>
      </c>
      <c r="T262" s="269">
        <f>ROUND(S262*I262,2)</f>
        <v>0</v>
      </c>
      <c r="U262" s="269">
        <f>H262-S262</f>
        <v>8</v>
      </c>
      <c r="V262" s="269">
        <f>ROUND(U262*I262,2)</f>
        <v>875.76</v>
      </c>
      <c r="W262" s="269"/>
      <c r="X262" s="269"/>
      <c r="Y262" s="269"/>
      <c r="Z262" s="269"/>
      <c r="AA262" s="269"/>
      <c r="AB262" s="269"/>
      <c r="AC262" s="269"/>
      <c r="AD262" s="269"/>
      <c r="BH262" s="132" t="s">
        <v>1</v>
      </c>
      <c r="BI262" s="133" t="s">
        <v>40</v>
      </c>
      <c r="BK262" s="134">
        <f>BJ262*H262</f>
        <v>0</v>
      </c>
      <c r="BL262" s="134">
        <v>0</v>
      </c>
      <c r="BM262" s="134">
        <f>BL262*H262</f>
        <v>0</v>
      </c>
      <c r="BN262" s="134">
        <v>0</v>
      </c>
      <c r="BO262" s="135">
        <f>BN262*H262</f>
        <v>0</v>
      </c>
      <c r="CM262" s="136" t="s">
        <v>95</v>
      </c>
      <c r="CO262" s="136" t="s">
        <v>284</v>
      </c>
      <c r="CP262" s="136" t="s">
        <v>90</v>
      </c>
      <c r="CT262" s="16" t="s">
        <v>282</v>
      </c>
      <c r="CZ262" s="137">
        <f>IF(BI262="základní",J262,0)</f>
        <v>875.76</v>
      </c>
      <c r="DA262" s="137">
        <f>IF(BI262="snížená",J262,0)</f>
        <v>0</v>
      </c>
      <c r="DB262" s="137">
        <f>IF(BI262="zákl. přenesená",J262,0)</f>
        <v>0</v>
      </c>
      <c r="DC262" s="137">
        <f>IF(BI262="sníž. přenesená",J262,0)</f>
        <v>0</v>
      </c>
      <c r="DD262" s="137">
        <f>IF(BI262="nulová",J262,0)</f>
        <v>0</v>
      </c>
      <c r="DE262" s="16" t="s">
        <v>81</v>
      </c>
      <c r="DF262" s="137">
        <f>ROUND(I262*H262,2)</f>
        <v>875.76</v>
      </c>
      <c r="DG262" s="16" t="s">
        <v>95</v>
      </c>
      <c r="DH262" s="136" t="s">
        <v>3005</v>
      </c>
    </row>
    <row r="263" spans="2:112" s="1" customFormat="1" x14ac:dyDescent="0.2">
      <c r="B263" s="31"/>
      <c r="D263" s="138" t="s">
        <v>289</v>
      </c>
      <c r="F263" s="139" t="s">
        <v>2942</v>
      </c>
      <c r="I263" s="140"/>
      <c r="L263" s="31"/>
      <c r="N263" s="213"/>
      <c r="O263" s="214"/>
      <c r="Q263" s="229"/>
      <c r="BH263" s="141"/>
      <c r="BO263" s="50"/>
      <c r="CO263" s="16" t="s">
        <v>289</v>
      </c>
      <c r="CP263" s="16" t="s">
        <v>90</v>
      </c>
    </row>
    <row r="264" spans="2:112" s="1" customFormat="1" ht="14.45" customHeight="1" x14ac:dyDescent="0.2">
      <c r="B264" s="124"/>
      <c r="C264" s="125" t="s">
        <v>670</v>
      </c>
      <c r="D264" s="125" t="s">
        <v>284</v>
      </c>
      <c r="E264" s="126" t="s">
        <v>2947</v>
      </c>
      <c r="F264" s="127" t="s">
        <v>2948</v>
      </c>
      <c r="G264" s="128" t="s">
        <v>344</v>
      </c>
      <c r="H264" s="129">
        <v>100</v>
      </c>
      <c r="I264" s="130">
        <v>21.946987769</v>
      </c>
      <c r="J264" s="131">
        <f>ROUND(I264*H264,2)</f>
        <v>2194.6999999999998</v>
      </c>
      <c r="K264" s="127" t="s">
        <v>1</v>
      </c>
      <c r="L264" s="268">
        <f>S264</f>
        <v>0</v>
      </c>
      <c r="M264" s="272">
        <f>ROUND(L264*I264,2)</f>
        <v>0</v>
      </c>
      <c r="N264" s="243"/>
      <c r="O264" s="294">
        <f>ROUND(N264*I264,2)</f>
        <v>0</v>
      </c>
      <c r="P264" s="273">
        <f>H264-L264-N264</f>
        <v>100</v>
      </c>
      <c r="Q264" s="287">
        <f>ROUND(P264*I264,2)</f>
        <v>2194.6999999999998</v>
      </c>
      <c r="R264" s="137"/>
      <c r="S264" s="269">
        <f>W264+Y264+AA264+AC264</f>
        <v>0</v>
      </c>
      <c r="T264" s="269">
        <f>ROUND(S264*I264,2)</f>
        <v>0</v>
      </c>
      <c r="U264" s="269">
        <f>H264-S264</f>
        <v>100</v>
      </c>
      <c r="V264" s="269">
        <f>ROUND(U264*I264,2)</f>
        <v>2194.6999999999998</v>
      </c>
      <c r="W264" s="269"/>
      <c r="X264" s="269"/>
      <c r="Y264" s="269"/>
      <c r="Z264" s="269"/>
      <c r="AA264" s="269"/>
      <c r="AB264" s="269"/>
      <c r="AC264" s="269"/>
      <c r="AD264" s="269"/>
      <c r="BH264" s="132" t="s">
        <v>1</v>
      </c>
      <c r="BI264" s="133" t="s">
        <v>40</v>
      </c>
      <c r="BK264" s="134">
        <f>BJ264*H264</f>
        <v>0</v>
      </c>
      <c r="BL264" s="134">
        <v>0</v>
      </c>
      <c r="BM264" s="134">
        <f>BL264*H264</f>
        <v>0</v>
      </c>
      <c r="BN264" s="134">
        <v>0</v>
      </c>
      <c r="BO264" s="135">
        <f>BN264*H264</f>
        <v>0</v>
      </c>
      <c r="CM264" s="136" t="s">
        <v>95</v>
      </c>
      <c r="CO264" s="136" t="s">
        <v>284</v>
      </c>
      <c r="CP264" s="136" t="s">
        <v>90</v>
      </c>
      <c r="CT264" s="16" t="s">
        <v>282</v>
      </c>
      <c r="CZ264" s="137">
        <f>IF(BI264="základní",J264,0)</f>
        <v>2194.6999999999998</v>
      </c>
      <c r="DA264" s="137">
        <f>IF(BI264="snížená",J264,0)</f>
        <v>0</v>
      </c>
      <c r="DB264" s="137">
        <f>IF(BI264="zákl. přenesená",J264,0)</f>
        <v>0</v>
      </c>
      <c r="DC264" s="137">
        <f>IF(BI264="sníž. přenesená",J264,0)</f>
        <v>0</v>
      </c>
      <c r="DD264" s="137">
        <f>IF(BI264="nulová",J264,0)</f>
        <v>0</v>
      </c>
      <c r="DE264" s="16" t="s">
        <v>81</v>
      </c>
      <c r="DF264" s="137">
        <f>ROUND(I264*H264,2)</f>
        <v>2194.6999999999998</v>
      </c>
      <c r="DG264" s="16" t="s">
        <v>95</v>
      </c>
      <c r="DH264" s="136" t="s">
        <v>3006</v>
      </c>
    </row>
    <row r="265" spans="2:112" s="1" customFormat="1" x14ac:dyDescent="0.2">
      <c r="B265" s="31"/>
      <c r="D265" s="138" t="s">
        <v>289</v>
      </c>
      <c r="F265" s="139" t="s">
        <v>2948</v>
      </c>
      <c r="I265" s="140"/>
      <c r="L265" s="31"/>
      <c r="N265" s="213"/>
      <c r="O265" s="214"/>
      <c r="Q265" s="229"/>
      <c r="BH265" s="141"/>
      <c r="BO265" s="50"/>
      <c r="CO265" s="16" t="s">
        <v>289</v>
      </c>
      <c r="CP265" s="16" t="s">
        <v>90</v>
      </c>
    </row>
    <row r="266" spans="2:112" s="1" customFormat="1" ht="14.45" customHeight="1" x14ac:dyDescent="0.2">
      <c r="B266" s="124"/>
      <c r="C266" s="125" t="s">
        <v>675</v>
      </c>
      <c r="D266" s="125" t="s">
        <v>284</v>
      </c>
      <c r="E266" s="126" t="s">
        <v>2949</v>
      </c>
      <c r="F266" s="127" t="s">
        <v>2950</v>
      </c>
      <c r="G266" s="128" t="s">
        <v>344</v>
      </c>
      <c r="H266" s="129">
        <v>50</v>
      </c>
      <c r="I266" s="130">
        <v>24.997022322999999</v>
      </c>
      <c r="J266" s="131">
        <f>ROUND(I266*H266,2)</f>
        <v>1249.8499999999999</v>
      </c>
      <c r="K266" s="127" t="s">
        <v>1</v>
      </c>
      <c r="L266" s="268">
        <f>S266</f>
        <v>0</v>
      </c>
      <c r="M266" s="272">
        <f>ROUND(L266*I266,2)</f>
        <v>0</v>
      </c>
      <c r="N266" s="243"/>
      <c r="O266" s="294">
        <f>ROUND(N266*I266,2)</f>
        <v>0</v>
      </c>
      <c r="P266" s="273">
        <f>H266-L266-N266</f>
        <v>50</v>
      </c>
      <c r="Q266" s="287">
        <f>ROUND(P266*I266,2)</f>
        <v>1249.8499999999999</v>
      </c>
      <c r="R266" s="137"/>
      <c r="S266" s="269">
        <f>W266+Y266+AA266+AC266</f>
        <v>0</v>
      </c>
      <c r="T266" s="269">
        <f>ROUND(S266*I266,2)</f>
        <v>0</v>
      </c>
      <c r="U266" s="269">
        <f>H266-S266</f>
        <v>50</v>
      </c>
      <c r="V266" s="269">
        <f>ROUND(U266*I266,2)</f>
        <v>1249.8499999999999</v>
      </c>
      <c r="W266" s="269"/>
      <c r="X266" s="269"/>
      <c r="Y266" s="269"/>
      <c r="Z266" s="269"/>
      <c r="AA266" s="269"/>
      <c r="AB266" s="269"/>
      <c r="AC266" s="269"/>
      <c r="AD266" s="269"/>
      <c r="BH266" s="132" t="s">
        <v>1</v>
      </c>
      <c r="BI266" s="133" t="s">
        <v>40</v>
      </c>
      <c r="BK266" s="134">
        <f>BJ266*H266</f>
        <v>0</v>
      </c>
      <c r="BL266" s="134">
        <v>0</v>
      </c>
      <c r="BM266" s="134">
        <f>BL266*H266</f>
        <v>0</v>
      </c>
      <c r="BN266" s="134">
        <v>0</v>
      </c>
      <c r="BO266" s="135">
        <f>BN266*H266</f>
        <v>0</v>
      </c>
      <c r="CM266" s="136" t="s">
        <v>95</v>
      </c>
      <c r="CO266" s="136" t="s">
        <v>284</v>
      </c>
      <c r="CP266" s="136" t="s">
        <v>90</v>
      </c>
      <c r="CT266" s="16" t="s">
        <v>282</v>
      </c>
      <c r="CZ266" s="137">
        <f>IF(BI266="základní",J266,0)</f>
        <v>1249.8499999999999</v>
      </c>
      <c r="DA266" s="137">
        <f>IF(BI266="snížená",J266,0)</f>
        <v>0</v>
      </c>
      <c r="DB266" s="137">
        <f>IF(BI266="zákl. přenesená",J266,0)</f>
        <v>0</v>
      </c>
      <c r="DC266" s="137">
        <f>IF(BI266="sníž. přenesená",J266,0)</f>
        <v>0</v>
      </c>
      <c r="DD266" s="137">
        <f>IF(BI266="nulová",J266,0)</f>
        <v>0</v>
      </c>
      <c r="DE266" s="16" t="s">
        <v>81</v>
      </c>
      <c r="DF266" s="137">
        <f>ROUND(I266*H266,2)</f>
        <v>1249.8499999999999</v>
      </c>
      <c r="DG266" s="16" t="s">
        <v>95</v>
      </c>
      <c r="DH266" s="136" t="s">
        <v>3007</v>
      </c>
    </row>
    <row r="267" spans="2:112" s="1" customFormat="1" x14ac:dyDescent="0.2">
      <c r="B267" s="31"/>
      <c r="D267" s="138" t="s">
        <v>289</v>
      </c>
      <c r="F267" s="139" t="s">
        <v>2950</v>
      </c>
      <c r="I267" s="140"/>
      <c r="L267" s="31"/>
      <c r="N267" s="213"/>
      <c r="O267" s="214"/>
      <c r="Q267" s="229"/>
      <c r="BH267" s="141"/>
      <c r="BO267" s="50"/>
      <c r="CO267" s="16" t="s">
        <v>289</v>
      </c>
      <c r="CP267" s="16" t="s">
        <v>90</v>
      </c>
    </row>
    <row r="268" spans="2:112" s="1" customFormat="1" ht="14.45" customHeight="1" x14ac:dyDescent="0.2">
      <c r="B268" s="124"/>
      <c r="C268" s="125" t="s">
        <v>681</v>
      </c>
      <c r="D268" s="125" t="s">
        <v>284</v>
      </c>
      <c r="E268" s="126" t="s">
        <v>2957</v>
      </c>
      <c r="F268" s="127" t="s">
        <v>2958</v>
      </c>
      <c r="G268" s="128" t="s">
        <v>344</v>
      </c>
      <c r="H268" s="129">
        <v>0.5</v>
      </c>
      <c r="I268" s="130">
        <v>324.31718352299998</v>
      </c>
      <c r="J268" s="131">
        <f>ROUND(I268*H268,2)</f>
        <v>162.16</v>
      </c>
      <c r="K268" s="127" t="s">
        <v>1</v>
      </c>
      <c r="L268" s="268">
        <f>S268</f>
        <v>0</v>
      </c>
      <c r="M268" s="272">
        <f>ROUND(L268*I268,2)</f>
        <v>0</v>
      </c>
      <c r="N268" s="243"/>
      <c r="O268" s="294">
        <f>ROUND(N268*I268,2)</f>
        <v>0</v>
      </c>
      <c r="P268" s="273">
        <f>H268-L268-N268</f>
        <v>0.5</v>
      </c>
      <c r="Q268" s="287">
        <f>ROUND(P268*I268,2)</f>
        <v>162.16</v>
      </c>
      <c r="R268" s="137"/>
      <c r="S268" s="269">
        <f>W268+Y268+AA268+AC268</f>
        <v>0</v>
      </c>
      <c r="T268" s="269">
        <f>ROUND(S268*I268,2)</f>
        <v>0</v>
      </c>
      <c r="U268" s="269">
        <f>H268-S268</f>
        <v>0.5</v>
      </c>
      <c r="V268" s="269">
        <f>ROUND(U268*I268,2)</f>
        <v>162.16</v>
      </c>
      <c r="W268" s="269"/>
      <c r="X268" s="269"/>
      <c r="Y268" s="269"/>
      <c r="Z268" s="269"/>
      <c r="AA268" s="269"/>
      <c r="AB268" s="269"/>
      <c r="AC268" s="269"/>
      <c r="AD268" s="269"/>
      <c r="BH268" s="132" t="s">
        <v>1</v>
      </c>
      <c r="BI268" s="133" t="s">
        <v>40</v>
      </c>
      <c r="BK268" s="134">
        <f>BJ268*H268</f>
        <v>0</v>
      </c>
      <c r="BL268" s="134">
        <v>0</v>
      </c>
      <c r="BM268" s="134">
        <f>BL268*H268</f>
        <v>0</v>
      </c>
      <c r="BN268" s="134">
        <v>0</v>
      </c>
      <c r="BO268" s="135">
        <f>BN268*H268</f>
        <v>0</v>
      </c>
      <c r="CM268" s="136" t="s">
        <v>95</v>
      </c>
      <c r="CO268" s="136" t="s">
        <v>284</v>
      </c>
      <c r="CP268" s="136" t="s">
        <v>90</v>
      </c>
      <c r="CT268" s="16" t="s">
        <v>282</v>
      </c>
      <c r="CZ268" s="137">
        <f>IF(BI268="základní",J268,0)</f>
        <v>162.16</v>
      </c>
      <c r="DA268" s="137">
        <f>IF(BI268="snížená",J268,0)</f>
        <v>0</v>
      </c>
      <c r="DB268" s="137">
        <f>IF(BI268="zákl. přenesená",J268,0)</f>
        <v>0</v>
      </c>
      <c r="DC268" s="137">
        <f>IF(BI268="sníž. přenesená",J268,0)</f>
        <v>0</v>
      </c>
      <c r="DD268" s="137">
        <f>IF(BI268="nulová",J268,0)</f>
        <v>0</v>
      </c>
      <c r="DE268" s="16" t="s">
        <v>81</v>
      </c>
      <c r="DF268" s="137">
        <f>ROUND(I268*H268,2)</f>
        <v>162.16</v>
      </c>
      <c r="DG268" s="16" t="s">
        <v>95</v>
      </c>
      <c r="DH268" s="136" t="s">
        <v>3008</v>
      </c>
    </row>
    <row r="269" spans="2:112" s="1" customFormat="1" x14ac:dyDescent="0.2">
      <c r="B269" s="31"/>
      <c r="D269" s="138" t="s">
        <v>289</v>
      </c>
      <c r="F269" s="139" t="s">
        <v>2958</v>
      </c>
      <c r="I269" s="140"/>
      <c r="L269" s="31"/>
      <c r="N269" s="213"/>
      <c r="O269" s="214"/>
      <c r="Q269" s="229"/>
      <c r="BH269" s="141"/>
      <c r="BO269" s="50"/>
      <c r="CO269" s="16" t="s">
        <v>289</v>
      </c>
      <c r="CP269" s="16" t="s">
        <v>90</v>
      </c>
    </row>
    <row r="270" spans="2:112" s="1" customFormat="1" ht="24.2" customHeight="1" x14ac:dyDescent="0.2">
      <c r="B270" s="124"/>
      <c r="C270" s="125" t="s">
        <v>688</v>
      </c>
      <c r="D270" s="125" t="s">
        <v>284</v>
      </c>
      <c r="E270" s="126" t="s">
        <v>2965</v>
      </c>
      <c r="F270" s="127" t="s">
        <v>2966</v>
      </c>
      <c r="G270" s="128" t="s">
        <v>485</v>
      </c>
      <c r="H270" s="129">
        <v>125</v>
      </c>
      <c r="I270" s="130">
        <v>61.881601680999999</v>
      </c>
      <c r="J270" s="131">
        <f>ROUND(I270*H270,2)</f>
        <v>7735.2</v>
      </c>
      <c r="K270" s="127" t="s">
        <v>1</v>
      </c>
      <c r="L270" s="268">
        <f>S270</f>
        <v>0</v>
      </c>
      <c r="M270" s="272">
        <f>ROUND(L270*I270,2)</f>
        <v>0</v>
      </c>
      <c r="N270" s="243"/>
      <c r="O270" s="294">
        <f>ROUND(N270*I270,2)</f>
        <v>0</v>
      </c>
      <c r="P270" s="273">
        <f>H270-L270-N270</f>
        <v>125</v>
      </c>
      <c r="Q270" s="287">
        <f>ROUND(P270*I270,2)</f>
        <v>7735.2</v>
      </c>
      <c r="R270" s="137"/>
      <c r="S270" s="269">
        <f>W270+Y270+AA270+AC270</f>
        <v>0</v>
      </c>
      <c r="T270" s="269">
        <f>ROUND(S270*I270,2)</f>
        <v>0</v>
      </c>
      <c r="U270" s="269">
        <f>H270-S270</f>
        <v>125</v>
      </c>
      <c r="V270" s="269">
        <f>ROUND(U270*I270,2)</f>
        <v>7735.2</v>
      </c>
      <c r="W270" s="269"/>
      <c r="X270" s="269"/>
      <c r="Y270" s="269"/>
      <c r="Z270" s="269"/>
      <c r="AA270" s="269"/>
      <c r="AB270" s="269"/>
      <c r="AC270" s="269"/>
      <c r="AD270" s="269"/>
      <c r="BH270" s="132" t="s">
        <v>1</v>
      </c>
      <c r="BI270" s="133" t="s">
        <v>40</v>
      </c>
      <c r="BK270" s="134">
        <f>BJ270*H270</f>
        <v>0</v>
      </c>
      <c r="BL270" s="134">
        <v>0</v>
      </c>
      <c r="BM270" s="134">
        <f>BL270*H270</f>
        <v>0</v>
      </c>
      <c r="BN270" s="134">
        <v>0</v>
      </c>
      <c r="BO270" s="135">
        <f>BN270*H270</f>
        <v>0</v>
      </c>
      <c r="CM270" s="136" t="s">
        <v>95</v>
      </c>
      <c r="CO270" s="136" t="s">
        <v>284</v>
      </c>
      <c r="CP270" s="136" t="s">
        <v>90</v>
      </c>
      <c r="CT270" s="16" t="s">
        <v>282</v>
      </c>
      <c r="CZ270" s="137">
        <f>IF(BI270="základní",J270,0)</f>
        <v>7735.2</v>
      </c>
      <c r="DA270" s="137">
        <f>IF(BI270="snížená",J270,0)</f>
        <v>0</v>
      </c>
      <c r="DB270" s="137">
        <f>IF(BI270="zákl. přenesená",J270,0)</f>
        <v>0</v>
      </c>
      <c r="DC270" s="137">
        <f>IF(BI270="sníž. přenesená",J270,0)</f>
        <v>0</v>
      </c>
      <c r="DD270" s="137">
        <f>IF(BI270="nulová",J270,0)</f>
        <v>0</v>
      </c>
      <c r="DE270" s="16" t="s">
        <v>81</v>
      </c>
      <c r="DF270" s="137">
        <f>ROUND(I270*H270,2)</f>
        <v>7735.2</v>
      </c>
      <c r="DG270" s="16" t="s">
        <v>95</v>
      </c>
      <c r="DH270" s="136" t="s">
        <v>3009</v>
      </c>
    </row>
    <row r="271" spans="2:112" s="1" customFormat="1" x14ac:dyDescent="0.2">
      <c r="B271" s="31"/>
      <c r="D271" s="138" t="s">
        <v>289</v>
      </c>
      <c r="F271" s="139" t="s">
        <v>2966</v>
      </c>
      <c r="I271" s="140"/>
      <c r="L271" s="31"/>
      <c r="N271" s="213"/>
      <c r="O271" s="214"/>
      <c r="Q271" s="229"/>
      <c r="BH271" s="141"/>
      <c r="BO271" s="50"/>
      <c r="CO271" s="16" t="s">
        <v>289</v>
      </c>
      <c r="CP271" s="16" t="s">
        <v>90</v>
      </c>
    </row>
    <row r="272" spans="2:112" s="1" customFormat="1" ht="14.45" customHeight="1" x14ac:dyDescent="0.2">
      <c r="B272" s="124"/>
      <c r="C272" s="125" t="s">
        <v>697</v>
      </c>
      <c r="D272" s="125" t="s">
        <v>284</v>
      </c>
      <c r="E272" s="126" t="s">
        <v>3010</v>
      </c>
      <c r="F272" s="127" t="s">
        <v>2968</v>
      </c>
      <c r="G272" s="128" t="s">
        <v>315</v>
      </c>
      <c r="H272" s="129">
        <v>1</v>
      </c>
      <c r="I272" s="130">
        <v>2709.6715365190003</v>
      </c>
      <c r="J272" s="131">
        <f>ROUND(I272*H272,2)</f>
        <v>2709.67</v>
      </c>
      <c r="K272" s="127" t="s">
        <v>1</v>
      </c>
      <c r="L272" s="268">
        <f>S272</f>
        <v>0</v>
      </c>
      <c r="M272" s="272">
        <f>ROUND(L272*I272,2)</f>
        <v>0</v>
      </c>
      <c r="N272" s="243"/>
      <c r="O272" s="294">
        <f>ROUND(N272*I272,2)</f>
        <v>0</v>
      </c>
      <c r="P272" s="273">
        <f>H272-L272-N272</f>
        <v>1</v>
      </c>
      <c r="Q272" s="287">
        <f>ROUND(P272*I272,2)</f>
        <v>2709.67</v>
      </c>
      <c r="R272" s="137"/>
      <c r="S272" s="269">
        <f>W272+Y272+AA272+AC272</f>
        <v>0</v>
      </c>
      <c r="T272" s="269">
        <f>ROUND(S272*I272,2)</f>
        <v>0</v>
      </c>
      <c r="U272" s="269">
        <f>H272-S272</f>
        <v>1</v>
      </c>
      <c r="V272" s="269">
        <f>ROUND(U272*I272,2)</f>
        <v>2709.67</v>
      </c>
      <c r="W272" s="269"/>
      <c r="X272" s="269"/>
      <c r="Y272" s="269"/>
      <c r="Z272" s="269"/>
      <c r="AA272" s="269"/>
      <c r="AB272" s="269"/>
      <c r="AC272" s="269"/>
      <c r="AD272" s="269"/>
      <c r="BH272" s="132" t="s">
        <v>1</v>
      </c>
      <c r="BI272" s="133" t="s">
        <v>40</v>
      </c>
      <c r="BK272" s="134">
        <f>BJ272*H272</f>
        <v>0</v>
      </c>
      <c r="BL272" s="134">
        <v>0</v>
      </c>
      <c r="BM272" s="134">
        <f>BL272*H272</f>
        <v>0</v>
      </c>
      <c r="BN272" s="134">
        <v>0</v>
      </c>
      <c r="BO272" s="135">
        <f>BN272*H272</f>
        <v>0</v>
      </c>
      <c r="CM272" s="136" t="s">
        <v>95</v>
      </c>
      <c r="CO272" s="136" t="s">
        <v>284</v>
      </c>
      <c r="CP272" s="136" t="s">
        <v>90</v>
      </c>
      <c r="CT272" s="16" t="s">
        <v>282</v>
      </c>
      <c r="CZ272" s="137">
        <f>IF(BI272="základní",J272,0)</f>
        <v>2709.67</v>
      </c>
      <c r="DA272" s="137">
        <f>IF(BI272="snížená",J272,0)</f>
        <v>0</v>
      </c>
      <c r="DB272" s="137">
        <f>IF(BI272="zákl. přenesená",J272,0)</f>
        <v>0</v>
      </c>
      <c r="DC272" s="137">
        <f>IF(BI272="sníž. přenesená",J272,0)</f>
        <v>0</v>
      </c>
      <c r="DD272" s="137">
        <f>IF(BI272="nulová",J272,0)</f>
        <v>0</v>
      </c>
      <c r="DE272" s="16" t="s">
        <v>81</v>
      </c>
      <c r="DF272" s="137">
        <f>ROUND(I272*H272,2)</f>
        <v>2709.67</v>
      </c>
      <c r="DG272" s="16" t="s">
        <v>95</v>
      </c>
      <c r="DH272" s="136" t="s">
        <v>3011</v>
      </c>
    </row>
    <row r="273" spans="2:112" s="1" customFormat="1" x14ac:dyDescent="0.2">
      <c r="B273" s="31"/>
      <c r="D273" s="138" t="s">
        <v>289</v>
      </c>
      <c r="F273" s="139" t="s">
        <v>2968</v>
      </c>
      <c r="I273" s="140"/>
      <c r="L273" s="31"/>
      <c r="N273" s="213"/>
      <c r="O273" s="214"/>
      <c r="Q273" s="229"/>
      <c r="BH273" s="141"/>
      <c r="BO273" s="50"/>
      <c r="CO273" s="16" t="s">
        <v>289</v>
      </c>
      <c r="CP273" s="16" t="s">
        <v>90</v>
      </c>
    </row>
    <row r="274" spans="2:112" s="10" customFormat="1" ht="22.9" customHeight="1" x14ac:dyDescent="0.2">
      <c r="B274" s="112"/>
      <c r="D274" s="113" t="s">
        <v>73</v>
      </c>
      <c r="E274" s="122" t="s">
        <v>3055</v>
      </c>
      <c r="F274" s="122" t="s">
        <v>3012</v>
      </c>
      <c r="I274" s="115"/>
      <c r="J274" s="123">
        <f>DF274</f>
        <v>16976.859999999997</v>
      </c>
      <c r="L274" s="112"/>
      <c r="M274" s="270">
        <f>SUM(M275:M293)</f>
        <v>0</v>
      </c>
      <c r="N274" s="301"/>
      <c r="O274" s="302">
        <f t="shared" ref="O274:V274" si="5">SUM(O275:O293)</f>
        <v>0</v>
      </c>
      <c r="P274" s="270"/>
      <c r="Q274" s="288">
        <f t="shared" si="5"/>
        <v>16976.859999999997</v>
      </c>
      <c r="R274" s="270"/>
      <c r="S274" s="270"/>
      <c r="T274" s="270">
        <f t="shared" si="5"/>
        <v>0</v>
      </c>
      <c r="U274" s="270"/>
      <c r="V274" s="270">
        <f t="shared" si="5"/>
        <v>16976.859999999997</v>
      </c>
      <c r="BH274" s="117"/>
      <c r="BK274" s="118">
        <f>SUM(BK275:BK294)</f>
        <v>0</v>
      </c>
      <c r="BM274" s="118">
        <f>SUM(BM275:BM294)</f>
        <v>0</v>
      </c>
      <c r="BO274" s="119">
        <f>SUM(BO275:BO294)</f>
        <v>0</v>
      </c>
      <c r="CM274" s="113" t="s">
        <v>81</v>
      </c>
      <c r="CO274" s="120" t="s">
        <v>73</v>
      </c>
      <c r="CP274" s="120" t="s">
        <v>81</v>
      </c>
      <c r="CT274" s="113" t="s">
        <v>282</v>
      </c>
      <c r="DF274" s="121">
        <f>SUM(DF275:DF294)</f>
        <v>16976.859999999997</v>
      </c>
    </row>
    <row r="275" spans="2:112" s="1" customFormat="1" ht="14.45" customHeight="1" x14ac:dyDescent="0.2">
      <c r="B275" s="124"/>
      <c r="C275" s="125" t="s">
        <v>704</v>
      </c>
      <c r="D275" s="125" t="s">
        <v>284</v>
      </c>
      <c r="E275" s="126" t="s">
        <v>3013</v>
      </c>
      <c r="F275" s="127" t="s">
        <v>3014</v>
      </c>
      <c r="G275" s="128" t="s">
        <v>344</v>
      </c>
      <c r="H275" s="129">
        <v>15</v>
      </c>
      <c r="I275" s="130">
        <v>84.539001224999993</v>
      </c>
      <c r="J275" s="131">
        <f>ROUND(I275*H275,2)</f>
        <v>1268.0899999999999</v>
      </c>
      <c r="K275" s="127" t="s">
        <v>1</v>
      </c>
      <c r="L275" s="268">
        <f>S275</f>
        <v>0</v>
      </c>
      <c r="M275" s="272">
        <f>ROUND(L275*I275,2)</f>
        <v>0</v>
      </c>
      <c r="N275" s="243"/>
      <c r="O275" s="294">
        <f>ROUND(N275*I275,2)</f>
        <v>0</v>
      </c>
      <c r="P275" s="273">
        <f>H275-L275-N275</f>
        <v>15</v>
      </c>
      <c r="Q275" s="287">
        <f>ROUND(P275*I275,2)</f>
        <v>1268.0899999999999</v>
      </c>
      <c r="R275" s="137"/>
      <c r="S275" s="269">
        <f>W275+Y275+AA275+AC275</f>
        <v>0</v>
      </c>
      <c r="T275" s="269">
        <f>ROUND(S275*I275,2)</f>
        <v>0</v>
      </c>
      <c r="U275" s="269">
        <f>H275-S275</f>
        <v>15</v>
      </c>
      <c r="V275" s="269">
        <f>ROUND(U275*I275,2)</f>
        <v>1268.0899999999999</v>
      </c>
      <c r="W275" s="269"/>
      <c r="X275" s="269"/>
      <c r="Y275" s="269"/>
      <c r="Z275" s="269"/>
      <c r="AA275" s="269"/>
      <c r="AB275" s="269"/>
      <c r="AC275" s="269"/>
      <c r="AD275" s="269"/>
      <c r="BH275" s="132" t="s">
        <v>1</v>
      </c>
      <c r="BI275" s="133" t="s">
        <v>40</v>
      </c>
      <c r="BK275" s="134">
        <f>BJ275*H275</f>
        <v>0</v>
      </c>
      <c r="BL275" s="134">
        <v>0</v>
      </c>
      <c r="BM275" s="134">
        <f>BL275*H275</f>
        <v>0</v>
      </c>
      <c r="BN275" s="134">
        <v>0</v>
      </c>
      <c r="BO275" s="135">
        <f>BN275*H275</f>
        <v>0</v>
      </c>
      <c r="CM275" s="136" t="s">
        <v>95</v>
      </c>
      <c r="CO275" s="136" t="s">
        <v>284</v>
      </c>
      <c r="CP275" s="136" t="s">
        <v>83</v>
      </c>
      <c r="CT275" s="16" t="s">
        <v>282</v>
      </c>
      <c r="CZ275" s="137">
        <f>IF(BI275="základní",J275,0)</f>
        <v>1268.0899999999999</v>
      </c>
      <c r="DA275" s="137">
        <f>IF(BI275="snížená",J275,0)</f>
        <v>0</v>
      </c>
      <c r="DB275" s="137">
        <f>IF(BI275="zákl. přenesená",J275,0)</f>
        <v>0</v>
      </c>
      <c r="DC275" s="137">
        <f>IF(BI275="sníž. přenesená",J275,0)</f>
        <v>0</v>
      </c>
      <c r="DD275" s="137">
        <f>IF(BI275="nulová",J275,0)</f>
        <v>0</v>
      </c>
      <c r="DE275" s="16" t="s">
        <v>81</v>
      </c>
      <c r="DF275" s="137">
        <f>ROUND(I275*H275,2)</f>
        <v>1268.0899999999999</v>
      </c>
      <c r="DG275" s="16" t="s">
        <v>95</v>
      </c>
      <c r="DH275" s="136" t="s">
        <v>3015</v>
      </c>
    </row>
    <row r="276" spans="2:112" s="1" customFormat="1" x14ac:dyDescent="0.2">
      <c r="B276" s="31"/>
      <c r="D276" s="138" t="s">
        <v>289</v>
      </c>
      <c r="F276" s="139" t="s">
        <v>3014</v>
      </c>
      <c r="I276" s="140"/>
      <c r="L276" s="31"/>
      <c r="N276" s="213"/>
      <c r="O276" s="214"/>
      <c r="Q276" s="229"/>
      <c r="BH276" s="141"/>
      <c r="BO276" s="50"/>
      <c r="CO276" s="16" t="s">
        <v>289</v>
      </c>
      <c r="CP276" s="16" t="s">
        <v>83</v>
      </c>
    </row>
    <row r="277" spans="2:112" s="1" customFormat="1" ht="14.45" customHeight="1" x14ac:dyDescent="0.2">
      <c r="B277" s="124"/>
      <c r="C277" s="125" t="s">
        <v>710</v>
      </c>
      <c r="D277" s="125" t="s">
        <v>284</v>
      </c>
      <c r="E277" s="126" t="s">
        <v>3016</v>
      </c>
      <c r="F277" s="127" t="s">
        <v>3017</v>
      </c>
      <c r="G277" s="128" t="s">
        <v>344</v>
      </c>
      <c r="H277" s="129">
        <v>15</v>
      </c>
      <c r="I277" s="130">
        <v>72.604083405000011</v>
      </c>
      <c r="J277" s="131">
        <f>ROUND(I277*H277,2)</f>
        <v>1089.06</v>
      </c>
      <c r="K277" s="127" t="s">
        <v>1</v>
      </c>
      <c r="L277" s="268">
        <f>S277</f>
        <v>0</v>
      </c>
      <c r="M277" s="272">
        <f>ROUND(L277*I277,2)</f>
        <v>0</v>
      </c>
      <c r="N277" s="243"/>
      <c r="O277" s="294">
        <f>ROUND(N277*I277,2)</f>
        <v>0</v>
      </c>
      <c r="P277" s="273">
        <f>H277-L277-N277</f>
        <v>15</v>
      </c>
      <c r="Q277" s="287">
        <f>ROUND(P277*I277,2)</f>
        <v>1089.06</v>
      </c>
      <c r="R277" s="137"/>
      <c r="S277" s="269">
        <f>W277+Y277+AA277+AC277</f>
        <v>0</v>
      </c>
      <c r="T277" s="269">
        <f>ROUND(S277*I277,2)</f>
        <v>0</v>
      </c>
      <c r="U277" s="269">
        <f>H277-S277</f>
        <v>15</v>
      </c>
      <c r="V277" s="269">
        <f>ROUND(U277*I277,2)</f>
        <v>1089.06</v>
      </c>
      <c r="W277" s="269"/>
      <c r="X277" s="269"/>
      <c r="Y277" s="269"/>
      <c r="Z277" s="269"/>
      <c r="AA277" s="269"/>
      <c r="AB277" s="269"/>
      <c r="AC277" s="269"/>
      <c r="AD277" s="269"/>
      <c r="BH277" s="132" t="s">
        <v>1</v>
      </c>
      <c r="BI277" s="133" t="s">
        <v>40</v>
      </c>
      <c r="BK277" s="134">
        <f>BJ277*H277</f>
        <v>0</v>
      </c>
      <c r="BL277" s="134">
        <v>0</v>
      </c>
      <c r="BM277" s="134">
        <f>BL277*H277</f>
        <v>0</v>
      </c>
      <c r="BN277" s="134">
        <v>0</v>
      </c>
      <c r="BO277" s="135">
        <f>BN277*H277</f>
        <v>0</v>
      </c>
      <c r="CM277" s="136" t="s">
        <v>95</v>
      </c>
      <c r="CO277" s="136" t="s">
        <v>284</v>
      </c>
      <c r="CP277" s="136" t="s">
        <v>83</v>
      </c>
      <c r="CT277" s="16" t="s">
        <v>282</v>
      </c>
      <c r="CZ277" s="137">
        <f>IF(BI277="základní",J277,0)</f>
        <v>1089.06</v>
      </c>
      <c r="DA277" s="137">
        <f>IF(BI277="snížená",J277,0)</f>
        <v>0</v>
      </c>
      <c r="DB277" s="137">
        <f>IF(BI277="zákl. přenesená",J277,0)</f>
        <v>0</v>
      </c>
      <c r="DC277" s="137">
        <f>IF(BI277="sníž. přenesená",J277,0)</f>
        <v>0</v>
      </c>
      <c r="DD277" s="137">
        <f>IF(BI277="nulová",J277,0)</f>
        <v>0</v>
      </c>
      <c r="DE277" s="16" t="s">
        <v>81</v>
      </c>
      <c r="DF277" s="137">
        <f>ROUND(I277*H277,2)</f>
        <v>1089.06</v>
      </c>
      <c r="DG277" s="16" t="s">
        <v>95</v>
      </c>
      <c r="DH277" s="136" t="s">
        <v>3018</v>
      </c>
    </row>
    <row r="278" spans="2:112" s="1" customFormat="1" x14ac:dyDescent="0.2">
      <c r="B278" s="31"/>
      <c r="D278" s="138" t="s">
        <v>289</v>
      </c>
      <c r="F278" s="139" t="s">
        <v>3017</v>
      </c>
      <c r="I278" s="140"/>
      <c r="L278" s="31"/>
      <c r="N278" s="213"/>
      <c r="O278" s="214"/>
      <c r="Q278" s="229"/>
      <c r="BH278" s="141"/>
      <c r="BO278" s="50"/>
      <c r="CO278" s="16" t="s">
        <v>289</v>
      </c>
      <c r="CP278" s="16" t="s">
        <v>83</v>
      </c>
    </row>
    <row r="279" spans="2:112" s="1" customFormat="1" ht="14.45" customHeight="1" x14ac:dyDescent="0.2">
      <c r="B279" s="124"/>
      <c r="C279" s="125" t="s">
        <v>715</v>
      </c>
      <c r="D279" s="125" t="s">
        <v>284</v>
      </c>
      <c r="E279" s="126" t="s">
        <v>3019</v>
      </c>
      <c r="F279" s="127" t="s">
        <v>3020</v>
      </c>
      <c r="G279" s="128" t="s">
        <v>315</v>
      </c>
      <c r="H279" s="129">
        <v>1</v>
      </c>
      <c r="I279" s="130">
        <v>1079.532261133</v>
      </c>
      <c r="J279" s="131">
        <f>ROUND(I279*H279,2)</f>
        <v>1079.53</v>
      </c>
      <c r="K279" s="127" t="s">
        <v>1</v>
      </c>
      <c r="L279" s="268">
        <f>S279</f>
        <v>0</v>
      </c>
      <c r="M279" s="272">
        <f>ROUND(L279*I279,2)</f>
        <v>0</v>
      </c>
      <c r="N279" s="243"/>
      <c r="O279" s="294">
        <f>ROUND(N279*I279,2)</f>
        <v>0</v>
      </c>
      <c r="P279" s="273">
        <f>H279-L279-N279</f>
        <v>1</v>
      </c>
      <c r="Q279" s="287">
        <f>ROUND(P279*I279,2)</f>
        <v>1079.53</v>
      </c>
      <c r="R279" s="137"/>
      <c r="S279" s="269">
        <f>W279+Y279+AA279+AC279</f>
        <v>0</v>
      </c>
      <c r="T279" s="269">
        <f>ROUND(S279*I279,2)</f>
        <v>0</v>
      </c>
      <c r="U279" s="269">
        <f>H279-S279</f>
        <v>1</v>
      </c>
      <c r="V279" s="269">
        <f>ROUND(U279*I279,2)</f>
        <v>1079.53</v>
      </c>
      <c r="W279" s="269"/>
      <c r="X279" s="269"/>
      <c r="Y279" s="269"/>
      <c r="Z279" s="269"/>
      <c r="AA279" s="269"/>
      <c r="AB279" s="269"/>
      <c r="AC279" s="269"/>
      <c r="AD279" s="269"/>
      <c r="BH279" s="132" t="s">
        <v>1</v>
      </c>
      <c r="BI279" s="133" t="s">
        <v>40</v>
      </c>
      <c r="BK279" s="134">
        <f>BJ279*H279</f>
        <v>0</v>
      </c>
      <c r="BL279" s="134">
        <v>0</v>
      </c>
      <c r="BM279" s="134">
        <f>BL279*H279</f>
        <v>0</v>
      </c>
      <c r="BN279" s="134">
        <v>0</v>
      </c>
      <c r="BO279" s="135">
        <f>BN279*H279</f>
        <v>0</v>
      </c>
      <c r="CM279" s="136" t="s">
        <v>95</v>
      </c>
      <c r="CO279" s="136" t="s">
        <v>284</v>
      </c>
      <c r="CP279" s="136" t="s">
        <v>83</v>
      </c>
      <c r="CT279" s="16" t="s">
        <v>282</v>
      </c>
      <c r="CZ279" s="137">
        <f>IF(BI279="základní",J279,0)</f>
        <v>1079.53</v>
      </c>
      <c r="DA279" s="137">
        <f>IF(BI279="snížená",J279,0)</f>
        <v>0</v>
      </c>
      <c r="DB279" s="137">
        <f>IF(BI279="zákl. přenesená",J279,0)</f>
        <v>0</v>
      </c>
      <c r="DC279" s="137">
        <f>IF(BI279="sníž. přenesená",J279,0)</f>
        <v>0</v>
      </c>
      <c r="DD279" s="137">
        <f>IF(BI279="nulová",J279,0)</f>
        <v>0</v>
      </c>
      <c r="DE279" s="16" t="s">
        <v>81</v>
      </c>
      <c r="DF279" s="137">
        <f>ROUND(I279*H279,2)</f>
        <v>1079.53</v>
      </c>
      <c r="DG279" s="16" t="s">
        <v>95</v>
      </c>
      <c r="DH279" s="136" t="s">
        <v>3021</v>
      </c>
    </row>
    <row r="280" spans="2:112" s="1" customFormat="1" x14ac:dyDescent="0.2">
      <c r="B280" s="31"/>
      <c r="D280" s="138" t="s">
        <v>289</v>
      </c>
      <c r="F280" s="139" t="s">
        <v>3020</v>
      </c>
      <c r="I280" s="140"/>
      <c r="L280" s="31"/>
      <c r="N280" s="213"/>
      <c r="O280" s="214"/>
      <c r="Q280" s="229"/>
      <c r="BH280" s="141"/>
      <c r="BO280" s="50"/>
      <c r="CO280" s="16" t="s">
        <v>289</v>
      </c>
      <c r="CP280" s="16" t="s">
        <v>83</v>
      </c>
    </row>
    <row r="281" spans="2:112" s="1" customFormat="1" ht="14.45" customHeight="1" x14ac:dyDescent="0.2">
      <c r="B281" s="124"/>
      <c r="C281" s="125" t="s">
        <v>718</v>
      </c>
      <c r="D281" s="125" t="s">
        <v>284</v>
      </c>
      <c r="E281" s="126" t="s">
        <v>3022</v>
      </c>
      <c r="F281" s="127" t="s">
        <v>3023</v>
      </c>
      <c r="G281" s="128" t="s">
        <v>315</v>
      </c>
      <c r="H281" s="129">
        <v>2</v>
      </c>
      <c r="I281" s="130">
        <v>2851.1192569999998</v>
      </c>
      <c r="J281" s="131">
        <f>ROUND(I281*H281,2)</f>
        <v>5702.24</v>
      </c>
      <c r="K281" s="127" t="s">
        <v>1</v>
      </c>
      <c r="L281" s="268">
        <f>S281</f>
        <v>0</v>
      </c>
      <c r="M281" s="272">
        <f>ROUND(L281*I281,2)</f>
        <v>0</v>
      </c>
      <c r="N281" s="243"/>
      <c r="O281" s="294">
        <f>ROUND(N281*I281,2)</f>
        <v>0</v>
      </c>
      <c r="P281" s="273">
        <f>H281-L281-N281</f>
        <v>2</v>
      </c>
      <c r="Q281" s="287">
        <f>ROUND(P281*I281,2)</f>
        <v>5702.24</v>
      </c>
      <c r="R281" s="137"/>
      <c r="S281" s="269">
        <f>W281+Y281+AA281+AC281</f>
        <v>0</v>
      </c>
      <c r="T281" s="269">
        <f>ROUND(S281*I281,2)</f>
        <v>0</v>
      </c>
      <c r="U281" s="269">
        <f>H281-S281</f>
        <v>2</v>
      </c>
      <c r="V281" s="269">
        <f>ROUND(U281*I281,2)</f>
        <v>5702.24</v>
      </c>
      <c r="W281" s="269"/>
      <c r="X281" s="269"/>
      <c r="Y281" s="269"/>
      <c r="Z281" s="269"/>
      <c r="AA281" s="269"/>
      <c r="AB281" s="269"/>
      <c r="AC281" s="269"/>
      <c r="AD281" s="269"/>
      <c r="BH281" s="132" t="s">
        <v>1</v>
      </c>
      <c r="BI281" s="133" t="s">
        <v>40</v>
      </c>
      <c r="BK281" s="134">
        <f>BJ281*H281</f>
        <v>0</v>
      </c>
      <c r="BL281" s="134">
        <v>0</v>
      </c>
      <c r="BM281" s="134">
        <f>BL281*H281</f>
        <v>0</v>
      </c>
      <c r="BN281" s="134">
        <v>0</v>
      </c>
      <c r="BO281" s="135">
        <f>BN281*H281</f>
        <v>0</v>
      </c>
      <c r="CM281" s="136" t="s">
        <v>95</v>
      </c>
      <c r="CO281" s="136" t="s">
        <v>284</v>
      </c>
      <c r="CP281" s="136" t="s">
        <v>83</v>
      </c>
      <c r="CT281" s="16" t="s">
        <v>282</v>
      </c>
      <c r="CZ281" s="137">
        <f>IF(BI281="základní",J281,0)</f>
        <v>5702.24</v>
      </c>
      <c r="DA281" s="137">
        <f>IF(BI281="snížená",J281,0)</f>
        <v>0</v>
      </c>
      <c r="DB281" s="137">
        <f>IF(BI281="zákl. přenesená",J281,0)</f>
        <v>0</v>
      </c>
      <c r="DC281" s="137">
        <f>IF(BI281="sníž. přenesená",J281,0)</f>
        <v>0</v>
      </c>
      <c r="DD281" s="137">
        <f>IF(BI281="nulová",J281,0)</f>
        <v>0</v>
      </c>
      <c r="DE281" s="16" t="s">
        <v>81</v>
      </c>
      <c r="DF281" s="137">
        <f>ROUND(I281*H281,2)</f>
        <v>5702.24</v>
      </c>
      <c r="DG281" s="16" t="s">
        <v>95</v>
      </c>
      <c r="DH281" s="136" t="s">
        <v>3024</v>
      </c>
    </row>
    <row r="282" spans="2:112" s="1" customFormat="1" x14ac:dyDescent="0.2">
      <c r="B282" s="31"/>
      <c r="D282" s="138" t="s">
        <v>289</v>
      </c>
      <c r="F282" s="139" t="s">
        <v>3023</v>
      </c>
      <c r="I282" s="140"/>
      <c r="L282" s="31"/>
      <c r="N282" s="213"/>
      <c r="O282" s="214"/>
      <c r="Q282" s="229"/>
      <c r="BH282" s="141"/>
      <c r="BO282" s="50"/>
      <c r="CO282" s="16" t="s">
        <v>289</v>
      </c>
      <c r="CP282" s="16" t="s">
        <v>83</v>
      </c>
    </row>
    <row r="283" spans="2:112" s="1" customFormat="1" ht="14.45" customHeight="1" x14ac:dyDescent="0.2">
      <c r="B283" s="124"/>
      <c r="C283" s="125" t="s">
        <v>724</v>
      </c>
      <c r="D283" s="125" t="s">
        <v>284</v>
      </c>
      <c r="E283" s="126" t="s">
        <v>3025</v>
      </c>
      <c r="F283" s="127" t="s">
        <v>3026</v>
      </c>
      <c r="G283" s="128" t="s">
        <v>315</v>
      </c>
      <c r="H283" s="129">
        <v>4</v>
      </c>
      <c r="I283" s="130">
        <v>646.25685563899992</v>
      </c>
      <c r="J283" s="131">
        <f>ROUND(I283*H283,2)</f>
        <v>2585.0300000000002</v>
      </c>
      <c r="K283" s="127" t="s">
        <v>1</v>
      </c>
      <c r="L283" s="268">
        <f>S283</f>
        <v>0</v>
      </c>
      <c r="M283" s="272">
        <f>ROUND(L283*I283,2)</f>
        <v>0</v>
      </c>
      <c r="N283" s="243"/>
      <c r="O283" s="294">
        <f>ROUND(N283*I283,2)</f>
        <v>0</v>
      </c>
      <c r="P283" s="273">
        <f>H283-L283-N283</f>
        <v>4</v>
      </c>
      <c r="Q283" s="287">
        <f>ROUND(P283*I283,2)</f>
        <v>2585.0300000000002</v>
      </c>
      <c r="R283" s="137"/>
      <c r="S283" s="269">
        <f>W283+Y283+AA283+AC283</f>
        <v>0</v>
      </c>
      <c r="T283" s="269">
        <f>ROUND(S283*I283,2)</f>
        <v>0</v>
      </c>
      <c r="U283" s="269">
        <f>H283-S283</f>
        <v>4</v>
      </c>
      <c r="V283" s="269">
        <f>ROUND(U283*I283,2)</f>
        <v>2585.0300000000002</v>
      </c>
      <c r="W283" s="269"/>
      <c r="X283" s="269"/>
      <c r="Y283" s="269"/>
      <c r="Z283" s="269"/>
      <c r="AA283" s="269"/>
      <c r="AB283" s="269"/>
      <c r="AC283" s="269"/>
      <c r="AD283" s="269"/>
      <c r="BH283" s="132" t="s">
        <v>1</v>
      </c>
      <c r="BI283" s="133" t="s">
        <v>40</v>
      </c>
      <c r="BK283" s="134">
        <f>BJ283*H283</f>
        <v>0</v>
      </c>
      <c r="BL283" s="134">
        <v>0</v>
      </c>
      <c r="BM283" s="134">
        <f>BL283*H283</f>
        <v>0</v>
      </c>
      <c r="BN283" s="134">
        <v>0</v>
      </c>
      <c r="BO283" s="135">
        <f>BN283*H283</f>
        <v>0</v>
      </c>
      <c r="CM283" s="136" t="s">
        <v>95</v>
      </c>
      <c r="CO283" s="136" t="s">
        <v>284</v>
      </c>
      <c r="CP283" s="136" t="s">
        <v>83</v>
      </c>
      <c r="CT283" s="16" t="s">
        <v>282</v>
      </c>
      <c r="CZ283" s="137">
        <f>IF(BI283="základní",J283,0)</f>
        <v>2585.0300000000002</v>
      </c>
      <c r="DA283" s="137">
        <f>IF(BI283="snížená",J283,0)</f>
        <v>0</v>
      </c>
      <c r="DB283" s="137">
        <f>IF(BI283="zákl. přenesená",J283,0)</f>
        <v>0</v>
      </c>
      <c r="DC283" s="137">
        <f>IF(BI283="sníž. přenesená",J283,0)</f>
        <v>0</v>
      </c>
      <c r="DD283" s="137">
        <f>IF(BI283="nulová",J283,0)</f>
        <v>0</v>
      </c>
      <c r="DE283" s="16" t="s">
        <v>81</v>
      </c>
      <c r="DF283" s="137">
        <f>ROUND(I283*H283,2)</f>
        <v>2585.0300000000002</v>
      </c>
      <c r="DG283" s="16" t="s">
        <v>95</v>
      </c>
      <c r="DH283" s="136" t="s">
        <v>3027</v>
      </c>
    </row>
    <row r="284" spans="2:112" s="1" customFormat="1" x14ac:dyDescent="0.2">
      <c r="B284" s="31"/>
      <c r="D284" s="138" t="s">
        <v>289</v>
      </c>
      <c r="F284" s="139" t="s">
        <v>3026</v>
      </c>
      <c r="I284" s="140"/>
      <c r="L284" s="31"/>
      <c r="N284" s="213"/>
      <c r="O284" s="214"/>
      <c r="Q284" s="229"/>
      <c r="BH284" s="141"/>
      <c r="BO284" s="50"/>
      <c r="CO284" s="16" t="s">
        <v>289</v>
      </c>
      <c r="CP284" s="16" t="s">
        <v>83</v>
      </c>
    </row>
    <row r="285" spans="2:112" s="1" customFormat="1" ht="14.45" customHeight="1" x14ac:dyDescent="0.2">
      <c r="B285" s="124"/>
      <c r="C285" s="125" t="s">
        <v>1544</v>
      </c>
      <c r="D285" s="125" t="s">
        <v>284</v>
      </c>
      <c r="E285" s="126" t="s">
        <v>3028</v>
      </c>
      <c r="F285" s="127" t="s">
        <v>3029</v>
      </c>
      <c r="G285" s="128" t="s">
        <v>315</v>
      </c>
      <c r="H285" s="129">
        <v>8</v>
      </c>
      <c r="I285" s="130">
        <v>100.622723811</v>
      </c>
      <c r="J285" s="131">
        <f>ROUND(I285*H285,2)</f>
        <v>804.98</v>
      </c>
      <c r="K285" s="127" t="s">
        <v>1</v>
      </c>
      <c r="L285" s="268">
        <f>S285</f>
        <v>0</v>
      </c>
      <c r="M285" s="272">
        <f>ROUND(L285*I285,2)</f>
        <v>0</v>
      </c>
      <c r="N285" s="243"/>
      <c r="O285" s="294">
        <f>ROUND(N285*I285,2)</f>
        <v>0</v>
      </c>
      <c r="P285" s="273">
        <f>H285-L285-N285</f>
        <v>8</v>
      </c>
      <c r="Q285" s="287">
        <f>ROUND(P285*I285,2)</f>
        <v>804.98</v>
      </c>
      <c r="R285" s="137"/>
      <c r="S285" s="269">
        <f>W285+Y285+AA285+AC285</f>
        <v>0</v>
      </c>
      <c r="T285" s="269">
        <f>ROUND(S285*I285,2)</f>
        <v>0</v>
      </c>
      <c r="U285" s="269">
        <f>H285-S285</f>
        <v>8</v>
      </c>
      <c r="V285" s="269">
        <f>ROUND(U285*I285,2)</f>
        <v>804.98</v>
      </c>
      <c r="W285" s="269"/>
      <c r="X285" s="269"/>
      <c r="Y285" s="269"/>
      <c r="Z285" s="269"/>
      <c r="AA285" s="269"/>
      <c r="AB285" s="269"/>
      <c r="AC285" s="269"/>
      <c r="AD285" s="269"/>
      <c r="BH285" s="132" t="s">
        <v>1</v>
      </c>
      <c r="BI285" s="133" t="s">
        <v>40</v>
      </c>
      <c r="BK285" s="134">
        <f>BJ285*H285</f>
        <v>0</v>
      </c>
      <c r="BL285" s="134">
        <v>0</v>
      </c>
      <c r="BM285" s="134">
        <f>BL285*H285</f>
        <v>0</v>
      </c>
      <c r="BN285" s="134">
        <v>0</v>
      </c>
      <c r="BO285" s="135">
        <f>BN285*H285</f>
        <v>0</v>
      </c>
      <c r="CM285" s="136" t="s">
        <v>95</v>
      </c>
      <c r="CO285" s="136" t="s">
        <v>284</v>
      </c>
      <c r="CP285" s="136" t="s">
        <v>83</v>
      </c>
      <c r="CT285" s="16" t="s">
        <v>282</v>
      </c>
      <c r="CZ285" s="137">
        <f>IF(BI285="základní",J285,0)</f>
        <v>804.98</v>
      </c>
      <c r="DA285" s="137">
        <f>IF(BI285="snížená",J285,0)</f>
        <v>0</v>
      </c>
      <c r="DB285" s="137">
        <f>IF(BI285="zákl. přenesená",J285,0)</f>
        <v>0</v>
      </c>
      <c r="DC285" s="137">
        <f>IF(BI285="sníž. přenesená",J285,0)</f>
        <v>0</v>
      </c>
      <c r="DD285" s="137">
        <f>IF(BI285="nulová",J285,0)</f>
        <v>0</v>
      </c>
      <c r="DE285" s="16" t="s">
        <v>81</v>
      </c>
      <c r="DF285" s="137">
        <f>ROUND(I285*H285,2)</f>
        <v>804.98</v>
      </c>
      <c r="DG285" s="16" t="s">
        <v>95</v>
      </c>
      <c r="DH285" s="136" t="s">
        <v>3030</v>
      </c>
    </row>
    <row r="286" spans="2:112" s="1" customFormat="1" x14ac:dyDescent="0.2">
      <c r="B286" s="31"/>
      <c r="D286" s="138" t="s">
        <v>289</v>
      </c>
      <c r="F286" s="139" t="s">
        <v>3029</v>
      </c>
      <c r="I286" s="140"/>
      <c r="L286" s="31"/>
      <c r="N286" s="213"/>
      <c r="O286" s="214"/>
      <c r="Q286" s="229"/>
      <c r="BH286" s="141"/>
      <c r="BO286" s="50"/>
      <c r="CO286" s="16" t="s">
        <v>289</v>
      </c>
      <c r="CP286" s="16" t="s">
        <v>83</v>
      </c>
    </row>
    <row r="287" spans="2:112" s="1" customFormat="1" ht="14.45" customHeight="1" x14ac:dyDescent="0.2">
      <c r="B287" s="124"/>
      <c r="C287" s="125" t="s">
        <v>1546</v>
      </c>
      <c r="D287" s="125" t="s">
        <v>284</v>
      </c>
      <c r="E287" s="126" t="s">
        <v>3031</v>
      </c>
      <c r="F287" s="127" t="s">
        <v>3032</v>
      </c>
      <c r="G287" s="128" t="s">
        <v>344</v>
      </c>
      <c r="H287" s="129">
        <v>10</v>
      </c>
      <c r="I287" s="130">
        <v>95.015206867000003</v>
      </c>
      <c r="J287" s="131">
        <f>ROUND(I287*H287,2)</f>
        <v>950.15</v>
      </c>
      <c r="K287" s="127" t="s">
        <v>1</v>
      </c>
      <c r="L287" s="268">
        <f>S287</f>
        <v>0</v>
      </c>
      <c r="M287" s="272">
        <f>ROUND(L287*I287,2)</f>
        <v>0</v>
      </c>
      <c r="N287" s="243"/>
      <c r="O287" s="294">
        <f>ROUND(N287*I287,2)</f>
        <v>0</v>
      </c>
      <c r="P287" s="273">
        <f>H287-L287-N287</f>
        <v>10</v>
      </c>
      <c r="Q287" s="287">
        <f>ROUND(P287*I287,2)</f>
        <v>950.15</v>
      </c>
      <c r="R287" s="137"/>
      <c r="S287" s="269">
        <f>W287+Y287+AA287+AC287</f>
        <v>0</v>
      </c>
      <c r="T287" s="269">
        <f>ROUND(S287*I287,2)</f>
        <v>0</v>
      </c>
      <c r="U287" s="269">
        <f>H287-S287</f>
        <v>10</v>
      </c>
      <c r="V287" s="269">
        <f>ROUND(U287*I287,2)</f>
        <v>950.15</v>
      </c>
      <c r="W287" s="269"/>
      <c r="X287" s="269"/>
      <c r="Y287" s="269"/>
      <c r="Z287" s="269"/>
      <c r="AA287" s="269"/>
      <c r="AB287" s="269"/>
      <c r="AC287" s="269"/>
      <c r="AD287" s="269"/>
      <c r="BH287" s="132" t="s">
        <v>1</v>
      </c>
      <c r="BI287" s="133" t="s">
        <v>40</v>
      </c>
      <c r="BK287" s="134">
        <f>BJ287*H287</f>
        <v>0</v>
      </c>
      <c r="BL287" s="134">
        <v>0</v>
      </c>
      <c r="BM287" s="134">
        <f>BL287*H287</f>
        <v>0</v>
      </c>
      <c r="BN287" s="134">
        <v>0</v>
      </c>
      <c r="BO287" s="135">
        <f>BN287*H287</f>
        <v>0</v>
      </c>
      <c r="CM287" s="136" t="s">
        <v>95</v>
      </c>
      <c r="CO287" s="136" t="s">
        <v>284</v>
      </c>
      <c r="CP287" s="136" t="s">
        <v>83</v>
      </c>
      <c r="CT287" s="16" t="s">
        <v>282</v>
      </c>
      <c r="CZ287" s="137">
        <f>IF(BI287="základní",J287,0)</f>
        <v>950.15</v>
      </c>
      <c r="DA287" s="137">
        <f>IF(BI287="snížená",J287,0)</f>
        <v>0</v>
      </c>
      <c r="DB287" s="137">
        <f>IF(BI287="zákl. přenesená",J287,0)</f>
        <v>0</v>
      </c>
      <c r="DC287" s="137">
        <f>IF(BI287="sníž. přenesená",J287,0)</f>
        <v>0</v>
      </c>
      <c r="DD287" s="137">
        <f>IF(BI287="nulová",J287,0)</f>
        <v>0</v>
      </c>
      <c r="DE287" s="16" t="s">
        <v>81</v>
      </c>
      <c r="DF287" s="137">
        <f>ROUND(I287*H287,2)</f>
        <v>950.15</v>
      </c>
      <c r="DG287" s="16" t="s">
        <v>95</v>
      </c>
      <c r="DH287" s="136" t="s">
        <v>3033</v>
      </c>
    </row>
    <row r="288" spans="2:112" s="1" customFormat="1" x14ac:dyDescent="0.2">
      <c r="B288" s="31"/>
      <c r="D288" s="138" t="s">
        <v>289</v>
      </c>
      <c r="F288" s="139" t="s">
        <v>3032</v>
      </c>
      <c r="I288" s="140"/>
      <c r="L288" s="31"/>
      <c r="N288" s="213"/>
      <c r="O288" s="214"/>
      <c r="Q288" s="229"/>
      <c r="BH288" s="141"/>
      <c r="BO288" s="50"/>
      <c r="CO288" s="16" t="s">
        <v>289</v>
      </c>
      <c r="CP288" s="16" t="s">
        <v>83</v>
      </c>
    </row>
    <row r="289" spans="2:112" s="1" customFormat="1" ht="14.45" customHeight="1" x14ac:dyDescent="0.2">
      <c r="B289" s="124"/>
      <c r="C289" s="125" t="s">
        <v>1551</v>
      </c>
      <c r="D289" s="125" t="s">
        <v>284</v>
      </c>
      <c r="E289" s="126" t="s">
        <v>3034</v>
      </c>
      <c r="F289" s="127" t="s">
        <v>3035</v>
      </c>
      <c r="G289" s="128" t="s">
        <v>344</v>
      </c>
      <c r="H289" s="129">
        <v>20</v>
      </c>
      <c r="I289" s="130">
        <v>73.267134394999999</v>
      </c>
      <c r="J289" s="131">
        <f>ROUND(I289*H289,2)</f>
        <v>1465.34</v>
      </c>
      <c r="K289" s="127" t="s">
        <v>1</v>
      </c>
      <c r="L289" s="268">
        <f>S289</f>
        <v>0</v>
      </c>
      <c r="M289" s="272">
        <f>ROUND(L289*I289,2)</f>
        <v>0</v>
      </c>
      <c r="N289" s="243"/>
      <c r="O289" s="294">
        <f>ROUND(N289*I289,2)</f>
        <v>0</v>
      </c>
      <c r="P289" s="273">
        <f>H289-L289-N289</f>
        <v>20</v>
      </c>
      <c r="Q289" s="287">
        <f>ROUND(P289*I289,2)</f>
        <v>1465.34</v>
      </c>
      <c r="R289" s="137"/>
      <c r="S289" s="269">
        <f>W289+Y289+AA289+AC289</f>
        <v>0</v>
      </c>
      <c r="T289" s="269">
        <f>ROUND(S289*I289,2)</f>
        <v>0</v>
      </c>
      <c r="U289" s="269">
        <f>H289-S289</f>
        <v>20</v>
      </c>
      <c r="V289" s="269">
        <f>ROUND(U289*I289,2)</f>
        <v>1465.34</v>
      </c>
      <c r="W289" s="269"/>
      <c r="X289" s="269"/>
      <c r="Y289" s="269"/>
      <c r="Z289" s="269"/>
      <c r="AA289" s="269"/>
      <c r="AB289" s="269"/>
      <c r="AC289" s="269"/>
      <c r="AD289" s="269"/>
      <c r="BH289" s="132" t="s">
        <v>1</v>
      </c>
      <c r="BI289" s="133" t="s">
        <v>40</v>
      </c>
      <c r="BK289" s="134">
        <f>BJ289*H289</f>
        <v>0</v>
      </c>
      <c r="BL289" s="134">
        <v>0</v>
      </c>
      <c r="BM289" s="134">
        <f>BL289*H289</f>
        <v>0</v>
      </c>
      <c r="BN289" s="134">
        <v>0</v>
      </c>
      <c r="BO289" s="135">
        <f>BN289*H289</f>
        <v>0</v>
      </c>
      <c r="CM289" s="136" t="s">
        <v>95</v>
      </c>
      <c r="CO289" s="136" t="s">
        <v>284</v>
      </c>
      <c r="CP289" s="136" t="s">
        <v>83</v>
      </c>
      <c r="CT289" s="16" t="s">
        <v>282</v>
      </c>
      <c r="CZ289" s="137">
        <f>IF(BI289="základní",J289,0)</f>
        <v>1465.34</v>
      </c>
      <c r="DA289" s="137">
        <f>IF(BI289="snížená",J289,0)</f>
        <v>0</v>
      </c>
      <c r="DB289" s="137">
        <f>IF(BI289="zákl. přenesená",J289,0)</f>
        <v>0</v>
      </c>
      <c r="DC289" s="137">
        <f>IF(BI289="sníž. přenesená",J289,0)</f>
        <v>0</v>
      </c>
      <c r="DD289" s="137">
        <f>IF(BI289="nulová",J289,0)</f>
        <v>0</v>
      </c>
      <c r="DE289" s="16" t="s">
        <v>81</v>
      </c>
      <c r="DF289" s="137">
        <f>ROUND(I289*H289,2)</f>
        <v>1465.34</v>
      </c>
      <c r="DG289" s="16" t="s">
        <v>95</v>
      </c>
      <c r="DH289" s="136" t="s">
        <v>3036</v>
      </c>
    </row>
    <row r="290" spans="2:112" s="1" customFormat="1" x14ac:dyDescent="0.2">
      <c r="B290" s="31"/>
      <c r="D290" s="138" t="s">
        <v>289</v>
      </c>
      <c r="F290" s="139" t="s">
        <v>3035</v>
      </c>
      <c r="I290" s="140"/>
      <c r="L290" s="31"/>
      <c r="N290" s="213"/>
      <c r="O290" s="214"/>
      <c r="Q290" s="229"/>
      <c r="BH290" s="141"/>
      <c r="BO290" s="50"/>
      <c r="CO290" s="16" t="s">
        <v>289</v>
      </c>
      <c r="CP290" s="16" t="s">
        <v>83</v>
      </c>
    </row>
    <row r="291" spans="2:112" s="1" customFormat="1" ht="14.45" customHeight="1" x14ac:dyDescent="0.2">
      <c r="B291" s="124"/>
      <c r="C291" s="125" t="s">
        <v>1069</v>
      </c>
      <c r="D291" s="125" t="s">
        <v>284</v>
      </c>
      <c r="E291" s="126" t="s">
        <v>3037</v>
      </c>
      <c r="F291" s="127" t="s">
        <v>3038</v>
      </c>
      <c r="G291" s="128" t="s">
        <v>315</v>
      </c>
      <c r="H291" s="129">
        <v>1</v>
      </c>
      <c r="I291" s="130">
        <v>586.98956929000008</v>
      </c>
      <c r="J291" s="131">
        <f>ROUND(I291*H291,2)</f>
        <v>586.99</v>
      </c>
      <c r="K291" s="127" t="s">
        <v>1</v>
      </c>
      <c r="L291" s="268">
        <f>S291</f>
        <v>0</v>
      </c>
      <c r="M291" s="272">
        <f>ROUND(L291*I291,2)</f>
        <v>0</v>
      </c>
      <c r="N291" s="243"/>
      <c r="O291" s="294">
        <f>ROUND(N291*I291,2)</f>
        <v>0</v>
      </c>
      <c r="P291" s="273">
        <f>H291-L291-N291</f>
        <v>1</v>
      </c>
      <c r="Q291" s="287">
        <f>ROUND(P291*I291,2)</f>
        <v>586.99</v>
      </c>
      <c r="R291" s="137"/>
      <c r="S291" s="269">
        <f>W291+Y291+AA291+AC291</f>
        <v>0</v>
      </c>
      <c r="T291" s="269">
        <f>ROUND(S291*I291,2)</f>
        <v>0</v>
      </c>
      <c r="U291" s="269">
        <f>H291-S291</f>
        <v>1</v>
      </c>
      <c r="V291" s="269">
        <f>ROUND(U291*I291,2)</f>
        <v>586.99</v>
      </c>
      <c r="W291" s="269"/>
      <c r="X291" s="269"/>
      <c r="Y291" s="269"/>
      <c r="Z291" s="269"/>
      <c r="AA291" s="269"/>
      <c r="AB291" s="269"/>
      <c r="AC291" s="269"/>
      <c r="AD291" s="269"/>
      <c r="BH291" s="132" t="s">
        <v>1</v>
      </c>
      <c r="BI291" s="133" t="s">
        <v>40</v>
      </c>
      <c r="BK291" s="134">
        <f>BJ291*H291</f>
        <v>0</v>
      </c>
      <c r="BL291" s="134">
        <v>0</v>
      </c>
      <c r="BM291" s="134">
        <f>BL291*H291</f>
        <v>0</v>
      </c>
      <c r="BN291" s="134">
        <v>0</v>
      </c>
      <c r="BO291" s="135">
        <f>BN291*H291</f>
        <v>0</v>
      </c>
      <c r="CM291" s="136" t="s">
        <v>95</v>
      </c>
      <c r="CO291" s="136" t="s">
        <v>284</v>
      </c>
      <c r="CP291" s="136" t="s">
        <v>83</v>
      </c>
      <c r="CT291" s="16" t="s">
        <v>282</v>
      </c>
      <c r="CZ291" s="137">
        <f>IF(BI291="základní",J291,0)</f>
        <v>586.99</v>
      </c>
      <c r="DA291" s="137">
        <f>IF(BI291="snížená",J291,0)</f>
        <v>0</v>
      </c>
      <c r="DB291" s="137">
        <f>IF(BI291="zákl. přenesená",J291,0)</f>
        <v>0</v>
      </c>
      <c r="DC291" s="137">
        <f>IF(BI291="sníž. přenesená",J291,0)</f>
        <v>0</v>
      </c>
      <c r="DD291" s="137">
        <f>IF(BI291="nulová",J291,0)</f>
        <v>0</v>
      </c>
      <c r="DE291" s="16" t="s">
        <v>81</v>
      </c>
      <c r="DF291" s="137">
        <f>ROUND(I291*H291,2)</f>
        <v>586.99</v>
      </c>
      <c r="DG291" s="16" t="s">
        <v>95</v>
      </c>
      <c r="DH291" s="136" t="s">
        <v>3039</v>
      </c>
    </row>
    <row r="292" spans="2:112" s="1" customFormat="1" x14ac:dyDescent="0.2">
      <c r="B292" s="31"/>
      <c r="D292" s="138" t="s">
        <v>289</v>
      </c>
      <c r="F292" s="139" t="s">
        <v>3038</v>
      </c>
      <c r="I292" s="140"/>
      <c r="L292" s="31"/>
      <c r="N292" s="213"/>
      <c r="O292" s="214"/>
      <c r="Q292" s="229"/>
      <c r="BH292" s="141"/>
      <c r="BO292" s="50"/>
      <c r="CO292" s="16" t="s">
        <v>289</v>
      </c>
      <c r="CP292" s="16" t="s">
        <v>83</v>
      </c>
    </row>
    <row r="293" spans="2:112" s="1" customFormat="1" ht="14.45" customHeight="1" x14ac:dyDescent="0.2">
      <c r="B293" s="124"/>
      <c r="C293" s="125" t="s">
        <v>1555</v>
      </c>
      <c r="D293" s="125" t="s">
        <v>284</v>
      </c>
      <c r="E293" s="126" t="s">
        <v>3040</v>
      </c>
      <c r="F293" s="127" t="s">
        <v>2009</v>
      </c>
      <c r="G293" s="128" t="s">
        <v>315</v>
      </c>
      <c r="H293" s="129">
        <v>40</v>
      </c>
      <c r="I293" s="130">
        <v>36.136278955000002</v>
      </c>
      <c r="J293" s="131">
        <f>ROUND(I293*H293,2)</f>
        <v>1445.45</v>
      </c>
      <c r="K293" s="127" t="s">
        <v>1</v>
      </c>
      <c r="L293" s="268">
        <f>S293</f>
        <v>0</v>
      </c>
      <c r="M293" s="272">
        <f>ROUND(L293*I293,2)</f>
        <v>0</v>
      </c>
      <c r="N293" s="243"/>
      <c r="O293" s="294">
        <f>ROUND(N293*I293,2)</f>
        <v>0</v>
      </c>
      <c r="P293" s="273">
        <f>H293-L293-N293</f>
        <v>40</v>
      </c>
      <c r="Q293" s="287">
        <f>ROUND(P293*I293,2)</f>
        <v>1445.45</v>
      </c>
      <c r="R293" s="137"/>
      <c r="S293" s="269">
        <f>W293+Y293+AA293+AC293</f>
        <v>0</v>
      </c>
      <c r="T293" s="269">
        <f>ROUND(S293*I293,2)</f>
        <v>0</v>
      </c>
      <c r="U293" s="269">
        <f>H293-S293</f>
        <v>40</v>
      </c>
      <c r="V293" s="269">
        <f>ROUND(U293*I293,2)</f>
        <v>1445.45</v>
      </c>
      <c r="W293" s="269"/>
      <c r="X293" s="269"/>
      <c r="Y293" s="269"/>
      <c r="Z293" s="269"/>
      <c r="AA293" s="269"/>
      <c r="AB293" s="269"/>
      <c r="AC293" s="269"/>
      <c r="AD293" s="269"/>
      <c r="BH293" s="132" t="s">
        <v>1</v>
      </c>
      <c r="BI293" s="133" t="s">
        <v>40</v>
      </c>
      <c r="BK293" s="134">
        <f>BJ293*H293</f>
        <v>0</v>
      </c>
      <c r="BL293" s="134">
        <v>0</v>
      </c>
      <c r="BM293" s="134">
        <f>BL293*H293</f>
        <v>0</v>
      </c>
      <c r="BN293" s="134">
        <v>0</v>
      </c>
      <c r="BO293" s="135">
        <f>BN293*H293</f>
        <v>0</v>
      </c>
      <c r="CM293" s="136" t="s">
        <v>95</v>
      </c>
      <c r="CO293" s="136" t="s">
        <v>284</v>
      </c>
      <c r="CP293" s="136" t="s">
        <v>83</v>
      </c>
      <c r="CT293" s="16" t="s">
        <v>282</v>
      </c>
      <c r="CZ293" s="137">
        <f>IF(BI293="základní",J293,0)</f>
        <v>1445.45</v>
      </c>
      <c r="DA293" s="137">
        <f>IF(BI293="snížená",J293,0)</f>
        <v>0</v>
      </c>
      <c r="DB293" s="137">
        <f>IF(BI293="zákl. přenesená",J293,0)</f>
        <v>0</v>
      </c>
      <c r="DC293" s="137">
        <f>IF(BI293="sníž. přenesená",J293,0)</f>
        <v>0</v>
      </c>
      <c r="DD293" s="137">
        <f>IF(BI293="nulová",J293,0)</f>
        <v>0</v>
      </c>
      <c r="DE293" s="16" t="s">
        <v>81</v>
      </c>
      <c r="DF293" s="137">
        <f>ROUND(I293*H293,2)</f>
        <v>1445.45</v>
      </c>
      <c r="DG293" s="16" t="s">
        <v>95</v>
      </c>
      <c r="DH293" s="136" t="s">
        <v>3041</v>
      </c>
    </row>
    <row r="294" spans="2:112" s="1" customFormat="1" x14ac:dyDescent="0.2">
      <c r="B294" s="31"/>
      <c r="D294" s="138" t="s">
        <v>289</v>
      </c>
      <c r="F294" s="139" t="s">
        <v>2009</v>
      </c>
      <c r="I294" s="140"/>
      <c r="L294" s="31"/>
      <c r="N294" s="213"/>
      <c r="O294" s="214"/>
      <c r="Q294" s="229"/>
      <c r="BH294" s="141"/>
      <c r="BO294" s="50"/>
      <c r="CO294" s="16" t="s">
        <v>289</v>
      </c>
      <c r="CP294" s="16" t="s">
        <v>83</v>
      </c>
    </row>
    <row r="295" spans="2:112" s="10" customFormat="1" ht="22.9" customHeight="1" x14ac:dyDescent="0.2">
      <c r="B295" s="112"/>
      <c r="D295" s="113" t="s">
        <v>73</v>
      </c>
      <c r="E295" s="122" t="s">
        <v>3090</v>
      </c>
      <c r="F295" s="122" t="s">
        <v>3042</v>
      </c>
      <c r="I295" s="115"/>
      <c r="J295" s="123">
        <f>DF295</f>
        <v>4761.82</v>
      </c>
      <c r="L295" s="112"/>
      <c r="M295" s="270">
        <f>SUM(M296:M302)</f>
        <v>0</v>
      </c>
      <c r="N295" s="301"/>
      <c r="O295" s="302">
        <f t="shared" ref="O295:V295" si="6">SUM(O296:O302)</f>
        <v>0</v>
      </c>
      <c r="P295" s="270"/>
      <c r="Q295" s="288">
        <f t="shared" si="6"/>
        <v>4761.82</v>
      </c>
      <c r="R295" s="270"/>
      <c r="S295" s="270"/>
      <c r="T295" s="270">
        <f t="shared" si="6"/>
        <v>0</v>
      </c>
      <c r="U295" s="270"/>
      <c r="V295" s="270">
        <f t="shared" si="6"/>
        <v>4761.82</v>
      </c>
      <c r="BH295" s="117"/>
      <c r="BK295" s="118">
        <f>SUM(BK296:BK303)</f>
        <v>0</v>
      </c>
      <c r="BM295" s="118">
        <f>SUM(BM296:BM303)</f>
        <v>0</v>
      </c>
      <c r="BO295" s="119">
        <f>SUM(BO296:BO303)</f>
        <v>0</v>
      </c>
      <c r="CM295" s="113" t="s">
        <v>81</v>
      </c>
      <c r="CO295" s="120" t="s">
        <v>73</v>
      </c>
      <c r="CP295" s="120" t="s">
        <v>81</v>
      </c>
      <c r="CT295" s="113" t="s">
        <v>282</v>
      </c>
      <c r="DF295" s="121">
        <f>SUM(DF296:DF303)</f>
        <v>4761.82</v>
      </c>
    </row>
    <row r="296" spans="2:112" s="1" customFormat="1" ht="24.2" customHeight="1" x14ac:dyDescent="0.2">
      <c r="B296" s="124"/>
      <c r="C296" s="125" t="s">
        <v>1557</v>
      </c>
      <c r="D296" s="125" t="s">
        <v>284</v>
      </c>
      <c r="E296" s="126" t="s">
        <v>3043</v>
      </c>
      <c r="F296" s="127" t="s">
        <v>3044</v>
      </c>
      <c r="G296" s="128" t="s">
        <v>315</v>
      </c>
      <c r="H296" s="129">
        <v>1</v>
      </c>
      <c r="I296" s="130">
        <v>994.57648500000005</v>
      </c>
      <c r="J296" s="131">
        <f>ROUND(I296*H296,2)</f>
        <v>994.58</v>
      </c>
      <c r="K296" s="127" t="s">
        <v>1</v>
      </c>
      <c r="L296" s="268">
        <f>S296</f>
        <v>0</v>
      </c>
      <c r="M296" s="272">
        <f>ROUND(L296*I296,2)</f>
        <v>0</v>
      </c>
      <c r="N296" s="243"/>
      <c r="O296" s="294">
        <f>ROUND(N296*I296,2)</f>
        <v>0</v>
      </c>
      <c r="P296" s="273">
        <f>H296-L296-N296</f>
        <v>1</v>
      </c>
      <c r="Q296" s="287">
        <f>ROUND(P296*I296,2)</f>
        <v>994.58</v>
      </c>
      <c r="R296" s="137"/>
      <c r="S296" s="269">
        <f>W296+Y296+AA296+AC296</f>
        <v>0</v>
      </c>
      <c r="T296" s="269">
        <f>ROUND(S296*I296,2)</f>
        <v>0</v>
      </c>
      <c r="U296" s="269">
        <f>H296-S296</f>
        <v>1</v>
      </c>
      <c r="V296" s="269">
        <f>ROUND(U296*I296,2)</f>
        <v>994.58</v>
      </c>
      <c r="W296" s="269"/>
      <c r="X296" s="269"/>
      <c r="Y296" s="269"/>
      <c r="Z296" s="269"/>
      <c r="AA296" s="269"/>
      <c r="AB296" s="269"/>
      <c r="AC296" s="269"/>
      <c r="AD296" s="269"/>
      <c r="BH296" s="132" t="s">
        <v>1</v>
      </c>
      <c r="BI296" s="133" t="s">
        <v>40</v>
      </c>
      <c r="BK296" s="134">
        <f>BJ296*H296</f>
        <v>0</v>
      </c>
      <c r="BL296" s="134">
        <v>0</v>
      </c>
      <c r="BM296" s="134">
        <f>BL296*H296</f>
        <v>0</v>
      </c>
      <c r="BN296" s="134">
        <v>0</v>
      </c>
      <c r="BO296" s="135">
        <f>BN296*H296</f>
        <v>0</v>
      </c>
      <c r="CM296" s="136" t="s">
        <v>95</v>
      </c>
      <c r="CO296" s="136" t="s">
        <v>284</v>
      </c>
      <c r="CP296" s="136" t="s">
        <v>83</v>
      </c>
      <c r="CT296" s="16" t="s">
        <v>282</v>
      </c>
      <c r="CZ296" s="137">
        <f>IF(BI296="základní",J296,0)</f>
        <v>994.58</v>
      </c>
      <c r="DA296" s="137">
        <f>IF(BI296="snížená",J296,0)</f>
        <v>0</v>
      </c>
      <c r="DB296" s="137">
        <f>IF(BI296="zákl. přenesená",J296,0)</f>
        <v>0</v>
      </c>
      <c r="DC296" s="137">
        <f>IF(BI296="sníž. přenesená",J296,0)</f>
        <v>0</v>
      </c>
      <c r="DD296" s="137">
        <f>IF(BI296="nulová",J296,0)</f>
        <v>0</v>
      </c>
      <c r="DE296" s="16" t="s">
        <v>81</v>
      </c>
      <c r="DF296" s="137">
        <f>ROUND(I296*H296,2)</f>
        <v>994.58</v>
      </c>
      <c r="DG296" s="16" t="s">
        <v>95</v>
      </c>
      <c r="DH296" s="136" t="s">
        <v>3045</v>
      </c>
    </row>
    <row r="297" spans="2:112" s="1" customFormat="1" ht="19.5" x14ac:dyDescent="0.2">
      <c r="B297" s="31"/>
      <c r="D297" s="138" t="s">
        <v>289</v>
      </c>
      <c r="F297" s="139" t="s">
        <v>3044</v>
      </c>
      <c r="I297" s="140"/>
      <c r="L297" s="31"/>
      <c r="N297" s="213"/>
      <c r="O297" s="214"/>
      <c r="Q297" s="229"/>
      <c r="BH297" s="141"/>
      <c r="BO297" s="50"/>
      <c r="CO297" s="16" t="s">
        <v>289</v>
      </c>
      <c r="CP297" s="16" t="s">
        <v>83</v>
      </c>
    </row>
    <row r="298" spans="2:112" s="1" customFormat="1" ht="14.45" customHeight="1" x14ac:dyDescent="0.2">
      <c r="B298" s="124"/>
      <c r="C298" s="125" t="s">
        <v>1559</v>
      </c>
      <c r="D298" s="125" t="s">
        <v>284</v>
      </c>
      <c r="E298" s="126" t="s">
        <v>3046</v>
      </c>
      <c r="F298" s="127" t="s">
        <v>3047</v>
      </c>
      <c r="G298" s="128" t="s">
        <v>315</v>
      </c>
      <c r="H298" s="129">
        <v>1</v>
      </c>
      <c r="I298" s="130">
        <v>563.59334149999995</v>
      </c>
      <c r="J298" s="131">
        <f>ROUND(I298*H298,2)</f>
        <v>563.59</v>
      </c>
      <c r="K298" s="127" t="s">
        <v>1</v>
      </c>
      <c r="L298" s="268">
        <f>S298</f>
        <v>0</v>
      </c>
      <c r="M298" s="272">
        <f>ROUND(L298*I298,2)</f>
        <v>0</v>
      </c>
      <c r="N298" s="243"/>
      <c r="O298" s="294">
        <f>ROUND(N298*I298,2)</f>
        <v>0</v>
      </c>
      <c r="P298" s="273">
        <f>H298-L298-N298</f>
        <v>1</v>
      </c>
      <c r="Q298" s="287">
        <f>ROUND(P298*I298,2)</f>
        <v>563.59</v>
      </c>
      <c r="R298" s="137"/>
      <c r="S298" s="269">
        <f>W298+Y298+AA298+AC298</f>
        <v>0</v>
      </c>
      <c r="T298" s="269">
        <f>ROUND(S298*I298,2)</f>
        <v>0</v>
      </c>
      <c r="U298" s="269">
        <f>H298-S298</f>
        <v>1</v>
      </c>
      <c r="V298" s="269">
        <f>ROUND(U298*I298,2)</f>
        <v>563.59</v>
      </c>
      <c r="W298" s="269"/>
      <c r="X298" s="269"/>
      <c r="Y298" s="269"/>
      <c r="Z298" s="269"/>
      <c r="AA298" s="269"/>
      <c r="AB298" s="269"/>
      <c r="AC298" s="269"/>
      <c r="AD298" s="269"/>
      <c r="BH298" s="132" t="s">
        <v>1</v>
      </c>
      <c r="BI298" s="133" t="s">
        <v>40</v>
      </c>
      <c r="BK298" s="134">
        <f>BJ298*H298</f>
        <v>0</v>
      </c>
      <c r="BL298" s="134">
        <v>0</v>
      </c>
      <c r="BM298" s="134">
        <f>BL298*H298</f>
        <v>0</v>
      </c>
      <c r="BN298" s="134">
        <v>0</v>
      </c>
      <c r="BO298" s="135">
        <f>BN298*H298</f>
        <v>0</v>
      </c>
      <c r="CM298" s="136" t="s">
        <v>95</v>
      </c>
      <c r="CO298" s="136" t="s">
        <v>284</v>
      </c>
      <c r="CP298" s="136" t="s">
        <v>83</v>
      </c>
      <c r="CT298" s="16" t="s">
        <v>282</v>
      </c>
      <c r="CZ298" s="137">
        <f>IF(BI298="základní",J298,0)</f>
        <v>563.59</v>
      </c>
      <c r="DA298" s="137">
        <f>IF(BI298="snížená",J298,0)</f>
        <v>0</v>
      </c>
      <c r="DB298" s="137">
        <f>IF(BI298="zákl. přenesená",J298,0)</f>
        <v>0</v>
      </c>
      <c r="DC298" s="137">
        <f>IF(BI298="sníž. přenesená",J298,0)</f>
        <v>0</v>
      </c>
      <c r="DD298" s="137">
        <f>IF(BI298="nulová",J298,0)</f>
        <v>0</v>
      </c>
      <c r="DE298" s="16" t="s">
        <v>81</v>
      </c>
      <c r="DF298" s="137">
        <f>ROUND(I298*H298,2)</f>
        <v>563.59</v>
      </c>
      <c r="DG298" s="16" t="s">
        <v>95</v>
      </c>
      <c r="DH298" s="136" t="s">
        <v>3048</v>
      </c>
    </row>
    <row r="299" spans="2:112" s="1" customFormat="1" x14ac:dyDescent="0.2">
      <c r="B299" s="31"/>
      <c r="D299" s="138" t="s">
        <v>289</v>
      </c>
      <c r="F299" s="139" t="s">
        <v>3047</v>
      </c>
      <c r="I299" s="140"/>
      <c r="L299" s="31"/>
      <c r="N299" s="213"/>
      <c r="O299" s="214"/>
      <c r="Q299" s="229"/>
      <c r="BH299" s="141"/>
      <c r="BO299" s="50"/>
      <c r="CO299" s="16" t="s">
        <v>289</v>
      </c>
      <c r="CP299" s="16" t="s">
        <v>83</v>
      </c>
    </row>
    <row r="300" spans="2:112" s="1" customFormat="1" ht="14.45" customHeight="1" x14ac:dyDescent="0.2">
      <c r="B300" s="124"/>
      <c r="C300" s="125" t="s">
        <v>1560</v>
      </c>
      <c r="D300" s="125" t="s">
        <v>284</v>
      </c>
      <c r="E300" s="126" t="s">
        <v>3049</v>
      </c>
      <c r="F300" s="127" t="s">
        <v>3050</v>
      </c>
      <c r="G300" s="128" t="s">
        <v>315</v>
      </c>
      <c r="H300" s="129">
        <v>1</v>
      </c>
      <c r="I300" s="130">
        <v>805.60695284999997</v>
      </c>
      <c r="J300" s="131">
        <f>ROUND(I300*H300,2)</f>
        <v>805.61</v>
      </c>
      <c r="K300" s="127" t="s">
        <v>1</v>
      </c>
      <c r="L300" s="268">
        <f>S300</f>
        <v>0</v>
      </c>
      <c r="M300" s="272">
        <f>ROUND(L300*I300,2)</f>
        <v>0</v>
      </c>
      <c r="N300" s="243"/>
      <c r="O300" s="294">
        <f>ROUND(N300*I300,2)</f>
        <v>0</v>
      </c>
      <c r="P300" s="273">
        <f>H300-L300-N300</f>
        <v>1</v>
      </c>
      <c r="Q300" s="287">
        <f>ROUND(P300*I300,2)</f>
        <v>805.61</v>
      </c>
      <c r="R300" s="137"/>
      <c r="S300" s="269">
        <f>W300+Y300+AA300+AC300</f>
        <v>0</v>
      </c>
      <c r="T300" s="269">
        <f>ROUND(S300*I300,2)</f>
        <v>0</v>
      </c>
      <c r="U300" s="269">
        <f>H300-S300</f>
        <v>1</v>
      </c>
      <c r="V300" s="269">
        <f>ROUND(U300*I300,2)</f>
        <v>805.61</v>
      </c>
      <c r="W300" s="269"/>
      <c r="X300" s="269"/>
      <c r="Y300" s="269"/>
      <c r="Z300" s="269"/>
      <c r="AA300" s="269"/>
      <c r="AB300" s="269"/>
      <c r="AC300" s="269"/>
      <c r="AD300" s="269"/>
      <c r="BH300" s="132" t="s">
        <v>1</v>
      </c>
      <c r="BI300" s="133" t="s">
        <v>40</v>
      </c>
      <c r="BK300" s="134">
        <f>BJ300*H300</f>
        <v>0</v>
      </c>
      <c r="BL300" s="134">
        <v>0</v>
      </c>
      <c r="BM300" s="134">
        <f>BL300*H300</f>
        <v>0</v>
      </c>
      <c r="BN300" s="134">
        <v>0</v>
      </c>
      <c r="BO300" s="135">
        <f>BN300*H300</f>
        <v>0</v>
      </c>
      <c r="CM300" s="136" t="s">
        <v>95</v>
      </c>
      <c r="CO300" s="136" t="s">
        <v>284</v>
      </c>
      <c r="CP300" s="136" t="s">
        <v>83</v>
      </c>
      <c r="CT300" s="16" t="s">
        <v>282</v>
      </c>
      <c r="CZ300" s="137">
        <f>IF(BI300="základní",J300,0)</f>
        <v>805.61</v>
      </c>
      <c r="DA300" s="137">
        <f>IF(BI300="snížená",J300,0)</f>
        <v>0</v>
      </c>
      <c r="DB300" s="137">
        <f>IF(BI300="zákl. přenesená",J300,0)</f>
        <v>0</v>
      </c>
      <c r="DC300" s="137">
        <f>IF(BI300="sníž. přenesená",J300,0)</f>
        <v>0</v>
      </c>
      <c r="DD300" s="137">
        <f>IF(BI300="nulová",J300,0)</f>
        <v>0</v>
      </c>
      <c r="DE300" s="16" t="s">
        <v>81</v>
      </c>
      <c r="DF300" s="137">
        <f>ROUND(I300*H300,2)</f>
        <v>805.61</v>
      </c>
      <c r="DG300" s="16" t="s">
        <v>95</v>
      </c>
      <c r="DH300" s="136" t="s">
        <v>3051</v>
      </c>
    </row>
    <row r="301" spans="2:112" s="1" customFormat="1" x14ac:dyDescent="0.2">
      <c r="B301" s="31"/>
      <c r="D301" s="138" t="s">
        <v>289</v>
      </c>
      <c r="F301" s="139" t="s">
        <v>3050</v>
      </c>
      <c r="I301" s="140"/>
      <c r="L301" s="31"/>
      <c r="N301" s="213"/>
      <c r="O301" s="214"/>
      <c r="Q301" s="229"/>
      <c r="BH301" s="141"/>
      <c r="BO301" s="50"/>
      <c r="CO301" s="16" t="s">
        <v>289</v>
      </c>
      <c r="CP301" s="16" t="s">
        <v>83</v>
      </c>
    </row>
    <row r="302" spans="2:112" s="1" customFormat="1" ht="14.45" customHeight="1" x14ac:dyDescent="0.2">
      <c r="B302" s="124"/>
      <c r="C302" s="125" t="s">
        <v>1561</v>
      </c>
      <c r="D302" s="125" t="s">
        <v>284</v>
      </c>
      <c r="E302" s="126" t="s">
        <v>3052</v>
      </c>
      <c r="F302" s="127" t="s">
        <v>3053</v>
      </c>
      <c r="G302" s="128" t="s">
        <v>315</v>
      </c>
      <c r="H302" s="129">
        <v>1</v>
      </c>
      <c r="I302" s="130">
        <v>2398.0375712190003</v>
      </c>
      <c r="J302" s="131">
        <f>ROUND(I302*H302,2)</f>
        <v>2398.04</v>
      </c>
      <c r="K302" s="127" t="s">
        <v>1</v>
      </c>
      <c r="L302" s="268">
        <f>S302</f>
        <v>0</v>
      </c>
      <c r="M302" s="272">
        <f>ROUND(L302*I302,2)</f>
        <v>0</v>
      </c>
      <c r="N302" s="243"/>
      <c r="O302" s="294">
        <f>ROUND(N302*I302,2)</f>
        <v>0</v>
      </c>
      <c r="P302" s="273">
        <f>H302-L302-N302</f>
        <v>1</v>
      </c>
      <c r="Q302" s="287">
        <f>ROUND(P302*I302,2)</f>
        <v>2398.04</v>
      </c>
      <c r="R302" s="137"/>
      <c r="S302" s="269">
        <f>W302+Y302+AA302+AC302</f>
        <v>0</v>
      </c>
      <c r="T302" s="269">
        <f>ROUND(S302*I302,2)</f>
        <v>0</v>
      </c>
      <c r="U302" s="269">
        <f>H302-S302</f>
        <v>1</v>
      </c>
      <c r="V302" s="269">
        <f>ROUND(U302*I302,2)</f>
        <v>2398.04</v>
      </c>
      <c r="W302" s="269"/>
      <c r="X302" s="269"/>
      <c r="Y302" s="269"/>
      <c r="Z302" s="269"/>
      <c r="AA302" s="269"/>
      <c r="AB302" s="269"/>
      <c r="AC302" s="269"/>
      <c r="AD302" s="269"/>
      <c r="BH302" s="132" t="s">
        <v>1</v>
      </c>
      <c r="BI302" s="133" t="s">
        <v>40</v>
      </c>
      <c r="BK302" s="134">
        <f>BJ302*H302</f>
        <v>0</v>
      </c>
      <c r="BL302" s="134">
        <v>0</v>
      </c>
      <c r="BM302" s="134">
        <f>BL302*H302</f>
        <v>0</v>
      </c>
      <c r="BN302" s="134">
        <v>0</v>
      </c>
      <c r="BO302" s="135">
        <f>BN302*H302</f>
        <v>0</v>
      </c>
      <c r="CM302" s="136" t="s">
        <v>95</v>
      </c>
      <c r="CO302" s="136" t="s">
        <v>284</v>
      </c>
      <c r="CP302" s="136" t="s">
        <v>83</v>
      </c>
      <c r="CT302" s="16" t="s">
        <v>282</v>
      </c>
      <c r="CZ302" s="137">
        <f>IF(BI302="základní",J302,0)</f>
        <v>2398.04</v>
      </c>
      <c r="DA302" s="137">
        <f>IF(BI302="snížená",J302,0)</f>
        <v>0</v>
      </c>
      <c r="DB302" s="137">
        <f>IF(BI302="zákl. přenesená",J302,0)</f>
        <v>0</v>
      </c>
      <c r="DC302" s="137">
        <f>IF(BI302="sníž. přenesená",J302,0)</f>
        <v>0</v>
      </c>
      <c r="DD302" s="137">
        <f>IF(BI302="nulová",J302,0)</f>
        <v>0</v>
      </c>
      <c r="DE302" s="16" t="s">
        <v>81</v>
      </c>
      <c r="DF302" s="137">
        <f>ROUND(I302*H302,2)</f>
        <v>2398.04</v>
      </c>
      <c r="DG302" s="16" t="s">
        <v>95</v>
      </c>
      <c r="DH302" s="136" t="s">
        <v>3054</v>
      </c>
    </row>
    <row r="303" spans="2:112" s="1" customFormat="1" x14ac:dyDescent="0.2">
      <c r="B303" s="31"/>
      <c r="D303" s="138" t="s">
        <v>289</v>
      </c>
      <c r="F303" s="139" t="s">
        <v>3053</v>
      </c>
      <c r="I303" s="140"/>
      <c r="L303" s="31"/>
      <c r="N303" s="213"/>
      <c r="O303" s="214"/>
      <c r="Q303" s="229"/>
      <c r="BH303" s="141"/>
      <c r="BO303" s="50"/>
      <c r="CO303" s="16" t="s">
        <v>289</v>
      </c>
      <c r="CP303" s="16" t="s">
        <v>83</v>
      </c>
    </row>
    <row r="304" spans="2:112" s="10" customFormat="1" ht="22.9" customHeight="1" x14ac:dyDescent="0.2">
      <c r="B304" s="112"/>
      <c r="D304" s="113" t="s">
        <v>73</v>
      </c>
      <c r="E304" s="122" t="s">
        <v>3091</v>
      </c>
      <c r="F304" s="122" t="s">
        <v>2035</v>
      </c>
      <c r="I304" s="115"/>
      <c r="J304" s="123">
        <f>DF304</f>
        <v>105131.48000000001</v>
      </c>
      <c r="L304" s="112"/>
      <c r="M304" s="270">
        <f>SUM(M305:M313)</f>
        <v>0</v>
      </c>
      <c r="N304" s="301"/>
      <c r="O304" s="302">
        <f t="shared" ref="O304:V304" si="7">SUM(O305:O313)</f>
        <v>0</v>
      </c>
      <c r="P304" s="270"/>
      <c r="Q304" s="288">
        <f t="shared" si="7"/>
        <v>105131.48000000001</v>
      </c>
      <c r="R304" s="270"/>
      <c r="S304" s="270"/>
      <c r="T304" s="270">
        <f t="shared" si="7"/>
        <v>0</v>
      </c>
      <c r="U304" s="270"/>
      <c r="V304" s="270">
        <f t="shared" si="7"/>
        <v>105131.48000000001</v>
      </c>
      <c r="BH304" s="117"/>
      <c r="BK304" s="118">
        <f>SUM(BK305:BK314)</f>
        <v>0</v>
      </c>
      <c r="BM304" s="118">
        <f>SUM(BM305:BM314)</f>
        <v>0</v>
      </c>
      <c r="BO304" s="119">
        <f>SUM(BO305:BO314)</f>
        <v>0</v>
      </c>
      <c r="CM304" s="113" t="s">
        <v>81</v>
      </c>
      <c r="CO304" s="120" t="s">
        <v>73</v>
      </c>
      <c r="CP304" s="120" t="s">
        <v>81</v>
      </c>
      <c r="CT304" s="113" t="s">
        <v>282</v>
      </c>
      <c r="DF304" s="121">
        <f>SUM(DF305:DF314)</f>
        <v>105131.48000000001</v>
      </c>
    </row>
    <row r="305" spans="2:112" s="1" customFormat="1" ht="14.45" customHeight="1" x14ac:dyDescent="0.2">
      <c r="B305" s="124"/>
      <c r="C305" s="125" t="s">
        <v>1562</v>
      </c>
      <c r="D305" s="125" t="s">
        <v>284</v>
      </c>
      <c r="E305" s="126" t="s">
        <v>3056</v>
      </c>
      <c r="F305" s="127" t="s">
        <v>3057</v>
      </c>
      <c r="G305" s="128" t="s">
        <v>331</v>
      </c>
      <c r="H305" s="129">
        <v>46</v>
      </c>
      <c r="I305" s="130">
        <v>909.32707200000004</v>
      </c>
      <c r="J305" s="131">
        <f>ROUND(I305*H305,2)</f>
        <v>41829.050000000003</v>
      </c>
      <c r="K305" s="127" t="s">
        <v>1</v>
      </c>
      <c r="L305" s="268">
        <f>S305</f>
        <v>0</v>
      </c>
      <c r="M305" s="272">
        <f>ROUND(L305*I305,2)</f>
        <v>0</v>
      </c>
      <c r="N305" s="243"/>
      <c r="O305" s="294">
        <f>ROUND(N305*I305,2)</f>
        <v>0</v>
      </c>
      <c r="P305" s="273">
        <f>H305-L305-N305</f>
        <v>46</v>
      </c>
      <c r="Q305" s="287">
        <f>ROUND(P305*I305,2)</f>
        <v>41829.050000000003</v>
      </c>
      <c r="R305" s="137"/>
      <c r="S305" s="269">
        <f>W305+Y305+AA305+AC305</f>
        <v>0</v>
      </c>
      <c r="T305" s="269">
        <f>ROUND(S305*I305,2)</f>
        <v>0</v>
      </c>
      <c r="U305" s="269">
        <f>H305-S305</f>
        <v>46</v>
      </c>
      <c r="V305" s="269">
        <f>ROUND(U305*I305,2)</f>
        <v>41829.050000000003</v>
      </c>
      <c r="W305" s="269"/>
      <c r="X305" s="269"/>
      <c r="Y305" s="269"/>
      <c r="Z305" s="269"/>
      <c r="AA305" s="269"/>
      <c r="AB305" s="269"/>
      <c r="AC305" s="269"/>
      <c r="AD305" s="269"/>
      <c r="BH305" s="132" t="s">
        <v>1</v>
      </c>
      <c r="BI305" s="133" t="s">
        <v>40</v>
      </c>
      <c r="BK305" s="134">
        <f>BJ305*H305</f>
        <v>0</v>
      </c>
      <c r="BL305" s="134">
        <v>0</v>
      </c>
      <c r="BM305" s="134">
        <f>BL305*H305</f>
        <v>0</v>
      </c>
      <c r="BN305" s="134">
        <v>0</v>
      </c>
      <c r="BO305" s="135">
        <f>BN305*H305</f>
        <v>0</v>
      </c>
      <c r="CM305" s="136" t="s">
        <v>95</v>
      </c>
      <c r="CO305" s="136" t="s">
        <v>284</v>
      </c>
      <c r="CP305" s="136" t="s">
        <v>83</v>
      </c>
      <c r="CT305" s="16" t="s">
        <v>282</v>
      </c>
      <c r="CZ305" s="137">
        <f>IF(BI305="základní",J305,0)</f>
        <v>41829.050000000003</v>
      </c>
      <c r="DA305" s="137">
        <f>IF(BI305="snížená",J305,0)</f>
        <v>0</v>
      </c>
      <c r="DB305" s="137">
        <f>IF(BI305="zákl. přenesená",J305,0)</f>
        <v>0</v>
      </c>
      <c r="DC305" s="137">
        <f>IF(BI305="sníž. přenesená",J305,0)</f>
        <v>0</v>
      </c>
      <c r="DD305" s="137">
        <f>IF(BI305="nulová",J305,0)</f>
        <v>0</v>
      </c>
      <c r="DE305" s="16" t="s">
        <v>81</v>
      </c>
      <c r="DF305" s="137">
        <f>ROUND(I305*H305,2)</f>
        <v>41829.050000000003</v>
      </c>
      <c r="DG305" s="16" t="s">
        <v>95</v>
      </c>
      <c r="DH305" s="136" t="s">
        <v>3058</v>
      </c>
    </row>
    <row r="306" spans="2:112" s="1" customFormat="1" x14ac:dyDescent="0.2">
      <c r="B306" s="31"/>
      <c r="D306" s="138" t="s">
        <v>289</v>
      </c>
      <c r="F306" s="139" t="s">
        <v>3057</v>
      </c>
      <c r="I306" s="140"/>
      <c r="L306" s="31"/>
      <c r="N306" s="213"/>
      <c r="O306" s="214"/>
      <c r="Q306" s="229"/>
      <c r="BH306" s="141"/>
      <c r="BO306" s="50"/>
      <c r="CO306" s="16" t="s">
        <v>289</v>
      </c>
      <c r="CP306" s="16" t="s">
        <v>83</v>
      </c>
    </row>
    <row r="307" spans="2:112" s="1" customFormat="1" ht="14.45" customHeight="1" x14ac:dyDescent="0.2">
      <c r="B307" s="124"/>
      <c r="C307" s="125" t="s">
        <v>1563</v>
      </c>
      <c r="D307" s="125" t="s">
        <v>284</v>
      </c>
      <c r="E307" s="126" t="s">
        <v>3059</v>
      </c>
      <c r="F307" s="127" t="s">
        <v>3060</v>
      </c>
      <c r="G307" s="128" t="s">
        <v>331</v>
      </c>
      <c r="H307" s="129">
        <v>26</v>
      </c>
      <c r="I307" s="130">
        <v>1136.6588400000001</v>
      </c>
      <c r="J307" s="131">
        <f>ROUND(I307*H307,2)</f>
        <v>29553.13</v>
      </c>
      <c r="K307" s="127" t="s">
        <v>1</v>
      </c>
      <c r="L307" s="268">
        <f>S307</f>
        <v>0</v>
      </c>
      <c r="M307" s="272">
        <f>ROUND(L307*I307,2)</f>
        <v>0</v>
      </c>
      <c r="N307" s="243"/>
      <c r="O307" s="294">
        <f>ROUND(N307*I307,2)</f>
        <v>0</v>
      </c>
      <c r="P307" s="273">
        <f>H307-L307-N307</f>
        <v>26</v>
      </c>
      <c r="Q307" s="287">
        <f>ROUND(P307*I307,2)</f>
        <v>29553.13</v>
      </c>
      <c r="R307" s="137"/>
      <c r="S307" s="269">
        <f>W307+Y307+AA307+AC307</f>
        <v>0</v>
      </c>
      <c r="T307" s="269">
        <f>ROUND(S307*I307,2)</f>
        <v>0</v>
      </c>
      <c r="U307" s="269">
        <f>H307-S307</f>
        <v>26</v>
      </c>
      <c r="V307" s="269">
        <f>ROUND(U307*I307,2)</f>
        <v>29553.13</v>
      </c>
      <c r="W307" s="269"/>
      <c r="X307" s="269"/>
      <c r="Y307" s="269"/>
      <c r="Z307" s="269"/>
      <c r="AA307" s="269"/>
      <c r="AB307" s="269"/>
      <c r="AC307" s="269"/>
      <c r="AD307" s="269"/>
      <c r="BH307" s="132" t="s">
        <v>1</v>
      </c>
      <c r="BI307" s="133" t="s">
        <v>40</v>
      </c>
      <c r="BK307" s="134">
        <f>BJ307*H307</f>
        <v>0</v>
      </c>
      <c r="BL307" s="134">
        <v>0</v>
      </c>
      <c r="BM307" s="134">
        <f>BL307*H307</f>
        <v>0</v>
      </c>
      <c r="BN307" s="134">
        <v>0</v>
      </c>
      <c r="BO307" s="135">
        <f>BN307*H307</f>
        <v>0</v>
      </c>
      <c r="CM307" s="136" t="s">
        <v>95</v>
      </c>
      <c r="CO307" s="136" t="s">
        <v>284</v>
      </c>
      <c r="CP307" s="136" t="s">
        <v>83</v>
      </c>
      <c r="CT307" s="16" t="s">
        <v>282</v>
      </c>
      <c r="CZ307" s="137">
        <f>IF(BI307="základní",J307,0)</f>
        <v>29553.13</v>
      </c>
      <c r="DA307" s="137">
        <f>IF(BI307="snížená",J307,0)</f>
        <v>0</v>
      </c>
      <c r="DB307" s="137">
        <f>IF(BI307="zákl. přenesená",J307,0)</f>
        <v>0</v>
      </c>
      <c r="DC307" s="137">
        <f>IF(BI307="sníž. přenesená",J307,0)</f>
        <v>0</v>
      </c>
      <c r="DD307" s="137">
        <f>IF(BI307="nulová",J307,0)</f>
        <v>0</v>
      </c>
      <c r="DE307" s="16" t="s">
        <v>81</v>
      </c>
      <c r="DF307" s="137">
        <f>ROUND(I307*H307,2)</f>
        <v>29553.13</v>
      </c>
      <c r="DG307" s="16" t="s">
        <v>95</v>
      </c>
      <c r="DH307" s="136" t="s">
        <v>3061</v>
      </c>
    </row>
    <row r="308" spans="2:112" s="1" customFormat="1" x14ac:dyDescent="0.2">
      <c r="B308" s="31"/>
      <c r="D308" s="138" t="s">
        <v>289</v>
      </c>
      <c r="F308" s="139" t="s">
        <v>3060</v>
      </c>
      <c r="I308" s="140"/>
      <c r="L308" s="31"/>
      <c r="N308" s="213"/>
      <c r="O308" s="214"/>
      <c r="Q308" s="229"/>
      <c r="BH308" s="141"/>
      <c r="BO308" s="50"/>
      <c r="CO308" s="16" t="s">
        <v>289</v>
      </c>
      <c r="CP308" s="16" t="s">
        <v>83</v>
      </c>
    </row>
    <row r="309" spans="2:112" s="1" customFormat="1" ht="14.45" customHeight="1" x14ac:dyDescent="0.2">
      <c r="B309" s="124"/>
      <c r="C309" s="125" t="s">
        <v>1566</v>
      </c>
      <c r="D309" s="125" t="s">
        <v>284</v>
      </c>
      <c r="E309" s="126" t="s">
        <v>3062</v>
      </c>
      <c r="F309" s="127" t="s">
        <v>3063</v>
      </c>
      <c r="G309" s="128" t="s">
        <v>1948</v>
      </c>
      <c r="H309" s="129">
        <v>1</v>
      </c>
      <c r="I309" s="130">
        <v>7890.3067810000002</v>
      </c>
      <c r="J309" s="131">
        <f>ROUND(I309*H309,2)</f>
        <v>7890.31</v>
      </c>
      <c r="K309" s="127" t="s">
        <v>1</v>
      </c>
      <c r="L309" s="268">
        <f>S309</f>
        <v>0</v>
      </c>
      <c r="M309" s="272">
        <f>ROUND(L309*I309,2)</f>
        <v>0</v>
      </c>
      <c r="N309" s="243"/>
      <c r="O309" s="294">
        <f>ROUND(N309*I309,2)</f>
        <v>0</v>
      </c>
      <c r="P309" s="273">
        <f>H309-L309-N309</f>
        <v>1</v>
      </c>
      <c r="Q309" s="287">
        <f>ROUND(P309*I309,2)</f>
        <v>7890.31</v>
      </c>
      <c r="R309" s="137"/>
      <c r="S309" s="269">
        <f>W309+Y309+AA309+AC309</f>
        <v>0</v>
      </c>
      <c r="T309" s="269">
        <f>ROUND(S309*I309,2)</f>
        <v>0</v>
      </c>
      <c r="U309" s="269">
        <f>H309-S309</f>
        <v>1</v>
      </c>
      <c r="V309" s="269">
        <f>ROUND(U309*I309,2)</f>
        <v>7890.31</v>
      </c>
      <c r="W309" s="269"/>
      <c r="X309" s="269"/>
      <c r="Y309" s="269"/>
      <c r="Z309" s="269"/>
      <c r="AA309" s="269"/>
      <c r="AB309" s="269"/>
      <c r="AC309" s="269"/>
      <c r="AD309" s="269"/>
      <c r="BH309" s="132" t="s">
        <v>1</v>
      </c>
      <c r="BI309" s="133" t="s">
        <v>40</v>
      </c>
      <c r="BK309" s="134">
        <f>BJ309*H309</f>
        <v>0</v>
      </c>
      <c r="BL309" s="134">
        <v>0</v>
      </c>
      <c r="BM309" s="134">
        <f>BL309*H309</f>
        <v>0</v>
      </c>
      <c r="BN309" s="134">
        <v>0</v>
      </c>
      <c r="BO309" s="135">
        <f>BN309*H309</f>
        <v>0</v>
      </c>
      <c r="CM309" s="136" t="s">
        <v>95</v>
      </c>
      <c r="CO309" s="136" t="s">
        <v>284</v>
      </c>
      <c r="CP309" s="136" t="s">
        <v>83</v>
      </c>
      <c r="CT309" s="16" t="s">
        <v>282</v>
      </c>
      <c r="CZ309" s="137">
        <f>IF(BI309="základní",J309,0)</f>
        <v>7890.31</v>
      </c>
      <c r="DA309" s="137">
        <f>IF(BI309="snížená",J309,0)</f>
        <v>0</v>
      </c>
      <c r="DB309" s="137">
        <f>IF(BI309="zákl. přenesená",J309,0)</f>
        <v>0</v>
      </c>
      <c r="DC309" s="137">
        <f>IF(BI309="sníž. přenesená",J309,0)</f>
        <v>0</v>
      </c>
      <c r="DD309" s="137">
        <f>IF(BI309="nulová",J309,0)</f>
        <v>0</v>
      </c>
      <c r="DE309" s="16" t="s">
        <v>81</v>
      </c>
      <c r="DF309" s="137">
        <f>ROUND(I309*H309,2)</f>
        <v>7890.31</v>
      </c>
      <c r="DG309" s="16" t="s">
        <v>95</v>
      </c>
      <c r="DH309" s="136" t="s">
        <v>3064</v>
      </c>
    </row>
    <row r="310" spans="2:112" s="1" customFormat="1" x14ac:dyDescent="0.2">
      <c r="B310" s="31"/>
      <c r="D310" s="138" t="s">
        <v>289</v>
      </c>
      <c r="F310" s="139" t="s">
        <v>3063</v>
      </c>
      <c r="I310" s="140"/>
      <c r="L310" s="31"/>
      <c r="N310" s="213"/>
      <c r="O310" s="214"/>
      <c r="Q310" s="229"/>
      <c r="BH310" s="141"/>
      <c r="BO310" s="50"/>
      <c r="CO310" s="16" t="s">
        <v>289</v>
      </c>
      <c r="CP310" s="16" t="s">
        <v>83</v>
      </c>
    </row>
    <row r="311" spans="2:112" s="1" customFormat="1" ht="14.45" customHeight="1" x14ac:dyDescent="0.2">
      <c r="B311" s="124"/>
      <c r="C311" s="125" t="s">
        <v>1568</v>
      </c>
      <c r="D311" s="125" t="s">
        <v>284</v>
      </c>
      <c r="E311" s="126" t="s">
        <v>3065</v>
      </c>
      <c r="F311" s="127" t="s">
        <v>2037</v>
      </c>
      <c r="G311" s="128" t="s">
        <v>331</v>
      </c>
      <c r="H311" s="129">
        <v>12</v>
      </c>
      <c r="I311" s="130">
        <v>615.69020499999999</v>
      </c>
      <c r="J311" s="131">
        <f>ROUND(I311*H311,2)</f>
        <v>7388.28</v>
      </c>
      <c r="K311" s="127" t="s">
        <v>1</v>
      </c>
      <c r="L311" s="268">
        <f>S311</f>
        <v>0</v>
      </c>
      <c r="M311" s="272">
        <f>ROUND(L311*I311,2)</f>
        <v>0</v>
      </c>
      <c r="N311" s="243"/>
      <c r="O311" s="294">
        <f>ROUND(N311*I311,2)</f>
        <v>0</v>
      </c>
      <c r="P311" s="273">
        <f>H311-L311-N311</f>
        <v>12</v>
      </c>
      <c r="Q311" s="287">
        <f>ROUND(P311*I311,2)</f>
        <v>7388.28</v>
      </c>
      <c r="R311" s="137"/>
      <c r="S311" s="269">
        <f>W311+Y311+AA311+AC311</f>
        <v>0</v>
      </c>
      <c r="T311" s="269">
        <f>ROUND(S311*I311,2)</f>
        <v>0</v>
      </c>
      <c r="U311" s="269">
        <f>H311-S311</f>
        <v>12</v>
      </c>
      <c r="V311" s="269">
        <f>ROUND(U311*I311,2)</f>
        <v>7388.28</v>
      </c>
      <c r="W311" s="269"/>
      <c r="X311" s="269"/>
      <c r="Y311" s="269"/>
      <c r="Z311" s="269"/>
      <c r="AA311" s="269"/>
      <c r="AB311" s="269"/>
      <c r="AC311" s="269"/>
      <c r="AD311" s="269"/>
      <c r="BH311" s="132" t="s">
        <v>1</v>
      </c>
      <c r="BI311" s="133" t="s">
        <v>40</v>
      </c>
      <c r="BK311" s="134">
        <f>BJ311*H311</f>
        <v>0</v>
      </c>
      <c r="BL311" s="134">
        <v>0</v>
      </c>
      <c r="BM311" s="134">
        <f>BL311*H311</f>
        <v>0</v>
      </c>
      <c r="BN311" s="134">
        <v>0</v>
      </c>
      <c r="BO311" s="135">
        <f>BN311*H311</f>
        <v>0</v>
      </c>
      <c r="CM311" s="136" t="s">
        <v>95</v>
      </c>
      <c r="CO311" s="136" t="s">
        <v>284</v>
      </c>
      <c r="CP311" s="136" t="s">
        <v>83</v>
      </c>
      <c r="CT311" s="16" t="s">
        <v>282</v>
      </c>
      <c r="CZ311" s="137">
        <f>IF(BI311="základní",J311,0)</f>
        <v>7388.28</v>
      </c>
      <c r="DA311" s="137">
        <f>IF(BI311="snížená",J311,0)</f>
        <v>0</v>
      </c>
      <c r="DB311" s="137">
        <f>IF(BI311="zákl. přenesená",J311,0)</f>
        <v>0</v>
      </c>
      <c r="DC311" s="137">
        <f>IF(BI311="sníž. přenesená",J311,0)</f>
        <v>0</v>
      </c>
      <c r="DD311" s="137">
        <f>IF(BI311="nulová",J311,0)</f>
        <v>0</v>
      </c>
      <c r="DE311" s="16" t="s">
        <v>81</v>
      </c>
      <c r="DF311" s="137">
        <f>ROUND(I311*H311,2)</f>
        <v>7388.28</v>
      </c>
      <c r="DG311" s="16" t="s">
        <v>95</v>
      </c>
      <c r="DH311" s="136" t="s">
        <v>3066</v>
      </c>
    </row>
    <row r="312" spans="2:112" s="1" customFormat="1" x14ac:dyDescent="0.2">
      <c r="B312" s="31"/>
      <c r="D312" s="138" t="s">
        <v>289</v>
      </c>
      <c r="F312" s="139" t="s">
        <v>2037</v>
      </c>
      <c r="I312" s="140"/>
      <c r="L312" s="31"/>
      <c r="N312" s="213"/>
      <c r="O312" s="214"/>
      <c r="Q312" s="229"/>
      <c r="BH312" s="141"/>
      <c r="BO312" s="50"/>
      <c r="CO312" s="16" t="s">
        <v>289</v>
      </c>
      <c r="CP312" s="16" t="s">
        <v>83</v>
      </c>
    </row>
    <row r="313" spans="2:112" s="1" customFormat="1" ht="14.45" customHeight="1" x14ac:dyDescent="0.2">
      <c r="B313" s="124"/>
      <c r="C313" s="125" t="s">
        <v>1569</v>
      </c>
      <c r="D313" s="125" t="s">
        <v>284</v>
      </c>
      <c r="E313" s="126" t="s">
        <v>3067</v>
      </c>
      <c r="F313" s="127" t="s">
        <v>2039</v>
      </c>
      <c r="G313" s="128" t="s">
        <v>331</v>
      </c>
      <c r="H313" s="129">
        <v>30</v>
      </c>
      <c r="I313" s="130">
        <v>615.69020499999999</v>
      </c>
      <c r="J313" s="131">
        <f>ROUND(I313*H313,2)</f>
        <v>18470.71</v>
      </c>
      <c r="K313" s="127" t="s">
        <v>1</v>
      </c>
      <c r="L313" s="268">
        <f>S313</f>
        <v>0</v>
      </c>
      <c r="M313" s="272">
        <f>ROUND(L313*I313,2)</f>
        <v>0</v>
      </c>
      <c r="N313" s="243"/>
      <c r="O313" s="294">
        <f>ROUND(N313*I313,2)</f>
        <v>0</v>
      </c>
      <c r="P313" s="273">
        <f>H313-L313-N313</f>
        <v>30</v>
      </c>
      <c r="Q313" s="287">
        <f>ROUND(P313*I313,2)</f>
        <v>18470.71</v>
      </c>
      <c r="R313" s="137"/>
      <c r="S313" s="269">
        <f>W313+Y313+AA313+AC313</f>
        <v>0</v>
      </c>
      <c r="T313" s="269">
        <f>ROUND(S313*I313,2)</f>
        <v>0</v>
      </c>
      <c r="U313" s="269">
        <f>H313-S313</f>
        <v>30</v>
      </c>
      <c r="V313" s="269">
        <f>ROUND(U313*I313,2)</f>
        <v>18470.71</v>
      </c>
      <c r="W313" s="269"/>
      <c r="X313" s="269"/>
      <c r="Y313" s="269"/>
      <c r="Z313" s="269"/>
      <c r="AA313" s="269"/>
      <c r="AB313" s="269"/>
      <c r="AC313" s="269"/>
      <c r="AD313" s="269"/>
      <c r="BH313" s="132" t="s">
        <v>1</v>
      </c>
      <c r="BI313" s="133" t="s">
        <v>40</v>
      </c>
      <c r="BK313" s="134">
        <f>BJ313*H313</f>
        <v>0</v>
      </c>
      <c r="BL313" s="134">
        <v>0</v>
      </c>
      <c r="BM313" s="134">
        <f>BL313*H313</f>
        <v>0</v>
      </c>
      <c r="BN313" s="134">
        <v>0</v>
      </c>
      <c r="BO313" s="135">
        <f>BN313*H313</f>
        <v>0</v>
      </c>
      <c r="CM313" s="136" t="s">
        <v>95</v>
      </c>
      <c r="CO313" s="136" t="s">
        <v>284</v>
      </c>
      <c r="CP313" s="136" t="s">
        <v>83</v>
      </c>
      <c r="CT313" s="16" t="s">
        <v>282</v>
      </c>
      <c r="CZ313" s="137">
        <f>IF(BI313="základní",J313,0)</f>
        <v>18470.71</v>
      </c>
      <c r="DA313" s="137">
        <f>IF(BI313="snížená",J313,0)</f>
        <v>0</v>
      </c>
      <c r="DB313" s="137">
        <f>IF(BI313="zákl. přenesená",J313,0)</f>
        <v>0</v>
      </c>
      <c r="DC313" s="137">
        <f>IF(BI313="sníž. přenesená",J313,0)</f>
        <v>0</v>
      </c>
      <c r="DD313" s="137">
        <f>IF(BI313="nulová",J313,0)</f>
        <v>0</v>
      </c>
      <c r="DE313" s="16" t="s">
        <v>81</v>
      </c>
      <c r="DF313" s="137">
        <f>ROUND(I313*H313,2)</f>
        <v>18470.71</v>
      </c>
      <c r="DG313" s="16" t="s">
        <v>95</v>
      </c>
      <c r="DH313" s="136" t="s">
        <v>3068</v>
      </c>
    </row>
    <row r="314" spans="2:112" s="1" customFormat="1" x14ac:dyDescent="0.2">
      <c r="B314" s="31"/>
      <c r="D314" s="138" t="s">
        <v>289</v>
      </c>
      <c r="F314" s="139" t="s">
        <v>2039</v>
      </c>
      <c r="I314" s="140"/>
      <c r="L314" s="31"/>
      <c r="N314" s="213"/>
      <c r="O314" s="214"/>
      <c r="Q314" s="229"/>
      <c r="BH314" s="141"/>
      <c r="BO314" s="50"/>
      <c r="CO314" s="16" t="s">
        <v>289</v>
      </c>
      <c r="CP314" s="16" t="s">
        <v>83</v>
      </c>
    </row>
    <row r="315" spans="2:112" s="10" customFormat="1" ht="22.9" customHeight="1" x14ac:dyDescent="0.2">
      <c r="B315" s="112"/>
      <c r="D315" s="113" t="s">
        <v>73</v>
      </c>
      <c r="E315" s="122" t="s">
        <v>3069</v>
      </c>
      <c r="F315" s="122" t="s">
        <v>3070</v>
      </c>
      <c r="I315" s="115"/>
      <c r="J315" s="123">
        <f>DF315</f>
        <v>14066.150000000001</v>
      </c>
      <c r="L315" s="112"/>
      <c r="M315" s="270">
        <f>SUM(M316:M320)</f>
        <v>0</v>
      </c>
      <c r="N315" s="301"/>
      <c r="O315" s="302">
        <f t="shared" ref="O315:V315" si="8">SUM(O316:O320)</f>
        <v>0</v>
      </c>
      <c r="P315" s="270"/>
      <c r="Q315" s="288">
        <f t="shared" si="8"/>
        <v>14066.150000000001</v>
      </c>
      <c r="R315" s="270"/>
      <c r="S315" s="270"/>
      <c r="T315" s="270">
        <f t="shared" si="8"/>
        <v>0</v>
      </c>
      <c r="U315" s="270"/>
      <c r="V315" s="270">
        <f t="shared" si="8"/>
        <v>14066.150000000001</v>
      </c>
      <c r="BH315" s="117"/>
      <c r="BK315" s="118">
        <f>SUM(BK316:BK321)</f>
        <v>0</v>
      </c>
      <c r="BM315" s="118">
        <f>SUM(BM316:BM321)</f>
        <v>0</v>
      </c>
      <c r="BO315" s="119">
        <f>SUM(BO316:BO321)</f>
        <v>0</v>
      </c>
      <c r="CM315" s="113" t="s">
        <v>95</v>
      </c>
      <c r="CO315" s="120" t="s">
        <v>73</v>
      </c>
      <c r="CP315" s="120" t="s">
        <v>81</v>
      </c>
      <c r="CT315" s="113" t="s">
        <v>282</v>
      </c>
      <c r="DF315" s="121">
        <f>SUM(DF316:DF321)</f>
        <v>14066.150000000001</v>
      </c>
    </row>
    <row r="316" spans="2:112" s="1" customFormat="1" ht="14.45" customHeight="1" x14ac:dyDescent="0.2">
      <c r="B316" s="124"/>
      <c r="C316" s="125" t="s">
        <v>1570</v>
      </c>
      <c r="D316" s="125" t="s">
        <v>284</v>
      </c>
      <c r="E316" s="126" t="s">
        <v>3071</v>
      </c>
      <c r="F316" s="127" t="s">
        <v>2043</v>
      </c>
      <c r="G316" s="128" t="s">
        <v>1948</v>
      </c>
      <c r="H316" s="129">
        <v>1</v>
      </c>
      <c r="I316" s="130">
        <v>1468.1843349999999</v>
      </c>
      <c r="J316" s="131">
        <f>ROUND(I316*H316,2)</f>
        <v>1468.18</v>
      </c>
      <c r="K316" s="127" t="s">
        <v>1</v>
      </c>
      <c r="L316" s="268">
        <f>S316</f>
        <v>0</v>
      </c>
      <c r="M316" s="272">
        <f>ROUND(L316*I316,2)</f>
        <v>0</v>
      </c>
      <c r="N316" s="243"/>
      <c r="O316" s="294">
        <f>ROUND(N316*I316,2)</f>
        <v>0</v>
      </c>
      <c r="P316" s="273">
        <f>H316-L316-N316</f>
        <v>1</v>
      </c>
      <c r="Q316" s="287">
        <f>ROUND(P316*I316,2)</f>
        <v>1468.18</v>
      </c>
      <c r="R316" s="137"/>
      <c r="S316" s="269">
        <f>W316+Y316+AA316+AC316</f>
        <v>0</v>
      </c>
      <c r="T316" s="269">
        <f>ROUND(S316*I316,2)</f>
        <v>0</v>
      </c>
      <c r="U316" s="269">
        <f>H316-S316</f>
        <v>1</v>
      </c>
      <c r="V316" s="269">
        <f>ROUND(U316*I316,2)</f>
        <v>1468.18</v>
      </c>
      <c r="W316" s="269"/>
      <c r="X316" s="269"/>
      <c r="Y316" s="269"/>
      <c r="Z316" s="269"/>
      <c r="AA316" s="269"/>
      <c r="AB316" s="269"/>
      <c r="AC316" s="269"/>
      <c r="AD316" s="269"/>
      <c r="BH316" s="132" t="s">
        <v>1</v>
      </c>
      <c r="BI316" s="133" t="s">
        <v>40</v>
      </c>
      <c r="BK316" s="134">
        <f>BJ316*H316</f>
        <v>0</v>
      </c>
      <c r="BL316" s="134">
        <v>0</v>
      </c>
      <c r="BM316" s="134">
        <f>BL316*H316</f>
        <v>0</v>
      </c>
      <c r="BN316" s="134">
        <v>0</v>
      </c>
      <c r="BO316" s="135">
        <f>BN316*H316</f>
        <v>0</v>
      </c>
      <c r="CM316" s="136" t="s">
        <v>95</v>
      </c>
      <c r="CO316" s="136" t="s">
        <v>284</v>
      </c>
      <c r="CP316" s="136" t="s">
        <v>83</v>
      </c>
      <c r="CT316" s="16" t="s">
        <v>282</v>
      </c>
      <c r="CZ316" s="137">
        <f>IF(BI316="základní",J316,0)</f>
        <v>1468.18</v>
      </c>
      <c r="DA316" s="137">
        <f>IF(BI316="snížená",J316,0)</f>
        <v>0</v>
      </c>
      <c r="DB316" s="137">
        <f>IF(BI316="zákl. přenesená",J316,0)</f>
        <v>0</v>
      </c>
      <c r="DC316" s="137">
        <f>IF(BI316="sníž. přenesená",J316,0)</f>
        <v>0</v>
      </c>
      <c r="DD316" s="137">
        <f>IF(BI316="nulová",J316,0)</f>
        <v>0</v>
      </c>
      <c r="DE316" s="16" t="s">
        <v>81</v>
      </c>
      <c r="DF316" s="137">
        <f>ROUND(I316*H316,2)</f>
        <v>1468.18</v>
      </c>
      <c r="DG316" s="16" t="s">
        <v>95</v>
      </c>
      <c r="DH316" s="136" t="s">
        <v>3107</v>
      </c>
    </row>
    <row r="317" spans="2:112" s="1" customFormat="1" x14ac:dyDescent="0.2">
      <c r="B317" s="31"/>
      <c r="D317" s="138" t="s">
        <v>289</v>
      </c>
      <c r="F317" s="139" t="s">
        <v>2043</v>
      </c>
      <c r="I317" s="140"/>
      <c r="L317" s="31"/>
      <c r="N317" s="213"/>
      <c r="O317" s="214"/>
      <c r="Q317" s="229"/>
      <c r="BH317" s="141"/>
      <c r="BO317" s="50"/>
      <c r="CO317" s="16" t="s">
        <v>289</v>
      </c>
      <c r="CP317" s="16" t="s">
        <v>83</v>
      </c>
    </row>
    <row r="318" spans="2:112" s="1" customFormat="1" ht="14.45" customHeight="1" x14ac:dyDescent="0.2">
      <c r="B318" s="124"/>
      <c r="C318" s="125" t="s">
        <v>1571</v>
      </c>
      <c r="D318" s="125" t="s">
        <v>284</v>
      </c>
      <c r="E318" s="126" t="s">
        <v>3073</v>
      </c>
      <c r="F318" s="127" t="s">
        <v>3074</v>
      </c>
      <c r="G318" s="128" t="s">
        <v>1948</v>
      </c>
      <c r="H318" s="129">
        <v>1</v>
      </c>
      <c r="I318" s="130">
        <v>3362.6157349999999</v>
      </c>
      <c r="J318" s="131">
        <f>ROUND(I318*H318,2)</f>
        <v>3362.62</v>
      </c>
      <c r="K318" s="127" t="s">
        <v>1</v>
      </c>
      <c r="L318" s="268">
        <f>S318</f>
        <v>0</v>
      </c>
      <c r="M318" s="272">
        <f>ROUND(L318*I318,2)</f>
        <v>0</v>
      </c>
      <c r="N318" s="243"/>
      <c r="O318" s="294">
        <f>ROUND(N318*I318,2)</f>
        <v>0</v>
      </c>
      <c r="P318" s="273">
        <f>H318-L318-N318</f>
        <v>1</v>
      </c>
      <c r="Q318" s="287">
        <f>ROUND(P318*I318,2)</f>
        <v>3362.62</v>
      </c>
      <c r="R318" s="137"/>
      <c r="S318" s="269">
        <f>W318+Y318+AA318+AC318</f>
        <v>0</v>
      </c>
      <c r="T318" s="269">
        <f>ROUND(S318*I318,2)</f>
        <v>0</v>
      </c>
      <c r="U318" s="269">
        <f>H318-S318</f>
        <v>1</v>
      </c>
      <c r="V318" s="269">
        <f>ROUND(U318*I318,2)</f>
        <v>3362.62</v>
      </c>
      <c r="W318" s="269"/>
      <c r="X318" s="269"/>
      <c r="Y318" s="269"/>
      <c r="Z318" s="269"/>
      <c r="AA318" s="269"/>
      <c r="AB318" s="269"/>
      <c r="AC318" s="269"/>
      <c r="AD318" s="269"/>
      <c r="BH318" s="132" t="s">
        <v>1</v>
      </c>
      <c r="BI318" s="133" t="s">
        <v>40</v>
      </c>
      <c r="BK318" s="134">
        <f>BJ318*H318</f>
        <v>0</v>
      </c>
      <c r="BL318" s="134">
        <v>0</v>
      </c>
      <c r="BM318" s="134">
        <f>BL318*H318</f>
        <v>0</v>
      </c>
      <c r="BN318" s="134">
        <v>0</v>
      </c>
      <c r="BO318" s="135">
        <f>BN318*H318</f>
        <v>0</v>
      </c>
      <c r="CM318" s="136" t="s">
        <v>95</v>
      </c>
      <c r="CO318" s="136" t="s">
        <v>284</v>
      </c>
      <c r="CP318" s="136" t="s">
        <v>83</v>
      </c>
      <c r="CT318" s="16" t="s">
        <v>282</v>
      </c>
      <c r="CZ318" s="137">
        <f>IF(BI318="základní",J318,0)</f>
        <v>3362.62</v>
      </c>
      <c r="DA318" s="137">
        <f>IF(BI318="snížená",J318,0)</f>
        <v>0</v>
      </c>
      <c r="DB318" s="137">
        <f>IF(BI318="zákl. přenesená",J318,0)</f>
        <v>0</v>
      </c>
      <c r="DC318" s="137">
        <f>IF(BI318="sníž. přenesená",J318,0)</f>
        <v>0</v>
      </c>
      <c r="DD318" s="137">
        <f>IF(BI318="nulová",J318,0)</f>
        <v>0</v>
      </c>
      <c r="DE318" s="16" t="s">
        <v>81</v>
      </c>
      <c r="DF318" s="137">
        <f>ROUND(I318*H318,2)</f>
        <v>3362.62</v>
      </c>
      <c r="DG318" s="16" t="s">
        <v>95</v>
      </c>
      <c r="DH318" s="136" t="s">
        <v>3108</v>
      </c>
    </row>
    <row r="319" spans="2:112" s="1" customFormat="1" x14ac:dyDescent="0.2">
      <c r="B319" s="31"/>
      <c r="D319" s="138" t="s">
        <v>289</v>
      </c>
      <c r="F319" s="139" t="s">
        <v>3074</v>
      </c>
      <c r="I319" s="140"/>
      <c r="L319" s="31"/>
      <c r="N319" s="213"/>
      <c r="O319" s="214"/>
      <c r="Q319" s="229"/>
      <c r="BH319" s="141"/>
      <c r="BO319" s="50"/>
      <c r="CO319" s="16" t="s">
        <v>289</v>
      </c>
      <c r="CP319" s="16" t="s">
        <v>83</v>
      </c>
    </row>
    <row r="320" spans="2:112" s="1" customFormat="1" ht="14.45" customHeight="1" x14ac:dyDescent="0.2">
      <c r="B320" s="124"/>
      <c r="C320" s="125" t="s">
        <v>2606</v>
      </c>
      <c r="D320" s="125" t="s">
        <v>284</v>
      </c>
      <c r="E320" s="126" t="s">
        <v>3076</v>
      </c>
      <c r="F320" s="127" t="s">
        <v>3077</v>
      </c>
      <c r="G320" s="128" t="s">
        <v>1948</v>
      </c>
      <c r="H320" s="129">
        <v>1</v>
      </c>
      <c r="I320" s="130">
        <v>9235.3530749999991</v>
      </c>
      <c r="J320" s="131">
        <f>ROUND(I320*H320,2)</f>
        <v>9235.35</v>
      </c>
      <c r="K320" s="127" t="s">
        <v>1</v>
      </c>
      <c r="L320" s="268">
        <f>S320</f>
        <v>0</v>
      </c>
      <c r="M320" s="272">
        <f>ROUND(L320*I320,2)</f>
        <v>0</v>
      </c>
      <c r="N320" s="243"/>
      <c r="O320" s="294">
        <f>ROUND(N320*I320,2)</f>
        <v>0</v>
      </c>
      <c r="P320" s="273">
        <f>H320-L320-N320</f>
        <v>1</v>
      </c>
      <c r="Q320" s="287">
        <f>ROUND(P320*I320,2)</f>
        <v>9235.35</v>
      </c>
      <c r="R320" s="137"/>
      <c r="S320" s="269">
        <f>W320+Y320+AA320+AC320</f>
        <v>0</v>
      </c>
      <c r="T320" s="269">
        <f>ROUND(S320*I320,2)</f>
        <v>0</v>
      </c>
      <c r="U320" s="269">
        <f>H320-S320</f>
        <v>1</v>
      </c>
      <c r="V320" s="269">
        <f>ROUND(U320*I320,2)</f>
        <v>9235.35</v>
      </c>
      <c r="W320" s="269"/>
      <c r="X320" s="269"/>
      <c r="Y320" s="269"/>
      <c r="Z320" s="269"/>
      <c r="AA320" s="269"/>
      <c r="AB320" s="269"/>
      <c r="AC320" s="269"/>
      <c r="AD320" s="269"/>
      <c r="BH320" s="132" t="s">
        <v>1</v>
      </c>
      <c r="BI320" s="133" t="s">
        <v>40</v>
      </c>
      <c r="BK320" s="134">
        <f>BJ320*H320</f>
        <v>0</v>
      </c>
      <c r="BL320" s="134">
        <v>0</v>
      </c>
      <c r="BM320" s="134">
        <f>BL320*H320</f>
        <v>0</v>
      </c>
      <c r="BN320" s="134">
        <v>0</v>
      </c>
      <c r="BO320" s="135">
        <f>BN320*H320</f>
        <v>0</v>
      </c>
      <c r="CM320" s="136" t="s">
        <v>95</v>
      </c>
      <c r="CO320" s="136" t="s">
        <v>284</v>
      </c>
      <c r="CP320" s="136" t="s">
        <v>83</v>
      </c>
      <c r="CT320" s="16" t="s">
        <v>282</v>
      </c>
      <c r="CZ320" s="137">
        <f>IF(BI320="základní",J320,0)</f>
        <v>9235.35</v>
      </c>
      <c r="DA320" s="137">
        <f>IF(BI320="snížená",J320,0)</f>
        <v>0</v>
      </c>
      <c r="DB320" s="137">
        <f>IF(BI320="zákl. přenesená",J320,0)</f>
        <v>0</v>
      </c>
      <c r="DC320" s="137">
        <f>IF(BI320="sníž. přenesená",J320,0)</f>
        <v>0</v>
      </c>
      <c r="DD320" s="137">
        <f>IF(BI320="nulová",J320,0)</f>
        <v>0</v>
      </c>
      <c r="DE320" s="16" t="s">
        <v>81</v>
      </c>
      <c r="DF320" s="137">
        <f>ROUND(I320*H320,2)</f>
        <v>9235.35</v>
      </c>
      <c r="DG320" s="16" t="s">
        <v>95</v>
      </c>
      <c r="DH320" s="136" t="s">
        <v>3109</v>
      </c>
    </row>
    <row r="321" spans="2:94" s="1" customFormat="1" x14ac:dyDescent="0.2">
      <c r="B321" s="31"/>
      <c r="D321" s="138" t="s">
        <v>289</v>
      </c>
      <c r="F321" s="139" t="s">
        <v>3077</v>
      </c>
      <c r="I321" s="140"/>
      <c r="L321" s="31"/>
      <c r="N321" s="213"/>
      <c r="O321" s="214"/>
      <c r="Q321" s="229"/>
      <c r="BH321" s="187"/>
      <c r="BI321" s="184"/>
      <c r="BJ321" s="184"/>
      <c r="BK321" s="184"/>
      <c r="BL321" s="184"/>
      <c r="BM321" s="184"/>
      <c r="BN321" s="184"/>
      <c r="BO321" s="188"/>
      <c r="CO321" s="16" t="s">
        <v>289</v>
      </c>
      <c r="CP321" s="16" t="s">
        <v>83</v>
      </c>
    </row>
    <row r="322" spans="2:94" s="1" customFormat="1" ht="6.95" customHeight="1" thickBot="1" x14ac:dyDescent="0.25">
      <c r="B322" s="43"/>
      <c r="C322" s="44"/>
      <c r="D322" s="44"/>
      <c r="E322" s="44"/>
      <c r="F322" s="44"/>
      <c r="G322" s="44"/>
      <c r="H322" s="44"/>
      <c r="I322" s="44"/>
      <c r="J322" s="44"/>
      <c r="K322" s="44"/>
      <c r="L322" s="268"/>
      <c r="M322" s="272"/>
      <c r="N322" s="304"/>
      <c r="O322" s="305"/>
      <c r="P322" s="273"/>
      <c r="Q322" s="287"/>
      <c r="R322" s="137"/>
      <c r="S322" s="269"/>
      <c r="T322" s="269"/>
      <c r="U322" s="269"/>
      <c r="V322" s="269"/>
      <c r="W322" s="269"/>
      <c r="X322" s="269"/>
      <c r="Y322" s="269"/>
      <c r="Z322" s="269"/>
      <c r="AA322" s="269"/>
      <c r="AB322" s="269"/>
      <c r="AC322" s="269"/>
      <c r="AD322" s="269"/>
    </row>
  </sheetData>
  <autoFilter ref="C122:K321"/>
  <mergeCells count="23">
    <mergeCell ref="G121:K121"/>
    <mergeCell ref="E118:H118"/>
    <mergeCell ref="L2:BQ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  <mergeCell ref="L122:Q122"/>
    <mergeCell ref="L123:M123"/>
    <mergeCell ref="N123:O123"/>
    <mergeCell ref="P123:Q123"/>
    <mergeCell ref="S123:T123"/>
    <mergeCell ref="U123:V123"/>
    <mergeCell ref="W123:X123"/>
    <mergeCell ref="Y123:Z123"/>
    <mergeCell ref="AA123:AB123"/>
    <mergeCell ref="AC123:AD12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windowProtection="1" showGridLines="0" topLeftCell="A12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98" t="s">
        <v>5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6" t="s">
        <v>236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243</v>
      </c>
      <c r="L4" s="19"/>
      <c r="M4" s="7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46" ht="12.75" x14ac:dyDescent="0.2">
      <c r="B8" s="19"/>
      <c r="D8" s="26" t="s">
        <v>244</v>
      </c>
      <c r="L8" s="19"/>
    </row>
    <row r="9" spans="2:46" ht="16.5" customHeight="1" x14ac:dyDescent="0.2">
      <c r="B9" s="19"/>
      <c r="E9" s="434" t="s">
        <v>245</v>
      </c>
      <c r="F9" s="399"/>
      <c r="G9" s="399"/>
      <c r="H9" s="399"/>
      <c r="L9" s="19"/>
    </row>
    <row r="10" spans="2:46" ht="12" customHeight="1" x14ac:dyDescent="0.2">
      <c r="B10" s="19"/>
      <c r="D10" s="26" t="s">
        <v>246</v>
      </c>
      <c r="L10" s="19"/>
    </row>
    <row r="11" spans="2:46" s="1" customFormat="1" ht="16.5" customHeight="1" x14ac:dyDescent="0.2">
      <c r="B11" s="31"/>
      <c r="E11" s="401" t="s">
        <v>3110</v>
      </c>
      <c r="F11" s="433"/>
      <c r="G11" s="433"/>
      <c r="H11" s="433"/>
      <c r="L11" s="31"/>
    </row>
    <row r="12" spans="2:46" s="1" customFormat="1" ht="12" customHeight="1" x14ac:dyDescent="0.2">
      <c r="B12" s="31"/>
      <c r="D12" s="26" t="s">
        <v>1790</v>
      </c>
      <c r="L12" s="31"/>
    </row>
    <row r="13" spans="2:46" s="1" customFormat="1" ht="24.75" customHeight="1" x14ac:dyDescent="0.2">
      <c r="B13" s="31"/>
      <c r="E13" s="432" t="s">
        <v>3111</v>
      </c>
      <c r="F13" s="433"/>
      <c r="G13" s="433"/>
      <c r="H13" s="433"/>
      <c r="L13" s="31"/>
    </row>
    <row r="14" spans="2:46" s="1" customFormat="1" x14ac:dyDescent="0.2">
      <c r="B14" s="31"/>
      <c r="L14" s="31"/>
    </row>
    <row r="15" spans="2:46" s="1" customFormat="1" ht="12" customHeight="1" x14ac:dyDescent="0.2">
      <c r="B15" s="31"/>
      <c r="D15" s="26" t="s">
        <v>18</v>
      </c>
      <c r="F15" s="24" t="s">
        <v>1</v>
      </c>
      <c r="I15" s="26" t="s">
        <v>19</v>
      </c>
      <c r="J15" s="24" t="s">
        <v>1</v>
      </c>
      <c r="L15" s="31"/>
    </row>
    <row r="16" spans="2:46" s="1" customFormat="1" ht="12" customHeight="1" x14ac:dyDescent="0.2">
      <c r="B16" s="31"/>
      <c r="D16" s="26" t="s">
        <v>20</v>
      </c>
      <c r="F16" s="24" t="s">
        <v>21</v>
      </c>
      <c r="I16" s="26" t="s">
        <v>22</v>
      </c>
      <c r="J16" s="48" t="str">
        <f>'Rekapitulace stavby'!AN8</f>
        <v>18. 11. 2020</v>
      </c>
      <c r="L16" s="31"/>
    </row>
    <row r="17" spans="2:12" s="1" customFormat="1" ht="10.9" customHeight="1" x14ac:dyDescent="0.2">
      <c r="B17" s="31"/>
      <c r="L17" s="31"/>
    </row>
    <row r="18" spans="2:12" s="1" customFormat="1" ht="12" customHeight="1" x14ac:dyDescent="0.2">
      <c r="B18" s="31"/>
      <c r="D18" s="26" t="s">
        <v>24</v>
      </c>
      <c r="I18" s="26" t="s">
        <v>25</v>
      </c>
      <c r="J18" s="24" t="str">
        <f>IF('Rekapitulace stavby'!AN10="","",'Rekapitulace stavby'!AN10)</f>
        <v/>
      </c>
      <c r="L18" s="31"/>
    </row>
    <row r="19" spans="2:12" s="1" customFormat="1" ht="18" customHeight="1" x14ac:dyDescent="0.2">
      <c r="B19" s="31"/>
      <c r="E19" s="24" t="str">
        <f>IF('Rekapitulace stavby'!E11="","",'Rekapitulace stavby'!E11)</f>
        <v>Město Petřvald</v>
      </c>
      <c r="I19" s="26" t="s">
        <v>27</v>
      </c>
      <c r="J19" s="24" t="str">
        <f>IF('Rekapitulace stavby'!AN11="","",'Rekapitulace stavby'!AN11)</f>
        <v/>
      </c>
      <c r="L19" s="31"/>
    </row>
    <row r="20" spans="2:12" s="1" customFormat="1" ht="6.95" customHeight="1" x14ac:dyDescent="0.2">
      <c r="B20" s="31"/>
      <c r="L20" s="31"/>
    </row>
    <row r="21" spans="2:12" s="1" customFormat="1" ht="12" customHeight="1" x14ac:dyDescent="0.2">
      <c r="B21" s="31"/>
      <c r="D21" s="26" t="s">
        <v>28</v>
      </c>
      <c r="I21" s="26" t="s">
        <v>25</v>
      </c>
      <c r="J21" s="27" t="str">
        <f>'Rekapitulace stavby'!AN13</f>
        <v>Vyplň údaj</v>
      </c>
      <c r="L21" s="31"/>
    </row>
    <row r="22" spans="2:12" s="1" customFormat="1" ht="18" customHeight="1" x14ac:dyDescent="0.2">
      <c r="B22" s="31"/>
      <c r="E22" s="436" t="str">
        <f>'Rekapitulace stavby'!E14</f>
        <v>Společnost Podlesí se sídlem Žitenická 871/1, 190 00 Praha 9</v>
      </c>
      <c r="F22" s="418"/>
      <c r="G22" s="418"/>
      <c r="H22" s="418"/>
      <c r="I22" s="26" t="s">
        <v>27</v>
      </c>
      <c r="J22" s="27" t="str">
        <f>'Rekapitulace stavby'!AN14</f>
        <v>Vyplň údaj</v>
      </c>
      <c r="L22" s="31"/>
    </row>
    <row r="23" spans="2:12" s="1" customFormat="1" ht="6.95" customHeight="1" x14ac:dyDescent="0.2">
      <c r="B23" s="31"/>
      <c r="L23" s="31"/>
    </row>
    <row r="24" spans="2:12" s="1" customFormat="1" ht="12" customHeight="1" x14ac:dyDescent="0.2">
      <c r="B24" s="31"/>
      <c r="D24" s="26" t="s">
        <v>30</v>
      </c>
      <c r="I24" s="26" t="s">
        <v>25</v>
      </c>
      <c r="J24" s="24" t="str">
        <f>IF('Rekapitulace stavby'!AN16="","",'Rekapitulace stavby'!AN16)</f>
        <v/>
      </c>
      <c r="L24" s="31"/>
    </row>
    <row r="25" spans="2:12" s="1" customFormat="1" ht="18" customHeight="1" x14ac:dyDescent="0.2">
      <c r="B25" s="31"/>
      <c r="E25" s="24" t="str">
        <f>IF('Rekapitulace stavby'!E17="","",'Rekapitulace stavby'!E17)</f>
        <v>Sweco Hydroprojekt a.s., divize Morava</v>
      </c>
      <c r="I25" s="26" t="s">
        <v>27</v>
      </c>
      <c r="J25" s="24" t="str">
        <f>IF('Rekapitulace stavby'!AN17="","",'Rekapitulace stavby'!AN17)</f>
        <v/>
      </c>
      <c r="L25" s="31"/>
    </row>
    <row r="26" spans="2:12" s="1" customFormat="1" ht="6.95" customHeight="1" x14ac:dyDescent="0.2">
      <c r="B26" s="31"/>
      <c r="L26" s="31"/>
    </row>
    <row r="27" spans="2:12" s="1" customFormat="1" ht="12" customHeight="1" x14ac:dyDescent="0.2">
      <c r="B27" s="31"/>
      <c r="D27" s="26" t="s">
        <v>33</v>
      </c>
      <c r="I27" s="26" t="s">
        <v>25</v>
      </c>
      <c r="J27" s="24" t="str">
        <f>IF('Rekapitulace stavby'!AN19="","",'Rekapitulace stavby'!AN19)</f>
        <v/>
      </c>
      <c r="L27" s="31"/>
    </row>
    <row r="28" spans="2:12" s="1" customFormat="1" ht="18" customHeight="1" x14ac:dyDescent="0.2">
      <c r="B28" s="31"/>
      <c r="E28" s="24" t="str">
        <f>IF('Rekapitulace stavby'!E20="","",'Rekapitulace stavby'!E20)</f>
        <v xml:space="preserve"> </v>
      </c>
      <c r="I28" s="26" t="s">
        <v>27</v>
      </c>
      <c r="J28" s="24" t="str">
        <f>IF('Rekapitulace stavby'!AN20="","",'Rekapitulace stavby'!AN20)</f>
        <v/>
      </c>
      <c r="L28" s="31"/>
    </row>
    <row r="29" spans="2:12" s="1" customFormat="1" ht="6.95" customHeight="1" x14ac:dyDescent="0.2">
      <c r="B29" s="31"/>
      <c r="L29" s="31"/>
    </row>
    <row r="30" spans="2:12" s="1" customFormat="1" ht="12" customHeight="1" x14ac:dyDescent="0.2">
      <c r="B30" s="31"/>
      <c r="D30" s="26" t="s">
        <v>34</v>
      </c>
      <c r="L30" s="31"/>
    </row>
    <row r="31" spans="2:12" s="6" customFormat="1" ht="16.5" customHeight="1" x14ac:dyDescent="0.2">
      <c r="B31" s="82"/>
      <c r="E31" s="422" t="s">
        <v>1</v>
      </c>
      <c r="F31" s="422"/>
      <c r="G31" s="422"/>
      <c r="H31" s="422"/>
      <c r="L31" s="82"/>
    </row>
    <row r="32" spans="2:12" s="1" customFormat="1" ht="6.95" customHeight="1" x14ac:dyDescent="0.2">
      <c r="B32" s="31"/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25.35" customHeight="1" x14ac:dyDescent="0.2">
      <c r="B34" s="31"/>
      <c r="D34" s="83" t="s">
        <v>35</v>
      </c>
      <c r="J34" s="58">
        <f>ROUND(J126, 2)</f>
        <v>0</v>
      </c>
      <c r="L34" s="31"/>
    </row>
    <row r="35" spans="2:12" s="1" customFormat="1" ht="6.95" customHeight="1" x14ac:dyDescent="0.2">
      <c r="B35" s="31"/>
      <c r="D35" s="49"/>
      <c r="E35" s="49"/>
      <c r="F35" s="49"/>
      <c r="G35" s="49"/>
      <c r="H35" s="49"/>
      <c r="I35" s="49"/>
      <c r="J35" s="49"/>
      <c r="K35" s="49"/>
      <c r="L35" s="31"/>
    </row>
    <row r="36" spans="2:12" s="1" customFormat="1" ht="14.45" customHeight="1" x14ac:dyDescent="0.2">
      <c r="B36" s="31"/>
      <c r="F36" s="34" t="s">
        <v>37</v>
      </c>
      <c r="I36" s="34" t="s">
        <v>36</v>
      </c>
      <c r="J36" s="34" t="s">
        <v>38</v>
      </c>
      <c r="L36" s="31"/>
    </row>
    <row r="37" spans="2:12" s="1" customFormat="1" ht="14.45" customHeight="1" x14ac:dyDescent="0.2">
      <c r="B37" s="31"/>
      <c r="D37" s="80" t="s">
        <v>39</v>
      </c>
      <c r="E37" s="26" t="s">
        <v>40</v>
      </c>
      <c r="F37" s="71">
        <f>ROUND((SUM(BE126:BE129)),  2)</f>
        <v>0</v>
      </c>
      <c r="I37" s="84">
        <v>0.21</v>
      </c>
      <c r="J37" s="71">
        <f>ROUND(((SUM(BE126:BE129))*I37),  2)</f>
        <v>0</v>
      </c>
      <c r="L37" s="31"/>
    </row>
    <row r="38" spans="2:12" s="1" customFormat="1" ht="14.45" customHeight="1" x14ac:dyDescent="0.2">
      <c r="B38" s="31"/>
      <c r="E38" s="26" t="s">
        <v>41</v>
      </c>
      <c r="F38" s="71">
        <f>ROUND((SUM(BF126:BF129)),  2)</f>
        <v>0</v>
      </c>
      <c r="I38" s="84">
        <v>0.15</v>
      </c>
      <c r="J38" s="71">
        <f>ROUND(((SUM(BF126:BF129))*I38),  2)</f>
        <v>0</v>
      </c>
      <c r="L38" s="31"/>
    </row>
    <row r="39" spans="2:12" s="1" customFormat="1" ht="14.45" hidden="1" customHeight="1" x14ac:dyDescent="0.2">
      <c r="B39" s="31"/>
      <c r="E39" s="26" t="s">
        <v>42</v>
      </c>
      <c r="F39" s="71">
        <f>ROUND((SUM(BG126:BG129)),  2)</f>
        <v>0</v>
      </c>
      <c r="I39" s="84">
        <v>0.21</v>
      </c>
      <c r="J39" s="71">
        <f>0</f>
        <v>0</v>
      </c>
      <c r="L39" s="31"/>
    </row>
    <row r="40" spans="2:12" s="1" customFormat="1" ht="14.45" hidden="1" customHeight="1" x14ac:dyDescent="0.2">
      <c r="B40" s="31"/>
      <c r="E40" s="26" t="s">
        <v>43</v>
      </c>
      <c r="F40" s="71">
        <f>ROUND((SUM(BH126:BH129)),  2)</f>
        <v>0</v>
      </c>
      <c r="I40" s="84">
        <v>0.15</v>
      </c>
      <c r="J40" s="71">
        <f>0</f>
        <v>0</v>
      </c>
      <c r="L40" s="31"/>
    </row>
    <row r="41" spans="2:12" s="1" customFormat="1" ht="14.45" hidden="1" customHeight="1" x14ac:dyDescent="0.2">
      <c r="B41" s="31"/>
      <c r="E41" s="26" t="s">
        <v>44</v>
      </c>
      <c r="F41" s="71">
        <f>ROUND((SUM(BI126:BI129)),  2)</f>
        <v>0</v>
      </c>
      <c r="I41" s="84">
        <v>0</v>
      </c>
      <c r="J41" s="71">
        <f>0</f>
        <v>0</v>
      </c>
      <c r="L41" s="31"/>
    </row>
    <row r="42" spans="2:12" s="1" customFormat="1" ht="6.95" customHeight="1" x14ac:dyDescent="0.2">
      <c r="B42" s="31"/>
      <c r="L42" s="31"/>
    </row>
    <row r="43" spans="2:12" s="1" customFormat="1" ht="25.35" customHeight="1" x14ac:dyDescent="0.2">
      <c r="B43" s="31"/>
      <c r="C43" s="85"/>
      <c r="D43" s="86" t="s">
        <v>45</v>
      </c>
      <c r="E43" s="51"/>
      <c r="F43" s="51"/>
      <c r="G43" s="87" t="s">
        <v>46</v>
      </c>
      <c r="H43" s="88" t="s">
        <v>47</v>
      </c>
      <c r="I43" s="51"/>
      <c r="J43" s="89">
        <f>SUM(J34:J41)</f>
        <v>0</v>
      </c>
      <c r="K43" s="90"/>
      <c r="L43" s="31"/>
    </row>
    <row r="44" spans="2:12" s="1" customFormat="1" ht="14.45" customHeight="1" x14ac:dyDescent="0.2">
      <c r="B44" s="31"/>
      <c r="L44" s="31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ht="16.5" customHeight="1" x14ac:dyDescent="0.2">
      <c r="B87" s="19"/>
      <c r="E87" s="434" t="s">
        <v>245</v>
      </c>
      <c r="F87" s="399"/>
      <c r="G87" s="399"/>
      <c r="H87" s="399"/>
      <c r="L87" s="19"/>
    </row>
    <row r="88" spans="2:12" ht="12" customHeight="1" x14ac:dyDescent="0.2">
      <c r="B88" s="19"/>
      <c r="C88" s="26" t="s">
        <v>246</v>
      </c>
      <c r="L88" s="19"/>
    </row>
    <row r="89" spans="2:12" s="1" customFormat="1" ht="16.5" customHeight="1" x14ac:dyDescent="0.2">
      <c r="B89" s="31"/>
      <c r="E89" s="401" t="s">
        <v>3110</v>
      </c>
      <c r="F89" s="433"/>
      <c r="G89" s="433"/>
      <c r="H89" s="433"/>
      <c r="L89" s="31"/>
    </row>
    <row r="90" spans="2:12" s="1" customFormat="1" ht="12" customHeight="1" x14ac:dyDescent="0.2">
      <c r="B90" s="31"/>
      <c r="C90" s="26" t="s">
        <v>1790</v>
      </c>
      <c r="L90" s="31"/>
    </row>
    <row r="91" spans="2:12" s="1" customFormat="1" ht="24.75" customHeight="1" x14ac:dyDescent="0.2">
      <c r="B91" s="31"/>
      <c r="E91" s="432" t="str">
        <f>E13</f>
        <v>0001 - PS 10 Domovní čerpací stanice DČS - součásti stavebního objektu SO 12</v>
      </c>
      <c r="F91" s="433"/>
      <c r="G91" s="433"/>
      <c r="H91" s="433"/>
      <c r="L91" s="31"/>
    </row>
    <row r="92" spans="2:12" s="1" customFormat="1" ht="6.95" customHeight="1" x14ac:dyDescent="0.2">
      <c r="B92" s="31"/>
      <c r="L92" s="31"/>
    </row>
    <row r="93" spans="2:12" s="1" customFormat="1" ht="12" customHeight="1" x14ac:dyDescent="0.2">
      <c r="B93" s="31"/>
      <c r="C93" s="26" t="s">
        <v>20</v>
      </c>
      <c r="F93" s="24" t="str">
        <f>F16</f>
        <v xml:space="preserve"> </v>
      </c>
      <c r="I93" s="26" t="s">
        <v>22</v>
      </c>
      <c r="J93" s="48" t="str">
        <f>IF(J16="","",J16)</f>
        <v>18. 11. 2020</v>
      </c>
      <c r="L93" s="31"/>
    </row>
    <row r="94" spans="2:12" s="1" customFormat="1" ht="6.95" customHeight="1" x14ac:dyDescent="0.2">
      <c r="B94" s="31"/>
      <c r="L94" s="31"/>
    </row>
    <row r="95" spans="2:12" s="1" customFormat="1" ht="40.15" customHeight="1" x14ac:dyDescent="0.2">
      <c r="B95" s="31"/>
      <c r="C95" s="26" t="s">
        <v>24</v>
      </c>
      <c r="F95" s="24" t="str">
        <f>E19</f>
        <v>Město Petřvald</v>
      </c>
      <c r="I95" s="26" t="s">
        <v>30</v>
      </c>
      <c r="J95" s="29" t="str">
        <f>E25</f>
        <v>Sweco Hydroprojekt a.s., divize Morava</v>
      </c>
      <c r="L95" s="31"/>
    </row>
    <row r="96" spans="2:12" s="1" customFormat="1" ht="15.2" customHeight="1" x14ac:dyDescent="0.2">
      <c r="B96" s="31"/>
      <c r="C96" s="26" t="s">
        <v>28</v>
      </c>
      <c r="F96" s="24" t="str">
        <f>IF(E22="","",E22)</f>
        <v>Společnost Podlesí se sídlem Žitenická 871/1, 190 00 Praha 9</v>
      </c>
      <c r="I96" s="26" t="s">
        <v>33</v>
      </c>
      <c r="J96" s="29" t="str">
        <f>E28</f>
        <v xml:space="preserve"> </v>
      </c>
      <c r="L96" s="31"/>
    </row>
    <row r="97" spans="2:47" s="1" customFormat="1" ht="10.35" customHeight="1" x14ac:dyDescent="0.2">
      <c r="B97" s="31"/>
      <c r="L97" s="31"/>
    </row>
    <row r="98" spans="2:47" s="1" customFormat="1" ht="29.25" customHeight="1" x14ac:dyDescent="0.2">
      <c r="B98" s="31"/>
      <c r="C98" s="93" t="s">
        <v>254</v>
      </c>
      <c r="D98" s="85"/>
      <c r="E98" s="85"/>
      <c r="F98" s="85"/>
      <c r="G98" s="85"/>
      <c r="H98" s="85"/>
      <c r="I98" s="85"/>
      <c r="J98" s="94" t="s">
        <v>255</v>
      </c>
      <c r="K98" s="85"/>
      <c r="L98" s="31"/>
    </row>
    <row r="99" spans="2:47" s="1" customFormat="1" ht="10.35" customHeight="1" x14ac:dyDescent="0.2">
      <c r="B99" s="31"/>
      <c r="L99" s="31"/>
    </row>
    <row r="100" spans="2:47" s="1" customFormat="1" ht="22.9" customHeight="1" x14ac:dyDescent="0.2">
      <c r="B100" s="31"/>
      <c r="C100" s="95" t="s">
        <v>256</v>
      </c>
      <c r="J100" s="58">
        <f>J126</f>
        <v>0</v>
      </c>
      <c r="L100" s="31"/>
      <c r="AU100" s="16" t="s">
        <v>257</v>
      </c>
    </row>
    <row r="101" spans="2:47" s="7" customFormat="1" ht="24.95" customHeight="1" x14ac:dyDescent="0.2">
      <c r="B101" s="96"/>
      <c r="D101" s="97" t="s">
        <v>1974</v>
      </c>
      <c r="E101" s="98"/>
      <c r="F101" s="98"/>
      <c r="G101" s="98"/>
      <c r="H101" s="98"/>
      <c r="I101" s="98"/>
      <c r="J101" s="99">
        <f>J127</f>
        <v>0</v>
      </c>
      <c r="L101" s="96"/>
    </row>
    <row r="102" spans="2:47" s="8" customFormat="1" ht="19.899999999999999" customHeight="1" x14ac:dyDescent="0.2">
      <c r="B102" s="100"/>
      <c r="D102" s="101" t="s">
        <v>3112</v>
      </c>
      <c r="E102" s="102"/>
      <c r="F102" s="102"/>
      <c r="G102" s="102"/>
      <c r="H102" s="102"/>
      <c r="I102" s="102"/>
      <c r="J102" s="103">
        <f>J128</f>
        <v>0</v>
      </c>
      <c r="L102" s="100"/>
    </row>
    <row r="103" spans="2:47" s="1" customFormat="1" ht="21.75" customHeight="1" x14ac:dyDescent="0.2">
      <c r="B103" s="31"/>
      <c r="L103" s="31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47" s="1" customFormat="1" ht="24.95" customHeight="1" x14ac:dyDescent="0.2">
      <c r="B109" s="31"/>
      <c r="C109" s="20" t="s">
        <v>267</v>
      </c>
      <c r="L109" s="31"/>
    </row>
    <row r="110" spans="2:47" s="1" customFormat="1" ht="6.95" customHeight="1" x14ac:dyDescent="0.2">
      <c r="B110" s="31"/>
      <c r="L110" s="31"/>
    </row>
    <row r="111" spans="2:47" s="1" customFormat="1" ht="12" customHeight="1" x14ac:dyDescent="0.2">
      <c r="B111" s="31"/>
      <c r="C111" s="26" t="s">
        <v>16</v>
      </c>
      <c r="L111" s="31"/>
    </row>
    <row r="112" spans="2:47" s="1" customFormat="1" ht="16.5" customHeight="1" x14ac:dyDescent="0.2">
      <c r="B112" s="31"/>
      <c r="E112" s="434" t="str">
        <f>E7</f>
        <v>Kanalizace Podlesí - I.Etapa</v>
      </c>
      <c r="F112" s="435"/>
      <c r="G112" s="435"/>
      <c r="H112" s="435"/>
      <c r="L112" s="31"/>
    </row>
    <row r="113" spans="2:63" ht="12" customHeight="1" x14ac:dyDescent="0.2">
      <c r="B113" s="19"/>
      <c r="C113" s="26" t="s">
        <v>244</v>
      </c>
      <c r="L113" s="19"/>
    </row>
    <row r="114" spans="2:63" ht="16.5" customHeight="1" x14ac:dyDescent="0.2">
      <c r="B114" s="19"/>
      <c r="E114" s="434" t="s">
        <v>245</v>
      </c>
      <c r="F114" s="399"/>
      <c r="G114" s="399"/>
      <c r="H114" s="399"/>
      <c r="L114" s="19"/>
    </row>
    <row r="115" spans="2:63" ht="12" customHeight="1" x14ac:dyDescent="0.2">
      <c r="B115" s="19"/>
      <c r="C115" s="26" t="s">
        <v>246</v>
      </c>
      <c r="L115" s="19"/>
    </row>
    <row r="116" spans="2:63" s="1" customFormat="1" ht="16.5" customHeight="1" x14ac:dyDescent="0.2">
      <c r="B116" s="31"/>
      <c r="E116" s="401" t="s">
        <v>3110</v>
      </c>
      <c r="F116" s="433"/>
      <c r="G116" s="433"/>
      <c r="H116" s="433"/>
      <c r="L116" s="31"/>
    </row>
    <row r="117" spans="2:63" s="1" customFormat="1" ht="12" customHeight="1" x14ac:dyDescent="0.2">
      <c r="B117" s="31"/>
      <c r="C117" s="26" t="s">
        <v>1790</v>
      </c>
      <c r="L117" s="31"/>
    </row>
    <row r="118" spans="2:63" s="1" customFormat="1" ht="24.75" customHeight="1" x14ac:dyDescent="0.2">
      <c r="B118" s="31"/>
      <c r="E118" s="432" t="str">
        <f>E13</f>
        <v>0001 - PS 10 Domovní čerpací stanice DČS - součásti stavebního objektu SO 12</v>
      </c>
      <c r="F118" s="433"/>
      <c r="G118" s="433"/>
      <c r="H118" s="433"/>
      <c r="L118" s="31"/>
    </row>
    <row r="119" spans="2:63" s="1" customFormat="1" ht="6.95" customHeight="1" x14ac:dyDescent="0.2">
      <c r="B119" s="31"/>
      <c r="L119" s="31"/>
    </row>
    <row r="120" spans="2:63" s="1" customFormat="1" ht="12" customHeight="1" x14ac:dyDescent="0.2">
      <c r="B120" s="31"/>
      <c r="C120" s="26" t="s">
        <v>20</v>
      </c>
      <c r="F120" s="24" t="str">
        <f>F16</f>
        <v xml:space="preserve"> </v>
      </c>
      <c r="I120" s="26" t="s">
        <v>22</v>
      </c>
      <c r="J120" s="48" t="str">
        <f>IF(J16="","",J16)</f>
        <v>18. 11. 2020</v>
      </c>
      <c r="L120" s="31"/>
    </row>
    <row r="121" spans="2:63" s="1" customFormat="1" ht="6.95" customHeight="1" x14ac:dyDescent="0.2">
      <c r="B121" s="31"/>
      <c r="L121" s="31"/>
    </row>
    <row r="122" spans="2:63" s="1" customFormat="1" ht="40.15" customHeight="1" x14ac:dyDescent="0.2">
      <c r="B122" s="31"/>
      <c r="C122" s="26" t="s">
        <v>24</v>
      </c>
      <c r="F122" s="24" t="str">
        <f>E19</f>
        <v>Město Petřvald</v>
      </c>
      <c r="I122" s="26" t="s">
        <v>30</v>
      </c>
      <c r="J122" s="29" t="str">
        <f>E25</f>
        <v>Sweco Hydroprojekt a.s., divize Morava</v>
      </c>
      <c r="L122" s="31"/>
    </row>
    <row r="123" spans="2:63" s="1" customFormat="1" ht="15.2" customHeight="1" x14ac:dyDescent="0.2">
      <c r="B123" s="31"/>
      <c r="C123" s="26" t="s">
        <v>28</v>
      </c>
      <c r="F123" s="24" t="str">
        <f>IF(E22="","",E22)</f>
        <v>Společnost Podlesí se sídlem Žitenická 871/1, 190 00 Praha 9</v>
      </c>
      <c r="I123" s="26" t="s">
        <v>33</v>
      </c>
      <c r="J123" s="29" t="str">
        <f>E28</f>
        <v xml:space="preserve"> </v>
      </c>
      <c r="L123" s="31"/>
    </row>
    <row r="124" spans="2:63" s="1" customFormat="1" ht="10.35" customHeight="1" x14ac:dyDescent="0.2">
      <c r="B124" s="31"/>
      <c r="L124" s="31"/>
    </row>
    <row r="125" spans="2:63" s="9" customFormat="1" ht="29.25" customHeight="1" x14ac:dyDescent="0.2">
      <c r="B125" s="104"/>
      <c r="C125" s="105" t="s">
        <v>268</v>
      </c>
      <c r="D125" s="106" t="s">
        <v>59</v>
      </c>
      <c r="E125" s="106" t="s">
        <v>55</v>
      </c>
      <c r="F125" s="106" t="s">
        <v>56</v>
      </c>
      <c r="G125" s="106" t="s">
        <v>269</v>
      </c>
      <c r="H125" s="106" t="s">
        <v>270</v>
      </c>
      <c r="I125" s="106" t="s">
        <v>271</v>
      </c>
      <c r="J125" s="106" t="s">
        <v>255</v>
      </c>
      <c r="K125" s="107" t="s">
        <v>272</v>
      </c>
      <c r="L125" s="104"/>
      <c r="M125" s="52" t="s">
        <v>1</v>
      </c>
      <c r="N125" s="53" t="s">
        <v>39</v>
      </c>
      <c r="O125" s="53" t="s">
        <v>273</v>
      </c>
      <c r="P125" s="53" t="s">
        <v>274</v>
      </c>
      <c r="Q125" s="53" t="s">
        <v>275</v>
      </c>
      <c r="R125" s="53" t="s">
        <v>276</v>
      </c>
      <c r="S125" s="53" t="s">
        <v>277</v>
      </c>
      <c r="T125" s="54" t="s">
        <v>278</v>
      </c>
    </row>
    <row r="126" spans="2:63" s="1" customFormat="1" ht="22.9" customHeight="1" x14ac:dyDescent="0.25">
      <c r="B126" s="31"/>
      <c r="C126" s="57" t="s">
        <v>279</v>
      </c>
      <c r="J126" s="108">
        <f>BK126</f>
        <v>0</v>
      </c>
      <c r="L126" s="31"/>
      <c r="M126" s="55"/>
      <c r="N126" s="49"/>
      <c r="O126" s="49"/>
      <c r="P126" s="109">
        <f>P127</f>
        <v>0</v>
      </c>
      <c r="Q126" s="49"/>
      <c r="R126" s="109">
        <f>R127</f>
        <v>0</v>
      </c>
      <c r="S126" s="49"/>
      <c r="T126" s="110">
        <f>T127</f>
        <v>0</v>
      </c>
      <c r="AT126" s="16" t="s">
        <v>73</v>
      </c>
      <c r="AU126" s="16" t="s">
        <v>257</v>
      </c>
      <c r="BK126" s="111">
        <f>BK127</f>
        <v>0</v>
      </c>
    </row>
    <row r="127" spans="2:63" s="10" customFormat="1" ht="25.9" customHeight="1" x14ac:dyDescent="0.2">
      <c r="B127" s="112"/>
      <c r="D127" s="113" t="s">
        <v>73</v>
      </c>
      <c r="E127" s="114" t="s">
        <v>439</v>
      </c>
      <c r="F127" s="114" t="s">
        <v>1979</v>
      </c>
      <c r="I127" s="115"/>
      <c r="J127" s="116">
        <f>BK127</f>
        <v>0</v>
      </c>
      <c r="L127" s="112"/>
      <c r="M127" s="117"/>
      <c r="P127" s="118">
        <f>P128</f>
        <v>0</v>
      </c>
      <c r="R127" s="118">
        <f>R128</f>
        <v>0</v>
      </c>
      <c r="T127" s="119">
        <f>T128</f>
        <v>0</v>
      </c>
      <c r="AR127" s="113" t="s">
        <v>90</v>
      </c>
      <c r="AT127" s="120" t="s">
        <v>73</v>
      </c>
      <c r="AU127" s="120" t="s">
        <v>74</v>
      </c>
      <c r="AY127" s="113" t="s">
        <v>282</v>
      </c>
      <c r="BK127" s="121">
        <f>BK128</f>
        <v>0</v>
      </c>
    </row>
    <row r="128" spans="2:63" s="10" customFormat="1" ht="22.9" customHeight="1" x14ac:dyDescent="0.2">
      <c r="B128" s="112"/>
      <c r="D128" s="113" t="s">
        <v>73</v>
      </c>
      <c r="E128" s="122" t="s">
        <v>3113</v>
      </c>
      <c r="F128" s="122" t="s">
        <v>3114</v>
      </c>
      <c r="I128" s="115"/>
      <c r="J128" s="123">
        <f>BK128</f>
        <v>0</v>
      </c>
      <c r="L128" s="112"/>
      <c r="M128" s="117"/>
      <c r="P128" s="118">
        <f>P129</f>
        <v>0</v>
      </c>
      <c r="R128" s="118">
        <f>R129</f>
        <v>0</v>
      </c>
      <c r="T128" s="119">
        <f>T129</f>
        <v>0</v>
      </c>
      <c r="AR128" s="113" t="s">
        <v>90</v>
      </c>
      <c r="AT128" s="120" t="s">
        <v>73</v>
      </c>
      <c r="AU128" s="120" t="s">
        <v>81</v>
      </c>
      <c r="AY128" s="113" t="s">
        <v>282</v>
      </c>
      <c r="BK128" s="121">
        <f>BK129</f>
        <v>0</v>
      </c>
    </row>
    <row r="129" spans="2:65" s="1" customFormat="1" ht="37.9" customHeight="1" x14ac:dyDescent="0.2">
      <c r="B129" s="124"/>
      <c r="C129" s="125" t="s">
        <v>81</v>
      </c>
      <c r="D129" s="125" t="s">
        <v>284</v>
      </c>
      <c r="E129" s="126" t="s">
        <v>3115</v>
      </c>
      <c r="F129" s="127" t="s">
        <v>3116</v>
      </c>
      <c r="G129" s="128" t="s">
        <v>1948</v>
      </c>
      <c r="H129" s="129">
        <v>0</v>
      </c>
      <c r="I129" s="130"/>
      <c r="J129" s="131">
        <f>ROUND(I129*H129,2)</f>
        <v>0</v>
      </c>
      <c r="K129" s="127" t="s">
        <v>1</v>
      </c>
      <c r="L129" s="31"/>
      <c r="M129" s="182" t="s">
        <v>1</v>
      </c>
      <c r="N129" s="183" t="s">
        <v>40</v>
      </c>
      <c r="O129" s="184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136" t="s">
        <v>650</v>
      </c>
      <c r="AT129" s="136" t="s">
        <v>284</v>
      </c>
      <c r="AU129" s="136" t="s">
        <v>83</v>
      </c>
      <c r="AY129" s="16" t="s">
        <v>282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6" t="s">
        <v>81</v>
      </c>
      <c r="BK129" s="137">
        <f>ROUND(I129*H129,2)</f>
        <v>0</v>
      </c>
      <c r="BL129" s="16" t="s">
        <v>650</v>
      </c>
      <c r="BM129" s="136" t="s">
        <v>3117</v>
      </c>
    </row>
    <row r="130" spans="2:65" s="1" customFormat="1" ht="6.95" customHeight="1" x14ac:dyDescent="0.2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125"/>
  <sheetViews>
    <sheetView windowProtection="1" showGridLines="0" topLeftCell="A105" workbookViewId="0">
      <selection activeCell="W117" sqref="W117:AA1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85" width="14.1640625" customWidth="1"/>
    <col min="86" max="86" width="16.33203125" customWidth="1"/>
    <col min="87" max="87" width="12.33203125" customWidth="1"/>
    <col min="88" max="88" width="15" customWidth="1"/>
    <col min="89" max="89" width="11" customWidth="1"/>
    <col min="90" max="90" width="15" customWidth="1"/>
    <col min="91" max="91" width="16.33203125" customWidth="1"/>
    <col min="92" max="92" width="11" customWidth="1"/>
    <col min="93" max="93" width="15" customWidth="1"/>
    <col min="94" max="94" width="16.33203125" customWidth="1"/>
    <col min="107" max="128" width="9.33203125" hidden="1"/>
  </cols>
  <sheetData>
    <row r="1" spans="2:109" hidden="1" x14ac:dyDescent="0.2"/>
    <row r="2" spans="2:109" ht="36.950000000000003" hidden="1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DE2" s="16" t="s">
        <v>239</v>
      </c>
    </row>
    <row r="3" spans="2:109" ht="6.95" hidden="1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E3" s="16" t="s">
        <v>83</v>
      </c>
    </row>
    <row r="4" spans="2:109" ht="24.95" hidden="1" customHeight="1" x14ac:dyDescent="0.2">
      <c r="B4" s="19"/>
      <c r="D4" s="20" t="s">
        <v>243</v>
      </c>
      <c r="L4" s="19"/>
      <c r="BX4" s="79" t="s">
        <v>10</v>
      </c>
      <c r="DE4" s="16" t="s">
        <v>3</v>
      </c>
    </row>
    <row r="5" spans="2:109" ht="6.95" hidden="1" customHeight="1" x14ac:dyDescent="0.2">
      <c r="B5" s="19"/>
      <c r="L5" s="19"/>
    </row>
    <row r="6" spans="2:109" ht="12" hidden="1" customHeight="1" x14ac:dyDescent="0.2">
      <c r="B6" s="19"/>
      <c r="D6" s="26" t="s">
        <v>16</v>
      </c>
      <c r="L6" s="19"/>
    </row>
    <row r="7" spans="2:109" ht="16.5" hidden="1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09" ht="12" hidden="1" customHeight="1" x14ac:dyDescent="0.2">
      <c r="B8" s="19"/>
      <c r="D8" s="26" t="s">
        <v>244</v>
      </c>
      <c r="L8" s="19"/>
    </row>
    <row r="9" spans="2:109" s="1" customFormat="1" ht="16.5" hidden="1" customHeight="1" x14ac:dyDescent="0.2">
      <c r="B9" s="31"/>
      <c r="E9" s="434" t="s">
        <v>245</v>
      </c>
      <c r="F9" s="433"/>
      <c r="G9" s="433"/>
      <c r="H9" s="433"/>
      <c r="L9" s="31"/>
    </row>
    <row r="10" spans="2:109" s="1" customFormat="1" ht="12" hidden="1" customHeight="1" x14ac:dyDescent="0.2">
      <c r="B10" s="31"/>
      <c r="D10" s="26" t="s">
        <v>246</v>
      </c>
      <c r="L10" s="31"/>
    </row>
    <row r="11" spans="2:109" s="1" customFormat="1" ht="16.5" hidden="1" customHeight="1" x14ac:dyDescent="0.2">
      <c r="B11" s="31"/>
      <c r="E11" s="432" t="s">
        <v>3118</v>
      </c>
      <c r="F11" s="433"/>
      <c r="G11" s="433"/>
      <c r="H11" s="433"/>
      <c r="L11" s="31"/>
    </row>
    <row r="12" spans="2:109" s="1" customFormat="1" hidden="1" x14ac:dyDescent="0.2">
      <c r="B12" s="31"/>
      <c r="L12" s="31"/>
    </row>
    <row r="13" spans="2:109" s="1" customFormat="1" ht="12" hidden="1" customHeight="1" x14ac:dyDescent="0.2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109" s="1" customFormat="1" ht="12" hidden="1" customHeight="1" x14ac:dyDescent="0.2">
      <c r="B14" s="31"/>
      <c r="D14" s="26" t="s">
        <v>20</v>
      </c>
      <c r="F14" s="24" t="s">
        <v>21</v>
      </c>
      <c r="I14" s="26" t="s">
        <v>22</v>
      </c>
      <c r="J14" s="48" t="str">
        <f>'Rekapitulace stavby'!AN8</f>
        <v>18. 11. 2020</v>
      </c>
      <c r="L14" s="31"/>
    </row>
    <row r="15" spans="2:109" s="1" customFormat="1" ht="10.9" hidden="1" customHeight="1" x14ac:dyDescent="0.2">
      <c r="B15" s="31"/>
      <c r="L15" s="31"/>
    </row>
    <row r="16" spans="2:109" s="1" customFormat="1" ht="12" hidden="1" customHeight="1" x14ac:dyDescent="0.2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hidden="1" customHeight="1" x14ac:dyDescent="0.2">
      <c r="B17" s="31"/>
      <c r="E17" s="24" t="str">
        <f>IF('Rekapitulace stavby'!E11="","",'Rekapitulace stavby'!E11)</f>
        <v>Město Petřvald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hidden="1" customHeight="1" x14ac:dyDescent="0.2">
      <c r="B18" s="31"/>
      <c r="L18" s="31"/>
    </row>
    <row r="19" spans="2:12" s="1" customFormat="1" ht="12" hidden="1" customHeight="1" x14ac:dyDescent="0.2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hidden="1" customHeight="1" x14ac:dyDescent="0.2">
      <c r="B20" s="31"/>
      <c r="E20" s="436" t="str">
        <f>'Rekapitulace stavby'!E14</f>
        <v>Společnost Podlesí se sídlem Žitenická 871/1, 190 00 Praha 9</v>
      </c>
      <c r="F20" s="418"/>
      <c r="G20" s="418"/>
      <c r="H20" s="418"/>
      <c r="I20" s="26" t="s">
        <v>27</v>
      </c>
      <c r="J20" s="27" t="str">
        <f>'Rekapitulace stavby'!AN14</f>
        <v>Vyplň údaj</v>
      </c>
      <c r="L20" s="31"/>
    </row>
    <row r="21" spans="2:12" s="1" customFormat="1" ht="6.95" hidden="1" customHeight="1" x14ac:dyDescent="0.2">
      <c r="B21" s="31"/>
      <c r="L21" s="31"/>
    </row>
    <row r="22" spans="2:12" s="1" customFormat="1" ht="12" hidden="1" customHeight="1" x14ac:dyDescent="0.2">
      <c r="B22" s="31"/>
      <c r="D22" s="26" t="s">
        <v>30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hidden="1" customHeight="1" x14ac:dyDescent="0.2">
      <c r="B23" s="31"/>
      <c r="E23" s="24" t="str">
        <f>IF('Rekapitulace stavby'!E17="","",'Rekapitulace stavby'!E17)</f>
        <v>Sweco Hydroprojekt a.s., divize Morava</v>
      </c>
      <c r="I23" s="26" t="s">
        <v>27</v>
      </c>
      <c r="J23" s="24" t="str">
        <f>IF('Rekapitulace stavby'!AN17="","",'Rekapitulace stavby'!AN17)</f>
        <v/>
      </c>
      <c r="L23" s="31"/>
    </row>
    <row r="24" spans="2:12" s="1" customFormat="1" ht="6.95" hidden="1" customHeight="1" x14ac:dyDescent="0.2">
      <c r="B24" s="31"/>
      <c r="L24" s="31"/>
    </row>
    <row r="25" spans="2:12" s="1" customFormat="1" ht="12" hidden="1" customHeight="1" x14ac:dyDescent="0.2">
      <c r="B25" s="31"/>
      <c r="D25" s="26" t="s">
        <v>33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hidden="1" customHeight="1" x14ac:dyDescent="0.2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hidden="1" customHeight="1" x14ac:dyDescent="0.2">
      <c r="B27" s="31"/>
      <c r="L27" s="31"/>
    </row>
    <row r="28" spans="2:12" s="1" customFormat="1" ht="12" hidden="1" customHeight="1" x14ac:dyDescent="0.2">
      <c r="B28" s="31"/>
      <c r="D28" s="26" t="s">
        <v>34</v>
      </c>
      <c r="L28" s="31"/>
    </row>
    <row r="29" spans="2:12" s="6" customFormat="1" ht="16.5" hidden="1" customHeight="1" x14ac:dyDescent="0.2">
      <c r="B29" s="82"/>
      <c r="E29" s="422" t="s">
        <v>1</v>
      </c>
      <c r="F29" s="422"/>
      <c r="G29" s="422"/>
      <c r="H29" s="422"/>
      <c r="L29" s="82"/>
    </row>
    <row r="30" spans="2:12" s="1" customFormat="1" ht="6.95" hidden="1" customHeight="1" x14ac:dyDescent="0.2">
      <c r="B30" s="31"/>
      <c r="L30" s="31"/>
    </row>
    <row r="31" spans="2:12" s="1" customFormat="1" ht="6.95" hidden="1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hidden="1" customHeight="1" x14ac:dyDescent="0.2">
      <c r="B32" s="31"/>
      <c r="D32" s="83" t="s">
        <v>35</v>
      </c>
      <c r="J32" s="58">
        <f>ROUND(J114, 2)</f>
        <v>119349.17</v>
      </c>
      <c r="L32" s="31"/>
    </row>
    <row r="33" spans="2:12" s="1" customFormat="1" ht="6.95" hidden="1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hidden="1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5" hidden="1" customHeight="1" x14ac:dyDescent="0.2">
      <c r="B35" s="31"/>
      <c r="D35" s="80" t="s">
        <v>39</v>
      </c>
      <c r="E35" s="26" t="s">
        <v>40</v>
      </c>
      <c r="F35" s="71">
        <f>ROUND((SUM(DP114:DP124)),  2)</f>
        <v>119349.17</v>
      </c>
      <c r="I35" s="84">
        <v>0.21</v>
      </c>
      <c r="J35" s="71">
        <f>ROUND(((SUM(DP114:DP124))*I35),  2)</f>
        <v>25063.33</v>
      </c>
      <c r="L35" s="31"/>
    </row>
    <row r="36" spans="2:12" s="1" customFormat="1" ht="14.45" hidden="1" customHeight="1" x14ac:dyDescent="0.2">
      <c r="B36" s="31"/>
      <c r="E36" s="26" t="s">
        <v>41</v>
      </c>
      <c r="F36" s="71">
        <f>ROUND((SUM(DQ114:DQ124)),  2)</f>
        <v>0</v>
      </c>
      <c r="I36" s="84">
        <v>0.15</v>
      </c>
      <c r="J36" s="71">
        <f>ROUND(((SUM(DQ114:DQ124))*I36),  2)</f>
        <v>0</v>
      </c>
      <c r="L36" s="31"/>
    </row>
    <row r="37" spans="2:12" s="1" customFormat="1" ht="14.45" hidden="1" customHeight="1" x14ac:dyDescent="0.2">
      <c r="B37" s="31"/>
      <c r="E37" s="26" t="s">
        <v>42</v>
      </c>
      <c r="F37" s="71">
        <f>ROUND((SUM(DR114:DR124)),  2)</f>
        <v>0</v>
      </c>
      <c r="I37" s="84">
        <v>0.21</v>
      </c>
      <c r="J37" s="71">
        <f>0</f>
        <v>0</v>
      </c>
      <c r="L37" s="31"/>
    </row>
    <row r="38" spans="2:12" s="1" customFormat="1" ht="14.45" hidden="1" customHeight="1" x14ac:dyDescent="0.2">
      <c r="B38" s="31"/>
      <c r="E38" s="26" t="s">
        <v>43</v>
      </c>
      <c r="F38" s="71">
        <f>ROUND((SUM(DS114:DS124)),  2)</f>
        <v>0</v>
      </c>
      <c r="I38" s="84">
        <v>0.15</v>
      </c>
      <c r="J38" s="71">
        <f>0</f>
        <v>0</v>
      </c>
      <c r="L38" s="31"/>
    </row>
    <row r="39" spans="2:12" s="1" customFormat="1" ht="14.45" hidden="1" customHeight="1" x14ac:dyDescent="0.2">
      <c r="B39" s="31"/>
      <c r="E39" s="26" t="s">
        <v>44</v>
      </c>
      <c r="F39" s="71">
        <f>ROUND((SUM(DT114:DT124)),  2)</f>
        <v>0</v>
      </c>
      <c r="I39" s="84">
        <v>0</v>
      </c>
      <c r="J39" s="71">
        <f>0</f>
        <v>0</v>
      </c>
      <c r="L39" s="31"/>
    </row>
    <row r="40" spans="2:12" s="1" customFormat="1" ht="6.95" hidden="1" customHeight="1" x14ac:dyDescent="0.2">
      <c r="B40" s="31"/>
      <c r="L40" s="31"/>
    </row>
    <row r="41" spans="2:12" s="1" customFormat="1" ht="25.35" hidden="1" customHeight="1" x14ac:dyDescent="0.2">
      <c r="B41" s="31"/>
      <c r="C41" s="85"/>
      <c r="D41" s="86" t="s">
        <v>45</v>
      </c>
      <c r="E41" s="51"/>
      <c r="F41" s="51"/>
      <c r="G41" s="87" t="s">
        <v>46</v>
      </c>
      <c r="H41" s="88" t="s">
        <v>47</v>
      </c>
      <c r="I41" s="51"/>
      <c r="J41" s="89">
        <f>SUM(J32:J39)</f>
        <v>144412.5</v>
      </c>
      <c r="K41" s="90"/>
      <c r="L41" s="31"/>
    </row>
    <row r="42" spans="2:12" s="1" customFormat="1" ht="14.45" hidden="1" customHeight="1" x14ac:dyDescent="0.2">
      <c r="B42" s="31"/>
      <c r="L42" s="31"/>
    </row>
    <row r="43" spans="2:12" ht="14.45" hidden="1" customHeight="1" x14ac:dyDescent="0.2">
      <c r="B43" s="19"/>
      <c r="L43" s="19"/>
    </row>
    <row r="44" spans="2:12" ht="14.45" hidden="1" customHeight="1" x14ac:dyDescent="0.2">
      <c r="B44" s="19"/>
      <c r="L44" s="19"/>
    </row>
    <row r="45" spans="2:12" ht="14.45" hidden="1" customHeight="1" x14ac:dyDescent="0.2">
      <c r="B45" s="19"/>
      <c r="L45" s="19"/>
    </row>
    <row r="46" spans="2:12" ht="14.45" hidden="1" customHeight="1" x14ac:dyDescent="0.2">
      <c r="B46" s="19"/>
      <c r="L46" s="19"/>
    </row>
    <row r="47" spans="2:12" ht="14.45" hidden="1" customHeight="1" x14ac:dyDescent="0.2">
      <c r="B47" s="19"/>
      <c r="L47" s="19"/>
    </row>
    <row r="48" spans="2:12" ht="14.45" hidden="1" customHeight="1" x14ac:dyDescent="0.2">
      <c r="B48" s="19"/>
      <c r="L48" s="19"/>
    </row>
    <row r="49" spans="2:12" ht="14.45" hidden="1" customHeight="1" x14ac:dyDescent="0.2">
      <c r="B49" s="19"/>
      <c r="L49" s="19"/>
    </row>
    <row r="50" spans="2:12" s="1" customFormat="1" ht="14.45" hidden="1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idden="1" x14ac:dyDescent="0.2">
      <c r="B51" s="19"/>
      <c r="L51" s="19"/>
    </row>
    <row r="52" spans="2:12" hidden="1" x14ac:dyDescent="0.2">
      <c r="B52" s="19"/>
      <c r="L52" s="19"/>
    </row>
    <row r="53" spans="2:12" hidden="1" x14ac:dyDescent="0.2">
      <c r="B53" s="19"/>
      <c r="L53" s="19"/>
    </row>
    <row r="54" spans="2:12" hidden="1" x14ac:dyDescent="0.2">
      <c r="B54" s="19"/>
      <c r="L54" s="19"/>
    </row>
    <row r="55" spans="2:12" hidden="1" x14ac:dyDescent="0.2">
      <c r="B55" s="19"/>
      <c r="L55" s="19"/>
    </row>
    <row r="56" spans="2:12" hidden="1" x14ac:dyDescent="0.2">
      <c r="B56" s="19"/>
      <c r="L56" s="19"/>
    </row>
    <row r="57" spans="2:12" hidden="1" x14ac:dyDescent="0.2">
      <c r="B57" s="19"/>
      <c r="L57" s="19"/>
    </row>
    <row r="58" spans="2:12" hidden="1" x14ac:dyDescent="0.2">
      <c r="B58" s="19"/>
      <c r="L58" s="19"/>
    </row>
    <row r="59" spans="2:12" hidden="1" x14ac:dyDescent="0.2">
      <c r="B59" s="19"/>
      <c r="L59" s="19"/>
    </row>
    <row r="60" spans="2:12" hidden="1" x14ac:dyDescent="0.2">
      <c r="B60" s="19"/>
      <c r="L60" s="19"/>
    </row>
    <row r="61" spans="2:12" s="1" customFormat="1" ht="12.75" hidden="1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hidden="1" x14ac:dyDescent="0.2">
      <c r="B62" s="19"/>
      <c r="L62" s="19"/>
    </row>
    <row r="63" spans="2:12" hidden="1" x14ac:dyDescent="0.2">
      <c r="B63" s="19"/>
      <c r="L63" s="19"/>
    </row>
    <row r="64" spans="2:12" hidden="1" x14ac:dyDescent="0.2">
      <c r="B64" s="19"/>
      <c r="L64" s="19"/>
    </row>
    <row r="65" spans="2:12" s="1" customFormat="1" ht="12.75" hidden="1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idden="1" x14ac:dyDescent="0.2">
      <c r="B66" s="19"/>
      <c r="L66" s="19"/>
    </row>
    <row r="67" spans="2:12" hidden="1" x14ac:dyDescent="0.2">
      <c r="B67" s="19"/>
      <c r="L67" s="19"/>
    </row>
    <row r="68" spans="2:12" hidden="1" x14ac:dyDescent="0.2">
      <c r="B68" s="19"/>
      <c r="L68" s="19"/>
    </row>
    <row r="69" spans="2:12" hidden="1" x14ac:dyDescent="0.2">
      <c r="B69" s="19"/>
      <c r="L69" s="19"/>
    </row>
    <row r="70" spans="2:12" hidden="1" x14ac:dyDescent="0.2">
      <c r="B70" s="19"/>
      <c r="L70" s="19"/>
    </row>
    <row r="71" spans="2:12" hidden="1" x14ac:dyDescent="0.2">
      <c r="B71" s="19"/>
      <c r="L71" s="19"/>
    </row>
    <row r="72" spans="2:12" hidden="1" x14ac:dyDescent="0.2">
      <c r="B72" s="19"/>
      <c r="L72" s="19"/>
    </row>
    <row r="73" spans="2:12" hidden="1" x14ac:dyDescent="0.2">
      <c r="B73" s="19"/>
      <c r="L73" s="19"/>
    </row>
    <row r="74" spans="2:12" hidden="1" x14ac:dyDescent="0.2">
      <c r="B74" s="19"/>
      <c r="L74" s="19"/>
    </row>
    <row r="75" spans="2:12" hidden="1" x14ac:dyDescent="0.2">
      <c r="B75" s="19"/>
      <c r="L75" s="19"/>
    </row>
    <row r="76" spans="2:12" s="1" customFormat="1" ht="12.75" hidden="1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hidden="1" customHeight="1" x14ac:dyDescent="0.2">
      <c r="B82" s="31"/>
      <c r="C82" s="20" t="s">
        <v>253</v>
      </c>
      <c r="L82" s="31"/>
    </row>
    <row r="83" spans="2:12" s="1" customFormat="1" ht="6.95" hidden="1" customHeight="1" x14ac:dyDescent="0.2">
      <c r="B83" s="31"/>
      <c r="L83" s="31"/>
    </row>
    <row r="84" spans="2:12" s="1" customFormat="1" ht="12" hidden="1" customHeight="1" x14ac:dyDescent="0.2">
      <c r="B84" s="31"/>
      <c r="C84" s="26" t="s">
        <v>16</v>
      </c>
      <c r="L84" s="31"/>
    </row>
    <row r="85" spans="2:12" s="1" customFormat="1" ht="16.5" hidden="1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hidden="1" customHeight="1" x14ac:dyDescent="0.2">
      <c r="B86" s="19"/>
      <c r="C86" s="26" t="s">
        <v>244</v>
      </c>
      <c r="L86" s="19"/>
    </row>
    <row r="87" spans="2:12" s="1" customFormat="1" ht="16.5" hidden="1" customHeight="1" x14ac:dyDescent="0.2">
      <c r="B87" s="31"/>
      <c r="E87" s="434" t="s">
        <v>245</v>
      </c>
      <c r="F87" s="433"/>
      <c r="G87" s="433"/>
      <c r="H87" s="433"/>
      <c r="L87" s="31"/>
    </row>
    <row r="88" spans="2:12" s="1" customFormat="1" ht="12" hidden="1" customHeight="1" x14ac:dyDescent="0.2">
      <c r="B88" s="31"/>
      <c r="C88" s="26" t="s">
        <v>246</v>
      </c>
      <c r="L88" s="31"/>
    </row>
    <row r="89" spans="2:12" s="1" customFormat="1" ht="16.5" hidden="1" customHeight="1" x14ac:dyDescent="0.2">
      <c r="B89" s="31"/>
      <c r="E89" s="432" t="str">
        <f>E11</f>
        <v>024 - PS11 Stávající čerpací stanice KČS Petřvald - Bužkovská</v>
      </c>
      <c r="F89" s="433"/>
      <c r="G89" s="433"/>
      <c r="H89" s="433"/>
      <c r="L89" s="31"/>
    </row>
    <row r="90" spans="2:12" s="1" customFormat="1" ht="6.95" hidden="1" customHeight="1" x14ac:dyDescent="0.2">
      <c r="B90" s="31"/>
      <c r="L90" s="31"/>
    </row>
    <row r="91" spans="2:12" s="1" customFormat="1" ht="12" hidden="1" customHeight="1" x14ac:dyDescent="0.2">
      <c r="B91" s="31"/>
      <c r="C91" s="26" t="s">
        <v>20</v>
      </c>
      <c r="F91" s="24" t="str">
        <f>F14</f>
        <v xml:space="preserve"> </v>
      </c>
      <c r="I91" s="26" t="s">
        <v>22</v>
      </c>
      <c r="J91" s="48" t="str">
        <f>IF(J14="","",J14)</f>
        <v>18. 11. 2020</v>
      </c>
      <c r="L91" s="31"/>
    </row>
    <row r="92" spans="2:12" s="1" customFormat="1" ht="6.95" hidden="1" customHeight="1" x14ac:dyDescent="0.2">
      <c r="B92" s="31"/>
      <c r="L92" s="31"/>
    </row>
    <row r="93" spans="2:12" s="1" customFormat="1" ht="40.15" hidden="1" customHeight="1" x14ac:dyDescent="0.2">
      <c r="B93" s="31"/>
      <c r="C93" s="26" t="s">
        <v>24</v>
      </c>
      <c r="F93" s="24" t="str">
        <f>E17</f>
        <v>Město Petřvald</v>
      </c>
      <c r="I93" s="26" t="s">
        <v>30</v>
      </c>
      <c r="J93" s="29" t="str">
        <f>E23</f>
        <v>Sweco Hydroprojekt a.s., divize Morava</v>
      </c>
      <c r="L93" s="31"/>
    </row>
    <row r="94" spans="2:12" s="1" customFormat="1" ht="15.2" hidden="1" customHeight="1" x14ac:dyDescent="0.2">
      <c r="B94" s="31"/>
      <c r="C94" s="26" t="s">
        <v>28</v>
      </c>
      <c r="F94" s="24" t="str">
        <f>IF(E20="","",E20)</f>
        <v>Společnost Podlesí se sídlem Žitenická 871/1, 190 00 Praha 9</v>
      </c>
      <c r="I94" s="26" t="s">
        <v>33</v>
      </c>
      <c r="J94" s="29" t="str">
        <f>E26</f>
        <v xml:space="preserve"> </v>
      </c>
      <c r="L94" s="31"/>
    </row>
    <row r="95" spans="2:12" s="1" customFormat="1" ht="10.35" hidden="1" customHeight="1" x14ac:dyDescent="0.2">
      <c r="B95" s="31"/>
      <c r="L95" s="31"/>
    </row>
    <row r="96" spans="2:12" s="1" customFormat="1" ht="29.25" hidden="1" customHeight="1" x14ac:dyDescent="0.2">
      <c r="B96" s="31"/>
      <c r="C96" s="93" t="s">
        <v>254</v>
      </c>
      <c r="D96" s="85"/>
      <c r="E96" s="85"/>
      <c r="F96" s="85"/>
      <c r="G96" s="85"/>
      <c r="H96" s="85"/>
      <c r="I96" s="85"/>
      <c r="J96" s="94" t="s">
        <v>255</v>
      </c>
      <c r="K96" s="85"/>
      <c r="L96" s="31"/>
    </row>
    <row r="97" spans="2:110" s="1" customFormat="1" ht="10.35" hidden="1" customHeight="1" x14ac:dyDescent="0.2">
      <c r="B97" s="31"/>
      <c r="L97" s="31"/>
    </row>
    <row r="98" spans="2:110" s="1" customFormat="1" ht="22.9" hidden="1" customHeight="1" x14ac:dyDescent="0.2">
      <c r="B98" s="31"/>
      <c r="C98" s="95" t="s">
        <v>256</v>
      </c>
      <c r="J98" s="58">
        <f>J114</f>
        <v>119349.17</v>
      </c>
      <c r="L98" s="31"/>
      <c r="DF98" s="16" t="s">
        <v>257</v>
      </c>
    </row>
    <row r="99" spans="2:110" s="7" customFormat="1" ht="24.95" hidden="1" customHeight="1" x14ac:dyDescent="0.2">
      <c r="B99" s="96"/>
      <c r="D99" s="97" t="s">
        <v>1974</v>
      </c>
      <c r="E99" s="98"/>
      <c r="F99" s="98"/>
      <c r="G99" s="98"/>
      <c r="H99" s="98"/>
      <c r="I99" s="98"/>
      <c r="J99" s="99">
        <f>J115</f>
        <v>119349.17</v>
      </c>
      <c r="L99" s="96"/>
    </row>
    <row r="100" spans="2:110" s="8" customFormat="1" ht="19.899999999999999" hidden="1" customHeight="1" x14ac:dyDescent="0.2">
      <c r="B100" s="100"/>
      <c r="D100" s="101" t="s">
        <v>3119</v>
      </c>
      <c r="E100" s="102"/>
      <c r="F100" s="102"/>
      <c r="G100" s="102"/>
      <c r="H100" s="102"/>
      <c r="I100" s="102"/>
      <c r="J100" s="103">
        <f>J117</f>
        <v>119349.17</v>
      </c>
      <c r="L100" s="100"/>
    </row>
    <row r="101" spans="2:110" s="1" customFormat="1" ht="21.75" hidden="1" customHeight="1" x14ac:dyDescent="0.2">
      <c r="B101" s="31"/>
      <c r="L101" s="31"/>
    </row>
    <row r="102" spans="2:110" s="1" customFormat="1" ht="6.95" hidden="1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3" spans="2:110" hidden="1" x14ac:dyDescent="0.2"/>
    <row r="104" spans="2:110" hidden="1" x14ac:dyDescent="0.2"/>
    <row r="106" spans="2:110" s="1" customFormat="1" ht="6.95" customHeight="1" x14ac:dyDescent="0.2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10" s="1" customFormat="1" ht="24.95" customHeight="1" x14ac:dyDescent="0.2">
      <c r="B107" s="31"/>
      <c r="C107" s="20" t="s">
        <v>3307</v>
      </c>
      <c r="L107" s="31"/>
    </row>
    <row r="108" spans="2:110" s="1" customFormat="1" ht="6.95" customHeight="1" x14ac:dyDescent="0.2">
      <c r="B108" s="31"/>
      <c r="L108" s="31"/>
    </row>
    <row r="109" spans="2:110" s="1" customFormat="1" ht="16.5" customHeight="1" x14ac:dyDescent="0.2">
      <c r="B109" s="31"/>
      <c r="E109" s="432" t="str">
        <f>E11</f>
        <v>024 - PS11 Stávající čerpací stanice KČS Petřvald - Bužkovská</v>
      </c>
      <c r="F109" s="433"/>
      <c r="G109" s="433"/>
      <c r="H109" s="433"/>
      <c r="L109" s="31"/>
    </row>
    <row r="110" spans="2:110" s="1" customFormat="1" ht="6.95" customHeight="1" x14ac:dyDescent="0.2">
      <c r="B110" s="31"/>
      <c r="L110" s="31"/>
    </row>
    <row r="111" spans="2:110" s="1" customFormat="1" ht="15.2" customHeight="1" x14ac:dyDescent="0.2">
      <c r="B111" s="31"/>
      <c r="C111" s="26"/>
      <c r="F111" s="24"/>
      <c r="I111" s="26"/>
      <c r="J111" s="29"/>
      <c r="L111" s="31"/>
    </row>
    <row r="112" spans="2:110" s="1" customFormat="1" ht="30" customHeight="1" x14ac:dyDescent="0.2">
      <c r="B112" s="31"/>
      <c r="G112" s="430" t="s">
        <v>3305</v>
      </c>
      <c r="H112" s="430"/>
      <c r="I112" s="430"/>
      <c r="J112" s="430"/>
      <c r="K112" s="431"/>
      <c r="L112" s="31"/>
    </row>
    <row r="113" spans="2:128" s="9" customFormat="1" ht="29.25" customHeight="1" thickBot="1" x14ac:dyDescent="0.25">
      <c r="B113" s="104"/>
      <c r="C113" s="105" t="s">
        <v>268</v>
      </c>
      <c r="D113" s="106" t="s">
        <v>59</v>
      </c>
      <c r="E113" s="106" t="s">
        <v>55</v>
      </c>
      <c r="F113" s="106" t="s">
        <v>56</v>
      </c>
      <c r="G113" s="106" t="s">
        <v>269</v>
      </c>
      <c r="H113" s="106" t="s">
        <v>270</v>
      </c>
      <c r="I113" s="106" t="s">
        <v>271</v>
      </c>
      <c r="J113" s="106" t="s">
        <v>255</v>
      </c>
      <c r="K113" s="107" t="s">
        <v>272</v>
      </c>
      <c r="L113" s="437" t="s">
        <v>3307</v>
      </c>
      <c r="M113" s="438"/>
      <c r="N113" s="438"/>
      <c r="O113" s="438"/>
      <c r="P113" s="438"/>
      <c r="Q113" s="439"/>
      <c r="BX113" s="52" t="s">
        <v>1</v>
      </c>
      <c r="BY113" s="53" t="s">
        <v>39</v>
      </c>
      <c r="BZ113" s="53" t="s">
        <v>273</v>
      </c>
      <c r="CA113" s="53" t="s">
        <v>274</v>
      </c>
      <c r="CB113" s="53" t="s">
        <v>275</v>
      </c>
      <c r="CC113" s="53" t="s">
        <v>276</v>
      </c>
      <c r="CD113" s="53" t="s">
        <v>277</v>
      </c>
      <c r="CE113" s="54" t="s">
        <v>278</v>
      </c>
    </row>
    <row r="114" spans="2:128" s="1" customFormat="1" ht="22.9" customHeight="1" x14ac:dyDescent="0.25">
      <c r="B114" s="31"/>
      <c r="C114" s="57" t="s">
        <v>279</v>
      </c>
      <c r="G114" s="1" t="s">
        <v>3306</v>
      </c>
      <c r="J114" s="108">
        <f>DV114</f>
        <v>119349.17</v>
      </c>
      <c r="L114" s="440" t="s">
        <v>3308</v>
      </c>
      <c r="M114" s="441"/>
      <c r="N114" s="440" t="s">
        <v>3344</v>
      </c>
      <c r="O114" s="441"/>
      <c r="P114" s="440" t="s">
        <v>3309</v>
      </c>
      <c r="Q114" s="441"/>
      <c r="S114" s="442" t="s">
        <v>3312</v>
      </c>
      <c r="T114" s="443"/>
      <c r="U114" s="443" t="s">
        <v>3313</v>
      </c>
      <c r="V114" s="443"/>
      <c r="W114" s="444" t="s">
        <v>3323</v>
      </c>
      <c r="X114" s="444"/>
      <c r="Y114" s="444" t="s">
        <v>3324</v>
      </c>
      <c r="Z114" s="444"/>
      <c r="BX114" s="55"/>
      <c r="BY114" s="49"/>
      <c r="BZ114" s="49"/>
      <c r="CA114" s="109">
        <f>CA115</f>
        <v>0</v>
      </c>
      <c r="CB114" s="49"/>
      <c r="CC114" s="109">
        <f>CC115</f>
        <v>0</v>
      </c>
      <c r="CD114" s="49"/>
      <c r="CE114" s="110">
        <f>CE115</f>
        <v>0</v>
      </c>
      <c r="DE114" s="16" t="s">
        <v>73</v>
      </c>
      <c r="DF114" s="16" t="s">
        <v>257</v>
      </c>
      <c r="DV114" s="111">
        <f>DV115</f>
        <v>119349.17</v>
      </c>
    </row>
    <row r="115" spans="2:128" s="10" customFormat="1" ht="25.9" customHeight="1" thickBot="1" x14ac:dyDescent="0.25">
      <c r="B115" s="112"/>
      <c r="D115" s="113" t="s">
        <v>73</v>
      </c>
      <c r="E115" s="114" t="s">
        <v>439</v>
      </c>
      <c r="F115" s="114" t="s">
        <v>1979</v>
      </c>
      <c r="G115" s="10" t="s">
        <v>3306</v>
      </c>
      <c r="I115" s="115"/>
      <c r="J115" s="116">
        <f>DV115</f>
        <v>119349.17</v>
      </c>
      <c r="L115" s="190" t="s">
        <v>270</v>
      </c>
      <c r="M115" s="190" t="s">
        <v>3310</v>
      </c>
      <c r="N115" s="190" t="s">
        <v>270</v>
      </c>
      <c r="O115" s="190" t="s">
        <v>3310</v>
      </c>
      <c r="P115" s="190" t="s">
        <v>3311</v>
      </c>
      <c r="Q115" s="190" t="s">
        <v>3310</v>
      </c>
      <c r="S115" s="193" t="s">
        <v>270</v>
      </c>
      <c r="T115" s="194" t="s">
        <v>3310</v>
      </c>
      <c r="U115" s="194" t="s">
        <v>270</v>
      </c>
      <c r="V115" s="194" t="s">
        <v>3310</v>
      </c>
      <c r="W115" s="194" t="s">
        <v>270</v>
      </c>
      <c r="X115" s="194" t="s">
        <v>3328</v>
      </c>
      <c r="Y115" s="194" t="s">
        <v>270</v>
      </c>
      <c r="Z115" s="194" t="s">
        <v>3328</v>
      </c>
      <c r="BX115" s="117"/>
      <c r="CA115" s="118">
        <f>CA117</f>
        <v>0</v>
      </c>
      <c r="CC115" s="118">
        <f>CC117</f>
        <v>0</v>
      </c>
      <c r="CE115" s="119">
        <f>CE117</f>
        <v>0</v>
      </c>
      <c r="DC115" s="113" t="s">
        <v>90</v>
      </c>
      <c r="DE115" s="120" t="s">
        <v>73</v>
      </c>
      <c r="DF115" s="120" t="s">
        <v>74</v>
      </c>
      <c r="DJ115" s="113" t="s">
        <v>282</v>
      </c>
      <c r="DV115" s="121">
        <f>DV117</f>
        <v>119349.17</v>
      </c>
    </row>
    <row r="116" spans="2:128" s="10" customFormat="1" ht="25.9" customHeight="1" thickBot="1" x14ac:dyDescent="0.25">
      <c r="B116" s="112"/>
      <c r="D116" s="113"/>
      <c r="E116" s="114"/>
      <c r="F116" s="114"/>
      <c r="G116" s="10" t="s">
        <v>3306</v>
      </c>
      <c r="I116" s="115"/>
      <c r="J116" s="116" t="s">
        <v>3306</v>
      </c>
      <c r="L116" s="191"/>
      <c r="M116" s="192">
        <f>M117</f>
        <v>0</v>
      </c>
      <c r="N116" s="192"/>
      <c r="O116" s="192">
        <f t="shared" ref="O116:Q116" si="0">O117</f>
        <v>0</v>
      </c>
      <c r="P116" s="192"/>
      <c r="Q116" s="192">
        <f t="shared" si="0"/>
        <v>119349.17</v>
      </c>
      <c r="S116" s="196"/>
      <c r="T116" s="197">
        <f>T117</f>
        <v>0</v>
      </c>
      <c r="U116" s="197"/>
      <c r="V116" s="197">
        <f t="shared" ref="V116:Z116" si="1">V117</f>
        <v>119349.17</v>
      </c>
      <c r="W116" s="197"/>
      <c r="X116" s="197">
        <f t="shared" si="1"/>
        <v>0</v>
      </c>
      <c r="Y116" s="197"/>
      <c r="Z116" s="197">
        <f t="shared" si="1"/>
        <v>0</v>
      </c>
      <c r="BX116" s="117"/>
      <c r="CA116" s="118"/>
      <c r="CC116" s="118"/>
      <c r="CE116" s="119"/>
      <c r="DC116" s="113"/>
      <c r="DE116" s="120"/>
      <c r="DF116" s="120"/>
      <c r="DJ116" s="113"/>
      <c r="DV116" s="121"/>
    </row>
    <row r="117" spans="2:128" s="10" customFormat="1" ht="22.9" customHeight="1" x14ac:dyDescent="0.2">
      <c r="B117" s="112"/>
      <c r="D117" s="113" t="s">
        <v>73</v>
      </c>
      <c r="E117" s="122" t="s">
        <v>3120</v>
      </c>
      <c r="F117" s="122" t="s">
        <v>3121</v>
      </c>
      <c r="G117" s="10" t="s">
        <v>3306</v>
      </c>
      <c r="I117" s="115"/>
      <c r="J117" s="123">
        <f>DV117</f>
        <v>119349.17</v>
      </c>
      <c r="L117" s="112"/>
      <c r="M117" s="270">
        <f>M118+M122</f>
        <v>0</v>
      </c>
      <c r="N117" s="270"/>
      <c r="O117" s="270">
        <f t="shared" ref="O117:V117" si="2">O118+O122</f>
        <v>0</v>
      </c>
      <c r="P117" s="270"/>
      <c r="Q117" s="270">
        <f t="shared" si="2"/>
        <v>119349.17</v>
      </c>
      <c r="R117" s="270"/>
      <c r="S117" s="270"/>
      <c r="T117" s="270">
        <f t="shared" si="2"/>
        <v>0</v>
      </c>
      <c r="U117" s="270"/>
      <c r="V117" s="270">
        <f t="shared" si="2"/>
        <v>119349.17</v>
      </c>
      <c r="BX117" s="117"/>
      <c r="CA117" s="118">
        <f>SUM(CA118:CA124)</f>
        <v>0</v>
      </c>
      <c r="CC117" s="118">
        <f>SUM(CC118:CC124)</f>
        <v>0</v>
      </c>
      <c r="CE117" s="119">
        <f>SUM(CE118:CE124)</f>
        <v>0</v>
      </c>
      <c r="DC117" s="113" t="s">
        <v>90</v>
      </c>
      <c r="DE117" s="120" t="s">
        <v>73</v>
      </c>
      <c r="DF117" s="120" t="s">
        <v>81</v>
      </c>
      <c r="DJ117" s="113" t="s">
        <v>282</v>
      </c>
      <c r="DV117" s="121">
        <f>SUM(DV118:DV124)</f>
        <v>119349.17</v>
      </c>
    </row>
    <row r="118" spans="2:128" s="1" customFormat="1" ht="14.45" customHeight="1" x14ac:dyDescent="0.2">
      <c r="B118" s="124"/>
      <c r="C118" s="125" t="s">
        <v>81</v>
      </c>
      <c r="D118" s="125" t="s">
        <v>284</v>
      </c>
      <c r="E118" s="126" t="s">
        <v>3122</v>
      </c>
      <c r="F118" s="127" t="s">
        <v>3123</v>
      </c>
      <c r="G118" s="128" t="s">
        <v>315</v>
      </c>
      <c r="H118" s="129">
        <v>2</v>
      </c>
      <c r="I118" s="130">
        <v>2841.6471000000001</v>
      </c>
      <c r="J118" s="131">
        <f>ROUND(I118*H118,2)</f>
        <v>5683.29</v>
      </c>
      <c r="K118" s="127" t="s">
        <v>1</v>
      </c>
      <c r="L118" s="268">
        <f>S118</f>
        <v>0</v>
      </c>
      <c r="M118" s="268">
        <f>ROUND(L118*I118,)</f>
        <v>0</v>
      </c>
      <c r="N118" s="268"/>
      <c r="O118" s="268">
        <f>ROUND(N118*I118,2)</f>
        <v>0</v>
      </c>
      <c r="P118" s="268">
        <f>H118-L118-N118</f>
        <v>2</v>
      </c>
      <c r="Q118" s="268">
        <f>ROUND(P118*I118,2)</f>
        <v>5683.29</v>
      </c>
      <c r="R118" s="137"/>
      <c r="S118" s="269">
        <f>W118+Y118</f>
        <v>0</v>
      </c>
      <c r="T118" s="269">
        <f>ROUND(S118*I118,2)</f>
        <v>0</v>
      </c>
      <c r="U118" s="269">
        <f>H118-S118</f>
        <v>2</v>
      </c>
      <c r="V118" s="269">
        <f>ROUND(U118*I118,2)</f>
        <v>5683.29</v>
      </c>
      <c r="W118" s="269"/>
      <c r="X118" s="269"/>
      <c r="Y118" s="269"/>
      <c r="Z118" s="269"/>
      <c r="BX118" s="132" t="s">
        <v>1</v>
      </c>
      <c r="BY118" s="133" t="s">
        <v>40</v>
      </c>
      <c r="CA118" s="134">
        <f>BZ118*H118</f>
        <v>0</v>
      </c>
      <c r="CB118" s="134">
        <v>0</v>
      </c>
      <c r="CC118" s="134">
        <f>CB118*H118</f>
        <v>0</v>
      </c>
      <c r="CD118" s="134">
        <v>0</v>
      </c>
      <c r="CE118" s="135">
        <f>CD118*H118</f>
        <v>0</v>
      </c>
      <c r="DC118" s="136" t="s">
        <v>81</v>
      </c>
      <c r="DE118" s="136" t="s">
        <v>284</v>
      </c>
      <c r="DF118" s="136" t="s">
        <v>83</v>
      </c>
      <c r="DJ118" s="16" t="s">
        <v>282</v>
      </c>
      <c r="DP118" s="137">
        <f>IF(BY118="základní",J118,0)</f>
        <v>5683.29</v>
      </c>
      <c r="DQ118" s="137">
        <f>IF(BY118="snížená",J118,0)</f>
        <v>0</v>
      </c>
      <c r="DR118" s="137">
        <f>IF(BY118="zákl. přenesená",J118,0)</f>
        <v>0</v>
      </c>
      <c r="DS118" s="137">
        <f>IF(BY118="sníž. přenesená",J118,0)</f>
        <v>0</v>
      </c>
      <c r="DT118" s="137">
        <f>IF(BY118="nulová",J118,0)</f>
        <v>0</v>
      </c>
      <c r="DU118" s="16" t="s">
        <v>81</v>
      </c>
      <c r="DV118" s="137">
        <f>ROUND(I118*H118,2)</f>
        <v>5683.29</v>
      </c>
      <c r="DW118" s="16" t="s">
        <v>81</v>
      </c>
      <c r="DX118" s="136" t="s">
        <v>3124</v>
      </c>
    </row>
    <row r="119" spans="2:128" s="1" customFormat="1" x14ac:dyDescent="0.2">
      <c r="B119" s="31"/>
      <c r="D119" s="138" t="s">
        <v>289</v>
      </c>
      <c r="F119" s="139" t="s">
        <v>3123</v>
      </c>
      <c r="I119" s="140"/>
      <c r="L119" s="31"/>
      <c r="BX119" s="141"/>
      <c r="CE119" s="50"/>
      <c r="DE119" s="16" t="s">
        <v>289</v>
      </c>
      <c r="DF119" s="16" t="s">
        <v>83</v>
      </c>
    </row>
    <row r="120" spans="2:128" s="1" customFormat="1" ht="29.25" x14ac:dyDescent="0.2">
      <c r="B120" s="31"/>
      <c r="D120" s="138" t="s">
        <v>299</v>
      </c>
      <c r="F120" s="142" t="s">
        <v>3125</v>
      </c>
      <c r="I120" s="140"/>
      <c r="L120" s="31"/>
      <c r="BX120" s="141"/>
      <c r="CE120" s="50"/>
      <c r="DE120" s="16" t="s">
        <v>299</v>
      </c>
      <c r="DF120" s="16" t="s">
        <v>83</v>
      </c>
    </row>
    <row r="121" spans="2:128" s="12" customFormat="1" x14ac:dyDescent="0.2">
      <c r="B121" s="149"/>
      <c r="D121" s="138" t="s">
        <v>301</v>
      </c>
      <c r="E121" s="150" t="s">
        <v>1</v>
      </c>
      <c r="F121" s="151" t="s">
        <v>83</v>
      </c>
      <c r="H121" s="152">
        <v>2</v>
      </c>
      <c r="I121" s="153"/>
      <c r="L121" s="149"/>
      <c r="BX121" s="154"/>
      <c r="CE121" s="155"/>
      <c r="DE121" s="150" t="s">
        <v>301</v>
      </c>
      <c r="DF121" s="150" t="s">
        <v>83</v>
      </c>
      <c r="DG121" s="12" t="s">
        <v>83</v>
      </c>
      <c r="DH121" s="12" t="s">
        <v>32</v>
      </c>
      <c r="DI121" s="12" t="s">
        <v>81</v>
      </c>
      <c r="DJ121" s="150" t="s">
        <v>282</v>
      </c>
    </row>
    <row r="122" spans="2:128" s="1" customFormat="1" ht="14.45" customHeight="1" x14ac:dyDescent="0.2">
      <c r="B122" s="124"/>
      <c r="C122" s="125" t="s">
        <v>83</v>
      </c>
      <c r="D122" s="125" t="s">
        <v>284</v>
      </c>
      <c r="E122" s="126" t="s">
        <v>3126</v>
      </c>
      <c r="F122" s="127" t="s">
        <v>3127</v>
      </c>
      <c r="G122" s="128" t="s">
        <v>315</v>
      </c>
      <c r="H122" s="129">
        <v>2</v>
      </c>
      <c r="I122" s="130">
        <v>56832.942000000003</v>
      </c>
      <c r="J122" s="131">
        <f>ROUND(I122*H122,2)</f>
        <v>113665.88</v>
      </c>
      <c r="K122" s="127" t="s">
        <v>1</v>
      </c>
      <c r="L122" s="268">
        <f>S122</f>
        <v>0</v>
      </c>
      <c r="M122" s="268">
        <f>ROUND(L122*I122,)</f>
        <v>0</v>
      </c>
      <c r="N122" s="268"/>
      <c r="O122" s="268">
        <f>ROUND(N122*I122,2)</f>
        <v>0</v>
      </c>
      <c r="P122" s="268">
        <f>H122-L122-N122</f>
        <v>2</v>
      </c>
      <c r="Q122" s="268">
        <f>ROUND(P122*I122,2)</f>
        <v>113665.88</v>
      </c>
      <c r="R122" s="137"/>
      <c r="S122" s="269">
        <f>W122+Y122</f>
        <v>0</v>
      </c>
      <c r="T122" s="269">
        <f>ROUND(S122*I122,2)</f>
        <v>0</v>
      </c>
      <c r="U122" s="269">
        <f>H122-S122</f>
        <v>2</v>
      </c>
      <c r="V122" s="269">
        <f>ROUND(U122*I122,2)</f>
        <v>113665.88</v>
      </c>
      <c r="W122" s="269"/>
      <c r="X122" s="269"/>
      <c r="Y122" s="269"/>
      <c r="Z122" s="269"/>
      <c r="BX122" s="132" t="s">
        <v>1</v>
      </c>
      <c r="BY122" s="133" t="s">
        <v>40</v>
      </c>
      <c r="CA122" s="134">
        <f>BZ122*H122</f>
        <v>0</v>
      </c>
      <c r="CB122" s="134">
        <v>0</v>
      </c>
      <c r="CC122" s="134">
        <f>CB122*H122</f>
        <v>0</v>
      </c>
      <c r="CD122" s="134">
        <v>0</v>
      </c>
      <c r="CE122" s="135">
        <f>CD122*H122</f>
        <v>0</v>
      </c>
      <c r="DC122" s="136" t="s">
        <v>81</v>
      </c>
      <c r="DE122" s="136" t="s">
        <v>284</v>
      </c>
      <c r="DF122" s="136" t="s">
        <v>83</v>
      </c>
      <c r="DJ122" s="16" t="s">
        <v>282</v>
      </c>
      <c r="DP122" s="137">
        <f>IF(BY122="základní",J122,0)</f>
        <v>113665.88</v>
      </c>
      <c r="DQ122" s="137">
        <f>IF(BY122="snížená",J122,0)</f>
        <v>0</v>
      </c>
      <c r="DR122" s="137">
        <f>IF(BY122="zákl. přenesená",J122,0)</f>
        <v>0</v>
      </c>
      <c r="DS122" s="137">
        <f>IF(BY122="sníž. přenesená",J122,0)</f>
        <v>0</v>
      </c>
      <c r="DT122" s="137">
        <f>IF(BY122="nulová",J122,0)</f>
        <v>0</v>
      </c>
      <c r="DU122" s="16" t="s">
        <v>81</v>
      </c>
      <c r="DV122" s="137">
        <f>ROUND(I122*H122,2)</f>
        <v>113665.88</v>
      </c>
      <c r="DW122" s="16" t="s">
        <v>81</v>
      </c>
      <c r="DX122" s="136" t="s">
        <v>3128</v>
      </c>
    </row>
    <row r="123" spans="2:128" s="1" customFormat="1" ht="78" x14ac:dyDescent="0.2">
      <c r="B123" s="31"/>
      <c r="D123" s="138" t="s">
        <v>289</v>
      </c>
      <c r="F123" s="139" t="s">
        <v>3129</v>
      </c>
      <c r="I123" s="140"/>
      <c r="L123" s="31"/>
      <c r="BX123" s="141"/>
      <c r="CE123" s="50"/>
      <c r="DE123" s="16" t="s">
        <v>289</v>
      </c>
      <c r="DF123" s="16" t="s">
        <v>83</v>
      </c>
    </row>
    <row r="124" spans="2:128" s="1" customFormat="1" ht="19.5" x14ac:dyDescent="0.2">
      <c r="B124" s="31"/>
      <c r="D124" s="138" t="s">
        <v>299</v>
      </c>
      <c r="F124" s="142" t="s">
        <v>3130</v>
      </c>
      <c r="I124" s="140"/>
      <c r="L124" s="31"/>
      <c r="BX124" s="187"/>
      <c r="BY124" s="184"/>
      <c r="BZ124" s="184"/>
      <c r="CA124" s="184"/>
      <c r="CB124" s="184"/>
      <c r="CC124" s="184"/>
      <c r="CD124" s="184"/>
      <c r="CE124" s="188"/>
      <c r="DE124" s="16" t="s">
        <v>299</v>
      </c>
      <c r="DF124" s="16" t="s">
        <v>83</v>
      </c>
    </row>
    <row r="125" spans="2:128" s="1" customFormat="1" ht="6.95" customHeight="1" x14ac:dyDescent="0.2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235"/>
      <c r="M125" s="235"/>
      <c r="N125" s="235"/>
      <c r="O125" s="235"/>
      <c r="P125" s="235"/>
      <c r="Q125" s="235"/>
      <c r="S125" s="236"/>
      <c r="T125" s="236"/>
      <c r="U125" s="236"/>
      <c r="V125" s="236"/>
      <c r="W125" s="236"/>
      <c r="X125" s="236"/>
      <c r="Y125" s="236"/>
      <c r="Z125" s="236"/>
    </row>
  </sheetData>
  <autoFilter ref="C113:K124"/>
  <mergeCells count="19">
    <mergeCell ref="S114:T114"/>
    <mergeCell ref="U114:V114"/>
    <mergeCell ref="W114:X114"/>
    <mergeCell ref="Y114:Z114"/>
    <mergeCell ref="G112:K112"/>
    <mergeCell ref="L113:Q113"/>
    <mergeCell ref="L114:M114"/>
    <mergeCell ref="N114:O114"/>
    <mergeCell ref="P114:Q114"/>
    <mergeCell ref="E109:H109"/>
    <mergeCell ref="L2:CG2"/>
    <mergeCell ref="E85:H85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F214"/>
  <sheetViews>
    <sheetView windowProtection="1" showGridLines="0" topLeftCell="A129" zoomScale="85" zoomScaleNormal="85" workbookViewId="0">
      <selection activeCell="F200" sqref="F20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1" width="20.1640625" customWidth="1"/>
    <col min="12" max="12" width="13" customWidth="1"/>
    <col min="13" max="13" width="14.83203125" customWidth="1"/>
    <col min="14" max="16" width="13" customWidth="1"/>
    <col min="17" max="17" width="16.6640625" customWidth="1"/>
    <col min="18" max="83" width="13" customWidth="1"/>
    <col min="84" max="84" width="10.83203125" hidden="1" customWidth="1"/>
    <col min="85" max="85" width="0" hidden="1" customWidth="1"/>
    <col min="86" max="91" width="14.1640625" hidden="1" customWidth="1"/>
    <col min="92" max="92" width="16.33203125" customWidth="1"/>
    <col min="93" max="93" width="12.33203125" customWidth="1"/>
    <col min="94" max="94" width="16.33203125" customWidth="1"/>
    <col min="95" max="95" width="12.33203125" customWidth="1"/>
    <col min="96" max="96" width="15" customWidth="1"/>
    <col min="97" max="97" width="11" customWidth="1"/>
    <col min="98" max="98" width="15" customWidth="1"/>
    <col min="99" max="99" width="16.33203125" customWidth="1"/>
    <col min="100" max="100" width="11" customWidth="1"/>
    <col min="101" max="101" width="15" customWidth="1"/>
    <col min="102" max="102" width="16.33203125" customWidth="1"/>
    <col min="115" max="136" width="9.33203125" hidden="1"/>
  </cols>
  <sheetData>
    <row r="2" spans="2:117" ht="36.950000000000003" customHeight="1" x14ac:dyDescent="0.2">
      <c r="L2" s="398" t="s">
        <v>5</v>
      </c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DM2" s="16" t="s">
        <v>242</v>
      </c>
    </row>
    <row r="3" spans="2:117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DM3" s="16" t="s">
        <v>83</v>
      </c>
    </row>
    <row r="4" spans="2:117" ht="24.95" customHeight="1" x14ac:dyDescent="0.2">
      <c r="B4" s="19"/>
      <c r="D4" s="20" t="s">
        <v>243</v>
      </c>
      <c r="L4" s="19"/>
      <c r="CF4" s="79" t="s">
        <v>10</v>
      </c>
      <c r="DM4" s="16" t="s">
        <v>3</v>
      </c>
    </row>
    <row r="5" spans="2:117" ht="6.95" customHeight="1" x14ac:dyDescent="0.2">
      <c r="B5" s="19"/>
      <c r="L5" s="19"/>
    </row>
    <row r="6" spans="2:117" ht="12" customHeight="1" x14ac:dyDescent="0.2">
      <c r="B6" s="19"/>
      <c r="D6" s="26" t="s">
        <v>16</v>
      </c>
      <c r="L6" s="19"/>
    </row>
    <row r="7" spans="2:117" ht="16.5" customHeight="1" x14ac:dyDescent="0.2">
      <c r="B7" s="19"/>
      <c r="E7" s="434" t="str">
        <f>'Rekapitulace stavby'!K6</f>
        <v>Kanalizace Podlesí - I.Etapa</v>
      </c>
      <c r="F7" s="435"/>
      <c r="G7" s="435"/>
      <c r="H7" s="435"/>
      <c r="L7" s="19"/>
    </row>
    <row r="8" spans="2:117" ht="12" customHeight="1" x14ac:dyDescent="0.2">
      <c r="B8" s="19"/>
      <c r="D8" s="26" t="s">
        <v>244</v>
      </c>
      <c r="L8" s="19"/>
    </row>
    <row r="9" spans="2:117" s="1" customFormat="1" ht="16.5" customHeight="1" x14ac:dyDescent="0.2">
      <c r="B9" s="31"/>
      <c r="E9" s="434" t="s">
        <v>245</v>
      </c>
      <c r="F9" s="433"/>
      <c r="G9" s="433"/>
      <c r="H9" s="433"/>
      <c r="L9" s="31"/>
    </row>
    <row r="10" spans="2:117" s="1" customFormat="1" ht="12" customHeight="1" x14ac:dyDescent="0.2">
      <c r="B10" s="31"/>
      <c r="D10" s="26" t="s">
        <v>246</v>
      </c>
      <c r="L10" s="31"/>
    </row>
    <row r="11" spans="2:117" s="1" customFormat="1" ht="16.5" customHeight="1" x14ac:dyDescent="0.2">
      <c r="B11" s="31"/>
      <c r="E11" s="432" t="s">
        <v>3131</v>
      </c>
      <c r="F11" s="433"/>
      <c r="G11" s="433"/>
      <c r="H11" s="433"/>
      <c r="L11" s="31"/>
    </row>
    <row r="12" spans="2:117" s="1" customFormat="1" x14ac:dyDescent="0.2">
      <c r="B12" s="31"/>
      <c r="L12" s="31"/>
    </row>
    <row r="13" spans="2:117" s="1" customFormat="1" ht="12" customHeight="1" x14ac:dyDescent="0.2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117" s="1" customFormat="1" ht="12" customHeight="1" x14ac:dyDescent="0.2">
      <c r="B14" s="31"/>
      <c r="D14" s="26" t="s">
        <v>20</v>
      </c>
      <c r="F14" s="24" t="s">
        <v>21</v>
      </c>
      <c r="I14" s="26" t="s">
        <v>22</v>
      </c>
      <c r="J14" s="48" t="str">
        <f>'Rekapitulace stavby'!AN8</f>
        <v>18. 11. 2020</v>
      </c>
      <c r="L14" s="31"/>
    </row>
    <row r="15" spans="2:117" s="1" customFormat="1" ht="10.9" customHeight="1" x14ac:dyDescent="0.2">
      <c r="B15" s="31"/>
      <c r="L15" s="31"/>
    </row>
    <row r="16" spans="2:117" s="1" customFormat="1" ht="12" customHeight="1" x14ac:dyDescent="0.2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 x14ac:dyDescent="0.2">
      <c r="B17" s="31"/>
      <c r="E17" s="24" t="str">
        <f>IF('Rekapitulace stavby'!E11="","",'Rekapitulace stavby'!E11)</f>
        <v>Město Petřvald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customHeight="1" x14ac:dyDescent="0.2">
      <c r="B18" s="31"/>
      <c r="L18" s="31"/>
    </row>
    <row r="19" spans="2:12" s="1" customFormat="1" ht="12" customHeight="1" x14ac:dyDescent="0.2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 x14ac:dyDescent="0.2">
      <c r="B20" s="31"/>
      <c r="E20" s="436" t="str">
        <f>'Rekapitulace stavby'!E14</f>
        <v>Společnost Podlesí se sídlem Žitenická 871/1, 190 00 Praha 9</v>
      </c>
      <c r="F20" s="418"/>
      <c r="G20" s="418"/>
      <c r="H20" s="418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 x14ac:dyDescent="0.2">
      <c r="B21" s="31"/>
      <c r="L21" s="31"/>
    </row>
    <row r="22" spans="2:12" s="1" customFormat="1" ht="12" customHeight="1" x14ac:dyDescent="0.2">
      <c r="B22" s="31"/>
      <c r="D22" s="26" t="s">
        <v>30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 x14ac:dyDescent="0.2">
      <c r="B23" s="31"/>
      <c r="E23" s="24" t="str">
        <f>IF('Rekapitulace stavby'!E17="","",'Rekapitulace stavby'!E17)</f>
        <v>Sweco Hydroprojekt a.s., divize Morava</v>
      </c>
      <c r="I23" s="26" t="s">
        <v>27</v>
      </c>
      <c r="J23" s="24" t="str">
        <f>IF('Rekapitulace stavby'!AN17="","",'Rekapitulace stavby'!AN17)</f>
        <v/>
      </c>
      <c r="L23" s="31"/>
    </row>
    <row r="24" spans="2:12" s="1" customFormat="1" ht="6.95" customHeight="1" x14ac:dyDescent="0.2">
      <c r="B24" s="31"/>
      <c r="L24" s="31"/>
    </row>
    <row r="25" spans="2:12" s="1" customFormat="1" ht="12" customHeight="1" x14ac:dyDescent="0.2">
      <c r="B25" s="31"/>
      <c r="D25" s="26" t="s">
        <v>33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 x14ac:dyDescent="0.2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customHeight="1" x14ac:dyDescent="0.2">
      <c r="B27" s="31"/>
      <c r="L27" s="31"/>
    </row>
    <row r="28" spans="2:12" s="1" customFormat="1" ht="12" customHeight="1" x14ac:dyDescent="0.2">
      <c r="B28" s="31"/>
      <c r="D28" s="26" t="s">
        <v>34</v>
      </c>
      <c r="L28" s="31"/>
    </row>
    <row r="29" spans="2:12" s="6" customFormat="1" ht="16.5" customHeight="1" x14ac:dyDescent="0.2">
      <c r="B29" s="82"/>
      <c r="E29" s="422" t="s">
        <v>1</v>
      </c>
      <c r="F29" s="422"/>
      <c r="G29" s="422"/>
      <c r="H29" s="422"/>
      <c r="L29" s="82"/>
    </row>
    <row r="30" spans="2:12" s="1" customFormat="1" ht="6.95" customHeight="1" x14ac:dyDescent="0.2">
      <c r="B30" s="31"/>
      <c r="L30" s="31"/>
    </row>
    <row r="31" spans="2:12" s="1" customFormat="1" ht="6.95" customHeight="1" x14ac:dyDescent="0.2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 x14ac:dyDescent="0.2">
      <c r="B32" s="31"/>
      <c r="D32" s="83" t="s">
        <v>35</v>
      </c>
      <c r="J32" s="58">
        <f>ROUND(J133, 2)</f>
        <v>3606047.4</v>
      </c>
      <c r="L32" s="31"/>
    </row>
    <row r="33" spans="2:12" s="1" customFormat="1" ht="6.95" customHeight="1" x14ac:dyDescent="0.2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5" customHeight="1" x14ac:dyDescent="0.2">
      <c r="B35" s="31"/>
      <c r="D35" s="80" t="s">
        <v>39</v>
      </c>
      <c r="E35" s="26" t="s">
        <v>40</v>
      </c>
      <c r="F35" s="71">
        <f>ROUND((SUM(DX133:DX213)),  2)</f>
        <v>3606047.4</v>
      </c>
      <c r="I35" s="84">
        <v>0.21</v>
      </c>
      <c r="J35" s="71">
        <f>ROUND(((SUM(DX133:DX213))*I35),  2)</f>
        <v>757269.95</v>
      </c>
      <c r="L35" s="31"/>
    </row>
    <row r="36" spans="2:12" s="1" customFormat="1" ht="14.45" customHeight="1" x14ac:dyDescent="0.2">
      <c r="B36" s="31"/>
      <c r="E36" s="26" t="s">
        <v>41</v>
      </c>
      <c r="F36" s="71">
        <f>ROUND((SUM(DY133:DY213)),  2)</f>
        <v>0</v>
      </c>
      <c r="I36" s="84">
        <v>0.15</v>
      </c>
      <c r="J36" s="71">
        <f>ROUND(((SUM(DY133:DY213))*I36),  2)</f>
        <v>0</v>
      </c>
      <c r="L36" s="31"/>
    </row>
    <row r="37" spans="2:12" s="1" customFormat="1" ht="14.45" hidden="1" customHeight="1" x14ac:dyDescent="0.2">
      <c r="B37" s="31"/>
      <c r="E37" s="26" t="s">
        <v>42</v>
      </c>
      <c r="F37" s="71">
        <f>ROUND((SUM(DZ133:DZ213)),  2)</f>
        <v>0</v>
      </c>
      <c r="I37" s="84">
        <v>0.21</v>
      </c>
      <c r="J37" s="71">
        <f>0</f>
        <v>0</v>
      </c>
      <c r="L37" s="31"/>
    </row>
    <row r="38" spans="2:12" s="1" customFormat="1" ht="14.45" hidden="1" customHeight="1" x14ac:dyDescent="0.2">
      <c r="B38" s="31"/>
      <c r="E38" s="26" t="s">
        <v>43</v>
      </c>
      <c r="F38" s="71">
        <f>ROUND((SUM(EA133:EA213)),  2)</f>
        <v>0</v>
      </c>
      <c r="I38" s="84">
        <v>0.15</v>
      </c>
      <c r="J38" s="71">
        <f>0</f>
        <v>0</v>
      </c>
      <c r="L38" s="31"/>
    </row>
    <row r="39" spans="2:12" s="1" customFormat="1" ht="14.45" hidden="1" customHeight="1" x14ac:dyDescent="0.2">
      <c r="B39" s="31"/>
      <c r="E39" s="26" t="s">
        <v>44</v>
      </c>
      <c r="F39" s="71">
        <f>ROUND((SUM(EB133:EB213)),  2)</f>
        <v>0</v>
      </c>
      <c r="I39" s="84">
        <v>0</v>
      </c>
      <c r="J39" s="71">
        <f>0</f>
        <v>0</v>
      </c>
      <c r="L39" s="31"/>
    </row>
    <row r="40" spans="2:12" s="1" customFormat="1" ht="6.95" customHeight="1" x14ac:dyDescent="0.2">
      <c r="B40" s="31"/>
      <c r="L40" s="31"/>
    </row>
    <row r="41" spans="2:12" s="1" customFormat="1" ht="25.35" customHeight="1" x14ac:dyDescent="0.2">
      <c r="B41" s="31"/>
      <c r="C41" s="85"/>
      <c r="D41" s="86" t="s">
        <v>45</v>
      </c>
      <c r="E41" s="51"/>
      <c r="F41" s="51"/>
      <c r="G41" s="87" t="s">
        <v>46</v>
      </c>
      <c r="H41" s="88" t="s">
        <v>47</v>
      </c>
      <c r="I41" s="51"/>
      <c r="J41" s="89">
        <f>SUM(J32:J39)</f>
        <v>4363317.3499999996</v>
      </c>
      <c r="K41" s="90"/>
      <c r="L41" s="31"/>
    </row>
    <row r="42" spans="2:12" s="1" customFormat="1" ht="14.45" customHeight="1" x14ac:dyDescent="0.2">
      <c r="B42" s="31"/>
      <c r="L42" s="31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50</v>
      </c>
      <c r="E61" s="33"/>
      <c r="F61" s="91" t="s">
        <v>51</v>
      </c>
      <c r="G61" s="42" t="s">
        <v>50</v>
      </c>
      <c r="H61" s="33"/>
      <c r="I61" s="33"/>
      <c r="J61" s="92" t="s">
        <v>51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50</v>
      </c>
      <c r="E76" s="33"/>
      <c r="F76" s="91" t="s">
        <v>51</v>
      </c>
      <c r="G76" s="42" t="s">
        <v>50</v>
      </c>
      <c r="H76" s="33"/>
      <c r="I76" s="33"/>
      <c r="J76" s="92" t="s">
        <v>51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 x14ac:dyDescent="0.2">
      <c r="B82" s="31"/>
      <c r="C82" s="20" t="s">
        <v>253</v>
      </c>
      <c r="L82" s="31"/>
    </row>
    <row r="83" spans="2:12" s="1" customFormat="1" ht="6.95" customHeight="1" x14ac:dyDescent="0.2">
      <c r="B83" s="31"/>
      <c r="L83" s="31"/>
    </row>
    <row r="84" spans="2:12" s="1" customFormat="1" ht="12" customHeight="1" x14ac:dyDescent="0.2">
      <c r="B84" s="31"/>
      <c r="C84" s="26" t="s">
        <v>16</v>
      </c>
      <c r="L84" s="31"/>
    </row>
    <row r="85" spans="2:12" s="1" customFormat="1" ht="16.5" customHeight="1" x14ac:dyDescent="0.2">
      <c r="B85" s="31"/>
      <c r="E85" s="434" t="str">
        <f>E7</f>
        <v>Kanalizace Podlesí - I.Etapa</v>
      </c>
      <c r="F85" s="435"/>
      <c r="G85" s="435"/>
      <c r="H85" s="435"/>
      <c r="L85" s="31"/>
    </row>
    <row r="86" spans="2:12" ht="12" customHeight="1" x14ac:dyDescent="0.2">
      <c r="B86" s="19"/>
      <c r="C86" s="26" t="s">
        <v>244</v>
      </c>
      <c r="L86" s="19"/>
    </row>
    <row r="87" spans="2:12" s="1" customFormat="1" ht="16.5" customHeight="1" x14ac:dyDescent="0.2">
      <c r="B87" s="31"/>
      <c r="E87" s="434" t="s">
        <v>245</v>
      </c>
      <c r="F87" s="433"/>
      <c r="G87" s="433"/>
      <c r="H87" s="433"/>
      <c r="L87" s="31"/>
    </row>
    <row r="88" spans="2:12" s="1" customFormat="1" ht="12" customHeight="1" x14ac:dyDescent="0.2">
      <c r="B88" s="31"/>
      <c r="C88" s="26" t="s">
        <v>246</v>
      </c>
      <c r="L88" s="31"/>
    </row>
    <row r="89" spans="2:12" s="1" customFormat="1" ht="16.5" customHeight="1" x14ac:dyDescent="0.2">
      <c r="B89" s="31"/>
      <c r="E89" s="432" t="str">
        <f>E11</f>
        <v>025 - Ostatní a vedlejší náklady</v>
      </c>
      <c r="F89" s="433"/>
      <c r="G89" s="433"/>
      <c r="H89" s="433"/>
      <c r="L89" s="31"/>
    </row>
    <row r="90" spans="2:12" s="1" customFormat="1" ht="6.95" customHeight="1" x14ac:dyDescent="0.2">
      <c r="B90" s="31"/>
      <c r="L90" s="31"/>
    </row>
    <row r="91" spans="2:12" s="1" customFormat="1" ht="12" customHeight="1" x14ac:dyDescent="0.2">
      <c r="B91" s="31"/>
      <c r="C91" s="26" t="s">
        <v>20</v>
      </c>
      <c r="F91" s="24" t="str">
        <f>F14</f>
        <v xml:space="preserve"> </v>
      </c>
      <c r="I91" s="26" t="s">
        <v>22</v>
      </c>
      <c r="J91" s="48" t="str">
        <f>IF(J14="","",J14)</f>
        <v>18. 11. 2020</v>
      </c>
      <c r="L91" s="31"/>
    </row>
    <row r="92" spans="2:12" s="1" customFormat="1" ht="6.95" customHeight="1" x14ac:dyDescent="0.2">
      <c r="B92" s="31"/>
      <c r="L92" s="31"/>
    </row>
    <row r="93" spans="2:12" s="1" customFormat="1" ht="40.15" customHeight="1" x14ac:dyDescent="0.2">
      <c r="B93" s="31"/>
      <c r="C93" s="26" t="s">
        <v>24</v>
      </c>
      <c r="F93" s="24" t="str">
        <f>E17</f>
        <v>Město Petřvald</v>
      </c>
      <c r="I93" s="26" t="s">
        <v>30</v>
      </c>
      <c r="J93" s="29" t="str">
        <f>E23</f>
        <v>Sweco Hydroprojekt a.s., divize Morava</v>
      </c>
      <c r="L93" s="31"/>
    </row>
    <row r="94" spans="2:12" s="1" customFormat="1" ht="15.2" customHeight="1" x14ac:dyDescent="0.2">
      <c r="B94" s="31"/>
      <c r="C94" s="26" t="s">
        <v>28</v>
      </c>
      <c r="F94" s="24" t="str">
        <f>IF(E20="","",E20)</f>
        <v>Společnost Podlesí se sídlem Žitenická 871/1, 190 00 Praha 9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 x14ac:dyDescent="0.2">
      <c r="B95" s="31"/>
      <c r="L95" s="31"/>
    </row>
    <row r="96" spans="2:12" s="1" customFormat="1" ht="29.25" customHeight="1" x14ac:dyDescent="0.2">
      <c r="B96" s="31"/>
      <c r="C96" s="93" t="s">
        <v>254</v>
      </c>
      <c r="D96" s="85"/>
      <c r="E96" s="85"/>
      <c r="F96" s="85"/>
      <c r="G96" s="85"/>
      <c r="H96" s="85"/>
      <c r="I96" s="85"/>
      <c r="J96" s="94" t="s">
        <v>255</v>
      </c>
      <c r="K96" s="85"/>
      <c r="L96" s="31"/>
    </row>
    <row r="97" spans="2:118" s="1" customFormat="1" ht="10.35" customHeight="1" x14ac:dyDescent="0.2">
      <c r="B97" s="31"/>
      <c r="L97" s="31"/>
    </row>
    <row r="98" spans="2:118" s="1" customFormat="1" ht="22.9" customHeight="1" x14ac:dyDescent="0.2">
      <c r="B98" s="31"/>
      <c r="C98" s="95" t="s">
        <v>256</v>
      </c>
      <c r="J98" s="58">
        <f>J133</f>
        <v>3606047.4000000008</v>
      </c>
      <c r="L98" s="31"/>
      <c r="DN98" s="16" t="s">
        <v>257</v>
      </c>
    </row>
    <row r="99" spans="2:118" s="7" customFormat="1" ht="24.95" customHeight="1" x14ac:dyDescent="0.2">
      <c r="B99" s="96"/>
      <c r="D99" s="97" t="s">
        <v>258</v>
      </c>
      <c r="E99" s="98"/>
      <c r="F99" s="98"/>
      <c r="G99" s="98"/>
      <c r="H99" s="98"/>
      <c r="I99" s="98"/>
      <c r="J99" s="99">
        <f>J134</f>
        <v>3606047.4000000008</v>
      </c>
      <c r="L99" s="96"/>
    </row>
    <row r="100" spans="2:118" s="8" customFormat="1" ht="19.899999999999999" customHeight="1" x14ac:dyDescent="0.2">
      <c r="B100" s="100"/>
      <c r="D100" s="101" t="s">
        <v>3132</v>
      </c>
      <c r="E100" s="102"/>
      <c r="F100" s="102"/>
      <c r="G100" s="102"/>
      <c r="H100" s="102"/>
      <c r="I100" s="102"/>
      <c r="J100" s="103">
        <f>J135</f>
        <v>2975502.3800000008</v>
      </c>
      <c r="L100" s="100"/>
    </row>
    <row r="101" spans="2:118" s="8" customFormat="1" ht="14.85" customHeight="1" x14ac:dyDescent="0.2">
      <c r="B101" s="100"/>
      <c r="D101" s="101" t="s">
        <v>3133</v>
      </c>
      <c r="E101" s="102"/>
      <c r="F101" s="102"/>
      <c r="G101" s="102"/>
      <c r="H101" s="102"/>
      <c r="I101" s="102"/>
      <c r="J101" s="103">
        <f>J136</f>
        <v>1857627.48</v>
      </c>
      <c r="L101" s="100"/>
    </row>
    <row r="102" spans="2:118" s="8" customFormat="1" ht="14.85" customHeight="1" x14ac:dyDescent="0.2">
      <c r="B102" s="100"/>
      <c r="D102" s="101" t="s">
        <v>3134</v>
      </c>
      <c r="E102" s="102"/>
      <c r="F102" s="102"/>
      <c r="G102" s="102"/>
      <c r="H102" s="102"/>
      <c r="I102" s="102"/>
      <c r="J102" s="103">
        <f>J139</f>
        <v>150000</v>
      </c>
      <c r="L102" s="100"/>
    </row>
    <row r="103" spans="2:118" s="8" customFormat="1" ht="14.85" customHeight="1" x14ac:dyDescent="0.2">
      <c r="B103" s="100"/>
      <c r="D103" s="101" t="s">
        <v>3135</v>
      </c>
      <c r="E103" s="102"/>
      <c r="F103" s="102"/>
      <c r="G103" s="102"/>
      <c r="H103" s="102"/>
      <c r="I103" s="102"/>
      <c r="J103" s="103">
        <f>J142</f>
        <v>191114.51</v>
      </c>
      <c r="L103" s="100"/>
    </row>
    <row r="104" spans="2:118" s="8" customFormat="1" ht="14.85" customHeight="1" x14ac:dyDescent="0.2">
      <c r="B104" s="100"/>
      <c r="D104" s="101" t="s">
        <v>3136</v>
      </c>
      <c r="E104" s="102"/>
      <c r="F104" s="102"/>
      <c r="G104" s="102"/>
      <c r="H104" s="102"/>
      <c r="I104" s="102"/>
      <c r="J104" s="103">
        <f>J147</f>
        <v>67360.790000000008</v>
      </c>
      <c r="L104" s="100"/>
    </row>
    <row r="105" spans="2:118" s="8" customFormat="1" ht="14.85" customHeight="1" x14ac:dyDescent="0.2">
      <c r="B105" s="100"/>
      <c r="D105" s="101" t="s">
        <v>3137</v>
      </c>
      <c r="E105" s="102"/>
      <c r="F105" s="102"/>
      <c r="G105" s="102"/>
      <c r="H105" s="102"/>
      <c r="I105" s="102"/>
      <c r="J105" s="103">
        <f>J152</f>
        <v>76832.94</v>
      </c>
      <c r="L105" s="100"/>
    </row>
    <row r="106" spans="2:118" s="8" customFormat="1" ht="14.85" customHeight="1" x14ac:dyDescent="0.2">
      <c r="B106" s="100"/>
      <c r="D106" s="101" t="s">
        <v>3138</v>
      </c>
      <c r="E106" s="102"/>
      <c r="F106" s="102"/>
      <c r="G106" s="102"/>
      <c r="H106" s="102"/>
      <c r="I106" s="102"/>
      <c r="J106" s="103">
        <f>J155</f>
        <v>68416.47</v>
      </c>
      <c r="L106" s="100"/>
    </row>
    <row r="107" spans="2:118" s="8" customFormat="1" ht="14.85" customHeight="1" x14ac:dyDescent="0.2">
      <c r="B107" s="100"/>
      <c r="D107" s="101" t="s">
        <v>3139</v>
      </c>
      <c r="E107" s="102"/>
      <c r="F107" s="102"/>
      <c r="G107" s="102"/>
      <c r="H107" s="102"/>
      <c r="I107" s="102"/>
      <c r="J107" s="103">
        <f>J158</f>
        <v>385748.23</v>
      </c>
      <c r="L107" s="100"/>
    </row>
    <row r="108" spans="2:118" s="8" customFormat="1" ht="14.85" customHeight="1" x14ac:dyDescent="0.2">
      <c r="B108" s="100"/>
      <c r="D108" s="101" t="s">
        <v>3140</v>
      </c>
      <c r="E108" s="102"/>
      <c r="F108" s="102"/>
      <c r="G108" s="102"/>
      <c r="H108" s="102"/>
      <c r="I108" s="102"/>
      <c r="J108" s="103">
        <f>J165</f>
        <v>111041.18000000001</v>
      </c>
      <c r="L108" s="100"/>
    </row>
    <row r="109" spans="2:118" s="8" customFormat="1" ht="14.85" customHeight="1" x14ac:dyDescent="0.2">
      <c r="B109" s="100"/>
      <c r="D109" s="101" t="s">
        <v>3141</v>
      </c>
      <c r="E109" s="102"/>
      <c r="F109" s="102"/>
      <c r="G109" s="102"/>
      <c r="H109" s="102"/>
      <c r="I109" s="102"/>
      <c r="J109" s="103">
        <f>J172</f>
        <v>33680.39</v>
      </c>
      <c r="L109" s="100"/>
    </row>
    <row r="110" spans="2:118" s="8" customFormat="1" ht="14.85" customHeight="1" x14ac:dyDescent="0.2">
      <c r="B110" s="100"/>
      <c r="D110" s="101" t="s">
        <v>3142</v>
      </c>
      <c r="E110" s="102"/>
      <c r="F110" s="102"/>
      <c r="G110" s="102"/>
      <c r="H110" s="102"/>
      <c r="I110" s="102"/>
      <c r="J110" s="103">
        <f>J175</f>
        <v>33680.39</v>
      </c>
      <c r="L110" s="100"/>
    </row>
    <row r="111" spans="2:118" s="8" customFormat="1" ht="19.899999999999999" customHeight="1" x14ac:dyDescent="0.2">
      <c r="B111" s="100"/>
      <c r="D111" s="101" t="s">
        <v>3143</v>
      </c>
      <c r="E111" s="102"/>
      <c r="F111" s="102"/>
      <c r="G111" s="102"/>
      <c r="H111" s="102"/>
      <c r="I111" s="102"/>
      <c r="J111" s="103">
        <f>J178</f>
        <v>18944.310000000001</v>
      </c>
      <c r="L111" s="100"/>
    </row>
    <row r="112" spans="2:118" s="8" customFormat="1" ht="14.85" customHeight="1" x14ac:dyDescent="0.2">
      <c r="B112" s="100"/>
      <c r="D112" s="101" t="s">
        <v>3144</v>
      </c>
      <c r="E112" s="102"/>
      <c r="F112" s="102"/>
      <c r="G112" s="102"/>
      <c r="H112" s="102"/>
      <c r="I112" s="102"/>
      <c r="J112" s="103">
        <f>J179</f>
        <v>18944.310000000001</v>
      </c>
      <c r="L112" s="100"/>
    </row>
    <row r="113" spans="2:12" s="8" customFormat="1" ht="19.899999999999999" customHeight="1" x14ac:dyDescent="0.2">
      <c r="B113" s="100"/>
      <c r="D113" s="101" t="s">
        <v>3145</v>
      </c>
      <c r="E113" s="102"/>
      <c r="F113" s="102"/>
      <c r="G113" s="102"/>
      <c r="H113" s="102"/>
      <c r="I113" s="102"/>
      <c r="J113" s="103">
        <f>J182</f>
        <v>611600.71000000008</v>
      </c>
      <c r="L113" s="100"/>
    </row>
    <row r="114" spans="2:12" s="8" customFormat="1" ht="14.85" customHeight="1" x14ac:dyDescent="0.2">
      <c r="B114" s="100"/>
      <c r="D114" s="101" t="s">
        <v>3146</v>
      </c>
      <c r="E114" s="102"/>
      <c r="F114" s="102"/>
      <c r="G114" s="102"/>
      <c r="H114" s="102"/>
      <c r="I114" s="102"/>
      <c r="J114" s="103">
        <f>J183</f>
        <v>9472.16</v>
      </c>
      <c r="L114" s="100"/>
    </row>
    <row r="115" spans="2:12" s="8" customFormat="1" ht="14.85" customHeight="1" x14ac:dyDescent="0.2">
      <c r="B115" s="100"/>
      <c r="D115" s="101" t="s">
        <v>3147</v>
      </c>
      <c r="E115" s="102"/>
      <c r="F115" s="102"/>
      <c r="G115" s="102"/>
      <c r="H115" s="102"/>
      <c r="I115" s="102"/>
      <c r="J115" s="103">
        <f>J186</f>
        <v>256783.16999999998</v>
      </c>
      <c r="L115" s="100"/>
    </row>
    <row r="116" spans="2:12" s="8" customFormat="1" ht="14.85" customHeight="1" x14ac:dyDescent="0.2">
      <c r="B116" s="100"/>
      <c r="D116" s="101" t="s">
        <v>3148</v>
      </c>
      <c r="E116" s="102"/>
      <c r="F116" s="102"/>
      <c r="G116" s="102"/>
      <c r="H116" s="102"/>
      <c r="I116" s="102"/>
      <c r="J116" s="103">
        <f>J195</f>
        <v>141694</v>
      </c>
      <c r="L116" s="100"/>
    </row>
    <row r="117" spans="2:12" s="8" customFormat="1" ht="14.85" customHeight="1" x14ac:dyDescent="0.2">
      <c r="B117" s="100"/>
      <c r="D117" s="101" t="s">
        <v>3149</v>
      </c>
      <c r="E117" s="102"/>
      <c r="F117" s="102"/>
      <c r="G117" s="102"/>
      <c r="H117" s="102"/>
      <c r="I117" s="102"/>
      <c r="J117" s="103">
        <f>J202</f>
        <v>94721.57</v>
      </c>
      <c r="L117" s="100"/>
    </row>
    <row r="118" spans="2:12" s="8" customFormat="1" ht="14.85" customHeight="1" x14ac:dyDescent="0.2">
      <c r="B118" s="100"/>
      <c r="D118" s="101" t="s">
        <v>3150</v>
      </c>
      <c r="E118" s="102"/>
      <c r="F118" s="102"/>
      <c r="G118" s="102"/>
      <c r="H118" s="102"/>
      <c r="I118" s="102"/>
      <c r="J118" s="103">
        <f>J205</f>
        <v>28416.47</v>
      </c>
      <c r="L118" s="100"/>
    </row>
    <row r="119" spans="2:12" s="8" customFormat="1" ht="14.85" customHeight="1" x14ac:dyDescent="0.2">
      <c r="B119" s="100"/>
      <c r="D119" s="101" t="s">
        <v>3151</v>
      </c>
      <c r="E119" s="102"/>
      <c r="F119" s="102"/>
      <c r="G119" s="102"/>
      <c r="H119" s="102"/>
      <c r="I119" s="102"/>
      <c r="J119" s="103">
        <f>J208</f>
        <v>47360.79</v>
      </c>
      <c r="L119" s="100"/>
    </row>
    <row r="120" spans="2:12" s="8" customFormat="1" ht="14.85" customHeight="1" x14ac:dyDescent="0.2">
      <c r="B120" s="100"/>
      <c r="D120" s="101" t="s">
        <v>3152</v>
      </c>
      <c r="E120" s="102"/>
      <c r="F120" s="102"/>
      <c r="G120" s="102"/>
      <c r="H120" s="102"/>
      <c r="I120" s="102"/>
      <c r="J120" s="103">
        <f>J211</f>
        <v>33152.550000000003</v>
      </c>
      <c r="L120" s="100"/>
    </row>
    <row r="121" spans="2:12" s="1" customFormat="1" ht="21.75" customHeight="1" x14ac:dyDescent="0.2">
      <c r="B121" s="31"/>
      <c r="L121" s="31"/>
    </row>
    <row r="122" spans="2:12" s="1" customFormat="1" ht="6.95" customHeight="1" x14ac:dyDescent="0.2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2" s="1" customFormat="1" ht="6.95" customHeight="1" x14ac:dyDescent="0.2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2" s="1" customFormat="1" ht="24.95" customHeight="1" x14ac:dyDescent="0.2">
      <c r="B127" s="31"/>
      <c r="C127" s="20" t="s">
        <v>267</v>
      </c>
      <c r="L127" s="31"/>
    </row>
    <row r="128" spans="2:12" s="1" customFormat="1" ht="6.95" customHeight="1" x14ac:dyDescent="0.2">
      <c r="B128" s="31"/>
      <c r="L128" s="31"/>
    </row>
    <row r="129" spans="2:136" s="1" customFormat="1" ht="16.5" customHeight="1" x14ac:dyDescent="0.2">
      <c r="B129" s="31"/>
      <c r="E129" s="432" t="str">
        <f>E11</f>
        <v>025 - Ostatní a vedlejší náklady</v>
      </c>
      <c r="F129" s="433"/>
      <c r="G129" s="433"/>
      <c r="H129" s="433"/>
      <c r="L129" s="31"/>
    </row>
    <row r="130" spans="2:136" s="1" customFormat="1" ht="6.95" customHeight="1" x14ac:dyDescent="0.2">
      <c r="B130" s="31"/>
      <c r="L130" s="31"/>
    </row>
    <row r="131" spans="2:136" s="1" customFormat="1" ht="22.5" customHeight="1" x14ac:dyDescent="0.2">
      <c r="B131" s="31"/>
      <c r="H131" s="446" t="s">
        <v>3305</v>
      </c>
      <c r="I131" s="446"/>
      <c r="J131" s="446"/>
      <c r="K131" s="447"/>
      <c r="L131" s="31"/>
    </row>
    <row r="132" spans="2:136" s="9" customFormat="1" ht="22.5" customHeight="1" thickBot="1" x14ac:dyDescent="0.25">
      <c r="B132" s="104"/>
      <c r="C132" s="105" t="s">
        <v>268</v>
      </c>
      <c r="D132" s="106" t="s">
        <v>59</v>
      </c>
      <c r="E132" s="106" t="s">
        <v>55</v>
      </c>
      <c r="F132" s="106" t="s">
        <v>56</v>
      </c>
      <c r="G132" s="106" t="s">
        <v>269</v>
      </c>
      <c r="H132" s="106" t="s">
        <v>270</v>
      </c>
      <c r="I132" s="106" t="s">
        <v>271</v>
      </c>
      <c r="J132" s="106" t="s">
        <v>255</v>
      </c>
      <c r="K132" s="107" t="s">
        <v>272</v>
      </c>
      <c r="L132" s="437" t="s">
        <v>3307</v>
      </c>
      <c r="M132" s="438"/>
      <c r="N132" s="438"/>
      <c r="O132" s="438"/>
      <c r="P132" s="438"/>
      <c r="Q132" s="439"/>
      <c r="CF132" s="52" t="s">
        <v>1</v>
      </c>
      <c r="CG132" s="53" t="s">
        <v>39</v>
      </c>
      <c r="CH132" s="53" t="s">
        <v>273</v>
      </c>
      <c r="CI132" s="53" t="s">
        <v>274</v>
      </c>
      <c r="CJ132" s="53" t="s">
        <v>275</v>
      </c>
      <c r="CK132" s="53" t="s">
        <v>276</v>
      </c>
      <c r="CL132" s="53" t="s">
        <v>277</v>
      </c>
      <c r="CM132" s="54" t="s">
        <v>278</v>
      </c>
    </row>
    <row r="133" spans="2:136" s="1" customFormat="1" ht="22.5" customHeight="1" x14ac:dyDescent="0.25">
      <c r="B133" s="31"/>
      <c r="C133" s="57" t="s">
        <v>279</v>
      </c>
      <c r="G133" s="1" t="s">
        <v>3306</v>
      </c>
      <c r="J133" s="108">
        <f>ED133</f>
        <v>3606047.4000000008</v>
      </c>
      <c r="L133" s="440" t="s">
        <v>3308</v>
      </c>
      <c r="M133" s="441"/>
      <c r="N133" s="440" t="s">
        <v>3348</v>
      </c>
      <c r="O133" s="441"/>
      <c r="P133" s="440" t="s">
        <v>3309</v>
      </c>
      <c r="Q133" s="441"/>
      <c r="S133" s="442" t="s">
        <v>3312</v>
      </c>
      <c r="T133" s="443"/>
      <c r="U133" s="443" t="s">
        <v>3313</v>
      </c>
      <c r="V133" s="443"/>
      <c r="W133" s="444" t="s">
        <v>3314</v>
      </c>
      <c r="X133" s="444"/>
      <c r="Y133" s="444" t="s">
        <v>3315</v>
      </c>
      <c r="Z133" s="444"/>
      <c r="AA133" s="444" t="s">
        <v>3316</v>
      </c>
      <c r="AB133" s="444"/>
      <c r="AC133" s="444" t="s">
        <v>3317</v>
      </c>
      <c r="AD133" s="444"/>
      <c r="AE133" s="444" t="s">
        <v>3318</v>
      </c>
      <c r="AF133" s="444"/>
      <c r="AG133" s="444" t="s">
        <v>3319</v>
      </c>
      <c r="AH133" s="444"/>
      <c r="AI133" s="444" t="s">
        <v>3320</v>
      </c>
      <c r="AJ133" s="444"/>
      <c r="AK133" s="444" t="s">
        <v>3321</v>
      </c>
      <c r="AL133" s="444"/>
      <c r="AM133" s="444" t="s">
        <v>3322</v>
      </c>
      <c r="AN133" s="444"/>
      <c r="AO133" s="444" t="s">
        <v>3323</v>
      </c>
      <c r="AP133" s="444"/>
      <c r="AQ133" s="444" t="s">
        <v>3324</v>
      </c>
      <c r="AR133" s="444"/>
      <c r="AS133" s="444" t="s">
        <v>3325</v>
      </c>
      <c r="AT133" s="444"/>
      <c r="AU133" s="444" t="s">
        <v>3326</v>
      </c>
      <c r="AV133" s="444"/>
      <c r="AW133" s="444" t="s">
        <v>3327</v>
      </c>
      <c r="AX133" s="445"/>
      <c r="CF133" s="55"/>
      <c r="CG133" s="49"/>
      <c r="CH133" s="49"/>
      <c r="CI133" s="109">
        <f>CI134</f>
        <v>0</v>
      </c>
      <c r="CJ133" s="49"/>
      <c r="CK133" s="109">
        <f>CK134</f>
        <v>0</v>
      </c>
      <c r="CL133" s="49"/>
      <c r="CM133" s="110">
        <f>CM134</f>
        <v>0</v>
      </c>
      <c r="DM133" s="16" t="s">
        <v>73</v>
      </c>
      <c r="DN133" s="16" t="s">
        <v>257</v>
      </c>
      <c r="ED133" s="111">
        <f>ED134</f>
        <v>3606047.4000000008</v>
      </c>
    </row>
    <row r="134" spans="2:136" s="10" customFormat="1" ht="22.5" customHeight="1" thickBot="1" x14ac:dyDescent="0.25">
      <c r="B134" s="112"/>
      <c r="D134" s="113" t="s">
        <v>73</v>
      </c>
      <c r="E134" s="114" t="s">
        <v>280</v>
      </c>
      <c r="F134" s="114" t="s">
        <v>281</v>
      </c>
      <c r="G134" s="10" t="s">
        <v>3306</v>
      </c>
      <c r="I134" s="115"/>
      <c r="J134" s="116">
        <f>ED134</f>
        <v>3606047.4000000008</v>
      </c>
      <c r="L134" s="190" t="s">
        <v>270</v>
      </c>
      <c r="M134" s="190" t="s">
        <v>3310</v>
      </c>
      <c r="N134" s="190" t="s">
        <v>270</v>
      </c>
      <c r="O134" s="190" t="s">
        <v>3310</v>
      </c>
      <c r="P134" s="190" t="s">
        <v>3311</v>
      </c>
      <c r="Q134" s="190" t="s">
        <v>3310</v>
      </c>
      <c r="S134" s="193" t="s">
        <v>270</v>
      </c>
      <c r="T134" s="194" t="s">
        <v>3310</v>
      </c>
      <c r="U134" s="194" t="s">
        <v>270</v>
      </c>
      <c r="V134" s="194" t="s">
        <v>3310</v>
      </c>
      <c r="W134" s="194" t="s">
        <v>270</v>
      </c>
      <c r="X134" s="194" t="s">
        <v>3328</v>
      </c>
      <c r="Y134" s="194" t="s">
        <v>270</v>
      </c>
      <c r="Z134" s="194" t="s">
        <v>3328</v>
      </c>
      <c r="AA134" s="194" t="s">
        <v>270</v>
      </c>
      <c r="AB134" s="194" t="s">
        <v>3328</v>
      </c>
      <c r="AC134" s="194" t="s">
        <v>270</v>
      </c>
      <c r="AD134" s="194" t="s">
        <v>3328</v>
      </c>
      <c r="AE134" s="194" t="s">
        <v>270</v>
      </c>
      <c r="AF134" s="194" t="s">
        <v>3328</v>
      </c>
      <c r="AG134" s="194" t="s">
        <v>270</v>
      </c>
      <c r="AH134" s="194" t="s">
        <v>3328</v>
      </c>
      <c r="AI134" s="194" t="s">
        <v>270</v>
      </c>
      <c r="AJ134" s="194" t="s">
        <v>3328</v>
      </c>
      <c r="AK134" s="194" t="s">
        <v>270</v>
      </c>
      <c r="AL134" s="194" t="s">
        <v>3328</v>
      </c>
      <c r="AM134" s="194" t="s">
        <v>270</v>
      </c>
      <c r="AN134" s="194" t="s">
        <v>3328</v>
      </c>
      <c r="AO134" s="194" t="s">
        <v>270</v>
      </c>
      <c r="AP134" s="194" t="s">
        <v>3328</v>
      </c>
      <c r="AQ134" s="194" t="s">
        <v>270</v>
      </c>
      <c r="AR134" s="194" t="s">
        <v>3328</v>
      </c>
      <c r="AS134" s="194" t="s">
        <v>270</v>
      </c>
      <c r="AT134" s="194" t="s">
        <v>3328</v>
      </c>
      <c r="AU134" s="194" t="s">
        <v>270</v>
      </c>
      <c r="AV134" s="194" t="s">
        <v>3328</v>
      </c>
      <c r="AW134" s="194" t="s">
        <v>270</v>
      </c>
      <c r="AX134" s="195" t="s">
        <v>3328</v>
      </c>
      <c r="CF134" s="117"/>
      <c r="CI134" s="118">
        <f>CI135+CI178+CI182</f>
        <v>0</v>
      </c>
      <c r="CK134" s="118">
        <f>CK135+CK178+CK182</f>
        <v>0</v>
      </c>
      <c r="CM134" s="119">
        <f>CM135+CM178+CM182</f>
        <v>0</v>
      </c>
      <c r="DK134" s="113" t="s">
        <v>81</v>
      </c>
      <c r="DM134" s="120" t="s">
        <v>73</v>
      </c>
      <c r="DN134" s="120" t="s">
        <v>74</v>
      </c>
      <c r="DR134" s="113" t="s">
        <v>282</v>
      </c>
      <c r="ED134" s="121">
        <f>ED135+ED178+ED182</f>
        <v>3606047.4000000008</v>
      </c>
    </row>
    <row r="135" spans="2:136" s="10" customFormat="1" ht="22.9" customHeight="1" thickBot="1" x14ac:dyDescent="0.25">
      <c r="B135" s="112"/>
      <c r="D135" s="113" t="s">
        <v>73</v>
      </c>
      <c r="E135" s="122" t="s">
        <v>3153</v>
      </c>
      <c r="F135" s="122" t="s">
        <v>3154</v>
      </c>
      <c r="G135" s="10" t="s">
        <v>3306</v>
      </c>
      <c r="I135" s="115"/>
      <c r="J135" s="123">
        <f>ED135</f>
        <v>2975502.3800000008</v>
      </c>
      <c r="L135" s="191"/>
      <c r="M135" s="192">
        <f>M136+M139+M142+M147+M152+M155+M158+M165+M172+M175+M179+M183+M186+M195+M202+M205+M208+M211</f>
        <v>0</v>
      </c>
      <c r="N135" s="192"/>
      <c r="O135" s="192">
        <f>O136+O139+O142+O147+O152+O155+O158+O165+O172+O175+O179+O183+O186+O195+O202+O205+O208+O211</f>
        <v>0</v>
      </c>
      <c r="P135" s="192"/>
      <c r="Q135" s="192">
        <f>Q136+Q139+Q142+Q147+Q152+Q155+Q158+Q165+Q172+Q175+Q179+Q183+Q186+Q195+Q202+Q205+Q208+Q211</f>
        <v>3606047.4000000008</v>
      </c>
      <c r="S135" s="196"/>
      <c r="T135" s="197">
        <f>T136+T139+T142+T147+T152+T155+T158+T165+T172+T175+T179+T183+T186+T195+T202+T205+T208+T211</f>
        <v>0</v>
      </c>
      <c r="U135" s="197"/>
      <c r="V135" s="197">
        <f>V136+V139+V142+V147+V152+V155+V158+V165+V172+V175+V179+V183+V186+V195+V202+V205+V208+V211</f>
        <v>3606047.4000000008</v>
      </c>
      <c r="W135" s="197"/>
      <c r="X135" s="197">
        <f>X136+X139+X142+X147+X152+X155+X158+X165+X172+X175+X179+X183+X186+X195+X202+X205+X208+X211</f>
        <v>0</v>
      </c>
      <c r="Y135" s="197"/>
      <c r="Z135" s="197">
        <f>Z136+Z139+Z142+Z147+Z152+Z155+Z158+Z165+Z172+Z175+Z179+Z183+Z186+Z195+Z202+Z205+Z208+Z211</f>
        <v>0</v>
      </c>
      <c r="AA135" s="197"/>
      <c r="AB135" s="197">
        <f>AB136+AB139+AB142+AB147+AB152+AB155+AB158+AB165+AB172+AB175+AB179+AB183+AB186+AB195+AB202+AB205+AB208+AB211</f>
        <v>0</v>
      </c>
      <c r="AC135" s="197"/>
      <c r="AD135" s="197">
        <f>AD136+AD139+AD142+AD147+AD152+AD155+AD158+AD165+AD172+AD175+AD179+AD183+AD186+AD195+AD202+AD205+AD208+AD211</f>
        <v>0</v>
      </c>
      <c r="AE135" s="197"/>
      <c r="AF135" s="197">
        <f>AF136+AF139+AF142+AF147+AF152+AF155+AF158+AF165+AF172+AF175+AF179+AF183+AF186+AF195+AF202+AF205+AF208+AF211</f>
        <v>0</v>
      </c>
      <c r="AG135" s="197"/>
      <c r="AH135" s="197">
        <f>AH136+AH139+AH142+AH147+AH152+AH155+AH158+AH165+AH172+AH175+AH179+AH183+AH186+AH195+AH202+AH205+AH208+AH211</f>
        <v>0</v>
      </c>
      <c r="AI135" s="197"/>
      <c r="AJ135" s="197">
        <f>AJ136+AJ139+AJ142+AJ147+AJ152+AJ155+AJ158+AJ165+AJ172+AJ175+AJ179+AJ183+AJ186+AJ195+AJ202+AJ205+AJ208+AJ211</f>
        <v>0</v>
      </c>
      <c r="AK135" s="197"/>
      <c r="AL135" s="197">
        <f>AL136+AL139+AL142+AL147+AL152+AL155+AL158+AL165+AL172+AL175+AL179+AL183+AL186+AL195+AL202+AL205+AL208+AL211</f>
        <v>0</v>
      </c>
      <c r="AM135" s="197"/>
      <c r="AN135" s="197">
        <f>AN136+AN139+AN142+AN147+AN152+AN155+AN158+AN165+AN172+AN175+AN179+AN183+AN186+AN195+AN202+AN205+AN208+AN211</f>
        <v>0</v>
      </c>
      <c r="AO135" s="197"/>
      <c r="AP135" s="197">
        <f>AP136+AP139+AP142+AP147+AP152+AP155+AP158+AP165+AP172+AP175+AP179+AP183+AP186+AP195+AP202+AP205+AP208+AP211</f>
        <v>0</v>
      </c>
      <c r="AQ135" s="197"/>
      <c r="AR135" s="197">
        <f>AR136+AR139+AR142+AR147+AR152+AR155+AR158+AR165+AR172+AR175+AR179+AR183+AR186+AR195+AR202+AR205+AR208+AR211</f>
        <v>0</v>
      </c>
      <c r="AS135" s="197"/>
      <c r="AT135" s="197">
        <f>AT136+AT139+AT142+AT147+AT152+AT155+AT158+AT165+AT172+AT175+AT179+AT183+AT186+AT195+AT202+AT205+AT208+AT211</f>
        <v>0</v>
      </c>
      <c r="AU135" s="197"/>
      <c r="AV135" s="197">
        <f>AV136+AV139+AV142+AV147+AV152+AV155+AV158+AV165+AV172+AV175+AV179+AV183+AV186+AV195+AV202+AV205+AV208+AV211</f>
        <v>0</v>
      </c>
      <c r="AW135" s="197"/>
      <c r="AX135" s="242">
        <f>AX136+AX139+AX142+AX147+AX152+AX155+AX158+AX165+AX172+AX175+AX179+AX183+AX186+AX195+AX202+AX205+AX208+AX211</f>
        <v>0</v>
      </c>
      <c r="CF135" s="117"/>
      <c r="CI135" s="118">
        <f>CI136+CI139+CI142+CI147+CI152+CI155+CI158+CI165+CI172+CI175</f>
        <v>0</v>
      </c>
      <c r="CK135" s="118">
        <f>CK136+CK139+CK142+CK147+CK152+CK155+CK158+CK165+CK172+CK175</f>
        <v>0</v>
      </c>
      <c r="CM135" s="119">
        <f>CM136+CM139+CM142+CM147+CM152+CM155+CM158+CM165+CM172+CM175</f>
        <v>0</v>
      </c>
      <c r="DK135" s="113" t="s">
        <v>81</v>
      </c>
      <c r="DM135" s="120" t="s">
        <v>73</v>
      </c>
      <c r="DN135" s="120" t="s">
        <v>81</v>
      </c>
      <c r="DR135" s="113" t="s">
        <v>282</v>
      </c>
      <c r="ED135" s="121">
        <f>ED136+ED139+ED142+ED147+ED152+ED155+ED158+ED165+ED172+ED175</f>
        <v>2975502.3800000008</v>
      </c>
    </row>
    <row r="136" spans="2:136" s="10" customFormat="1" ht="20.85" customHeight="1" x14ac:dyDescent="0.2">
      <c r="B136" s="112"/>
      <c r="D136" s="113" t="s">
        <v>73</v>
      </c>
      <c r="E136" s="122" t="s">
        <v>3155</v>
      </c>
      <c r="F136" s="122" t="s">
        <v>3156</v>
      </c>
      <c r="G136" s="10" t="s">
        <v>3306</v>
      </c>
      <c r="I136" s="115"/>
      <c r="J136" s="123">
        <f>ED136</f>
        <v>1857627.48</v>
      </c>
      <c r="L136" s="112"/>
      <c r="M136" s="270">
        <f>M137</f>
        <v>0</v>
      </c>
      <c r="N136" s="274"/>
      <c r="O136" s="275">
        <f t="shared" ref="O136:V136" si="0">O137</f>
        <v>0</v>
      </c>
      <c r="P136" s="270"/>
      <c r="Q136" s="286">
        <f t="shared" si="0"/>
        <v>1857627.48</v>
      </c>
      <c r="R136" s="270"/>
      <c r="S136" s="270"/>
      <c r="T136" s="270">
        <f t="shared" si="0"/>
        <v>0</v>
      </c>
      <c r="U136" s="270"/>
      <c r="V136" s="270">
        <f t="shared" si="0"/>
        <v>1857627.48</v>
      </c>
      <c r="CF136" s="117"/>
      <c r="CI136" s="118">
        <f>SUM(CI137:CI138)</f>
        <v>0</v>
      </c>
      <c r="CK136" s="118">
        <f>SUM(CK137:CK138)</f>
        <v>0</v>
      </c>
      <c r="CM136" s="119">
        <f>SUM(CM137:CM138)</f>
        <v>0</v>
      </c>
      <c r="DK136" s="113" t="s">
        <v>81</v>
      </c>
      <c r="DM136" s="120" t="s">
        <v>73</v>
      </c>
      <c r="DN136" s="120" t="s">
        <v>83</v>
      </c>
      <c r="DR136" s="113" t="s">
        <v>282</v>
      </c>
      <c r="ED136" s="121">
        <f>SUM(ED137:ED138)</f>
        <v>1857627.48</v>
      </c>
    </row>
    <row r="137" spans="2:136" s="1" customFormat="1" ht="14.45" customHeight="1" x14ac:dyDescent="0.2">
      <c r="B137" s="124"/>
      <c r="C137" s="125" t="s">
        <v>81</v>
      </c>
      <c r="D137" s="125" t="s">
        <v>284</v>
      </c>
      <c r="E137" s="126" t="s">
        <v>3157</v>
      </c>
      <c r="F137" s="127" t="s">
        <v>3158</v>
      </c>
      <c r="G137" s="128" t="s">
        <v>1948</v>
      </c>
      <c r="H137" s="129">
        <v>1</v>
      </c>
      <c r="I137" s="130">
        <v>1857627.4750000001</v>
      </c>
      <c r="J137" s="131">
        <f>ROUND(I137*H137,2)</f>
        <v>1857627.48</v>
      </c>
      <c r="K137" s="127" t="s">
        <v>1</v>
      </c>
      <c r="L137" s="268">
        <f>S137</f>
        <v>0</v>
      </c>
      <c r="M137" s="272">
        <f>ROUND(L137*I137,2)</f>
        <v>0</v>
      </c>
      <c r="N137" s="276"/>
      <c r="O137" s="277">
        <f>ROUND(N137*I137,2)</f>
        <v>0</v>
      </c>
      <c r="P137" s="273">
        <f>H137-L137-N137</f>
        <v>1</v>
      </c>
      <c r="Q137" s="287">
        <f>ROUND(P137*I137,2)</f>
        <v>1857627.48</v>
      </c>
      <c r="R137" s="137"/>
      <c r="S137" s="269">
        <f>W137+Y137+AA137+AC137+AE137+AG137+AI137+AK137+AM137+AO137+AQ137+AS137+AU137+AW137</f>
        <v>0</v>
      </c>
      <c r="T137" s="269">
        <f>ROUND(S137*I137,2)</f>
        <v>0</v>
      </c>
      <c r="U137" s="269">
        <f>H137-S137</f>
        <v>1</v>
      </c>
      <c r="V137" s="269">
        <f>ROUND(U137*I137,2)</f>
        <v>1857627.48</v>
      </c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CF137" s="132" t="s">
        <v>1</v>
      </c>
      <c r="CG137" s="133" t="s">
        <v>40</v>
      </c>
      <c r="CI137" s="134">
        <f>CH137*H137</f>
        <v>0</v>
      </c>
      <c r="CJ137" s="134">
        <v>0</v>
      </c>
      <c r="CK137" s="134">
        <f>CJ137*H137</f>
        <v>0</v>
      </c>
      <c r="CL137" s="134">
        <v>0</v>
      </c>
      <c r="CM137" s="135">
        <f>CL137*H137</f>
        <v>0</v>
      </c>
      <c r="DK137" s="136" t="s">
        <v>95</v>
      </c>
      <c r="DM137" s="136" t="s">
        <v>284</v>
      </c>
      <c r="DN137" s="136" t="s">
        <v>90</v>
      </c>
      <c r="DR137" s="16" t="s">
        <v>282</v>
      </c>
      <c r="DX137" s="137">
        <f>IF(CG137="základní",J137,0)</f>
        <v>1857627.48</v>
      </c>
      <c r="DY137" s="137">
        <f>IF(CG137="snížená",J137,0)</f>
        <v>0</v>
      </c>
      <c r="DZ137" s="137">
        <f>IF(CG137="zákl. přenesená",J137,0)</f>
        <v>0</v>
      </c>
      <c r="EA137" s="137">
        <f>IF(CG137="sníž. přenesená",J137,0)</f>
        <v>0</v>
      </c>
      <c r="EB137" s="137">
        <f>IF(CG137="nulová",J137,0)</f>
        <v>0</v>
      </c>
      <c r="EC137" s="16" t="s">
        <v>81</v>
      </c>
      <c r="ED137" s="137">
        <f>ROUND(I137*H137,2)</f>
        <v>1857627.48</v>
      </c>
      <c r="EE137" s="16" t="s">
        <v>95</v>
      </c>
      <c r="EF137" s="136" t="s">
        <v>3159</v>
      </c>
    </row>
    <row r="138" spans="2:136" s="1" customFormat="1" ht="97.5" x14ac:dyDescent="0.2">
      <c r="B138" s="31"/>
      <c r="D138" s="138" t="s">
        <v>289</v>
      </c>
      <c r="F138" s="139" t="s">
        <v>3160</v>
      </c>
      <c r="I138" s="140"/>
      <c r="L138" s="31"/>
      <c r="N138" s="278"/>
      <c r="O138" s="279"/>
      <c r="Q138" s="229"/>
      <c r="CF138" s="141"/>
      <c r="CM138" s="50"/>
      <c r="DM138" s="16" t="s">
        <v>289</v>
      </c>
      <c r="DN138" s="16" t="s">
        <v>90</v>
      </c>
    </row>
    <row r="139" spans="2:136" s="10" customFormat="1" ht="20.85" customHeight="1" x14ac:dyDescent="0.2">
      <c r="B139" s="112"/>
      <c r="D139" s="113" t="s">
        <v>73</v>
      </c>
      <c r="E139" s="122" t="s">
        <v>3161</v>
      </c>
      <c r="F139" s="122" t="s">
        <v>3162</v>
      </c>
      <c r="I139" s="115"/>
      <c r="J139" s="123">
        <f>ED139</f>
        <v>150000</v>
      </c>
      <c r="L139" s="112"/>
      <c r="M139" s="270">
        <f>M140</f>
        <v>0</v>
      </c>
      <c r="N139" s="280"/>
      <c r="O139" s="281">
        <f t="shared" ref="O139:V139" si="1">O140</f>
        <v>0</v>
      </c>
      <c r="P139" s="270"/>
      <c r="Q139" s="288">
        <f t="shared" si="1"/>
        <v>150000</v>
      </c>
      <c r="R139" s="270"/>
      <c r="S139" s="270"/>
      <c r="T139" s="270">
        <f t="shared" si="1"/>
        <v>0</v>
      </c>
      <c r="U139" s="270"/>
      <c r="V139" s="270">
        <f t="shared" si="1"/>
        <v>150000</v>
      </c>
      <c r="CF139" s="117"/>
      <c r="CI139" s="118">
        <f>SUM(CI140:CI141)</f>
        <v>0</v>
      </c>
      <c r="CK139" s="118">
        <f>SUM(CK140:CK141)</f>
        <v>0</v>
      </c>
      <c r="CM139" s="119">
        <f>SUM(CM140:CM141)</f>
        <v>0</v>
      </c>
      <c r="DK139" s="113" t="s">
        <v>81</v>
      </c>
      <c r="DM139" s="120" t="s">
        <v>73</v>
      </c>
      <c r="DN139" s="120" t="s">
        <v>83</v>
      </c>
      <c r="DR139" s="113" t="s">
        <v>282</v>
      </c>
      <c r="ED139" s="121">
        <f>SUM(ED140:ED141)</f>
        <v>150000</v>
      </c>
    </row>
    <row r="140" spans="2:136" s="1" customFormat="1" ht="49.15" customHeight="1" x14ac:dyDescent="0.2">
      <c r="B140" s="124"/>
      <c r="C140" s="125" t="s">
        <v>463</v>
      </c>
      <c r="D140" s="125" t="s">
        <v>284</v>
      </c>
      <c r="E140" s="126" t="s">
        <v>3163</v>
      </c>
      <c r="F140" s="127" t="s">
        <v>3164</v>
      </c>
      <c r="G140" s="128" t="s">
        <v>1948</v>
      </c>
      <c r="H140" s="129">
        <v>1</v>
      </c>
      <c r="I140" s="130">
        <v>150000</v>
      </c>
      <c r="J140" s="131">
        <f>ROUND(I140*H140,2)</f>
        <v>150000</v>
      </c>
      <c r="K140" s="127" t="s">
        <v>1</v>
      </c>
      <c r="L140" s="268">
        <f>S140</f>
        <v>0</v>
      </c>
      <c r="M140" s="272">
        <f>ROUND(L140*I140,2)</f>
        <v>0</v>
      </c>
      <c r="N140" s="276"/>
      <c r="O140" s="277">
        <f>ROUND(N140*I140,2)</f>
        <v>0</v>
      </c>
      <c r="P140" s="273">
        <f>H140-L140-N140</f>
        <v>1</v>
      </c>
      <c r="Q140" s="287">
        <f>ROUND(P140*I140,2)</f>
        <v>150000</v>
      </c>
      <c r="R140" s="137"/>
      <c r="S140" s="269">
        <f>W140+Y140+AA140+AC140+AE140+AG140+AI140+AK140+AM140+AO140+AQ140+AS140+AU140+AW140</f>
        <v>0</v>
      </c>
      <c r="T140" s="269">
        <f>ROUND(S140*I140,2)</f>
        <v>0</v>
      </c>
      <c r="U140" s="269">
        <f>H140-S140</f>
        <v>1</v>
      </c>
      <c r="V140" s="269">
        <f>ROUND(U140*I140,2)</f>
        <v>150000</v>
      </c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CF140" s="132" t="s">
        <v>1</v>
      </c>
      <c r="CG140" s="133" t="s">
        <v>40</v>
      </c>
      <c r="CI140" s="134">
        <f>CH140*H140</f>
        <v>0</v>
      </c>
      <c r="CJ140" s="134">
        <v>0</v>
      </c>
      <c r="CK140" s="134">
        <f>CJ140*H140</f>
        <v>0</v>
      </c>
      <c r="CL140" s="134">
        <v>0</v>
      </c>
      <c r="CM140" s="135">
        <f>CL140*H140</f>
        <v>0</v>
      </c>
      <c r="DK140" s="136" t="s">
        <v>95</v>
      </c>
      <c r="DM140" s="136" t="s">
        <v>284</v>
      </c>
      <c r="DN140" s="136" t="s">
        <v>90</v>
      </c>
      <c r="DR140" s="16" t="s">
        <v>282</v>
      </c>
      <c r="DX140" s="137">
        <f>IF(CG140="základní",J140,0)</f>
        <v>150000</v>
      </c>
      <c r="DY140" s="137">
        <f>IF(CG140="snížená",J140,0)</f>
        <v>0</v>
      </c>
      <c r="DZ140" s="137">
        <f>IF(CG140="zákl. přenesená",J140,0)</f>
        <v>0</v>
      </c>
      <c r="EA140" s="137">
        <f>IF(CG140="sníž. přenesená",J140,0)</f>
        <v>0</v>
      </c>
      <c r="EB140" s="137">
        <f>IF(CG140="nulová",J140,0)</f>
        <v>0</v>
      </c>
      <c r="EC140" s="16" t="s">
        <v>81</v>
      </c>
      <c r="ED140" s="137">
        <f>ROUND(I140*H140,2)</f>
        <v>150000</v>
      </c>
      <c r="EE140" s="16" t="s">
        <v>95</v>
      </c>
      <c r="EF140" s="136" t="s">
        <v>3165</v>
      </c>
    </row>
    <row r="141" spans="2:136" s="1" customFormat="1" ht="29.25" x14ac:dyDescent="0.2">
      <c r="B141" s="31"/>
      <c r="D141" s="138" t="s">
        <v>289</v>
      </c>
      <c r="F141" s="139" t="s">
        <v>3164</v>
      </c>
      <c r="I141" s="140"/>
      <c r="L141" s="31"/>
      <c r="N141" s="278"/>
      <c r="O141" s="279"/>
      <c r="Q141" s="229"/>
      <c r="CF141" s="141"/>
      <c r="CM141" s="50"/>
      <c r="DM141" s="16" t="s">
        <v>289</v>
      </c>
      <c r="DN141" s="16" t="s">
        <v>90</v>
      </c>
    </row>
    <row r="142" spans="2:136" s="10" customFormat="1" ht="20.85" customHeight="1" x14ac:dyDescent="0.2">
      <c r="B142" s="112"/>
      <c r="D142" s="113" t="s">
        <v>73</v>
      </c>
      <c r="E142" s="122" t="s">
        <v>3166</v>
      </c>
      <c r="F142" s="122" t="s">
        <v>3167</v>
      </c>
      <c r="I142" s="115"/>
      <c r="J142" s="123">
        <f>ED142</f>
        <v>191114.51</v>
      </c>
      <c r="L142" s="112"/>
      <c r="M142" s="270">
        <f>M143+M145</f>
        <v>0</v>
      </c>
      <c r="N142" s="280"/>
      <c r="O142" s="281">
        <f t="shared" ref="O142:V142" si="2">O143+O145</f>
        <v>0</v>
      </c>
      <c r="P142" s="270"/>
      <c r="Q142" s="288">
        <f t="shared" si="2"/>
        <v>191114.51</v>
      </c>
      <c r="R142" s="270"/>
      <c r="S142" s="270"/>
      <c r="T142" s="270">
        <f t="shared" si="2"/>
        <v>0</v>
      </c>
      <c r="U142" s="270"/>
      <c r="V142" s="270">
        <f t="shared" si="2"/>
        <v>191114.51</v>
      </c>
      <c r="CF142" s="117"/>
      <c r="CI142" s="118">
        <f>SUM(CI143:CI146)</f>
        <v>0</v>
      </c>
      <c r="CK142" s="118">
        <f>SUM(CK143:CK146)</f>
        <v>0</v>
      </c>
      <c r="CM142" s="119">
        <f>SUM(CM143:CM146)</f>
        <v>0</v>
      </c>
      <c r="DK142" s="113" t="s">
        <v>81</v>
      </c>
      <c r="DM142" s="120" t="s">
        <v>73</v>
      </c>
      <c r="DN142" s="120" t="s">
        <v>83</v>
      </c>
      <c r="DR142" s="113" t="s">
        <v>282</v>
      </c>
      <c r="ED142" s="121">
        <f>SUM(ED143:ED146)</f>
        <v>191114.51</v>
      </c>
    </row>
    <row r="143" spans="2:136" s="1" customFormat="1" ht="49.15" customHeight="1" x14ac:dyDescent="0.2">
      <c r="B143" s="124"/>
      <c r="C143" s="125" t="s">
        <v>83</v>
      </c>
      <c r="D143" s="125" t="s">
        <v>284</v>
      </c>
      <c r="E143" s="126" t="s">
        <v>3168</v>
      </c>
      <c r="F143" s="127" t="s">
        <v>3169</v>
      </c>
      <c r="G143" s="128" t="s">
        <v>1948</v>
      </c>
      <c r="H143" s="129">
        <v>1</v>
      </c>
      <c r="I143" s="130">
        <v>45466.353600000002</v>
      </c>
      <c r="J143" s="131">
        <f>ROUND(I143*H143,2)</f>
        <v>45466.35</v>
      </c>
      <c r="K143" s="127" t="s">
        <v>1</v>
      </c>
      <c r="L143" s="268">
        <f>S143</f>
        <v>0</v>
      </c>
      <c r="M143" s="272">
        <f>ROUND(L143*I143,2)</f>
        <v>0</v>
      </c>
      <c r="N143" s="276"/>
      <c r="O143" s="277">
        <f>ROUND(N143*I143,2)</f>
        <v>0</v>
      </c>
      <c r="P143" s="273">
        <f>H143-L143-N143</f>
        <v>1</v>
      </c>
      <c r="Q143" s="287">
        <f>ROUND(P143*I143,2)</f>
        <v>45466.35</v>
      </c>
      <c r="R143" s="137"/>
      <c r="S143" s="269">
        <f>W143+Y143+AA143+AC143+AE143+AG143+AI143+AK143+AM143+AO143+AQ143+AS143+AU143+AW143</f>
        <v>0</v>
      </c>
      <c r="T143" s="269">
        <f>ROUND(S143*I143,2)</f>
        <v>0</v>
      </c>
      <c r="U143" s="269">
        <f>H143-S143</f>
        <v>1</v>
      </c>
      <c r="V143" s="269">
        <f>ROUND(U143*I143,2)</f>
        <v>45466.35</v>
      </c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  <c r="AX143" s="269"/>
      <c r="CF143" s="132" t="s">
        <v>1</v>
      </c>
      <c r="CG143" s="133" t="s">
        <v>40</v>
      </c>
      <c r="CI143" s="134">
        <f>CH143*H143</f>
        <v>0</v>
      </c>
      <c r="CJ143" s="134">
        <v>0</v>
      </c>
      <c r="CK143" s="134">
        <f>CJ143*H143</f>
        <v>0</v>
      </c>
      <c r="CL143" s="134">
        <v>0</v>
      </c>
      <c r="CM143" s="135">
        <f>CL143*H143</f>
        <v>0</v>
      </c>
      <c r="DK143" s="136" t="s">
        <v>95</v>
      </c>
      <c r="DM143" s="136" t="s">
        <v>284</v>
      </c>
      <c r="DN143" s="136" t="s">
        <v>90</v>
      </c>
      <c r="DR143" s="16" t="s">
        <v>282</v>
      </c>
      <c r="DX143" s="137">
        <f>IF(CG143="základní",J143,0)</f>
        <v>45466.35</v>
      </c>
      <c r="DY143" s="137">
        <f>IF(CG143="snížená",J143,0)</f>
        <v>0</v>
      </c>
      <c r="DZ143" s="137">
        <f>IF(CG143="zákl. přenesená",J143,0)</f>
        <v>0</v>
      </c>
      <c r="EA143" s="137">
        <f>IF(CG143="sníž. přenesená",J143,0)</f>
        <v>0</v>
      </c>
      <c r="EB143" s="137">
        <f>IF(CG143="nulová",J143,0)</f>
        <v>0</v>
      </c>
      <c r="EC143" s="16" t="s">
        <v>81</v>
      </c>
      <c r="ED143" s="137">
        <f>ROUND(I143*H143,2)</f>
        <v>45466.35</v>
      </c>
      <c r="EE143" s="16" t="s">
        <v>95</v>
      </c>
      <c r="EF143" s="136" t="s">
        <v>3170</v>
      </c>
    </row>
    <row r="144" spans="2:136" s="1" customFormat="1" ht="29.25" x14ac:dyDescent="0.2">
      <c r="B144" s="31"/>
      <c r="D144" s="138" t="s">
        <v>289</v>
      </c>
      <c r="F144" s="139" t="s">
        <v>3169</v>
      </c>
      <c r="I144" s="140"/>
      <c r="L144" s="31"/>
      <c r="N144" s="278"/>
      <c r="O144" s="279"/>
      <c r="Q144" s="229"/>
      <c r="CF144" s="141"/>
      <c r="CM144" s="50"/>
      <c r="DM144" s="16" t="s">
        <v>289</v>
      </c>
      <c r="DN144" s="16" t="s">
        <v>90</v>
      </c>
    </row>
    <row r="145" spans="2:136" s="1" customFormat="1" ht="14.45" customHeight="1" x14ac:dyDescent="0.2">
      <c r="B145" s="124"/>
      <c r="C145" s="125" t="s">
        <v>90</v>
      </c>
      <c r="D145" s="125" t="s">
        <v>284</v>
      </c>
      <c r="E145" s="126" t="s">
        <v>3171</v>
      </c>
      <c r="F145" s="127" t="s">
        <v>3172</v>
      </c>
      <c r="G145" s="128" t="s">
        <v>1948</v>
      </c>
      <c r="H145" s="129">
        <v>1</v>
      </c>
      <c r="I145" s="130">
        <v>145648.16260499999</v>
      </c>
      <c r="J145" s="131">
        <f>ROUND(I145*H145,2)</f>
        <v>145648.16</v>
      </c>
      <c r="K145" s="127" t="s">
        <v>1</v>
      </c>
      <c r="L145" s="268">
        <f>S145</f>
        <v>0</v>
      </c>
      <c r="M145" s="272">
        <f>ROUND(L145*I145,2)</f>
        <v>0</v>
      </c>
      <c r="N145" s="276"/>
      <c r="O145" s="277">
        <f>ROUND(N145*I145,2)</f>
        <v>0</v>
      </c>
      <c r="P145" s="273">
        <f>H145-L145-N145</f>
        <v>1</v>
      </c>
      <c r="Q145" s="287">
        <f>ROUND(P145*I145,2)</f>
        <v>145648.16</v>
      </c>
      <c r="R145" s="137"/>
      <c r="S145" s="269">
        <f>W145+Y145+AA145+AC145+AE145+AG145+AI145+AK145+AM145+AO145+AQ145+AS145+AU145+AW145</f>
        <v>0</v>
      </c>
      <c r="T145" s="269">
        <f>ROUND(S145*I145,2)</f>
        <v>0</v>
      </c>
      <c r="U145" s="269">
        <f>H145-S145</f>
        <v>1</v>
      </c>
      <c r="V145" s="269">
        <f>ROUND(U145*I145,2)</f>
        <v>145648.16</v>
      </c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CF145" s="132" t="s">
        <v>1</v>
      </c>
      <c r="CG145" s="133" t="s">
        <v>40</v>
      </c>
      <c r="CI145" s="134">
        <f>CH145*H145</f>
        <v>0</v>
      </c>
      <c r="CJ145" s="134">
        <v>0</v>
      </c>
      <c r="CK145" s="134">
        <f>CJ145*H145</f>
        <v>0</v>
      </c>
      <c r="CL145" s="134">
        <v>0</v>
      </c>
      <c r="CM145" s="135">
        <f>CL145*H145</f>
        <v>0</v>
      </c>
      <c r="DK145" s="136" t="s">
        <v>95</v>
      </c>
      <c r="DM145" s="136" t="s">
        <v>284</v>
      </c>
      <c r="DN145" s="136" t="s">
        <v>90</v>
      </c>
      <c r="DR145" s="16" t="s">
        <v>282</v>
      </c>
      <c r="DX145" s="137">
        <f>IF(CG145="základní",J145,0)</f>
        <v>145648.16</v>
      </c>
      <c r="DY145" s="137">
        <f>IF(CG145="snížená",J145,0)</f>
        <v>0</v>
      </c>
      <c r="DZ145" s="137">
        <f>IF(CG145="zákl. přenesená",J145,0)</f>
        <v>0</v>
      </c>
      <c r="EA145" s="137">
        <f>IF(CG145="sníž. přenesená",J145,0)</f>
        <v>0</v>
      </c>
      <c r="EB145" s="137">
        <f>IF(CG145="nulová",J145,0)</f>
        <v>0</v>
      </c>
      <c r="EC145" s="16" t="s">
        <v>81</v>
      </c>
      <c r="ED145" s="137">
        <f>ROUND(I145*H145,2)</f>
        <v>145648.16</v>
      </c>
      <c r="EE145" s="16" t="s">
        <v>95</v>
      </c>
      <c r="EF145" s="136" t="s">
        <v>3173</v>
      </c>
    </row>
    <row r="146" spans="2:136" s="1" customFormat="1" ht="19.5" x14ac:dyDescent="0.2">
      <c r="B146" s="31"/>
      <c r="D146" s="138" t="s">
        <v>289</v>
      </c>
      <c r="F146" s="139" t="s">
        <v>3174</v>
      </c>
      <c r="I146" s="140"/>
      <c r="L146" s="31"/>
      <c r="N146" s="278"/>
      <c r="O146" s="279"/>
      <c r="Q146" s="229"/>
      <c r="CF146" s="141"/>
      <c r="CM146" s="50"/>
      <c r="DM146" s="16" t="s">
        <v>289</v>
      </c>
      <c r="DN146" s="16" t="s">
        <v>90</v>
      </c>
    </row>
    <row r="147" spans="2:136" s="10" customFormat="1" ht="20.85" customHeight="1" x14ac:dyDescent="0.2">
      <c r="B147" s="112"/>
      <c r="D147" s="113" t="s">
        <v>73</v>
      </c>
      <c r="E147" s="122" t="s">
        <v>3175</v>
      </c>
      <c r="F147" s="122" t="s">
        <v>3176</v>
      </c>
      <c r="I147" s="115"/>
      <c r="J147" s="123">
        <f>ED147</f>
        <v>67360.790000000008</v>
      </c>
      <c r="L147" s="112"/>
      <c r="M147" s="270">
        <f>M148+M150</f>
        <v>0</v>
      </c>
      <c r="N147" s="280"/>
      <c r="O147" s="281">
        <f t="shared" ref="O147:V147" si="3">O148+O150</f>
        <v>0</v>
      </c>
      <c r="P147" s="270"/>
      <c r="Q147" s="288">
        <f t="shared" si="3"/>
        <v>67360.790000000008</v>
      </c>
      <c r="R147" s="270"/>
      <c r="S147" s="270"/>
      <c r="T147" s="270">
        <f t="shared" si="3"/>
        <v>0</v>
      </c>
      <c r="U147" s="270"/>
      <c r="V147" s="270">
        <f t="shared" si="3"/>
        <v>67360.790000000008</v>
      </c>
      <c r="CF147" s="117"/>
      <c r="CI147" s="118">
        <f>SUM(CI148:CI151)</f>
        <v>0</v>
      </c>
      <c r="CK147" s="118">
        <f>SUM(CK148:CK151)</f>
        <v>0</v>
      </c>
      <c r="CM147" s="119">
        <f>SUM(CM148:CM151)</f>
        <v>0</v>
      </c>
      <c r="DK147" s="113" t="s">
        <v>81</v>
      </c>
      <c r="DM147" s="120" t="s">
        <v>73</v>
      </c>
      <c r="DN147" s="120" t="s">
        <v>83</v>
      </c>
      <c r="DR147" s="113" t="s">
        <v>282</v>
      </c>
      <c r="ED147" s="121">
        <f>SUM(ED148:ED151)</f>
        <v>67360.790000000008</v>
      </c>
    </row>
    <row r="148" spans="2:136" s="1" customFormat="1" ht="14.45" customHeight="1" x14ac:dyDescent="0.2">
      <c r="B148" s="124"/>
      <c r="C148" s="125" t="s">
        <v>95</v>
      </c>
      <c r="D148" s="125" t="s">
        <v>284</v>
      </c>
      <c r="E148" s="126" t="s">
        <v>3177</v>
      </c>
      <c r="F148" s="127" t="s">
        <v>3178</v>
      </c>
      <c r="G148" s="128" t="s">
        <v>1948</v>
      </c>
      <c r="H148" s="129">
        <v>1</v>
      </c>
      <c r="I148" s="130">
        <v>33152.549500000001</v>
      </c>
      <c r="J148" s="131">
        <f>ROUND(I148*H148,2)</f>
        <v>33152.550000000003</v>
      </c>
      <c r="K148" s="127" t="s">
        <v>1</v>
      </c>
      <c r="L148" s="268">
        <f>S148</f>
        <v>0</v>
      </c>
      <c r="M148" s="272">
        <f>ROUND(L148*I148,2)</f>
        <v>0</v>
      </c>
      <c r="N148" s="276"/>
      <c r="O148" s="277">
        <f>ROUND(N148*I148,2)</f>
        <v>0</v>
      </c>
      <c r="P148" s="273">
        <f>H148-L148-N148</f>
        <v>1</v>
      </c>
      <c r="Q148" s="287">
        <f>ROUND(P148*I148,2)</f>
        <v>33152.550000000003</v>
      </c>
      <c r="R148" s="137"/>
      <c r="S148" s="269">
        <f>W148+Y148+AA148+AC148+AE148+AG148+AI148+AK148+AM148+AO148+AQ148+AS148+AU148+AW148</f>
        <v>0</v>
      </c>
      <c r="T148" s="269">
        <f>ROUND(S148*I148,2)</f>
        <v>0</v>
      </c>
      <c r="U148" s="269">
        <f>H148-S148</f>
        <v>1</v>
      </c>
      <c r="V148" s="269">
        <f>ROUND(U148*I148,2)</f>
        <v>33152.550000000003</v>
      </c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CF148" s="132" t="s">
        <v>1</v>
      </c>
      <c r="CG148" s="133" t="s">
        <v>40</v>
      </c>
      <c r="CI148" s="134">
        <f>CH148*H148</f>
        <v>0</v>
      </c>
      <c r="CJ148" s="134">
        <v>0</v>
      </c>
      <c r="CK148" s="134">
        <f>CJ148*H148</f>
        <v>0</v>
      </c>
      <c r="CL148" s="134">
        <v>0</v>
      </c>
      <c r="CM148" s="135">
        <f>CL148*H148</f>
        <v>0</v>
      </c>
      <c r="DK148" s="136" t="s">
        <v>95</v>
      </c>
      <c r="DM148" s="136" t="s">
        <v>284</v>
      </c>
      <c r="DN148" s="136" t="s">
        <v>90</v>
      </c>
      <c r="DR148" s="16" t="s">
        <v>282</v>
      </c>
      <c r="DX148" s="137">
        <f>IF(CG148="základní",J148,0)</f>
        <v>33152.550000000003</v>
      </c>
      <c r="DY148" s="137">
        <f>IF(CG148="snížená",J148,0)</f>
        <v>0</v>
      </c>
      <c r="DZ148" s="137">
        <f>IF(CG148="zákl. přenesená",J148,0)</f>
        <v>0</v>
      </c>
      <c r="EA148" s="137">
        <f>IF(CG148="sníž. přenesená",J148,0)</f>
        <v>0</v>
      </c>
      <c r="EB148" s="137">
        <f>IF(CG148="nulová",J148,0)</f>
        <v>0</v>
      </c>
      <c r="EC148" s="16" t="s">
        <v>81</v>
      </c>
      <c r="ED148" s="137">
        <f>ROUND(I148*H148,2)</f>
        <v>33152.550000000003</v>
      </c>
      <c r="EE148" s="16" t="s">
        <v>95</v>
      </c>
      <c r="EF148" s="136" t="s">
        <v>3179</v>
      </c>
    </row>
    <row r="149" spans="2:136" s="1" customFormat="1" ht="19.5" x14ac:dyDescent="0.2">
      <c r="B149" s="31"/>
      <c r="D149" s="138" t="s">
        <v>289</v>
      </c>
      <c r="F149" s="139" t="s">
        <v>3180</v>
      </c>
      <c r="I149" s="140"/>
      <c r="L149" s="31"/>
      <c r="N149" s="278"/>
      <c r="O149" s="279"/>
      <c r="Q149" s="229"/>
      <c r="CF149" s="141"/>
      <c r="CM149" s="50"/>
      <c r="DM149" s="16" t="s">
        <v>289</v>
      </c>
      <c r="DN149" s="16" t="s">
        <v>90</v>
      </c>
    </row>
    <row r="150" spans="2:136" s="1" customFormat="1" ht="14.45" customHeight="1" x14ac:dyDescent="0.2">
      <c r="B150" s="124"/>
      <c r="C150" s="125" t="s">
        <v>312</v>
      </c>
      <c r="D150" s="125" t="s">
        <v>284</v>
      </c>
      <c r="E150" s="126" t="s">
        <v>3181</v>
      </c>
      <c r="F150" s="127" t="s">
        <v>3182</v>
      </c>
      <c r="G150" s="128" t="s">
        <v>1948</v>
      </c>
      <c r="H150" s="129">
        <v>1</v>
      </c>
      <c r="I150" s="130">
        <v>34208.235500000003</v>
      </c>
      <c r="J150" s="131">
        <f>ROUND(I150*H150,2)</f>
        <v>34208.239999999998</v>
      </c>
      <c r="K150" s="127" t="s">
        <v>1</v>
      </c>
      <c r="L150" s="268">
        <f>S150</f>
        <v>0</v>
      </c>
      <c r="M150" s="272">
        <f>ROUND(L150*I150,2)</f>
        <v>0</v>
      </c>
      <c r="N150" s="276"/>
      <c r="O150" s="277">
        <f>ROUND(N150*I150,2)</f>
        <v>0</v>
      </c>
      <c r="P150" s="273">
        <f>H150-L150-N150</f>
        <v>1</v>
      </c>
      <c r="Q150" s="287">
        <f>ROUND(P150*I150,2)</f>
        <v>34208.239999999998</v>
      </c>
      <c r="R150" s="137"/>
      <c r="S150" s="269">
        <f>W150+Y150+AA150+AC150+AE150+AG150+AI150+AK150+AM150+AO150+AQ150+AS150+AU150+AW150</f>
        <v>0</v>
      </c>
      <c r="T150" s="269">
        <f>ROUND(S150*I150,2)</f>
        <v>0</v>
      </c>
      <c r="U150" s="269">
        <f>H150-S150</f>
        <v>1</v>
      </c>
      <c r="V150" s="269">
        <f>ROUND(U150*I150,2)</f>
        <v>34208.239999999998</v>
      </c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CF150" s="132" t="s">
        <v>1</v>
      </c>
      <c r="CG150" s="133" t="s">
        <v>40</v>
      </c>
      <c r="CI150" s="134">
        <f>CH150*H150</f>
        <v>0</v>
      </c>
      <c r="CJ150" s="134">
        <v>0</v>
      </c>
      <c r="CK150" s="134">
        <f>CJ150*H150</f>
        <v>0</v>
      </c>
      <c r="CL150" s="134">
        <v>0</v>
      </c>
      <c r="CM150" s="135">
        <f>CL150*H150</f>
        <v>0</v>
      </c>
      <c r="DK150" s="136" t="s">
        <v>95</v>
      </c>
      <c r="DM150" s="136" t="s">
        <v>284</v>
      </c>
      <c r="DN150" s="136" t="s">
        <v>90</v>
      </c>
      <c r="DR150" s="16" t="s">
        <v>282</v>
      </c>
      <c r="DX150" s="137">
        <f>IF(CG150="základní",J150,0)</f>
        <v>34208.239999999998</v>
      </c>
      <c r="DY150" s="137">
        <f>IF(CG150="snížená",J150,0)</f>
        <v>0</v>
      </c>
      <c r="DZ150" s="137">
        <f>IF(CG150="zákl. přenesená",J150,0)</f>
        <v>0</v>
      </c>
      <c r="EA150" s="137">
        <f>IF(CG150="sníž. přenesená",J150,0)</f>
        <v>0</v>
      </c>
      <c r="EB150" s="137">
        <f>IF(CG150="nulová",J150,0)</f>
        <v>0</v>
      </c>
      <c r="EC150" s="16" t="s">
        <v>81</v>
      </c>
      <c r="ED150" s="137">
        <f>ROUND(I150*H150,2)</f>
        <v>34208.239999999998</v>
      </c>
      <c r="EE150" s="16" t="s">
        <v>95</v>
      </c>
      <c r="EF150" s="136" t="s">
        <v>3183</v>
      </c>
    </row>
    <row r="151" spans="2:136" s="1" customFormat="1" x14ac:dyDescent="0.2">
      <c r="B151" s="31"/>
      <c r="D151" s="138" t="s">
        <v>289</v>
      </c>
      <c r="F151" s="139" t="s">
        <v>3184</v>
      </c>
      <c r="I151" s="140"/>
      <c r="L151" s="31"/>
      <c r="N151" s="278"/>
      <c r="O151" s="279"/>
      <c r="Q151" s="229"/>
      <c r="CF151" s="141"/>
      <c r="CM151" s="50"/>
      <c r="DM151" s="16" t="s">
        <v>289</v>
      </c>
      <c r="DN151" s="16" t="s">
        <v>90</v>
      </c>
    </row>
    <row r="152" spans="2:136" s="10" customFormat="1" ht="20.85" customHeight="1" x14ac:dyDescent="0.2">
      <c r="B152" s="112"/>
      <c r="D152" s="113" t="s">
        <v>73</v>
      </c>
      <c r="E152" s="122" t="s">
        <v>3185</v>
      </c>
      <c r="F152" s="122" t="s">
        <v>3186</v>
      </c>
      <c r="I152" s="115"/>
      <c r="J152" s="123">
        <f>ED152</f>
        <v>76832.94</v>
      </c>
      <c r="L152" s="112"/>
      <c r="M152" s="270">
        <f>M153</f>
        <v>0</v>
      </c>
      <c r="N152" s="280"/>
      <c r="O152" s="281">
        <f t="shared" ref="O152:V152" si="4">O153</f>
        <v>0</v>
      </c>
      <c r="P152" s="270"/>
      <c r="Q152" s="288">
        <f t="shared" si="4"/>
        <v>76832.94</v>
      </c>
      <c r="R152" s="270"/>
      <c r="S152" s="270"/>
      <c r="T152" s="270">
        <f t="shared" si="4"/>
        <v>0</v>
      </c>
      <c r="U152" s="270"/>
      <c r="V152" s="270">
        <f t="shared" si="4"/>
        <v>76832.94</v>
      </c>
      <c r="CF152" s="117"/>
      <c r="CI152" s="118">
        <f>SUM(CI153:CI154)</f>
        <v>0</v>
      </c>
      <c r="CK152" s="118">
        <f>SUM(CK153:CK154)</f>
        <v>0</v>
      </c>
      <c r="CM152" s="119">
        <f>SUM(CM153:CM154)</f>
        <v>0</v>
      </c>
      <c r="DK152" s="113" t="s">
        <v>81</v>
      </c>
      <c r="DM152" s="120" t="s">
        <v>73</v>
      </c>
      <c r="DN152" s="120" t="s">
        <v>83</v>
      </c>
      <c r="DR152" s="113" t="s">
        <v>282</v>
      </c>
      <c r="ED152" s="121">
        <f>SUM(ED153:ED154)</f>
        <v>76832.94</v>
      </c>
    </row>
    <row r="153" spans="2:136" s="1" customFormat="1" ht="37.9" customHeight="1" x14ac:dyDescent="0.2">
      <c r="B153" s="124"/>
      <c r="C153" s="125" t="s">
        <v>456</v>
      </c>
      <c r="D153" s="125" t="s">
        <v>284</v>
      </c>
      <c r="E153" s="126" t="s">
        <v>3187</v>
      </c>
      <c r="F153" s="127" t="s">
        <v>3188</v>
      </c>
      <c r="G153" s="128" t="s">
        <v>1948</v>
      </c>
      <c r="H153" s="129">
        <v>1</v>
      </c>
      <c r="I153" s="130">
        <v>76832.941999999995</v>
      </c>
      <c r="J153" s="131">
        <f>ROUND(I153*H153,2)</f>
        <v>76832.94</v>
      </c>
      <c r="K153" s="127" t="s">
        <v>1</v>
      </c>
      <c r="L153" s="268">
        <f>S153</f>
        <v>0</v>
      </c>
      <c r="M153" s="272">
        <f>ROUND(L153*I153,2)</f>
        <v>0</v>
      </c>
      <c r="N153" s="276"/>
      <c r="O153" s="277">
        <f>ROUND(N153*I153,2)</f>
        <v>0</v>
      </c>
      <c r="P153" s="273">
        <f>H153-L153-N153</f>
        <v>1</v>
      </c>
      <c r="Q153" s="287">
        <f>ROUND(P153*I153,2)</f>
        <v>76832.94</v>
      </c>
      <c r="R153" s="137"/>
      <c r="S153" s="269">
        <f>W153+Y153+AA153+AC153+AE153+AG153+AI153+AK153+AM153+AO153+AQ153+AS153+AU153+AW153</f>
        <v>0</v>
      </c>
      <c r="T153" s="269">
        <f>ROUND(S153*I153,2)</f>
        <v>0</v>
      </c>
      <c r="U153" s="269">
        <f>H153-S153</f>
        <v>1</v>
      </c>
      <c r="V153" s="269">
        <f>ROUND(U153*I153,2)</f>
        <v>76832.94</v>
      </c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  <c r="AX153" s="269"/>
      <c r="CF153" s="132" t="s">
        <v>1</v>
      </c>
      <c r="CG153" s="133" t="s">
        <v>40</v>
      </c>
      <c r="CI153" s="134">
        <f>CH153*H153</f>
        <v>0</v>
      </c>
      <c r="CJ153" s="134">
        <v>0</v>
      </c>
      <c r="CK153" s="134">
        <f>CJ153*H153</f>
        <v>0</v>
      </c>
      <c r="CL153" s="134">
        <v>0</v>
      </c>
      <c r="CM153" s="135">
        <f>CL153*H153</f>
        <v>0</v>
      </c>
      <c r="DK153" s="136" t="s">
        <v>95</v>
      </c>
      <c r="DM153" s="136" t="s">
        <v>284</v>
      </c>
      <c r="DN153" s="136" t="s">
        <v>90</v>
      </c>
      <c r="DR153" s="16" t="s">
        <v>282</v>
      </c>
      <c r="DX153" s="137">
        <f>IF(CG153="základní",J153,0)</f>
        <v>76832.94</v>
      </c>
      <c r="DY153" s="137">
        <f>IF(CG153="snížená",J153,0)</f>
        <v>0</v>
      </c>
      <c r="DZ153" s="137">
        <f>IF(CG153="zákl. přenesená",J153,0)</f>
        <v>0</v>
      </c>
      <c r="EA153" s="137">
        <f>IF(CG153="sníž. přenesená",J153,0)</f>
        <v>0</v>
      </c>
      <c r="EB153" s="137">
        <f>IF(CG153="nulová",J153,0)</f>
        <v>0</v>
      </c>
      <c r="EC153" s="16" t="s">
        <v>81</v>
      </c>
      <c r="ED153" s="137">
        <f>ROUND(I153*H153,2)</f>
        <v>76832.94</v>
      </c>
      <c r="EE153" s="16" t="s">
        <v>95</v>
      </c>
      <c r="EF153" s="136" t="s">
        <v>3189</v>
      </c>
    </row>
    <row r="154" spans="2:136" s="1" customFormat="1" ht="48.75" x14ac:dyDescent="0.2">
      <c r="B154" s="31"/>
      <c r="D154" s="138" t="s">
        <v>289</v>
      </c>
      <c r="F154" s="139" t="s">
        <v>3190</v>
      </c>
      <c r="I154" s="140"/>
      <c r="L154" s="31"/>
      <c r="N154" s="278"/>
      <c r="O154" s="279"/>
      <c r="Q154" s="229"/>
      <c r="CF154" s="141"/>
      <c r="CM154" s="50"/>
      <c r="DM154" s="16" t="s">
        <v>289</v>
      </c>
      <c r="DN154" s="16" t="s">
        <v>90</v>
      </c>
    </row>
    <row r="155" spans="2:136" s="10" customFormat="1" ht="20.85" customHeight="1" x14ac:dyDescent="0.2">
      <c r="B155" s="112"/>
      <c r="D155" s="113" t="s">
        <v>73</v>
      </c>
      <c r="E155" s="122" t="s">
        <v>3191</v>
      </c>
      <c r="F155" s="122" t="s">
        <v>3192</v>
      </c>
      <c r="I155" s="115"/>
      <c r="J155" s="123">
        <f>ED155</f>
        <v>68416.47</v>
      </c>
      <c r="L155" s="112"/>
      <c r="M155" s="270">
        <f>M156</f>
        <v>0</v>
      </c>
      <c r="N155" s="280"/>
      <c r="O155" s="281">
        <f t="shared" ref="O155:V155" si="5">O156</f>
        <v>0</v>
      </c>
      <c r="P155" s="270"/>
      <c r="Q155" s="288">
        <f t="shared" si="5"/>
        <v>68416.47</v>
      </c>
      <c r="R155" s="270"/>
      <c r="S155" s="270"/>
      <c r="T155" s="270">
        <f t="shared" si="5"/>
        <v>0</v>
      </c>
      <c r="U155" s="270"/>
      <c r="V155" s="270">
        <f t="shared" si="5"/>
        <v>68416.47</v>
      </c>
      <c r="CF155" s="117"/>
      <c r="CI155" s="118">
        <f>SUM(CI156:CI157)</f>
        <v>0</v>
      </c>
      <c r="CK155" s="118">
        <f>SUM(CK156:CK157)</f>
        <v>0</v>
      </c>
      <c r="CM155" s="119">
        <f>SUM(CM156:CM157)</f>
        <v>0</v>
      </c>
      <c r="DK155" s="113" t="s">
        <v>81</v>
      </c>
      <c r="DM155" s="120" t="s">
        <v>73</v>
      </c>
      <c r="DN155" s="120" t="s">
        <v>83</v>
      </c>
      <c r="DR155" s="113" t="s">
        <v>282</v>
      </c>
      <c r="ED155" s="121">
        <f>SUM(ED156:ED157)</f>
        <v>68416.47</v>
      </c>
    </row>
    <row r="156" spans="2:136" s="1" customFormat="1" ht="14.45" customHeight="1" x14ac:dyDescent="0.2">
      <c r="B156" s="124"/>
      <c r="C156" s="125" t="s">
        <v>318</v>
      </c>
      <c r="D156" s="125" t="s">
        <v>284</v>
      </c>
      <c r="E156" s="126" t="s">
        <v>3193</v>
      </c>
      <c r="F156" s="127" t="s">
        <v>3194</v>
      </c>
      <c r="G156" s="128" t="s">
        <v>1948</v>
      </c>
      <c r="H156" s="129">
        <v>1</v>
      </c>
      <c r="I156" s="130">
        <v>68416.471000000005</v>
      </c>
      <c r="J156" s="131">
        <f>ROUND(I156*H156,2)</f>
        <v>68416.47</v>
      </c>
      <c r="K156" s="127" t="s">
        <v>1</v>
      </c>
      <c r="L156" s="268">
        <f>S156</f>
        <v>0</v>
      </c>
      <c r="M156" s="272">
        <f>ROUND(L156*I156,2)</f>
        <v>0</v>
      </c>
      <c r="N156" s="276"/>
      <c r="O156" s="277">
        <f>ROUND(N156*I156,2)</f>
        <v>0</v>
      </c>
      <c r="P156" s="273">
        <f>H156-L156-N156</f>
        <v>1</v>
      </c>
      <c r="Q156" s="287">
        <f>ROUND(P156*I156,2)</f>
        <v>68416.47</v>
      </c>
      <c r="R156" s="137"/>
      <c r="S156" s="269">
        <f>W156+Y156+AA156+AC156+AE156+AG156+AI156+AK156+AM156+AO156+AQ156+AS156+AU156+AW156</f>
        <v>0</v>
      </c>
      <c r="T156" s="269">
        <f>ROUND(S156*I156,2)</f>
        <v>0</v>
      </c>
      <c r="U156" s="269">
        <f>H156-S156</f>
        <v>1</v>
      </c>
      <c r="V156" s="269">
        <f>ROUND(U156*I156,2)</f>
        <v>68416.47</v>
      </c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CF156" s="132" t="s">
        <v>1</v>
      </c>
      <c r="CG156" s="133" t="s">
        <v>40</v>
      </c>
      <c r="CI156" s="134">
        <f>CH156*H156</f>
        <v>0</v>
      </c>
      <c r="CJ156" s="134">
        <v>0</v>
      </c>
      <c r="CK156" s="134">
        <f>CJ156*H156</f>
        <v>0</v>
      </c>
      <c r="CL156" s="134">
        <v>0</v>
      </c>
      <c r="CM156" s="135">
        <f>CL156*H156</f>
        <v>0</v>
      </c>
      <c r="DK156" s="136" t="s">
        <v>95</v>
      </c>
      <c r="DM156" s="136" t="s">
        <v>284</v>
      </c>
      <c r="DN156" s="136" t="s">
        <v>90</v>
      </c>
      <c r="DR156" s="16" t="s">
        <v>282</v>
      </c>
      <c r="DX156" s="137">
        <f>IF(CG156="základní",J156,0)</f>
        <v>68416.47</v>
      </c>
      <c r="DY156" s="137">
        <f>IF(CG156="snížená",J156,0)</f>
        <v>0</v>
      </c>
      <c r="DZ156" s="137">
        <f>IF(CG156="zákl. přenesená",J156,0)</f>
        <v>0</v>
      </c>
      <c r="EA156" s="137">
        <f>IF(CG156="sníž. přenesená",J156,0)</f>
        <v>0</v>
      </c>
      <c r="EB156" s="137">
        <f>IF(CG156="nulová",J156,0)</f>
        <v>0</v>
      </c>
      <c r="EC156" s="16" t="s">
        <v>81</v>
      </c>
      <c r="ED156" s="137">
        <f>ROUND(I156*H156,2)</f>
        <v>68416.47</v>
      </c>
      <c r="EE156" s="16" t="s">
        <v>95</v>
      </c>
      <c r="EF156" s="136" t="s">
        <v>3195</v>
      </c>
    </row>
    <row r="157" spans="2:136" s="1" customFormat="1" x14ac:dyDescent="0.2">
      <c r="B157" s="31"/>
      <c r="D157" s="138" t="s">
        <v>289</v>
      </c>
      <c r="F157" s="139" t="s">
        <v>3196</v>
      </c>
      <c r="I157" s="140"/>
      <c r="L157" s="31"/>
      <c r="N157" s="278"/>
      <c r="O157" s="279"/>
      <c r="Q157" s="229"/>
      <c r="CF157" s="141"/>
      <c r="CM157" s="50"/>
      <c r="DM157" s="16" t="s">
        <v>289</v>
      </c>
      <c r="DN157" s="16" t="s">
        <v>90</v>
      </c>
    </row>
    <row r="158" spans="2:136" s="10" customFormat="1" ht="20.85" customHeight="1" x14ac:dyDescent="0.2">
      <c r="B158" s="112"/>
      <c r="D158" s="113" t="s">
        <v>73</v>
      </c>
      <c r="E158" s="122" t="s">
        <v>3197</v>
      </c>
      <c r="F158" s="122" t="s">
        <v>3198</v>
      </c>
      <c r="I158" s="115"/>
      <c r="J158" s="123">
        <f>ED158</f>
        <v>385748.23</v>
      </c>
      <c r="L158" s="112"/>
      <c r="M158" s="270">
        <f>M159+M161+M163</f>
        <v>0</v>
      </c>
      <c r="N158" s="280"/>
      <c r="O158" s="281">
        <f t="shared" ref="O158:V158" si="6">O159+O161+O163</f>
        <v>0</v>
      </c>
      <c r="P158" s="270"/>
      <c r="Q158" s="288">
        <f t="shared" si="6"/>
        <v>385748.23</v>
      </c>
      <c r="R158" s="270"/>
      <c r="S158" s="270"/>
      <c r="T158" s="270">
        <f t="shared" si="6"/>
        <v>0</v>
      </c>
      <c r="U158" s="270"/>
      <c r="V158" s="270">
        <f t="shared" si="6"/>
        <v>385748.23</v>
      </c>
      <c r="CF158" s="117"/>
      <c r="CI158" s="118">
        <f>SUM(CI159:CI164)</f>
        <v>0</v>
      </c>
      <c r="CK158" s="118">
        <f>SUM(CK159:CK164)</f>
        <v>0</v>
      </c>
      <c r="CM158" s="119">
        <f>SUM(CM159:CM164)</f>
        <v>0</v>
      </c>
      <c r="DK158" s="113" t="s">
        <v>81</v>
      </c>
      <c r="DM158" s="120" t="s">
        <v>73</v>
      </c>
      <c r="DN158" s="120" t="s">
        <v>83</v>
      </c>
      <c r="DR158" s="113" t="s">
        <v>282</v>
      </c>
      <c r="ED158" s="121">
        <f>SUM(ED159:ED164)</f>
        <v>385748.23</v>
      </c>
    </row>
    <row r="159" spans="2:136" s="1" customFormat="1" ht="14.45" customHeight="1" x14ac:dyDescent="0.2">
      <c r="B159" s="124"/>
      <c r="C159" s="125" t="s">
        <v>323</v>
      </c>
      <c r="D159" s="125" t="s">
        <v>284</v>
      </c>
      <c r="E159" s="126" t="s">
        <v>3199</v>
      </c>
      <c r="F159" s="127" t="s">
        <v>3200</v>
      </c>
      <c r="G159" s="128" t="s">
        <v>1948</v>
      </c>
      <c r="H159" s="129">
        <v>1</v>
      </c>
      <c r="I159" s="130">
        <v>68944.313999999998</v>
      </c>
      <c r="J159" s="131">
        <f>ROUND(I159*H159,2)</f>
        <v>68944.31</v>
      </c>
      <c r="K159" s="127" t="s">
        <v>1</v>
      </c>
      <c r="L159" s="268">
        <f>S159</f>
        <v>0</v>
      </c>
      <c r="M159" s="272">
        <f>ROUND(L159*I159,2)</f>
        <v>0</v>
      </c>
      <c r="N159" s="276"/>
      <c r="O159" s="277">
        <f>ROUND(N159*I159,2)</f>
        <v>0</v>
      </c>
      <c r="P159" s="273">
        <f>H159-L159-N159</f>
        <v>1</v>
      </c>
      <c r="Q159" s="287">
        <f>ROUND(P159*I159,2)</f>
        <v>68944.31</v>
      </c>
      <c r="R159" s="137"/>
      <c r="S159" s="269">
        <f>W159+Y159+AA159+AC159+AE159+AG159+AI159+AK159+AM159+AO159+AQ159+AS159+AU159+AW159</f>
        <v>0</v>
      </c>
      <c r="T159" s="269">
        <f>ROUND(S159*I159,2)</f>
        <v>0</v>
      </c>
      <c r="U159" s="269">
        <f>H159-S159</f>
        <v>1</v>
      </c>
      <c r="V159" s="269">
        <f>ROUND(U159*I159,2)</f>
        <v>68944.31</v>
      </c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CF159" s="132" t="s">
        <v>1</v>
      </c>
      <c r="CG159" s="133" t="s">
        <v>40</v>
      </c>
      <c r="CI159" s="134">
        <f>CH159*H159</f>
        <v>0</v>
      </c>
      <c r="CJ159" s="134">
        <v>0</v>
      </c>
      <c r="CK159" s="134">
        <f>CJ159*H159</f>
        <v>0</v>
      </c>
      <c r="CL159" s="134">
        <v>0</v>
      </c>
      <c r="CM159" s="135">
        <f>CL159*H159</f>
        <v>0</v>
      </c>
      <c r="DK159" s="136" t="s">
        <v>95</v>
      </c>
      <c r="DM159" s="136" t="s">
        <v>284</v>
      </c>
      <c r="DN159" s="136" t="s">
        <v>90</v>
      </c>
      <c r="DR159" s="16" t="s">
        <v>282</v>
      </c>
      <c r="DX159" s="137">
        <f>IF(CG159="základní",J159,0)</f>
        <v>68944.31</v>
      </c>
      <c r="DY159" s="137">
        <f>IF(CG159="snížená",J159,0)</f>
        <v>0</v>
      </c>
      <c r="DZ159" s="137">
        <f>IF(CG159="zákl. přenesená",J159,0)</f>
        <v>0</v>
      </c>
      <c r="EA159" s="137">
        <f>IF(CG159="sníž. přenesená",J159,0)</f>
        <v>0</v>
      </c>
      <c r="EB159" s="137">
        <f>IF(CG159="nulová",J159,0)</f>
        <v>0</v>
      </c>
      <c r="EC159" s="16" t="s">
        <v>81</v>
      </c>
      <c r="ED159" s="137">
        <f>ROUND(I159*H159,2)</f>
        <v>68944.31</v>
      </c>
      <c r="EE159" s="16" t="s">
        <v>95</v>
      </c>
      <c r="EF159" s="136" t="s">
        <v>3201</v>
      </c>
    </row>
    <row r="160" spans="2:136" s="1" customFormat="1" x14ac:dyDescent="0.2">
      <c r="B160" s="31"/>
      <c r="D160" s="138" t="s">
        <v>289</v>
      </c>
      <c r="F160" s="139" t="s">
        <v>3200</v>
      </c>
      <c r="I160" s="140"/>
      <c r="L160" s="31"/>
      <c r="N160" s="278"/>
      <c r="O160" s="279"/>
      <c r="Q160" s="229"/>
      <c r="CF160" s="141"/>
      <c r="CM160" s="50"/>
      <c r="DM160" s="16" t="s">
        <v>289</v>
      </c>
      <c r="DN160" s="16" t="s">
        <v>90</v>
      </c>
    </row>
    <row r="161" spans="2:136" s="1" customFormat="1" ht="37.9" customHeight="1" x14ac:dyDescent="0.2">
      <c r="B161" s="124"/>
      <c r="C161" s="125" t="s">
        <v>328</v>
      </c>
      <c r="D161" s="125" t="s">
        <v>284</v>
      </c>
      <c r="E161" s="126" t="s">
        <v>3202</v>
      </c>
      <c r="F161" s="127" t="s">
        <v>3203</v>
      </c>
      <c r="G161" s="128" t="s">
        <v>1948</v>
      </c>
      <c r="H161" s="129">
        <v>1</v>
      </c>
      <c r="I161" s="130">
        <v>258387.454</v>
      </c>
      <c r="J161" s="131">
        <f>ROUND(I161*H161,2)</f>
        <v>258387.45</v>
      </c>
      <c r="K161" s="127" t="s">
        <v>1</v>
      </c>
      <c r="L161" s="268">
        <f>S161</f>
        <v>0</v>
      </c>
      <c r="M161" s="272">
        <f>ROUND(L161*I161,2)</f>
        <v>0</v>
      </c>
      <c r="N161" s="276"/>
      <c r="O161" s="277">
        <f>ROUND(N161*I161,2)</f>
        <v>0</v>
      </c>
      <c r="P161" s="273">
        <f>H161-L161-N161</f>
        <v>1</v>
      </c>
      <c r="Q161" s="287">
        <f>ROUND(P161*I161,2)</f>
        <v>258387.45</v>
      </c>
      <c r="R161" s="137"/>
      <c r="S161" s="269">
        <f>W161+Y161+AA161+AC161+AE161+AG161+AI161+AK161+AM161+AO161+AQ161+AS161+AU161+AW161</f>
        <v>0</v>
      </c>
      <c r="T161" s="269">
        <f>ROUND(S161*I161,2)</f>
        <v>0</v>
      </c>
      <c r="U161" s="269">
        <f>H161-S161</f>
        <v>1</v>
      </c>
      <c r="V161" s="269">
        <f>ROUND(U161*I161,2)</f>
        <v>258387.45</v>
      </c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CF161" s="132" t="s">
        <v>1</v>
      </c>
      <c r="CG161" s="133" t="s">
        <v>40</v>
      </c>
      <c r="CI161" s="134">
        <f>CH161*H161</f>
        <v>0</v>
      </c>
      <c r="CJ161" s="134">
        <v>0</v>
      </c>
      <c r="CK161" s="134">
        <f>CJ161*H161</f>
        <v>0</v>
      </c>
      <c r="CL161" s="134">
        <v>0</v>
      </c>
      <c r="CM161" s="135">
        <f>CL161*H161</f>
        <v>0</v>
      </c>
      <c r="DK161" s="136" t="s">
        <v>95</v>
      </c>
      <c r="DM161" s="136" t="s">
        <v>284</v>
      </c>
      <c r="DN161" s="136" t="s">
        <v>90</v>
      </c>
      <c r="DR161" s="16" t="s">
        <v>282</v>
      </c>
      <c r="DX161" s="137">
        <f>IF(CG161="základní",J161,0)</f>
        <v>258387.45</v>
      </c>
      <c r="DY161" s="137">
        <f>IF(CG161="snížená",J161,0)</f>
        <v>0</v>
      </c>
      <c r="DZ161" s="137">
        <f>IF(CG161="zákl. přenesená",J161,0)</f>
        <v>0</v>
      </c>
      <c r="EA161" s="137">
        <f>IF(CG161="sníž. přenesená",J161,0)</f>
        <v>0</v>
      </c>
      <c r="EB161" s="137">
        <f>IF(CG161="nulová",J161,0)</f>
        <v>0</v>
      </c>
      <c r="EC161" s="16" t="s">
        <v>81</v>
      </c>
      <c r="ED161" s="137">
        <f>ROUND(I161*H161,2)</f>
        <v>258387.45</v>
      </c>
      <c r="EE161" s="16" t="s">
        <v>95</v>
      </c>
      <c r="EF161" s="136" t="s">
        <v>3204</v>
      </c>
    </row>
    <row r="162" spans="2:136" s="1" customFormat="1" ht="29.25" x14ac:dyDescent="0.2">
      <c r="B162" s="31"/>
      <c r="D162" s="138" t="s">
        <v>289</v>
      </c>
      <c r="F162" s="139" t="s">
        <v>3205</v>
      </c>
      <c r="I162" s="140"/>
      <c r="L162" s="31"/>
      <c r="N162" s="278"/>
      <c r="O162" s="279"/>
      <c r="Q162" s="229"/>
      <c r="CF162" s="141"/>
      <c r="CM162" s="50"/>
      <c r="DM162" s="16" t="s">
        <v>289</v>
      </c>
      <c r="DN162" s="16" t="s">
        <v>90</v>
      </c>
    </row>
    <row r="163" spans="2:136" s="1" customFormat="1" ht="14.45" customHeight="1" x14ac:dyDescent="0.2">
      <c r="B163" s="124"/>
      <c r="C163" s="125" t="s">
        <v>335</v>
      </c>
      <c r="D163" s="125" t="s">
        <v>284</v>
      </c>
      <c r="E163" s="126" t="s">
        <v>3206</v>
      </c>
      <c r="F163" s="127" t="s">
        <v>3207</v>
      </c>
      <c r="G163" s="128" t="s">
        <v>1948</v>
      </c>
      <c r="H163" s="129">
        <v>1</v>
      </c>
      <c r="I163" s="130">
        <v>58416.470999999998</v>
      </c>
      <c r="J163" s="131">
        <f>ROUND(I163*H163,2)</f>
        <v>58416.47</v>
      </c>
      <c r="K163" s="127" t="s">
        <v>1</v>
      </c>
      <c r="L163" s="268">
        <f>S163</f>
        <v>0</v>
      </c>
      <c r="M163" s="272">
        <f>ROUND(L163*I163,2)</f>
        <v>0</v>
      </c>
      <c r="N163" s="276"/>
      <c r="O163" s="277">
        <f>ROUND(N163*I163,2)</f>
        <v>0</v>
      </c>
      <c r="P163" s="273">
        <f>H163-L163-N163</f>
        <v>1</v>
      </c>
      <c r="Q163" s="287">
        <f>ROUND(P163*I163,2)</f>
        <v>58416.47</v>
      </c>
      <c r="R163" s="137"/>
      <c r="S163" s="269">
        <f>W163+Y163+AA163+AC163+AE163+AG163+AI163+AK163+AM163+AO163+AQ163+AS163+AU163+AW163</f>
        <v>0</v>
      </c>
      <c r="T163" s="269">
        <f>ROUND(S163*I163,2)</f>
        <v>0</v>
      </c>
      <c r="U163" s="269">
        <f>H163-S163</f>
        <v>1</v>
      </c>
      <c r="V163" s="269">
        <f>ROUND(U163*I163,2)</f>
        <v>58416.47</v>
      </c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CF163" s="132" t="s">
        <v>1</v>
      </c>
      <c r="CG163" s="133" t="s">
        <v>40</v>
      </c>
      <c r="CI163" s="134">
        <f>CH163*H163</f>
        <v>0</v>
      </c>
      <c r="CJ163" s="134">
        <v>0</v>
      </c>
      <c r="CK163" s="134">
        <f>CJ163*H163</f>
        <v>0</v>
      </c>
      <c r="CL163" s="134">
        <v>0</v>
      </c>
      <c r="CM163" s="135">
        <f>CL163*H163</f>
        <v>0</v>
      </c>
      <c r="DK163" s="136" t="s">
        <v>95</v>
      </c>
      <c r="DM163" s="136" t="s">
        <v>284</v>
      </c>
      <c r="DN163" s="136" t="s">
        <v>90</v>
      </c>
      <c r="DR163" s="16" t="s">
        <v>282</v>
      </c>
      <c r="DX163" s="137">
        <f>IF(CG163="základní",J163,0)</f>
        <v>58416.47</v>
      </c>
      <c r="DY163" s="137">
        <f>IF(CG163="snížená",J163,0)</f>
        <v>0</v>
      </c>
      <c r="DZ163" s="137">
        <f>IF(CG163="zákl. přenesená",J163,0)</f>
        <v>0</v>
      </c>
      <c r="EA163" s="137">
        <f>IF(CG163="sníž. přenesená",J163,0)</f>
        <v>0</v>
      </c>
      <c r="EB163" s="137">
        <f>IF(CG163="nulová",J163,0)</f>
        <v>0</v>
      </c>
      <c r="EC163" s="16" t="s">
        <v>81</v>
      </c>
      <c r="ED163" s="137">
        <f>ROUND(I163*H163,2)</f>
        <v>58416.47</v>
      </c>
      <c r="EE163" s="16" t="s">
        <v>95</v>
      </c>
      <c r="EF163" s="136" t="s">
        <v>3208</v>
      </c>
    </row>
    <row r="164" spans="2:136" s="1" customFormat="1" x14ac:dyDescent="0.2">
      <c r="B164" s="31"/>
      <c r="D164" s="138" t="s">
        <v>289</v>
      </c>
      <c r="F164" s="139" t="s">
        <v>3207</v>
      </c>
      <c r="I164" s="140"/>
      <c r="L164" s="31"/>
      <c r="N164" s="278"/>
      <c r="O164" s="279"/>
      <c r="Q164" s="229"/>
      <c r="CF164" s="141"/>
      <c r="CM164" s="50"/>
      <c r="DM164" s="16" t="s">
        <v>289</v>
      </c>
      <c r="DN164" s="16" t="s">
        <v>90</v>
      </c>
    </row>
    <row r="165" spans="2:136" s="10" customFormat="1" ht="20.85" customHeight="1" x14ac:dyDescent="0.2">
      <c r="B165" s="112"/>
      <c r="D165" s="113" t="s">
        <v>73</v>
      </c>
      <c r="E165" s="122" t="s">
        <v>3209</v>
      </c>
      <c r="F165" s="122" t="s">
        <v>3210</v>
      </c>
      <c r="I165" s="115"/>
      <c r="J165" s="123">
        <f>ED165</f>
        <v>111041.18000000001</v>
      </c>
      <c r="L165" s="112"/>
      <c r="M165" s="270">
        <f>M166+M168+M170</f>
        <v>0</v>
      </c>
      <c r="N165" s="280"/>
      <c r="O165" s="281">
        <f t="shared" ref="O165:V165" si="7">O166+O168+O170</f>
        <v>0</v>
      </c>
      <c r="P165" s="270"/>
      <c r="Q165" s="288">
        <f t="shared" si="7"/>
        <v>111041.18000000001</v>
      </c>
      <c r="R165" s="270"/>
      <c r="S165" s="270"/>
      <c r="T165" s="270">
        <f t="shared" si="7"/>
        <v>0</v>
      </c>
      <c r="U165" s="270"/>
      <c r="V165" s="270">
        <f t="shared" si="7"/>
        <v>111041.18000000001</v>
      </c>
      <c r="CF165" s="117"/>
      <c r="CI165" s="118">
        <f>SUM(CI166:CI171)</f>
        <v>0</v>
      </c>
      <c r="CK165" s="118">
        <f>SUM(CK166:CK171)</f>
        <v>0</v>
      </c>
      <c r="CM165" s="119">
        <f>SUM(CM166:CM171)</f>
        <v>0</v>
      </c>
      <c r="DK165" s="113" t="s">
        <v>81</v>
      </c>
      <c r="DM165" s="120" t="s">
        <v>73</v>
      </c>
      <c r="DN165" s="120" t="s">
        <v>83</v>
      </c>
      <c r="DR165" s="113" t="s">
        <v>282</v>
      </c>
      <c r="ED165" s="121">
        <f>SUM(ED166:ED171)</f>
        <v>111041.18000000001</v>
      </c>
    </row>
    <row r="166" spans="2:136" s="1" customFormat="1" ht="37.9" customHeight="1" x14ac:dyDescent="0.2">
      <c r="B166" s="124"/>
      <c r="C166" s="125" t="s">
        <v>341</v>
      </c>
      <c r="D166" s="125" t="s">
        <v>284</v>
      </c>
      <c r="E166" s="126" t="s">
        <v>3211</v>
      </c>
      <c r="F166" s="127" t="s">
        <v>3212</v>
      </c>
      <c r="G166" s="128" t="s">
        <v>1948</v>
      </c>
      <c r="H166" s="129">
        <v>1</v>
      </c>
      <c r="I166" s="130">
        <v>38944.313999999998</v>
      </c>
      <c r="J166" s="131">
        <f>ROUND(I166*H166,2)</f>
        <v>38944.31</v>
      </c>
      <c r="K166" s="127" t="s">
        <v>1</v>
      </c>
      <c r="L166" s="268">
        <f>S166</f>
        <v>0</v>
      </c>
      <c r="M166" s="272">
        <f>ROUND(L166*I166,2)</f>
        <v>0</v>
      </c>
      <c r="N166" s="276"/>
      <c r="O166" s="277">
        <f>ROUND(N166*I166,2)</f>
        <v>0</v>
      </c>
      <c r="P166" s="273">
        <f>H166-L166-N166</f>
        <v>1</v>
      </c>
      <c r="Q166" s="287">
        <f>ROUND(P166*I166,2)</f>
        <v>38944.31</v>
      </c>
      <c r="R166" s="137"/>
      <c r="S166" s="269">
        <f>W166+Y166+AA166+AC166+AE166+AG166+AI166+AK166+AM166+AO166+AQ166+AS166+AU166+AW166</f>
        <v>0</v>
      </c>
      <c r="T166" s="269">
        <f>ROUND(S166*I166,2)</f>
        <v>0</v>
      </c>
      <c r="U166" s="269">
        <f>H166-S166</f>
        <v>1</v>
      </c>
      <c r="V166" s="269">
        <f>ROUND(U166*I166,2)</f>
        <v>38944.31</v>
      </c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CF166" s="132" t="s">
        <v>1</v>
      </c>
      <c r="CG166" s="133" t="s">
        <v>40</v>
      </c>
      <c r="CI166" s="134">
        <f>CH166*H166</f>
        <v>0</v>
      </c>
      <c r="CJ166" s="134">
        <v>0</v>
      </c>
      <c r="CK166" s="134">
        <f>CJ166*H166</f>
        <v>0</v>
      </c>
      <c r="CL166" s="134">
        <v>0</v>
      </c>
      <c r="CM166" s="135">
        <f>CL166*H166</f>
        <v>0</v>
      </c>
      <c r="DK166" s="136" t="s">
        <v>95</v>
      </c>
      <c r="DM166" s="136" t="s">
        <v>284</v>
      </c>
      <c r="DN166" s="136" t="s">
        <v>90</v>
      </c>
      <c r="DR166" s="16" t="s">
        <v>282</v>
      </c>
      <c r="DX166" s="137">
        <f>IF(CG166="základní",J166,0)</f>
        <v>38944.31</v>
      </c>
      <c r="DY166" s="137">
        <f>IF(CG166="snížená",J166,0)</f>
        <v>0</v>
      </c>
      <c r="DZ166" s="137">
        <f>IF(CG166="zákl. přenesená",J166,0)</f>
        <v>0</v>
      </c>
      <c r="EA166" s="137">
        <f>IF(CG166="sníž. přenesená",J166,0)</f>
        <v>0</v>
      </c>
      <c r="EB166" s="137">
        <f>IF(CG166="nulová",J166,0)</f>
        <v>0</v>
      </c>
      <c r="EC166" s="16" t="s">
        <v>81</v>
      </c>
      <c r="ED166" s="137">
        <f>ROUND(I166*H166,2)</f>
        <v>38944.31</v>
      </c>
      <c r="EE166" s="16" t="s">
        <v>95</v>
      </c>
      <c r="EF166" s="136" t="s">
        <v>3213</v>
      </c>
    </row>
    <row r="167" spans="2:136" s="1" customFormat="1" ht="39" x14ac:dyDescent="0.2">
      <c r="B167" s="31"/>
      <c r="D167" s="138" t="s">
        <v>289</v>
      </c>
      <c r="F167" s="139" t="s">
        <v>3214</v>
      </c>
      <c r="I167" s="140"/>
      <c r="L167" s="31"/>
      <c r="N167" s="278"/>
      <c r="O167" s="279"/>
      <c r="Q167" s="229"/>
      <c r="CF167" s="141"/>
      <c r="CM167" s="50"/>
      <c r="DM167" s="16" t="s">
        <v>289</v>
      </c>
      <c r="DN167" s="16" t="s">
        <v>90</v>
      </c>
    </row>
    <row r="168" spans="2:136" s="1" customFormat="1" ht="37.9" customHeight="1" x14ac:dyDescent="0.2">
      <c r="B168" s="124"/>
      <c r="C168" s="125" t="s">
        <v>348</v>
      </c>
      <c r="D168" s="125" t="s">
        <v>284</v>
      </c>
      <c r="E168" s="126" t="s">
        <v>3215</v>
      </c>
      <c r="F168" s="127" t="s">
        <v>3216</v>
      </c>
      <c r="G168" s="128" t="s">
        <v>1948</v>
      </c>
      <c r="H168" s="129">
        <v>1</v>
      </c>
      <c r="I168" s="130">
        <v>47888.627999999997</v>
      </c>
      <c r="J168" s="131">
        <f>ROUND(I168*H168,2)</f>
        <v>47888.63</v>
      </c>
      <c r="K168" s="127" t="s">
        <v>1</v>
      </c>
      <c r="L168" s="268">
        <f>S168</f>
        <v>0</v>
      </c>
      <c r="M168" s="272">
        <f>ROUND(L168*I168,2)</f>
        <v>0</v>
      </c>
      <c r="N168" s="276"/>
      <c r="O168" s="277">
        <f>ROUND(N168*I168,2)</f>
        <v>0</v>
      </c>
      <c r="P168" s="273">
        <f>H168-L168-N168</f>
        <v>1</v>
      </c>
      <c r="Q168" s="287">
        <f>ROUND(P168*I168,2)</f>
        <v>47888.63</v>
      </c>
      <c r="R168" s="137"/>
      <c r="S168" s="269">
        <f>W168+Y168+AA168+AC168+AE168+AG168+AI168+AK168+AM168+AO168+AQ168+AS168+AU168+AW168</f>
        <v>0</v>
      </c>
      <c r="T168" s="269">
        <f>ROUND(S168*I168,2)</f>
        <v>0</v>
      </c>
      <c r="U168" s="269">
        <f>H168-S168</f>
        <v>1</v>
      </c>
      <c r="V168" s="269">
        <f>ROUND(U168*I168,2)</f>
        <v>47888.63</v>
      </c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CF168" s="132" t="s">
        <v>1</v>
      </c>
      <c r="CG168" s="133" t="s">
        <v>40</v>
      </c>
      <c r="CI168" s="134">
        <f>CH168*H168</f>
        <v>0</v>
      </c>
      <c r="CJ168" s="134">
        <v>0</v>
      </c>
      <c r="CK168" s="134">
        <f>CJ168*H168</f>
        <v>0</v>
      </c>
      <c r="CL168" s="134">
        <v>0</v>
      </c>
      <c r="CM168" s="135">
        <f>CL168*H168</f>
        <v>0</v>
      </c>
      <c r="DK168" s="136" t="s">
        <v>95</v>
      </c>
      <c r="DM168" s="136" t="s">
        <v>284</v>
      </c>
      <c r="DN168" s="136" t="s">
        <v>90</v>
      </c>
      <c r="DR168" s="16" t="s">
        <v>282</v>
      </c>
      <c r="DX168" s="137">
        <f>IF(CG168="základní",J168,0)</f>
        <v>47888.63</v>
      </c>
      <c r="DY168" s="137">
        <f>IF(CG168="snížená",J168,0)</f>
        <v>0</v>
      </c>
      <c r="DZ168" s="137">
        <f>IF(CG168="zákl. přenesená",J168,0)</f>
        <v>0</v>
      </c>
      <c r="EA168" s="137">
        <f>IF(CG168="sníž. přenesená",J168,0)</f>
        <v>0</v>
      </c>
      <c r="EB168" s="137">
        <f>IF(CG168="nulová",J168,0)</f>
        <v>0</v>
      </c>
      <c r="EC168" s="16" t="s">
        <v>81</v>
      </c>
      <c r="ED168" s="137">
        <f>ROUND(I168*H168,2)</f>
        <v>47888.63</v>
      </c>
      <c r="EE168" s="16" t="s">
        <v>95</v>
      </c>
      <c r="EF168" s="136" t="s">
        <v>3217</v>
      </c>
    </row>
    <row r="169" spans="2:136" s="1" customFormat="1" ht="58.5" x14ac:dyDescent="0.2">
      <c r="B169" s="31"/>
      <c r="D169" s="138" t="s">
        <v>289</v>
      </c>
      <c r="F169" s="139" t="s">
        <v>3218</v>
      </c>
      <c r="I169" s="140"/>
      <c r="L169" s="31"/>
      <c r="N169" s="278"/>
      <c r="O169" s="279"/>
      <c r="Q169" s="229"/>
      <c r="CF169" s="141"/>
      <c r="CM169" s="50"/>
      <c r="DM169" s="16" t="s">
        <v>289</v>
      </c>
      <c r="DN169" s="16" t="s">
        <v>90</v>
      </c>
    </row>
    <row r="170" spans="2:136" s="1" customFormat="1" ht="14.45" customHeight="1" x14ac:dyDescent="0.2">
      <c r="B170" s="124"/>
      <c r="C170" s="125" t="s">
        <v>327</v>
      </c>
      <c r="D170" s="125" t="s">
        <v>284</v>
      </c>
      <c r="E170" s="126" t="s">
        <v>3219</v>
      </c>
      <c r="F170" s="127" t="s">
        <v>3220</v>
      </c>
      <c r="G170" s="128" t="s">
        <v>1948</v>
      </c>
      <c r="H170" s="129">
        <v>1</v>
      </c>
      <c r="I170" s="130">
        <v>24208.235499999999</v>
      </c>
      <c r="J170" s="131">
        <f>ROUND(I170*H170,2)</f>
        <v>24208.240000000002</v>
      </c>
      <c r="K170" s="127" t="s">
        <v>1</v>
      </c>
      <c r="L170" s="268">
        <f>S170</f>
        <v>0</v>
      </c>
      <c r="M170" s="272">
        <f>ROUND(L170*I170,2)</f>
        <v>0</v>
      </c>
      <c r="N170" s="276"/>
      <c r="O170" s="277">
        <f>ROUND(N170*I170,2)</f>
        <v>0</v>
      </c>
      <c r="P170" s="273">
        <f>H170-L170-N170</f>
        <v>1</v>
      </c>
      <c r="Q170" s="287">
        <f>ROUND(P170*I170,2)</f>
        <v>24208.240000000002</v>
      </c>
      <c r="R170" s="137"/>
      <c r="S170" s="269">
        <f>W170+Y170+AA170+AC170+AE170+AG170+AI170+AK170+AM170+AO170+AQ170+AS170+AU170+AW170</f>
        <v>0</v>
      </c>
      <c r="T170" s="269">
        <f>ROUND(S170*I170,2)</f>
        <v>0</v>
      </c>
      <c r="U170" s="269">
        <f>H170-S170</f>
        <v>1</v>
      </c>
      <c r="V170" s="269">
        <f>ROUND(U170*I170,2)</f>
        <v>24208.240000000002</v>
      </c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CF170" s="132" t="s">
        <v>1</v>
      </c>
      <c r="CG170" s="133" t="s">
        <v>40</v>
      </c>
      <c r="CI170" s="134">
        <f>CH170*H170</f>
        <v>0</v>
      </c>
      <c r="CJ170" s="134">
        <v>0</v>
      </c>
      <c r="CK170" s="134">
        <f>CJ170*H170</f>
        <v>0</v>
      </c>
      <c r="CL170" s="134">
        <v>0</v>
      </c>
      <c r="CM170" s="135">
        <f>CL170*H170</f>
        <v>0</v>
      </c>
      <c r="DK170" s="136" t="s">
        <v>95</v>
      </c>
      <c r="DM170" s="136" t="s">
        <v>284</v>
      </c>
      <c r="DN170" s="136" t="s">
        <v>90</v>
      </c>
      <c r="DR170" s="16" t="s">
        <v>282</v>
      </c>
      <c r="DX170" s="137">
        <f>IF(CG170="základní",J170,0)</f>
        <v>24208.240000000002</v>
      </c>
      <c r="DY170" s="137">
        <f>IF(CG170="snížená",J170,0)</f>
        <v>0</v>
      </c>
      <c r="DZ170" s="137">
        <f>IF(CG170="zákl. přenesená",J170,0)</f>
        <v>0</v>
      </c>
      <c r="EA170" s="137">
        <f>IF(CG170="sníž. přenesená",J170,0)</f>
        <v>0</v>
      </c>
      <c r="EB170" s="137">
        <f>IF(CG170="nulová",J170,0)</f>
        <v>0</v>
      </c>
      <c r="EC170" s="16" t="s">
        <v>81</v>
      </c>
      <c r="ED170" s="137">
        <f>ROUND(I170*H170,2)</f>
        <v>24208.240000000002</v>
      </c>
      <c r="EE170" s="16" t="s">
        <v>95</v>
      </c>
      <c r="EF170" s="136" t="s">
        <v>3221</v>
      </c>
    </row>
    <row r="171" spans="2:136" s="1" customFormat="1" ht="19.5" x14ac:dyDescent="0.2">
      <c r="B171" s="31"/>
      <c r="D171" s="138" t="s">
        <v>289</v>
      </c>
      <c r="F171" s="139" t="s">
        <v>3222</v>
      </c>
      <c r="I171" s="140"/>
      <c r="L171" s="31"/>
      <c r="N171" s="278"/>
      <c r="O171" s="279"/>
      <c r="Q171" s="229"/>
      <c r="CF171" s="141"/>
      <c r="CM171" s="50"/>
      <c r="DM171" s="16" t="s">
        <v>289</v>
      </c>
      <c r="DN171" s="16" t="s">
        <v>90</v>
      </c>
    </row>
    <row r="172" spans="2:136" s="10" customFormat="1" ht="20.85" customHeight="1" x14ac:dyDescent="0.2">
      <c r="B172" s="112"/>
      <c r="D172" s="113" t="s">
        <v>73</v>
      </c>
      <c r="E172" s="122" t="s">
        <v>3223</v>
      </c>
      <c r="F172" s="122" t="s">
        <v>3224</v>
      </c>
      <c r="I172" s="115"/>
      <c r="J172" s="123">
        <f>ED172</f>
        <v>33680.39</v>
      </c>
      <c r="L172" s="112"/>
      <c r="M172" s="270">
        <f>M173</f>
        <v>0</v>
      </c>
      <c r="N172" s="280"/>
      <c r="O172" s="281">
        <f t="shared" ref="O172:V172" si="8">O173</f>
        <v>0</v>
      </c>
      <c r="P172" s="270"/>
      <c r="Q172" s="288">
        <f t="shared" si="8"/>
        <v>33680.39</v>
      </c>
      <c r="R172" s="270"/>
      <c r="S172" s="270"/>
      <c r="T172" s="270">
        <f t="shared" si="8"/>
        <v>0</v>
      </c>
      <c r="U172" s="270"/>
      <c r="V172" s="270">
        <f t="shared" si="8"/>
        <v>33680.39</v>
      </c>
      <c r="CF172" s="117"/>
      <c r="CI172" s="118">
        <f>SUM(CI173:CI174)</f>
        <v>0</v>
      </c>
      <c r="CK172" s="118">
        <f>SUM(CK173:CK174)</f>
        <v>0</v>
      </c>
      <c r="CM172" s="119">
        <f>SUM(CM173:CM174)</f>
        <v>0</v>
      </c>
      <c r="DK172" s="113" t="s">
        <v>81</v>
      </c>
      <c r="DM172" s="120" t="s">
        <v>73</v>
      </c>
      <c r="DN172" s="120" t="s">
        <v>83</v>
      </c>
      <c r="DR172" s="113" t="s">
        <v>282</v>
      </c>
      <c r="ED172" s="121">
        <f>SUM(ED173:ED174)</f>
        <v>33680.39</v>
      </c>
    </row>
    <row r="173" spans="2:136" s="1" customFormat="1" ht="14.45" customHeight="1" x14ac:dyDescent="0.2">
      <c r="B173" s="124"/>
      <c r="C173" s="125" t="s">
        <v>359</v>
      </c>
      <c r="D173" s="125" t="s">
        <v>284</v>
      </c>
      <c r="E173" s="126" t="s">
        <v>3225</v>
      </c>
      <c r="F173" s="127" t="s">
        <v>3226</v>
      </c>
      <c r="G173" s="128" t="s">
        <v>1948</v>
      </c>
      <c r="H173" s="129">
        <v>1</v>
      </c>
      <c r="I173" s="130">
        <v>33680.392500000002</v>
      </c>
      <c r="J173" s="131">
        <f>ROUND(I173*H173,2)</f>
        <v>33680.39</v>
      </c>
      <c r="K173" s="127" t="s">
        <v>1</v>
      </c>
      <c r="L173" s="268">
        <f>S173</f>
        <v>0</v>
      </c>
      <c r="M173" s="272">
        <f>ROUND(L173*I173,2)</f>
        <v>0</v>
      </c>
      <c r="N173" s="276"/>
      <c r="O173" s="277">
        <f>ROUND(N173*I173,2)</f>
        <v>0</v>
      </c>
      <c r="P173" s="273">
        <f>H173-L173-N173</f>
        <v>1</v>
      </c>
      <c r="Q173" s="287">
        <f>ROUND(P173*I173,2)</f>
        <v>33680.39</v>
      </c>
      <c r="R173" s="137"/>
      <c r="S173" s="269">
        <f>W173+Y173+AA173+AC173+AE173+AG173+AI173+AK173+AM173+AO173+AQ173+AS173+AU173+AW173</f>
        <v>0</v>
      </c>
      <c r="T173" s="269">
        <f>ROUND(S173*I173,2)</f>
        <v>0</v>
      </c>
      <c r="U173" s="269">
        <f>H173-S173</f>
        <v>1</v>
      </c>
      <c r="V173" s="269">
        <f>ROUND(U173*I173,2)</f>
        <v>33680.39</v>
      </c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CF173" s="132" t="s">
        <v>1</v>
      </c>
      <c r="CG173" s="133" t="s">
        <v>40</v>
      </c>
      <c r="CI173" s="134">
        <f>CH173*H173</f>
        <v>0</v>
      </c>
      <c r="CJ173" s="134">
        <v>0</v>
      </c>
      <c r="CK173" s="134">
        <f>CJ173*H173</f>
        <v>0</v>
      </c>
      <c r="CL173" s="134">
        <v>0</v>
      </c>
      <c r="CM173" s="135">
        <f>CL173*H173</f>
        <v>0</v>
      </c>
      <c r="DK173" s="136" t="s">
        <v>95</v>
      </c>
      <c r="DM173" s="136" t="s">
        <v>284</v>
      </c>
      <c r="DN173" s="136" t="s">
        <v>90</v>
      </c>
      <c r="DR173" s="16" t="s">
        <v>282</v>
      </c>
      <c r="DX173" s="137">
        <f>IF(CG173="základní",J173,0)</f>
        <v>33680.39</v>
      </c>
      <c r="DY173" s="137">
        <f>IF(CG173="snížená",J173,0)</f>
        <v>0</v>
      </c>
      <c r="DZ173" s="137">
        <f>IF(CG173="zákl. přenesená",J173,0)</f>
        <v>0</v>
      </c>
      <c r="EA173" s="137">
        <f>IF(CG173="sníž. přenesená",J173,0)</f>
        <v>0</v>
      </c>
      <c r="EB173" s="137">
        <f>IF(CG173="nulová",J173,0)</f>
        <v>0</v>
      </c>
      <c r="EC173" s="16" t="s">
        <v>81</v>
      </c>
      <c r="ED173" s="137">
        <f>ROUND(I173*H173,2)</f>
        <v>33680.39</v>
      </c>
      <c r="EE173" s="16" t="s">
        <v>95</v>
      </c>
      <c r="EF173" s="136" t="s">
        <v>3227</v>
      </c>
    </row>
    <row r="174" spans="2:136" s="1" customFormat="1" ht="48.75" x14ac:dyDescent="0.2">
      <c r="B174" s="31"/>
      <c r="D174" s="138" t="s">
        <v>289</v>
      </c>
      <c r="F174" s="139" t="s">
        <v>3228</v>
      </c>
      <c r="I174" s="140"/>
      <c r="L174" s="31"/>
      <c r="N174" s="278"/>
      <c r="O174" s="279"/>
      <c r="Q174" s="229"/>
      <c r="CF174" s="141"/>
      <c r="CM174" s="50"/>
      <c r="DM174" s="16" t="s">
        <v>289</v>
      </c>
      <c r="DN174" s="16" t="s">
        <v>90</v>
      </c>
    </row>
    <row r="175" spans="2:136" s="10" customFormat="1" ht="20.85" customHeight="1" x14ac:dyDescent="0.2">
      <c r="B175" s="112"/>
      <c r="D175" s="113" t="s">
        <v>73</v>
      </c>
      <c r="E175" s="122" t="s">
        <v>3229</v>
      </c>
      <c r="F175" s="122" t="s">
        <v>3230</v>
      </c>
      <c r="I175" s="115"/>
      <c r="J175" s="123">
        <f>ED175</f>
        <v>33680.39</v>
      </c>
      <c r="L175" s="112"/>
      <c r="M175" s="270">
        <f>M176</f>
        <v>0</v>
      </c>
      <c r="N175" s="280"/>
      <c r="O175" s="281">
        <f t="shared" ref="O175:V175" si="9">O176</f>
        <v>0</v>
      </c>
      <c r="P175" s="270"/>
      <c r="Q175" s="288">
        <f t="shared" si="9"/>
        <v>33680.39</v>
      </c>
      <c r="R175" s="270"/>
      <c r="S175" s="270"/>
      <c r="T175" s="270">
        <f t="shared" si="9"/>
        <v>0</v>
      </c>
      <c r="U175" s="270"/>
      <c r="V175" s="270">
        <f t="shared" si="9"/>
        <v>33680.39</v>
      </c>
      <c r="CF175" s="117"/>
      <c r="CI175" s="118">
        <f>SUM(CI176:CI177)</f>
        <v>0</v>
      </c>
      <c r="CK175" s="118">
        <f>SUM(CK176:CK177)</f>
        <v>0</v>
      </c>
      <c r="CM175" s="119">
        <f>SUM(CM176:CM177)</f>
        <v>0</v>
      </c>
      <c r="DK175" s="113" t="s">
        <v>81</v>
      </c>
      <c r="DM175" s="120" t="s">
        <v>73</v>
      </c>
      <c r="DN175" s="120" t="s">
        <v>83</v>
      </c>
      <c r="DR175" s="113" t="s">
        <v>282</v>
      </c>
      <c r="ED175" s="121">
        <f>SUM(ED176:ED177)</f>
        <v>33680.39</v>
      </c>
    </row>
    <row r="176" spans="2:136" s="1" customFormat="1" ht="14.45" customHeight="1" x14ac:dyDescent="0.2">
      <c r="B176" s="124"/>
      <c r="C176" s="125" t="s">
        <v>363</v>
      </c>
      <c r="D176" s="125" t="s">
        <v>284</v>
      </c>
      <c r="E176" s="126" t="s">
        <v>3231</v>
      </c>
      <c r="F176" s="127" t="s">
        <v>3232</v>
      </c>
      <c r="G176" s="128" t="s">
        <v>1948</v>
      </c>
      <c r="H176" s="129">
        <v>1</v>
      </c>
      <c r="I176" s="130">
        <v>33680.392500000002</v>
      </c>
      <c r="J176" s="131">
        <f>ROUND(I176*H176,2)</f>
        <v>33680.39</v>
      </c>
      <c r="K176" s="127" t="s">
        <v>1</v>
      </c>
      <c r="L176" s="268">
        <f>S176</f>
        <v>0</v>
      </c>
      <c r="M176" s="272">
        <f>ROUND(L176*I176,2)</f>
        <v>0</v>
      </c>
      <c r="N176" s="276"/>
      <c r="O176" s="277">
        <f>ROUND(N176*I176,2)</f>
        <v>0</v>
      </c>
      <c r="P176" s="273">
        <f>H176-L176-N176</f>
        <v>1</v>
      </c>
      <c r="Q176" s="287">
        <f>ROUND(P176*I176,2)</f>
        <v>33680.39</v>
      </c>
      <c r="R176" s="137"/>
      <c r="S176" s="269">
        <f>W176+Y176+AA176+AC176+AE176+AG176+AI176+AK176+AM176+AO176+AQ176+AS176+AU176+AW176</f>
        <v>0</v>
      </c>
      <c r="T176" s="269">
        <f>ROUND(S176*I176,2)</f>
        <v>0</v>
      </c>
      <c r="U176" s="269">
        <f>H176-S176</f>
        <v>1</v>
      </c>
      <c r="V176" s="269">
        <f>ROUND(U176*I176,2)</f>
        <v>33680.39</v>
      </c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CF176" s="132" t="s">
        <v>1</v>
      </c>
      <c r="CG176" s="133" t="s">
        <v>40</v>
      </c>
      <c r="CI176" s="134">
        <f>CH176*H176</f>
        <v>0</v>
      </c>
      <c r="CJ176" s="134">
        <v>0</v>
      </c>
      <c r="CK176" s="134">
        <f>CJ176*H176</f>
        <v>0</v>
      </c>
      <c r="CL176" s="134">
        <v>0</v>
      </c>
      <c r="CM176" s="135">
        <f>CL176*H176</f>
        <v>0</v>
      </c>
      <c r="DK176" s="136" t="s">
        <v>95</v>
      </c>
      <c r="DM176" s="136" t="s">
        <v>284</v>
      </c>
      <c r="DN176" s="136" t="s">
        <v>90</v>
      </c>
      <c r="DR176" s="16" t="s">
        <v>282</v>
      </c>
      <c r="DX176" s="137">
        <f>IF(CG176="základní",J176,0)</f>
        <v>33680.39</v>
      </c>
      <c r="DY176" s="137">
        <f>IF(CG176="snížená",J176,0)</f>
        <v>0</v>
      </c>
      <c r="DZ176" s="137">
        <f>IF(CG176="zákl. přenesená",J176,0)</f>
        <v>0</v>
      </c>
      <c r="EA176" s="137">
        <f>IF(CG176="sníž. přenesená",J176,0)</f>
        <v>0</v>
      </c>
      <c r="EB176" s="137">
        <f>IF(CG176="nulová",J176,0)</f>
        <v>0</v>
      </c>
      <c r="EC176" s="16" t="s">
        <v>81</v>
      </c>
      <c r="ED176" s="137">
        <f>ROUND(I176*H176,2)</f>
        <v>33680.39</v>
      </c>
      <c r="EE176" s="16" t="s">
        <v>95</v>
      </c>
      <c r="EF176" s="136" t="s">
        <v>3233</v>
      </c>
    </row>
    <row r="177" spans="2:136" s="1" customFormat="1" ht="48.75" x14ac:dyDescent="0.2">
      <c r="B177" s="31"/>
      <c r="D177" s="138" t="s">
        <v>289</v>
      </c>
      <c r="F177" s="139" t="s">
        <v>3234</v>
      </c>
      <c r="I177" s="140"/>
      <c r="L177" s="31"/>
      <c r="N177" s="278"/>
      <c r="O177" s="279"/>
      <c r="Q177" s="229"/>
      <c r="CF177" s="141"/>
      <c r="CM177" s="50"/>
      <c r="DM177" s="16" t="s">
        <v>289</v>
      </c>
      <c r="DN177" s="16" t="s">
        <v>90</v>
      </c>
    </row>
    <row r="178" spans="2:136" s="10" customFormat="1" ht="22.9" customHeight="1" x14ac:dyDescent="0.2">
      <c r="B178" s="112"/>
      <c r="D178" s="113" t="s">
        <v>73</v>
      </c>
      <c r="E178" s="122" t="s">
        <v>3235</v>
      </c>
      <c r="F178" s="122" t="s">
        <v>3236</v>
      </c>
      <c r="I178" s="115"/>
      <c r="J178" s="123">
        <f>ED178</f>
        <v>18944.310000000001</v>
      </c>
      <c r="L178" s="112"/>
      <c r="N178" s="282"/>
      <c r="O178" s="283"/>
      <c r="Q178" s="289"/>
      <c r="CF178" s="117"/>
      <c r="CI178" s="118">
        <f>CI179</f>
        <v>0</v>
      </c>
      <c r="CK178" s="118">
        <f>CK179</f>
        <v>0</v>
      </c>
      <c r="CM178" s="119">
        <f>CM179</f>
        <v>0</v>
      </c>
      <c r="DK178" s="113" t="s">
        <v>81</v>
      </c>
      <c r="DM178" s="120" t="s">
        <v>73</v>
      </c>
      <c r="DN178" s="120" t="s">
        <v>81</v>
      </c>
      <c r="DR178" s="113" t="s">
        <v>282</v>
      </c>
      <c r="ED178" s="121">
        <f>ED179</f>
        <v>18944.310000000001</v>
      </c>
    </row>
    <row r="179" spans="2:136" s="10" customFormat="1" ht="20.85" customHeight="1" x14ac:dyDescent="0.2">
      <c r="B179" s="112"/>
      <c r="D179" s="113" t="s">
        <v>73</v>
      </c>
      <c r="E179" s="122" t="s">
        <v>3237</v>
      </c>
      <c r="F179" s="122" t="s">
        <v>3238</v>
      </c>
      <c r="I179" s="115"/>
      <c r="J179" s="123">
        <f>ED179</f>
        <v>18944.310000000001</v>
      </c>
      <c r="L179" s="112"/>
      <c r="M179" s="270">
        <f>M180</f>
        <v>0</v>
      </c>
      <c r="N179" s="280"/>
      <c r="O179" s="281">
        <f t="shared" ref="O179:V179" si="10">O180</f>
        <v>0</v>
      </c>
      <c r="P179" s="270"/>
      <c r="Q179" s="288">
        <f t="shared" si="10"/>
        <v>18944.310000000001</v>
      </c>
      <c r="R179" s="270"/>
      <c r="S179" s="270"/>
      <c r="T179" s="270">
        <f t="shared" si="10"/>
        <v>0</v>
      </c>
      <c r="U179" s="270"/>
      <c r="V179" s="270">
        <f t="shared" si="10"/>
        <v>18944.310000000001</v>
      </c>
      <c r="CF179" s="117"/>
      <c r="CI179" s="118">
        <f>SUM(CI180:CI181)</f>
        <v>0</v>
      </c>
      <c r="CK179" s="118">
        <f>SUM(CK180:CK181)</f>
        <v>0</v>
      </c>
      <c r="CM179" s="119">
        <f>SUM(CM180:CM181)</f>
        <v>0</v>
      </c>
      <c r="DK179" s="113" t="s">
        <v>81</v>
      </c>
      <c r="DM179" s="120" t="s">
        <v>73</v>
      </c>
      <c r="DN179" s="120" t="s">
        <v>83</v>
      </c>
      <c r="DR179" s="113" t="s">
        <v>282</v>
      </c>
      <c r="ED179" s="121">
        <f>SUM(ED180:ED181)</f>
        <v>18944.310000000001</v>
      </c>
    </row>
    <row r="180" spans="2:136" s="1" customFormat="1" ht="14.45" customHeight="1" x14ac:dyDescent="0.2">
      <c r="B180" s="124"/>
      <c r="C180" s="125" t="s">
        <v>8</v>
      </c>
      <c r="D180" s="125" t="s">
        <v>284</v>
      </c>
      <c r="E180" s="126" t="s">
        <v>3239</v>
      </c>
      <c r="F180" s="127" t="s">
        <v>3238</v>
      </c>
      <c r="G180" s="128" t="s">
        <v>1948</v>
      </c>
      <c r="H180" s="129">
        <v>1</v>
      </c>
      <c r="I180" s="130">
        <v>18944.313999999998</v>
      </c>
      <c r="J180" s="131">
        <f>ROUND(I180*H180,2)</f>
        <v>18944.310000000001</v>
      </c>
      <c r="K180" s="127" t="s">
        <v>1</v>
      </c>
      <c r="L180" s="268">
        <f>S180</f>
        <v>0</v>
      </c>
      <c r="M180" s="272">
        <f>ROUND(L180*I180,2)</f>
        <v>0</v>
      </c>
      <c r="N180" s="276"/>
      <c r="O180" s="277">
        <f>ROUND(N180*I180,2)</f>
        <v>0</v>
      </c>
      <c r="P180" s="273">
        <f>H180-L180-N180</f>
        <v>1</v>
      </c>
      <c r="Q180" s="287">
        <f>ROUND(P180*I180,2)</f>
        <v>18944.310000000001</v>
      </c>
      <c r="R180" s="137"/>
      <c r="S180" s="269">
        <f>W180+Y180+AA180+AC180+AE180+AG180+AI180+AK180+AM180+AO180+AQ180+AS180+AU180+AW180</f>
        <v>0</v>
      </c>
      <c r="T180" s="269">
        <f>ROUND(S180*I180,2)</f>
        <v>0</v>
      </c>
      <c r="U180" s="269">
        <f>H180-S180</f>
        <v>1</v>
      </c>
      <c r="V180" s="269">
        <f>ROUND(U180*I180,2)</f>
        <v>18944.310000000001</v>
      </c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CF180" s="132" t="s">
        <v>1</v>
      </c>
      <c r="CG180" s="133" t="s">
        <v>40</v>
      </c>
      <c r="CI180" s="134">
        <f>CH180*H180</f>
        <v>0</v>
      </c>
      <c r="CJ180" s="134">
        <v>0</v>
      </c>
      <c r="CK180" s="134">
        <f>CJ180*H180</f>
        <v>0</v>
      </c>
      <c r="CL180" s="134">
        <v>0</v>
      </c>
      <c r="CM180" s="135">
        <f>CL180*H180</f>
        <v>0</v>
      </c>
      <c r="DK180" s="136" t="s">
        <v>95</v>
      </c>
      <c r="DM180" s="136" t="s">
        <v>284</v>
      </c>
      <c r="DN180" s="136" t="s">
        <v>90</v>
      </c>
      <c r="DR180" s="16" t="s">
        <v>282</v>
      </c>
      <c r="DX180" s="137">
        <f>IF(CG180="základní",J180,0)</f>
        <v>18944.310000000001</v>
      </c>
      <c r="DY180" s="137">
        <f>IF(CG180="snížená",J180,0)</f>
        <v>0</v>
      </c>
      <c r="DZ180" s="137">
        <f>IF(CG180="zákl. přenesená",J180,0)</f>
        <v>0</v>
      </c>
      <c r="EA180" s="137">
        <f>IF(CG180="sníž. přenesená",J180,0)</f>
        <v>0</v>
      </c>
      <c r="EB180" s="137">
        <f>IF(CG180="nulová",J180,0)</f>
        <v>0</v>
      </c>
      <c r="EC180" s="16" t="s">
        <v>81</v>
      </c>
      <c r="ED180" s="137">
        <f>ROUND(I180*H180,2)</f>
        <v>18944.310000000001</v>
      </c>
      <c r="EE180" s="16" t="s">
        <v>95</v>
      </c>
      <c r="EF180" s="136" t="s">
        <v>3240</v>
      </c>
    </row>
    <row r="181" spans="2:136" s="1" customFormat="1" ht="29.25" x14ac:dyDescent="0.2">
      <c r="B181" s="31"/>
      <c r="D181" s="138" t="s">
        <v>289</v>
      </c>
      <c r="F181" s="139" t="s">
        <v>3241</v>
      </c>
      <c r="I181" s="140"/>
      <c r="L181" s="31"/>
      <c r="N181" s="278"/>
      <c r="O181" s="279"/>
      <c r="Q181" s="229"/>
      <c r="CF181" s="141"/>
      <c r="CM181" s="50"/>
      <c r="DM181" s="16" t="s">
        <v>289</v>
      </c>
      <c r="DN181" s="16" t="s">
        <v>90</v>
      </c>
    </row>
    <row r="182" spans="2:136" s="10" customFormat="1" ht="22.9" customHeight="1" x14ac:dyDescent="0.2">
      <c r="B182" s="112"/>
      <c r="D182" s="113" t="s">
        <v>73</v>
      </c>
      <c r="E182" s="122" t="s">
        <v>3242</v>
      </c>
      <c r="F182" s="122" t="s">
        <v>3243</v>
      </c>
      <c r="I182" s="115"/>
      <c r="J182" s="123">
        <f>ED182</f>
        <v>611600.71000000008</v>
      </c>
      <c r="L182" s="112"/>
      <c r="N182" s="282"/>
      <c r="O182" s="283"/>
      <c r="Q182" s="289"/>
      <c r="CF182" s="117"/>
      <c r="CI182" s="118">
        <f>CI183+CI186+CI195+CI202+CI205+CI208+CI211</f>
        <v>0</v>
      </c>
      <c r="CK182" s="118">
        <f>CK183+CK186+CK195+CK202+CK205+CK208+CK211</f>
        <v>0</v>
      </c>
      <c r="CM182" s="119">
        <f>CM183+CM186+CM195+CM202+CM205+CM208+CM211</f>
        <v>0</v>
      </c>
      <c r="DK182" s="113" t="s">
        <v>81</v>
      </c>
      <c r="DM182" s="120" t="s">
        <v>73</v>
      </c>
      <c r="DN182" s="120" t="s">
        <v>81</v>
      </c>
      <c r="DR182" s="113" t="s">
        <v>282</v>
      </c>
      <c r="ED182" s="121">
        <f>ED183+ED186+ED195+ED202+ED205+ED208+ED211</f>
        <v>611600.71000000008</v>
      </c>
    </row>
    <row r="183" spans="2:136" s="10" customFormat="1" ht="20.85" customHeight="1" x14ac:dyDescent="0.2">
      <c r="B183" s="112"/>
      <c r="D183" s="113" t="s">
        <v>73</v>
      </c>
      <c r="E183" s="122" t="s">
        <v>3244</v>
      </c>
      <c r="F183" s="122" t="s">
        <v>3245</v>
      </c>
      <c r="I183" s="115"/>
      <c r="J183" s="123">
        <f>ED183</f>
        <v>9472.16</v>
      </c>
      <c r="L183" s="112"/>
      <c r="M183" s="270">
        <f>M184</f>
        <v>0</v>
      </c>
      <c r="N183" s="280"/>
      <c r="O183" s="281">
        <f t="shared" ref="O183:V183" si="11">O184</f>
        <v>0</v>
      </c>
      <c r="P183" s="270"/>
      <c r="Q183" s="288">
        <f t="shared" si="11"/>
        <v>9472.16</v>
      </c>
      <c r="R183" s="270"/>
      <c r="S183" s="270"/>
      <c r="T183" s="270">
        <f t="shared" si="11"/>
        <v>0</v>
      </c>
      <c r="U183" s="270"/>
      <c r="V183" s="270">
        <f t="shared" si="11"/>
        <v>9472.16</v>
      </c>
      <c r="CF183" s="117"/>
      <c r="CI183" s="118">
        <f>SUM(CI184:CI185)</f>
        <v>0</v>
      </c>
      <c r="CK183" s="118">
        <f>SUM(CK184:CK185)</f>
        <v>0</v>
      </c>
      <c r="CM183" s="119">
        <f>SUM(CM184:CM185)</f>
        <v>0</v>
      </c>
      <c r="DK183" s="113" t="s">
        <v>81</v>
      </c>
      <c r="DM183" s="120" t="s">
        <v>73</v>
      </c>
      <c r="DN183" s="120" t="s">
        <v>83</v>
      </c>
      <c r="DR183" s="113" t="s">
        <v>282</v>
      </c>
      <c r="ED183" s="121">
        <f>SUM(ED184:ED185)</f>
        <v>9472.16</v>
      </c>
    </row>
    <row r="184" spans="2:136" s="1" customFormat="1" ht="24.2" customHeight="1" x14ac:dyDescent="0.2">
      <c r="B184" s="124"/>
      <c r="C184" s="125" t="s">
        <v>379</v>
      </c>
      <c r="D184" s="125" t="s">
        <v>284</v>
      </c>
      <c r="E184" s="126" t="s">
        <v>3246</v>
      </c>
      <c r="F184" s="127" t="s">
        <v>3247</v>
      </c>
      <c r="G184" s="128" t="s">
        <v>1948</v>
      </c>
      <c r="H184" s="129">
        <v>1</v>
      </c>
      <c r="I184" s="130">
        <v>9472.1569999999992</v>
      </c>
      <c r="J184" s="131">
        <f>ROUND(I184*H184,2)</f>
        <v>9472.16</v>
      </c>
      <c r="K184" s="127" t="s">
        <v>1</v>
      </c>
      <c r="L184" s="268">
        <f>S184</f>
        <v>0</v>
      </c>
      <c r="M184" s="272">
        <f>ROUND(L184*I184,2)</f>
        <v>0</v>
      </c>
      <c r="N184" s="276"/>
      <c r="O184" s="277">
        <f>ROUND(N184*I184,2)</f>
        <v>0</v>
      </c>
      <c r="P184" s="273">
        <f>H184-L184-N184</f>
        <v>1</v>
      </c>
      <c r="Q184" s="287">
        <f>ROUND(P184*I184,2)</f>
        <v>9472.16</v>
      </c>
      <c r="R184" s="137"/>
      <c r="S184" s="269">
        <f>W184+Y184+AA184+AC184+AE184+AG184+AI184+AK184+AM184+AO184+AQ184+AS184+AU184+AW184</f>
        <v>0</v>
      </c>
      <c r="T184" s="269">
        <f>ROUND(S184*I184,2)</f>
        <v>0</v>
      </c>
      <c r="U184" s="269">
        <f>H184-S184</f>
        <v>1</v>
      </c>
      <c r="V184" s="269">
        <f>ROUND(U184*I184,2)</f>
        <v>9472.16</v>
      </c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CF184" s="132" t="s">
        <v>1</v>
      </c>
      <c r="CG184" s="133" t="s">
        <v>40</v>
      </c>
      <c r="CI184" s="134">
        <f>CH184*H184</f>
        <v>0</v>
      </c>
      <c r="CJ184" s="134">
        <v>0</v>
      </c>
      <c r="CK184" s="134">
        <f>CJ184*H184</f>
        <v>0</v>
      </c>
      <c r="CL184" s="134">
        <v>0</v>
      </c>
      <c r="CM184" s="135">
        <f>CL184*H184</f>
        <v>0</v>
      </c>
      <c r="DK184" s="136" t="s">
        <v>95</v>
      </c>
      <c r="DM184" s="136" t="s">
        <v>284</v>
      </c>
      <c r="DN184" s="136" t="s">
        <v>90</v>
      </c>
      <c r="DR184" s="16" t="s">
        <v>282</v>
      </c>
      <c r="DX184" s="137">
        <f>IF(CG184="základní",J184,0)</f>
        <v>9472.16</v>
      </c>
      <c r="DY184" s="137">
        <f>IF(CG184="snížená",J184,0)</f>
        <v>0</v>
      </c>
      <c r="DZ184" s="137">
        <f>IF(CG184="zákl. přenesená",J184,0)</f>
        <v>0</v>
      </c>
      <c r="EA184" s="137">
        <f>IF(CG184="sníž. přenesená",J184,0)</f>
        <v>0</v>
      </c>
      <c r="EB184" s="137">
        <f>IF(CG184="nulová",J184,0)</f>
        <v>0</v>
      </c>
      <c r="EC184" s="16" t="s">
        <v>81</v>
      </c>
      <c r="ED184" s="137">
        <f>ROUND(I184*H184,2)</f>
        <v>9472.16</v>
      </c>
      <c r="EE184" s="16" t="s">
        <v>95</v>
      </c>
      <c r="EF184" s="136" t="s">
        <v>3248</v>
      </c>
    </row>
    <row r="185" spans="2:136" s="1" customFormat="1" ht="29.25" x14ac:dyDescent="0.2">
      <c r="B185" s="31"/>
      <c r="D185" s="138" t="s">
        <v>289</v>
      </c>
      <c r="F185" s="139" t="s">
        <v>3249</v>
      </c>
      <c r="I185" s="140"/>
      <c r="L185" s="31"/>
      <c r="N185" s="278"/>
      <c r="O185" s="279"/>
      <c r="Q185" s="229"/>
      <c r="CF185" s="141"/>
      <c r="CM185" s="50"/>
      <c r="DM185" s="16" t="s">
        <v>289</v>
      </c>
      <c r="DN185" s="16" t="s">
        <v>90</v>
      </c>
    </row>
    <row r="186" spans="2:136" s="10" customFormat="1" ht="20.85" customHeight="1" x14ac:dyDescent="0.2">
      <c r="B186" s="112"/>
      <c r="D186" s="113" t="s">
        <v>73</v>
      </c>
      <c r="E186" s="122" t="s">
        <v>3250</v>
      </c>
      <c r="F186" s="122" t="s">
        <v>3251</v>
      </c>
      <c r="I186" s="115"/>
      <c r="J186" s="123">
        <f>ED186</f>
        <v>256783.16999999998</v>
      </c>
      <c r="L186" s="112"/>
      <c r="M186" s="270">
        <f>M187+M189+M191+M193</f>
        <v>0</v>
      </c>
      <c r="N186" s="280"/>
      <c r="O186" s="281">
        <f t="shared" ref="O186:V186" si="12">O187+O189+O191+O193</f>
        <v>0</v>
      </c>
      <c r="P186" s="270"/>
      <c r="Q186" s="288">
        <f t="shared" si="12"/>
        <v>256783.16999999998</v>
      </c>
      <c r="R186" s="270"/>
      <c r="S186" s="270"/>
      <c r="T186" s="270">
        <f t="shared" si="12"/>
        <v>0</v>
      </c>
      <c r="U186" s="270"/>
      <c r="V186" s="270">
        <f t="shared" si="12"/>
        <v>256783.16999999998</v>
      </c>
      <c r="CF186" s="117"/>
      <c r="CI186" s="118">
        <f>SUM(CI187:CI194)</f>
        <v>0</v>
      </c>
      <c r="CK186" s="118">
        <f>SUM(CK187:CK194)</f>
        <v>0</v>
      </c>
      <c r="CM186" s="119">
        <f>SUM(CM187:CM194)</f>
        <v>0</v>
      </c>
      <c r="DK186" s="113" t="s">
        <v>81</v>
      </c>
      <c r="DM186" s="120" t="s">
        <v>73</v>
      </c>
      <c r="DN186" s="120" t="s">
        <v>83</v>
      </c>
      <c r="DR186" s="113" t="s">
        <v>282</v>
      </c>
      <c r="ED186" s="121">
        <f>SUM(ED187:ED194)</f>
        <v>256783.16999999998</v>
      </c>
    </row>
    <row r="187" spans="2:136" s="1" customFormat="1" ht="14.45" customHeight="1" x14ac:dyDescent="0.2">
      <c r="B187" s="124"/>
      <c r="C187" s="125" t="s">
        <v>386</v>
      </c>
      <c r="D187" s="125" t="s">
        <v>284</v>
      </c>
      <c r="E187" s="126" t="s">
        <v>3252</v>
      </c>
      <c r="F187" s="127" t="s">
        <v>3253</v>
      </c>
      <c r="G187" s="128" t="s">
        <v>1948</v>
      </c>
      <c r="H187" s="129">
        <v>1</v>
      </c>
      <c r="I187" s="130">
        <v>189443.13999999998</v>
      </c>
      <c r="J187" s="131">
        <f>ROUND(I187*H187,2)</f>
        <v>189443.14</v>
      </c>
      <c r="K187" s="127" t="s">
        <v>1</v>
      </c>
      <c r="L187" s="268">
        <f>S187</f>
        <v>0</v>
      </c>
      <c r="M187" s="272">
        <f>ROUND(L187*I187,2)</f>
        <v>0</v>
      </c>
      <c r="N187" s="276"/>
      <c r="O187" s="277">
        <f>ROUND(N187*I187,2)</f>
        <v>0</v>
      </c>
      <c r="P187" s="273">
        <f>H187-L187-N187</f>
        <v>1</v>
      </c>
      <c r="Q187" s="287">
        <f>ROUND(P187*I187,2)</f>
        <v>189443.14</v>
      </c>
      <c r="R187" s="137"/>
      <c r="S187" s="269">
        <f>W187+Y187+AA187+AC187+AE187+AG187+AI187+AK187+AM187+AO187+AQ187+AS187+AU187+AW187</f>
        <v>0</v>
      </c>
      <c r="T187" s="269">
        <f>ROUND(S187*I187,2)</f>
        <v>0</v>
      </c>
      <c r="U187" s="269">
        <f>H187-S187</f>
        <v>1</v>
      </c>
      <c r="V187" s="269">
        <f>ROUND(U187*I187,2)</f>
        <v>189443.14</v>
      </c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CF187" s="132" t="s">
        <v>1</v>
      </c>
      <c r="CG187" s="133" t="s">
        <v>40</v>
      </c>
      <c r="CI187" s="134">
        <f>CH187*H187</f>
        <v>0</v>
      </c>
      <c r="CJ187" s="134">
        <v>0</v>
      </c>
      <c r="CK187" s="134">
        <f>CJ187*H187</f>
        <v>0</v>
      </c>
      <c r="CL187" s="134">
        <v>0</v>
      </c>
      <c r="CM187" s="135">
        <f>CL187*H187</f>
        <v>0</v>
      </c>
      <c r="DK187" s="136" t="s">
        <v>95</v>
      </c>
      <c r="DM187" s="136" t="s">
        <v>284</v>
      </c>
      <c r="DN187" s="136" t="s">
        <v>90</v>
      </c>
      <c r="DR187" s="16" t="s">
        <v>282</v>
      </c>
      <c r="DX187" s="137">
        <f>IF(CG187="základní",J187,0)</f>
        <v>189443.14</v>
      </c>
      <c r="DY187" s="137">
        <f>IF(CG187="snížená",J187,0)</f>
        <v>0</v>
      </c>
      <c r="DZ187" s="137">
        <f>IF(CG187="zákl. přenesená",J187,0)</f>
        <v>0</v>
      </c>
      <c r="EA187" s="137">
        <f>IF(CG187="sníž. přenesená",J187,0)</f>
        <v>0</v>
      </c>
      <c r="EB187" s="137">
        <f>IF(CG187="nulová",J187,0)</f>
        <v>0</v>
      </c>
      <c r="EC187" s="16" t="s">
        <v>81</v>
      </c>
      <c r="ED187" s="137">
        <f>ROUND(I187*H187,2)</f>
        <v>189443.14</v>
      </c>
      <c r="EE187" s="16" t="s">
        <v>95</v>
      </c>
      <c r="EF187" s="136" t="s">
        <v>3254</v>
      </c>
    </row>
    <row r="188" spans="2:136" s="1" customFormat="1" ht="39" x14ac:dyDescent="0.2">
      <c r="B188" s="31"/>
      <c r="D188" s="138" t="s">
        <v>289</v>
      </c>
      <c r="F188" s="139" t="s">
        <v>3255</v>
      </c>
      <c r="I188" s="140"/>
      <c r="L188" s="31"/>
      <c r="N188" s="278"/>
      <c r="O188" s="279"/>
      <c r="Q188" s="229"/>
      <c r="CF188" s="141"/>
      <c r="CM188" s="50"/>
      <c r="DM188" s="16" t="s">
        <v>289</v>
      </c>
      <c r="DN188" s="16" t="s">
        <v>90</v>
      </c>
    </row>
    <row r="189" spans="2:136" s="1" customFormat="1" ht="24.2" customHeight="1" x14ac:dyDescent="0.2">
      <c r="B189" s="124"/>
      <c r="C189" s="125" t="s">
        <v>392</v>
      </c>
      <c r="D189" s="125" t="s">
        <v>284</v>
      </c>
      <c r="E189" s="126" t="s">
        <v>3256</v>
      </c>
      <c r="F189" s="127" t="s">
        <v>3257</v>
      </c>
      <c r="G189" s="128" t="s">
        <v>1948</v>
      </c>
      <c r="H189" s="129">
        <v>1</v>
      </c>
      <c r="I189" s="130">
        <v>28944.313999999998</v>
      </c>
      <c r="J189" s="131">
        <f>ROUND(I189*H189,2)</f>
        <v>28944.31</v>
      </c>
      <c r="K189" s="127" t="s">
        <v>1</v>
      </c>
      <c r="L189" s="268">
        <f>S189</f>
        <v>0</v>
      </c>
      <c r="M189" s="272">
        <f>ROUND(L189*I189,2)</f>
        <v>0</v>
      </c>
      <c r="N189" s="276"/>
      <c r="O189" s="277">
        <f>ROUND(N189*I189,2)</f>
        <v>0</v>
      </c>
      <c r="P189" s="273">
        <f>H189-L189-N189</f>
        <v>1</v>
      </c>
      <c r="Q189" s="287">
        <f>ROUND(P189*I189,2)</f>
        <v>28944.31</v>
      </c>
      <c r="R189" s="137"/>
      <c r="S189" s="269">
        <f>W189+Y189+AA189+AC189+AE189+AG189+AI189+AK189+AM189+AO189+AQ189+AS189+AU189+AW189</f>
        <v>0</v>
      </c>
      <c r="T189" s="269">
        <f>ROUND(S189*I189,2)</f>
        <v>0</v>
      </c>
      <c r="U189" s="269">
        <f>H189-S189</f>
        <v>1</v>
      </c>
      <c r="V189" s="269">
        <f>ROUND(U189*I189,2)</f>
        <v>28944.31</v>
      </c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CF189" s="132" t="s">
        <v>1</v>
      </c>
      <c r="CG189" s="133" t="s">
        <v>40</v>
      </c>
      <c r="CI189" s="134">
        <f>CH189*H189</f>
        <v>0</v>
      </c>
      <c r="CJ189" s="134">
        <v>0</v>
      </c>
      <c r="CK189" s="134">
        <f>CJ189*H189</f>
        <v>0</v>
      </c>
      <c r="CL189" s="134">
        <v>0</v>
      </c>
      <c r="CM189" s="135">
        <f>CL189*H189</f>
        <v>0</v>
      </c>
      <c r="DK189" s="136" t="s">
        <v>95</v>
      </c>
      <c r="DM189" s="136" t="s">
        <v>284</v>
      </c>
      <c r="DN189" s="136" t="s">
        <v>90</v>
      </c>
      <c r="DR189" s="16" t="s">
        <v>282</v>
      </c>
      <c r="DX189" s="137">
        <f>IF(CG189="základní",J189,0)</f>
        <v>28944.31</v>
      </c>
      <c r="DY189" s="137">
        <f>IF(CG189="snížená",J189,0)</f>
        <v>0</v>
      </c>
      <c r="DZ189" s="137">
        <f>IF(CG189="zákl. přenesená",J189,0)</f>
        <v>0</v>
      </c>
      <c r="EA189" s="137">
        <f>IF(CG189="sníž. přenesená",J189,0)</f>
        <v>0</v>
      </c>
      <c r="EB189" s="137">
        <f>IF(CG189="nulová",J189,0)</f>
        <v>0</v>
      </c>
      <c r="EC189" s="16" t="s">
        <v>81</v>
      </c>
      <c r="ED189" s="137">
        <f>ROUND(I189*H189,2)</f>
        <v>28944.31</v>
      </c>
      <c r="EE189" s="16" t="s">
        <v>95</v>
      </c>
      <c r="EF189" s="136" t="s">
        <v>3258</v>
      </c>
    </row>
    <row r="190" spans="2:136" s="1" customFormat="1" ht="39" x14ac:dyDescent="0.2">
      <c r="B190" s="31"/>
      <c r="D190" s="138" t="s">
        <v>289</v>
      </c>
      <c r="F190" s="139" t="s">
        <v>3259</v>
      </c>
      <c r="I190" s="140"/>
      <c r="L190" s="31"/>
      <c r="N190" s="278"/>
      <c r="O190" s="279"/>
      <c r="Q190" s="229"/>
      <c r="CF190" s="141"/>
      <c r="CM190" s="50"/>
      <c r="DM190" s="16" t="s">
        <v>289</v>
      </c>
      <c r="DN190" s="16" t="s">
        <v>90</v>
      </c>
    </row>
    <row r="191" spans="2:136" s="1" customFormat="1" ht="37.9" customHeight="1" x14ac:dyDescent="0.2">
      <c r="B191" s="124"/>
      <c r="C191" s="125" t="s">
        <v>397</v>
      </c>
      <c r="D191" s="125" t="s">
        <v>284</v>
      </c>
      <c r="E191" s="126" t="s">
        <v>3260</v>
      </c>
      <c r="F191" s="127" t="s">
        <v>3261</v>
      </c>
      <c r="G191" s="128" t="s">
        <v>1948</v>
      </c>
      <c r="H191" s="129">
        <v>1</v>
      </c>
      <c r="I191" s="130">
        <v>14715.334000000001</v>
      </c>
      <c r="J191" s="131">
        <f>ROUND(I191*H191,2)</f>
        <v>14715.33</v>
      </c>
      <c r="K191" s="127" t="s">
        <v>1</v>
      </c>
      <c r="L191" s="268">
        <f>S191</f>
        <v>0</v>
      </c>
      <c r="M191" s="272">
        <f>ROUND(L191*I191,2)</f>
        <v>0</v>
      </c>
      <c r="N191" s="276"/>
      <c r="O191" s="277">
        <f>ROUND(N191*I191,2)</f>
        <v>0</v>
      </c>
      <c r="P191" s="273">
        <f>H191-L191-N191</f>
        <v>1</v>
      </c>
      <c r="Q191" s="287">
        <f>ROUND(P191*I191,2)</f>
        <v>14715.33</v>
      </c>
      <c r="R191" s="137"/>
      <c r="S191" s="269">
        <f>W191+Y191+AA191+AC191+AE191+AG191+AI191+AK191+AM191+AO191+AQ191+AS191+AU191+AW191</f>
        <v>0</v>
      </c>
      <c r="T191" s="269">
        <f>ROUND(S191*I191,2)</f>
        <v>0</v>
      </c>
      <c r="U191" s="269">
        <f>H191-S191</f>
        <v>1</v>
      </c>
      <c r="V191" s="269">
        <f>ROUND(U191*I191,2)</f>
        <v>14715.33</v>
      </c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CF191" s="132" t="s">
        <v>1</v>
      </c>
      <c r="CG191" s="133" t="s">
        <v>40</v>
      </c>
      <c r="CI191" s="134">
        <f>CH191*H191</f>
        <v>0</v>
      </c>
      <c r="CJ191" s="134">
        <v>0</v>
      </c>
      <c r="CK191" s="134">
        <f>CJ191*H191</f>
        <v>0</v>
      </c>
      <c r="CL191" s="134">
        <v>0</v>
      </c>
      <c r="CM191" s="135">
        <f>CL191*H191</f>
        <v>0</v>
      </c>
      <c r="DK191" s="136" t="s">
        <v>95</v>
      </c>
      <c r="DM191" s="136" t="s">
        <v>284</v>
      </c>
      <c r="DN191" s="136" t="s">
        <v>90</v>
      </c>
      <c r="DR191" s="16" t="s">
        <v>282</v>
      </c>
      <c r="DX191" s="137">
        <f>IF(CG191="základní",J191,0)</f>
        <v>14715.33</v>
      </c>
      <c r="DY191" s="137">
        <f>IF(CG191="snížená",J191,0)</f>
        <v>0</v>
      </c>
      <c r="DZ191" s="137">
        <f>IF(CG191="zákl. přenesená",J191,0)</f>
        <v>0</v>
      </c>
      <c r="EA191" s="137">
        <f>IF(CG191="sníž. přenesená",J191,0)</f>
        <v>0</v>
      </c>
      <c r="EB191" s="137">
        <f>IF(CG191="nulová",J191,0)</f>
        <v>0</v>
      </c>
      <c r="EC191" s="16" t="s">
        <v>81</v>
      </c>
      <c r="ED191" s="137">
        <f>ROUND(I191*H191,2)</f>
        <v>14715.33</v>
      </c>
      <c r="EE191" s="16" t="s">
        <v>95</v>
      </c>
      <c r="EF191" s="136" t="s">
        <v>3262</v>
      </c>
    </row>
    <row r="192" spans="2:136" s="1" customFormat="1" ht="19.5" x14ac:dyDescent="0.2">
      <c r="B192" s="31"/>
      <c r="D192" s="138" t="s">
        <v>289</v>
      </c>
      <c r="F192" s="139" t="s">
        <v>3261</v>
      </c>
      <c r="I192" s="140"/>
      <c r="L192" s="31"/>
      <c r="N192" s="278"/>
      <c r="O192" s="279"/>
      <c r="Q192" s="229"/>
      <c r="CF192" s="141"/>
      <c r="CM192" s="50"/>
      <c r="DM192" s="16" t="s">
        <v>289</v>
      </c>
      <c r="DN192" s="16" t="s">
        <v>90</v>
      </c>
    </row>
    <row r="193" spans="2:136" s="1" customFormat="1" ht="24.2" customHeight="1" x14ac:dyDescent="0.2">
      <c r="B193" s="124"/>
      <c r="C193" s="125" t="s">
        <v>470</v>
      </c>
      <c r="D193" s="125" t="s">
        <v>284</v>
      </c>
      <c r="E193" s="126" t="s">
        <v>3263</v>
      </c>
      <c r="F193" s="127" t="s">
        <v>3264</v>
      </c>
      <c r="G193" s="128" t="s">
        <v>1948</v>
      </c>
      <c r="H193" s="129">
        <v>1</v>
      </c>
      <c r="I193" s="130">
        <v>23680.392499999998</v>
      </c>
      <c r="J193" s="131">
        <f>ROUND(I193*H193,2)</f>
        <v>23680.39</v>
      </c>
      <c r="K193" s="127" t="s">
        <v>1</v>
      </c>
      <c r="L193" s="268">
        <f>S193</f>
        <v>0</v>
      </c>
      <c r="M193" s="272">
        <f>ROUND(L193*I193,2)</f>
        <v>0</v>
      </c>
      <c r="N193" s="276"/>
      <c r="O193" s="277">
        <f>ROUND(N193*I193,2)</f>
        <v>0</v>
      </c>
      <c r="P193" s="273">
        <f>H193-L193-N193</f>
        <v>1</v>
      </c>
      <c r="Q193" s="287">
        <f>ROUND(P193*I193,2)</f>
        <v>23680.39</v>
      </c>
      <c r="R193" s="137"/>
      <c r="S193" s="269">
        <f>W193+Y193+AA193+AC193+AE193+AG193+AI193+AK193+AM193+AO193+AQ193+AS193+AU193+AW193</f>
        <v>0</v>
      </c>
      <c r="T193" s="269">
        <f>ROUND(S193*I193,2)</f>
        <v>0</v>
      </c>
      <c r="U193" s="269">
        <f>H193-S193</f>
        <v>1</v>
      </c>
      <c r="V193" s="269">
        <f>ROUND(U193*I193,2)</f>
        <v>23680.39</v>
      </c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CF193" s="132" t="s">
        <v>1</v>
      </c>
      <c r="CG193" s="133" t="s">
        <v>40</v>
      </c>
      <c r="CI193" s="134">
        <f>CH193*H193</f>
        <v>0</v>
      </c>
      <c r="CJ193" s="134">
        <v>0</v>
      </c>
      <c r="CK193" s="134">
        <f>CJ193*H193</f>
        <v>0</v>
      </c>
      <c r="CL193" s="134">
        <v>0</v>
      </c>
      <c r="CM193" s="135">
        <f>CL193*H193</f>
        <v>0</v>
      </c>
      <c r="DK193" s="136" t="s">
        <v>95</v>
      </c>
      <c r="DM193" s="136" t="s">
        <v>284</v>
      </c>
      <c r="DN193" s="136" t="s">
        <v>90</v>
      </c>
      <c r="DR193" s="16" t="s">
        <v>282</v>
      </c>
      <c r="DX193" s="137">
        <f>IF(CG193="základní",J193,0)</f>
        <v>23680.39</v>
      </c>
      <c r="DY193" s="137">
        <f>IF(CG193="snížená",J193,0)</f>
        <v>0</v>
      </c>
      <c r="DZ193" s="137">
        <f>IF(CG193="zákl. přenesená",J193,0)</f>
        <v>0</v>
      </c>
      <c r="EA193" s="137">
        <f>IF(CG193="sníž. přenesená",J193,0)</f>
        <v>0</v>
      </c>
      <c r="EB193" s="137">
        <f>IF(CG193="nulová",J193,0)</f>
        <v>0</v>
      </c>
      <c r="EC193" s="16" t="s">
        <v>81</v>
      </c>
      <c r="ED193" s="137">
        <f>ROUND(I193*H193,2)</f>
        <v>23680.39</v>
      </c>
      <c r="EE193" s="16" t="s">
        <v>95</v>
      </c>
      <c r="EF193" s="136" t="s">
        <v>3265</v>
      </c>
    </row>
    <row r="194" spans="2:136" s="1" customFormat="1" x14ac:dyDescent="0.2">
      <c r="B194" s="31"/>
      <c r="D194" s="138" t="s">
        <v>289</v>
      </c>
      <c r="F194" s="139" t="s">
        <v>3266</v>
      </c>
      <c r="I194" s="140"/>
      <c r="L194" s="31"/>
      <c r="N194" s="278"/>
      <c r="O194" s="279"/>
      <c r="Q194" s="229"/>
      <c r="CF194" s="141"/>
      <c r="CM194" s="50"/>
      <c r="DM194" s="16" t="s">
        <v>289</v>
      </c>
      <c r="DN194" s="16" t="s">
        <v>90</v>
      </c>
    </row>
    <row r="195" spans="2:136" s="10" customFormat="1" ht="20.85" customHeight="1" x14ac:dyDescent="0.2">
      <c r="B195" s="112"/>
      <c r="D195" s="113" t="s">
        <v>73</v>
      </c>
      <c r="E195" s="122" t="s">
        <v>3267</v>
      </c>
      <c r="F195" s="122" t="s">
        <v>3268</v>
      </c>
      <c r="I195" s="115"/>
      <c r="J195" s="123">
        <f>ED195</f>
        <v>141694</v>
      </c>
      <c r="L195" s="112"/>
      <c r="M195" s="270">
        <f>M196+M198+M200</f>
        <v>0</v>
      </c>
      <c r="N195" s="280"/>
      <c r="O195" s="281">
        <f t="shared" ref="O195:V195" si="13">O196+O198+O200</f>
        <v>0</v>
      </c>
      <c r="P195" s="270"/>
      <c r="Q195" s="288">
        <f t="shared" si="13"/>
        <v>141694</v>
      </c>
      <c r="R195" s="270"/>
      <c r="S195" s="270"/>
      <c r="T195" s="270">
        <f t="shared" si="13"/>
        <v>0</v>
      </c>
      <c r="U195" s="270"/>
      <c r="V195" s="270">
        <f t="shared" si="13"/>
        <v>141694</v>
      </c>
      <c r="CF195" s="117"/>
      <c r="CI195" s="118">
        <f>SUM(CI196:CI201)</f>
        <v>0</v>
      </c>
      <c r="CK195" s="118">
        <f>SUM(CK196:CK201)</f>
        <v>0</v>
      </c>
      <c r="CM195" s="119">
        <f>SUM(CM196:CM201)</f>
        <v>0</v>
      </c>
      <c r="DK195" s="113" t="s">
        <v>81</v>
      </c>
      <c r="DM195" s="120" t="s">
        <v>73</v>
      </c>
      <c r="DN195" s="120" t="s">
        <v>83</v>
      </c>
      <c r="DR195" s="113" t="s">
        <v>282</v>
      </c>
      <c r="ED195" s="121">
        <f>SUM(ED196:ED201)</f>
        <v>141694</v>
      </c>
    </row>
    <row r="196" spans="2:136" s="1" customFormat="1" ht="14.45" customHeight="1" x14ac:dyDescent="0.2">
      <c r="B196" s="124"/>
      <c r="C196" s="125" t="s">
        <v>404</v>
      </c>
      <c r="D196" s="125" t="s">
        <v>284</v>
      </c>
      <c r="E196" s="126" t="s">
        <v>3269</v>
      </c>
      <c r="F196" s="127" t="s">
        <v>3268</v>
      </c>
      <c r="G196" s="128" t="s">
        <v>1948</v>
      </c>
      <c r="H196" s="129">
        <v>1</v>
      </c>
      <c r="I196" s="130">
        <v>75388.897563000006</v>
      </c>
      <c r="J196" s="131">
        <f>ROUND(I196*H196,2)</f>
        <v>75388.899999999994</v>
      </c>
      <c r="K196" s="127" t="s">
        <v>1</v>
      </c>
      <c r="L196" s="268">
        <f>S196</f>
        <v>0</v>
      </c>
      <c r="M196" s="272">
        <f>ROUND(L196*I196,2)</f>
        <v>0</v>
      </c>
      <c r="N196" s="276"/>
      <c r="O196" s="277">
        <f>ROUND(N196*I196,2)</f>
        <v>0</v>
      </c>
      <c r="P196" s="273">
        <f>H196-L196-N196</f>
        <v>1</v>
      </c>
      <c r="Q196" s="287">
        <f>ROUND(P196*I196,2)</f>
        <v>75388.899999999994</v>
      </c>
      <c r="R196" s="137"/>
      <c r="S196" s="269">
        <f>W196+Y196+AA196+AC196+AE196+AG196+AI196+AK196+AM196+AO196+AQ196+AS196+AU196+AW196</f>
        <v>0</v>
      </c>
      <c r="T196" s="269">
        <f>ROUND(S196*I196,2)</f>
        <v>0</v>
      </c>
      <c r="U196" s="269">
        <f>H196-S196</f>
        <v>1</v>
      </c>
      <c r="V196" s="269">
        <f>ROUND(U196*I196,2)</f>
        <v>75388.899999999994</v>
      </c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CF196" s="132" t="s">
        <v>1</v>
      </c>
      <c r="CG196" s="133" t="s">
        <v>40</v>
      </c>
      <c r="CI196" s="134">
        <f>CH196*H196</f>
        <v>0</v>
      </c>
      <c r="CJ196" s="134">
        <v>0</v>
      </c>
      <c r="CK196" s="134">
        <f>CJ196*H196</f>
        <v>0</v>
      </c>
      <c r="CL196" s="134">
        <v>0</v>
      </c>
      <c r="CM196" s="135">
        <f>CL196*H196</f>
        <v>0</v>
      </c>
      <c r="DK196" s="136" t="s">
        <v>95</v>
      </c>
      <c r="DM196" s="136" t="s">
        <v>284</v>
      </c>
      <c r="DN196" s="136" t="s">
        <v>90</v>
      </c>
      <c r="DR196" s="16" t="s">
        <v>282</v>
      </c>
      <c r="DX196" s="137">
        <f>IF(CG196="základní",J196,0)</f>
        <v>75388.899999999994</v>
      </c>
      <c r="DY196" s="137">
        <f>IF(CG196="snížená",J196,0)</f>
        <v>0</v>
      </c>
      <c r="DZ196" s="137">
        <f>IF(CG196="zákl. přenesená",J196,0)</f>
        <v>0</v>
      </c>
      <c r="EA196" s="137">
        <f>IF(CG196="sníž. přenesená",J196,0)</f>
        <v>0</v>
      </c>
      <c r="EB196" s="137">
        <f>IF(CG196="nulová",J196,0)</f>
        <v>0</v>
      </c>
      <c r="EC196" s="16" t="s">
        <v>81</v>
      </c>
      <c r="ED196" s="137">
        <f>ROUND(I196*H196,2)</f>
        <v>75388.899999999994</v>
      </c>
      <c r="EE196" s="16" t="s">
        <v>95</v>
      </c>
      <c r="EF196" s="136" t="s">
        <v>3270</v>
      </c>
    </row>
    <row r="197" spans="2:136" s="1" customFormat="1" ht="68.25" x14ac:dyDescent="0.2">
      <c r="B197" s="31"/>
      <c r="D197" s="138" t="s">
        <v>289</v>
      </c>
      <c r="F197" s="139" t="s">
        <v>3271</v>
      </c>
      <c r="I197" s="140"/>
      <c r="L197" s="31"/>
      <c r="N197" s="278"/>
      <c r="O197" s="279"/>
      <c r="Q197" s="229"/>
      <c r="CF197" s="141"/>
      <c r="CM197" s="50"/>
      <c r="DM197" s="16" t="s">
        <v>289</v>
      </c>
      <c r="DN197" s="16" t="s">
        <v>90</v>
      </c>
    </row>
    <row r="198" spans="2:136" s="1" customFormat="1" ht="24.2" customHeight="1" x14ac:dyDescent="0.2">
      <c r="B198" s="124"/>
      <c r="C198" s="125" t="s">
        <v>7</v>
      </c>
      <c r="D198" s="125" t="s">
        <v>284</v>
      </c>
      <c r="E198" s="126" t="s">
        <v>3272</v>
      </c>
      <c r="F198" s="127" t="s">
        <v>3273</v>
      </c>
      <c r="G198" s="128" t="s">
        <v>1948</v>
      </c>
      <c r="H198" s="129">
        <v>1</v>
      </c>
      <c r="I198" s="130">
        <v>33152.549500000001</v>
      </c>
      <c r="J198" s="131">
        <f>ROUND(I198*H198,2)</f>
        <v>33152.550000000003</v>
      </c>
      <c r="K198" s="127" t="s">
        <v>1</v>
      </c>
      <c r="L198" s="268">
        <f>S198</f>
        <v>0</v>
      </c>
      <c r="M198" s="272">
        <f>ROUND(L198*I198,2)</f>
        <v>0</v>
      </c>
      <c r="N198" s="276"/>
      <c r="O198" s="277">
        <f>ROUND(N198*I198,2)</f>
        <v>0</v>
      </c>
      <c r="P198" s="273">
        <f>H198-L198-N198</f>
        <v>1</v>
      </c>
      <c r="Q198" s="287">
        <f>ROUND(P198*I198,2)</f>
        <v>33152.550000000003</v>
      </c>
      <c r="R198" s="137"/>
      <c r="S198" s="269">
        <f>W198+Y198+AA198+AC198+AE198+AG198+AI198+AK198+AM198+AO198+AQ198+AS198+AU198+AW198</f>
        <v>0</v>
      </c>
      <c r="T198" s="269">
        <f>ROUND(S198*I198,2)</f>
        <v>0</v>
      </c>
      <c r="U198" s="269">
        <f>H198-S198</f>
        <v>1</v>
      </c>
      <c r="V198" s="269">
        <f>ROUND(U198*I198,2)</f>
        <v>33152.550000000003</v>
      </c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CF198" s="132" t="s">
        <v>1</v>
      </c>
      <c r="CG198" s="133" t="s">
        <v>40</v>
      </c>
      <c r="CI198" s="134">
        <f>CH198*H198</f>
        <v>0</v>
      </c>
      <c r="CJ198" s="134">
        <v>0</v>
      </c>
      <c r="CK198" s="134">
        <f>CJ198*H198</f>
        <v>0</v>
      </c>
      <c r="CL198" s="134">
        <v>0</v>
      </c>
      <c r="CM198" s="135">
        <f>CL198*H198</f>
        <v>0</v>
      </c>
      <c r="DK198" s="136" t="s">
        <v>95</v>
      </c>
      <c r="DM198" s="136" t="s">
        <v>284</v>
      </c>
      <c r="DN198" s="136" t="s">
        <v>90</v>
      </c>
      <c r="DR198" s="16" t="s">
        <v>282</v>
      </c>
      <c r="DX198" s="137">
        <f>IF(CG198="základní",J198,0)</f>
        <v>33152.550000000003</v>
      </c>
      <c r="DY198" s="137">
        <f>IF(CG198="snížená",J198,0)</f>
        <v>0</v>
      </c>
      <c r="DZ198" s="137">
        <f>IF(CG198="zákl. přenesená",J198,0)</f>
        <v>0</v>
      </c>
      <c r="EA198" s="137">
        <f>IF(CG198="sníž. přenesená",J198,0)</f>
        <v>0</v>
      </c>
      <c r="EB198" s="137">
        <f>IF(CG198="nulová",J198,0)</f>
        <v>0</v>
      </c>
      <c r="EC198" s="16" t="s">
        <v>81</v>
      </c>
      <c r="ED198" s="137">
        <f>ROUND(I198*H198,2)</f>
        <v>33152.550000000003</v>
      </c>
      <c r="EE198" s="16" t="s">
        <v>95</v>
      </c>
      <c r="EF198" s="136" t="s">
        <v>3274</v>
      </c>
    </row>
    <row r="199" spans="2:136" s="1" customFormat="1" ht="48.75" x14ac:dyDescent="0.2">
      <c r="B199" s="31"/>
      <c r="D199" s="138" t="s">
        <v>289</v>
      </c>
      <c r="F199" s="139" t="s">
        <v>3275</v>
      </c>
      <c r="I199" s="140"/>
      <c r="L199" s="31"/>
      <c r="N199" s="278"/>
      <c r="O199" s="279"/>
      <c r="Q199" s="229"/>
      <c r="CF199" s="141"/>
      <c r="CM199" s="50"/>
      <c r="DM199" s="16" t="s">
        <v>289</v>
      </c>
      <c r="DN199" s="16" t="s">
        <v>90</v>
      </c>
    </row>
    <row r="200" spans="2:136" s="1" customFormat="1" ht="37.9" customHeight="1" x14ac:dyDescent="0.2">
      <c r="B200" s="124"/>
      <c r="C200" s="125" t="s">
        <v>415</v>
      </c>
      <c r="D200" s="125" t="s">
        <v>284</v>
      </c>
      <c r="E200" s="126" t="s">
        <v>3276</v>
      </c>
      <c r="F200" s="127" t="s">
        <v>3277</v>
      </c>
      <c r="G200" s="128" t="s">
        <v>1948</v>
      </c>
      <c r="H200" s="129">
        <v>1</v>
      </c>
      <c r="I200" s="130">
        <v>33152.549500000001</v>
      </c>
      <c r="J200" s="131">
        <f>ROUND(I200*H200,2)</f>
        <v>33152.550000000003</v>
      </c>
      <c r="K200" s="127" t="s">
        <v>1</v>
      </c>
      <c r="L200" s="268">
        <f>S200</f>
        <v>0</v>
      </c>
      <c r="M200" s="272">
        <f>ROUND(L200*I200,2)</f>
        <v>0</v>
      </c>
      <c r="N200" s="276"/>
      <c r="O200" s="277">
        <f>ROUND(N200*I200,2)</f>
        <v>0</v>
      </c>
      <c r="P200" s="273">
        <f>H200-L200-N200</f>
        <v>1</v>
      </c>
      <c r="Q200" s="287">
        <f>ROUND(P200*I200,2)</f>
        <v>33152.550000000003</v>
      </c>
      <c r="R200" s="137"/>
      <c r="S200" s="269">
        <f>W200+Y200+AA200+AC200+AE200+AG200+AI200+AK200+AM200+AO200+AQ200+AS200+AU200+AW200</f>
        <v>0</v>
      </c>
      <c r="T200" s="269">
        <f>ROUND(S200*I200,2)</f>
        <v>0</v>
      </c>
      <c r="U200" s="269">
        <f>H200-S200</f>
        <v>1</v>
      </c>
      <c r="V200" s="269">
        <f>ROUND(U200*I200,2)</f>
        <v>33152.550000000003</v>
      </c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  <c r="AX200" s="269"/>
      <c r="CF200" s="132" t="s">
        <v>1</v>
      </c>
      <c r="CG200" s="133" t="s">
        <v>40</v>
      </c>
      <c r="CI200" s="134">
        <f>CH200*H200</f>
        <v>0</v>
      </c>
      <c r="CJ200" s="134">
        <v>0</v>
      </c>
      <c r="CK200" s="134">
        <f>CJ200*H200</f>
        <v>0</v>
      </c>
      <c r="CL200" s="134">
        <v>0</v>
      </c>
      <c r="CM200" s="135">
        <f>CL200*H200</f>
        <v>0</v>
      </c>
      <c r="DK200" s="136" t="s">
        <v>95</v>
      </c>
      <c r="DM200" s="136" t="s">
        <v>284</v>
      </c>
      <c r="DN200" s="136" t="s">
        <v>90</v>
      </c>
      <c r="DR200" s="16" t="s">
        <v>282</v>
      </c>
      <c r="DX200" s="137">
        <f>IF(CG200="základní",J200,0)</f>
        <v>33152.550000000003</v>
      </c>
      <c r="DY200" s="137">
        <f>IF(CG200="snížená",J200,0)</f>
        <v>0</v>
      </c>
      <c r="DZ200" s="137">
        <f>IF(CG200="zákl. přenesená",J200,0)</f>
        <v>0</v>
      </c>
      <c r="EA200" s="137">
        <f>IF(CG200="sníž. přenesená",J200,0)</f>
        <v>0</v>
      </c>
      <c r="EB200" s="137">
        <f>IF(CG200="nulová",J200,0)</f>
        <v>0</v>
      </c>
      <c r="EC200" s="16" t="s">
        <v>81</v>
      </c>
      <c r="ED200" s="137">
        <f>ROUND(I200*H200,2)</f>
        <v>33152.550000000003</v>
      </c>
      <c r="EE200" s="16" t="s">
        <v>95</v>
      </c>
      <c r="EF200" s="136" t="s">
        <v>3278</v>
      </c>
    </row>
    <row r="201" spans="2:136" s="1" customFormat="1" ht="87.75" x14ac:dyDescent="0.2">
      <c r="B201" s="31"/>
      <c r="D201" s="138" t="s">
        <v>289</v>
      </c>
      <c r="F201" s="139" t="s">
        <v>3279</v>
      </c>
      <c r="I201" s="140"/>
      <c r="L201" s="31"/>
      <c r="N201" s="278"/>
      <c r="O201" s="279"/>
      <c r="Q201" s="229"/>
      <c r="CF201" s="141"/>
      <c r="CM201" s="50"/>
      <c r="DM201" s="16" t="s">
        <v>289</v>
      </c>
      <c r="DN201" s="16" t="s">
        <v>90</v>
      </c>
    </row>
    <row r="202" spans="2:136" s="10" customFormat="1" ht="20.85" customHeight="1" x14ac:dyDescent="0.2">
      <c r="B202" s="112"/>
      <c r="D202" s="113" t="s">
        <v>73</v>
      </c>
      <c r="E202" s="122" t="s">
        <v>3280</v>
      </c>
      <c r="F202" s="122" t="s">
        <v>3281</v>
      </c>
      <c r="I202" s="115"/>
      <c r="J202" s="123">
        <f>ED202</f>
        <v>94721.57</v>
      </c>
      <c r="L202" s="112"/>
      <c r="M202" s="270">
        <f>M203</f>
        <v>0</v>
      </c>
      <c r="N202" s="280"/>
      <c r="O202" s="281">
        <f t="shared" ref="O202:V202" si="14">O203</f>
        <v>0</v>
      </c>
      <c r="P202" s="270"/>
      <c r="Q202" s="288">
        <f t="shared" si="14"/>
        <v>94721.57</v>
      </c>
      <c r="R202" s="270"/>
      <c r="S202" s="270"/>
      <c r="T202" s="270">
        <f t="shared" si="14"/>
        <v>0</v>
      </c>
      <c r="U202" s="270"/>
      <c r="V202" s="270">
        <f t="shared" si="14"/>
        <v>94721.57</v>
      </c>
      <c r="CF202" s="117"/>
      <c r="CI202" s="118">
        <f>SUM(CI203:CI204)</f>
        <v>0</v>
      </c>
      <c r="CK202" s="118">
        <f>SUM(CK203:CK204)</f>
        <v>0</v>
      </c>
      <c r="CM202" s="119">
        <f>SUM(CM203:CM204)</f>
        <v>0</v>
      </c>
      <c r="DK202" s="113" t="s">
        <v>81</v>
      </c>
      <c r="DM202" s="120" t="s">
        <v>73</v>
      </c>
      <c r="DN202" s="120" t="s">
        <v>83</v>
      </c>
      <c r="DR202" s="113" t="s">
        <v>282</v>
      </c>
      <c r="ED202" s="121">
        <f>SUM(ED203:ED204)</f>
        <v>94721.57</v>
      </c>
    </row>
    <row r="203" spans="2:136" s="1" customFormat="1" ht="24.2" customHeight="1" x14ac:dyDescent="0.2">
      <c r="B203" s="124"/>
      <c r="C203" s="125" t="s">
        <v>422</v>
      </c>
      <c r="D203" s="125" t="s">
        <v>284</v>
      </c>
      <c r="E203" s="126" t="s">
        <v>3282</v>
      </c>
      <c r="F203" s="127" t="s">
        <v>3283</v>
      </c>
      <c r="G203" s="128" t="s">
        <v>1948</v>
      </c>
      <c r="H203" s="129">
        <v>1</v>
      </c>
      <c r="I203" s="130">
        <v>94721.569999999992</v>
      </c>
      <c r="J203" s="131">
        <f>ROUND(I203*H203,2)</f>
        <v>94721.57</v>
      </c>
      <c r="K203" s="127" t="s">
        <v>1</v>
      </c>
      <c r="L203" s="268">
        <f>S203</f>
        <v>0</v>
      </c>
      <c r="M203" s="272">
        <f>ROUND(L203*I203,2)</f>
        <v>0</v>
      </c>
      <c r="N203" s="276"/>
      <c r="O203" s="277">
        <f>ROUND(N203*I203,2)</f>
        <v>0</v>
      </c>
      <c r="P203" s="273">
        <f>H203-L203-N203</f>
        <v>1</v>
      </c>
      <c r="Q203" s="287">
        <f>ROUND(P203*I203,2)</f>
        <v>94721.57</v>
      </c>
      <c r="R203" s="137"/>
      <c r="S203" s="269">
        <f>W203+Y203+AA203+AC203+AE203+AG203+AI203+AK203+AM203+AO203+AQ203+AS203+AU203+AW203</f>
        <v>0</v>
      </c>
      <c r="T203" s="269">
        <f>ROUND(S203*I203,2)</f>
        <v>0</v>
      </c>
      <c r="U203" s="269">
        <f>H203-S203</f>
        <v>1</v>
      </c>
      <c r="V203" s="269">
        <f>ROUND(U203*I203,2)</f>
        <v>94721.57</v>
      </c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CF203" s="132" t="s">
        <v>1</v>
      </c>
      <c r="CG203" s="133" t="s">
        <v>40</v>
      </c>
      <c r="CI203" s="134">
        <f>CH203*H203</f>
        <v>0</v>
      </c>
      <c r="CJ203" s="134">
        <v>0</v>
      </c>
      <c r="CK203" s="134">
        <f>CJ203*H203</f>
        <v>0</v>
      </c>
      <c r="CL203" s="134">
        <v>0</v>
      </c>
      <c r="CM203" s="135">
        <f>CL203*H203</f>
        <v>0</v>
      </c>
      <c r="DK203" s="136" t="s">
        <v>95</v>
      </c>
      <c r="DM203" s="136" t="s">
        <v>284</v>
      </c>
      <c r="DN203" s="136" t="s">
        <v>90</v>
      </c>
      <c r="DR203" s="16" t="s">
        <v>282</v>
      </c>
      <c r="DX203" s="137">
        <f>IF(CG203="základní",J203,0)</f>
        <v>94721.57</v>
      </c>
      <c r="DY203" s="137">
        <f>IF(CG203="snížená",J203,0)</f>
        <v>0</v>
      </c>
      <c r="DZ203" s="137">
        <f>IF(CG203="zákl. přenesená",J203,0)</f>
        <v>0</v>
      </c>
      <c r="EA203" s="137">
        <f>IF(CG203="sníž. přenesená",J203,0)</f>
        <v>0</v>
      </c>
      <c r="EB203" s="137">
        <f>IF(CG203="nulová",J203,0)</f>
        <v>0</v>
      </c>
      <c r="EC203" s="16" t="s">
        <v>81</v>
      </c>
      <c r="ED203" s="137">
        <f>ROUND(I203*H203,2)</f>
        <v>94721.57</v>
      </c>
      <c r="EE203" s="16" t="s">
        <v>95</v>
      </c>
      <c r="EF203" s="136" t="s">
        <v>3284</v>
      </c>
    </row>
    <row r="204" spans="2:136" s="1" customFormat="1" ht="58.5" x14ac:dyDescent="0.2">
      <c r="B204" s="31"/>
      <c r="D204" s="138" t="s">
        <v>289</v>
      </c>
      <c r="F204" s="139" t="s">
        <v>3285</v>
      </c>
      <c r="I204" s="140"/>
      <c r="L204" s="31"/>
      <c r="N204" s="278"/>
      <c r="O204" s="279"/>
      <c r="Q204" s="229"/>
      <c r="CF204" s="141"/>
      <c r="CM204" s="50"/>
      <c r="DM204" s="16" t="s">
        <v>289</v>
      </c>
      <c r="DN204" s="16" t="s">
        <v>90</v>
      </c>
    </row>
    <row r="205" spans="2:136" s="10" customFormat="1" ht="20.85" customHeight="1" x14ac:dyDescent="0.2">
      <c r="B205" s="112"/>
      <c r="D205" s="113" t="s">
        <v>73</v>
      </c>
      <c r="E205" s="122" t="s">
        <v>3286</v>
      </c>
      <c r="F205" s="122" t="s">
        <v>3287</v>
      </c>
      <c r="I205" s="115"/>
      <c r="J205" s="123">
        <f>ED205</f>
        <v>28416.47</v>
      </c>
      <c r="L205" s="112"/>
      <c r="M205" s="270">
        <f>M206</f>
        <v>0</v>
      </c>
      <c r="N205" s="280"/>
      <c r="O205" s="281">
        <f t="shared" ref="O205:V205" si="15">O206</f>
        <v>0</v>
      </c>
      <c r="P205" s="270"/>
      <c r="Q205" s="288">
        <f t="shared" si="15"/>
        <v>28416.47</v>
      </c>
      <c r="R205" s="270"/>
      <c r="S205" s="270"/>
      <c r="T205" s="270">
        <f t="shared" si="15"/>
        <v>0</v>
      </c>
      <c r="U205" s="270"/>
      <c r="V205" s="270">
        <f t="shared" si="15"/>
        <v>28416.47</v>
      </c>
      <c r="CF205" s="117"/>
      <c r="CI205" s="118">
        <f>SUM(CI206:CI207)</f>
        <v>0</v>
      </c>
      <c r="CK205" s="118">
        <f>SUM(CK206:CK207)</f>
        <v>0</v>
      </c>
      <c r="CM205" s="119">
        <f>SUM(CM206:CM207)</f>
        <v>0</v>
      </c>
      <c r="DK205" s="113" t="s">
        <v>81</v>
      </c>
      <c r="DM205" s="120" t="s">
        <v>73</v>
      </c>
      <c r="DN205" s="120" t="s">
        <v>83</v>
      </c>
      <c r="DR205" s="113" t="s">
        <v>282</v>
      </c>
      <c r="ED205" s="121">
        <f>SUM(ED206:ED207)</f>
        <v>28416.47</v>
      </c>
    </row>
    <row r="206" spans="2:136" s="1" customFormat="1" ht="14.45" customHeight="1" x14ac:dyDescent="0.2">
      <c r="B206" s="124"/>
      <c r="C206" s="125" t="s">
        <v>438</v>
      </c>
      <c r="D206" s="125" t="s">
        <v>284</v>
      </c>
      <c r="E206" s="126" t="s">
        <v>3288</v>
      </c>
      <c r="F206" s="127" t="s">
        <v>3289</v>
      </c>
      <c r="G206" s="128" t="s">
        <v>1948</v>
      </c>
      <c r="H206" s="129">
        <v>1</v>
      </c>
      <c r="I206" s="130">
        <v>28416.471000000001</v>
      </c>
      <c r="J206" s="131">
        <f>ROUND(I206*H206,2)</f>
        <v>28416.47</v>
      </c>
      <c r="K206" s="127" t="s">
        <v>1</v>
      </c>
      <c r="L206" s="268">
        <f>S206</f>
        <v>0</v>
      </c>
      <c r="M206" s="272">
        <f>ROUND(L206*I206,2)</f>
        <v>0</v>
      </c>
      <c r="N206" s="276"/>
      <c r="O206" s="277">
        <f>ROUND(N206*I206,2)</f>
        <v>0</v>
      </c>
      <c r="P206" s="273">
        <f>H206-L206-N206</f>
        <v>1</v>
      </c>
      <c r="Q206" s="287">
        <f>ROUND(P206*I206,2)</f>
        <v>28416.47</v>
      </c>
      <c r="R206" s="137"/>
      <c r="S206" s="269">
        <f>W206+Y206+AA206+AC206+AE206+AG206+AI206+AK206+AM206+AO206+AQ206+AS206+AU206+AW206</f>
        <v>0</v>
      </c>
      <c r="T206" s="269">
        <f>ROUND(S206*I206,2)</f>
        <v>0</v>
      </c>
      <c r="U206" s="269">
        <f>H206-S206</f>
        <v>1</v>
      </c>
      <c r="V206" s="269">
        <f>ROUND(U206*I206,2)</f>
        <v>28416.47</v>
      </c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CF206" s="132" t="s">
        <v>1</v>
      </c>
      <c r="CG206" s="133" t="s">
        <v>40</v>
      </c>
      <c r="CI206" s="134">
        <f>CH206*H206</f>
        <v>0</v>
      </c>
      <c r="CJ206" s="134">
        <v>0</v>
      </c>
      <c r="CK206" s="134">
        <f>CJ206*H206</f>
        <v>0</v>
      </c>
      <c r="CL206" s="134">
        <v>0</v>
      </c>
      <c r="CM206" s="135">
        <f>CL206*H206</f>
        <v>0</v>
      </c>
      <c r="DK206" s="136" t="s">
        <v>95</v>
      </c>
      <c r="DM206" s="136" t="s">
        <v>284</v>
      </c>
      <c r="DN206" s="136" t="s">
        <v>90</v>
      </c>
      <c r="DR206" s="16" t="s">
        <v>282</v>
      </c>
      <c r="DX206" s="137">
        <f>IF(CG206="základní",J206,0)</f>
        <v>28416.47</v>
      </c>
      <c r="DY206" s="137">
        <f>IF(CG206="snížená",J206,0)</f>
        <v>0</v>
      </c>
      <c r="DZ206" s="137">
        <f>IF(CG206="zákl. přenesená",J206,0)</f>
        <v>0</v>
      </c>
      <c r="EA206" s="137">
        <f>IF(CG206="sníž. přenesená",J206,0)</f>
        <v>0</v>
      </c>
      <c r="EB206" s="137">
        <f>IF(CG206="nulová",J206,0)</f>
        <v>0</v>
      </c>
      <c r="EC206" s="16" t="s">
        <v>81</v>
      </c>
      <c r="ED206" s="137">
        <f>ROUND(I206*H206,2)</f>
        <v>28416.47</v>
      </c>
      <c r="EE206" s="16" t="s">
        <v>95</v>
      </c>
      <c r="EF206" s="136" t="s">
        <v>3290</v>
      </c>
    </row>
    <row r="207" spans="2:136" s="1" customFormat="1" ht="29.25" x14ac:dyDescent="0.2">
      <c r="B207" s="31"/>
      <c r="D207" s="138" t="s">
        <v>289</v>
      </c>
      <c r="F207" s="139" t="s">
        <v>3291</v>
      </c>
      <c r="I207" s="140"/>
      <c r="L207" s="31"/>
      <c r="N207" s="278"/>
      <c r="O207" s="279"/>
      <c r="Q207" s="229"/>
      <c r="CF207" s="141"/>
      <c r="CM207" s="50"/>
      <c r="DM207" s="16" t="s">
        <v>289</v>
      </c>
      <c r="DN207" s="16" t="s">
        <v>90</v>
      </c>
    </row>
    <row r="208" spans="2:136" s="10" customFormat="1" ht="20.85" customHeight="1" x14ac:dyDescent="0.2">
      <c r="B208" s="112"/>
      <c r="D208" s="113" t="s">
        <v>73</v>
      </c>
      <c r="E208" s="122" t="s">
        <v>3292</v>
      </c>
      <c r="F208" s="122" t="s">
        <v>3293</v>
      </c>
      <c r="I208" s="115"/>
      <c r="J208" s="123">
        <f>ED208</f>
        <v>47360.79</v>
      </c>
      <c r="L208" s="112"/>
      <c r="M208" s="270">
        <f>M209</f>
        <v>0</v>
      </c>
      <c r="N208" s="280"/>
      <c r="O208" s="281">
        <f t="shared" ref="O208:V208" si="16">O209</f>
        <v>0</v>
      </c>
      <c r="P208" s="270"/>
      <c r="Q208" s="288">
        <f t="shared" si="16"/>
        <v>47360.79</v>
      </c>
      <c r="R208" s="270"/>
      <c r="S208" s="270"/>
      <c r="T208" s="270">
        <f t="shared" si="16"/>
        <v>0</v>
      </c>
      <c r="U208" s="270"/>
      <c r="V208" s="270">
        <f t="shared" si="16"/>
        <v>47360.79</v>
      </c>
      <c r="CF208" s="117"/>
      <c r="CI208" s="118">
        <f>SUM(CI209:CI210)</f>
        <v>0</v>
      </c>
      <c r="CK208" s="118">
        <f>SUM(CK209:CK210)</f>
        <v>0</v>
      </c>
      <c r="CM208" s="119">
        <f>SUM(CM209:CM210)</f>
        <v>0</v>
      </c>
      <c r="DK208" s="113" t="s">
        <v>81</v>
      </c>
      <c r="DM208" s="120" t="s">
        <v>73</v>
      </c>
      <c r="DN208" s="120" t="s">
        <v>83</v>
      </c>
      <c r="DR208" s="113" t="s">
        <v>282</v>
      </c>
      <c r="ED208" s="121">
        <f>SUM(ED209:ED210)</f>
        <v>47360.79</v>
      </c>
    </row>
    <row r="209" spans="2:136" s="1" customFormat="1" ht="24.2" customHeight="1" x14ac:dyDescent="0.2">
      <c r="B209" s="124"/>
      <c r="C209" s="125" t="s">
        <v>445</v>
      </c>
      <c r="D209" s="125" t="s">
        <v>284</v>
      </c>
      <c r="E209" s="126" t="s">
        <v>3294</v>
      </c>
      <c r="F209" s="127" t="s">
        <v>3295</v>
      </c>
      <c r="G209" s="128" t="s">
        <v>1948</v>
      </c>
      <c r="H209" s="129">
        <v>1</v>
      </c>
      <c r="I209" s="130">
        <v>47360.784999999996</v>
      </c>
      <c r="J209" s="131">
        <f>ROUND(I209*H209,2)</f>
        <v>47360.79</v>
      </c>
      <c r="K209" s="127" t="s">
        <v>1</v>
      </c>
      <c r="L209" s="268">
        <f>S209</f>
        <v>0</v>
      </c>
      <c r="M209" s="272">
        <f>ROUND(L209*I209,2)</f>
        <v>0</v>
      </c>
      <c r="N209" s="276"/>
      <c r="O209" s="277">
        <f>ROUND(N209*I209,2)</f>
        <v>0</v>
      </c>
      <c r="P209" s="273">
        <f>H209-L209-N209</f>
        <v>1</v>
      </c>
      <c r="Q209" s="287">
        <f>ROUND(P209*I209,2)</f>
        <v>47360.79</v>
      </c>
      <c r="R209" s="137"/>
      <c r="S209" s="269">
        <f>W209+Y209+AA209+AC209+AE209+AG209+AI209+AK209+AM209+AO209+AQ209+AS209+AU209+AW209</f>
        <v>0</v>
      </c>
      <c r="T209" s="269">
        <f>ROUND(S209*I209,2)</f>
        <v>0</v>
      </c>
      <c r="U209" s="269">
        <f>H209-S209</f>
        <v>1</v>
      </c>
      <c r="V209" s="269">
        <f>ROUND(U209*I209,2)</f>
        <v>47360.79</v>
      </c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CF209" s="132" t="s">
        <v>1</v>
      </c>
      <c r="CG209" s="133" t="s">
        <v>40</v>
      </c>
      <c r="CI209" s="134">
        <f>CH209*H209</f>
        <v>0</v>
      </c>
      <c r="CJ209" s="134">
        <v>0</v>
      </c>
      <c r="CK209" s="134">
        <f>CJ209*H209</f>
        <v>0</v>
      </c>
      <c r="CL209" s="134">
        <v>0</v>
      </c>
      <c r="CM209" s="135">
        <f>CL209*H209</f>
        <v>0</v>
      </c>
      <c r="DK209" s="136" t="s">
        <v>95</v>
      </c>
      <c r="DM209" s="136" t="s">
        <v>284</v>
      </c>
      <c r="DN209" s="136" t="s">
        <v>90</v>
      </c>
      <c r="DR209" s="16" t="s">
        <v>282</v>
      </c>
      <c r="DX209" s="137">
        <f>IF(CG209="základní",J209,0)</f>
        <v>47360.79</v>
      </c>
      <c r="DY209" s="137">
        <f>IF(CG209="snížená",J209,0)</f>
        <v>0</v>
      </c>
      <c r="DZ209" s="137">
        <f>IF(CG209="zákl. přenesená",J209,0)</f>
        <v>0</v>
      </c>
      <c r="EA209" s="137">
        <f>IF(CG209="sníž. přenesená",J209,0)</f>
        <v>0</v>
      </c>
      <c r="EB209" s="137">
        <f>IF(CG209="nulová",J209,0)</f>
        <v>0</v>
      </c>
      <c r="EC209" s="16" t="s">
        <v>81</v>
      </c>
      <c r="ED209" s="137">
        <f>ROUND(I209*H209,2)</f>
        <v>47360.79</v>
      </c>
      <c r="EE209" s="16" t="s">
        <v>95</v>
      </c>
      <c r="EF209" s="136" t="s">
        <v>3296</v>
      </c>
    </row>
    <row r="210" spans="2:136" s="1" customFormat="1" ht="39" x14ac:dyDescent="0.2">
      <c r="B210" s="31"/>
      <c r="D210" s="138" t="s">
        <v>289</v>
      </c>
      <c r="F210" s="139" t="s">
        <v>3297</v>
      </c>
      <c r="I210" s="140"/>
      <c r="L210" s="31"/>
      <c r="N210" s="278"/>
      <c r="O210" s="279"/>
      <c r="Q210" s="229"/>
      <c r="CF210" s="141"/>
      <c r="CM210" s="50"/>
      <c r="DM210" s="16" t="s">
        <v>289</v>
      </c>
      <c r="DN210" s="16" t="s">
        <v>90</v>
      </c>
    </row>
    <row r="211" spans="2:136" s="10" customFormat="1" ht="20.85" customHeight="1" x14ac:dyDescent="0.2">
      <c r="B211" s="112"/>
      <c r="D211" s="113" t="s">
        <v>73</v>
      </c>
      <c r="E211" s="122" t="s">
        <v>3298</v>
      </c>
      <c r="F211" s="122" t="s">
        <v>3299</v>
      </c>
      <c r="I211" s="115"/>
      <c r="J211" s="123">
        <f>ED211</f>
        <v>33152.550000000003</v>
      </c>
      <c r="L211" s="112"/>
      <c r="M211" s="270">
        <f>M212</f>
        <v>0</v>
      </c>
      <c r="N211" s="280"/>
      <c r="O211" s="281">
        <f t="shared" ref="O211:V211" si="17">O212</f>
        <v>0</v>
      </c>
      <c r="P211" s="270"/>
      <c r="Q211" s="288">
        <f t="shared" si="17"/>
        <v>33152.550000000003</v>
      </c>
      <c r="R211" s="270"/>
      <c r="S211" s="270"/>
      <c r="T211" s="270">
        <f t="shared" si="17"/>
        <v>0</v>
      </c>
      <c r="U211" s="270"/>
      <c r="V211" s="270">
        <f t="shared" si="17"/>
        <v>33152.550000000003</v>
      </c>
      <c r="CF211" s="117"/>
      <c r="CI211" s="118">
        <f>SUM(CI212:CI213)</f>
        <v>0</v>
      </c>
      <c r="CK211" s="118">
        <f>SUM(CK212:CK213)</f>
        <v>0</v>
      </c>
      <c r="CM211" s="119">
        <f>SUM(CM212:CM213)</f>
        <v>0</v>
      </c>
      <c r="DK211" s="113" t="s">
        <v>81</v>
      </c>
      <c r="DM211" s="120" t="s">
        <v>73</v>
      </c>
      <c r="DN211" s="120" t="s">
        <v>83</v>
      </c>
      <c r="DR211" s="113" t="s">
        <v>282</v>
      </c>
      <c r="ED211" s="121">
        <f>SUM(ED212:ED213)</f>
        <v>33152.550000000003</v>
      </c>
    </row>
    <row r="212" spans="2:136" s="1" customFormat="1" ht="24.2" customHeight="1" x14ac:dyDescent="0.2">
      <c r="B212" s="124"/>
      <c r="C212" s="125" t="s">
        <v>451</v>
      </c>
      <c r="D212" s="125" t="s">
        <v>284</v>
      </c>
      <c r="E212" s="126" t="s">
        <v>3300</v>
      </c>
      <c r="F212" s="127" t="s">
        <v>3301</v>
      </c>
      <c r="G212" s="128" t="s">
        <v>1948</v>
      </c>
      <c r="H212" s="129">
        <v>1</v>
      </c>
      <c r="I212" s="130">
        <v>33152.549500000001</v>
      </c>
      <c r="J212" s="131">
        <f>ROUND(I212*H212,2)</f>
        <v>33152.550000000003</v>
      </c>
      <c r="K212" s="127" t="s">
        <v>1</v>
      </c>
      <c r="L212" s="268">
        <f>S212</f>
        <v>0</v>
      </c>
      <c r="M212" s="272">
        <f>ROUND(L212*I212,2)</f>
        <v>0</v>
      </c>
      <c r="N212" s="276"/>
      <c r="O212" s="277">
        <f>ROUND(N212*I212,2)</f>
        <v>0</v>
      </c>
      <c r="P212" s="273">
        <f>H212-L212-N212</f>
        <v>1</v>
      </c>
      <c r="Q212" s="287">
        <f>ROUND(P212*I212,2)</f>
        <v>33152.550000000003</v>
      </c>
      <c r="R212" s="137"/>
      <c r="S212" s="269">
        <f>W212+Y212+AA212+AC212+AE212+AG212+AI212+AK212+AM212+AO212+AQ212+AS212+AU212+AW212</f>
        <v>0</v>
      </c>
      <c r="T212" s="269">
        <f>ROUND(S212*I212,2)</f>
        <v>0</v>
      </c>
      <c r="U212" s="269">
        <f>H212-S212</f>
        <v>1</v>
      </c>
      <c r="V212" s="269">
        <f>ROUND(U212*I212,2)</f>
        <v>33152.550000000003</v>
      </c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CF212" s="132" t="s">
        <v>1</v>
      </c>
      <c r="CG212" s="133" t="s">
        <v>40</v>
      </c>
      <c r="CI212" s="134">
        <f>CH212*H212</f>
        <v>0</v>
      </c>
      <c r="CJ212" s="134">
        <v>0</v>
      </c>
      <c r="CK212" s="134">
        <f>CJ212*H212</f>
        <v>0</v>
      </c>
      <c r="CL212" s="134">
        <v>0</v>
      </c>
      <c r="CM212" s="135">
        <f>CL212*H212</f>
        <v>0</v>
      </c>
      <c r="DK212" s="136" t="s">
        <v>95</v>
      </c>
      <c r="DM212" s="136" t="s">
        <v>284</v>
      </c>
      <c r="DN212" s="136" t="s">
        <v>90</v>
      </c>
      <c r="DR212" s="16" t="s">
        <v>282</v>
      </c>
      <c r="DX212" s="137">
        <f>IF(CG212="základní",J212,0)</f>
        <v>33152.550000000003</v>
      </c>
      <c r="DY212" s="137">
        <f>IF(CG212="snížená",J212,0)</f>
        <v>0</v>
      </c>
      <c r="DZ212" s="137">
        <f>IF(CG212="zákl. přenesená",J212,0)</f>
        <v>0</v>
      </c>
      <c r="EA212" s="137">
        <f>IF(CG212="sníž. přenesená",J212,0)</f>
        <v>0</v>
      </c>
      <c r="EB212" s="137">
        <f>IF(CG212="nulová",J212,0)</f>
        <v>0</v>
      </c>
      <c r="EC212" s="16" t="s">
        <v>81</v>
      </c>
      <c r="ED212" s="137">
        <f>ROUND(I212*H212,2)</f>
        <v>33152.550000000003</v>
      </c>
      <c r="EE212" s="16" t="s">
        <v>95</v>
      </c>
      <c r="EF212" s="136" t="s">
        <v>3302</v>
      </c>
    </row>
    <row r="213" spans="2:136" s="1" customFormat="1" ht="78" x14ac:dyDescent="0.2">
      <c r="B213" s="31"/>
      <c r="D213" s="138" t="s">
        <v>289</v>
      </c>
      <c r="F213" s="139" t="s">
        <v>3303</v>
      </c>
      <c r="I213" s="140"/>
      <c r="L213" s="31"/>
      <c r="N213" s="278"/>
      <c r="O213" s="279"/>
      <c r="Q213" s="229"/>
      <c r="CF213" s="187"/>
      <c r="CG213" s="184"/>
      <c r="CH213" s="184"/>
      <c r="CI213" s="184"/>
      <c r="CJ213" s="184"/>
      <c r="CK213" s="184"/>
      <c r="CL213" s="184"/>
      <c r="CM213" s="188"/>
      <c r="DM213" s="16" t="s">
        <v>289</v>
      </c>
      <c r="DN213" s="16" t="s">
        <v>90</v>
      </c>
    </row>
    <row r="214" spans="2:136" s="1" customFormat="1" ht="6.95" customHeight="1" thickBot="1" x14ac:dyDescent="0.25">
      <c r="B214" s="43"/>
      <c r="C214" s="44"/>
      <c r="D214" s="44"/>
      <c r="E214" s="44"/>
      <c r="F214" s="44"/>
      <c r="G214" s="44"/>
      <c r="H214" s="44"/>
      <c r="I214" s="44"/>
      <c r="J214" s="44"/>
      <c r="K214" s="44"/>
      <c r="L214" s="235"/>
      <c r="M214" s="237"/>
      <c r="N214" s="284"/>
      <c r="O214" s="285"/>
      <c r="P214" s="238"/>
      <c r="Q214" s="241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</row>
  </sheetData>
  <autoFilter ref="C132:K213"/>
  <mergeCells count="31">
    <mergeCell ref="H131:K131"/>
    <mergeCell ref="AO133:AP133"/>
    <mergeCell ref="AQ133:AR133"/>
    <mergeCell ref="AS133:AT133"/>
    <mergeCell ref="AU133:AV133"/>
    <mergeCell ref="U133:V133"/>
    <mergeCell ref="W133:X133"/>
    <mergeCell ref="Y133:Z133"/>
    <mergeCell ref="AA133:AB133"/>
    <mergeCell ref="AC133:AD133"/>
    <mergeCell ref="L132:Q132"/>
    <mergeCell ref="L133:M133"/>
    <mergeCell ref="N133:O133"/>
    <mergeCell ref="P133:Q133"/>
    <mergeCell ref="S133:T133"/>
    <mergeCell ref="AW133:AX133"/>
    <mergeCell ref="AE133:AF133"/>
    <mergeCell ref="AG133:AH133"/>
    <mergeCell ref="AI133:AJ133"/>
    <mergeCell ref="AK133:AL133"/>
    <mergeCell ref="AM133:AN133"/>
    <mergeCell ref="E129:H129"/>
    <mergeCell ref="L2:CO2"/>
    <mergeCell ref="E85:H85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2" ma:contentTypeDescription="Vytvoří nový dokument" ma:contentTypeScope="" ma:versionID="5cfe39cd43695f66057f875a85f5518d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75fc1d7a0391a01fe897d2d5f10d87aa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3DB64-AC7B-4A41-A063-794EAB38D989}">
  <ds:schemaRefs>
    <ds:schemaRef ds:uri="http://purl.org/dc/terms/"/>
    <ds:schemaRef ds:uri="http://schemas.openxmlformats.org/package/2006/metadata/core-properties"/>
    <ds:schemaRef ds:uri="2ef1be13-b41c-4751-ac75-93e14a74dfa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4fc66d1-0bd6-4002-8ae3-bd3679ea79f2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AB9235-79E2-48C4-95AB-7FD09C30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A245D-AB08-4298-BEE3-5F7291929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47</vt:i4>
      </vt:variant>
      <vt:variant>
        <vt:lpstr>Pojmenované oblasti</vt:lpstr>
      </vt:variant>
      <vt:variant>
        <vt:i4>94</vt:i4>
      </vt:variant>
    </vt:vector>
  </HeadingPairs>
  <TitlesOfParts>
    <vt:vector size="141" baseType="lpstr">
      <vt:lpstr>Rekapitulace stavby</vt:lpstr>
      <vt:lpstr>00001 - DSO 01.1a Stoka A</vt:lpstr>
      <vt:lpstr>00002 - DSO 01.1b Stoka A1</vt:lpstr>
      <vt:lpstr>00003 - DSO 01.1c Stoka A2a</vt:lpstr>
      <vt:lpstr>00004 - DSO 01.1d Stoka A3</vt:lpstr>
      <vt:lpstr>00005 - DSO 01.1e Stoka A4</vt:lpstr>
      <vt:lpstr>00006 - DSO 01.1f Stoka A4a</vt:lpstr>
      <vt:lpstr>00007 - DSO 01.1g Stoka A4b</vt:lpstr>
      <vt:lpstr>Odbočení stoka A</vt:lpstr>
      <vt:lpstr>Odbočení stoka A1</vt:lpstr>
      <vt:lpstr>Odbočení stoka A2a</vt:lpstr>
      <vt:lpstr>Odbočení stoka A3</vt:lpstr>
      <vt:lpstr>Odbočení stoka A4</vt:lpstr>
      <vt:lpstr>Odbočení stoka A4a</vt:lpstr>
      <vt:lpstr>Odbočení stoka A4b</vt:lpstr>
      <vt:lpstr>00001 - DSO 01.3a Stoka D</vt:lpstr>
      <vt:lpstr>00002 - DSO 01.3b Stoka DA</vt:lpstr>
      <vt:lpstr>00007 - DSO 01.3g Stoka D3</vt:lpstr>
      <vt:lpstr>00001 - DSO 01.3.1a Kanal...</vt:lpstr>
      <vt:lpstr>00002 - DSO 01.3.1b Kanal...</vt:lpstr>
      <vt:lpstr>00007 - DSO 01.3.1g Kanal...</vt:lpstr>
      <vt:lpstr>0001 - DSO 02.1 Čerpací s...</vt:lpstr>
      <vt:lpstr>0002 - DSO 02.2 Čerpací s...</vt:lpstr>
      <vt:lpstr>0003 - DSO 02.3 Čerpací s...</vt:lpstr>
      <vt:lpstr>0001 - DSO 05.1 Čerpací s...</vt:lpstr>
      <vt:lpstr>0002 - DSO 05.2 Čerpací s...</vt:lpstr>
      <vt:lpstr>0003 - DSO 05.3 Čerpací s...</vt:lpstr>
      <vt:lpstr>0001 - DSO 07.1 Čerpací s...</vt:lpstr>
      <vt:lpstr>0002 - DSO 07.2 Čerpací s...</vt:lpstr>
      <vt:lpstr>0003 - DSO 07.3 Čerpací s...</vt:lpstr>
      <vt:lpstr>0001 - DSO 09.1 Čerpací s...</vt:lpstr>
      <vt:lpstr>0002 - DSO 09.2 Čerpací s...</vt:lpstr>
      <vt:lpstr>0003 - DSO 09.3 Čerpací s...</vt:lpstr>
      <vt:lpstr>0001 - DSO 11.1 Výtlak V1</vt:lpstr>
      <vt:lpstr>0004 - DSO 11.4 Výtlak V5</vt:lpstr>
      <vt:lpstr>0006 - DSO 11.6 Výtlak V8</vt:lpstr>
      <vt:lpstr>0008 - DSO 11.8 Výtlak V11</vt:lpstr>
      <vt:lpstr>0001 - DSO 12.1 Čerpací s...</vt:lpstr>
      <vt:lpstr>0002 - DSO 12.3 Čerpací s...</vt:lpstr>
      <vt:lpstr>0001 - PS Strojně-technol...</vt:lpstr>
      <vt:lpstr>0001 - PS 01.1 ČS1 - elek...</vt:lpstr>
      <vt:lpstr>0001 - PS 04.1 ČS5 - elek...</vt:lpstr>
      <vt:lpstr>0001 - PS 06.1 ČS8 - elek...</vt:lpstr>
      <vt:lpstr>0001 - PS 08.1 ČS11 - ele...</vt:lpstr>
      <vt:lpstr>0001 - PS 10 Domovní čerp...</vt:lpstr>
      <vt:lpstr>024 - PS11 Stávající čerp...</vt:lpstr>
      <vt:lpstr>025 - Ostatní a vedlejší ...</vt:lpstr>
      <vt:lpstr>'00001 - DSO 01.1a Stoka A'!Názvy_tisku</vt:lpstr>
      <vt:lpstr>'00001 - DSO 01.3.1a Kanal...'!Názvy_tisku</vt:lpstr>
      <vt:lpstr>'00001 - DSO 01.3a Stoka D'!Názvy_tisku</vt:lpstr>
      <vt:lpstr>'00002 - DSO 01.1b Stoka A1'!Názvy_tisku</vt:lpstr>
      <vt:lpstr>'00002 - DSO 01.3.1b Kanal...'!Názvy_tisku</vt:lpstr>
      <vt:lpstr>'00002 - DSO 01.3b Stoka DA'!Názvy_tisku</vt:lpstr>
      <vt:lpstr>'00003 - DSO 01.1c Stoka A2a'!Názvy_tisku</vt:lpstr>
      <vt:lpstr>'00004 - DSO 01.1d Stoka A3'!Názvy_tisku</vt:lpstr>
      <vt:lpstr>'00005 - DSO 01.1e Stoka A4'!Názvy_tisku</vt:lpstr>
      <vt:lpstr>'00006 - DSO 01.1f Stoka A4a'!Názvy_tisku</vt:lpstr>
      <vt:lpstr>'00007 - DSO 01.1g Stoka A4b'!Názvy_tisku</vt:lpstr>
      <vt:lpstr>'00007 - DSO 01.3.1g Kanal...'!Názvy_tisku</vt:lpstr>
      <vt:lpstr>'00007 - DSO 01.3g Stoka D3'!Názvy_tisku</vt:lpstr>
      <vt:lpstr>'0001 - DSO 02.1 Čerpací s...'!Názvy_tisku</vt:lpstr>
      <vt:lpstr>'0001 - DSO 05.1 Čerpací s...'!Názvy_tisku</vt:lpstr>
      <vt:lpstr>'0001 - DSO 07.1 Čerpací s...'!Názvy_tisku</vt:lpstr>
      <vt:lpstr>'0001 - DSO 09.1 Čerpací s...'!Názvy_tisku</vt:lpstr>
      <vt:lpstr>'0001 - DSO 11.1 Výtlak V1'!Názvy_tisku</vt:lpstr>
      <vt:lpstr>'0001 - DSO 12.1 Čerpací s...'!Názvy_tisku</vt:lpstr>
      <vt:lpstr>'0001 - PS 01.1 ČS1 - elek...'!Názvy_tisku</vt:lpstr>
      <vt:lpstr>'0001 - PS 04.1 ČS5 - elek...'!Názvy_tisku</vt:lpstr>
      <vt:lpstr>'0001 - PS 06.1 ČS8 - elek...'!Názvy_tisku</vt:lpstr>
      <vt:lpstr>'0001 - PS 08.1 ČS11 - ele...'!Názvy_tisku</vt:lpstr>
      <vt:lpstr>'0001 - PS 10 Domovní čerp...'!Názvy_tisku</vt:lpstr>
      <vt:lpstr>'0001 - PS Strojně-technol...'!Názvy_tisku</vt:lpstr>
      <vt:lpstr>'0002 - DSO 02.2 Čerpací s...'!Názvy_tisku</vt:lpstr>
      <vt:lpstr>'0002 - DSO 05.2 Čerpací s...'!Názvy_tisku</vt:lpstr>
      <vt:lpstr>'0002 - DSO 07.2 Čerpací s...'!Názvy_tisku</vt:lpstr>
      <vt:lpstr>'0002 - DSO 09.2 Čerpací s...'!Názvy_tisku</vt:lpstr>
      <vt:lpstr>'0002 - DSO 12.3 Čerpací s...'!Názvy_tisku</vt:lpstr>
      <vt:lpstr>'0003 - DSO 02.3 Čerpací s...'!Názvy_tisku</vt:lpstr>
      <vt:lpstr>'0003 - DSO 05.3 Čerpací s...'!Názvy_tisku</vt:lpstr>
      <vt:lpstr>'0003 - DSO 07.3 Čerpací s...'!Názvy_tisku</vt:lpstr>
      <vt:lpstr>'0003 - DSO 09.3 Čerpací s...'!Názvy_tisku</vt:lpstr>
      <vt:lpstr>'0004 - DSO 11.4 Výtlak V5'!Názvy_tisku</vt:lpstr>
      <vt:lpstr>'0006 - DSO 11.6 Výtlak V8'!Názvy_tisku</vt:lpstr>
      <vt:lpstr>'0008 - DSO 11.8 Výtlak V11'!Názvy_tisku</vt:lpstr>
      <vt:lpstr>'024 - PS11 Stávající čerp...'!Názvy_tisku</vt:lpstr>
      <vt:lpstr>'025 - Ostatní a vedlejší ...'!Názvy_tisku</vt:lpstr>
      <vt:lpstr>'Odbočení stoka A'!Názvy_tisku</vt:lpstr>
      <vt:lpstr>'Odbočení stoka A1'!Názvy_tisku</vt:lpstr>
      <vt:lpstr>'Odbočení stoka A2a'!Názvy_tisku</vt:lpstr>
      <vt:lpstr>'Odbočení stoka A3'!Názvy_tisku</vt:lpstr>
      <vt:lpstr>'Odbočení stoka A4'!Názvy_tisku</vt:lpstr>
      <vt:lpstr>'Odbočení stoka A4a'!Názvy_tisku</vt:lpstr>
      <vt:lpstr>'Odbočení stoka A4b'!Názvy_tisku</vt:lpstr>
      <vt:lpstr>'Rekapitulace stavby'!Názvy_tisku</vt:lpstr>
      <vt:lpstr>'00001 - DSO 01.1a Stoka A'!Oblast_tisku</vt:lpstr>
      <vt:lpstr>'00001 - DSO 01.3.1a Kanal...'!Oblast_tisku</vt:lpstr>
      <vt:lpstr>'00001 - DSO 01.3a Stoka D'!Oblast_tisku</vt:lpstr>
      <vt:lpstr>'00002 - DSO 01.1b Stoka A1'!Oblast_tisku</vt:lpstr>
      <vt:lpstr>'00002 - DSO 01.3.1b Kanal...'!Oblast_tisku</vt:lpstr>
      <vt:lpstr>'00002 - DSO 01.3b Stoka DA'!Oblast_tisku</vt:lpstr>
      <vt:lpstr>'00003 - DSO 01.1c Stoka A2a'!Oblast_tisku</vt:lpstr>
      <vt:lpstr>'00004 - DSO 01.1d Stoka A3'!Oblast_tisku</vt:lpstr>
      <vt:lpstr>'00005 - DSO 01.1e Stoka A4'!Oblast_tisku</vt:lpstr>
      <vt:lpstr>'00006 - DSO 01.1f Stoka A4a'!Oblast_tisku</vt:lpstr>
      <vt:lpstr>'00007 - DSO 01.1g Stoka A4b'!Oblast_tisku</vt:lpstr>
      <vt:lpstr>'00007 - DSO 01.3.1g Kanal...'!Oblast_tisku</vt:lpstr>
      <vt:lpstr>'00007 - DSO 01.3g Stoka D3'!Oblast_tisku</vt:lpstr>
      <vt:lpstr>'0001 - DSO 02.1 Čerpací s...'!Oblast_tisku</vt:lpstr>
      <vt:lpstr>'0001 - DSO 05.1 Čerpací s...'!Oblast_tisku</vt:lpstr>
      <vt:lpstr>'0001 - DSO 07.1 Čerpací s...'!Oblast_tisku</vt:lpstr>
      <vt:lpstr>'0001 - DSO 09.1 Čerpací s...'!Oblast_tisku</vt:lpstr>
      <vt:lpstr>'0001 - DSO 11.1 Výtlak V1'!Oblast_tisku</vt:lpstr>
      <vt:lpstr>'0001 - DSO 12.1 Čerpací s...'!Oblast_tisku</vt:lpstr>
      <vt:lpstr>'0001 - PS 01.1 ČS1 - elek...'!Oblast_tisku</vt:lpstr>
      <vt:lpstr>'0001 - PS 04.1 ČS5 - elek...'!Oblast_tisku</vt:lpstr>
      <vt:lpstr>'0001 - PS 06.1 ČS8 - elek...'!Oblast_tisku</vt:lpstr>
      <vt:lpstr>'0001 - PS 08.1 ČS11 - ele...'!Oblast_tisku</vt:lpstr>
      <vt:lpstr>'0001 - PS 10 Domovní čerp...'!Oblast_tisku</vt:lpstr>
      <vt:lpstr>'0001 - PS Strojně-technol...'!Oblast_tisku</vt:lpstr>
      <vt:lpstr>'0002 - DSO 02.2 Čerpací s...'!Oblast_tisku</vt:lpstr>
      <vt:lpstr>'0002 - DSO 05.2 Čerpací s...'!Oblast_tisku</vt:lpstr>
      <vt:lpstr>'0002 - DSO 07.2 Čerpací s...'!Oblast_tisku</vt:lpstr>
      <vt:lpstr>'0002 - DSO 09.2 Čerpací s...'!Oblast_tisku</vt:lpstr>
      <vt:lpstr>'0002 - DSO 12.3 Čerpací s...'!Oblast_tisku</vt:lpstr>
      <vt:lpstr>'0003 - DSO 02.3 Čerpací s...'!Oblast_tisku</vt:lpstr>
      <vt:lpstr>'0003 - DSO 05.3 Čerpací s...'!Oblast_tisku</vt:lpstr>
      <vt:lpstr>'0003 - DSO 07.3 Čerpací s...'!Oblast_tisku</vt:lpstr>
      <vt:lpstr>'0003 - DSO 09.3 Čerpací s...'!Oblast_tisku</vt:lpstr>
      <vt:lpstr>'0004 - DSO 11.4 Výtlak V5'!Oblast_tisku</vt:lpstr>
      <vt:lpstr>'0006 - DSO 11.6 Výtlak V8'!Oblast_tisku</vt:lpstr>
      <vt:lpstr>'0008 - DSO 11.8 Výtlak V11'!Oblast_tisku</vt:lpstr>
      <vt:lpstr>'024 - PS11 Stávající čerp...'!Oblast_tisku</vt:lpstr>
      <vt:lpstr>'025 - Ostatní a vedlejší ...'!Oblast_tisku</vt:lpstr>
      <vt:lpstr>'Odbočení stoka A'!Oblast_tisku</vt:lpstr>
      <vt:lpstr>'Odbočení stoka A1'!Oblast_tisku</vt:lpstr>
      <vt:lpstr>'Odbočení stoka A2a'!Oblast_tisku</vt:lpstr>
      <vt:lpstr>'Odbočení stoka A3'!Oblast_tisku</vt:lpstr>
      <vt:lpstr>'Odbočení stoka A4'!Oblast_tisku</vt:lpstr>
      <vt:lpstr>'Odbočení stoka A4a'!Oblast_tisku</vt:lpstr>
      <vt:lpstr>'Odbočení stoka A4b'!Oblast_tisku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Krumnikl, Radim</dc:creator>
  <cp:lastModifiedBy>Šopová Marcela</cp:lastModifiedBy>
  <cp:lastPrinted>2022-12-05T13:02:03Z</cp:lastPrinted>
  <dcterms:created xsi:type="dcterms:W3CDTF">2020-11-18T08:57:09Z</dcterms:created>
  <dcterms:modified xsi:type="dcterms:W3CDTF">2022-12-20T08:26:16Z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